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5.xml" ContentType="application/vnd.openxmlformats-officedocument.drawing+xml"/>
  <Override PartName="/xl/charts/chart8.xml" ContentType="application/vnd.openxmlformats-officedocument.drawingml.chart+xml"/>
  <Override PartName="/xl/drawings/drawing6.xml" ContentType="application/vnd.openxmlformats-officedocument.drawing+xml"/>
  <Override PartName="/xl/charts/chart9.xml" ContentType="application/vnd.openxmlformats-officedocument.drawingml.chart+xml"/>
  <Override PartName="/xl/drawings/drawing7.xml" ContentType="application/vnd.openxmlformats-officedocument.drawing+xml"/>
  <Override PartName="/xl/charts/chart10.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James\Downloads\"/>
    </mc:Choice>
  </mc:AlternateContent>
  <xr:revisionPtr revIDLastSave="0" documentId="13_ncr:20001_{6319776A-03C6-49E9-BC24-BDF3CB61AA13}" xr6:coauthVersionLast="47" xr6:coauthVersionMax="47" xr10:uidLastSave="{00000000-0000-0000-0000-000000000000}"/>
  <bookViews>
    <workbookView xWindow="-120" yWindow="-120" windowWidth="29040" windowHeight="17640" xr2:uid="{00000000-000D-0000-FFFF-FFFF00000000}"/>
  </bookViews>
  <sheets>
    <sheet name="Index" sheetId="1" r:id="rId1"/>
    <sheet name="TAB 1" sheetId="2" r:id="rId2"/>
    <sheet name="TABLE 1 - Reasons for Exclusion" sheetId="3" state="hidden" r:id="rId3"/>
    <sheet name="TABLE 2 - SAE by Pathogen" sheetId="4" state="hidden" r:id="rId4"/>
    <sheet name="TAB 2" sheetId="5" r:id="rId5"/>
    <sheet name="Graphic 1" sheetId="6" r:id="rId6"/>
    <sheet name="TABLE 3a - AEs over Time" sheetId="7" state="hidden" r:id="rId7"/>
    <sheet name="Graphic 2" sheetId="8" r:id="rId8"/>
    <sheet name="Table 3c" sheetId="9" r:id="rId9"/>
    <sheet name="TABLE 3b - AEs over Time by Cat" sheetId="10" state="hidden" r:id="rId10"/>
    <sheet name="Table 3c (AE)" sheetId="11" r:id="rId11"/>
    <sheet name="TAB 3" sheetId="12" r:id="rId12"/>
    <sheet name="Sheet31" sheetId="13" state="hidden" r:id="rId13"/>
    <sheet name="Included" sheetId="14" r:id="rId14"/>
    <sheet name="Full-text Review" sheetId="15" r:id="rId15"/>
    <sheet name="Reasons for Exclusion - Full-te" sheetId="16" r:id="rId16"/>
    <sheet name="Reasons for Exclusion - Screeni" sheetId="17" r:id="rId17"/>
    <sheet name="Screening - 10.7.21 Results" sheetId="18" r:id="rId18"/>
    <sheet name="Screening - 6.1.21 Results" sheetId="19" r:id="rId19"/>
    <sheet name="Screening - 4.20.21 Results" sheetId="20" r:id="rId20"/>
    <sheet name="Screening - 4.14.21 Results" sheetId="21" r:id="rId21"/>
    <sheet name="PubMed 10.7.21 Results" sheetId="22" r:id="rId22"/>
    <sheet name="PubMed 7.1.21 Results" sheetId="23" r:id="rId23"/>
    <sheet name="PMC 4.20.21 Results" sheetId="24" r:id="rId24"/>
    <sheet name="PubMed 4.14.21 Results" sheetId="25" r:id="rId25"/>
    <sheet name="Additional Studies" sheetId="26" r:id="rId26"/>
    <sheet name="CatTag" sheetId="27" r:id="rId27"/>
    <sheet name="Scratchpad for Graphs" sheetId="28" r:id="rId28"/>
    <sheet name="Pathogen" sheetId="29" r:id="rId29"/>
    <sheet name="SearchType" sheetId="30" state="hidden" r:id="rId30"/>
  </sheets>
  <definedNames>
    <definedName name="db">Included!$A$2:$AW$500</definedName>
    <definedName name="dbcolumns">Included!$A$1:$AV$1</definedName>
    <definedName name="exclude">Index!$C$3:$D$11</definedName>
    <definedName name="excluded">Index!$E$3:$E$11</definedName>
    <definedName name="ExclusionCategories">Index!$C$12</definedName>
    <definedName name="ExclusionControls">Index!$C$1:$E$11</definedName>
    <definedName name="FirstAuthor">Included!$A$1:$A$500</definedName>
    <definedName name="FirstStudyYear">'Graphic 2'!$N$1</definedName>
    <definedName name="IncludedCat">Included!$AW:$AW</definedName>
    <definedName name="LastStudyYear">'Graphic 2'!$N$2</definedName>
    <definedName name="pathogens">Pathogen!$A:$A</definedName>
    <definedName name="SF">#REF!</definedName>
    <definedName name="tab1xreviewed">'TAB 1'!$B$13:$B$21</definedName>
    <definedName name="tab1xsae">'TAB 1'!$B$18</definedName>
    <definedName name="tab1xscreened">'TAB 1'!$B$4:$B$7</definedName>
    <definedName name="xreviewed">'Reasons for Exclusion - Full-te'!$A$3:$Z$532</definedName>
    <definedName name="xscreened">'Reasons for Exclusion - Screeni'!$A$3:$P$2656</definedName>
    <definedName name="Z_09FA796E_AFB1_4351_9F7E_1ECFD6011506_.wvu.FilterData" localSheetId="15" hidden="1">'Reasons for Exclusion - Full-te'!$A$1:$W$426</definedName>
    <definedName name="Z_0C64A82D_CA0E_4228_A2C9_82671EC84985_.wvu.FilterData" localSheetId="15" hidden="1">'Reasons for Exclusion - Full-te'!$Q$1:$Q$1127</definedName>
    <definedName name="Z_26E1130F_693F_42B9_96D9_0282DF722733_.wvu.FilterData" localSheetId="15" hidden="1">'Reasons for Exclusion - Full-te'!$A$1:$W$426</definedName>
    <definedName name="Z_26E1130F_693F_42B9_96D9_0282DF722733_.wvu.FilterData" localSheetId="16" hidden="1">'Reasons for Exclusion - Screeni'!$A$1:$P$2656</definedName>
    <definedName name="Z_48E7C6CB_6BC1_4439_A681_F8079F1E293D_.wvu.FilterData" localSheetId="15" hidden="1">'Reasons for Exclusion - Full-te'!$A$1:$W$427</definedName>
    <definedName name="Z_99C5C116_411A_4654_AC2B_D67D2E90D53F_.wvu.FilterData" localSheetId="14" hidden="1">'Full-text Review'!$A$1:$N$426</definedName>
    <definedName name="Z_A558D7B1_D279_4521_9D41_3DF902C4C5AD_.wvu.FilterData" localSheetId="15" hidden="1">'Reasons for Exclusion - Full-te'!$H$1:$H$1127</definedName>
    <definedName name="Z_C1100CFF_E3B2_42C1_8DC5_E1146139A5F9_.wvu.FilterData" localSheetId="15" hidden="1">'Reasons for Exclusion - Full-te'!$A$1:$W$631</definedName>
    <definedName name="Z_D8ECF7FC_5E3A_4DFB_B628_6DD3CD0CC9C8_.wvu.FilterData" localSheetId="14" hidden="1">'Full-text Review'!$A$1:$N$426</definedName>
    <definedName name="Z_D8ECF7FC_5E3A_4DFB_B628_6DD3CD0CC9C8_.wvu.FilterData" localSheetId="13" hidden="1">Included!$A$1:$BF$496</definedName>
    <definedName name="Z_D8ECF7FC_5E3A_4DFB_B628_6DD3CD0CC9C8_.wvu.FilterData" localSheetId="21" hidden="1">'PubMed 10.7.21 Results'!$A$1:$A$1339</definedName>
    <definedName name="Z_D8ECF7FC_5E3A_4DFB_B628_6DD3CD0CC9C8_.wvu.FilterData" localSheetId="15" hidden="1">'Reasons for Exclusion - Full-te'!$A$1:$W$426</definedName>
    <definedName name="Z_D8ECF7FC_5E3A_4DFB_B628_6DD3CD0CC9C8_.wvu.FilterData" localSheetId="16" hidden="1">'Reasons for Exclusion - Screeni'!$J$1:$J$2656</definedName>
    <definedName name="zgraphic1">'Graphic 1'!$A$3</definedName>
    <definedName name="zgraphic2">'Graphic 2'!$A$1</definedName>
    <definedName name="ztab1">'TAB 1'!$A$1</definedName>
    <definedName name="ztab2">'TAB 2'!$A$1</definedName>
    <definedName name="ztable3c">'Table 3c'!$A$1</definedName>
    <definedName name="ztable3cae">'Table 3c (AE)'!$A$1</definedName>
  </definedNames>
  <calcPr calcId="191029"/>
  <customWorkbookViews>
    <customWorkbookView name="Excluded Studies" guid="{C1100CFF-E3B2-42C1-8DC5-E1146139A5F9}" maximized="1" windowWidth="0" windowHeight="0" activeSheetId="0"/>
    <customWorkbookView name="Filter 1" guid="{D8ECF7FC-5E3A-4DFB-B628-6DD3CD0CC9C8}" maximized="1" windowWidth="0" windowHeight="0" activeSheetId="0"/>
    <customWorkbookView name="Filter 3" guid="{09FA796E-AFB1-4351-9F7E-1ECFD6011506}" maximized="1" windowWidth="0" windowHeight="0" activeSheetId="0"/>
    <customWorkbookView name="Filter 2" guid="{26E1130F-693F-42B9-96D9-0282DF722733}" maximized="1" windowWidth="0" windowHeight="0" activeSheetId="0"/>
    <customWorkbookView name="Filter 5" guid="{48E7C6CB-6BC1-4439-A681-F8079F1E293D}" maximized="1" windowWidth="0" windowHeight="0" activeSheetId="0"/>
    <customWorkbookView name="Filter 4" guid="{0C64A82D-CA0E-4228-A2C9-82671EC84985}" maximized="1" windowWidth="0" windowHeight="0" activeSheetId="0"/>
    <customWorkbookView name="Included Studies" guid="{A558D7B1-D279-4521-9D41-3DF902C4C5AD}" maximized="1" windowWidth="0" windowHeight="0" activeSheetId="0"/>
    <customWorkbookView name="Included Studies for Review" guid="{99C5C116-411A-4654-AC2B-D67D2E90D53F}" maximized="1" windowWidth="0" windowHeight="0" activeSheetId="0"/>
  </customWorkbookViews>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W2" i="14" l="1"/>
  <c r="C12" i="1" a="1"/>
  <c r="C12" i="1" s="1"/>
  <c r="H3" i="6"/>
  <c r="A19" i="30"/>
  <c r="A18" i="30"/>
  <c r="A17" i="30"/>
  <c r="A16" i="30"/>
  <c r="A15" i="30"/>
  <c r="A14" i="30"/>
  <c r="A13" i="30"/>
  <c r="A12" i="30"/>
  <c r="A11" i="30"/>
  <c r="A10" i="30"/>
  <c r="A9" i="30"/>
  <c r="A8" i="30"/>
  <c r="A7" i="30"/>
  <c r="A6" i="30"/>
  <c r="A5" i="30"/>
  <c r="A4" i="30"/>
  <c r="A3" i="30"/>
  <c r="A2" i="30"/>
  <c r="A1" i="30"/>
  <c r="A29" i="29"/>
  <c r="A28" i="29"/>
  <c r="A27" i="29"/>
  <c r="A26" i="29"/>
  <c r="A25" i="29"/>
  <c r="A24" i="29"/>
  <c r="A23" i="29"/>
  <c r="A22" i="29"/>
  <c r="A21" i="29"/>
  <c r="A20" i="29"/>
  <c r="A19" i="29"/>
  <c r="A18" i="29"/>
  <c r="A17" i="29"/>
  <c r="A16" i="29"/>
  <c r="A15" i="29"/>
  <c r="A14" i="29"/>
  <c r="A13" i="29"/>
  <c r="A12" i="29"/>
  <c r="A11" i="29"/>
  <c r="A10" i="29"/>
  <c r="A9" i="29"/>
  <c r="A8" i="29"/>
  <c r="A7" i="29"/>
  <c r="A6" i="29"/>
  <c r="A5" i="29"/>
  <c r="A4" i="29"/>
  <c r="A3" i="29"/>
  <c r="A2" i="29"/>
  <c r="A1" i="29"/>
  <c r="F32" i="28"/>
  <c r="E32" i="28"/>
  <c r="D32" i="28"/>
  <c r="C32" i="28"/>
  <c r="B32" i="28"/>
  <c r="A23" i="28"/>
  <c r="H12" i="28"/>
  <c r="H8" i="28"/>
  <c r="H7" i="28"/>
  <c r="H5" i="28"/>
  <c r="H4" i="28"/>
  <c r="H3" i="28"/>
  <c r="F2" i="28"/>
  <c r="E2" i="28"/>
  <c r="D2" i="28"/>
  <c r="C2" i="28"/>
  <c r="B2" i="28"/>
  <c r="A1" i="28"/>
  <c r="E46" i="27"/>
  <c r="E45" i="27"/>
  <c r="E44" i="27"/>
  <c r="E43" i="27"/>
  <c r="E42" i="27"/>
  <c r="E41" i="27"/>
  <c r="E40" i="27"/>
  <c r="E39" i="27"/>
  <c r="E38" i="27"/>
  <c r="E37" i="27"/>
  <c r="A37" i="27"/>
  <c r="E36" i="27"/>
  <c r="A36" i="27"/>
  <c r="E35" i="27"/>
  <c r="A35" i="27"/>
  <c r="E34" i="27"/>
  <c r="A34" i="27"/>
  <c r="E33" i="27"/>
  <c r="A33" i="27"/>
  <c r="E32" i="27"/>
  <c r="A32" i="27"/>
  <c r="E31" i="27"/>
  <c r="A31" i="27"/>
  <c r="E30" i="27"/>
  <c r="A30" i="27"/>
  <c r="E29" i="27"/>
  <c r="A29" i="27"/>
  <c r="E28" i="27"/>
  <c r="A28" i="27"/>
  <c r="E27" i="27"/>
  <c r="A27" i="27"/>
  <c r="E26" i="27"/>
  <c r="A26" i="27"/>
  <c r="E25" i="27"/>
  <c r="A25" i="27"/>
  <c r="E24" i="27"/>
  <c r="A24" i="27"/>
  <c r="E23" i="27"/>
  <c r="A23" i="27"/>
  <c r="E22" i="27"/>
  <c r="A22" i="27"/>
  <c r="E21" i="27"/>
  <c r="A21" i="27"/>
  <c r="E20" i="27"/>
  <c r="A20" i="27"/>
  <c r="E19" i="27"/>
  <c r="A19" i="27"/>
  <c r="E18" i="27"/>
  <c r="A18" i="27"/>
  <c r="E17" i="27"/>
  <c r="A17" i="27"/>
  <c r="E16" i="27"/>
  <c r="A16" i="27"/>
  <c r="E15" i="27"/>
  <c r="A15" i="27"/>
  <c r="A14" i="27"/>
  <c r="A13" i="27"/>
  <c r="A12" i="27"/>
  <c r="A11" i="27"/>
  <c r="A10" i="27"/>
  <c r="A9" i="27"/>
  <c r="A8" i="27"/>
  <c r="A7" i="27"/>
  <c r="A6" i="27"/>
  <c r="A5" i="27"/>
  <c r="A4" i="27"/>
  <c r="A3" i="27"/>
  <c r="A2" i="27"/>
  <c r="A1" i="27"/>
  <c r="A1221" i="25"/>
  <c r="A1220" i="25"/>
  <c r="A1219" i="25"/>
  <c r="A1218" i="25"/>
  <c r="A1217" i="25"/>
  <c r="A1216" i="25"/>
  <c r="A1215" i="25"/>
  <c r="A1214" i="25"/>
  <c r="A1213" i="25"/>
  <c r="A1212" i="25"/>
  <c r="A1211" i="25"/>
  <c r="A1210" i="25"/>
  <c r="A1209" i="25"/>
  <c r="A1208" i="25"/>
  <c r="A1207" i="25"/>
  <c r="A1206" i="25"/>
  <c r="A1205" i="25"/>
  <c r="A1204" i="25"/>
  <c r="A1203" i="25"/>
  <c r="A1202" i="25"/>
  <c r="A1201" i="25"/>
  <c r="A1200" i="25"/>
  <c r="A1199" i="25"/>
  <c r="A1198" i="25"/>
  <c r="A1197" i="25"/>
  <c r="A1196" i="25"/>
  <c r="A1195" i="25"/>
  <c r="A1194" i="25"/>
  <c r="A1193" i="25"/>
  <c r="A1192" i="25"/>
  <c r="A1191" i="25"/>
  <c r="A1190" i="25"/>
  <c r="A1189" i="25"/>
  <c r="A1188" i="25"/>
  <c r="A1187" i="25"/>
  <c r="A1186" i="25"/>
  <c r="A1185" i="25"/>
  <c r="A1184" i="25"/>
  <c r="A1183" i="25"/>
  <c r="A1182" i="25"/>
  <c r="A1181" i="25"/>
  <c r="A1180" i="25"/>
  <c r="A1179" i="25"/>
  <c r="A1178" i="25"/>
  <c r="A1177" i="25"/>
  <c r="A1176" i="25"/>
  <c r="A1175" i="25"/>
  <c r="A1174" i="25"/>
  <c r="A1173" i="25"/>
  <c r="A1172" i="25"/>
  <c r="A1171" i="25"/>
  <c r="A1170" i="25"/>
  <c r="A1169" i="25"/>
  <c r="A1168" i="25"/>
  <c r="A1167" i="25"/>
  <c r="A1166" i="25"/>
  <c r="A1165" i="25"/>
  <c r="A1164" i="25"/>
  <c r="A1163" i="25"/>
  <c r="A1162" i="25"/>
  <c r="A1161" i="25"/>
  <c r="A1160" i="25"/>
  <c r="A1159" i="25"/>
  <c r="A1158" i="25"/>
  <c r="A1157" i="25"/>
  <c r="A1156" i="25"/>
  <c r="A1155" i="25"/>
  <c r="A1154" i="25"/>
  <c r="A1153" i="25"/>
  <c r="A1152" i="25"/>
  <c r="A1151" i="25"/>
  <c r="A1150" i="25"/>
  <c r="A1149" i="25"/>
  <c r="A1148" i="25"/>
  <c r="A1147" i="25"/>
  <c r="A1146" i="25"/>
  <c r="A1145" i="25"/>
  <c r="A1144" i="25"/>
  <c r="A1143" i="25"/>
  <c r="A1142" i="25"/>
  <c r="A1141" i="25"/>
  <c r="A1140" i="25"/>
  <c r="A1139" i="25"/>
  <c r="A1138" i="25"/>
  <c r="A1137" i="25"/>
  <c r="A1136" i="25"/>
  <c r="A1135" i="25"/>
  <c r="A1134" i="25"/>
  <c r="A1133" i="25"/>
  <c r="A1132" i="25"/>
  <c r="A1131" i="25"/>
  <c r="A1130" i="25"/>
  <c r="A1129" i="25"/>
  <c r="A1128" i="25"/>
  <c r="A1127" i="25"/>
  <c r="A1126" i="25"/>
  <c r="A1125" i="25"/>
  <c r="A1124" i="25"/>
  <c r="A1123" i="25"/>
  <c r="A1122" i="25"/>
  <c r="A1121" i="25"/>
  <c r="A1120" i="25"/>
  <c r="A1119" i="25"/>
  <c r="A1118" i="25"/>
  <c r="A1117" i="25"/>
  <c r="A1116" i="25"/>
  <c r="A1115" i="25"/>
  <c r="A1114" i="25"/>
  <c r="A1113" i="25"/>
  <c r="A1112" i="25"/>
  <c r="A1111" i="25"/>
  <c r="A1110" i="25"/>
  <c r="A1109" i="25"/>
  <c r="A1108" i="25"/>
  <c r="A1107" i="25"/>
  <c r="A1106" i="25"/>
  <c r="A1105" i="25"/>
  <c r="A1104" i="25"/>
  <c r="A1103" i="25"/>
  <c r="A1102" i="25"/>
  <c r="A1101" i="25"/>
  <c r="A1100" i="25"/>
  <c r="A1099" i="25"/>
  <c r="A1098" i="25"/>
  <c r="A1097" i="25"/>
  <c r="A1096" i="25"/>
  <c r="A1095" i="25"/>
  <c r="A1094" i="25"/>
  <c r="A1093" i="25"/>
  <c r="A1092" i="25"/>
  <c r="A1091" i="25"/>
  <c r="A1090" i="25"/>
  <c r="A1089" i="25"/>
  <c r="A1088" i="25"/>
  <c r="A1087" i="25"/>
  <c r="A1086" i="25"/>
  <c r="A1085" i="25"/>
  <c r="A1084" i="25"/>
  <c r="A1083" i="25"/>
  <c r="A1082" i="25"/>
  <c r="A1081" i="25"/>
  <c r="A1080" i="25"/>
  <c r="A1079" i="25"/>
  <c r="A1078" i="25"/>
  <c r="A1077" i="25"/>
  <c r="A1076" i="25"/>
  <c r="A1075" i="25"/>
  <c r="A1074" i="25"/>
  <c r="A1073" i="25"/>
  <c r="A1072" i="25"/>
  <c r="A1071" i="25"/>
  <c r="A1070" i="25"/>
  <c r="A1069" i="25"/>
  <c r="A1068" i="25"/>
  <c r="A1067" i="25"/>
  <c r="A1066" i="25"/>
  <c r="A1065" i="25"/>
  <c r="A1064" i="25"/>
  <c r="A1063" i="25"/>
  <c r="A1062" i="25"/>
  <c r="A1061" i="25"/>
  <c r="A1060" i="25"/>
  <c r="A1059" i="25"/>
  <c r="A1058" i="25"/>
  <c r="A1057" i="25"/>
  <c r="A1056" i="25"/>
  <c r="A1055" i="25"/>
  <c r="A1054" i="25"/>
  <c r="A1053" i="25"/>
  <c r="A1052" i="25"/>
  <c r="A1051" i="25"/>
  <c r="A1050" i="25"/>
  <c r="A1049" i="25"/>
  <c r="A1048" i="25"/>
  <c r="A1047" i="25"/>
  <c r="A1046" i="25"/>
  <c r="A1045" i="25"/>
  <c r="A1044" i="25"/>
  <c r="A1043" i="25"/>
  <c r="A1042" i="25"/>
  <c r="A1041" i="25"/>
  <c r="A1040" i="25"/>
  <c r="A1039" i="25"/>
  <c r="A1038" i="25"/>
  <c r="A1037" i="25"/>
  <c r="A1036" i="25"/>
  <c r="A1035" i="25"/>
  <c r="A1034" i="25"/>
  <c r="A1033" i="25"/>
  <c r="A1032" i="25"/>
  <c r="A1031" i="25"/>
  <c r="A1030" i="25"/>
  <c r="A1029" i="25"/>
  <c r="A1028" i="25"/>
  <c r="A1027" i="25"/>
  <c r="A1026" i="25"/>
  <c r="A1025" i="25"/>
  <c r="A1024" i="25"/>
  <c r="A1023" i="25"/>
  <c r="A1022" i="25"/>
  <c r="A1021" i="25"/>
  <c r="A1020" i="25"/>
  <c r="A1019" i="25"/>
  <c r="A1018" i="25"/>
  <c r="A1017" i="25"/>
  <c r="A1016" i="25"/>
  <c r="A1015" i="25"/>
  <c r="A1014" i="25"/>
  <c r="A1013" i="25"/>
  <c r="A1012" i="25"/>
  <c r="A1011" i="25"/>
  <c r="A1010" i="25"/>
  <c r="A1009" i="25"/>
  <c r="A1008" i="25"/>
  <c r="A1007" i="25"/>
  <c r="A1006" i="25"/>
  <c r="A1005" i="25"/>
  <c r="A1004" i="25"/>
  <c r="A1003" i="25"/>
  <c r="A1002" i="25"/>
  <c r="A1001" i="25"/>
  <c r="A1000" i="25"/>
  <c r="A999" i="25"/>
  <c r="A998" i="25"/>
  <c r="A997" i="25"/>
  <c r="A996" i="25"/>
  <c r="A995" i="25"/>
  <c r="A994" i="25"/>
  <c r="A993" i="25"/>
  <c r="A992" i="25"/>
  <c r="A991" i="25"/>
  <c r="A990" i="25"/>
  <c r="A989" i="25"/>
  <c r="A988" i="25"/>
  <c r="A987" i="25"/>
  <c r="A986" i="25"/>
  <c r="A985" i="25"/>
  <c r="A984" i="25"/>
  <c r="A983" i="25"/>
  <c r="A982" i="25"/>
  <c r="A981" i="25"/>
  <c r="A980" i="25"/>
  <c r="A979" i="25"/>
  <c r="A978" i="25"/>
  <c r="A977" i="25"/>
  <c r="A976" i="25"/>
  <c r="A975" i="25"/>
  <c r="A974" i="25"/>
  <c r="A973" i="25"/>
  <c r="A972" i="25"/>
  <c r="A971" i="25"/>
  <c r="A970" i="25"/>
  <c r="A969" i="25"/>
  <c r="A968" i="25"/>
  <c r="A967" i="25"/>
  <c r="A966" i="25"/>
  <c r="A965" i="25"/>
  <c r="A964" i="25"/>
  <c r="A963" i="25"/>
  <c r="A962" i="25"/>
  <c r="A961" i="25"/>
  <c r="A960" i="25"/>
  <c r="A959" i="25"/>
  <c r="A958" i="25"/>
  <c r="A957" i="25"/>
  <c r="A956" i="25"/>
  <c r="A955" i="25"/>
  <c r="A954" i="25"/>
  <c r="A953" i="25"/>
  <c r="A952" i="25"/>
  <c r="A951" i="25"/>
  <c r="A950" i="25"/>
  <c r="A949" i="25"/>
  <c r="A948" i="25"/>
  <c r="A947" i="25"/>
  <c r="A946" i="25"/>
  <c r="A945" i="25"/>
  <c r="A944" i="25"/>
  <c r="A943" i="25"/>
  <c r="A942" i="25"/>
  <c r="A941" i="25"/>
  <c r="A940" i="25"/>
  <c r="A939" i="25"/>
  <c r="A938" i="25"/>
  <c r="A937" i="25"/>
  <c r="A936" i="25"/>
  <c r="A935" i="25"/>
  <c r="A934" i="25"/>
  <c r="A933" i="25"/>
  <c r="A932" i="25"/>
  <c r="A931" i="25"/>
  <c r="A930" i="25"/>
  <c r="A929" i="25"/>
  <c r="A928" i="25"/>
  <c r="A927" i="25"/>
  <c r="A926" i="25"/>
  <c r="A925" i="25"/>
  <c r="A924" i="25"/>
  <c r="A923" i="25"/>
  <c r="A922" i="25"/>
  <c r="A921" i="25"/>
  <c r="A920" i="25"/>
  <c r="A919" i="25"/>
  <c r="A918" i="25"/>
  <c r="A917" i="25"/>
  <c r="A916" i="25"/>
  <c r="A915" i="25"/>
  <c r="A914" i="25"/>
  <c r="A913" i="25"/>
  <c r="A912" i="25"/>
  <c r="A911" i="25"/>
  <c r="A910" i="25"/>
  <c r="A909" i="25"/>
  <c r="A908" i="25"/>
  <c r="A907" i="25"/>
  <c r="A906" i="25"/>
  <c r="A905" i="25"/>
  <c r="A904" i="25"/>
  <c r="A903" i="25"/>
  <c r="A902" i="25"/>
  <c r="A901" i="25"/>
  <c r="A900" i="25"/>
  <c r="A899" i="25"/>
  <c r="A898" i="25"/>
  <c r="A897" i="25"/>
  <c r="A896" i="25"/>
  <c r="A895" i="25"/>
  <c r="A894" i="25"/>
  <c r="A893" i="25"/>
  <c r="A892" i="25"/>
  <c r="A891" i="25"/>
  <c r="A890" i="25"/>
  <c r="A889" i="25"/>
  <c r="A888" i="25"/>
  <c r="A887" i="25"/>
  <c r="A886" i="25"/>
  <c r="A885" i="25"/>
  <c r="A884" i="25"/>
  <c r="A883" i="25"/>
  <c r="A882" i="25"/>
  <c r="A881" i="25"/>
  <c r="A880" i="25"/>
  <c r="A879" i="25"/>
  <c r="A878" i="25"/>
  <c r="A877" i="25"/>
  <c r="A876" i="25"/>
  <c r="A875" i="25"/>
  <c r="A874" i="25"/>
  <c r="A873" i="25"/>
  <c r="A872" i="25"/>
  <c r="A871" i="25"/>
  <c r="A870" i="25"/>
  <c r="A869" i="25"/>
  <c r="A868" i="25"/>
  <c r="A867" i="25"/>
  <c r="A866" i="25"/>
  <c r="A865" i="25"/>
  <c r="A864" i="25"/>
  <c r="A863" i="25"/>
  <c r="A862" i="25"/>
  <c r="A861" i="25"/>
  <c r="A860" i="25"/>
  <c r="A859" i="25"/>
  <c r="A858" i="25"/>
  <c r="A857" i="25"/>
  <c r="A856" i="25"/>
  <c r="A855" i="25"/>
  <c r="A854" i="25"/>
  <c r="A853" i="25"/>
  <c r="A852" i="25"/>
  <c r="A851" i="25"/>
  <c r="A850" i="25"/>
  <c r="A849" i="25"/>
  <c r="A848" i="25"/>
  <c r="A847" i="25"/>
  <c r="A846" i="25"/>
  <c r="A845" i="25"/>
  <c r="A844" i="25"/>
  <c r="A843" i="25"/>
  <c r="A842" i="25"/>
  <c r="A841" i="25"/>
  <c r="A840" i="25"/>
  <c r="A839" i="25"/>
  <c r="A838" i="25"/>
  <c r="A837" i="25"/>
  <c r="A836" i="25"/>
  <c r="A835" i="25"/>
  <c r="A834" i="25"/>
  <c r="A833" i="25"/>
  <c r="A832" i="25"/>
  <c r="A831" i="25"/>
  <c r="A830" i="25"/>
  <c r="A829" i="25"/>
  <c r="A828" i="25"/>
  <c r="A827" i="25"/>
  <c r="A826" i="25"/>
  <c r="A825" i="25"/>
  <c r="A824" i="25"/>
  <c r="A823" i="25"/>
  <c r="A822" i="25"/>
  <c r="A821" i="25"/>
  <c r="A820" i="25"/>
  <c r="A819" i="25"/>
  <c r="A818" i="25"/>
  <c r="A817" i="25"/>
  <c r="A816" i="25"/>
  <c r="A815" i="25"/>
  <c r="A814" i="25"/>
  <c r="A813" i="25"/>
  <c r="A812" i="25"/>
  <c r="A811" i="25"/>
  <c r="A810" i="25"/>
  <c r="A809" i="25"/>
  <c r="A808" i="25"/>
  <c r="A807" i="25"/>
  <c r="A806" i="25"/>
  <c r="A805" i="25"/>
  <c r="A804" i="25"/>
  <c r="A803" i="25"/>
  <c r="A802" i="25"/>
  <c r="A801" i="25"/>
  <c r="A800" i="25"/>
  <c r="A799" i="25"/>
  <c r="A798" i="25"/>
  <c r="A797" i="25"/>
  <c r="A796" i="25"/>
  <c r="A795" i="25"/>
  <c r="A794" i="25"/>
  <c r="A793" i="25"/>
  <c r="A792" i="25"/>
  <c r="A791" i="25"/>
  <c r="A790" i="25"/>
  <c r="A789" i="25"/>
  <c r="A788" i="25"/>
  <c r="A787" i="25"/>
  <c r="A786" i="25"/>
  <c r="A785" i="25"/>
  <c r="A784" i="25"/>
  <c r="A783" i="25"/>
  <c r="A782" i="25"/>
  <c r="A781" i="25"/>
  <c r="A780" i="25"/>
  <c r="A779" i="25"/>
  <c r="A778" i="25"/>
  <c r="A777" i="25"/>
  <c r="A776" i="25"/>
  <c r="A775" i="25"/>
  <c r="A774" i="25"/>
  <c r="A773" i="25"/>
  <c r="A772" i="25"/>
  <c r="A771" i="25"/>
  <c r="A770" i="25"/>
  <c r="A769" i="25"/>
  <c r="A768" i="25"/>
  <c r="A767" i="25"/>
  <c r="A766" i="25"/>
  <c r="A765" i="25"/>
  <c r="A764" i="25"/>
  <c r="A763" i="25"/>
  <c r="A762" i="25"/>
  <c r="A761" i="25"/>
  <c r="A760" i="25"/>
  <c r="A759" i="25"/>
  <c r="A758" i="25"/>
  <c r="A757" i="25"/>
  <c r="A756" i="25"/>
  <c r="A755" i="25"/>
  <c r="A754" i="25"/>
  <c r="A753" i="25"/>
  <c r="A752" i="25"/>
  <c r="A751" i="25"/>
  <c r="A750" i="25"/>
  <c r="A749" i="25"/>
  <c r="A748" i="25"/>
  <c r="A747" i="25"/>
  <c r="A746" i="25"/>
  <c r="A745" i="25"/>
  <c r="A744" i="25"/>
  <c r="A743" i="25"/>
  <c r="A742" i="25"/>
  <c r="A741" i="25"/>
  <c r="A740" i="25"/>
  <c r="A739" i="25"/>
  <c r="A738" i="25"/>
  <c r="A737" i="25"/>
  <c r="A736" i="25"/>
  <c r="A735" i="25"/>
  <c r="A734" i="25"/>
  <c r="A733" i="25"/>
  <c r="A732" i="25"/>
  <c r="A731" i="25"/>
  <c r="A730" i="25"/>
  <c r="A729" i="25"/>
  <c r="A728" i="25"/>
  <c r="A727" i="25"/>
  <c r="A726" i="25"/>
  <c r="A725" i="25"/>
  <c r="A724" i="25"/>
  <c r="A723" i="25"/>
  <c r="A722" i="25"/>
  <c r="A721" i="25"/>
  <c r="A720" i="25"/>
  <c r="A719" i="25"/>
  <c r="A718" i="25"/>
  <c r="A717" i="25"/>
  <c r="A716" i="25"/>
  <c r="A715" i="25"/>
  <c r="A714" i="25"/>
  <c r="A713" i="25"/>
  <c r="A712" i="25"/>
  <c r="A711" i="25"/>
  <c r="A710" i="25"/>
  <c r="A709" i="25"/>
  <c r="A708" i="25"/>
  <c r="A707" i="25"/>
  <c r="A706" i="25"/>
  <c r="A705" i="25"/>
  <c r="A704" i="25"/>
  <c r="A703" i="25"/>
  <c r="A702" i="25"/>
  <c r="A701" i="25"/>
  <c r="A700" i="25"/>
  <c r="A699" i="25"/>
  <c r="A698" i="25"/>
  <c r="A697" i="25"/>
  <c r="A696" i="25"/>
  <c r="A695" i="25"/>
  <c r="A694" i="25"/>
  <c r="A693" i="25"/>
  <c r="A692" i="25"/>
  <c r="A691" i="25"/>
  <c r="A690" i="25"/>
  <c r="A689" i="25"/>
  <c r="A688" i="25"/>
  <c r="A687" i="25"/>
  <c r="A686" i="25"/>
  <c r="A685" i="25"/>
  <c r="A684" i="25"/>
  <c r="A683" i="25"/>
  <c r="A682" i="25"/>
  <c r="A681" i="25"/>
  <c r="A680" i="25"/>
  <c r="A679" i="25"/>
  <c r="A678" i="25"/>
  <c r="A677" i="25"/>
  <c r="A676" i="25"/>
  <c r="A675" i="25"/>
  <c r="A674" i="25"/>
  <c r="A673" i="25"/>
  <c r="A672" i="25"/>
  <c r="A671" i="25"/>
  <c r="A670" i="25"/>
  <c r="A669" i="25"/>
  <c r="A668" i="25"/>
  <c r="A667" i="25"/>
  <c r="A666" i="25"/>
  <c r="A665" i="25"/>
  <c r="A664" i="25"/>
  <c r="A663" i="25"/>
  <c r="A662" i="25"/>
  <c r="A661" i="25"/>
  <c r="A660" i="25"/>
  <c r="A659" i="25"/>
  <c r="A658" i="25"/>
  <c r="A657" i="25"/>
  <c r="A656" i="25"/>
  <c r="A655" i="25"/>
  <c r="A654" i="25"/>
  <c r="A653" i="25"/>
  <c r="A652" i="25"/>
  <c r="A651" i="25"/>
  <c r="A650" i="25"/>
  <c r="A649" i="25"/>
  <c r="A648" i="25"/>
  <c r="A647" i="25"/>
  <c r="A646" i="25"/>
  <c r="A645" i="25"/>
  <c r="A644" i="25"/>
  <c r="A643" i="25"/>
  <c r="A642" i="25"/>
  <c r="A641" i="25"/>
  <c r="A640" i="25"/>
  <c r="A639" i="25"/>
  <c r="A638" i="25"/>
  <c r="A637" i="25"/>
  <c r="A636" i="25"/>
  <c r="A635" i="25"/>
  <c r="A634" i="25"/>
  <c r="A633" i="25"/>
  <c r="A632" i="25"/>
  <c r="A631" i="25"/>
  <c r="A630" i="25"/>
  <c r="A629" i="25"/>
  <c r="A628" i="25"/>
  <c r="A627" i="25"/>
  <c r="A626" i="25"/>
  <c r="A625" i="25"/>
  <c r="A624" i="25"/>
  <c r="A623" i="25"/>
  <c r="A622" i="25"/>
  <c r="A621" i="25"/>
  <c r="A620" i="25"/>
  <c r="A619" i="25"/>
  <c r="A618" i="25"/>
  <c r="A617" i="25"/>
  <c r="A616" i="25"/>
  <c r="A615" i="25"/>
  <c r="A614" i="25"/>
  <c r="A613" i="25"/>
  <c r="A612" i="25"/>
  <c r="A611" i="25"/>
  <c r="A610" i="25"/>
  <c r="A609" i="25"/>
  <c r="A608" i="25"/>
  <c r="A607" i="25"/>
  <c r="A606" i="25"/>
  <c r="A605" i="25"/>
  <c r="A604" i="25"/>
  <c r="A603" i="25"/>
  <c r="A602" i="25"/>
  <c r="A601" i="25"/>
  <c r="A600" i="25"/>
  <c r="A599" i="25"/>
  <c r="A598" i="25"/>
  <c r="A597" i="25"/>
  <c r="A596" i="25"/>
  <c r="A595" i="25"/>
  <c r="A594" i="25"/>
  <c r="A593" i="25"/>
  <c r="A592" i="25"/>
  <c r="A591" i="25"/>
  <c r="A590" i="25"/>
  <c r="A589" i="25"/>
  <c r="A588" i="25"/>
  <c r="A587" i="25"/>
  <c r="A586" i="25"/>
  <c r="A585" i="25"/>
  <c r="A584" i="25"/>
  <c r="A583" i="25"/>
  <c r="A582" i="25"/>
  <c r="A581" i="25"/>
  <c r="A580" i="25"/>
  <c r="A579" i="25"/>
  <c r="A578" i="25"/>
  <c r="A577" i="25"/>
  <c r="A576" i="25"/>
  <c r="A575" i="25"/>
  <c r="A574" i="25"/>
  <c r="A573" i="25"/>
  <c r="A572" i="25"/>
  <c r="A571" i="25"/>
  <c r="A570" i="25"/>
  <c r="A569" i="25"/>
  <c r="A568" i="25"/>
  <c r="A567" i="25"/>
  <c r="A566" i="25"/>
  <c r="A565" i="25"/>
  <c r="A564" i="25"/>
  <c r="A563" i="25"/>
  <c r="A562" i="25"/>
  <c r="A561" i="25"/>
  <c r="A560" i="25"/>
  <c r="A559" i="25"/>
  <c r="A558" i="25"/>
  <c r="A557" i="25"/>
  <c r="A556" i="25"/>
  <c r="A555" i="25"/>
  <c r="A554" i="25"/>
  <c r="A553" i="25"/>
  <c r="A552" i="25"/>
  <c r="A551" i="25"/>
  <c r="A550" i="25"/>
  <c r="A549" i="25"/>
  <c r="A548" i="25"/>
  <c r="A547" i="25"/>
  <c r="A546" i="25"/>
  <c r="A545" i="25"/>
  <c r="A544" i="25"/>
  <c r="A543" i="25"/>
  <c r="A542" i="25"/>
  <c r="A541" i="25"/>
  <c r="A540" i="25"/>
  <c r="A539" i="25"/>
  <c r="A538" i="25"/>
  <c r="A537" i="25"/>
  <c r="A536" i="25"/>
  <c r="A535" i="25"/>
  <c r="A534" i="25"/>
  <c r="A533" i="25"/>
  <c r="A532" i="25"/>
  <c r="A531" i="25"/>
  <c r="A530" i="25"/>
  <c r="A529" i="25"/>
  <c r="A528" i="25"/>
  <c r="A527" i="25"/>
  <c r="A526" i="25"/>
  <c r="A525" i="25"/>
  <c r="A524" i="25"/>
  <c r="A523" i="25"/>
  <c r="A522" i="25"/>
  <c r="A521" i="25"/>
  <c r="A520" i="25"/>
  <c r="A519" i="25"/>
  <c r="A518" i="25"/>
  <c r="A517" i="25"/>
  <c r="A516" i="25"/>
  <c r="A515" i="25"/>
  <c r="A514" i="25"/>
  <c r="A513" i="25"/>
  <c r="A512" i="25"/>
  <c r="A511" i="25"/>
  <c r="A510" i="25"/>
  <c r="A509" i="25"/>
  <c r="A508" i="25"/>
  <c r="A507" i="25"/>
  <c r="A506" i="25"/>
  <c r="A505" i="25"/>
  <c r="A504" i="25"/>
  <c r="A503" i="25"/>
  <c r="A502" i="25"/>
  <c r="A501" i="25"/>
  <c r="A500" i="25"/>
  <c r="A499" i="25"/>
  <c r="A498" i="25"/>
  <c r="A497" i="25"/>
  <c r="A496" i="25"/>
  <c r="A495" i="25"/>
  <c r="A494" i="25"/>
  <c r="A493" i="25"/>
  <c r="A492" i="25"/>
  <c r="A491" i="25"/>
  <c r="A490" i="25"/>
  <c r="A489" i="25"/>
  <c r="A488" i="25"/>
  <c r="A487" i="25"/>
  <c r="A486" i="25"/>
  <c r="A485" i="25"/>
  <c r="A484" i="25"/>
  <c r="A483" i="25"/>
  <c r="A482" i="25"/>
  <c r="A481" i="25"/>
  <c r="A480" i="25"/>
  <c r="A479" i="25"/>
  <c r="A478" i="25"/>
  <c r="A477" i="25"/>
  <c r="A476" i="25"/>
  <c r="A475" i="25"/>
  <c r="A474" i="25"/>
  <c r="A473" i="25"/>
  <c r="A472" i="25"/>
  <c r="A471" i="25"/>
  <c r="A470" i="25"/>
  <c r="A469" i="25"/>
  <c r="A468" i="25"/>
  <c r="A467" i="25"/>
  <c r="A466" i="25"/>
  <c r="A465" i="25"/>
  <c r="A464" i="25"/>
  <c r="A463" i="25"/>
  <c r="A462" i="25"/>
  <c r="A461" i="25"/>
  <c r="A460" i="25"/>
  <c r="A459" i="25"/>
  <c r="A458" i="25"/>
  <c r="A457" i="25"/>
  <c r="A456" i="25"/>
  <c r="A455" i="25"/>
  <c r="A454" i="25"/>
  <c r="A453" i="25"/>
  <c r="A452" i="25"/>
  <c r="A451" i="25"/>
  <c r="A450" i="25"/>
  <c r="A449" i="25"/>
  <c r="A448" i="25"/>
  <c r="A447" i="25"/>
  <c r="A446" i="25"/>
  <c r="A445" i="25"/>
  <c r="A444" i="25"/>
  <c r="A443" i="25"/>
  <c r="A442" i="25"/>
  <c r="A441" i="25"/>
  <c r="A440" i="25"/>
  <c r="A439" i="25"/>
  <c r="A438" i="25"/>
  <c r="A437" i="25"/>
  <c r="A436" i="25"/>
  <c r="A435" i="25"/>
  <c r="A434" i="25"/>
  <c r="A433" i="25"/>
  <c r="A432" i="25"/>
  <c r="A431" i="25"/>
  <c r="A430" i="25"/>
  <c r="A429" i="25"/>
  <c r="A428" i="25"/>
  <c r="A427" i="25"/>
  <c r="A426" i="25"/>
  <c r="A425" i="25"/>
  <c r="A424" i="25"/>
  <c r="A423" i="25"/>
  <c r="A422" i="25"/>
  <c r="A421" i="25"/>
  <c r="A420" i="25"/>
  <c r="A419" i="25"/>
  <c r="A418" i="25"/>
  <c r="A417" i="25"/>
  <c r="A416" i="25"/>
  <c r="A415" i="25"/>
  <c r="A414" i="25"/>
  <c r="A413" i="25"/>
  <c r="A412" i="25"/>
  <c r="A411" i="25"/>
  <c r="A410" i="25"/>
  <c r="A409" i="25"/>
  <c r="A408" i="25"/>
  <c r="A407" i="25"/>
  <c r="A406" i="25"/>
  <c r="A405" i="25"/>
  <c r="A404" i="25"/>
  <c r="A403" i="25"/>
  <c r="A402" i="25"/>
  <c r="A401" i="25"/>
  <c r="A400" i="25"/>
  <c r="A399" i="25"/>
  <c r="A398" i="25"/>
  <c r="A397" i="25"/>
  <c r="A396" i="25"/>
  <c r="A395" i="25"/>
  <c r="A394" i="25"/>
  <c r="A393" i="25"/>
  <c r="A392" i="25"/>
  <c r="A391" i="25"/>
  <c r="A390" i="25"/>
  <c r="A389" i="25"/>
  <c r="A388" i="25"/>
  <c r="A387" i="25"/>
  <c r="A386" i="25"/>
  <c r="A385" i="25"/>
  <c r="A384" i="25"/>
  <c r="A383" i="25"/>
  <c r="A382" i="25"/>
  <c r="A381" i="25"/>
  <c r="A380" i="25"/>
  <c r="A379" i="25"/>
  <c r="A378" i="25"/>
  <c r="A377" i="25"/>
  <c r="A376" i="25"/>
  <c r="A375" i="25"/>
  <c r="A374" i="25"/>
  <c r="A373" i="25"/>
  <c r="A372" i="25"/>
  <c r="A371" i="25"/>
  <c r="A370" i="25"/>
  <c r="A369" i="25"/>
  <c r="A368" i="25"/>
  <c r="A367" i="25"/>
  <c r="A366" i="25"/>
  <c r="A365" i="25"/>
  <c r="A364" i="25"/>
  <c r="A363" i="25"/>
  <c r="A362" i="25"/>
  <c r="A361" i="25"/>
  <c r="A360" i="25"/>
  <c r="A359" i="25"/>
  <c r="A358" i="25"/>
  <c r="A357" i="25"/>
  <c r="A356" i="25"/>
  <c r="A355" i="25"/>
  <c r="A354" i="25"/>
  <c r="A353" i="25"/>
  <c r="A352" i="25"/>
  <c r="A351" i="25"/>
  <c r="A350" i="25"/>
  <c r="A349" i="25"/>
  <c r="A348" i="25"/>
  <c r="A347" i="25"/>
  <c r="A346" i="25"/>
  <c r="A345" i="25"/>
  <c r="A344" i="25"/>
  <c r="A343" i="25"/>
  <c r="A342" i="25"/>
  <c r="A341" i="25"/>
  <c r="A340" i="25"/>
  <c r="A339" i="25"/>
  <c r="A338" i="25"/>
  <c r="A337" i="25"/>
  <c r="A336" i="25"/>
  <c r="A335" i="25"/>
  <c r="A334" i="25"/>
  <c r="A333" i="25"/>
  <c r="A332" i="25"/>
  <c r="A331" i="25"/>
  <c r="A330" i="25"/>
  <c r="A329" i="25"/>
  <c r="A328" i="25"/>
  <c r="A327" i="25"/>
  <c r="A326" i="25"/>
  <c r="A325" i="25"/>
  <c r="A324" i="25"/>
  <c r="A323" i="25"/>
  <c r="A322" i="25"/>
  <c r="A321" i="25"/>
  <c r="A320" i="25"/>
  <c r="A319" i="25"/>
  <c r="A318" i="25"/>
  <c r="A317" i="25"/>
  <c r="A316" i="25"/>
  <c r="A315" i="25"/>
  <c r="A314" i="25"/>
  <c r="A313" i="25"/>
  <c r="A312" i="25"/>
  <c r="A311" i="25"/>
  <c r="A310" i="25"/>
  <c r="A309" i="25"/>
  <c r="A308" i="25"/>
  <c r="A307" i="25"/>
  <c r="A306" i="25"/>
  <c r="A305" i="25"/>
  <c r="A304" i="25"/>
  <c r="A303" i="25"/>
  <c r="A302" i="25"/>
  <c r="A301" i="25"/>
  <c r="A300" i="25"/>
  <c r="A299" i="25"/>
  <c r="A298" i="25"/>
  <c r="A297" i="25"/>
  <c r="A296" i="25"/>
  <c r="A295" i="25"/>
  <c r="A294" i="25"/>
  <c r="A293" i="25"/>
  <c r="A292" i="25"/>
  <c r="A291" i="25"/>
  <c r="A290" i="25"/>
  <c r="A289" i="25"/>
  <c r="A288" i="25"/>
  <c r="A287" i="25"/>
  <c r="A286" i="25"/>
  <c r="A285" i="25"/>
  <c r="A284" i="25"/>
  <c r="A283" i="25"/>
  <c r="A282" i="25"/>
  <c r="A281" i="25"/>
  <c r="A280" i="25"/>
  <c r="A279" i="25"/>
  <c r="A278" i="25"/>
  <c r="A277" i="25"/>
  <c r="A276" i="25"/>
  <c r="A275" i="25"/>
  <c r="A274" i="25"/>
  <c r="A273" i="25"/>
  <c r="A272" i="25"/>
  <c r="A271" i="25"/>
  <c r="A270" i="25"/>
  <c r="A269" i="25"/>
  <c r="A268" i="25"/>
  <c r="A267" i="25"/>
  <c r="A266" i="25"/>
  <c r="A265" i="25"/>
  <c r="A264" i="25"/>
  <c r="A263" i="25"/>
  <c r="A262" i="25"/>
  <c r="A261" i="25"/>
  <c r="A260" i="25"/>
  <c r="A259" i="25"/>
  <c r="A258" i="25"/>
  <c r="A257" i="25"/>
  <c r="A256" i="25"/>
  <c r="A255" i="25"/>
  <c r="A254" i="25"/>
  <c r="A253" i="25"/>
  <c r="A252" i="25"/>
  <c r="A251" i="25"/>
  <c r="A250" i="25"/>
  <c r="A249" i="25"/>
  <c r="A248" i="25"/>
  <c r="A247" i="25"/>
  <c r="A246" i="25"/>
  <c r="A245" i="25"/>
  <c r="A244" i="25"/>
  <c r="A243" i="25"/>
  <c r="A242" i="25"/>
  <c r="A241" i="25"/>
  <c r="A240" i="25"/>
  <c r="A239" i="25"/>
  <c r="A238" i="25"/>
  <c r="A237" i="25"/>
  <c r="A236" i="25"/>
  <c r="A235" i="25"/>
  <c r="A234" i="25"/>
  <c r="A233" i="25"/>
  <c r="A232" i="25"/>
  <c r="A231" i="25"/>
  <c r="A230" i="25"/>
  <c r="A229" i="25"/>
  <c r="A228" i="25"/>
  <c r="A227" i="25"/>
  <c r="A226" i="25"/>
  <c r="A225" i="25"/>
  <c r="A224" i="25"/>
  <c r="A223" i="25"/>
  <c r="A222" i="25"/>
  <c r="A221" i="25"/>
  <c r="A220" i="25"/>
  <c r="A219" i="25"/>
  <c r="A218" i="25"/>
  <c r="A217" i="25"/>
  <c r="A216" i="25"/>
  <c r="A215" i="25"/>
  <c r="A214" i="25"/>
  <c r="A213" i="25"/>
  <c r="A212" i="25"/>
  <c r="A211" i="25"/>
  <c r="A210" i="25"/>
  <c r="A209" i="25"/>
  <c r="A208" i="25"/>
  <c r="A207" i="25"/>
  <c r="A206" i="25"/>
  <c r="A205" i="25"/>
  <c r="A204" i="25"/>
  <c r="A203" i="25"/>
  <c r="A202" i="25"/>
  <c r="A201" i="25"/>
  <c r="A200" i="25"/>
  <c r="A199" i="25"/>
  <c r="A198" i="25"/>
  <c r="A197" i="25"/>
  <c r="A196" i="25"/>
  <c r="A195" i="25"/>
  <c r="A194" i="25"/>
  <c r="A193" i="25"/>
  <c r="A192" i="25"/>
  <c r="A191" i="25"/>
  <c r="A190" i="25"/>
  <c r="A189" i="25"/>
  <c r="A188" i="25"/>
  <c r="A187" i="25"/>
  <c r="A186" i="25"/>
  <c r="A185" i="25"/>
  <c r="A184" i="25"/>
  <c r="A183" i="25"/>
  <c r="A182" i="25"/>
  <c r="A181" i="25"/>
  <c r="A180" i="25"/>
  <c r="A179" i="25"/>
  <c r="A178" i="25"/>
  <c r="A177" i="25"/>
  <c r="A176" i="25"/>
  <c r="A175" i="25"/>
  <c r="A174" i="25"/>
  <c r="A173" i="25"/>
  <c r="A172" i="25"/>
  <c r="A171" i="25"/>
  <c r="A170" i="25"/>
  <c r="A169" i="25"/>
  <c r="A168" i="25"/>
  <c r="A167" i="25"/>
  <c r="A166" i="25"/>
  <c r="A165" i="25"/>
  <c r="A164" i="25"/>
  <c r="A163" i="25"/>
  <c r="A162" i="25"/>
  <c r="A161" i="25"/>
  <c r="A160" i="25"/>
  <c r="A159" i="25"/>
  <c r="A158" i="25"/>
  <c r="A157" i="25"/>
  <c r="A156" i="25"/>
  <c r="A155" i="25"/>
  <c r="A154" i="25"/>
  <c r="A153" i="25"/>
  <c r="A152" i="25"/>
  <c r="A151" i="25"/>
  <c r="A150" i="25"/>
  <c r="A149" i="25"/>
  <c r="A148" i="25"/>
  <c r="A147" i="25"/>
  <c r="A146" i="25"/>
  <c r="A145" i="25"/>
  <c r="A144" i="25"/>
  <c r="A143" i="25"/>
  <c r="A142" i="25"/>
  <c r="A141" i="25"/>
  <c r="A140" i="25"/>
  <c r="A139" i="25"/>
  <c r="A138" i="25"/>
  <c r="A137" i="25"/>
  <c r="A136" i="25"/>
  <c r="A135" i="25"/>
  <c r="A134" i="25"/>
  <c r="A133" i="25"/>
  <c r="A132" i="25"/>
  <c r="A131" i="25"/>
  <c r="A130" i="25"/>
  <c r="A129" i="25"/>
  <c r="A128" i="25"/>
  <c r="A127" i="25"/>
  <c r="A126" i="25"/>
  <c r="A125" i="25"/>
  <c r="A124" i="25"/>
  <c r="A123" i="25"/>
  <c r="A122" i="25"/>
  <c r="A121" i="25"/>
  <c r="A120" i="25"/>
  <c r="A119" i="25"/>
  <c r="A118" i="25"/>
  <c r="A117" i="25"/>
  <c r="A116" i="25"/>
  <c r="A115" i="25"/>
  <c r="A114" i="25"/>
  <c r="A113" i="25"/>
  <c r="A112" i="25"/>
  <c r="A111" i="25"/>
  <c r="A110" i="25"/>
  <c r="A109" i="25"/>
  <c r="A108" i="25"/>
  <c r="A107" i="25"/>
  <c r="A106" i="25"/>
  <c r="A105" i="25"/>
  <c r="A104" i="25"/>
  <c r="A103" i="25"/>
  <c r="A102" i="25"/>
  <c r="A101" i="25"/>
  <c r="A100" i="25"/>
  <c r="A99" i="25"/>
  <c r="A98" i="25"/>
  <c r="A97" i="25"/>
  <c r="A96" i="25"/>
  <c r="A95" i="25"/>
  <c r="A94" i="25"/>
  <c r="A93" i="25"/>
  <c r="A92" i="25"/>
  <c r="A91" i="25"/>
  <c r="A90" i="25"/>
  <c r="A89" i="25"/>
  <c r="A88" i="25"/>
  <c r="A87" i="25"/>
  <c r="A86" i="25"/>
  <c r="A85" i="25"/>
  <c r="A84" i="25"/>
  <c r="A83" i="25"/>
  <c r="A82" i="25"/>
  <c r="A81" i="25"/>
  <c r="A80" i="25"/>
  <c r="A79" i="25"/>
  <c r="A78" i="25"/>
  <c r="A77" i="25"/>
  <c r="A76" i="25"/>
  <c r="A75" i="25"/>
  <c r="A74" i="25"/>
  <c r="A73" i="25"/>
  <c r="A72" i="25"/>
  <c r="A71" i="25"/>
  <c r="A70" i="25"/>
  <c r="A69" i="25"/>
  <c r="A68" i="25"/>
  <c r="A67" i="25"/>
  <c r="A66" i="25"/>
  <c r="A65" i="25"/>
  <c r="A64" i="25"/>
  <c r="A63" i="25"/>
  <c r="A62" i="25"/>
  <c r="A61" i="25"/>
  <c r="A60" i="25"/>
  <c r="A59" i="25"/>
  <c r="A58" i="25"/>
  <c r="A57"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A18" i="25"/>
  <c r="A17" i="25"/>
  <c r="A16" i="25"/>
  <c r="A15" i="25"/>
  <c r="A14" i="25"/>
  <c r="A13" i="25"/>
  <c r="A12" i="25"/>
  <c r="A11" i="25"/>
  <c r="A10" i="25"/>
  <c r="A9" i="25"/>
  <c r="A8" i="25"/>
  <c r="A7" i="25"/>
  <c r="A6" i="25"/>
  <c r="A5" i="25"/>
  <c r="A4" i="25"/>
  <c r="A3" i="25"/>
  <c r="A2" i="25"/>
  <c r="A1339" i="22"/>
  <c r="A1338" i="22"/>
  <c r="A1337" i="22"/>
  <c r="A1336" i="22"/>
  <c r="A1335" i="22"/>
  <c r="A1334" i="22"/>
  <c r="A1333" i="22"/>
  <c r="A1332" i="22"/>
  <c r="A1331" i="22"/>
  <c r="A1330" i="22"/>
  <c r="A1329" i="22"/>
  <c r="A1328" i="22"/>
  <c r="A1327" i="22"/>
  <c r="A1326" i="22"/>
  <c r="A1325" i="22"/>
  <c r="A1324" i="22"/>
  <c r="A1323" i="22"/>
  <c r="A1322" i="22"/>
  <c r="A1321" i="22"/>
  <c r="A1320" i="22"/>
  <c r="A1319" i="22"/>
  <c r="A1318" i="22"/>
  <c r="A1317" i="22"/>
  <c r="A1316" i="22"/>
  <c r="A1315" i="22"/>
  <c r="A1314" i="22"/>
  <c r="A1313" i="22"/>
  <c r="A1312" i="22"/>
  <c r="A1311" i="22"/>
  <c r="A1310" i="22"/>
  <c r="A1309" i="22"/>
  <c r="A1308" i="22"/>
  <c r="A1307" i="22"/>
  <c r="A1306" i="22"/>
  <c r="A1305" i="22"/>
  <c r="A1304" i="22"/>
  <c r="A1303" i="22"/>
  <c r="A1302" i="22"/>
  <c r="A1301" i="22"/>
  <c r="A1300" i="22"/>
  <c r="A1299" i="22"/>
  <c r="A1298" i="22"/>
  <c r="A1297" i="22"/>
  <c r="A1296" i="22"/>
  <c r="A1295" i="22"/>
  <c r="A1294" i="22"/>
  <c r="A1293" i="22"/>
  <c r="A1292" i="22"/>
  <c r="A1291" i="22"/>
  <c r="A1290" i="22"/>
  <c r="A1289" i="22"/>
  <c r="A1288" i="22"/>
  <c r="A1287" i="22"/>
  <c r="A1286" i="22"/>
  <c r="A1285" i="22"/>
  <c r="A1284" i="22"/>
  <c r="A1283" i="22"/>
  <c r="A1282" i="22"/>
  <c r="A1281" i="22"/>
  <c r="A1280" i="22"/>
  <c r="A1279" i="22"/>
  <c r="A1278" i="22"/>
  <c r="A1277" i="22"/>
  <c r="A1276" i="22"/>
  <c r="A1275" i="22"/>
  <c r="A1274" i="22"/>
  <c r="A1273" i="22"/>
  <c r="A1272" i="22"/>
  <c r="A1271" i="22"/>
  <c r="A1270" i="22"/>
  <c r="A1269" i="22"/>
  <c r="A1268" i="22"/>
  <c r="A1267" i="22"/>
  <c r="A1266" i="22"/>
  <c r="A1265" i="22"/>
  <c r="A1264" i="22"/>
  <c r="A1263" i="22"/>
  <c r="A1262" i="22"/>
  <c r="A1261" i="22"/>
  <c r="A1260" i="22"/>
  <c r="A1259" i="22"/>
  <c r="A1258" i="22"/>
  <c r="A1257" i="22"/>
  <c r="A1256" i="22"/>
  <c r="A1255" i="22"/>
  <c r="A1254" i="22"/>
  <c r="A1253" i="22"/>
  <c r="A1252" i="22"/>
  <c r="A1251" i="22"/>
  <c r="A1250" i="22"/>
  <c r="A1249" i="22"/>
  <c r="A1248" i="22"/>
  <c r="A1247" i="22"/>
  <c r="A1246" i="22"/>
  <c r="A1245" i="22"/>
  <c r="A1244" i="22"/>
  <c r="A1243" i="22"/>
  <c r="A1242" i="22"/>
  <c r="A1241" i="22"/>
  <c r="A1240" i="22"/>
  <c r="A1239" i="22"/>
  <c r="A1238" i="22"/>
  <c r="A1237" i="22"/>
  <c r="A1236" i="22"/>
  <c r="A1235" i="22"/>
  <c r="A1234" i="22"/>
  <c r="A1233" i="22"/>
  <c r="A1232" i="22"/>
  <c r="A1231" i="22"/>
  <c r="A1230" i="22"/>
  <c r="A1229" i="22"/>
  <c r="A1228" i="22"/>
  <c r="A1227" i="22"/>
  <c r="A1226" i="22"/>
  <c r="A1225" i="22"/>
  <c r="A1224" i="22"/>
  <c r="A1223" i="22"/>
  <c r="A1222" i="22"/>
  <c r="A1221" i="22"/>
  <c r="A1220" i="22"/>
  <c r="A1219" i="22"/>
  <c r="A1218" i="22"/>
  <c r="A1217" i="22"/>
  <c r="A1216" i="22"/>
  <c r="A1215" i="22"/>
  <c r="A1214" i="22"/>
  <c r="A1213" i="22"/>
  <c r="A1212" i="22"/>
  <c r="A1211" i="22"/>
  <c r="A1210" i="22"/>
  <c r="A1209" i="22"/>
  <c r="A1208" i="22"/>
  <c r="A1207" i="22"/>
  <c r="A1206" i="22"/>
  <c r="A1205" i="22"/>
  <c r="A1204" i="22"/>
  <c r="A1203" i="22"/>
  <c r="A1202" i="22"/>
  <c r="A1201" i="22"/>
  <c r="A1200" i="22"/>
  <c r="A1199" i="22"/>
  <c r="A1198" i="22"/>
  <c r="A1197" i="22"/>
  <c r="A1196" i="22"/>
  <c r="A1195" i="22"/>
  <c r="A1194" i="22"/>
  <c r="A1193" i="22"/>
  <c r="A1192" i="22"/>
  <c r="A1191" i="22"/>
  <c r="A1190" i="22"/>
  <c r="A1189" i="22"/>
  <c r="A1188" i="22"/>
  <c r="A1187" i="22"/>
  <c r="A1186" i="22"/>
  <c r="A1185" i="22"/>
  <c r="A1184" i="22"/>
  <c r="A1183" i="22"/>
  <c r="A1182" i="22"/>
  <c r="A1181" i="22"/>
  <c r="A1180" i="22"/>
  <c r="A1179" i="22"/>
  <c r="A1178" i="22"/>
  <c r="A1177" i="22"/>
  <c r="A1176" i="22"/>
  <c r="A1175" i="22"/>
  <c r="A1174" i="22"/>
  <c r="A1173" i="22"/>
  <c r="A1172" i="22"/>
  <c r="A1171" i="22"/>
  <c r="A1170" i="22"/>
  <c r="A1169" i="22"/>
  <c r="A1168" i="22"/>
  <c r="A1167" i="22"/>
  <c r="A1166" i="22"/>
  <c r="A1165" i="22"/>
  <c r="A1164" i="22"/>
  <c r="A1163" i="22"/>
  <c r="A1162" i="22"/>
  <c r="A1161" i="22"/>
  <c r="A1160" i="22"/>
  <c r="A1159" i="22"/>
  <c r="A1158" i="22"/>
  <c r="A1157" i="22"/>
  <c r="A1156" i="22"/>
  <c r="A1155" i="22"/>
  <c r="A1154" i="22"/>
  <c r="A1153" i="22"/>
  <c r="A1152" i="22"/>
  <c r="A1151" i="22"/>
  <c r="A1150" i="22"/>
  <c r="A1149" i="22"/>
  <c r="A1148" i="22"/>
  <c r="A1147" i="22"/>
  <c r="A1146" i="22"/>
  <c r="A1145" i="22"/>
  <c r="A1144" i="22"/>
  <c r="A1143" i="22"/>
  <c r="A1142" i="22"/>
  <c r="A1141" i="22"/>
  <c r="A1140" i="22"/>
  <c r="A1139" i="22"/>
  <c r="A1138" i="22"/>
  <c r="A1137" i="22"/>
  <c r="A1136" i="22"/>
  <c r="A1135" i="22"/>
  <c r="A1134" i="22"/>
  <c r="A1133" i="22"/>
  <c r="A1132" i="22"/>
  <c r="A1131" i="22"/>
  <c r="A1130" i="22"/>
  <c r="A1129" i="22"/>
  <c r="A1128" i="22"/>
  <c r="A1127" i="22"/>
  <c r="A1126" i="22"/>
  <c r="A1125" i="22"/>
  <c r="A1124" i="22"/>
  <c r="A1123" i="22"/>
  <c r="A1122" i="22"/>
  <c r="A1121" i="22"/>
  <c r="A1120" i="22"/>
  <c r="A1119" i="22"/>
  <c r="A1118" i="22"/>
  <c r="A1117" i="22"/>
  <c r="A1116" i="22"/>
  <c r="A1115" i="22"/>
  <c r="A1114" i="22"/>
  <c r="A1113" i="22"/>
  <c r="A1112" i="22"/>
  <c r="A1111" i="22"/>
  <c r="A1110" i="22"/>
  <c r="A1109" i="22"/>
  <c r="A1108" i="22"/>
  <c r="A1107" i="22"/>
  <c r="A1106" i="22"/>
  <c r="A1105" i="22"/>
  <c r="A1104" i="22"/>
  <c r="A1103" i="22"/>
  <c r="A1102" i="22"/>
  <c r="A1101" i="22"/>
  <c r="A1100" i="22"/>
  <c r="A1099" i="22"/>
  <c r="A1098" i="22"/>
  <c r="A1097" i="22"/>
  <c r="A1096" i="22"/>
  <c r="A1095" i="22"/>
  <c r="A1094" i="22"/>
  <c r="A1093" i="22"/>
  <c r="A1092" i="22"/>
  <c r="A1091" i="22"/>
  <c r="A1090" i="22"/>
  <c r="A1089" i="22"/>
  <c r="A1088" i="22"/>
  <c r="A1087" i="22"/>
  <c r="A1086" i="22"/>
  <c r="A1085" i="22"/>
  <c r="A1084" i="22"/>
  <c r="A1083" i="22"/>
  <c r="A1082" i="22"/>
  <c r="A1081" i="22"/>
  <c r="A1080" i="22"/>
  <c r="A1079" i="22"/>
  <c r="A1078" i="22"/>
  <c r="A1077" i="22"/>
  <c r="A1076" i="22"/>
  <c r="A1075" i="22"/>
  <c r="A1074" i="22"/>
  <c r="A1073" i="22"/>
  <c r="A1072" i="22"/>
  <c r="A1071" i="22"/>
  <c r="A1070" i="22"/>
  <c r="A1069" i="22"/>
  <c r="A1068" i="22"/>
  <c r="A1067" i="22"/>
  <c r="A1066" i="22"/>
  <c r="A1065" i="22"/>
  <c r="A1064" i="22"/>
  <c r="A1063" i="22"/>
  <c r="A1062" i="22"/>
  <c r="A1061" i="22"/>
  <c r="A1060" i="22"/>
  <c r="A1059" i="22"/>
  <c r="A1058" i="22"/>
  <c r="A1057" i="22"/>
  <c r="A1056" i="22"/>
  <c r="A1055" i="22"/>
  <c r="A1054" i="22"/>
  <c r="A1053" i="22"/>
  <c r="A1052" i="22"/>
  <c r="A1051" i="22"/>
  <c r="A1050" i="22"/>
  <c r="A1049" i="22"/>
  <c r="A1048" i="22"/>
  <c r="A1047" i="22"/>
  <c r="A1046" i="22"/>
  <c r="A1045" i="22"/>
  <c r="A1044" i="22"/>
  <c r="A1043" i="22"/>
  <c r="A1042" i="22"/>
  <c r="A1041" i="22"/>
  <c r="A1040" i="22"/>
  <c r="A1039" i="22"/>
  <c r="A1038" i="22"/>
  <c r="A1037" i="22"/>
  <c r="A1036" i="22"/>
  <c r="A1035" i="22"/>
  <c r="A1034" i="22"/>
  <c r="A1033" i="22"/>
  <c r="A1032" i="22"/>
  <c r="A1031" i="22"/>
  <c r="A1030" i="22"/>
  <c r="A1029" i="22"/>
  <c r="A1028" i="22"/>
  <c r="A1027" i="22"/>
  <c r="A1026" i="22"/>
  <c r="A1025" i="22"/>
  <c r="A1024" i="22"/>
  <c r="A1023" i="22"/>
  <c r="A1022" i="22"/>
  <c r="A1021" i="22"/>
  <c r="A1020" i="22"/>
  <c r="A1019" i="22"/>
  <c r="A1018" i="22"/>
  <c r="A1017" i="22"/>
  <c r="A1016" i="22"/>
  <c r="A1015" i="22"/>
  <c r="A1014" i="22"/>
  <c r="A1013" i="22"/>
  <c r="A1012" i="22"/>
  <c r="A1011" i="22"/>
  <c r="A1010" i="22"/>
  <c r="A1009" i="22"/>
  <c r="A1008" i="22"/>
  <c r="A1007" i="22"/>
  <c r="A1006" i="22"/>
  <c r="A1005" i="22"/>
  <c r="A1004" i="22"/>
  <c r="A1003" i="22"/>
  <c r="A1002" i="22"/>
  <c r="A1001" i="22"/>
  <c r="A1000" i="22"/>
  <c r="A999" i="22"/>
  <c r="A998" i="22"/>
  <c r="A997" i="22"/>
  <c r="A996" i="22"/>
  <c r="A995" i="22"/>
  <c r="A994" i="22"/>
  <c r="A993" i="22"/>
  <c r="A992" i="22"/>
  <c r="A991" i="22"/>
  <c r="A990" i="22"/>
  <c r="A989" i="22"/>
  <c r="A988" i="22"/>
  <c r="A987" i="22"/>
  <c r="A986" i="22"/>
  <c r="A985" i="22"/>
  <c r="A984" i="22"/>
  <c r="A983" i="22"/>
  <c r="A982" i="22"/>
  <c r="A981" i="22"/>
  <c r="A980" i="22"/>
  <c r="A979" i="22"/>
  <c r="A978" i="22"/>
  <c r="A977" i="22"/>
  <c r="A976" i="22"/>
  <c r="A975" i="22"/>
  <c r="A974" i="22"/>
  <c r="A973" i="22"/>
  <c r="A972" i="22"/>
  <c r="A971" i="22"/>
  <c r="A970" i="22"/>
  <c r="A969" i="22"/>
  <c r="A968" i="22"/>
  <c r="A967" i="22"/>
  <c r="A966" i="22"/>
  <c r="A965" i="22"/>
  <c r="A964" i="22"/>
  <c r="A963" i="22"/>
  <c r="A962" i="22"/>
  <c r="A961" i="22"/>
  <c r="A960" i="22"/>
  <c r="A959" i="22"/>
  <c r="A958" i="22"/>
  <c r="A957" i="22"/>
  <c r="A956" i="22"/>
  <c r="A955" i="22"/>
  <c r="A954" i="22"/>
  <c r="A953" i="22"/>
  <c r="A952" i="22"/>
  <c r="A951" i="22"/>
  <c r="A950" i="22"/>
  <c r="A949" i="22"/>
  <c r="A948" i="22"/>
  <c r="A947" i="22"/>
  <c r="A946" i="22"/>
  <c r="A945" i="22"/>
  <c r="A944" i="22"/>
  <c r="A943" i="22"/>
  <c r="A942" i="22"/>
  <c r="A941" i="22"/>
  <c r="A940" i="22"/>
  <c r="A939" i="22"/>
  <c r="A938" i="22"/>
  <c r="A937" i="22"/>
  <c r="A936" i="22"/>
  <c r="A935" i="22"/>
  <c r="A934" i="22"/>
  <c r="A933" i="22"/>
  <c r="A932" i="22"/>
  <c r="A931" i="22"/>
  <c r="A930" i="22"/>
  <c r="A929" i="22"/>
  <c r="A928" i="22"/>
  <c r="A927" i="22"/>
  <c r="A926" i="22"/>
  <c r="A925" i="22"/>
  <c r="A924" i="22"/>
  <c r="A923" i="22"/>
  <c r="A922" i="22"/>
  <c r="A921" i="22"/>
  <c r="A920" i="22"/>
  <c r="A919" i="22"/>
  <c r="A918" i="22"/>
  <c r="A917" i="22"/>
  <c r="A916" i="22"/>
  <c r="A915" i="22"/>
  <c r="A914" i="22"/>
  <c r="A913" i="22"/>
  <c r="A912" i="22"/>
  <c r="A911" i="22"/>
  <c r="A910" i="22"/>
  <c r="A909" i="22"/>
  <c r="A908" i="22"/>
  <c r="A907" i="22"/>
  <c r="A906" i="22"/>
  <c r="A905" i="22"/>
  <c r="A904" i="22"/>
  <c r="A903" i="22"/>
  <c r="A902" i="22"/>
  <c r="A901" i="22"/>
  <c r="A900" i="22"/>
  <c r="A899" i="22"/>
  <c r="A898" i="22"/>
  <c r="A897" i="22"/>
  <c r="A896" i="22"/>
  <c r="A895" i="22"/>
  <c r="A894" i="22"/>
  <c r="A893" i="22"/>
  <c r="A892" i="22"/>
  <c r="A891" i="22"/>
  <c r="A890" i="22"/>
  <c r="A889" i="22"/>
  <c r="A888" i="22"/>
  <c r="A887" i="22"/>
  <c r="A886" i="22"/>
  <c r="A885" i="22"/>
  <c r="A884" i="22"/>
  <c r="A883" i="22"/>
  <c r="A882" i="22"/>
  <c r="A881" i="22"/>
  <c r="A880" i="22"/>
  <c r="A879" i="22"/>
  <c r="A878" i="22"/>
  <c r="A877" i="22"/>
  <c r="A876" i="22"/>
  <c r="A875" i="22"/>
  <c r="A874" i="22"/>
  <c r="A873" i="22"/>
  <c r="A872" i="22"/>
  <c r="A871" i="22"/>
  <c r="A870" i="22"/>
  <c r="A869" i="22"/>
  <c r="A868" i="22"/>
  <c r="A867" i="22"/>
  <c r="A866" i="22"/>
  <c r="A865" i="22"/>
  <c r="A864" i="22"/>
  <c r="A863" i="22"/>
  <c r="A862" i="22"/>
  <c r="A861" i="22"/>
  <c r="A860" i="22"/>
  <c r="A859" i="22"/>
  <c r="A858" i="22"/>
  <c r="A857" i="22"/>
  <c r="A856" i="22"/>
  <c r="A855" i="22"/>
  <c r="A854" i="22"/>
  <c r="A853" i="22"/>
  <c r="A852" i="22"/>
  <c r="A851" i="22"/>
  <c r="A850" i="22"/>
  <c r="A849" i="22"/>
  <c r="A848" i="22"/>
  <c r="A847" i="22"/>
  <c r="A846" i="22"/>
  <c r="A845" i="22"/>
  <c r="A844" i="22"/>
  <c r="A843" i="22"/>
  <c r="A842" i="22"/>
  <c r="A841" i="22"/>
  <c r="A840" i="22"/>
  <c r="A839" i="22"/>
  <c r="A838" i="22"/>
  <c r="A837" i="22"/>
  <c r="A836" i="22"/>
  <c r="A835" i="22"/>
  <c r="A834" i="22"/>
  <c r="A833" i="22"/>
  <c r="A832" i="22"/>
  <c r="A831" i="22"/>
  <c r="A830" i="22"/>
  <c r="A829" i="22"/>
  <c r="A828" i="22"/>
  <c r="A827" i="22"/>
  <c r="A826" i="22"/>
  <c r="A825" i="22"/>
  <c r="A824" i="22"/>
  <c r="A823" i="22"/>
  <c r="A822" i="22"/>
  <c r="A821" i="22"/>
  <c r="A820" i="22"/>
  <c r="A819" i="22"/>
  <c r="A818" i="22"/>
  <c r="A817" i="22"/>
  <c r="A816" i="22"/>
  <c r="A815" i="22"/>
  <c r="A814" i="22"/>
  <c r="A813" i="22"/>
  <c r="A812" i="22"/>
  <c r="A811" i="22"/>
  <c r="A810" i="22"/>
  <c r="A809" i="22"/>
  <c r="A808" i="22"/>
  <c r="A807" i="22"/>
  <c r="A806" i="22"/>
  <c r="A805" i="22"/>
  <c r="A804" i="22"/>
  <c r="A803" i="22"/>
  <c r="A802" i="22"/>
  <c r="A801" i="22"/>
  <c r="A800" i="22"/>
  <c r="A799" i="22"/>
  <c r="A798" i="22"/>
  <c r="A797" i="22"/>
  <c r="A796" i="22"/>
  <c r="A795" i="22"/>
  <c r="A794" i="22"/>
  <c r="A793" i="22"/>
  <c r="A792" i="22"/>
  <c r="A791" i="22"/>
  <c r="A790" i="22"/>
  <c r="A789" i="22"/>
  <c r="A788" i="22"/>
  <c r="A787" i="22"/>
  <c r="A786" i="22"/>
  <c r="A785" i="22"/>
  <c r="A784" i="22"/>
  <c r="A783" i="22"/>
  <c r="A782" i="22"/>
  <c r="A781" i="22"/>
  <c r="A780" i="22"/>
  <c r="A779" i="22"/>
  <c r="A778" i="22"/>
  <c r="A777" i="22"/>
  <c r="A776" i="22"/>
  <c r="A775" i="22"/>
  <c r="A774" i="22"/>
  <c r="A773" i="22"/>
  <c r="A772" i="22"/>
  <c r="A771" i="22"/>
  <c r="A770" i="22"/>
  <c r="A769" i="22"/>
  <c r="A768" i="22"/>
  <c r="A767" i="22"/>
  <c r="A766" i="22"/>
  <c r="A765" i="22"/>
  <c r="A764" i="22"/>
  <c r="A763" i="22"/>
  <c r="A762" i="22"/>
  <c r="A761" i="22"/>
  <c r="A760" i="22"/>
  <c r="A759" i="22"/>
  <c r="A758" i="22"/>
  <c r="A757" i="22"/>
  <c r="A756" i="22"/>
  <c r="A755" i="22"/>
  <c r="A754" i="22"/>
  <c r="A753" i="22"/>
  <c r="A752" i="22"/>
  <c r="A751" i="22"/>
  <c r="A750" i="22"/>
  <c r="A749" i="22"/>
  <c r="A748" i="22"/>
  <c r="A747" i="22"/>
  <c r="A746" i="22"/>
  <c r="A745" i="22"/>
  <c r="A744" i="22"/>
  <c r="A743" i="22"/>
  <c r="A742" i="22"/>
  <c r="A741" i="22"/>
  <c r="A740" i="22"/>
  <c r="A739" i="22"/>
  <c r="A738" i="22"/>
  <c r="A737" i="22"/>
  <c r="A736" i="22"/>
  <c r="A735" i="22"/>
  <c r="A734" i="22"/>
  <c r="A733" i="22"/>
  <c r="A732" i="22"/>
  <c r="A731" i="22"/>
  <c r="A730" i="22"/>
  <c r="A729" i="22"/>
  <c r="A728" i="22"/>
  <c r="A727" i="22"/>
  <c r="A726" i="22"/>
  <c r="A725" i="22"/>
  <c r="A724" i="22"/>
  <c r="A723" i="22"/>
  <c r="A722" i="22"/>
  <c r="A721" i="22"/>
  <c r="A720" i="22"/>
  <c r="A719" i="22"/>
  <c r="A718" i="22"/>
  <c r="A717" i="22"/>
  <c r="A716" i="22"/>
  <c r="A715" i="22"/>
  <c r="A714" i="22"/>
  <c r="A713" i="22"/>
  <c r="A712" i="22"/>
  <c r="A711" i="22"/>
  <c r="A710" i="22"/>
  <c r="A709" i="22"/>
  <c r="A708" i="22"/>
  <c r="A707" i="22"/>
  <c r="A706" i="22"/>
  <c r="A705" i="22"/>
  <c r="A704" i="22"/>
  <c r="A703" i="22"/>
  <c r="A702" i="22"/>
  <c r="A701" i="22"/>
  <c r="A700" i="22"/>
  <c r="A699" i="22"/>
  <c r="A698" i="22"/>
  <c r="A697" i="22"/>
  <c r="A696" i="22"/>
  <c r="A695" i="22"/>
  <c r="A694" i="22"/>
  <c r="A693" i="22"/>
  <c r="A692" i="22"/>
  <c r="A691" i="22"/>
  <c r="A690" i="22"/>
  <c r="A689" i="22"/>
  <c r="A688" i="22"/>
  <c r="A687" i="22"/>
  <c r="A686" i="22"/>
  <c r="A685" i="22"/>
  <c r="A684" i="22"/>
  <c r="A683" i="22"/>
  <c r="A682" i="22"/>
  <c r="A681" i="22"/>
  <c r="A680" i="22"/>
  <c r="A679" i="22"/>
  <c r="A678" i="22"/>
  <c r="A677" i="22"/>
  <c r="A676" i="22"/>
  <c r="A675" i="22"/>
  <c r="A674" i="22"/>
  <c r="A673" i="22"/>
  <c r="A672" i="22"/>
  <c r="A671" i="22"/>
  <c r="A670" i="22"/>
  <c r="A669" i="22"/>
  <c r="A668" i="22"/>
  <c r="A667" i="22"/>
  <c r="A666" i="22"/>
  <c r="A665" i="22"/>
  <c r="A664" i="22"/>
  <c r="A663" i="22"/>
  <c r="A662" i="22"/>
  <c r="A661" i="22"/>
  <c r="A660" i="22"/>
  <c r="A659" i="22"/>
  <c r="A658" i="22"/>
  <c r="A657" i="22"/>
  <c r="A656" i="22"/>
  <c r="A655" i="22"/>
  <c r="A654" i="22"/>
  <c r="A653" i="22"/>
  <c r="A652" i="22"/>
  <c r="A651" i="22"/>
  <c r="A650" i="22"/>
  <c r="A649" i="22"/>
  <c r="A648" i="22"/>
  <c r="A647" i="22"/>
  <c r="A646" i="22"/>
  <c r="A645" i="22"/>
  <c r="A644" i="22"/>
  <c r="A643" i="22"/>
  <c r="A642" i="22"/>
  <c r="A641" i="22"/>
  <c r="A640" i="22"/>
  <c r="A639" i="22"/>
  <c r="A638" i="22"/>
  <c r="A637" i="22"/>
  <c r="A636" i="22"/>
  <c r="A635" i="22"/>
  <c r="A634" i="22"/>
  <c r="A633" i="22"/>
  <c r="A632" i="22"/>
  <c r="A631" i="22"/>
  <c r="A630" i="22"/>
  <c r="A629" i="22"/>
  <c r="A628" i="22"/>
  <c r="A627" i="22"/>
  <c r="A626" i="22"/>
  <c r="A625" i="22"/>
  <c r="A624" i="22"/>
  <c r="A623" i="22"/>
  <c r="A622" i="22"/>
  <c r="A621" i="22"/>
  <c r="A620" i="22"/>
  <c r="A619" i="22"/>
  <c r="A618" i="22"/>
  <c r="A617" i="22"/>
  <c r="A616" i="22"/>
  <c r="A615" i="22"/>
  <c r="A614" i="22"/>
  <c r="A613" i="22"/>
  <c r="A612" i="22"/>
  <c r="A611" i="22"/>
  <c r="A610" i="22"/>
  <c r="A609" i="22"/>
  <c r="A608" i="22"/>
  <c r="A607" i="22"/>
  <c r="A606" i="22"/>
  <c r="A605" i="22"/>
  <c r="A604" i="22"/>
  <c r="A603" i="22"/>
  <c r="A602" i="22"/>
  <c r="A601" i="22"/>
  <c r="A600" i="22"/>
  <c r="A599" i="22"/>
  <c r="A598" i="22"/>
  <c r="A597" i="22"/>
  <c r="A596" i="22"/>
  <c r="A595" i="22"/>
  <c r="A594" i="22"/>
  <c r="A593" i="22"/>
  <c r="A592" i="22"/>
  <c r="A591" i="22"/>
  <c r="A590" i="22"/>
  <c r="A589" i="22"/>
  <c r="A588" i="22"/>
  <c r="A587" i="22"/>
  <c r="A586" i="22"/>
  <c r="A585" i="22"/>
  <c r="A584" i="22"/>
  <c r="A583" i="22"/>
  <c r="A582" i="22"/>
  <c r="A581" i="22"/>
  <c r="A580" i="22"/>
  <c r="A579" i="22"/>
  <c r="A578" i="22"/>
  <c r="A577" i="22"/>
  <c r="A576" i="22"/>
  <c r="A575" i="22"/>
  <c r="A574" i="22"/>
  <c r="A573" i="22"/>
  <c r="A572" i="22"/>
  <c r="A571" i="22"/>
  <c r="A570" i="22"/>
  <c r="A569" i="22"/>
  <c r="A568" i="22"/>
  <c r="A567" i="22"/>
  <c r="A566" i="22"/>
  <c r="A565" i="22"/>
  <c r="A564" i="22"/>
  <c r="A563" i="22"/>
  <c r="A562" i="22"/>
  <c r="A561" i="22"/>
  <c r="A560" i="22"/>
  <c r="A559" i="22"/>
  <c r="A558" i="22"/>
  <c r="A557" i="22"/>
  <c r="A556" i="22"/>
  <c r="A555" i="22"/>
  <c r="A554" i="22"/>
  <c r="A553" i="22"/>
  <c r="A552" i="22"/>
  <c r="A551" i="22"/>
  <c r="A550" i="22"/>
  <c r="A549" i="22"/>
  <c r="A548" i="22"/>
  <c r="A547" i="22"/>
  <c r="A546" i="22"/>
  <c r="A545" i="22"/>
  <c r="A544" i="22"/>
  <c r="A543" i="22"/>
  <c r="A542" i="22"/>
  <c r="A541" i="22"/>
  <c r="A540" i="22"/>
  <c r="A539" i="22"/>
  <c r="A538" i="22"/>
  <c r="A537" i="22"/>
  <c r="A536" i="22"/>
  <c r="A535" i="22"/>
  <c r="A534" i="22"/>
  <c r="A533" i="22"/>
  <c r="A532" i="22"/>
  <c r="A531" i="22"/>
  <c r="A530" i="22"/>
  <c r="A529" i="22"/>
  <c r="A528" i="22"/>
  <c r="A527" i="22"/>
  <c r="A526" i="22"/>
  <c r="A525" i="22"/>
  <c r="A524" i="22"/>
  <c r="A523" i="22"/>
  <c r="A522" i="22"/>
  <c r="A521" i="22"/>
  <c r="A520" i="22"/>
  <c r="A519" i="22"/>
  <c r="A518" i="22"/>
  <c r="A517" i="22"/>
  <c r="A516" i="22"/>
  <c r="A515" i="22"/>
  <c r="A514" i="22"/>
  <c r="A513" i="22"/>
  <c r="A512" i="22"/>
  <c r="A511" i="22"/>
  <c r="A510" i="22"/>
  <c r="A509" i="22"/>
  <c r="A508" i="22"/>
  <c r="A507" i="22"/>
  <c r="A506" i="22"/>
  <c r="A505" i="22"/>
  <c r="A504" i="22"/>
  <c r="A503" i="22"/>
  <c r="A502" i="22"/>
  <c r="A501" i="22"/>
  <c r="A500" i="22"/>
  <c r="A499" i="22"/>
  <c r="A498" i="22"/>
  <c r="A497" i="22"/>
  <c r="A496" i="22"/>
  <c r="A495" i="22"/>
  <c r="A494" i="22"/>
  <c r="A493" i="22"/>
  <c r="A492" i="22"/>
  <c r="A491" i="22"/>
  <c r="A490" i="22"/>
  <c r="A489" i="22"/>
  <c r="A488" i="22"/>
  <c r="A487" i="22"/>
  <c r="A486" i="22"/>
  <c r="A485" i="22"/>
  <c r="A484" i="22"/>
  <c r="A483" i="22"/>
  <c r="A482" i="22"/>
  <c r="A481" i="22"/>
  <c r="A480" i="22"/>
  <c r="A479" i="22"/>
  <c r="A478" i="22"/>
  <c r="A477" i="22"/>
  <c r="A476" i="22"/>
  <c r="A475" i="22"/>
  <c r="A474" i="22"/>
  <c r="A473" i="22"/>
  <c r="A472" i="22"/>
  <c r="A471" i="22"/>
  <c r="A470" i="22"/>
  <c r="A469" i="22"/>
  <c r="A468" i="22"/>
  <c r="A467" i="22"/>
  <c r="A466" i="22"/>
  <c r="A465" i="22"/>
  <c r="A464" i="22"/>
  <c r="A463" i="22"/>
  <c r="A462" i="22"/>
  <c r="A461" i="22"/>
  <c r="A460" i="22"/>
  <c r="A459" i="22"/>
  <c r="A458" i="22"/>
  <c r="A457" i="22"/>
  <c r="A456" i="22"/>
  <c r="A455" i="22"/>
  <c r="A454" i="22"/>
  <c r="A453" i="22"/>
  <c r="A452" i="22"/>
  <c r="A451" i="22"/>
  <c r="A450" i="22"/>
  <c r="A449" i="22"/>
  <c r="A448" i="22"/>
  <c r="A447" i="22"/>
  <c r="A446" i="22"/>
  <c r="A445" i="22"/>
  <c r="A444" i="22"/>
  <c r="A443" i="22"/>
  <c r="A442" i="22"/>
  <c r="A441" i="22"/>
  <c r="A440" i="22"/>
  <c r="A439" i="22"/>
  <c r="A438" i="22"/>
  <c r="A437" i="22"/>
  <c r="A436" i="22"/>
  <c r="A435" i="22"/>
  <c r="A434" i="22"/>
  <c r="A433" i="22"/>
  <c r="A432" i="22"/>
  <c r="A431" i="22"/>
  <c r="A430" i="22"/>
  <c r="A429" i="22"/>
  <c r="A428" i="22"/>
  <c r="A427" i="22"/>
  <c r="A426" i="22"/>
  <c r="A425" i="22"/>
  <c r="A424" i="22"/>
  <c r="A423" i="22"/>
  <c r="A422" i="22"/>
  <c r="A421" i="22"/>
  <c r="A420" i="22"/>
  <c r="A419" i="22"/>
  <c r="A418" i="22"/>
  <c r="A417" i="22"/>
  <c r="A416" i="22"/>
  <c r="A415" i="22"/>
  <c r="A414" i="22"/>
  <c r="A413" i="22"/>
  <c r="A412" i="22"/>
  <c r="A411" i="22"/>
  <c r="A410" i="22"/>
  <c r="A409" i="22"/>
  <c r="A408" i="22"/>
  <c r="A407" i="22"/>
  <c r="A406" i="22"/>
  <c r="A405" i="22"/>
  <c r="A404" i="22"/>
  <c r="A403" i="22"/>
  <c r="A402" i="22"/>
  <c r="A401" i="22"/>
  <c r="A400" i="22"/>
  <c r="A399" i="22"/>
  <c r="A398" i="22"/>
  <c r="A397" i="22"/>
  <c r="A396" i="22"/>
  <c r="A395" i="22"/>
  <c r="A394" i="22"/>
  <c r="A393" i="22"/>
  <c r="A392" i="22"/>
  <c r="A391" i="22"/>
  <c r="A390" i="22"/>
  <c r="A389" i="22"/>
  <c r="A388" i="22"/>
  <c r="A387" i="22"/>
  <c r="A386" i="22"/>
  <c r="A385" i="22"/>
  <c r="A384" i="22"/>
  <c r="A383" i="22"/>
  <c r="A382" i="22"/>
  <c r="A381" i="22"/>
  <c r="A380" i="22"/>
  <c r="A379" i="22"/>
  <c r="A378" i="22"/>
  <c r="A377" i="22"/>
  <c r="A376" i="22"/>
  <c r="A375" i="22"/>
  <c r="A374" i="22"/>
  <c r="A373" i="22"/>
  <c r="A372" i="22"/>
  <c r="A371" i="22"/>
  <c r="A370" i="22"/>
  <c r="A369" i="22"/>
  <c r="A368" i="22"/>
  <c r="A367" i="22"/>
  <c r="A366" i="22"/>
  <c r="A365" i="22"/>
  <c r="A364" i="22"/>
  <c r="A363" i="22"/>
  <c r="A362" i="22"/>
  <c r="A361" i="22"/>
  <c r="A360" i="22"/>
  <c r="A359" i="22"/>
  <c r="A358" i="22"/>
  <c r="A357" i="22"/>
  <c r="A356" i="22"/>
  <c r="A355" i="22"/>
  <c r="A354" i="22"/>
  <c r="A353" i="22"/>
  <c r="A352" i="22"/>
  <c r="A351" i="22"/>
  <c r="A350" i="22"/>
  <c r="A349" i="22"/>
  <c r="A348" i="22"/>
  <c r="A347" i="22"/>
  <c r="A346" i="22"/>
  <c r="A345" i="22"/>
  <c r="A344" i="22"/>
  <c r="A343" i="22"/>
  <c r="A342" i="22"/>
  <c r="A341" i="22"/>
  <c r="A340" i="22"/>
  <c r="A339" i="22"/>
  <c r="A338" i="22"/>
  <c r="A337" i="22"/>
  <c r="A336" i="22"/>
  <c r="A335" i="22"/>
  <c r="A334" i="22"/>
  <c r="A333" i="22"/>
  <c r="A332" i="22"/>
  <c r="A331" i="22"/>
  <c r="A330" i="22"/>
  <c r="A329" i="22"/>
  <c r="A328" i="22"/>
  <c r="A327" i="22"/>
  <c r="A326" i="22"/>
  <c r="A325" i="22"/>
  <c r="A324" i="22"/>
  <c r="A323" i="22"/>
  <c r="A322" i="22"/>
  <c r="A321" i="22"/>
  <c r="A320" i="22"/>
  <c r="A319" i="22"/>
  <c r="A318" i="22"/>
  <c r="A317" i="22"/>
  <c r="A316" i="22"/>
  <c r="A315" i="22"/>
  <c r="A314" i="22"/>
  <c r="A313" i="22"/>
  <c r="A312" i="22"/>
  <c r="A311" i="22"/>
  <c r="A310" i="22"/>
  <c r="A309" i="22"/>
  <c r="A308" i="22"/>
  <c r="A307" i="22"/>
  <c r="A306" i="22"/>
  <c r="A305" i="22"/>
  <c r="A304" i="22"/>
  <c r="A303" i="22"/>
  <c r="A302" i="22"/>
  <c r="A301" i="22"/>
  <c r="A300" i="22"/>
  <c r="A299" i="22"/>
  <c r="A298" i="22"/>
  <c r="A297" i="22"/>
  <c r="A296" i="22"/>
  <c r="A295" i="22"/>
  <c r="A294" i="22"/>
  <c r="A293" i="22"/>
  <c r="A292" i="22"/>
  <c r="A291" i="22"/>
  <c r="A290" i="22"/>
  <c r="A289" i="22"/>
  <c r="A288" i="22"/>
  <c r="A287" i="22"/>
  <c r="A286" i="22"/>
  <c r="A285" i="22"/>
  <c r="A284" i="22"/>
  <c r="A283" i="22"/>
  <c r="A282" i="22"/>
  <c r="A281" i="22"/>
  <c r="A280" i="22"/>
  <c r="A279" i="22"/>
  <c r="A278" i="22"/>
  <c r="A277" i="22"/>
  <c r="A276" i="22"/>
  <c r="A275" i="22"/>
  <c r="A274" i="22"/>
  <c r="A273" i="22"/>
  <c r="A272" i="22"/>
  <c r="A271" i="22"/>
  <c r="A270" i="22"/>
  <c r="A269" i="22"/>
  <c r="A268" i="22"/>
  <c r="A267" i="22"/>
  <c r="A266" i="22"/>
  <c r="A265" i="22"/>
  <c r="A264" i="22"/>
  <c r="A263" i="22"/>
  <c r="A262" i="22"/>
  <c r="A261" i="22"/>
  <c r="A260" i="22"/>
  <c r="A259" i="22"/>
  <c r="A258" i="22"/>
  <c r="A257" i="22"/>
  <c r="A256" i="22"/>
  <c r="A255" i="22"/>
  <c r="A254" i="22"/>
  <c r="A253" i="22"/>
  <c r="A252" i="22"/>
  <c r="A251" i="22"/>
  <c r="A250" i="22"/>
  <c r="A249" i="22"/>
  <c r="A248" i="22"/>
  <c r="A247" i="22"/>
  <c r="A246" i="22"/>
  <c r="A245" i="22"/>
  <c r="A244" i="22"/>
  <c r="A243" i="22"/>
  <c r="A242" i="22"/>
  <c r="A241" i="22"/>
  <c r="A240" i="22"/>
  <c r="A239" i="22"/>
  <c r="A238" i="22"/>
  <c r="A237" i="22"/>
  <c r="A236" i="22"/>
  <c r="A235" i="22"/>
  <c r="A234" i="22"/>
  <c r="A233" i="22"/>
  <c r="A232" i="22"/>
  <c r="A231" i="22"/>
  <c r="A230" i="22"/>
  <c r="A229" i="22"/>
  <c r="A228" i="22"/>
  <c r="A227" i="22"/>
  <c r="A226" i="22"/>
  <c r="A225" i="22"/>
  <c r="A224" i="22"/>
  <c r="A223" i="22"/>
  <c r="A222" i="22"/>
  <c r="A221" i="22"/>
  <c r="A220" i="22"/>
  <c r="A219" i="22"/>
  <c r="A218" i="22"/>
  <c r="A217" i="22"/>
  <c r="A216" i="22"/>
  <c r="A215" i="22"/>
  <c r="A214" i="22"/>
  <c r="A213" i="22"/>
  <c r="A212" i="22"/>
  <c r="A211" i="22"/>
  <c r="A210" i="22"/>
  <c r="A209" i="22"/>
  <c r="A208" i="22"/>
  <c r="A207" i="22"/>
  <c r="A206" i="22"/>
  <c r="A205" i="22"/>
  <c r="A204" i="22"/>
  <c r="A203" i="22"/>
  <c r="A202" i="22"/>
  <c r="A201" i="22"/>
  <c r="A200" i="22"/>
  <c r="A199" i="22"/>
  <c r="A198" i="22"/>
  <c r="A197" i="22"/>
  <c r="A196" i="22"/>
  <c r="A195" i="22"/>
  <c r="A194" i="22"/>
  <c r="A193" i="22"/>
  <c r="A192" i="22"/>
  <c r="A191" i="22"/>
  <c r="A190" i="22"/>
  <c r="A189" i="22"/>
  <c r="A188" i="22"/>
  <c r="A187" i="22"/>
  <c r="A186" i="22"/>
  <c r="A185" i="22"/>
  <c r="A184" i="22"/>
  <c r="A183" i="22"/>
  <c r="A182" i="22"/>
  <c r="A181" i="22"/>
  <c r="A180" i="22"/>
  <c r="A179" i="22"/>
  <c r="A178" i="22"/>
  <c r="A177" i="22"/>
  <c r="A176" i="22"/>
  <c r="A175" i="22"/>
  <c r="A174" i="22"/>
  <c r="A173" i="22"/>
  <c r="A172" i="22"/>
  <c r="A171" i="22"/>
  <c r="A170" i="22"/>
  <c r="A169" i="22"/>
  <c r="A168" i="22"/>
  <c r="A167" i="22"/>
  <c r="A166" i="22"/>
  <c r="A165" i="22"/>
  <c r="A164" i="22"/>
  <c r="A163" i="22"/>
  <c r="A162" i="22"/>
  <c r="A161" i="22"/>
  <c r="A160" i="22"/>
  <c r="A159" i="22"/>
  <c r="A158" i="22"/>
  <c r="A157" i="22"/>
  <c r="A156" i="22"/>
  <c r="A155" i="22"/>
  <c r="A154" i="22"/>
  <c r="A153" i="22"/>
  <c r="A152" i="22"/>
  <c r="A151" i="22"/>
  <c r="A150" i="22"/>
  <c r="A149" i="22"/>
  <c r="A148" i="22"/>
  <c r="A147" i="22"/>
  <c r="A146" i="22"/>
  <c r="A145" i="22"/>
  <c r="A144" i="22"/>
  <c r="A143" i="22"/>
  <c r="A142" i="22"/>
  <c r="A141" i="22"/>
  <c r="A140" i="22"/>
  <c r="A139" i="22"/>
  <c r="A138" i="22"/>
  <c r="A137" i="22"/>
  <c r="A136" i="22"/>
  <c r="A135" i="22"/>
  <c r="A134" i="22"/>
  <c r="A133" i="22"/>
  <c r="A132" i="22"/>
  <c r="A131" i="22"/>
  <c r="A130" i="22"/>
  <c r="A129" i="22"/>
  <c r="A128" i="22"/>
  <c r="A127" i="22"/>
  <c r="A126" i="22"/>
  <c r="A125" i="22"/>
  <c r="A124" i="22"/>
  <c r="A123" i="22"/>
  <c r="A122" i="22"/>
  <c r="A121" i="22"/>
  <c r="A120" i="22"/>
  <c r="A119" i="22"/>
  <c r="A118" i="22"/>
  <c r="A117" i="22"/>
  <c r="A116" i="22"/>
  <c r="A115" i="22"/>
  <c r="A114" i="22"/>
  <c r="A113" i="22"/>
  <c r="A112" i="22"/>
  <c r="A111" i="22"/>
  <c r="A110" i="22"/>
  <c r="A109" i="22"/>
  <c r="A108" i="22"/>
  <c r="A107" i="22"/>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A6" i="22"/>
  <c r="A5" i="22"/>
  <c r="A4" i="22"/>
  <c r="A3" i="22"/>
  <c r="A2" i="22"/>
  <c r="E1222" i="21"/>
  <c r="E1221" i="21"/>
  <c r="E1220" i="21"/>
  <c r="E1219" i="21"/>
  <c r="E1218" i="21"/>
  <c r="E1217" i="21"/>
  <c r="E1216" i="21"/>
  <c r="E1215" i="21"/>
  <c r="E1214" i="21"/>
  <c r="E1213" i="21"/>
  <c r="E1212" i="21"/>
  <c r="E1211" i="21"/>
  <c r="E1210" i="21"/>
  <c r="E1209" i="21"/>
  <c r="E1208" i="21"/>
  <c r="E1207" i="21"/>
  <c r="E1206" i="21"/>
  <c r="E1205" i="21"/>
  <c r="E1204" i="21"/>
  <c r="E1203" i="21"/>
  <c r="E1202" i="21"/>
  <c r="E1201" i="21"/>
  <c r="E1200" i="21"/>
  <c r="E1199" i="21"/>
  <c r="E1198" i="21"/>
  <c r="E1197" i="21"/>
  <c r="E1196" i="21"/>
  <c r="E1195" i="21"/>
  <c r="E1194" i="21"/>
  <c r="E1193" i="21"/>
  <c r="E1192" i="21"/>
  <c r="E1191" i="21"/>
  <c r="E1190" i="21"/>
  <c r="E1189" i="21"/>
  <c r="E1188" i="21"/>
  <c r="E1187" i="21"/>
  <c r="E1186" i="21"/>
  <c r="E1185" i="21"/>
  <c r="E1184" i="21"/>
  <c r="E1183" i="21"/>
  <c r="E1182" i="21"/>
  <c r="E1181" i="21"/>
  <c r="E1180" i="21"/>
  <c r="E1179" i="21"/>
  <c r="E1178" i="21"/>
  <c r="E1177" i="21"/>
  <c r="E1176" i="21"/>
  <c r="E1175" i="21"/>
  <c r="E1174" i="21"/>
  <c r="E1173" i="21"/>
  <c r="E1172" i="21"/>
  <c r="E1171" i="21"/>
  <c r="E1170" i="21"/>
  <c r="E1169" i="21"/>
  <c r="E1168" i="21"/>
  <c r="E1167" i="21"/>
  <c r="E1166" i="21"/>
  <c r="E1165" i="21"/>
  <c r="E1164" i="21"/>
  <c r="E1163" i="21"/>
  <c r="E1162" i="21"/>
  <c r="E1161" i="21"/>
  <c r="E1160" i="21"/>
  <c r="E1159" i="21"/>
  <c r="E1158" i="21"/>
  <c r="E1157" i="21"/>
  <c r="E1156" i="21"/>
  <c r="E1155" i="21"/>
  <c r="E1154" i="21"/>
  <c r="E1153" i="21"/>
  <c r="E1152" i="21"/>
  <c r="E1151" i="21"/>
  <c r="E1150" i="21"/>
  <c r="E1149" i="21"/>
  <c r="E1148" i="21"/>
  <c r="E1147" i="21"/>
  <c r="E1146" i="21"/>
  <c r="E1145" i="21"/>
  <c r="E1144" i="21"/>
  <c r="E1143" i="21"/>
  <c r="E1142" i="21"/>
  <c r="E1141" i="21"/>
  <c r="E1140" i="21"/>
  <c r="E1139" i="21"/>
  <c r="E1138" i="21"/>
  <c r="E1137" i="21"/>
  <c r="E1136" i="21"/>
  <c r="E1135" i="21"/>
  <c r="E1134" i="21"/>
  <c r="E1133" i="21"/>
  <c r="E1132" i="21"/>
  <c r="E1131" i="21"/>
  <c r="E1130" i="21"/>
  <c r="E1129" i="21"/>
  <c r="E1128" i="21"/>
  <c r="E1127" i="21"/>
  <c r="E1126" i="21"/>
  <c r="E1125" i="21"/>
  <c r="E1124" i="21"/>
  <c r="E1123" i="21"/>
  <c r="E1122" i="21"/>
  <c r="E1121" i="21"/>
  <c r="E1120" i="21"/>
  <c r="E1119" i="21"/>
  <c r="E1118" i="21"/>
  <c r="E1117" i="21"/>
  <c r="E1116" i="21"/>
  <c r="E1115" i="21"/>
  <c r="E1114" i="21"/>
  <c r="E1113" i="21"/>
  <c r="E1112" i="21"/>
  <c r="E1111" i="21"/>
  <c r="E1110" i="21"/>
  <c r="E1109" i="21"/>
  <c r="E1108" i="21"/>
  <c r="E1107" i="21"/>
  <c r="E1106" i="21"/>
  <c r="E1105" i="21"/>
  <c r="E1104" i="21"/>
  <c r="E1103" i="21"/>
  <c r="E1102" i="21"/>
  <c r="E1101" i="21"/>
  <c r="E1100" i="21"/>
  <c r="E1099" i="21"/>
  <c r="E1098" i="21"/>
  <c r="E1097" i="21"/>
  <c r="E1096" i="21"/>
  <c r="E1095" i="21"/>
  <c r="E1094" i="21"/>
  <c r="E1093" i="21"/>
  <c r="E1092" i="21"/>
  <c r="E1091" i="21"/>
  <c r="E1090" i="21"/>
  <c r="E1089" i="21"/>
  <c r="E1088" i="21"/>
  <c r="E1087" i="21"/>
  <c r="E1086" i="21"/>
  <c r="E1085" i="21"/>
  <c r="E1084" i="21"/>
  <c r="E1083" i="21"/>
  <c r="E1082" i="21"/>
  <c r="E1081" i="21"/>
  <c r="E1080" i="21"/>
  <c r="E1079" i="21"/>
  <c r="E1078" i="21"/>
  <c r="E1077" i="21"/>
  <c r="E1076" i="21"/>
  <c r="E1075" i="21"/>
  <c r="E1074" i="21"/>
  <c r="E1073" i="21"/>
  <c r="E1072" i="21"/>
  <c r="E1071" i="21"/>
  <c r="E1070" i="21"/>
  <c r="E1069" i="21"/>
  <c r="E1068" i="21"/>
  <c r="E1067" i="21"/>
  <c r="E1066" i="21"/>
  <c r="E1065" i="21"/>
  <c r="E1064" i="21"/>
  <c r="E1063" i="21"/>
  <c r="E1062" i="21"/>
  <c r="E1061" i="21"/>
  <c r="E1060" i="21"/>
  <c r="E1059" i="21"/>
  <c r="E1058" i="21"/>
  <c r="E1057" i="21"/>
  <c r="E1056" i="21"/>
  <c r="E1055" i="21"/>
  <c r="E1054" i="21"/>
  <c r="E1053" i="21"/>
  <c r="E1052" i="21"/>
  <c r="E1051" i="21"/>
  <c r="E1050" i="21"/>
  <c r="E1049" i="21"/>
  <c r="E1048" i="21"/>
  <c r="E1047" i="21"/>
  <c r="E1046" i="21"/>
  <c r="E1045" i="21"/>
  <c r="E1044" i="21"/>
  <c r="E1043" i="21"/>
  <c r="E1042" i="21"/>
  <c r="E1041" i="21"/>
  <c r="E1040" i="21"/>
  <c r="E1039" i="21"/>
  <c r="E1038" i="21"/>
  <c r="E1037" i="21"/>
  <c r="E1036" i="21"/>
  <c r="E1035" i="21"/>
  <c r="E1034" i="21"/>
  <c r="E1033" i="21"/>
  <c r="E1032" i="21"/>
  <c r="E1031" i="21"/>
  <c r="E1030" i="21"/>
  <c r="E1029" i="21"/>
  <c r="E1028" i="21"/>
  <c r="E1027" i="21"/>
  <c r="E1026" i="21"/>
  <c r="E1025" i="21"/>
  <c r="E1024" i="21"/>
  <c r="E1023" i="21"/>
  <c r="E1022" i="21"/>
  <c r="E1021" i="21"/>
  <c r="E1020" i="21"/>
  <c r="E1019" i="21"/>
  <c r="E1018" i="21"/>
  <c r="E1017" i="21"/>
  <c r="E1016" i="21"/>
  <c r="E1015" i="21"/>
  <c r="E1014" i="21"/>
  <c r="E1013" i="21"/>
  <c r="E1012" i="21"/>
  <c r="E1011" i="21"/>
  <c r="E1010" i="21"/>
  <c r="E1009" i="21"/>
  <c r="E1008" i="21"/>
  <c r="E1007" i="21"/>
  <c r="E1006" i="21"/>
  <c r="E1005" i="21"/>
  <c r="E1004" i="21"/>
  <c r="E1003" i="21"/>
  <c r="E1002" i="21"/>
  <c r="E1001" i="21"/>
  <c r="E1000" i="21"/>
  <c r="E999" i="21"/>
  <c r="E998" i="21"/>
  <c r="E997" i="21"/>
  <c r="E996" i="21"/>
  <c r="E995" i="21"/>
  <c r="E994" i="21"/>
  <c r="E993" i="21"/>
  <c r="E992" i="21"/>
  <c r="E991" i="21"/>
  <c r="E990" i="21"/>
  <c r="E989" i="21"/>
  <c r="E988" i="21"/>
  <c r="E987" i="21"/>
  <c r="E986" i="21"/>
  <c r="E985" i="21"/>
  <c r="E984" i="21"/>
  <c r="E983" i="21"/>
  <c r="E982" i="21"/>
  <c r="E981" i="21"/>
  <c r="E980" i="21"/>
  <c r="E979" i="21"/>
  <c r="E978" i="21"/>
  <c r="E977" i="21"/>
  <c r="E976" i="21"/>
  <c r="E975" i="21"/>
  <c r="E974" i="21"/>
  <c r="E973" i="21"/>
  <c r="E972" i="21"/>
  <c r="E971" i="21"/>
  <c r="E970" i="21"/>
  <c r="E969" i="21"/>
  <c r="E968" i="21"/>
  <c r="E967" i="21"/>
  <c r="E966" i="21"/>
  <c r="E965" i="21"/>
  <c r="E964" i="21"/>
  <c r="E963" i="21"/>
  <c r="E962" i="21"/>
  <c r="E961" i="21"/>
  <c r="E960" i="21"/>
  <c r="E959" i="21"/>
  <c r="E958" i="21"/>
  <c r="E957" i="21"/>
  <c r="E956" i="21"/>
  <c r="E955" i="21"/>
  <c r="E954" i="21"/>
  <c r="E953" i="21"/>
  <c r="E952" i="21"/>
  <c r="E951" i="21"/>
  <c r="E950" i="21"/>
  <c r="E949" i="21"/>
  <c r="E948" i="21"/>
  <c r="E947" i="21"/>
  <c r="E946" i="21"/>
  <c r="E945" i="21"/>
  <c r="E944" i="21"/>
  <c r="E943" i="21"/>
  <c r="E942" i="21"/>
  <c r="E941" i="21"/>
  <c r="E940" i="21"/>
  <c r="E939" i="21"/>
  <c r="E938" i="21"/>
  <c r="E937" i="21"/>
  <c r="E936" i="21"/>
  <c r="E935" i="21"/>
  <c r="E934" i="21"/>
  <c r="E933" i="21"/>
  <c r="E932" i="21"/>
  <c r="E931" i="21"/>
  <c r="E930" i="21"/>
  <c r="E929" i="21"/>
  <c r="E928" i="21"/>
  <c r="E927" i="21"/>
  <c r="E926" i="21"/>
  <c r="E925" i="21"/>
  <c r="E924" i="21"/>
  <c r="E923" i="21"/>
  <c r="E922" i="21"/>
  <c r="E921" i="21"/>
  <c r="E920" i="21"/>
  <c r="E919" i="21"/>
  <c r="E918" i="21"/>
  <c r="E917" i="21"/>
  <c r="E916" i="21"/>
  <c r="E915" i="21"/>
  <c r="E914" i="21"/>
  <c r="E913" i="21"/>
  <c r="E912" i="21"/>
  <c r="E911" i="21"/>
  <c r="E910" i="21"/>
  <c r="E909" i="21"/>
  <c r="E908" i="21"/>
  <c r="E907" i="21"/>
  <c r="E906" i="21"/>
  <c r="E905" i="21"/>
  <c r="E904" i="21"/>
  <c r="E903" i="21"/>
  <c r="E902" i="21"/>
  <c r="E901" i="21"/>
  <c r="E900" i="21"/>
  <c r="E899" i="21"/>
  <c r="E898" i="21"/>
  <c r="E897" i="21"/>
  <c r="E896" i="21"/>
  <c r="E895" i="21"/>
  <c r="E894" i="21"/>
  <c r="E893" i="21"/>
  <c r="E892" i="21"/>
  <c r="E891" i="21"/>
  <c r="E890" i="21"/>
  <c r="E889" i="21"/>
  <c r="E888" i="21"/>
  <c r="E887" i="21"/>
  <c r="E886" i="21"/>
  <c r="E885" i="21"/>
  <c r="E884" i="21"/>
  <c r="E883" i="21"/>
  <c r="E882" i="21"/>
  <c r="E881" i="21"/>
  <c r="E880" i="21"/>
  <c r="E879" i="21"/>
  <c r="E878" i="21"/>
  <c r="E877" i="21"/>
  <c r="E876" i="21"/>
  <c r="E875" i="21"/>
  <c r="E874" i="21"/>
  <c r="E873" i="21"/>
  <c r="E872" i="21"/>
  <c r="E871" i="21"/>
  <c r="E870" i="21"/>
  <c r="E869" i="21"/>
  <c r="E868" i="21"/>
  <c r="E867" i="21"/>
  <c r="E866" i="21"/>
  <c r="E865" i="21"/>
  <c r="E864" i="21"/>
  <c r="E863" i="21"/>
  <c r="E862" i="21"/>
  <c r="E861" i="21"/>
  <c r="E860" i="21"/>
  <c r="E859" i="21"/>
  <c r="E858" i="21"/>
  <c r="E857" i="21"/>
  <c r="E856" i="21"/>
  <c r="E855" i="21"/>
  <c r="E854" i="21"/>
  <c r="E853" i="21"/>
  <c r="E852" i="21"/>
  <c r="E851" i="21"/>
  <c r="E850" i="21"/>
  <c r="E849" i="21"/>
  <c r="E848" i="21"/>
  <c r="E847" i="21"/>
  <c r="E846" i="21"/>
  <c r="E845" i="21"/>
  <c r="E844" i="21"/>
  <c r="E843" i="21"/>
  <c r="E842" i="21"/>
  <c r="E841" i="21"/>
  <c r="E840" i="21"/>
  <c r="E839" i="21"/>
  <c r="E838" i="21"/>
  <c r="E837" i="21"/>
  <c r="E836" i="21"/>
  <c r="E835" i="21"/>
  <c r="E834" i="21"/>
  <c r="E833" i="21"/>
  <c r="E832" i="21"/>
  <c r="E831" i="21"/>
  <c r="E830" i="21"/>
  <c r="E829" i="21"/>
  <c r="E828" i="21"/>
  <c r="E827" i="21"/>
  <c r="E826" i="21"/>
  <c r="E825" i="21"/>
  <c r="E824" i="21"/>
  <c r="E823" i="21"/>
  <c r="E822" i="21"/>
  <c r="E821" i="21"/>
  <c r="E820" i="21"/>
  <c r="E819" i="21"/>
  <c r="E818" i="21"/>
  <c r="E817" i="21"/>
  <c r="E816" i="21"/>
  <c r="E815" i="21"/>
  <c r="E814" i="21"/>
  <c r="E813" i="21"/>
  <c r="E812" i="21"/>
  <c r="E811" i="21"/>
  <c r="E810" i="21"/>
  <c r="E809" i="21"/>
  <c r="E808" i="21"/>
  <c r="E807" i="21"/>
  <c r="E806" i="21"/>
  <c r="E805" i="21"/>
  <c r="E804" i="21"/>
  <c r="E803" i="21"/>
  <c r="E802" i="21"/>
  <c r="E801" i="21"/>
  <c r="E800" i="21"/>
  <c r="E799" i="21"/>
  <c r="E798" i="21"/>
  <c r="E797" i="21"/>
  <c r="E796" i="21"/>
  <c r="E795" i="21"/>
  <c r="E794" i="21"/>
  <c r="E793" i="21"/>
  <c r="E792" i="21"/>
  <c r="E791" i="21"/>
  <c r="E790" i="21"/>
  <c r="E789" i="21"/>
  <c r="E788" i="21"/>
  <c r="E787" i="21"/>
  <c r="E786" i="21"/>
  <c r="E785" i="21"/>
  <c r="E784" i="21"/>
  <c r="E783" i="21"/>
  <c r="E782" i="21"/>
  <c r="E781" i="21"/>
  <c r="E780" i="21"/>
  <c r="E779" i="21"/>
  <c r="E778" i="21"/>
  <c r="E777" i="21"/>
  <c r="E776" i="21"/>
  <c r="E775" i="21"/>
  <c r="E774" i="21"/>
  <c r="E773" i="21"/>
  <c r="E772" i="21"/>
  <c r="E771" i="21"/>
  <c r="E770" i="21"/>
  <c r="E769" i="21"/>
  <c r="E768" i="21"/>
  <c r="E767" i="21"/>
  <c r="E766" i="21"/>
  <c r="E765" i="21"/>
  <c r="E764" i="21"/>
  <c r="E763" i="21"/>
  <c r="E762" i="21"/>
  <c r="E761" i="21"/>
  <c r="E760" i="21"/>
  <c r="E759" i="21"/>
  <c r="E758" i="21"/>
  <c r="E757" i="21"/>
  <c r="E756" i="21"/>
  <c r="E755" i="21"/>
  <c r="E754" i="21"/>
  <c r="E753" i="21"/>
  <c r="E752" i="21"/>
  <c r="E751" i="21"/>
  <c r="E750" i="21"/>
  <c r="E749" i="21"/>
  <c r="E748" i="21"/>
  <c r="E747" i="21"/>
  <c r="E746" i="21"/>
  <c r="E745" i="21"/>
  <c r="E744" i="21"/>
  <c r="E743" i="21"/>
  <c r="E742" i="21"/>
  <c r="E741" i="21"/>
  <c r="E740" i="21"/>
  <c r="E739" i="21"/>
  <c r="E738" i="21"/>
  <c r="E737" i="21"/>
  <c r="E736" i="21"/>
  <c r="E735" i="21"/>
  <c r="E734" i="21"/>
  <c r="E733" i="21"/>
  <c r="E732" i="21"/>
  <c r="E731" i="21"/>
  <c r="E730" i="21"/>
  <c r="E729" i="21"/>
  <c r="E728" i="21"/>
  <c r="E727" i="21"/>
  <c r="E726" i="21"/>
  <c r="E725" i="21"/>
  <c r="E724" i="21"/>
  <c r="E723" i="21"/>
  <c r="E722" i="21"/>
  <c r="E721" i="21"/>
  <c r="E720" i="21"/>
  <c r="E719" i="21"/>
  <c r="E718" i="21"/>
  <c r="E717" i="21"/>
  <c r="E716" i="21"/>
  <c r="E715" i="21"/>
  <c r="E714" i="21"/>
  <c r="E713" i="21"/>
  <c r="E712" i="21"/>
  <c r="E711" i="21"/>
  <c r="E710" i="21"/>
  <c r="E709" i="21"/>
  <c r="E708" i="21"/>
  <c r="E707" i="21"/>
  <c r="E706" i="21"/>
  <c r="E705" i="21"/>
  <c r="E704" i="21"/>
  <c r="E703" i="21"/>
  <c r="E702" i="21"/>
  <c r="E701" i="21"/>
  <c r="E700" i="21"/>
  <c r="E699" i="21"/>
  <c r="E698" i="21"/>
  <c r="E697" i="21"/>
  <c r="E696" i="21"/>
  <c r="E695" i="21"/>
  <c r="E694" i="21"/>
  <c r="E693" i="21"/>
  <c r="E692" i="21"/>
  <c r="E691" i="21"/>
  <c r="E690" i="21"/>
  <c r="E689" i="21"/>
  <c r="E688" i="21"/>
  <c r="E687" i="21"/>
  <c r="E686" i="21"/>
  <c r="E685" i="21"/>
  <c r="E684" i="21"/>
  <c r="E683" i="21"/>
  <c r="E682" i="21"/>
  <c r="E681" i="21"/>
  <c r="E680" i="21"/>
  <c r="E679" i="21"/>
  <c r="E678" i="21"/>
  <c r="E677" i="21"/>
  <c r="E676" i="21"/>
  <c r="E675" i="21"/>
  <c r="E674" i="21"/>
  <c r="E673" i="21"/>
  <c r="E672" i="21"/>
  <c r="E671" i="21"/>
  <c r="E670" i="21"/>
  <c r="E669" i="21"/>
  <c r="E668" i="21"/>
  <c r="E667" i="21"/>
  <c r="E666" i="21"/>
  <c r="E665" i="21"/>
  <c r="E664" i="21"/>
  <c r="E663" i="21"/>
  <c r="E662" i="21"/>
  <c r="E661" i="21"/>
  <c r="E660" i="21"/>
  <c r="E659" i="21"/>
  <c r="E658" i="21"/>
  <c r="E657" i="21"/>
  <c r="E656" i="21"/>
  <c r="E655" i="21"/>
  <c r="E654" i="21"/>
  <c r="E653" i="21"/>
  <c r="E652" i="21"/>
  <c r="E651" i="21"/>
  <c r="E650" i="21"/>
  <c r="E649" i="21"/>
  <c r="E648" i="21"/>
  <c r="E647" i="21"/>
  <c r="E646" i="21"/>
  <c r="E645" i="21"/>
  <c r="E644" i="21"/>
  <c r="E643" i="21"/>
  <c r="E642" i="21"/>
  <c r="E641" i="21"/>
  <c r="E640" i="21"/>
  <c r="E639" i="21"/>
  <c r="E638" i="21"/>
  <c r="E637" i="21"/>
  <c r="E636" i="21"/>
  <c r="E635" i="21"/>
  <c r="E634" i="21"/>
  <c r="E633" i="21"/>
  <c r="E632" i="21"/>
  <c r="E631" i="21"/>
  <c r="E630" i="21"/>
  <c r="E629" i="21"/>
  <c r="E628" i="21"/>
  <c r="E627" i="21"/>
  <c r="E626" i="21"/>
  <c r="E625" i="21"/>
  <c r="E624" i="21"/>
  <c r="E623" i="21"/>
  <c r="E622" i="21"/>
  <c r="E621" i="21"/>
  <c r="E620" i="21"/>
  <c r="E619" i="21"/>
  <c r="E618" i="21"/>
  <c r="E617" i="21"/>
  <c r="E616" i="21"/>
  <c r="E615" i="21"/>
  <c r="E614" i="21"/>
  <c r="E613" i="21"/>
  <c r="E612" i="21"/>
  <c r="E611" i="21"/>
  <c r="E610" i="21"/>
  <c r="E609" i="21"/>
  <c r="E608" i="21"/>
  <c r="E607" i="21"/>
  <c r="E606" i="21"/>
  <c r="E605" i="21"/>
  <c r="E604" i="21"/>
  <c r="E603" i="21"/>
  <c r="E602" i="21"/>
  <c r="E601" i="21"/>
  <c r="E600" i="21"/>
  <c r="E599" i="21"/>
  <c r="E598" i="21"/>
  <c r="E597" i="21"/>
  <c r="E596" i="21"/>
  <c r="E595" i="21"/>
  <c r="E594" i="21"/>
  <c r="E593" i="21"/>
  <c r="E592" i="21"/>
  <c r="E591" i="21"/>
  <c r="E590" i="21"/>
  <c r="E589" i="21"/>
  <c r="E588" i="21"/>
  <c r="E587" i="21"/>
  <c r="E586" i="21"/>
  <c r="E585" i="21"/>
  <c r="E584" i="21"/>
  <c r="E583" i="21"/>
  <c r="E582" i="21"/>
  <c r="E581" i="21"/>
  <c r="E580" i="21"/>
  <c r="E579" i="21"/>
  <c r="E578" i="21"/>
  <c r="E577" i="21"/>
  <c r="E576" i="21"/>
  <c r="E575" i="21"/>
  <c r="E574" i="21"/>
  <c r="E573" i="21"/>
  <c r="E572" i="21"/>
  <c r="E571" i="21"/>
  <c r="E570" i="21"/>
  <c r="E569" i="21"/>
  <c r="E568" i="21"/>
  <c r="E567" i="21"/>
  <c r="E566" i="21"/>
  <c r="E565" i="21"/>
  <c r="E564" i="21"/>
  <c r="E563" i="21"/>
  <c r="E562" i="21"/>
  <c r="E561" i="21"/>
  <c r="E560" i="21"/>
  <c r="E559" i="21"/>
  <c r="E558" i="21"/>
  <c r="E557" i="21"/>
  <c r="E556" i="21"/>
  <c r="E555" i="21"/>
  <c r="E554" i="21"/>
  <c r="E553" i="21"/>
  <c r="E552" i="21"/>
  <c r="E551" i="21"/>
  <c r="E550" i="21"/>
  <c r="E549" i="21"/>
  <c r="E548" i="21"/>
  <c r="E547" i="21"/>
  <c r="E546" i="21"/>
  <c r="E545" i="21"/>
  <c r="E544" i="21"/>
  <c r="E543" i="21"/>
  <c r="E542" i="21"/>
  <c r="E541" i="21"/>
  <c r="E540" i="21"/>
  <c r="E539" i="21"/>
  <c r="E538" i="21"/>
  <c r="E537" i="21"/>
  <c r="E536" i="21"/>
  <c r="E535" i="21"/>
  <c r="E534" i="21"/>
  <c r="E533" i="21"/>
  <c r="E532" i="21"/>
  <c r="E531" i="21"/>
  <c r="E530" i="21"/>
  <c r="E529" i="21"/>
  <c r="E528" i="21"/>
  <c r="E527" i="21"/>
  <c r="E526" i="21"/>
  <c r="E525" i="21"/>
  <c r="E524" i="21"/>
  <c r="E523" i="21"/>
  <c r="E522" i="21"/>
  <c r="E521" i="21"/>
  <c r="E520" i="21"/>
  <c r="E519" i="21"/>
  <c r="E518" i="21"/>
  <c r="E517" i="21"/>
  <c r="E516" i="21"/>
  <c r="E515" i="21"/>
  <c r="E514" i="21"/>
  <c r="E513" i="21"/>
  <c r="E512" i="21"/>
  <c r="E511" i="21"/>
  <c r="E510" i="21"/>
  <c r="E509" i="21"/>
  <c r="E508" i="21"/>
  <c r="E507" i="21"/>
  <c r="E506" i="21"/>
  <c r="E505" i="21"/>
  <c r="E504" i="21"/>
  <c r="E503" i="21"/>
  <c r="E502" i="21"/>
  <c r="E501" i="21"/>
  <c r="E500" i="21"/>
  <c r="E499" i="21"/>
  <c r="E498" i="21"/>
  <c r="E497" i="21"/>
  <c r="E496" i="21"/>
  <c r="E495" i="21"/>
  <c r="E494" i="21"/>
  <c r="E493" i="21"/>
  <c r="E492" i="21"/>
  <c r="E491" i="21"/>
  <c r="E490" i="21"/>
  <c r="E489" i="21"/>
  <c r="E488" i="21"/>
  <c r="E487" i="21"/>
  <c r="E486" i="21"/>
  <c r="E485" i="21"/>
  <c r="E484" i="21"/>
  <c r="E483" i="21"/>
  <c r="E482" i="21"/>
  <c r="E481" i="21"/>
  <c r="E480" i="21"/>
  <c r="E479" i="21"/>
  <c r="E478" i="21"/>
  <c r="E477" i="21"/>
  <c r="E476" i="21"/>
  <c r="E475" i="21"/>
  <c r="E474" i="21"/>
  <c r="E473" i="21"/>
  <c r="E472" i="21"/>
  <c r="E471" i="21"/>
  <c r="E470" i="21"/>
  <c r="E469" i="21"/>
  <c r="E468" i="21"/>
  <c r="E467" i="21"/>
  <c r="E466" i="21"/>
  <c r="E465" i="21"/>
  <c r="E464" i="21"/>
  <c r="E463" i="21"/>
  <c r="E462" i="21"/>
  <c r="E461" i="21"/>
  <c r="E460" i="21"/>
  <c r="E459" i="21"/>
  <c r="E458" i="21"/>
  <c r="E457" i="21"/>
  <c r="E456" i="21"/>
  <c r="E455" i="21"/>
  <c r="E454" i="21"/>
  <c r="E453" i="21"/>
  <c r="E452" i="21"/>
  <c r="E451" i="21"/>
  <c r="E450" i="21"/>
  <c r="E449" i="21"/>
  <c r="E448" i="21"/>
  <c r="E447" i="21"/>
  <c r="E446" i="21"/>
  <c r="E445" i="21"/>
  <c r="E444" i="21"/>
  <c r="E443" i="21"/>
  <c r="E442" i="21"/>
  <c r="E441" i="21"/>
  <c r="E440" i="21"/>
  <c r="E439" i="21"/>
  <c r="E438" i="21"/>
  <c r="E437" i="21"/>
  <c r="E436" i="21"/>
  <c r="E435" i="21"/>
  <c r="E434" i="21"/>
  <c r="E433" i="21"/>
  <c r="E432" i="21"/>
  <c r="E431" i="21"/>
  <c r="E430" i="21"/>
  <c r="E429" i="21"/>
  <c r="E428" i="21"/>
  <c r="E427" i="21"/>
  <c r="E426" i="21"/>
  <c r="E425" i="21"/>
  <c r="E424" i="21"/>
  <c r="E423" i="21"/>
  <c r="E422" i="21"/>
  <c r="E421" i="21"/>
  <c r="E420" i="21"/>
  <c r="E419" i="21"/>
  <c r="E418" i="21"/>
  <c r="E417" i="21"/>
  <c r="E416" i="21"/>
  <c r="E415" i="21"/>
  <c r="E414" i="21"/>
  <c r="E413" i="21"/>
  <c r="E412" i="21"/>
  <c r="E411" i="21"/>
  <c r="E410" i="21"/>
  <c r="E409" i="21"/>
  <c r="E408" i="21"/>
  <c r="E407" i="21"/>
  <c r="E406" i="21"/>
  <c r="E405" i="21"/>
  <c r="E404" i="21"/>
  <c r="E403" i="21"/>
  <c r="E402" i="21"/>
  <c r="E401" i="21"/>
  <c r="E400" i="21"/>
  <c r="E399" i="21"/>
  <c r="E398" i="21"/>
  <c r="E397" i="21"/>
  <c r="E396" i="21"/>
  <c r="E395" i="21"/>
  <c r="E394" i="21"/>
  <c r="E393" i="21"/>
  <c r="E392" i="21"/>
  <c r="E391" i="21"/>
  <c r="E390" i="21"/>
  <c r="E389" i="21"/>
  <c r="E388" i="21"/>
  <c r="E387" i="21"/>
  <c r="E386" i="21"/>
  <c r="E385" i="21"/>
  <c r="E384" i="21"/>
  <c r="E383" i="21"/>
  <c r="E382" i="21"/>
  <c r="E381" i="21"/>
  <c r="E380" i="21"/>
  <c r="E379" i="21"/>
  <c r="E378" i="21"/>
  <c r="E377" i="21"/>
  <c r="E376" i="21"/>
  <c r="E375" i="21"/>
  <c r="E374" i="21"/>
  <c r="E373" i="21"/>
  <c r="E372" i="21"/>
  <c r="E371" i="21"/>
  <c r="E370" i="21"/>
  <c r="E369" i="21"/>
  <c r="E368" i="21"/>
  <c r="E367" i="21"/>
  <c r="E366" i="21"/>
  <c r="E365" i="21"/>
  <c r="E364" i="21"/>
  <c r="E363" i="21"/>
  <c r="E362" i="21"/>
  <c r="E361" i="21"/>
  <c r="E360" i="21"/>
  <c r="E359" i="21"/>
  <c r="E358" i="21"/>
  <c r="E357" i="21"/>
  <c r="E356" i="21"/>
  <c r="E355" i="21"/>
  <c r="E354" i="21"/>
  <c r="E353" i="21"/>
  <c r="E352" i="21"/>
  <c r="E351" i="21"/>
  <c r="E350" i="21"/>
  <c r="E349" i="21"/>
  <c r="E348" i="21"/>
  <c r="E347" i="21"/>
  <c r="E346" i="21"/>
  <c r="E345" i="21"/>
  <c r="E344" i="21"/>
  <c r="E343" i="21"/>
  <c r="E342" i="21"/>
  <c r="E341" i="21"/>
  <c r="E340" i="21"/>
  <c r="E339" i="21"/>
  <c r="E338" i="21"/>
  <c r="E337" i="21"/>
  <c r="E336" i="21"/>
  <c r="E335" i="21"/>
  <c r="E334" i="21"/>
  <c r="E333" i="21"/>
  <c r="E332" i="21"/>
  <c r="E331" i="21"/>
  <c r="E330" i="21"/>
  <c r="E329" i="21"/>
  <c r="E328" i="21"/>
  <c r="E327" i="21"/>
  <c r="E326" i="21"/>
  <c r="E325" i="21"/>
  <c r="E324" i="21"/>
  <c r="E323" i="21"/>
  <c r="E322" i="21"/>
  <c r="E321" i="21"/>
  <c r="E320" i="21"/>
  <c r="E319" i="21"/>
  <c r="E318" i="21"/>
  <c r="E317" i="21"/>
  <c r="E316" i="21"/>
  <c r="E315" i="21"/>
  <c r="E314" i="21"/>
  <c r="E313" i="21"/>
  <c r="E312" i="21"/>
  <c r="E311" i="21"/>
  <c r="E310" i="21"/>
  <c r="E309" i="21"/>
  <c r="E308" i="21"/>
  <c r="E307" i="21"/>
  <c r="E306" i="21"/>
  <c r="E305" i="21"/>
  <c r="E304" i="21"/>
  <c r="E303" i="21"/>
  <c r="E302" i="21"/>
  <c r="E301" i="21"/>
  <c r="E300" i="21"/>
  <c r="E299" i="21"/>
  <c r="E298" i="21"/>
  <c r="E297" i="21"/>
  <c r="E296" i="21"/>
  <c r="E295" i="21"/>
  <c r="E294" i="21"/>
  <c r="E293" i="21"/>
  <c r="E292" i="21"/>
  <c r="E291" i="21"/>
  <c r="E290" i="21"/>
  <c r="E289" i="21"/>
  <c r="E288" i="21"/>
  <c r="E287" i="21"/>
  <c r="E286" i="21"/>
  <c r="E285" i="21"/>
  <c r="E284" i="21"/>
  <c r="E283" i="21"/>
  <c r="E282" i="21"/>
  <c r="E281" i="21"/>
  <c r="E280" i="21"/>
  <c r="E279" i="21"/>
  <c r="E278" i="21"/>
  <c r="E277" i="21"/>
  <c r="E276" i="21"/>
  <c r="E275" i="21"/>
  <c r="E274" i="21"/>
  <c r="E273" i="21"/>
  <c r="E272" i="21"/>
  <c r="E271" i="21"/>
  <c r="E270" i="21"/>
  <c r="E269" i="21"/>
  <c r="E268" i="21"/>
  <c r="E267" i="21"/>
  <c r="E266" i="21"/>
  <c r="E265" i="21"/>
  <c r="E264" i="21"/>
  <c r="E263" i="21"/>
  <c r="E262" i="21"/>
  <c r="E261" i="21"/>
  <c r="E260" i="21"/>
  <c r="E259" i="21"/>
  <c r="E258" i="21"/>
  <c r="E257" i="21"/>
  <c r="E256" i="21"/>
  <c r="E255" i="21"/>
  <c r="E254" i="21"/>
  <c r="E253" i="21"/>
  <c r="E252" i="21"/>
  <c r="E251" i="21"/>
  <c r="E250" i="21"/>
  <c r="E249" i="21"/>
  <c r="E248" i="21"/>
  <c r="E247" i="21"/>
  <c r="E246" i="21"/>
  <c r="E245" i="21"/>
  <c r="E244" i="21"/>
  <c r="E243" i="21"/>
  <c r="E242" i="21"/>
  <c r="E241" i="21"/>
  <c r="E240" i="21"/>
  <c r="E239" i="21"/>
  <c r="E238" i="21"/>
  <c r="E237" i="21"/>
  <c r="E236" i="21"/>
  <c r="E235" i="21"/>
  <c r="E234" i="21"/>
  <c r="E233" i="21"/>
  <c r="E232" i="21"/>
  <c r="E231" i="21"/>
  <c r="E230" i="21"/>
  <c r="E229" i="21"/>
  <c r="E228" i="21"/>
  <c r="E227" i="21"/>
  <c r="E226" i="21"/>
  <c r="E225" i="21"/>
  <c r="E224" i="21"/>
  <c r="E223" i="21"/>
  <c r="E222" i="21"/>
  <c r="E221" i="21"/>
  <c r="E220" i="21"/>
  <c r="E219" i="21"/>
  <c r="E218" i="21"/>
  <c r="E217" i="21"/>
  <c r="E216" i="21"/>
  <c r="E215" i="21"/>
  <c r="E214" i="21"/>
  <c r="E213" i="21"/>
  <c r="E212" i="21"/>
  <c r="E211" i="21"/>
  <c r="E210" i="21"/>
  <c r="E209" i="21"/>
  <c r="E208" i="21"/>
  <c r="E207" i="21"/>
  <c r="E206" i="21"/>
  <c r="E205" i="21"/>
  <c r="E204" i="21"/>
  <c r="E203" i="21"/>
  <c r="E202" i="21"/>
  <c r="E201" i="21"/>
  <c r="E200" i="21"/>
  <c r="E199" i="21"/>
  <c r="E198" i="21"/>
  <c r="E197" i="21"/>
  <c r="E196" i="21"/>
  <c r="E195" i="21"/>
  <c r="E194" i="21"/>
  <c r="E193" i="21"/>
  <c r="E192" i="21"/>
  <c r="E191" i="21"/>
  <c r="E190" i="21"/>
  <c r="E189" i="21"/>
  <c r="E188" i="21"/>
  <c r="E187" i="21"/>
  <c r="E186" i="21"/>
  <c r="E185" i="21"/>
  <c r="E184" i="21"/>
  <c r="E183" i="21"/>
  <c r="E182" i="21"/>
  <c r="E181" i="21"/>
  <c r="E180" i="21"/>
  <c r="E179" i="21"/>
  <c r="E178" i="21"/>
  <c r="E177" i="21"/>
  <c r="E176" i="21"/>
  <c r="E175" i="21"/>
  <c r="E174" i="21"/>
  <c r="E173" i="21"/>
  <c r="E172" i="21"/>
  <c r="E171" i="21"/>
  <c r="E170" i="21"/>
  <c r="E169" i="21"/>
  <c r="E168" i="21"/>
  <c r="E167" i="21"/>
  <c r="E166" i="21"/>
  <c r="E165" i="21"/>
  <c r="E164" i="21"/>
  <c r="E163" i="21"/>
  <c r="E162" i="21"/>
  <c r="E161" i="21"/>
  <c r="E160" i="21"/>
  <c r="E159" i="21"/>
  <c r="E158" i="21"/>
  <c r="E157" i="21"/>
  <c r="E156" i="21"/>
  <c r="E155" i="21"/>
  <c r="E154" i="21"/>
  <c r="E153" i="21"/>
  <c r="E152" i="21"/>
  <c r="E151" i="21"/>
  <c r="E150" i="21"/>
  <c r="E149" i="21"/>
  <c r="E148" i="21"/>
  <c r="E147" i="21"/>
  <c r="E146" i="21"/>
  <c r="E145" i="21"/>
  <c r="E144" i="21"/>
  <c r="E143" i="21"/>
  <c r="E142" i="21"/>
  <c r="E141" i="21"/>
  <c r="E140" i="21"/>
  <c r="E139" i="21"/>
  <c r="E138" i="21"/>
  <c r="E137" i="21"/>
  <c r="E136" i="21"/>
  <c r="E135" i="21"/>
  <c r="E134" i="21"/>
  <c r="E133" i="21"/>
  <c r="E132" i="21"/>
  <c r="E131" i="21"/>
  <c r="E130" i="21"/>
  <c r="E129" i="21"/>
  <c r="E128" i="21"/>
  <c r="E127" i="21"/>
  <c r="E126" i="21"/>
  <c r="E125" i="21"/>
  <c r="E124" i="21"/>
  <c r="E123" i="21"/>
  <c r="E122" i="21"/>
  <c r="E121" i="21"/>
  <c r="E120" i="21"/>
  <c r="E119" i="21"/>
  <c r="E118" i="21"/>
  <c r="E117" i="21"/>
  <c r="E116" i="21"/>
  <c r="E115" i="21"/>
  <c r="E114" i="21"/>
  <c r="E113" i="21"/>
  <c r="E112" i="21"/>
  <c r="E111" i="21"/>
  <c r="E110" i="21"/>
  <c r="E109" i="21"/>
  <c r="E108" i="21"/>
  <c r="E107" i="21"/>
  <c r="E106" i="21"/>
  <c r="E105" i="21"/>
  <c r="E104" i="21"/>
  <c r="E103" i="21"/>
  <c r="E102" i="21"/>
  <c r="E101" i="21"/>
  <c r="E100" i="21"/>
  <c r="E99" i="21"/>
  <c r="E98" i="21"/>
  <c r="E97" i="21"/>
  <c r="E96" i="21"/>
  <c r="E95" i="21"/>
  <c r="E94" i="21"/>
  <c r="E93" i="21"/>
  <c r="E92" i="21"/>
  <c r="E91" i="21"/>
  <c r="E90" i="21"/>
  <c r="E89" i="21"/>
  <c r="E88" i="21"/>
  <c r="E87" i="21"/>
  <c r="E86" i="21"/>
  <c r="E85" i="21"/>
  <c r="E84" i="21"/>
  <c r="E83" i="21"/>
  <c r="E82" i="21"/>
  <c r="E81" i="21"/>
  <c r="E80" i="21"/>
  <c r="E79" i="21"/>
  <c r="E78" i="21"/>
  <c r="E77" i="21"/>
  <c r="E76" i="21"/>
  <c r="E75" i="21"/>
  <c r="E74" i="21"/>
  <c r="E73" i="21"/>
  <c r="E72" i="21"/>
  <c r="E71" i="21"/>
  <c r="E70" i="21"/>
  <c r="E69" i="21"/>
  <c r="E68" i="21"/>
  <c r="E67" i="21"/>
  <c r="E66" i="21"/>
  <c r="E65" i="21"/>
  <c r="E64" i="21"/>
  <c r="E63" i="21"/>
  <c r="E62" i="21"/>
  <c r="E61" i="21"/>
  <c r="E60" i="21"/>
  <c r="E59" i="21"/>
  <c r="E58" i="21"/>
  <c r="E57" i="21"/>
  <c r="E56" i="21"/>
  <c r="E55" i="21"/>
  <c r="E54" i="21"/>
  <c r="E53" i="21"/>
  <c r="E52" i="21"/>
  <c r="E51" i="21"/>
  <c r="E50" i="21"/>
  <c r="E49" i="21"/>
  <c r="E48" i="21"/>
  <c r="E47" i="21"/>
  <c r="E46" i="21"/>
  <c r="E45" i="21"/>
  <c r="E44" i="21"/>
  <c r="E43" i="21"/>
  <c r="E42" i="21"/>
  <c r="E41" i="21"/>
  <c r="E40" i="21"/>
  <c r="E39" i="21"/>
  <c r="E38" i="21"/>
  <c r="E37" i="21"/>
  <c r="E36" i="21"/>
  <c r="E35" i="21"/>
  <c r="E34" i="21"/>
  <c r="E33" i="21"/>
  <c r="E32" i="21"/>
  <c r="E31" i="21"/>
  <c r="E30" i="21"/>
  <c r="E29" i="21"/>
  <c r="E28" i="21"/>
  <c r="E27" i="21"/>
  <c r="E26" i="21"/>
  <c r="E25" i="21"/>
  <c r="E24" i="21"/>
  <c r="E23" i="21"/>
  <c r="E22" i="21"/>
  <c r="E21" i="21"/>
  <c r="E20" i="21"/>
  <c r="E19" i="21"/>
  <c r="E18" i="21"/>
  <c r="E17" i="21"/>
  <c r="E16" i="21"/>
  <c r="E15" i="21"/>
  <c r="E14" i="21"/>
  <c r="E13" i="21"/>
  <c r="E12" i="21"/>
  <c r="E11" i="21"/>
  <c r="E10" i="21"/>
  <c r="E9" i="21"/>
  <c r="E8" i="21"/>
  <c r="E7" i="21"/>
  <c r="E6" i="21"/>
  <c r="E5" i="21"/>
  <c r="E4" i="21"/>
  <c r="E3" i="21"/>
  <c r="H1" i="21"/>
  <c r="F1" i="21"/>
  <c r="C1" i="21"/>
  <c r="C416" i="20"/>
  <c r="C415" i="20"/>
  <c r="C414" i="20"/>
  <c r="C413" i="20"/>
  <c r="C412" i="20"/>
  <c r="C411" i="20"/>
  <c r="C410" i="20"/>
  <c r="C409" i="20"/>
  <c r="C408" i="20"/>
  <c r="C407" i="20"/>
  <c r="C406" i="20"/>
  <c r="C405" i="20"/>
  <c r="C404" i="20"/>
  <c r="C403" i="20"/>
  <c r="C402" i="20"/>
  <c r="C401" i="20"/>
  <c r="C400" i="20"/>
  <c r="C399" i="20"/>
  <c r="C398" i="20"/>
  <c r="C395" i="20"/>
  <c r="C394" i="20"/>
  <c r="C393" i="20"/>
  <c r="C392" i="20"/>
  <c r="C391" i="20"/>
  <c r="C390" i="20"/>
  <c r="C389" i="20"/>
  <c r="C388" i="20"/>
  <c r="C387" i="20"/>
  <c r="C386" i="20"/>
  <c r="C385" i="20"/>
  <c r="C384" i="20"/>
  <c r="C383" i="20"/>
  <c r="C382" i="20"/>
  <c r="C381" i="20"/>
  <c r="C380" i="20"/>
  <c r="C379" i="20"/>
  <c r="C378" i="20"/>
  <c r="C377" i="20"/>
  <c r="C376" i="20"/>
  <c r="C375" i="20"/>
  <c r="C374" i="20"/>
  <c r="C373" i="20"/>
  <c r="C372" i="20"/>
  <c r="C370" i="20"/>
  <c r="C369" i="20"/>
  <c r="C368" i="20"/>
  <c r="C367" i="20"/>
  <c r="C366" i="20"/>
  <c r="C365" i="20"/>
  <c r="C364" i="20"/>
  <c r="C363" i="20"/>
  <c r="C362" i="20"/>
  <c r="C361" i="20"/>
  <c r="C360" i="20"/>
  <c r="C358" i="20"/>
  <c r="C357" i="20"/>
  <c r="C356" i="20"/>
  <c r="C355" i="20"/>
  <c r="C354" i="20"/>
  <c r="C353" i="20"/>
  <c r="C352" i="20"/>
  <c r="C351" i="20"/>
  <c r="C350" i="20"/>
  <c r="C349" i="20"/>
  <c r="C348" i="20"/>
  <c r="C347" i="20"/>
  <c r="C346" i="20"/>
  <c r="C345" i="20"/>
  <c r="C344" i="20"/>
  <c r="C343" i="20"/>
  <c r="C342" i="20"/>
  <c r="C341" i="20"/>
  <c r="C340" i="20"/>
  <c r="C339" i="20"/>
  <c r="C338" i="20"/>
  <c r="C337" i="20"/>
  <c r="C336" i="20"/>
  <c r="C335" i="20"/>
  <c r="C334" i="20"/>
  <c r="C333" i="20"/>
  <c r="C331" i="20"/>
  <c r="C330" i="20"/>
  <c r="C329" i="20"/>
  <c r="C328" i="20"/>
  <c r="C327" i="20"/>
  <c r="C326" i="20"/>
  <c r="C325" i="20"/>
  <c r="C324" i="20"/>
  <c r="C323" i="20"/>
  <c r="C322" i="20"/>
  <c r="C321" i="20"/>
  <c r="C320" i="20"/>
  <c r="C319" i="20"/>
  <c r="C318" i="20"/>
  <c r="C317" i="20"/>
  <c r="C316" i="20"/>
  <c r="C315" i="20"/>
  <c r="C314" i="20"/>
  <c r="C313" i="20"/>
  <c r="C312" i="20"/>
  <c r="C311" i="20"/>
  <c r="C310" i="20"/>
  <c r="C309" i="20"/>
  <c r="C308" i="20"/>
  <c r="C307" i="20"/>
  <c r="C305" i="20"/>
  <c r="C304" i="20"/>
  <c r="C303" i="20"/>
  <c r="C302" i="20"/>
  <c r="C301" i="20"/>
  <c r="C300" i="20"/>
  <c r="C299" i="20"/>
  <c r="C298" i="20"/>
  <c r="C297" i="20"/>
  <c r="C296" i="20"/>
  <c r="C295" i="20"/>
  <c r="C294" i="20"/>
  <c r="C293" i="20"/>
  <c r="C292" i="20"/>
  <c r="C291" i="20"/>
  <c r="C290" i="20"/>
  <c r="C289" i="20"/>
  <c r="C288" i="20"/>
  <c r="C287" i="20"/>
  <c r="C286" i="20"/>
  <c r="C285" i="20"/>
  <c r="C284" i="20"/>
  <c r="C283" i="20"/>
  <c r="C282" i="20"/>
  <c r="C281" i="20"/>
  <c r="C280" i="20"/>
  <c r="C279" i="20"/>
  <c r="C278" i="20"/>
  <c r="C277" i="20"/>
  <c r="C276" i="20"/>
  <c r="C275" i="20"/>
  <c r="C274" i="20"/>
  <c r="C273" i="20"/>
  <c r="C272" i="20"/>
  <c r="C271" i="20"/>
  <c r="C270" i="20"/>
  <c r="C269" i="20"/>
  <c r="C268" i="20"/>
  <c r="C267" i="20"/>
  <c r="C266" i="20"/>
  <c r="C265" i="20"/>
  <c r="C264" i="20"/>
  <c r="C263" i="20"/>
  <c r="C262" i="20"/>
  <c r="C261" i="20"/>
  <c r="C260" i="20"/>
  <c r="C259" i="20"/>
  <c r="C258" i="20"/>
  <c r="C257" i="20"/>
  <c r="C256" i="20"/>
  <c r="C255" i="20"/>
  <c r="C254" i="20"/>
  <c r="C252" i="20"/>
  <c r="C251" i="20"/>
  <c r="C250" i="20"/>
  <c r="C249" i="20"/>
  <c r="C248" i="20"/>
  <c r="C247" i="20"/>
  <c r="C246" i="20"/>
  <c r="C245" i="20"/>
  <c r="C244" i="20"/>
  <c r="C243" i="20"/>
  <c r="C242" i="20"/>
  <c r="C241" i="20"/>
  <c r="C240" i="20"/>
  <c r="C239" i="20"/>
  <c r="C238" i="20"/>
  <c r="C237" i="20"/>
  <c r="C236" i="20"/>
  <c r="C235" i="20"/>
  <c r="C234" i="20"/>
  <c r="C232" i="20"/>
  <c r="C231" i="20"/>
  <c r="C230" i="20"/>
  <c r="C229" i="20"/>
  <c r="C228" i="20"/>
  <c r="C227" i="20"/>
  <c r="C226" i="20"/>
  <c r="C225" i="20"/>
  <c r="C224" i="20"/>
  <c r="C223" i="20"/>
  <c r="C222" i="20"/>
  <c r="C221" i="20"/>
  <c r="C220" i="20"/>
  <c r="C219" i="20"/>
  <c r="C217" i="20"/>
  <c r="C216" i="20"/>
  <c r="C215" i="20"/>
  <c r="C214" i="20"/>
  <c r="C213" i="20"/>
  <c r="C212" i="20"/>
  <c r="C210" i="20"/>
  <c r="C209" i="20"/>
  <c r="C208" i="20"/>
  <c r="C207" i="20"/>
  <c r="C206" i="20"/>
  <c r="C205" i="20"/>
  <c r="C204" i="20"/>
  <c r="C203" i="20"/>
  <c r="C202" i="20"/>
  <c r="C201" i="20"/>
  <c r="C200" i="20"/>
  <c r="C199" i="20"/>
  <c r="C198" i="20"/>
  <c r="C197" i="20"/>
  <c r="C196" i="20"/>
  <c r="C195" i="20"/>
  <c r="C194" i="20"/>
  <c r="C193" i="20"/>
  <c r="C192" i="20"/>
  <c r="C191" i="20"/>
  <c r="C190" i="20"/>
  <c r="C189" i="20"/>
  <c r="C188" i="20"/>
  <c r="C187" i="20"/>
  <c r="C186" i="20"/>
  <c r="C185" i="20"/>
  <c r="C184" i="20"/>
  <c r="C183" i="20"/>
  <c r="C182" i="20"/>
  <c r="C181" i="20"/>
  <c r="C180" i="20"/>
  <c r="C179" i="20"/>
  <c r="C177" i="20"/>
  <c r="C175" i="20"/>
  <c r="C174" i="20"/>
  <c r="C173" i="20"/>
  <c r="C172" i="20"/>
  <c r="C171" i="20"/>
  <c r="C170" i="20"/>
  <c r="C169" i="20"/>
  <c r="C168" i="20"/>
  <c r="C167" i="20"/>
  <c r="C166" i="20"/>
  <c r="C165" i="20"/>
  <c r="C164" i="20"/>
  <c r="C163" i="20"/>
  <c r="C162" i="20"/>
  <c r="C161" i="20"/>
  <c r="C160" i="20"/>
  <c r="C159" i="20"/>
  <c r="C158" i="20"/>
  <c r="C157" i="20"/>
  <c r="C156" i="20"/>
  <c r="C155" i="20"/>
  <c r="C154" i="20"/>
  <c r="C153" i="20"/>
  <c r="C152" i="20"/>
  <c r="C151" i="20"/>
  <c r="C150" i="20"/>
  <c r="C149" i="20"/>
  <c r="C148" i="20"/>
  <c r="C147" i="20"/>
  <c r="C145" i="20"/>
  <c r="C144" i="20"/>
  <c r="C143" i="20"/>
  <c r="C142" i="20"/>
  <c r="C141" i="20"/>
  <c r="C140" i="20"/>
  <c r="C139" i="20"/>
  <c r="C138" i="20"/>
  <c r="C137" i="20"/>
  <c r="C136" i="20"/>
  <c r="C135" i="20"/>
  <c r="C134" i="20"/>
  <c r="C133" i="20"/>
  <c r="C132" i="20"/>
  <c r="C131" i="20"/>
  <c r="C130" i="20"/>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C6" i="20"/>
  <c r="C5" i="20"/>
  <c r="C4" i="20"/>
  <c r="I3" i="20"/>
  <c r="C3" i="20"/>
  <c r="G1" i="20"/>
  <c r="C1" i="20"/>
  <c r="E1" i="20" s="1"/>
  <c r="A1" i="20"/>
  <c r="E901" i="19"/>
  <c r="E900" i="19"/>
  <c r="E899" i="19"/>
  <c r="E898" i="19"/>
  <c r="E897" i="19"/>
  <c r="E896" i="19"/>
  <c r="E895" i="19"/>
  <c r="E894" i="19"/>
  <c r="E893" i="19"/>
  <c r="E892" i="19"/>
  <c r="E891" i="19"/>
  <c r="E890" i="19"/>
  <c r="E889" i="19"/>
  <c r="E888" i="19"/>
  <c r="E887" i="19"/>
  <c r="E886" i="19"/>
  <c r="E885" i="19"/>
  <c r="E884" i="19"/>
  <c r="E883" i="19"/>
  <c r="E882" i="19"/>
  <c r="E881" i="19"/>
  <c r="E880" i="19"/>
  <c r="E879" i="19"/>
  <c r="E878" i="19"/>
  <c r="E877" i="19"/>
  <c r="E876" i="19"/>
  <c r="E875" i="19"/>
  <c r="E874" i="19"/>
  <c r="E873" i="19"/>
  <c r="E872" i="19"/>
  <c r="E871" i="19"/>
  <c r="E870" i="19"/>
  <c r="E869" i="19"/>
  <c r="E868" i="19"/>
  <c r="E867" i="19"/>
  <c r="E866" i="19"/>
  <c r="E865" i="19"/>
  <c r="E864" i="19"/>
  <c r="E863" i="19"/>
  <c r="E862" i="19"/>
  <c r="E861" i="19"/>
  <c r="E860" i="19"/>
  <c r="E859" i="19"/>
  <c r="E858" i="19"/>
  <c r="E857" i="19"/>
  <c r="E856" i="19"/>
  <c r="E855" i="19"/>
  <c r="E854" i="19"/>
  <c r="E853" i="19"/>
  <c r="E852" i="19"/>
  <c r="E851" i="19"/>
  <c r="E850" i="19"/>
  <c r="E849" i="19"/>
  <c r="E848" i="19"/>
  <c r="E847" i="19"/>
  <c r="E846" i="19"/>
  <c r="E845" i="19"/>
  <c r="E844" i="19"/>
  <c r="E843" i="19"/>
  <c r="E842" i="19"/>
  <c r="E841" i="19"/>
  <c r="E840" i="19"/>
  <c r="E839" i="19"/>
  <c r="E838" i="19"/>
  <c r="E837" i="19"/>
  <c r="E836" i="19"/>
  <c r="E835" i="19"/>
  <c r="E834" i="19"/>
  <c r="E833" i="19"/>
  <c r="E832" i="19"/>
  <c r="E831" i="19"/>
  <c r="E830" i="19"/>
  <c r="E829" i="19"/>
  <c r="E828" i="19"/>
  <c r="E827" i="19"/>
  <c r="E826" i="19"/>
  <c r="E825" i="19"/>
  <c r="E824" i="19"/>
  <c r="E823" i="19"/>
  <c r="E822" i="19"/>
  <c r="E821" i="19"/>
  <c r="E820" i="19"/>
  <c r="E819" i="19"/>
  <c r="E818" i="19"/>
  <c r="E817" i="19"/>
  <c r="E816" i="19"/>
  <c r="E815" i="19"/>
  <c r="E814" i="19"/>
  <c r="E813" i="19"/>
  <c r="E812" i="19"/>
  <c r="E811" i="19"/>
  <c r="E810" i="19"/>
  <c r="E809" i="19"/>
  <c r="E808" i="19"/>
  <c r="E807" i="19"/>
  <c r="E806" i="19"/>
  <c r="E805" i="19"/>
  <c r="E804" i="19"/>
  <c r="E803" i="19"/>
  <c r="E802" i="19"/>
  <c r="E801" i="19"/>
  <c r="E800" i="19"/>
  <c r="E799" i="19"/>
  <c r="E798" i="19"/>
  <c r="E797" i="19"/>
  <c r="E796" i="19"/>
  <c r="E795" i="19"/>
  <c r="E794" i="19"/>
  <c r="E793" i="19"/>
  <c r="E792" i="19"/>
  <c r="E791" i="19"/>
  <c r="E790" i="19"/>
  <c r="E789" i="19"/>
  <c r="E788" i="19"/>
  <c r="E787" i="19"/>
  <c r="E786" i="19"/>
  <c r="E785" i="19"/>
  <c r="E784" i="19"/>
  <c r="E783" i="19"/>
  <c r="E782" i="19"/>
  <c r="E781" i="19"/>
  <c r="E780" i="19"/>
  <c r="E779" i="19"/>
  <c r="E778" i="19"/>
  <c r="E777" i="19"/>
  <c r="E776" i="19"/>
  <c r="E775" i="19"/>
  <c r="E774" i="19"/>
  <c r="E773" i="19"/>
  <c r="E772" i="19"/>
  <c r="E771" i="19"/>
  <c r="E770" i="19"/>
  <c r="E769" i="19"/>
  <c r="E768" i="19"/>
  <c r="E767" i="19"/>
  <c r="E766" i="19"/>
  <c r="E765" i="19"/>
  <c r="E764" i="19"/>
  <c r="E763" i="19"/>
  <c r="E762" i="19"/>
  <c r="E761" i="19"/>
  <c r="E760" i="19"/>
  <c r="E759" i="19"/>
  <c r="E758" i="19"/>
  <c r="E757" i="19"/>
  <c r="E756" i="19"/>
  <c r="E755" i="19"/>
  <c r="E754" i="19"/>
  <c r="E753" i="19"/>
  <c r="E752" i="19"/>
  <c r="E751" i="19"/>
  <c r="E750" i="19"/>
  <c r="E749" i="19"/>
  <c r="E748" i="19"/>
  <c r="E747" i="19"/>
  <c r="E746" i="19"/>
  <c r="E745" i="19"/>
  <c r="E744" i="19"/>
  <c r="E743" i="19"/>
  <c r="E742" i="19"/>
  <c r="E741" i="19"/>
  <c r="E740" i="19"/>
  <c r="E739" i="19"/>
  <c r="E738" i="19"/>
  <c r="E737" i="19"/>
  <c r="E736" i="19"/>
  <c r="E735" i="19"/>
  <c r="E734" i="19"/>
  <c r="E733" i="19"/>
  <c r="E732" i="19"/>
  <c r="E731" i="19"/>
  <c r="E730" i="19"/>
  <c r="E729" i="19"/>
  <c r="E728" i="19"/>
  <c r="E727" i="19"/>
  <c r="E726" i="19"/>
  <c r="E725" i="19"/>
  <c r="E724" i="19"/>
  <c r="E723" i="19"/>
  <c r="E722" i="19"/>
  <c r="E721" i="19"/>
  <c r="E720" i="19"/>
  <c r="E719" i="19"/>
  <c r="E718" i="19"/>
  <c r="E717" i="19"/>
  <c r="E716" i="19"/>
  <c r="E715" i="19"/>
  <c r="E714" i="19"/>
  <c r="E713" i="19"/>
  <c r="E712" i="19"/>
  <c r="E711" i="19"/>
  <c r="E710" i="19"/>
  <c r="E709" i="19"/>
  <c r="E708" i="19"/>
  <c r="E707" i="19"/>
  <c r="E706" i="19"/>
  <c r="E705" i="19"/>
  <c r="E704" i="19"/>
  <c r="E703" i="19"/>
  <c r="E702" i="19"/>
  <c r="E701" i="19"/>
  <c r="E700" i="19"/>
  <c r="E699" i="19"/>
  <c r="E698" i="19"/>
  <c r="E697" i="19"/>
  <c r="E696" i="19"/>
  <c r="E695" i="19"/>
  <c r="E694" i="19"/>
  <c r="E693" i="19"/>
  <c r="E692" i="19"/>
  <c r="E691" i="19"/>
  <c r="E690" i="19"/>
  <c r="E689" i="19"/>
  <c r="E688" i="19"/>
  <c r="E687" i="19"/>
  <c r="E686" i="19"/>
  <c r="E685" i="19"/>
  <c r="E684" i="19"/>
  <c r="E683" i="19"/>
  <c r="E682" i="19"/>
  <c r="E681" i="19"/>
  <c r="E680" i="19"/>
  <c r="E679" i="19"/>
  <c r="E678" i="19"/>
  <c r="E677" i="19"/>
  <c r="E676" i="19"/>
  <c r="E675" i="19"/>
  <c r="E674" i="19"/>
  <c r="E673" i="19"/>
  <c r="E672" i="19"/>
  <c r="E671" i="19"/>
  <c r="E670" i="19"/>
  <c r="E669" i="19"/>
  <c r="E668" i="19"/>
  <c r="E667" i="19"/>
  <c r="E666" i="19"/>
  <c r="E665" i="19"/>
  <c r="E664" i="19"/>
  <c r="E663" i="19"/>
  <c r="E662" i="19"/>
  <c r="E661" i="19"/>
  <c r="E660" i="19"/>
  <c r="E659" i="19"/>
  <c r="E658" i="19"/>
  <c r="E657" i="19"/>
  <c r="E656" i="19"/>
  <c r="E655" i="19"/>
  <c r="E654" i="19"/>
  <c r="E653" i="19"/>
  <c r="E652" i="19"/>
  <c r="E651" i="19"/>
  <c r="E650" i="19"/>
  <c r="E649" i="19"/>
  <c r="E648" i="19"/>
  <c r="E647" i="19"/>
  <c r="E646" i="19"/>
  <c r="E645" i="19"/>
  <c r="E644" i="19"/>
  <c r="E643" i="19"/>
  <c r="E642" i="19"/>
  <c r="E641" i="19"/>
  <c r="E640" i="19"/>
  <c r="E639" i="19"/>
  <c r="E638" i="19"/>
  <c r="E637" i="19"/>
  <c r="E636" i="19"/>
  <c r="E635" i="19"/>
  <c r="E634" i="19"/>
  <c r="E633" i="19"/>
  <c r="E632" i="19"/>
  <c r="E631" i="19"/>
  <c r="E630" i="19"/>
  <c r="E629" i="19"/>
  <c r="E628" i="19"/>
  <c r="E627" i="19"/>
  <c r="E626" i="19"/>
  <c r="E625" i="19"/>
  <c r="E624" i="19"/>
  <c r="E623" i="19"/>
  <c r="E622" i="19"/>
  <c r="E621" i="19"/>
  <c r="E620" i="19"/>
  <c r="E619" i="19"/>
  <c r="E618" i="19"/>
  <c r="E617" i="19"/>
  <c r="E616" i="19"/>
  <c r="E615" i="19"/>
  <c r="E614" i="19"/>
  <c r="E613" i="19"/>
  <c r="E612" i="19"/>
  <c r="E611" i="19"/>
  <c r="E610" i="19"/>
  <c r="E609" i="19"/>
  <c r="E608" i="19"/>
  <c r="E607" i="19"/>
  <c r="E606" i="19"/>
  <c r="E605" i="19"/>
  <c r="E604" i="19"/>
  <c r="E603" i="19"/>
  <c r="E602" i="19"/>
  <c r="E601" i="19"/>
  <c r="E600" i="19"/>
  <c r="E599" i="19"/>
  <c r="E598" i="19"/>
  <c r="E597" i="19"/>
  <c r="E596" i="19"/>
  <c r="E595" i="19"/>
  <c r="E594" i="19"/>
  <c r="E593" i="19"/>
  <c r="E592" i="19"/>
  <c r="E591" i="19"/>
  <c r="E590" i="19"/>
  <c r="E589" i="19"/>
  <c r="E588" i="19"/>
  <c r="E587" i="19"/>
  <c r="E586" i="19"/>
  <c r="E585" i="19"/>
  <c r="E584" i="19"/>
  <c r="E583" i="19"/>
  <c r="E582" i="19"/>
  <c r="E581" i="19"/>
  <c r="E580" i="19"/>
  <c r="E579" i="19"/>
  <c r="E578" i="19"/>
  <c r="E577" i="19"/>
  <c r="E576" i="19"/>
  <c r="E575" i="19"/>
  <c r="E574" i="19"/>
  <c r="E573" i="19"/>
  <c r="E572" i="19"/>
  <c r="E571" i="19"/>
  <c r="E570" i="19"/>
  <c r="E569" i="19"/>
  <c r="E568" i="19"/>
  <c r="E567" i="19"/>
  <c r="E566" i="19"/>
  <c r="E565" i="19"/>
  <c r="E564" i="19"/>
  <c r="E563" i="19"/>
  <c r="E562" i="19"/>
  <c r="E561" i="19"/>
  <c r="E560" i="19"/>
  <c r="E559" i="19"/>
  <c r="E558" i="19"/>
  <c r="E557" i="19"/>
  <c r="E556" i="19"/>
  <c r="E555" i="19"/>
  <c r="E554" i="19"/>
  <c r="E553" i="19"/>
  <c r="E552" i="19"/>
  <c r="E551" i="19"/>
  <c r="E550" i="19"/>
  <c r="E549" i="19"/>
  <c r="E548" i="19"/>
  <c r="E547" i="19"/>
  <c r="E546" i="19"/>
  <c r="E545" i="19"/>
  <c r="E544" i="19"/>
  <c r="E543" i="19"/>
  <c r="E542" i="19"/>
  <c r="E541" i="19"/>
  <c r="E540" i="19"/>
  <c r="E539" i="19"/>
  <c r="E538" i="19"/>
  <c r="E537" i="19"/>
  <c r="E536" i="19"/>
  <c r="E535" i="19"/>
  <c r="E534" i="19"/>
  <c r="E533" i="19"/>
  <c r="E532" i="19"/>
  <c r="E531" i="19"/>
  <c r="E530" i="19"/>
  <c r="E529" i="19"/>
  <c r="E528" i="19"/>
  <c r="E527" i="19"/>
  <c r="E526" i="19"/>
  <c r="E525" i="19"/>
  <c r="E524" i="19"/>
  <c r="E523" i="19"/>
  <c r="E522" i="19"/>
  <c r="E521" i="19"/>
  <c r="E520" i="19"/>
  <c r="E519" i="19"/>
  <c r="E518" i="19"/>
  <c r="E517" i="19"/>
  <c r="E516" i="19"/>
  <c r="E515" i="19"/>
  <c r="E514" i="19"/>
  <c r="E513" i="19"/>
  <c r="E512" i="19"/>
  <c r="E511" i="19"/>
  <c r="E510" i="19"/>
  <c r="E509" i="19"/>
  <c r="E508" i="19"/>
  <c r="E507" i="19"/>
  <c r="E506" i="19"/>
  <c r="E505" i="19"/>
  <c r="E504" i="19"/>
  <c r="E503" i="19"/>
  <c r="E502" i="19"/>
  <c r="E501" i="19"/>
  <c r="E500" i="19"/>
  <c r="E499" i="19"/>
  <c r="E498" i="19"/>
  <c r="E497" i="19"/>
  <c r="E496" i="19"/>
  <c r="E495" i="19"/>
  <c r="E494" i="19"/>
  <c r="E493" i="19"/>
  <c r="E492" i="19"/>
  <c r="E491" i="19"/>
  <c r="E490" i="19"/>
  <c r="E489" i="19"/>
  <c r="E488" i="19"/>
  <c r="E487" i="19"/>
  <c r="E486" i="19"/>
  <c r="E485" i="19"/>
  <c r="E484" i="19"/>
  <c r="E483" i="19"/>
  <c r="E482" i="19"/>
  <c r="E481" i="19"/>
  <c r="E480" i="19"/>
  <c r="E479" i="19"/>
  <c r="E478" i="19"/>
  <c r="E477" i="19"/>
  <c r="E476" i="19"/>
  <c r="E475" i="19"/>
  <c r="E474" i="19"/>
  <c r="E473" i="19"/>
  <c r="E472" i="19"/>
  <c r="E471" i="19"/>
  <c r="E470" i="19"/>
  <c r="E469" i="19"/>
  <c r="E468" i="19"/>
  <c r="E467" i="19"/>
  <c r="E466" i="19"/>
  <c r="E465" i="19"/>
  <c r="E464" i="19"/>
  <c r="E463" i="19"/>
  <c r="E462" i="19"/>
  <c r="E461" i="19"/>
  <c r="E460" i="19"/>
  <c r="E459" i="19"/>
  <c r="E458" i="19"/>
  <c r="E457" i="19"/>
  <c r="E456" i="19"/>
  <c r="E455" i="19"/>
  <c r="E454" i="19"/>
  <c r="E453" i="19"/>
  <c r="E452" i="19"/>
  <c r="E451" i="19"/>
  <c r="E450" i="19"/>
  <c r="E449" i="19"/>
  <c r="E448" i="19"/>
  <c r="E447" i="19"/>
  <c r="E446" i="19"/>
  <c r="E445" i="19"/>
  <c r="E444" i="19"/>
  <c r="E443" i="19"/>
  <c r="E442" i="19"/>
  <c r="E441" i="19"/>
  <c r="E440" i="19"/>
  <c r="E439" i="19"/>
  <c r="E438" i="19"/>
  <c r="E437" i="19"/>
  <c r="E436" i="19"/>
  <c r="E435" i="19"/>
  <c r="E434" i="19"/>
  <c r="E433" i="19"/>
  <c r="E432" i="19"/>
  <c r="E431" i="19"/>
  <c r="E430" i="19"/>
  <c r="E429" i="19"/>
  <c r="E428" i="19"/>
  <c r="E427" i="19"/>
  <c r="E426" i="19"/>
  <c r="E425" i="19"/>
  <c r="E424" i="19"/>
  <c r="E423" i="19"/>
  <c r="E422" i="19"/>
  <c r="E421" i="19"/>
  <c r="E420" i="19"/>
  <c r="E419" i="19"/>
  <c r="E418" i="19"/>
  <c r="E417" i="19"/>
  <c r="E416" i="19"/>
  <c r="E415" i="19"/>
  <c r="E414" i="19"/>
  <c r="E413" i="19"/>
  <c r="E412" i="19"/>
  <c r="E411" i="19"/>
  <c r="E410" i="19"/>
  <c r="E409" i="19"/>
  <c r="E408" i="19"/>
  <c r="E407" i="19"/>
  <c r="E406" i="19"/>
  <c r="E405" i="19"/>
  <c r="E404" i="19"/>
  <c r="E403" i="19"/>
  <c r="E402" i="19"/>
  <c r="E401" i="19"/>
  <c r="E400" i="19"/>
  <c r="E399" i="19"/>
  <c r="E398" i="19"/>
  <c r="E397" i="19"/>
  <c r="E396" i="19"/>
  <c r="E395" i="19"/>
  <c r="E394" i="19"/>
  <c r="E393" i="19"/>
  <c r="E392" i="19"/>
  <c r="E391" i="19"/>
  <c r="E390" i="19"/>
  <c r="E389" i="19"/>
  <c r="E388" i="19"/>
  <c r="E387" i="19"/>
  <c r="E386" i="19"/>
  <c r="E385" i="19"/>
  <c r="E384" i="19"/>
  <c r="E383" i="19"/>
  <c r="E382" i="19"/>
  <c r="E381" i="19"/>
  <c r="E380" i="19"/>
  <c r="E379" i="19"/>
  <c r="E378" i="19"/>
  <c r="E377" i="19"/>
  <c r="E376" i="19"/>
  <c r="E375" i="19"/>
  <c r="E374" i="19"/>
  <c r="E373" i="19"/>
  <c r="E372" i="19"/>
  <c r="E371" i="19"/>
  <c r="E370" i="19"/>
  <c r="E369" i="19"/>
  <c r="E368" i="19"/>
  <c r="E367" i="19"/>
  <c r="E366" i="19"/>
  <c r="E365" i="19"/>
  <c r="E364" i="19"/>
  <c r="E363" i="19"/>
  <c r="E362" i="19"/>
  <c r="E361" i="19"/>
  <c r="E360" i="19"/>
  <c r="E359" i="19"/>
  <c r="E358" i="19"/>
  <c r="E357" i="19"/>
  <c r="E356" i="19"/>
  <c r="E355" i="19"/>
  <c r="E354" i="19"/>
  <c r="E353" i="19"/>
  <c r="E352" i="19"/>
  <c r="E351" i="19"/>
  <c r="E350" i="19"/>
  <c r="E349" i="19"/>
  <c r="E348" i="19"/>
  <c r="E347" i="19"/>
  <c r="E346" i="19"/>
  <c r="E345" i="19"/>
  <c r="E344" i="19"/>
  <c r="E343" i="19"/>
  <c r="E342" i="19"/>
  <c r="E341" i="19"/>
  <c r="E340" i="19"/>
  <c r="E339" i="19"/>
  <c r="E338" i="19"/>
  <c r="E337" i="19"/>
  <c r="E336" i="19"/>
  <c r="E335" i="19"/>
  <c r="E334" i="19"/>
  <c r="E333" i="19"/>
  <c r="E332" i="19"/>
  <c r="E331" i="19"/>
  <c r="E330" i="19"/>
  <c r="E329" i="19"/>
  <c r="E328" i="19"/>
  <c r="E327" i="19"/>
  <c r="E326" i="19"/>
  <c r="E325" i="19"/>
  <c r="E324" i="19"/>
  <c r="E323" i="19"/>
  <c r="E322" i="19"/>
  <c r="E321" i="19"/>
  <c r="E320" i="19"/>
  <c r="E319" i="19"/>
  <c r="E318" i="19"/>
  <c r="E317" i="19"/>
  <c r="E316" i="19"/>
  <c r="E315" i="19"/>
  <c r="E314" i="19"/>
  <c r="E313" i="19"/>
  <c r="E312" i="19"/>
  <c r="E311" i="19"/>
  <c r="E310" i="19"/>
  <c r="E309" i="19"/>
  <c r="E308" i="19"/>
  <c r="E307" i="19"/>
  <c r="E306" i="19"/>
  <c r="E305" i="19"/>
  <c r="E304" i="19"/>
  <c r="E303" i="19"/>
  <c r="E302" i="19"/>
  <c r="E301" i="19"/>
  <c r="E300" i="19"/>
  <c r="E299" i="19"/>
  <c r="E298" i="19"/>
  <c r="E297" i="19"/>
  <c r="E296" i="19"/>
  <c r="E295" i="19"/>
  <c r="E294" i="19"/>
  <c r="E293" i="19"/>
  <c r="E292" i="19"/>
  <c r="E291" i="19"/>
  <c r="E290" i="19"/>
  <c r="E289" i="19"/>
  <c r="E288" i="19"/>
  <c r="E287" i="19"/>
  <c r="E286" i="19"/>
  <c r="E285" i="19"/>
  <c r="E284" i="19"/>
  <c r="E283" i="19"/>
  <c r="E282" i="19"/>
  <c r="E281" i="19"/>
  <c r="E280" i="19"/>
  <c r="E279" i="19"/>
  <c r="E278" i="19"/>
  <c r="E277" i="19"/>
  <c r="E276" i="19"/>
  <c r="E275" i="19"/>
  <c r="E274" i="19"/>
  <c r="E273" i="19"/>
  <c r="E272" i="19"/>
  <c r="E271" i="19"/>
  <c r="E270" i="19"/>
  <c r="E269" i="19"/>
  <c r="E268" i="19"/>
  <c r="E267" i="19"/>
  <c r="E266" i="19"/>
  <c r="E265" i="19"/>
  <c r="E264" i="19"/>
  <c r="E263" i="19"/>
  <c r="E262" i="19"/>
  <c r="E261" i="19"/>
  <c r="E260" i="19"/>
  <c r="E259" i="19"/>
  <c r="E258" i="19"/>
  <c r="E257" i="19"/>
  <c r="E256" i="19"/>
  <c r="E255" i="19"/>
  <c r="E254" i="19"/>
  <c r="E253" i="19"/>
  <c r="E252" i="19"/>
  <c r="E251" i="19"/>
  <c r="E250" i="19"/>
  <c r="E249" i="19"/>
  <c r="E248" i="19"/>
  <c r="E247" i="19"/>
  <c r="E246" i="19"/>
  <c r="E245" i="19"/>
  <c r="E244" i="19"/>
  <c r="E243" i="19"/>
  <c r="E242" i="19"/>
  <c r="E241" i="19"/>
  <c r="E240" i="19"/>
  <c r="E239" i="19"/>
  <c r="E238" i="19"/>
  <c r="E237" i="19"/>
  <c r="E236" i="19"/>
  <c r="E235" i="19"/>
  <c r="E234" i="19"/>
  <c r="E233" i="19"/>
  <c r="E232" i="19"/>
  <c r="E231" i="19"/>
  <c r="E230" i="19"/>
  <c r="E229" i="19"/>
  <c r="E228" i="19"/>
  <c r="E227" i="19"/>
  <c r="E226" i="19"/>
  <c r="E225" i="19"/>
  <c r="E224" i="19"/>
  <c r="E223" i="19"/>
  <c r="E222" i="19"/>
  <c r="E221" i="19"/>
  <c r="E220" i="19"/>
  <c r="E219" i="19"/>
  <c r="E218" i="19"/>
  <c r="E217" i="19"/>
  <c r="E216" i="19"/>
  <c r="E215" i="19"/>
  <c r="E214" i="19"/>
  <c r="E213" i="19"/>
  <c r="E212" i="19"/>
  <c r="E211" i="19"/>
  <c r="E210" i="19"/>
  <c r="E209" i="19"/>
  <c r="E208" i="19"/>
  <c r="E207" i="19"/>
  <c r="E206" i="19"/>
  <c r="E205" i="19"/>
  <c r="E204" i="19"/>
  <c r="E203" i="19"/>
  <c r="E202" i="19"/>
  <c r="E201" i="19"/>
  <c r="E200" i="19"/>
  <c r="E199" i="19"/>
  <c r="E198" i="19"/>
  <c r="E197" i="19"/>
  <c r="E196" i="19"/>
  <c r="E195" i="19"/>
  <c r="E194" i="19"/>
  <c r="E193" i="19"/>
  <c r="E192" i="19"/>
  <c r="E191" i="19"/>
  <c r="E190" i="19"/>
  <c r="E189" i="19"/>
  <c r="E188" i="19"/>
  <c r="E187" i="19"/>
  <c r="E186" i="19"/>
  <c r="E185" i="19"/>
  <c r="E184" i="19"/>
  <c r="E183" i="19"/>
  <c r="E182" i="19"/>
  <c r="E181" i="19"/>
  <c r="E180" i="19"/>
  <c r="E179" i="19"/>
  <c r="E178" i="19"/>
  <c r="E177" i="19"/>
  <c r="E176" i="19"/>
  <c r="E175" i="19"/>
  <c r="E174" i="19"/>
  <c r="E173" i="19"/>
  <c r="E172" i="19"/>
  <c r="E171" i="19"/>
  <c r="E170" i="19"/>
  <c r="E169" i="19"/>
  <c r="E168" i="19"/>
  <c r="E167" i="19"/>
  <c r="E166" i="19"/>
  <c r="E165" i="19"/>
  <c r="E164" i="19"/>
  <c r="E163" i="19"/>
  <c r="E162" i="19"/>
  <c r="E161" i="19"/>
  <c r="E160" i="19"/>
  <c r="E159" i="19"/>
  <c r="E158" i="19"/>
  <c r="E157" i="19"/>
  <c r="E156" i="19"/>
  <c r="E155" i="19"/>
  <c r="E154" i="19"/>
  <c r="E153" i="19"/>
  <c r="E152" i="19"/>
  <c r="E151" i="19"/>
  <c r="E150" i="19"/>
  <c r="E149" i="19"/>
  <c r="E148" i="19"/>
  <c r="E147" i="19"/>
  <c r="E146" i="19"/>
  <c r="E145" i="19"/>
  <c r="E144" i="19"/>
  <c r="E143" i="19"/>
  <c r="E142" i="19"/>
  <c r="E141" i="19"/>
  <c r="E140" i="19"/>
  <c r="E139" i="19"/>
  <c r="E138" i="19"/>
  <c r="E137" i="19"/>
  <c r="E136" i="19"/>
  <c r="E135" i="19"/>
  <c r="E134" i="19"/>
  <c r="E133" i="19"/>
  <c r="E132" i="19"/>
  <c r="E131" i="19"/>
  <c r="E130" i="19"/>
  <c r="E129" i="19"/>
  <c r="E128" i="19"/>
  <c r="E127" i="19"/>
  <c r="E126" i="19"/>
  <c r="E125" i="19"/>
  <c r="E124" i="19"/>
  <c r="E123" i="19"/>
  <c r="E122" i="19"/>
  <c r="E121" i="19"/>
  <c r="E120" i="19"/>
  <c r="E119" i="19"/>
  <c r="E118" i="19"/>
  <c r="E117" i="19"/>
  <c r="E116" i="19"/>
  <c r="E115" i="19"/>
  <c r="E114" i="19"/>
  <c r="E113" i="19"/>
  <c r="E112" i="19"/>
  <c r="E111" i="19"/>
  <c r="E110" i="19"/>
  <c r="E109" i="19"/>
  <c r="E108" i="19"/>
  <c r="E107" i="19"/>
  <c r="E106" i="19"/>
  <c r="E105" i="19"/>
  <c r="E104" i="19"/>
  <c r="E103" i="19"/>
  <c r="E102" i="19"/>
  <c r="E101" i="19"/>
  <c r="E100" i="19"/>
  <c r="E99" i="19"/>
  <c r="E98" i="19"/>
  <c r="E97" i="19"/>
  <c r="E96" i="19"/>
  <c r="E95" i="19"/>
  <c r="E94" i="19"/>
  <c r="E93" i="19"/>
  <c r="E92" i="19"/>
  <c r="E91" i="19"/>
  <c r="E90" i="19"/>
  <c r="E89" i="19"/>
  <c r="E88" i="19"/>
  <c r="E87" i="19"/>
  <c r="E86" i="19"/>
  <c r="E85" i="19"/>
  <c r="E84" i="19"/>
  <c r="E83" i="19"/>
  <c r="E82" i="19"/>
  <c r="E81" i="19"/>
  <c r="E80" i="19"/>
  <c r="E79" i="19"/>
  <c r="E78" i="19"/>
  <c r="E77" i="19"/>
  <c r="E76" i="19"/>
  <c r="E75" i="19"/>
  <c r="E74" i="19"/>
  <c r="E73" i="19"/>
  <c r="E72" i="19"/>
  <c r="E71" i="19"/>
  <c r="E70" i="19"/>
  <c r="E69" i="19"/>
  <c r="E68" i="19"/>
  <c r="E67" i="19"/>
  <c r="E66" i="19"/>
  <c r="E65" i="19"/>
  <c r="E64" i="19"/>
  <c r="E63" i="19"/>
  <c r="E62" i="19"/>
  <c r="E61" i="19"/>
  <c r="E60" i="19"/>
  <c r="E59" i="19"/>
  <c r="E58" i="19"/>
  <c r="E57" i="19"/>
  <c r="E56" i="19"/>
  <c r="E55" i="19"/>
  <c r="E54" i="19"/>
  <c r="E53" i="19"/>
  <c r="E52" i="19"/>
  <c r="E51" i="19"/>
  <c r="E50" i="19"/>
  <c r="E49" i="19"/>
  <c r="E48" i="19"/>
  <c r="E47" i="19"/>
  <c r="E46" i="19"/>
  <c r="E45" i="19"/>
  <c r="E44" i="19"/>
  <c r="E43" i="19"/>
  <c r="E42" i="19"/>
  <c r="E41" i="19"/>
  <c r="E40" i="19"/>
  <c r="E39" i="19"/>
  <c r="E38" i="19"/>
  <c r="E37" i="19"/>
  <c r="E36" i="19"/>
  <c r="E35" i="19"/>
  <c r="E34" i="19"/>
  <c r="E33" i="19"/>
  <c r="E32" i="19"/>
  <c r="E31" i="19"/>
  <c r="E30" i="19"/>
  <c r="E29" i="19"/>
  <c r="E28" i="19"/>
  <c r="E27" i="19"/>
  <c r="E26" i="19"/>
  <c r="E25" i="19"/>
  <c r="E24" i="19"/>
  <c r="E23" i="19"/>
  <c r="E22" i="19"/>
  <c r="E21" i="19"/>
  <c r="E20" i="19"/>
  <c r="E19" i="19"/>
  <c r="E18" i="19"/>
  <c r="E17" i="19"/>
  <c r="E16" i="19"/>
  <c r="E15" i="19"/>
  <c r="E14" i="19"/>
  <c r="E13" i="19"/>
  <c r="E12" i="19"/>
  <c r="E11" i="19"/>
  <c r="E10" i="19"/>
  <c r="E9" i="19"/>
  <c r="E8" i="19"/>
  <c r="E7" i="19"/>
  <c r="E6" i="19"/>
  <c r="E5" i="19"/>
  <c r="E4" i="19"/>
  <c r="E3" i="19"/>
  <c r="H1" i="19"/>
  <c r="F1" i="19"/>
  <c r="D1" i="19"/>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C1" i="18"/>
  <c r="K2656" i="17"/>
  <c r="J2656" i="17"/>
  <c r="E2656" i="17"/>
  <c r="K2655" i="17"/>
  <c r="J2655" i="17"/>
  <c r="E2655" i="17"/>
  <c r="K2654" i="17"/>
  <c r="J2654" i="17"/>
  <c r="E2654" i="17"/>
  <c r="K2653" i="17"/>
  <c r="J2653" i="17"/>
  <c r="L2653" i="17" s="1"/>
  <c r="E2653" i="17"/>
  <c r="K2652" i="17"/>
  <c r="J2652" i="17"/>
  <c r="L2652" i="17" s="1"/>
  <c r="E2652" i="17"/>
  <c r="K2651" i="17"/>
  <c r="J2651" i="17"/>
  <c r="E2651" i="17"/>
  <c r="P2650" i="17"/>
  <c r="O2650" i="17"/>
  <c r="N2650" i="17"/>
  <c r="M2650" i="17"/>
  <c r="L2650" i="17"/>
  <c r="K2650" i="17"/>
  <c r="J2650" i="17"/>
  <c r="E2650" i="17"/>
  <c r="O2649" i="17"/>
  <c r="N2649" i="17"/>
  <c r="M2649" i="17"/>
  <c r="P2649" i="17" s="1"/>
  <c r="K2649" i="17"/>
  <c r="J2649" i="17"/>
  <c r="L2649" i="17" s="1"/>
  <c r="E2649" i="17"/>
  <c r="K2648" i="17"/>
  <c r="J2648" i="17"/>
  <c r="E2648" i="17"/>
  <c r="K2647" i="17"/>
  <c r="J2647" i="17"/>
  <c r="E2647" i="17"/>
  <c r="K2646" i="17"/>
  <c r="J2646" i="17"/>
  <c r="E2646" i="17"/>
  <c r="P2645" i="17"/>
  <c r="O2645" i="17"/>
  <c r="N2645" i="17"/>
  <c r="M2645" i="17"/>
  <c r="L2645" i="17"/>
  <c r="K2645" i="17"/>
  <c r="J2645" i="17"/>
  <c r="E2645" i="17"/>
  <c r="K2644" i="17"/>
  <c r="J2644" i="17"/>
  <c r="E2644" i="17"/>
  <c r="K2643" i="17"/>
  <c r="J2643" i="17"/>
  <c r="L2643" i="17" s="1"/>
  <c r="E2643" i="17"/>
  <c r="K2642" i="17"/>
  <c r="J2642" i="17"/>
  <c r="L2642" i="17" s="1"/>
  <c r="E2642" i="17"/>
  <c r="K2641" i="17"/>
  <c r="J2641" i="17"/>
  <c r="E2641" i="17"/>
  <c r="P2640" i="17"/>
  <c r="O2640" i="17"/>
  <c r="N2640" i="17"/>
  <c r="M2640" i="17"/>
  <c r="L2640" i="17"/>
  <c r="K2640" i="17"/>
  <c r="J2640" i="17"/>
  <c r="E2640" i="17"/>
  <c r="O2639" i="17"/>
  <c r="N2639" i="17"/>
  <c r="M2639" i="17"/>
  <c r="K2639" i="17"/>
  <c r="J2639" i="17"/>
  <c r="L2639" i="17" s="1"/>
  <c r="E2639" i="17"/>
  <c r="K2638" i="17"/>
  <c r="J2638" i="17"/>
  <c r="E2638" i="17"/>
  <c r="K2637" i="17"/>
  <c r="J2637" i="17"/>
  <c r="E2637" i="17"/>
  <c r="K2636" i="17"/>
  <c r="J2636" i="17"/>
  <c r="E2636" i="17"/>
  <c r="K2635" i="17"/>
  <c r="J2635" i="17"/>
  <c r="E2635" i="17"/>
  <c r="K2634" i="17"/>
  <c r="J2634" i="17"/>
  <c r="E2634" i="17"/>
  <c r="K2633" i="17"/>
  <c r="J2633" i="17"/>
  <c r="L2633" i="17" s="1"/>
  <c r="E2633" i="17"/>
  <c r="K2632" i="17"/>
  <c r="J2632" i="17"/>
  <c r="E2632" i="17"/>
  <c r="O2631" i="17"/>
  <c r="N2631" i="17"/>
  <c r="M2631" i="17"/>
  <c r="K2631" i="17"/>
  <c r="J2631" i="17"/>
  <c r="L2631" i="17" s="1"/>
  <c r="E2631" i="17"/>
  <c r="K2630" i="17"/>
  <c r="J2630" i="17"/>
  <c r="E2630" i="17"/>
  <c r="K2629" i="17"/>
  <c r="J2629" i="17"/>
  <c r="L2629" i="17" s="1"/>
  <c r="E2629" i="17"/>
  <c r="K2628" i="17"/>
  <c r="J2628" i="17"/>
  <c r="E2628" i="17"/>
  <c r="K2627" i="17"/>
  <c r="J2627" i="17"/>
  <c r="E2627" i="17"/>
  <c r="K2626" i="17"/>
  <c r="J2626" i="17"/>
  <c r="E2626" i="17"/>
  <c r="K2625" i="17"/>
  <c r="J2625" i="17"/>
  <c r="L2625" i="17" s="1"/>
  <c r="E2625" i="17"/>
  <c r="K2624" i="17"/>
  <c r="J2624" i="17"/>
  <c r="E2624" i="17"/>
  <c r="N2623" i="17"/>
  <c r="O2623" i="17" s="1"/>
  <c r="M2623" i="17"/>
  <c r="K2623" i="17"/>
  <c r="J2623" i="17"/>
  <c r="L2623" i="17" s="1"/>
  <c r="E2623" i="17"/>
  <c r="K2622" i="17"/>
  <c r="J2622" i="17"/>
  <c r="E2622" i="17"/>
  <c r="K2621" i="17"/>
  <c r="J2621" i="17"/>
  <c r="L2621" i="17" s="1"/>
  <c r="E2621" i="17"/>
  <c r="K2620" i="17"/>
  <c r="J2620" i="17"/>
  <c r="E2620" i="17"/>
  <c r="K2619" i="17"/>
  <c r="J2619" i="17"/>
  <c r="E2619" i="17"/>
  <c r="K2618" i="17"/>
  <c r="J2618" i="17"/>
  <c r="E2618" i="17"/>
  <c r="K2617" i="17"/>
  <c r="J2617" i="17"/>
  <c r="L2617" i="17" s="1"/>
  <c r="E2617" i="17"/>
  <c r="K2616" i="17"/>
  <c r="J2616" i="17"/>
  <c r="E2616" i="17"/>
  <c r="N2615" i="17"/>
  <c r="O2615" i="17" s="1"/>
  <c r="M2615" i="17"/>
  <c r="K2615" i="17"/>
  <c r="J2615" i="17"/>
  <c r="L2615" i="17" s="1"/>
  <c r="E2615" i="17"/>
  <c r="K2614" i="17"/>
  <c r="J2614" i="17"/>
  <c r="E2614" i="17"/>
  <c r="K2613" i="17"/>
  <c r="J2613" i="17"/>
  <c r="L2613" i="17" s="1"/>
  <c r="E2613" i="17"/>
  <c r="K2612" i="17"/>
  <c r="J2612" i="17"/>
  <c r="E2612" i="17"/>
  <c r="K2611" i="17"/>
  <c r="J2611" i="17"/>
  <c r="E2611" i="17"/>
  <c r="K2610" i="17"/>
  <c r="J2610" i="17"/>
  <c r="E2610" i="17"/>
  <c r="J2609" i="17"/>
  <c r="E2609" i="17"/>
  <c r="K2608" i="17"/>
  <c r="J2608" i="17"/>
  <c r="E2608" i="17"/>
  <c r="J2607" i="17"/>
  <c r="E2607" i="17"/>
  <c r="K2606" i="17"/>
  <c r="J2606" i="17"/>
  <c r="E2606" i="17"/>
  <c r="K2605" i="17"/>
  <c r="J2605" i="17"/>
  <c r="E2605" i="17"/>
  <c r="J2604" i="17"/>
  <c r="E2604" i="17"/>
  <c r="K2603" i="17"/>
  <c r="J2603" i="17"/>
  <c r="E2603" i="17"/>
  <c r="K2602" i="17"/>
  <c r="J2602" i="17"/>
  <c r="E2602" i="17"/>
  <c r="J2601" i="17"/>
  <c r="E2601" i="17"/>
  <c r="K2600" i="17"/>
  <c r="J2600" i="17"/>
  <c r="E2600" i="17"/>
  <c r="J2599" i="17"/>
  <c r="E2599" i="17"/>
  <c r="K2598" i="17"/>
  <c r="J2598" i="17"/>
  <c r="E2598" i="17"/>
  <c r="P2597" i="17"/>
  <c r="O2597" i="17"/>
  <c r="N2597" i="17"/>
  <c r="M2597" i="17"/>
  <c r="L2597" i="17"/>
  <c r="K2597" i="17"/>
  <c r="J2597" i="17"/>
  <c r="E2597" i="17"/>
  <c r="J2596" i="17"/>
  <c r="E2596" i="17"/>
  <c r="J2595" i="17"/>
  <c r="E2595" i="17"/>
  <c r="J2594" i="17"/>
  <c r="E2594" i="17"/>
  <c r="J2593" i="17"/>
  <c r="E2593" i="17"/>
  <c r="J2592" i="17"/>
  <c r="E2592" i="17"/>
  <c r="K2591" i="17"/>
  <c r="J2591" i="17"/>
  <c r="E2591" i="17"/>
  <c r="J2590" i="17"/>
  <c r="E2590" i="17"/>
  <c r="K2589" i="17"/>
  <c r="J2589" i="17"/>
  <c r="E2589" i="17"/>
  <c r="K2588" i="17"/>
  <c r="J2588" i="17"/>
  <c r="E2588" i="17"/>
  <c r="M2587" i="17"/>
  <c r="L2587" i="17"/>
  <c r="K2587" i="17"/>
  <c r="J2587" i="17"/>
  <c r="E2587" i="17"/>
  <c r="L2586" i="17"/>
  <c r="K2586" i="17"/>
  <c r="J2586" i="17"/>
  <c r="E2586" i="17"/>
  <c r="K2585" i="17"/>
  <c r="J2585" i="17"/>
  <c r="E2585" i="17"/>
  <c r="L2584" i="17"/>
  <c r="K2584" i="17"/>
  <c r="J2584" i="17"/>
  <c r="E2584" i="17"/>
  <c r="P2583" i="17"/>
  <c r="O2583" i="17"/>
  <c r="N2583" i="17"/>
  <c r="M2583" i="17"/>
  <c r="L2583" i="17"/>
  <c r="K2583" i="17"/>
  <c r="J2583" i="17"/>
  <c r="E2583" i="17"/>
  <c r="K2582" i="17"/>
  <c r="J2582" i="17"/>
  <c r="E2582" i="17"/>
  <c r="K2581" i="17"/>
  <c r="J2581" i="17"/>
  <c r="E2581" i="17"/>
  <c r="L2580" i="17"/>
  <c r="K2580" i="17"/>
  <c r="J2580" i="17"/>
  <c r="E2580" i="17"/>
  <c r="K2579" i="17"/>
  <c r="J2579" i="17"/>
  <c r="E2579" i="17"/>
  <c r="M2578" i="17"/>
  <c r="L2578" i="17"/>
  <c r="K2578" i="17"/>
  <c r="J2578" i="17"/>
  <c r="E2578" i="17"/>
  <c r="L2577" i="17"/>
  <c r="K2577" i="17"/>
  <c r="J2577" i="17"/>
  <c r="E2577" i="17"/>
  <c r="K2576" i="17"/>
  <c r="J2576" i="17"/>
  <c r="E2576" i="17"/>
  <c r="P2575" i="17"/>
  <c r="O2575" i="17"/>
  <c r="N2575" i="17"/>
  <c r="M2575" i="17"/>
  <c r="L2575" i="17"/>
  <c r="K2575" i="17"/>
  <c r="J2575" i="17"/>
  <c r="E2575" i="17"/>
  <c r="L2574" i="17"/>
  <c r="K2574" i="17"/>
  <c r="J2574" i="17"/>
  <c r="E2574" i="17"/>
  <c r="K2573" i="17"/>
  <c r="J2573" i="17"/>
  <c r="E2573" i="17"/>
  <c r="K2572" i="17"/>
  <c r="J2572" i="17"/>
  <c r="E2572" i="17"/>
  <c r="L2571" i="17"/>
  <c r="K2571" i="17"/>
  <c r="J2571" i="17"/>
  <c r="E2571" i="17"/>
  <c r="K2570" i="17"/>
  <c r="J2570" i="17"/>
  <c r="E2570" i="17"/>
  <c r="M2569" i="17"/>
  <c r="L2569" i="17"/>
  <c r="K2569" i="17"/>
  <c r="J2569" i="17"/>
  <c r="E2569" i="17"/>
  <c r="L2568" i="17"/>
  <c r="K2568" i="17"/>
  <c r="J2568" i="17"/>
  <c r="E2568" i="17"/>
  <c r="K2567" i="17"/>
  <c r="J2567" i="17"/>
  <c r="E2567" i="17"/>
  <c r="L2566" i="17"/>
  <c r="K2566" i="17"/>
  <c r="J2566" i="17"/>
  <c r="E2566" i="17"/>
  <c r="K2565" i="17"/>
  <c r="J2565" i="17"/>
  <c r="E2565" i="17"/>
  <c r="K2564" i="17"/>
  <c r="J2564" i="17"/>
  <c r="E2564" i="17"/>
  <c r="L2563" i="17"/>
  <c r="K2563" i="17"/>
  <c r="J2563" i="17"/>
  <c r="E2563" i="17"/>
  <c r="K2562" i="17"/>
  <c r="J2562" i="17"/>
  <c r="E2562" i="17"/>
  <c r="K2561" i="17"/>
  <c r="J2561" i="17"/>
  <c r="E2561" i="17"/>
  <c r="K2560" i="17"/>
  <c r="J2560" i="17"/>
  <c r="E2560" i="17"/>
  <c r="K2559" i="17"/>
  <c r="J2559" i="17"/>
  <c r="E2559" i="17"/>
  <c r="L2558" i="17"/>
  <c r="K2558" i="17"/>
  <c r="J2558" i="17"/>
  <c r="E2558" i="17"/>
  <c r="K2557" i="17"/>
  <c r="J2557" i="17"/>
  <c r="E2557" i="17"/>
  <c r="K2556" i="17"/>
  <c r="J2556" i="17"/>
  <c r="E2556" i="17"/>
  <c r="N2555" i="17"/>
  <c r="M2555" i="17"/>
  <c r="L2555" i="17"/>
  <c r="O2555" i="17" s="1"/>
  <c r="K2555" i="17"/>
  <c r="J2555" i="17"/>
  <c r="E2555" i="17"/>
  <c r="L2554" i="17"/>
  <c r="K2554" i="17"/>
  <c r="J2554" i="17"/>
  <c r="E2554" i="17"/>
  <c r="L2553" i="17"/>
  <c r="K2553" i="17"/>
  <c r="J2553" i="17"/>
  <c r="E2553" i="17"/>
  <c r="L2552" i="17"/>
  <c r="K2552" i="17"/>
  <c r="J2552" i="17"/>
  <c r="E2552" i="17"/>
  <c r="K2551" i="17"/>
  <c r="J2551" i="17"/>
  <c r="E2551" i="17"/>
  <c r="L2550" i="17"/>
  <c r="K2550" i="17"/>
  <c r="J2550" i="17"/>
  <c r="E2550" i="17"/>
  <c r="K2549" i="17"/>
  <c r="J2549" i="17"/>
  <c r="E2549" i="17"/>
  <c r="K2548" i="17"/>
  <c r="J2548" i="17"/>
  <c r="E2548" i="17"/>
  <c r="L2547" i="17"/>
  <c r="K2547" i="17"/>
  <c r="J2547" i="17"/>
  <c r="E2547" i="17"/>
  <c r="K2546" i="17"/>
  <c r="J2546" i="17"/>
  <c r="E2546" i="17"/>
  <c r="K2545" i="17"/>
  <c r="J2545" i="17"/>
  <c r="E2545" i="17"/>
  <c r="L2544" i="17"/>
  <c r="K2544" i="17"/>
  <c r="J2544" i="17"/>
  <c r="E2544" i="17"/>
  <c r="L2543" i="17"/>
  <c r="K2543" i="17"/>
  <c r="J2543" i="17"/>
  <c r="E2543" i="17"/>
  <c r="J2542" i="17"/>
  <c r="E2542" i="17"/>
  <c r="K2541" i="17"/>
  <c r="J2541" i="17"/>
  <c r="E2541" i="17"/>
  <c r="L2540" i="17"/>
  <c r="K2540" i="17"/>
  <c r="J2540" i="17"/>
  <c r="E2540" i="17"/>
  <c r="J2539" i="17"/>
  <c r="E2539" i="17"/>
  <c r="J2538" i="17"/>
  <c r="E2538" i="17"/>
  <c r="K2537" i="17"/>
  <c r="J2537" i="17"/>
  <c r="E2537" i="17"/>
  <c r="L2536" i="17"/>
  <c r="K2536" i="17"/>
  <c r="J2536" i="17"/>
  <c r="E2536" i="17"/>
  <c r="J2535" i="17"/>
  <c r="E2535" i="17"/>
  <c r="K2534" i="17"/>
  <c r="J2534" i="17"/>
  <c r="E2534" i="17"/>
  <c r="K2533" i="17"/>
  <c r="J2533" i="17"/>
  <c r="E2533" i="17"/>
  <c r="L2532" i="17"/>
  <c r="K2532" i="17"/>
  <c r="J2532" i="17"/>
  <c r="E2532" i="17"/>
  <c r="J2531" i="17"/>
  <c r="E2531" i="17"/>
  <c r="K2530" i="17"/>
  <c r="J2530" i="17"/>
  <c r="E2530" i="17"/>
  <c r="K2529" i="17"/>
  <c r="J2529" i="17"/>
  <c r="E2529" i="17"/>
  <c r="L2528" i="17"/>
  <c r="K2528" i="17"/>
  <c r="J2528" i="17"/>
  <c r="E2528" i="17"/>
  <c r="J2527" i="17"/>
  <c r="E2527" i="17"/>
  <c r="J2526" i="17"/>
  <c r="E2526" i="17"/>
  <c r="K2525" i="17"/>
  <c r="J2525" i="17"/>
  <c r="E2525" i="17"/>
  <c r="L2524" i="17"/>
  <c r="K2524" i="17"/>
  <c r="J2524" i="17"/>
  <c r="E2524" i="17"/>
  <c r="K2523" i="17"/>
  <c r="J2523" i="17"/>
  <c r="E2523" i="17"/>
  <c r="K2522" i="17"/>
  <c r="J2522" i="17"/>
  <c r="E2522" i="17"/>
  <c r="K2521" i="17"/>
  <c r="J2521" i="17"/>
  <c r="E2521" i="17"/>
  <c r="N2520" i="17"/>
  <c r="M2520" i="17"/>
  <c r="K2520" i="17"/>
  <c r="J2520" i="17"/>
  <c r="L2520" i="17" s="1"/>
  <c r="E2520" i="17"/>
  <c r="K2519" i="17"/>
  <c r="J2519" i="17"/>
  <c r="E2519" i="17"/>
  <c r="K2518" i="17"/>
  <c r="J2518" i="17"/>
  <c r="E2518" i="17"/>
  <c r="K2517" i="17"/>
  <c r="J2517" i="17"/>
  <c r="E2517" i="17"/>
  <c r="N2516" i="17"/>
  <c r="M2516" i="17"/>
  <c r="K2516" i="17"/>
  <c r="J2516" i="17"/>
  <c r="L2516" i="17" s="1"/>
  <c r="E2516" i="17"/>
  <c r="K2515" i="17"/>
  <c r="J2515" i="17"/>
  <c r="E2515" i="17"/>
  <c r="K2514" i="17"/>
  <c r="J2514" i="17"/>
  <c r="L2514" i="17" s="1"/>
  <c r="E2514" i="17"/>
  <c r="K2513" i="17"/>
  <c r="J2513" i="17"/>
  <c r="E2513" i="17"/>
  <c r="J2512" i="17"/>
  <c r="E2512" i="17"/>
  <c r="K2511" i="17"/>
  <c r="J2511" i="17"/>
  <c r="E2511" i="17"/>
  <c r="K2510" i="17"/>
  <c r="J2510" i="17"/>
  <c r="E2510" i="17"/>
  <c r="K2509" i="17"/>
  <c r="J2509" i="17"/>
  <c r="E2509" i="17"/>
  <c r="J2508" i="17"/>
  <c r="E2508" i="17"/>
  <c r="K2507" i="17"/>
  <c r="J2507" i="17"/>
  <c r="E2507" i="17"/>
  <c r="K2506" i="17"/>
  <c r="J2506" i="17"/>
  <c r="E2506" i="17"/>
  <c r="K2505" i="17"/>
  <c r="J2505" i="17"/>
  <c r="E2505" i="17"/>
  <c r="J2504" i="17"/>
  <c r="E2504" i="17"/>
  <c r="K2503" i="17"/>
  <c r="J2503" i="17"/>
  <c r="E2503" i="17"/>
  <c r="K2502" i="17"/>
  <c r="J2502" i="17"/>
  <c r="E2502" i="17"/>
  <c r="K2501" i="17"/>
  <c r="J2501" i="17"/>
  <c r="E2501" i="17"/>
  <c r="J2500" i="17"/>
  <c r="E2500" i="17"/>
  <c r="J2499" i="17"/>
  <c r="E2499" i="17"/>
  <c r="K2498" i="17"/>
  <c r="J2498" i="17"/>
  <c r="E2498" i="17"/>
  <c r="K2497" i="17"/>
  <c r="J2497" i="17"/>
  <c r="E2497" i="17"/>
  <c r="K2496" i="17"/>
  <c r="J2496" i="17"/>
  <c r="E2496" i="17"/>
  <c r="J2495" i="17"/>
  <c r="E2495" i="17"/>
  <c r="J2494" i="17"/>
  <c r="E2494" i="17"/>
  <c r="K2493" i="17"/>
  <c r="J2493" i="17"/>
  <c r="E2493" i="17"/>
  <c r="J2492" i="17"/>
  <c r="E2492" i="17"/>
  <c r="J2491" i="17"/>
  <c r="E2491" i="17"/>
  <c r="K2490" i="17"/>
  <c r="J2490" i="17"/>
  <c r="E2490" i="17"/>
  <c r="K2489" i="17"/>
  <c r="J2489" i="17"/>
  <c r="E2489" i="17"/>
  <c r="K2488" i="17"/>
  <c r="J2488" i="17"/>
  <c r="E2488" i="17"/>
  <c r="K2487" i="17"/>
  <c r="J2487" i="17"/>
  <c r="E2487" i="17"/>
  <c r="J2486" i="17"/>
  <c r="E2486" i="17"/>
  <c r="K2485" i="17"/>
  <c r="J2485" i="17"/>
  <c r="E2485" i="17"/>
  <c r="J2484" i="17"/>
  <c r="E2484" i="17"/>
  <c r="J2483" i="17"/>
  <c r="E2483" i="17"/>
  <c r="K2482" i="17"/>
  <c r="J2482" i="17"/>
  <c r="E2482" i="17"/>
  <c r="K2481" i="17"/>
  <c r="J2481" i="17"/>
  <c r="E2481" i="17"/>
  <c r="K2480" i="17"/>
  <c r="J2480" i="17"/>
  <c r="E2480" i="17"/>
  <c r="L2479" i="17"/>
  <c r="K2479" i="17"/>
  <c r="J2479" i="17"/>
  <c r="E2479" i="17"/>
  <c r="K2478" i="17"/>
  <c r="L2478" i="17" s="1"/>
  <c r="J2478" i="17"/>
  <c r="E2478" i="17"/>
  <c r="L2477" i="17"/>
  <c r="K2477" i="17"/>
  <c r="J2477" i="17"/>
  <c r="E2477" i="17"/>
  <c r="K2476" i="17"/>
  <c r="L2476" i="17" s="1"/>
  <c r="J2476" i="17"/>
  <c r="E2476" i="17"/>
  <c r="J2475" i="17"/>
  <c r="E2475" i="17"/>
  <c r="K2474" i="17"/>
  <c r="J2474" i="17"/>
  <c r="E2474" i="17"/>
  <c r="J2473" i="17"/>
  <c r="E2473" i="17"/>
  <c r="K2472" i="17"/>
  <c r="J2472" i="17"/>
  <c r="E2472" i="17"/>
  <c r="J2471" i="17"/>
  <c r="E2471" i="17"/>
  <c r="K2470" i="17"/>
  <c r="J2470" i="17"/>
  <c r="E2470" i="17"/>
  <c r="J2469" i="17"/>
  <c r="E2469" i="17"/>
  <c r="P2468" i="17"/>
  <c r="O2468" i="17"/>
  <c r="N2468" i="17"/>
  <c r="M2468" i="17"/>
  <c r="L2468" i="17"/>
  <c r="K2468" i="17"/>
  <c r="J2468" i="17"/>
  <c r="E2468" i="17"/>
  <c r="K2467" i="17"/>
  <c r="J2467" i="17"/>
  <c r="E2467" i="17"/>
  <c r="J2466" i="17"/>
  <c r="E2466" i="17"/>
  <c r="K2465" i="17"/>
  <c r="J2465" i="17"/>
  <c r="E2465" i="17"/>
  <c r="J2464" i="17"/>
  <c r="E2464" i="17"/>
  <c r="K2463" i="17"/>
  <c r="J2463" i="17"/>
  <c r="E2463" i="17"/>
  <c r="J2462" i="17"/>
  <c r="E2462" i="17"/>
  <c r="K2461" i="17"/>
  <c r="J2461" i="17"/>
  <c r="E2461" i="17"/>
  <c r="J2460" i="17"/>
  <c r="E2460" i="17"/>
  <c r="K2459" i="17"/>
  <c r="J2459" i="17"/>
  <c r="E2459" i="17"/>
  <c r="J2458" i="17"/>
  <c r="E2458" i="17"/>
  <c r="K2457" i="17"/>
  <c r="J2457" i="17"/>
  <c r="E2457" i="17"/>
  <c r="J2456" i="17"/>
  <c r="E2456" i="17"/>
  <c r="K2455" i="17"/>
  <c r="J2455" i="17"/>
  <c r="E2455" i="17"/>
  <c r="J2454" i="17"/>
  <c r="E2454" i="17"/>
  <c r="K2453" i="17"/>
  <c r="J2453" i="17"/>
  <c r="E2453" i="17"/>
  <c r="J2452" i="17"/>
  <c r="E2452" i="17"/>
  <c r="P2451" i="17"/>
  <c r="O2451" i="17"/>
  <c r="N2451" i="17"/>
  <c r="M2451" i="17"/>
  <c r="L2451" i="17"/>
  <c r="K2451" i="17"/>
  <c r="J2451" i="17"/>
  <c r="E2451" i="17"/>
  <c r="K2450" i="17"/>
  <c r="J2450" i="17"/>
  <c r="E2450" i="17"/>
  <c r="J2449" i="17"/>
  <c r="E2449" i="17"/>
  <c r="K2448" i="17"/>
  <c r="J2448" i="17"/>
  <c r="E2448" i="17"/>
  <c r="J2447" i="17"/>
  <c r="E2447" i="17"/>
  <c r="K2446" i="17"/>
  <c r="J2446" i="17"/>
  <c r="E2446" i="17"/>
  <c r="J2445" i="17"/>
  <c r="E2445" i="17"/>
  <c r="J2444" i="17"/>
  <c r="E2444" i="17"/>
  <c r="J2443" i="17"/>
  <c r="E2443" i="17"/>
  <c r="J2442" i="17"/>
  <c r="E2442" i="17"/>
  <c r="L2441" i="17"/>
  <c r="K2441" i="17"/>
  <c r="J2441" i="17"/>
  <c r="E2441" i="17"/>
  <c r="K2440" i="17"/>
  <c r="J2440" i="17"/>
  <c r="E2440" i="17"/>
  <c r="K2439" i="17"/>
  <c r="J2439" i="17"/>
  <c r="E2439" i="17"/>
  <c r="L2438" i="17"/>
  <c r="K2438" i="17"/>
  <c r="J2438" i="17"/>
  <c r="E2438" i="17"/>
  <c r="J2437" i="17"/>
  <c r="E2437" i="17"/>
  <c r="J2436" i="17"/>
  <c r="E2436" i="17"/>
  <c r="K2435" i="17"/>
  <c r="J2435" i="17"/>
  <c r="E2435" i="17"/>
  <c r="L2434" i="17"/>
  <c r="K2434" i="17"/>
  <c r="J2434" i="17"/>
  <c r="E2434" i="17"/>
  <c r="K2433" i="17"/>
  <c r="J2433" i="17"/>
  <c r="E2433" i="17"/>
  <c r="J2432" i="17"/>
  <c r="E2432" i="17"/>
  <c r="J2431" i="17"/>
  <c r="E2431" i="17"/>
  <c r="J2430" i="17"/>
  <c r="E2430" i="17"/>
  <c r="J2429" i="17"/>
  <c r="E2429" i="17"/>
  <c r="J2428" i="17"/>
  <c r="E2428" i="17"/>
  <c r="J2427" i="17"/>
  <c r="E2427" i="17"/>
  <c r="J2426" i="17"/>
  <c r="E2426" i="17"/>
  <c r="J2425" i="17"/>
  <c r="E2425" i="17"/>
  <c r="J2424" i="17"/>
  <c r="E2424" i="17"/>
  <c r="J2423" i="17"/>
  <c r="E2423" i="17"/>
  <c r="J2422" i="17"/>
  <c r="E2422" i="17"/>
  <c r="J2421" i="17"/>
  <c r="E2421" i="17"/>
  <c r="J2420" i="17"/>
  <c r="E2420" i="17"/>
  <c r="J2419" i="17"/>
  <c r="E2419" i="17"/>
  <c r="J2418" i="17"/>
  <c r="E2418" i="17"/>
  <c r="J2417" i="17"/>
  <c r="E2417" i="17"/>
  <c r="J2416" i="17"/>
  <c r="E2416" i="17"/>
  <c r="J2415" i="17"/>
  <c r="E2415" i="17"/>
  <c r="J2414" i="17"/>
  <c r="E2414" i="17"/>
  <c r="J2413" i="17"/>
  <c r="E2413" i="17"/>
  <c r="J2412" i="17"/>
  <c r="E2412" i="17"/>
  <c r="J2411" i="17"/>
  <c r="E2411" i="17"/>
  <c r="J2410" i="17"/>
  <c r="E2410" i="17"/>
  <c r="J2409" i="17"/>
  <c r="E2409" i="17"/>
  <c r="J2408" i="17"/>
  <c r="E2408" i="17"/>
  <c r="J2407" i="17"/>
  <c r="E2407" i="17"/>
  <c r="J2406" i="17"/>
  <c r="E2406" i="17"/>
  <c r="J2405" i="17"/>
  <c r="E2405" i="17"/>
  <c r="J2404" i="17"/>
  <c r="E2404" i="17"/>
  <c r="J2403" i="17"/>
  <c r="E2403" i="17"/>
  <c r="J2402" i="17"/>
  <c r="E2402" i="17"/>
  <c r="J2401" i="17"/>
  <c r="E2401" i="17"/>
  <c r="J2400" i="17"/>
  <c r="E2400" i="17"/>
  <c r="J2399" i="17"/>
  <c r="E2399" i="17"/>
  <c r="J2398" i="17"/>
  <c r="E2398" i="17"/>
  <c r="J2397" i="17"/>
  <c r="E2397" i="17"/>
  <c r="J2396" i="17"/>
  <c r="E2396" i="17"/>
  <c r="J2395" i="17"/>
  <c r="E2395" i="17"/>
  <c r="J2394" i="17"/>
  <c r="E2394" i="17"/>
  <c r="J2393" i="17"/>
  <c r="E2393" i="17"/>
  <c r="J2392" i="17"/>
  <c r="E2392" i="17"/>
  <c r="J2391" i="17"/>
  <c r="E2391" i="17"/>
  <c r="J2390" i="17"/>
  <c r="E2390" i="17"/>
  <c r="J2389" i="17"/>
  <c r="E2389" i="17"/>
  <c r="J2388" i="17"/>
  <c r="E2388" i="17"/>
  <c r="J2387" i="17"/>
  <c r="E2387" i="17"/>
  <c r="J2386" i="17"/>
  <c r="E2386" i="17"/>
  <c r="J2385" i="17"/>
  <c r="E2385" i="17"/>
  <c r="J2384" i="17"/>
  <c r="E2384" i="17"/>
  <c r="J2383" i="17"/>
  <c r="E2383" i="17"/>
  <c r="J2382" i="17"/>
  <c r="E2382" i="17"/>
  <c r="J2381" i="17"/>
  <c r="E2381" i="17"/>
  <c r="J2380" i="17"/>
  <c r="E2380" i="17"/>
  <c r="J2379" i="17"/>
  <c r="E2379" i="17"/>
  <c r="K2378" i="17"/>
  <c r="J2378" i="17"/>
  <c r="E2378" i="17"/>
  <c r="J2377" i="17"/>
  <c r="E2377" i="17"/>
  <c r="J2376" i="17"/>
  <c r="E2376" i="17"/>
  <c r="J2375" i="17"/>
  <c r="E2375" i="17"/>
  <c r="K2374" i="17"/>
  <c r="J2374" i="17"/>
  <c r="E2374" i="17"/>
  <c r="J2373" i="17"/>
  <c r="E2373" i="17"/>
  <c r="J2372" i="17"/>
  <c r="E2372" i="17"/>
  <c r="J2371" i="17"/>
  <c r="E2371" i="17"/>
  <c r="K2370" i="17"/>
  <c r="J2370" i="17"/>
  <c r="E2370" i="17"/>
  <c r="K2369" i="17"/>
  <c r="J2369" i="17"/>
  <c r="E2369" i="17"/>
  <c r="J2368" i="17"/>
  <c r="E2368" i="17"/>
  <c r="J2367" i="17"/>
  <c r="E2367" i="17"/>
  <c r="K2366" i="17"/>
  <c r="J2366" i="17"/>
  <c r="E2366" i="17"/>
  <c r="J2365" i="17"/>
  <c r="E2365" i="17"/>
  <c r="J2364" i="17"/>
  <c r="E2364" i="17"/>
  <c r="J2363" i="17"/>
  <c r="E2363" i="17"/>
  <c r="K2362" i="17"/>
  <c r="J2362" i="17"/>
  <c r="E2362" i="17"/>
  <c r="J2361" i="17"/>
  <c r="E2361" i="17"/>
  <c r="J2360" i="17"/>
  <c r="E2360" i="17"/>
  <c r="J2359" i="17"/>
  <c r="E2359" i="17"/>
  <c r="K2358" i="17"/>
  <c r="J2358" i="17"/>
  <c r="E2358" i="17"/>
  <c r="J2357" i="17"/>
  <c r="E2357" i="17"/>
  <c r="J2356" i="17"/>
  <c r="E2356" i="17"/>
  <c r="J2355" i="17"/>
  <c r="E2355" i="17"/>
  <c r="K2354" i="17"/>
  <c r="J2354" i="17"/>
  <c r="E2354" i="17"/>
  <c r="J2353" i="17"/>
  <c r="E2353" i="17"/>
  <c r="J2352" i="17"/>
  <c r="E2352" i="17"/>
  <c r="J2351" i="17"/>
  <c r="E2351" i="17"/>
  <c r="P2350" i="17"/>
  <c r="O2350" i="17"/>
  <c r="N2350" i="17"/>
  <c r="M2350" i="17"/>
  <c r="L2350" i="17"/>
  <c r="K2350" i="17"/>
  <c r="J2350" i="17"/>
  <c r="E2350" i="17"/>
  <c r="K2349" i="17"/>
  <c r="J2349" i="17"/>
  <c r="E2349" i="17"/>
  <c r="J2348" i="17"/>
  <c r="E2348" i="17"/>
  <c r="J2347" i="17"/>
  <c r="E2347" i="17"/>
  <c r="J2346" i="17"/>
  <c r="E2346" i="17"/>
  <c r="J2345" i="17"/>
  <c r="E2345" i="17"/>
  <c r="J2344" i="17"/>
  <c r="E2344" i="17"/>
  <c r="J2343" i="17"/>
  <c r="E2343" i="17"/>
  <c r="K2342" i="17"/>
  <c r="J2342" i="17"/>
  <c r="E2342" i="17"/>
  <c r="J2341" i="17"/>
  <c r="E2341" i="17"/>
  <c r="J2340" i="17"/>
  <c r="E2340" i="17"/>
  <c r="J2339" i="17"/>
  <c r="E2339" i="17"/>
  <c r="K2338" i="17"/>
  <c r="J2338" i="17"/>
  <c r="E2338" i="17"/>
  <c r="J2337" i="17"/>
  <c r="E2337" i="17"/>
  <c r="J2336" i="17"/>
  <c r="E2336" i="17"/>
  <c r="J2335" i="17"/>
  <c r="E2335" i="17"/>
  <c r="K2334" i="17"/>
  <c r="J2334" i="17"/>
  <c r="E2334" i="17"/>
  <c r="J2333" i="17"/>
  <c r="E2333" i="17"/>
  <c r="J2332" i="17"/>
  <c r="E2332" i="17"/>
  <c r="J2331" i="17"/>
  <c r="E2331" i="17"/>
  <c r="K2330" i="17"/>
  <c r="J2330" i="17"/>
  <c r="E2330" i="17"/>
  <c r="J2329" i="17"/>
  <c r="E2329" i="17"/>
  <c r="J2328" i="17"/>
  <c r="E2328" i="17"/>
  <c r="K2327" i="17"/>
  <c r="J2327" i="17"/>
  <c r="E2327" i="17"/>
  <c r="K2326" i="17"/>
  <c r="J2326" i="17"/>
  <c r="E2326" i="17"/>
  <c r="J2325" i="17"/>
  <c r="E2325" i="17"/>
  <c r="P2324" i="17"/>
  <c r="O2324" i="17"/>
  <c r="N2324" i="17"/>
  <c r="M2324" i="17"/>
  <c r="L2324" i="17"/>
  <c r="K2324" i="17"/>
  <c r="E2324" i="17"/>
  <c r="J2323" i="17"/>
  <c r="E2323" i="17"/>
  <c r="J2322" i="17"/>
  <c r="E2322" i="17"/>
  <c r="J2321" i="17"/>
  <c r="E2321" i="17"/>
  <c r="J2320" i="17"/>
  <c r="E2320" i="17"/>
  <c r="M2319" i="17"/>
  <c r="L2319" i="17"/>
  <c r="J2319" i="17"/>
  <c r="K2319" i="17" s="1"/>
  <c r="E2319" i="17"/>
  <c r="K2318" i="17"/>
  <c r="J2318" i="17"/>
  <c r="E2318" i="17"/>
  <c r="L2317" i="17"/>
  <c r="K2317" i="17"/>
  <c r="J2317" i="17"/>
  <c r="E2317" i="17"/>
  <c r="K2316" i="17"/>
  <c r="J2316" i="17"/>
  <c r="E2316" i="17"/>
  <c r="L2315" i="17"/>
  <c r="K2315" i="17"/>
  <c r="J2315" i="17"/>
  <c r="E2315" i="17"/>
  <c r="K2314" i="17"/>
  <c r="J2314" i="17"/>
  <c r="E2314" i="17"/>
  <c r="L2313" i="17"/>
  <c r="K2313" i="17"/>
  <c r="J2313" i="17"/>
  <c r="E2313" i="17"/>
  <c r="K2312" i="17"/>
  <c r="J2312" i="17"/>
  <c r="E2312" i="17"/>
  <c r="L2311" i="17"/>
  <c r="K2311" i="17"/>
  <c r="J2311" i="17"/>
  <c r="E2311" i="17"/>
  <c r="K2310" i="17"/>
  <c r="J2310" i="17"/>
  <c r="E2310" i="17"/>
  <c r="L2309" i="17"/>
  <c r="K2309" i="17"/>
  <c r="J2309" i="17"/>
  <c r="E2309" i="17"/>
  <c r="K2308" i="17"/>
  <c r="J2308" i="17"/>
  <c r="E2308" i="17"/>
  <c r="L2307" i="17"/>
  <c r="K2307" i="17"/>
  <c r="J2307" i="17"/>
  <c r="E2307" i="17"/>
  <c r="K2306" i="17"/>
  <c r="J2306" i="17"/>
  <c r="E2306" i="17"/>
  <c r="L2305" i="17"/>
  <c r="K2305" i="17"/>
  <c r="J2305" i="17"/>
  <c r="E2305" i="17"/>
  <c r="K2304" i="17"/>
  <c r="J2304" i="17"/>
  <c r="E2304" i="17"/>
  <c r="L2303" i="17"/>
  <c r="K2303" i="17"/>
  <c r="J2303" i="17"/>
  <c r="E2303" i="17"/>
  <c r="K2302" i="17"/>
  <c r="J2302" i="17"/>
  <c r="E2302" i="17"/>
  <c r="L2301" i="17"/>
  <c r="K2301" i="17"/>
  <c r="J2301" i="17"/>
  <c r="E2301" i="17"/>
  <c r="K2300" i="17"/>
  <c r="J2300" i="17"/>
  <c r="E2300" i="17"/>
  <c r="L2299" i="17"/>
  <c r="K2299" i="17"/>
  <c r="J2299" i="17"/>
  <c r="E2299" i="17"/>
  <c r="K2298" i="17"/>
  <c r="J2298" i="17"/>
  <c r="E2298" i="17"/>
  <c r="L2297" i="17"/>
  <c r="K2297" i="17"/>
  <c r="J2297" i="17"/>
  <c r="E2297" i="17"/>
  <c r="K2296" i="17"/>
  <c r="J2296" i="17"/>
  <c r="E2296" i="17"/>
  <c r="L2295" i="17"/>
  <c r="K2295" i="17"/>
  <c r="J2295" i="17"/>
  <c r="E2295" i="17"/>
  <c r="K2294" i="17"/>
  <c r="J2294" i="17"/>
  <c r="E2294" i="17"/>
  <c r="L2293" i="17"/>
  <c r="K2293" i="17"/>
  <c r="J2293" i="17"/>
  <c r="E2293" i="17"/>
  <c r="K2292" i="17"/>
  <c r="J2292" i="17"/>
  <c r="E2292" i="17"/>
  <c r="L2291" i="17"/>
  <c r="K2291" i="17"/>
  <c r="J2291" i="17"/>
  <c r="E2291" i="17"/>
  <c r="K2290" i="17"/>
  <c r="J2290" i="17"/>
  <c r="E2290" i="17"/>
  <c r="L2289" i="17"/>
  <c r="K2289" i="17"/>
  <c r="J2289" i="17"/>
  <c r="E2289" i="17"/>
  <c r="L2288" i="17"/>
  <c r="K2288" i="17"/>
  <c r="J2288" i="17"/>
  <c r="E2288" i="17"/>
  <c r="K2287" i="17"/>
  <c r="L2287" i="17" s="1"/>
  <c r="J2287" i="17"/>
  <c r="E2287" i="17"/>
  <c r="L2286" i="17"/>
  <c r="K2286" i="17"/>
  <c r="J2286" i="17"/>
  <c r="E2286" i="17"/>
  <c r="K2285" i="17"/>
  <c r="J2285" i="17"/>
  <c r="E2285" i="17"/>
  <c r="L2284" i="17"/>
  <c r="K2284" i="17"/>
  <c r="J2284" i="17"/>
  <c r="E2284" i="17"/>
  <c r="L2283" i="17"/>
  <c r="K2283" i="17"/>
  <c r="J2283" i="17"/>
  <c r="E2283" i="17"/>
  <c r="K2282" i="17"/>
  <c r="J2282" i="17"/>
  <c r="E2282" i="17"/>
  <c r="L2281" i="17"/>
  <c r="K2281" i="17"/>
  <c r="J2281" i="17"/>
  <c r="E2281" i="17"/>
  <c r="K2280" i="17"/>
  <c r="J2280" i="17"/>
  <c r="E2280" i="17"/>
  <c r="K2279" i="17"/>
  <c r="L2279" i="17" s="1"/>
  <c r="J2279" i="17"/>
  <c r="E2279" i="17"/>
  <c r="L2278" i="17"/>
  <c r="K2278" i="17"/>
  <c r="J2278" i="17"/>
  <c r="E2278" i="17"/>
  <c r="K2277" i="17"/>
  <c r="J2277" i="17"/>
  <c r="E2277" i="17"/>
  <c r="L2276" i="17"/>
  <c r="K2276" i="17"/>
  <c r="J2276" i="17"/>
  <c r="E2276" i="17"/>
  <c r="L2275" i="17"/>
  <c r="K2275" i="17"/>
  <c r="J2275" i="17"/>
  <c r="E2275" i="17"/>
  <c r="K2274" i="17"/>
  <c r="J2274" i="17"/>
  <c r="E2274" i="17"/>
  <c r="L2273" i="17"/>
  <c r="K2273" i="17"/>
  <c r="J2273" i="17"/>
  <c r="E2273" i="17"/>
  <c r="L2272" i="17"/>
  <c r="K2272" i="17"/>
  <c r="J2272" i="17"/>
  <c r="E2272" i="17"/>
  <c r="K2271" i="17"/>
  <c r="L2271" i="17" s="1"/>
  <c r="J2271" i="17"/>
  <c r="E2271" i="17"/>
  <c r="L2270" i="17"/>
  <c r="K2270" i="17"/>
  <c r="J2270" i="17"/>
  <c r="E2270" i="17"/>
  <c r="K2269" i="17"/>
  <c r="J2269" i="17"/>
  <c r="E2269" i="17"/>
  <c r="L2268" i="17"/>
  <c r="K2268" i="17"/>
  <c r="J2268" i="17"/>
  <c r="E2268" i="17"/>
  <c r="L2267" i="17"/>
  <c r="K2267" i="17"/>
  <c r="J2267" i="17"/>
  <c r="E2267" i="17"/>
  <c r="K2266" i="17"/>
  <c r="J2266" i="17"/>
  <c r="E2266" i="17"/>
  <c r="L2265" i="17"/>
  <c r="K2265" i="17"/>
  <c r="J2265" i="17"/>
  <c r="E2265" i="17"/>
  <c r="K2264" i="17"/>
  <c r="J2264" i="17"/>
  <c r="E2264" i="17"/>
  <c r="K2263" i="17"/>
  <c r="L2263" i="17" s="1"/>
  <c r="J2263" i="17"/>
  <c r="E2263" i="17"/>
  <c r="L2262" i="17"/>
  <c r="K2262" i="17"/>
  <c r="J2262" i="17"/>
  <c r="E2262" i="17"/>
  <c r="K2261" i="17"/>
  <c r="J2261" i="17"/>
  <c r="E2261" i="17"/>
  <c r="L2260" i="17"/>
  <c r="K2260" i="17"/>
  <c r="J2260" i="17"/>
  <c r="E2260" i="17"/>
  <c r="L2259" i="17"/>
  <c r="K2259" i="17"/>
  <c r="J2259" i="17"/>
  <c r="E2259" i="17"/>
  <c r="K2258" i="17"/>
  <c r="J2258" i="17"/>
  <c r="E2258" i="17"/>
  <c r="L2257" i="17"/>
  <c r="K2257" i="17"/>
  <c r="J2257" i="17"/>
  <c r="E2257" i="17"/>
  <c r="L2256" i="17"/>
  <c r="K2256" i="17"/>
  <c r="J2256" i="17"/>
  <c r="E2256" i="17"/>
  <c r="K2255" i="17"/>
  <c r="L2255" i="17" s="1"/>
  <c r="J2255" i="17"/>
  <c r="E2255" i="17"/>
  <c r="L2254" i="17"/>
  <c r="K2254" i="17"/>
  <c r="J2254" i="17"/>
  <c r="E2254" i="17"/>
  <c r="K2253" i="17"/>
  <c r="J2253" i="17"/>
  <c r="E2253" i="17"/>
  <c r="L2252" i="17"/>
  <c r="K2252" i="17"/>
  <c r="J2252" i="17"/>
  <c r="E2252" i="17"/>
  <c r="L2251" i="17"/>
  <c r="K2251" i="17"/>
  <c r="J2251" i="17"/>
  <c r="E2251" i="17"/>
  <c r="J2250" i="17"/>
  <c r="E2250" i="17"/>
  <c r="L2249" i="17"/>
  <c r="K2249" i="17"/>
  <c r="J2249" i="17"/>
  <c r="E2249" i="17"/>
  <c r="K2248" i="17"/>
  <c r="L2248" i="17" s="1"/>
  <c r="J2248" i="17"/>
  <c r="E2248" i="17"/>
  <c r="J2247" i="17"/>
  <c r="E2247" i="17"/>
  <c r="L2246" i="17"/>
  <c r="K2246" i="17"/>
  <c r="J2246" i="17"/>
  <c r="E2246" i="17"/>
  <c r="J2245" i="17"/>
  <c r="E2245" i="17"/>
  <c r="J2244" i="17"/>
  <c r="E2244" i="17"/>
  <c r="L2243" i="17"/>
  <c r="K2243" i="17"/>
  <c r="J2243" i="17"/>
  <c r="E2243" i="17"/>
  <c r="J2242" i="17"/>
  <c r="E2242" i="17"/>
  <c r="L2241" i="17"/>
  <c r="K2241" i="17"/>
  <c r="J2241" i="17"/>
  <c r="E2241" i="17"/>
  <c r="K2240" i="17"/>
  <c r="L2240" i="17" s="1"/>
  <c r="J2240" i="17"/>
  <c r="E2240" i="17"/>
  <c r="J2239" i="17"/>
  <c r="E2239" i="17"/>
  <c r="L2238" i="17"/>
  <c r="K2238" i="17"/>
  <c r="J2238" i="17"/>
  <c r="E2238" i="17"/>
  <c r="K2237" i="17"/>
  <c r="J2237" i="17"/>
  <c r="E2237" i="17"/>
  <c r="J2236" i="17"/>
  <c r="E2236" i="17"/>
  <c r="P2235" i="17"/>
  <c r="O2235" i="17"/>
  <c r="N2235" i="17"/>
  <c r="M2235" i="17"/>
  <c r="L2235" i="17"/>
  <c r="K2235" i="17"/>
  <c r="J2235" i="17"/>
  <c r="E2235" i="17"/>
  <c r="L2234" i="17"/>
  <c r="K2234" i="17"/>
  <c r="J2234" i="17"/>
  <c r="E2234" i="17"/>
  <c r="J2233" i="17"/>
  <c r="E2233" i="17"/>
  <c r="L2232" i="17"/>
  <c r="K2232" i="17"/>
  <c r="J2232" i="17"/>
  <c r="E2232" i="17"/>
  <c r="L2231" i="17"/>
  <c r="K2231" i="17"/>
  <c r="J2231" i="17"/>
  <c r="E2231" i="17"/>
  <c r="J2230" i="17"/>
  <c r="E2230" i="17"/>
  <c r="L2229" i="17"/>
  <c r="K2229" i="17"/>
  <c r="J2229" i="17"/>
  <c r="E2229" i="17"/>
  <c r="K2228" i="17"/>
  <c r="J2228" i="17"/>
  <c r="E2228" i="17"/>
  <c r="J2227" i="17"/>
  <c r="E2227" i="17"/>
  <c r="L2226" i="17"/>
  <c r="K2226" i="17"/>
  <c r="J2226" i="17"/>
  <c r="E2226" i="17"/>
  <c r="J2225" i="17"/>
  <c r="E2225" i="17"/>
  <c r="L2224" i="17"/>
  <c r="K2224" i="17"/>
  <c r="J2224" i="17"/>
  <c r="E2224" i="17"/>
  <c r="L2223" i="17"/>
  <c r="K2223" i="17"/>
  <c r="J2223" i="17"/>
  <c r="E2223" i="17"/>
  <c r="J2222" i="17"/>
  <c r="E2222" i="17"/>
  <c r="L2221" i="17"/>
  <c r="K2221" i="17"/>
  <c r="J2221" i="17"/>
  <c r="E2221" i="17"/>
  <c r="K2220" i="17"/>
  <c r="J2220" i="17"/>
  <c r="E2220" i="17"/>
  <c r="J2219" i="17"/>
  <c r="E2219" i="17"/>
  <c r="P2218" i="17"/>
  <c r="O2218" i="17"/>
  <c r="N2218" i="17"/>
  <c r="M2218" i="17"/>
  <c r="L2218" i="17"/>
  <c r="K2218" i="17"/>
  <c r="J2218" i="17"/>
  <c r="E2218" i="17"/>
  <c r="L2217" i="17"/>
  <c r="K2217" i="17"/>
  <c r="J2217" i="17"/>
  <c r="E2217" i="17"/>
  <c r="J2216" i="17"/>
  <c r="E2216" i="17"/>
  <c r="L2215" i="17"/>
  <c r="K2215" i="17"/>
  <c r="J2215" i="17"/>
  <c r="E2215" i="17"/>
  <c r="L2214" i="17"/>
  <c r="K2214" i="17"/>
  <c r="J2214" i="17"/>
  <c r="E2214" i="17"/>
  <c r="J2213" i="17"/>
  <c r="E2213" i="17"/>
  <c r="L2212" i="17"/>
  <c r="K2212" i="17"/>
  <c r="J2212" i="17"/>
  <c r="E2212" i="17"/>
  <c r="K2211" i="17"/>
  <c r="J2211" i="17"/>
  <c r="E2211" i="17"/>
  <c r="J2210" i="17"/>
  <c r="E2210" i="17"/>
  <c r="L2209" i="17"/>
  <c r="K2209" i="17"/>
  <c r="J2209" i="17"/>
  <c r="E2209" i="17"/>
  <c r="J2208" i="17"/>
  <c r="E2208" i="17"/>
  <c r="L2207" i="17"/>
  <c r="K2207" i="17"/>
  <c r="J2207" i="17"/>
  <c r="E2207" i="17"/>
  <c r="L2206" i="17"/>
  <c r="K2206" i="17"/>
  <c r="J2206" i="17"/>
  <c r="E2206" i="17"/>
  <c r="J2205" i="17"/>
  <c r="E2205" i="17"/>
  <c r="J2204" i="17"/>
  <c r="E2204" i="17"/>
  <c r="J2203" i="17"/>
  <c r="E2203" i="17"/>
  <c r="J2202" i="17"/>
  <c r="E2202" i="17"/>
  <c r="L2201" i="17"/>
  <c r="K2201" i="17"/>
  <c r="J2201" i="17"/>
  <c r="E2201" i="17"/>
  <c r="J2200" i="17"/>
  <c r="E2200" i="17"/>
  <c r="K2199" i="17"/>
  <c r="L2199" i="17" s="1"/>
  <c r="J2199" i="17"/>
  <c r="E2199" i="17"/>
  <c r="L2198" i="17"/>
  <c r="K2198" i="17"/>
  <c r="J2198" i="17"/>
  <c r="E2198" i="17"/>
  <c r="J2197" i="17"/>
  <c r="E2197" i="17"/>
  <c r="J2196" i="17"/>
  <c r="E2196" i="17"/>
  <c r="J2195" i="17"/>
  <c r="E2195" i="17"/>
  <c r="J2194" i="17"/>
  <c r="E2194" i="17"/>
  <c r="L2193" i="17"/>
  <c r="K2193" i="17"/>
  <c r="J2193" i="17"/>
  <c r="E2193" i="17"/>
  <c r="J2192" i="17"/>
  <c r="E2192" i="17"/>
  <c r="J2191" i="17"/>
  <c r="E2191" i="17"/>
  <c r="J2190" i="17"/>
  <c r="E2190" i="17"/>
  <c r="L2189" i="17"/>
  <c r="K2189" i="17"/>
  <c r="J2189" i="17"/>
  <c r="E2189" i="17"/>
  <c r="J2188" i="17"/>
  <c r="E2188" i="17"/>
  <c r="J2187" i="17"/>
  <c r="E2187" i="17"/>
  <c r="J2186" i="17"/>
  <c r="E2186" i="17"/>
  <c r="P2185" i="17"/>
  <c r="O2185" i="17"/>
  <c r="N2185" i="17"/>
  <c r="M2185" i="17"/>
  <c r="L2185" i="17"/>
  <c r="K2185" i="17"/>
  <c r="J2185" i="17"/>
  <c r="E2185" i="17"/>
  <c r="L2184" i="17"/>
  <c r="K2184" i="17"/>
  <c r="J2184" i="17"/>
  <c r="E2184" i="17"/>
  <c r="J2183" i="17"/>
  <c r="E2183" i="17"/>
  <c r="J2182" i="17"/>
  <c r="E2182" i="17"/>
  <c r="J2181" i="17"/>
  <c r="E2181" i="17"/>
  <c r="L2180" i="17"/>
  <c r="K2180" i="17"/>
  <c r="J2180" i="17"/>
  <c r="E2180" i="17"/>
  <c r="J2179" i="17"/>
  <c r="E2179" i="17"/>
  <c r="J2178" i="17"/>
  <c r="E2178" i="17"/>
  <c r="J2177" i="17"/>
  <c r="E2177" i="17"/>
  <c r="L2176" i="17"/>
  <c r="K2176" i="17"/>
  <c r="J2176" i="17"/>
  <c r="E2176" i="17"/>
  <c r="J2175" i="17"/>
  <c r="E2175" i="17"/>
  <c r="J2174" i="17"/>
  <c r="E2174" i="17"/>
  <c r="J2173" i="17"/>
  <c r="E2173" i="17"/>
  <c r="M2172" i="17"/>
  <c r="L2172" i="17"/>
  <c r="K2172" i="17"/>
  <c r="J2172" i="17"/>
  <c r="E2172" i="17"/>
  <c r="M2171" i="17"/>
  <c r="L2171" i="17"/>
  <c r="K2171" i="17"/>
  <c r="J2171" i="17"/>
  <c r="E2171" i="17"/>
  <c r="M2170" i="17"/>
  <c r="L2170" i="17"/>
  <c r="K2170" i="17"/>
  <c r="J2170" i="17"/>
  <c r="E2170" i="17"/>
  <c r="M2169" i="17"/>
  <c r="L2169" i="17"/>
  <c r="K2169" i="17"/>
  <c r="J2169" i="17"/>
  <c r="E2169" i="17"/>
  <c r="M2168" i="17"/>
  <c r="L2168" i="17"/>
  <c r="K2168" i="17"/>
  <c r="J2168" i="17"/>
  <c r="E2168" i="17"/>
  <c r="L2167" i="17"/>
  <c r="M2167" i="17" s="1"/>
  <c r="K2167" i="17"/>
  <c r="J2167" i="17"/>
  <c r="E2167" i="17"/>
  <c r="L2166" i="17"/>
  <c r="M2166" i="17" s="1"/>
  <c r="K2166" i="17"/>
  <c r="J2166" i="17"/>
  <c r="E2166" i="17"/>
  <c r="L2165" i="17"/>
  <c r="M2165" i="17" s="1"/>
  <c r="K2165" i="17"/>
  <c r="J2165" i="17"/>
  <c r="E2165" i="17"/>
  <c r="M2164" i="17"/>
  <c r="L2164" i="17"/>
  <c r="K2164" i="17"/>
  <c r="J2164" i="17"/>
  <c r="E2164" i="17"/>
  <c r="M2163" i="17"/>
  <c r="L2163" i="17"/>
  <c r="K2163" i="17"/>
  <c r="J2163" i="17"/>
  <c r="E2163" i="17"/>
  <c r="M2162" i="17"/>
  <c r="L2162" i="17"/>
  <c r="K2162" i="17"/>
  <c r="J2162" i="17"/>
  <c r="E2162" i="17"/>
  <c r="M2161" i="17"/>
  <c r="L2161" i="17"/>
  <c r="K2161" i="17"/>
  <c r="J2161" i="17"/>
  <c r="E2161" i="17"/>
  <c r="M2160" i="17"/>
  <c r="L2160" i="17"/>
  <c r="K2160" i="17"/>
  <c r="J2160" i="17"/>
  <c r="E2160" i="17"/>
  <c r="L2159" i="17"/>
  <c r="M2159" i="17" s="1"/>
  <c r="K2159" i="17"/>
  <c r="J2159" i="17"/>
  <c r="E2159" i="17"/>
  <c r="L2158" i="17"/>
  <c r="K2158" i="17"/>
  <c r="M2158" i="17" s="1"/>
  <c r="J2158" i="17"/>
  <c r="E2158" i="17"/>
  <c r="L2157" i="17"/>
  <c r="K2157" i="17"/>
  <c r="J2157" i="17"/>
  <c r="E2157" i="17"/>
  <c r="K2156" i="17"/>
  <c r="J2156" i="17"/>
  <c r="E2156" i="17"/>
  <c r="K2155" i="17"/>
  <c r="J2155" i="17"/>
  <c r="E2155" i="17"/>
  <c r="K2154" i="17"/>
  <c r="J2154" i="17"/>
  <c r="E2154" i="17"/>
  <c r="M2153" i="17"/>
  <c r="L2153" i="17"/>
  <c r="K2153" i="17"/>
  <c r="J2153" i="17"/>
  <c r="E2153" i="17"/>
  <c r="M2152" i="17"/>
  <c r="L2152" i="17"/>
  <c r="K2152" i="17"/>
  <c r="J2152" i="17"/>
  <c r="E2152" i="17"/>
  <c r="L2151" i="17"/>
  <c r="K2151" i="17"/>
  <c r="M2151" i="17" s="1"/>
  <c r="J2151" i="17"/>
  <c r="E2151" i="17"/>
  <c r="L2150" i="17"/>
  <c r="K2150" i="17"/>
  <c r="M2150" i="17" s="1"/>
  <c r="J2150" i="17"/>
  <c r="E2150" i="17"/>
  <c r="L2149" i="17"/>
  <c r="K2149" i="17"/>
  <c r="M2149" i="17" s="1"/>
  <c r="J2149" i="17"/>
  <c r="E2149" i="17"/>
  <c r="K2148" i="17"/>
  <c r="J2148" i="17"/>
  <c r="E2148" i="17"/>
  <c r="K2147" i="17"/>
  <c r="J2147" i="17"/>
  <c r="E2147" i="17"/>
  <c r="K2146" i="17"/>
  <c r="J2146" i="17"/>
  <c r="E2146" i="17"/>
  <c r="M2145" i="17"/>
  <c r="L2145" i="17"/>
  <c r="K2145" i="17"/>
  <c r="J2145" i="17"/>
  <c r="E2145" i="17"/>
  <c r="J2144" i="17"/>
  <c r="E2144" i="17"/>
  <c r="J2143" i="17"/>
  <c r="E2143" i="17"/>
  <c r="L2142" i="17"/>
  <c r="K2142" i="17"/>
  <c r="J2142" i="17"/>
  <c r="E2142" i="17"/>
  <c r="L2141" i="17"/>
  <c r="K2141" i="17"/>
  <c r="J2141" i="17"/>
  <c r="E2141" i="17"/>
  <c r="K2140" i="17"/>
  <c r="J2140" i="17"/>
  <c r="E2140" i="17"/>
  <c r="K2139" i="17"/>
  <c r="J2139" i="17"/>
  <c r="E2139" i="17"/>
  <c r="K2138" i="17"/>
  <c r="J2138" i="17"/>
  <c r="L2138" i="17" s="1"/>
  <c r="E2138" i="17"/>
  <c r="J2137" i="17"/>
  <c r="E2137" i="17"/>
  <c r="J2136" i="17"/>
  <c r="E2136" i="17"/>
  <c r="J2135" i="17"/>
  <c r="E2135" i="17"/>
  <c r="L2134" i="17"/>
  <c r="K2134" i="17"/>
  <c r="J2134" i="17"/>
  <c r="E2134" i="17"/>
  <c r="L2133" i="17"/>
  <c r="K2133" i="17"/>
  <c r="J2133" i="17"/>
  <c r="E2133" i="17"/>
  <c r="K2132" i="17"/>
  <c r="J2132" i="17"/>
  <c r="E2132" i="17"/>
  <c r="K2131" i="17"/>
  <c r="J2131" i="17"/>
  <c r="E2131" i="17"/>
  <c r="K2130" i="17"/>
  <c r="J2130" i="17"/>
  <c r="L2130" i="17" s="1"/>
  <c r="E2130" i="17"/>
  <c r="J2129" i="17"/>
  <c r="E2129" i="17"/>
  <c r="J2128" i="17"/>
  <c r="E2128" i="17"/>
  <c r="J2127" i="17"/>
  <c r="E2127" i="17"/>
  <c r="L2126" i="17"/>
  <c r="K2126" i="17"/>
  <c r="J2126" i="17"/>
  <c r="E2126" i="17"/>
  <c r="L2125" i="17"/>
  <c r="K2125" i="17"/>
  <c r="J2125" i="17"/>
  <c r="E2125" i="17"/>
  <c r="K2124" i="17"/>
  <c r="J2124" i="17"/>
  <c r="E2124" i="17"/>
  <c r="K2123" i="17"/>
  <c r="J2123" i="17"/>
  <c r="E2123" i="17"/>
  <c r="K2122" i="17"/>
  <c r="J2122" i="17"/>
  <c r="L2122" i="17" s="1"/>
  <c r="E2122" i="17"/>
  <c r="J2121" i="17"/>
  <c r="E2121" i="17"/>
  <c r="J2120" i="17"/>
  <c r="E2120" i="17"/>
  <c r="J2119" i="17"/>
  <c r="E2119" i="17"/>
  <c r="L2118" i="17"/>
  <c r="K2118" i="17"/>
  <c r="J2118" i="17"/>
  <c r="E2118" i="17"/>
  <c r="L2117" i="17"/>
  <c r="K2117" i="17"/>
  <c r="J2117" i="17"/>
  <c r="E2117" i="17"/>
  <c r="K2116" i="17"/>
  <c r="J2116" i="17"/>
  <c r="E2116" i="17"/>
  <c r="K2115" i="17"/>
  <c r="J2115" i="17"/>
  <c r="E2115" i="17"/>
  <c r="K2114" i="17"/>
  <c r="J2114" i="17"/>
  <c r="L2114" i="17" s="1"/>
  <c r="E2114" i="17"/>
  <c r="J2113" i="17"/>
  <c r="E2113" i="17"/>
  <c r="P2112" i="17"/>
  <c r="O2112" i="17"/>
  <c r="N2112" i="17"/>
  <c r="M2112" i="17"/>
  <c r="L2112" i="17"/>
  <c r="K2112" i="17"/>
  <c r="J2112" i="17"/>
  <c r="E2112" i="17"/>
  <c r="J2111" i="17"/>
  <c r="E2111" i="17"/>
  <c r="J2110" i="17"/>
  <c r="E2110" i="17"/>
  <c r="L2109" i="17"/>
  <c r="K2109" i="17"/>
  <c r="J2109" i="17"/>
  <c r="E2109" i="17"/>
  <c r="L2108" i="17"/>
  <c r="K2108" i="17"/>
  <c r="J2108" i="17"/>
  <c r="E2108" i="17"/>
  <c r="K2107" i="17"/>
  <c r="J2107" i="17"/>
  <c r="E2107" i="17"/>
  <c r="K2106" i="17"/>
  <c r="J2106" i="17"/>
  <c r="E2106" i="17"/>
  <c r="K2105" i="17"/>
  <c r="J2105" i="17"/>
  <c r="L2105" i="17" s="1"/>
  <c r="E2105" i="17"/>
  <c r="J2104" i="17"/>
  <c r="E2104" i="17"/>
  <c r="J2103" i="17"/>
  <c r="E2103" i="17"/>
  <c r="J2102" i="17"/>
  <c r="E2102" i="17"/>
  <c r="L2101" i="17"/>
  <c r="K2101" i="17"/>
  <c r="J2101" i="17"/>
  <c r="E2101" i="17"/>
  <c r="L2100" i="17"/>
  <c r="K2100" i="17"/>
  <c r="J2100" i="17"/>
  <c r="E2100" i="17"/>
  <c r="K2099" i="17"/>
  <c r="J2099" i="17"/>
  <c r="E2099" i="17"/>
  <c r="K2098" i="17"/>
  <c r="J2098" i="17"/>
  <c r="E2098" i="17"/>
  <c r="K2097" i="17"/>
  <c r="J2097" i="17"/>
  <c r="L2097" i="17" s="1"/>
  <c r="E2097" i="17"/>
  <c r="J2096" i="17"/>
  <c r="E2096" i="17"/>
  <c r="J2095" i="17"/>
  <c r="E2095" i="17"/>
  <c r="J2094" i="17"/>
  <c r="E2094" i="17"/>
  <c r="L2093" i="17"/>
  <c r="K2093" i="17"/>
  <c r="J2093" i="17"/>
  <c r="E2093" i="17"/>
  <c r="L2092" i="17"/>
  <c r="K2092" i="17"/>
  <c r="J2092" i="17"/>
  <c r="E2092" i="17"/>
  <c r="K2091" i="17"/>
  <c r="J2091" i="17"/>
  <c r="E2091" i="17"/>
  <c r="K2090" i="17"/>
  <c r="J2090" i="17"/>
  <c r="E2090" i="17"/>
  <c r="K2089" i="17"/>
  <c r="J2089" i="17"/>
  <c r="L2089" i="17" s="1"/>
  <c r="E2089" i="17"/>
  <c r="J2088" i="17"/>
  <c r="E2088" i="17"/>
  <c r="J2087" i="17"/>
  <c r="E2087" i="17"/>
  <c r="J2086" i="17"/>
  <c r="E2086" i="17"/>
  <c r="J2085" i="17"/>
  <c r="E2085" i="17"/>
  <c r="K2084" i="17"/>
  <c r="J2084" i="17"/>
  <c r="E2084" i="17"/>
  <c r="L2083" i="17"/>
  <c r="K2083" i="17"/>
  <c r="M2083" i="17" s="1"/>
  <c r="J2083" i="17"/>
  <c r="E2083" i="17"/>
  <c r="J2082" i="17"/>
  <c r="E2082" i="17"/>
  <c r="J2081" i="17"/>
  <c r="E2081" i="17"/>
  <c r="K2080" i="17"/>
  <c r="J2080" i="17"/>
  <c r="E2080" i="17"/>
  <c r="L2079" i="17"/>
  <c r="K2079" i="17"/>
  <c r="J2079" i="17"/>
  <c r="E2079" i="17"/>
  <c r="J2078" i="17"/>
  <c r="E2078" i="17"/>
  <c r="J2077" i="17"/>
  <c r="E2077" i="17"/>
  <c r="K2076" i="17"/>
  <c r="J2076" i="17"/>
  <c r="E2076" i="17"/>
  <c r="N2075" i="17"/>
  <c r="L2075" i="17"/>
  <c r="K2075" i="17"/>
  <c r="M2075" i="17" s="1"/>
  <c r="J2075" i="17"/>
  <c r="E2075" i="17"/>
  <c r="L2074" i="17"/>
  <c r="K2074" i="17"/>
  <c r="J2074" i="17"/>
  <c r="E2074" i="17"/>
  <c r="L2073" i="17"/>
  <c r="K2073" i="17"/>
  <c r="J2073" i="17"/>
  <c r="E2073" i="17"/>
  <c r="L2072" i="17"/>
  <c r="K2072" i="17"/>
  <c r="J2072" i="17"/>
  <c r="E2072" i="17"/>
  <c r="L2071" i="17"/>
  <c r="K2071" i="17"/>
  <c r="J2071" i="17"/>
  <c r="E2071" i="17"/>
  <c r="L2070" i="17"/>
  <c r="K2070" i="17"/>
  <c r="M2070" i="17" s="1"/>
  <c r="J2070" i="17"/>
  <c r="E2070" i="17"/>
  <c r="L2069" i="17"/>
  <c r="K2069" i="17"/>
  <c r="M2069" i="17" s="1"/>
  <c r="J2069" i="17"/>
  <c r="E2069" i="17"/>
  <c r="L2068" i="17"/>
  <c r="K2068" i="17"/>
  <c r="M2068" i="17" s="1"/>
  <c r="N2068" i="17" s="1"/>
  <c r="J2068" i="17"/>
  <c r="E2068" i="17"/>
  <c r="N2067" i="17"/>
  <c r="L2067" i="17"/>
  <c r="K2067" i="17"/>
  <c r="M2067" i="17" s="1"/>
  <c r="J2067" i="17"/>
  <c r="E2067" i="17"/>
  <c r="N2066" i="17"/>
  <c r="L2066" i="17"/>
  <c r="K2066" i="17"/>
  <c r="M2066" i="17" s="1"/>
  <c r="J2066" i="17"/>
  <c r="O2066" i="17" s="1"/>
  <c r="E2066" i="17"/>
  <c r="L2065" i="17"/>
  <c r="K2065" i="17"/>
  <c r="J2065" i="17"/>
  <c r="E2065" i="17"/>
  <c r="L2064" i="17"/>
  <c r="K2064" i="17"/>
  <c r="J2064" i="17"/>
  <c r="E2064" i="17"/>
  <c r="L2063" i="17"/>
  <c r="K2063" i="17"/>
  <c r="J2063" i="17"/>
  <c r="E2063" i="17"/>
  <c r="L2062" i="17"/>
  <c r="K2062" i="17"/>
  <c r="M2062" i="17" s="1"/>
  <c r="J2062" i="17"/>
  <c r="E2062" i="17"/>
  <c r="L2061" i="17"/>
  <c r="K2061" i="17"/>
  <c r="M2061" i="17" s="1"/>
  <c r="J2061" i="17"/>
  <c r="E2061" i="17"/>
  <c r="L2060" i="17"/>
  <c r="K2060" i="17"/>
  <c r="M2060" i="17" s="1"/>
  <c r="N2060" i="17" s="1"/>
  <c r="J2060" i="17"/>
  <c r="E2060" i="17"/>
  <c r="N2059" i="17"/>
  <c r="L2059" i="17"/>
  <c r="K2059" i="17"/>
  <c r="M2059" i="17" s="1"/>
  <c r="J2059" i="17"/>
  <c r="E2059" i="17"/>
  <c r="N2058" i="17"/>
  <c r="L2058" i="17"/>
  <c r="K2058" i="17"/>
  <c r="M2058" i="17" s="1"/>
  <c r="J2058" i="17"/>
  <c r="O2058" i="17" s="1"/>
  <c r="E2058" i="17"/>
  <c r="L2057" i="17"/>
  <c r="K2057" i="17"/>
  <c r="J2057" i="17"/>
  <c r="E2057" i="17"/>
  <c r="L2056" i="17"/>
  <c r="K2056" i="17"/>
  <c r="J2056" i="17"/>
  <c r="E2056" i="17"/>
  <c r="L2055" i="17"/>
  <c r="K2055" i="17"/>
  <c r="J2055" i="17"/>
  <c r="E2055" i="17"/>
  <c r="L2054" i="17"/>
  <c r="K2054" i="17"/>
  <c r="J2054" i="17"/>
  <c r="E2054" i="17"/>
  <c r="L2053" i="17"/>
  <c r="K2053" i="17"/>
  <c r="J2053" i="17"/>
  <c r="E2053" i="17"/>
  <c r="L2052" i="17"/>
  <c r="K2052" i="17"/>
  <c r="J2052" i="17"/>
  <c r="E2052" i="17"/>
  <c r="L2051" i="17"/>
  <c r="K2051" i="17"/>
  <c r="J2051" i="17"/>
  <c r="E2051" i="17"/>
  <c r="L2050" i="17"/>
  <c r="K2050" i="17"/>
  <c r="J2050" i="17"/>
  <c r="E2050" i="17"/>
  <c r="L2049" i="17"/>
  <c r="K2049" i="17"/>
  <c r="J2049" i="17"/>
  <c r="E2049" i="17"/>
  <c r="L2048" i="17"/>
  <c r="K2048" i="17"/>
  <c r="J2048" i="17"/>
  <c r="E2048" i="17"/>
  <c r="L2047" i="17"/>
  <c r="K2047" i="17"/>
  <c r="J2047" i="17"/>
  <c r="E2047" i="17"/>
  <c r="L2046" i="17"/>
  <c r="K2046" i="17"/>
  <c r="J2046" i="17"/>
  <c r="E2046" i="17"/>
  <c r="L2045" i="17"/>
  <c r="K2045" i="17"/>
  <c r="J2045" i="17"/>
  <c r="E2045" i="17"/>
  <c r="L2044" i="17"/>
  <c r="K2044" i="17"/>
  <c r="J2044" i="17"/>
  <c r="E2044" i="17"/>
  <c r="L2043" i="17"/>
  <c r="K2043" i="17"/>
  <c r="J2043" i="17"/>
  <c r="E2043" i="17"/>
  <c r="L2042" i="17"/>
  <c r="K2042" i="17"/>
  <c r="J2042" i="17"/>
  <c r="E2042" i="17"/>
  <c r="L2041" i="17"/>
  <c r="K2041" i="17"/>
  <c r="J2041" i="17"/>
  <c r="E2041" i="17"/>
  <c r="L2040" i="17"/>
  <c r="K2040" i="17"/>
  <c r="J2040" i="17"/>
  <c r="E2040" i="17"/>
  <c r="L2039" i="17"/>
  <c r="K2039" i="17"/>
  <c r="J2039" i="17"/>
  <c r="E2039" i="17"/>
  <c r="L2038" i="17"/>
  <c r="K2038" i="17"/>
  <c r="J2038" i="17"/>
  <c r="E2038" i="17"/>
  <c r="L2037" i="17"/>
  <c r="K2037" i="17"/>
  <c r="J2037" i="17"/>
  <c r="E2037" i="17"/>
  <c r="L2036" i="17"/>
  <c r="K2036" i="17"/>
  <c r="J2036" i="17"/>
  <c r="E2036" i="17"/>
  <c r="L2035" i="17"/>
  <c r="K2035" i="17"/>
  <c r="J2035" i="17"/>
  <c r="E2035" i="17"/>
  <c r="L2034" i="17"/>
  <c r="K2034" i="17"/>
  <c r="J2034" i="17"/>
  <c r="E2034" i="17"/>
  <c r="L2033" i="17"/>
  <c r="K2033" i="17"/>
  <c r="J2033" i="17"/>
  <c r="E2033" i="17"/>
  <c r="L2032" i="17"/>
  <c r="K2032" i="17"/>
  <c r="J2032" i="17"/>
  <c r="E2032" i="17"/>
  <c r="L2031" i="17"/>
  <c r="K2031" i="17"/>
  <c r="J2031" i="17"/>
  <c r="E2031" i="17"/>
  <c r="L2030" i="17"/>
  <c r="K2030" i="17"/>
  <c r="J2030" i="17"/>
  <c r="E2030" i="17"/>
  <c r="L2029" i="17"/>
  <c r="K2029" i="17"/>
  <c r="J2029" i="17"/>
  <c r="E2029" i="17"/>
  <c r="L2028" i="17"/>
  <c r="K2028" i="17"/>
  <c r="J2028" i="17"/>
  <c r="E2028" i="17"/>
  <c r="L2027" i="17"/>
  <c r="K2027" i="17"/>
  <c r="J2027" i="17"/>
  <c r="E2027" i="17"/>
  <c r="L2026" i="17"/>
  <c r="K2026" i="17"/>
  <c r="J2026" i="17"/>
  <c r="E2026" i="17"/>
  <c r="L2025" i="17"/>
  <c r="K2025" i="17"/>
  <c r="J2025" i="17"/>
  <c r="E2025" i="17"/>
  <c r="L2024" i="17"/>
  <c r="K2024" i="17"/>
  <c r="J2024" i="17"/>
  <c r="E2024" i="17"/>
  <c r="L2023" i="17"/>
  <c r="K2023" i="17"/>
  <c r="J2023" i="17"/>
  <c r="E2023" i="17"/>
  <c r="L2022" i="17"/>
  <c r="K2022" i="17"/>
  <c r="J2022" i="17"/>
  <c r="E2022" i="17"/>
  <c r="K2021" i="17"/>
  <c r="J2021" i="17"/>
  <c r="E2021" i="17"/>
  <c r="L2020" i="17"/>
  <c r="K2020" i="17"/>
  <c r="J2020" i="17"/>
  <c r="E2020" i="17"/>
  <c r="K2019" i="17"/>
  <c r="J2019" i="17"/>
  <c r="E2019" i="17"/>
  <c r="K2018" i="17"/>
  <c r="J2018" i="17"/>
  <c r="E2018" i="17"/>
  <c r="K2017" i="17"/>
  <c r="J2017" i="17"/>
  <c r="E2017" i="17"/>
  <c r="L2016" i="17"/>
  <c r="K2016" i="17"/>
  <c r="J2016" i="17"/>
  <c r="E2016" i="17"/>
  <c r="K2015" i="17"/>
  <c r="J2015" i="17"/>
  <c r="E2015" i="17"/>
  <c r="K2014" i="17"/>
  <c r="J2014" i="17"/>
  <c r="E2014" i="17"/>
  <c r="K2013" i="17"/>
  <c r="J2013" i="17"/>
  <c r="E2013" i="17"/>
  <c r="L2012" i="17"/>
  <c r="K2012" i="17"/>
  <c r="J2012" i="17"/>
  <c r="E2012" i="17"/>
  <c r="K2011" i="17"/>
  <c r="J2011" i="17"/>
  <c r="E2011" i="17"/>
  <c r="K2010" i="17"/>
  <c r="J2010" i="17"/>
  <c r="E2010" i="17"/>
  <c r="K2009" i="17"/>
  <c r="J2009" i="17"/>
  <c r="E2009" i="17"/>
  <c r="L2008" i="17"/>
  <c r="K2008" i="17"/>
  <c r="J2008" i="17"/>
  <c r="E2008" i="17"/>
  <c r="K2007" i="17"/>
  <c r="J2007" i="17"/>
  <c r="E2007" i="17"/>
  <c r="K2006" i="17"/>
  <c r="J2006" i="17"/>
  <c r="E2006" i="17"/>
  <c r="K2005" i="17"/>
  <c r="J2005" i="17"/>
  <c r="E2005" i="17"/>
  <c r="J2004" i="17"/>
  <c r="E2004" i="17"/>
  <c r="J2003" i="17"/>
  <c r="E2003" i="17"/>
  <c r="K2002" i="17"/>
  <c r="J2002" i="17"/>
  <c r="E2002" i="17"/>
  <c r="K2001" i="17"/>
  <c r="L2001" i="17" s="1"/>
  <c r="J2001" i="17"/>
  <c r="E2001" i="17"/>
  <c r="J2000" i="17"/>
  <c r="E2000" i="17"/>
  <c r="J1999" i="17"/>
  <c r="E1999" i="17"/>
  <c r="K1998" i="17"/>
  <c r="J1998" i="17"/>
  <c r="E1998" i="17"/>
  <c r="P1997" i="17"/>
  <c r="O1997" i="17"/>
  <c r="N1997" i="17"/>
  <c r="M1997" i="17"/>
  <c r="L1997" i="17"/>
  <c r="K1997" i="17"/>
  <c r="J1997" i="17"/>
  <c r="E1997" i="17"/>
  <c r="K1996" i="17"/>
  <c r="L1996" i="17" s="1"/>
  <c r="J1996" i="17"/>
  <c r="E1996" i="17"/>
  <c r="J1995" i="17"/>
  <c r="E1995" i="17"/>
  <c r="J1994" i="17"/>
  <c r="E1994" i="17"/>
  <c r="K1993" i="17"/>
  <c r="J1993" i="17"/>
  <c r="E1993" i="17"/>
  <c r="K1992" i="17"/>
  <c r="J1992" i="17"/>
  <c r="E1992" i="17"/>
  <c r="J1991" i="17"/>
  <c r="E1991" i="17"/>
  <c r="J1990" i="17"/>
  <c r="E1990" i="17"/>
  <c r="K1989" i="17"/>
  <c r="J1989" i="17"/>
  <c r="E1989" i="17"/>
  <c r="K1988" i="17"/>
  <c r="J1988" i="17"/>
  <c r="E1988" i="17"/>
  <c r="J1987" i="17"/>
  <c r="E1987" i="17"/>
  <c r="J1986" i="17"/>
  <c r="E1986" i="17"/>
  <c r="K1985" i="17"/>
  <c r="J1985" i="17"/>
  <c r="E1985" i="17"/>
  <c r="K1984" i="17"/>
  <c r="J1984" i="17"/>
  <c r="E1984" i="17"/>
  <c r="J1983" i="17"/>
  <c r="E1983" i="17"/>
  <c r="J1982" i="17"/>
  <c r="E1982" i="17"/>
  <c r="K1981" i="17"/>
  <c r="J1981" i="17"/>
  <c r="E1981" i="17"/>
  <c r="K1980" i="17"/>
  <c r="J1980" i="17"/>
  <c r="E1980" i="17"/>
  <c r="J1979" i="17"/>
  <c r="E1979" i="17"/>
  <c r="J1978" i="17"/>
  <c r="E1978" i="17"/>
  <c r="K1977" i="17"/>
  <c r="J1977" i="17"/>
  <c r="E1977" i="17"/>
  <c r="K1976" i="17"/>
  <c r="J1976" i="17"/>
  <c r="E1976" i="17"/>
  <c r="J1975" i="17"/>
  <c r="E1975" i="17"/>
  <c r="J1974" i="17"/>
  <c r="E1974" i="17"/>
  <c r="K1973" i="17"/>
  <c r="J1973" i="17"/>
  <c r="E1973" i="17"/>
  <c r="K1972" i="17"/>
  <c r="J1972" i="17"/>
  <c r="E1972" i="17"/>
  <c r="J1971" i="17"/>
  <c r="E1971" i="17"/>
  <c r="J1970" i="17"/>
  <c r="E1970" i="17"/>
  <c r="K1969" i="17"/>
  <c r="J1969" i="17"/>
  <c r="E1969" i="17"/>
  <c r="K1968" i="17"/>
  <c r="J1968" i="17"/>
  <c r="E1968" i="17"/>
  <c r="J1967" i="17"/>
  <c r="E1967" i="17"/>
  <c r="J1966" i="17"/>
  <c r="E1966" i="17"/>
  <c r="K1965" i="17"/>
  <c r="J1965" i="17"/>
  <c r="E1965" i="17"/>
  <c r="K1964" i="17"/>
  <c r="J1964" i="17"/>
  <c r="E1964" i="17"/>
  <c r="J1963" i="17"/>
  <c r="E1963" i="17"/>
  <c r="P1962" i="17"/>
  <c r="O1962" i="17"/>
  <c r="N1962" i="17"/>
  <c r="M1962" i="17"/>
  <c r="L1962" i="17"/>
  <c r="K1962" i="17"/>
  <c r="J1962" i="17"/>
  <c r="E1962" i="17"/>
  <c r="J1961" i="17"/>
  <c r="E1961" i="17"/>
  <c r="K1960" i="17"/>
  <c r="J1960" i="17"/>
  <c r="E1960" i="17"/>
  <c r="K1959" i="17"/>
  <c r="J1959" i="17"/>
  <c r="E1959" i="17"/>
  <c r="J1958" i="17"/>
  <c r="E1958" i="17"/>
  <c r="J1957" i="17"/>
  <c r="E1957" i="17"/>
  <c r="K1956" i="17"/>
  <c r="J1956" i="17"/>
  <c r="E1956" i="17"/>
  <c r="K1955" i="17"/>
  <c r="J1955" i="17"/>
  <c r="E1955" i="17"/>
  <c r="K1954" i="17"/>
  <c r="J1954" i="17"/>
  <c r="E1954" i="17"/>
  <c r="K1953" i="17"/>
  <c r="J1953" i="17"/>
  <c r="E1953" i="17"/>
  <c r="K1952" i="17"/>
  <c r="J1952" i="17"/>
  <c r="E1952" i="17"/>
  <c r="K1951" i="17"/>
  <c r="J1951" i="17"/>
  <c r="E1951" i="17"/>
  <c r="K1950" i="17"/>
  <c r="J1950" i="17"/>
  <c r="E1950" i="17"/>
  <c r="K1949" i="17"/>
  <c r="J1949" i="17"/>
  <c r="E1949" i="17"/>
  <c r="K1948" i="17"/>
  <c r="J1948" i="17"/>
  <c r="E1948" i="17"/>
  <c r="K1947" i="17"/>
  <c r="J1947" i="17"/>
  <c r="E1947" i="17"/>
  <c r="K1946" i="17"/>
  <c r="J1946" i="17"/>
  <c r="E1946" i="17"/>
  <c r="K1945" i="17"/>
  <c r="J1945" i="17"/>
  <c r="E1945" i="17"/>
  <c r="K1944" i="17"/>
  <c r="J1944" i="17"/>
  <c r="E1944" i="17"/>
  <c r="K1943" i="17"/>
  <c r="J1943" i="17"/>
  <c r="E1943" i="17"/>
  <c r="K1942" i="17"/>
  <c r="J1942" i="17"/>
  <c r="E1942" i="17"/>
  <c r="K1941" i="17"/>
  <c r="J1941" i="17"/>
  <c r="E1941" i="17"/>
  <c r="K1940" i="17"/>
  <c r="J1940" i="17"/>
  <c r="E1940" i="17"/>
  <c r="K1939" i="17"/>
  <c r="J1939" i="17"/>
  <c r="E1939" i="17"/>
  <c r="K1938" i="17"/>
  <c r="J1938" i="17"/>
  <c r="E1938" i="17"/>
  <c r="K1937" i="17"/>
  <c r="J1937" i="17"/>
  <c r="E1937" i="17"/>
  <c r="K1936" i="17"/>
  <c r="J1936" i="17"/>
  <c r="E1936" i="17"/>
  <c r="K1935" i="17"/>
  <c r="J1935" i="17"/>
  <c r="E1935" i="17"/>
  <c r="K1934" i="17"/>
  <c r="J1934" i="17"/>
  <c r="E1934" i="17"/>
  <c r="K1933" i="17"/>
  <c r="J1933" i="17"/>
  <c r="E1933" i="17"/>
  <c r="K1932" i="17"/>
  <c r="J1932" i="17"/>
  <c r="E1932" i="17"/>
  <c r="K1931" i="17"/>
  <c r="J1931" i="17"/>
  <c r="E1931" i="17"/>
  <c r="K1930" i="17"/>
  <c r="J1930" i="17"/>
  <c r="E1930" i="17"/>
  <c r="K1929" i="17"/>
  <c r="J1929" i="17"/>
  <c r="E1929" i="17"/>
  <c r="K1928" i="17"/>
  <c r="J1928" i="17"/>
  <c r="E1928" i="17"/>
  <c r="K1927" i="17"/>
  <c r="J1927" i="17"/>
  <c r="E1927" i="17"/>
  <c r="K1926" i="17"/>
  <c r="J1926" i="17"/>
  <c r="E1926" i="17"/>
  <c r="K1925" i="17"/>
  <c r="J1925" i="17"/>
  <c r="E1925" i="17"/>
  <c r="K1924" i="17"/>
  <c r="J1924" i="17"/>
  <c r="E1924" i="17"/>
  <c r="K1923" i="17"/>
  <c r="J1923" i="17"/>
  <c r="E1923" i="17"/>
  <c r="K1922" i="17"/>
  <c r="J1922" i="17"/>
  <c r="E1922" i="17"/>
  <c r="K1921" i="17"/>
  <c r="J1921" i="17"/>
  <c r="E1921" i="17"/>
  <c r="P1920" i="17"/>
  <c r="O1920" i="17"/>
  <c r="N1920" i="17"/>
  <c r="M1920" i="17"/>
  <c r="L1920" i="17"/>
  <c r="K1920" i="17"/>
  <c r="J1920" i="17"/>
  <c r="E1920" i="17"/>
  <c r="K1919" i="17"/>
  <c r="J1919" i="17"/>
  <c r="E1919" i="17"/>
  <c r="K1918" i="17"/>
  <c r="J1918" i="17"/>
  <c r="E1918" i="17"/>
  <c r="K1917" i="17"/>
  <c r="J1917" i="17"/>
  <c r="E1917" i="17"/>
  <c r="K1916" i="17"/>
  <c r="J1916" i="17"/>
  <c r="E1916" i="17"/>
  <c r="K1915" i="17"/>
  <c r="J1915" i="17"/>
  <c r="E1915" i="17"/>
  <c r="P1914" i="17"/>
  <c r="O1914" i="17"/>
  <c r="N1914" i="17"/>
  <c r="M1914" i="17"/>
  <c r="L1914" i="17"/>
  <c r="K1914" i="17"/>
  <c r="J1914" i="17"/>
  <c r="E1914" i="17"/>
  <c r="K1913" i="17"/>
  <c r="J1913" i="17"/>
  <c r="E1913" i="17"/>
  <c r="K1912" i="17"/>
  <c r="J1912" i="17"/>
  <c r="E1912" i="17"/>
  <c r="K1911" i="17"/>
  <c r="J1911" i="17"/>
  <c r="E1911" i="17"/>
  <c r="K1910" i="17"/>
  <c r="J1910" i="17"/>
  <c r="E1910" i="17"/>
  <c r="K1909" i="17"/>
  <c r="J1909" i="17"/>
  <c r="E1909" i="17"/>
  <c r="K1908" i="17"/>
  <c r="J1908" i="17"/>
  <c r="E1908" i="17"/>
  <c r="K1907" i="17"/>
  <c r="J1907" i="17"/>
  <c r="E1907" i="17"/>
  <c r="K1906" i="17"/>
  <c r="J1906" i="17"/>
  <c r="E1906" i="17"/>
  <c r="K1905" i="17"/>
  <c r="J1905" i="17"/>
  <c r="E1905" i="17"/>
  <c r="K1904" i="17"/>
  <c r="J1904" i="17"/>
  <c r="E1904" i="17"/>
  <c r="K1903" i="17"/>
  <c r="J1903" i="17"/>
  <c r="E1903" i="17"/>
  <c r="K1902" i="17"/>
  <c r="J1902" i="17"/>
  <c r="E1902" i="17"/>
  <c r="K1901" i="17"/>
  <c r="J1901" i="17"/>
  <c r="E1901" i="17"/>
  <c r="K1900" i="17"/>
  <c r="J1900" i="17"/>
  <c r="E1900" i="17"/>
  <c r="K1899" i="17"/>
  <c r="J1899" i="17"/>
  <c r="E1899" i="17"/>
  <c r="K1898" i="17"/>
  <c r="J1898" i="17"/>
  <c r="E1898" i="17"/>
  <c r="K1897" i="17"/>
  <c r="J1897" i="17"/>
  <c r="E1897" i="17"/>
  <c r="K1896" i="17"/>
  <c r="J1896" i="17"/>
  <c r="E1896" i="17"/>
  <c r="K1895" i="17"/>
  <c r="J1895" i="17"/>
  <c r="E1895" i="17"/>
  <c r="K1894" i="17"/>
  <c r="J1894" i="17"/>
  <c r="E1894" i="17"/>
  <c r="K1893" i="17"/>
  <c r="J1893" i="17"/>
  <c r="E1893" i="17"/>
  <c r="K1892" i="17"/>
  <c r="J1892" i="17"/>
  <c r="E1892" i="17"/>
  <c r="K1891" i="17"/>
  <c r="J1891" i="17"/>
  <c r="E1891" i="17"/>
  <c r="K1890" i="17"/>
  <c r="J1890" i="17"/>
  <c r="E1890" i="17"/>
  <c r="K1889" i="17"/>
  <c r="J1889" i="17"/>
  <c r="E1889" i="17"/>
  <c r="K1888" i="17"/>
  <c r="J1888" i="17"/>
  <c r="E1888" i="17"/>
  <c r="K1887" i="17"/>
  <c r="J1887" i="17"/>
  <c r="E1887" i="17"/>
  <c r="K1886" i="17"/>
  <c r="J1886" i="17"/>
  <c r="E1886" i="17"/>
  <c r="K1885" i="17"/>
  <c r="J1885" i="17"/>
  <c r="E1885" i="17"/>
  <c r="K1884" i="17"/>
  <c r="J1884" i="17"/>
  <c r="E1884" i="17"/>
  <c r="K1883" i="17"/>
  <c r="J1883" i="17"/>
  <c r="E1883" i="17"/>
  <c r="K1882" i="17"/>
  <c r="J1882" i="17"/>
  <c r="E1882" i="17"/>
  <c r="M1881" i="17"/>
  <c r="K1881" i="17"/>
  <c r="L1881" i="17" s="1"/>
  <c r="J1881" i="17"/>
  <c r="E1881" i="17"/>
  <c r="K1880" i="17"/>
  <c r="J1880" i="17"/>
  <c r="E1880" i="17"/>
  <c r="K1879" i="17"/>
  <c r="J1879" i="17"/>
  <c r="E1879" i="17"/>
  <c r="K1878" i="17"/>
  <c r="J1878" i="17"/>
  <c r="E1878" i="17"/>
  <c r="K1877" i="17"/>
  <c r="L1877" i="17" s="1"/>
  <c r="J1877" i="17"/>
  <c r="E1877" i="17"/>
  <c r="K1876" i="17"/>
  <c r="J1876" i="17"/>
  <c r="E1876" i="17"/>
  <c r="J1875" i="17"/>
  <c r="E1875" i="17"/>
  <c r="K1874" i="17"/>
  <c r="L1874" i="17" s="1"/>
  <c r="J1874" i="17"/>
  <c r="E1874" i="17"/>
  <c r="J1873" i="17"/>
  <c r="E1873" i="17"/>
  <c r="K1872" i="17"/>
  <c r="J1872" i="17"/>
  <c r="E1872" i="17"/>
  <c r="J1871" i="17"/>
  <c r="E1871" i="17"/>
  <c r="J1870" i="17"/>
  <c r="E1870" i="17"/>
  <c r="K1869" i="17"/>
  <c r="L1869" i="17" s="1"/>
  <c r="J1869" i="17"/>
  <c r="E1869" i="17"/>
  <c r="J1868" i="17"/>
  <c r="E1868" i="17"/>
  <c r="J1867" i="17"/>
  <c r="E1867" i="17"/>
  <c r="J1866" i="17"/>
  <c r="E1866" i="17"/>
  <c r="K1865" i="17"/>
  <c r="J1865" i="17"/>
  <c r="E1865" i="17"/>
  <c r="J1864" i="17"/>
  <c r="E1864" i="17"/>
  <c r="J1863" i="17"/>
  <c r="E1863" i="17"/>
  <c r="J1862" i="17"/>
  <c r="E1862" i="17"/>
  <c r="K1861" i="17"/>
  <c r="L1861" i="17" s="1"/>
  <c r="J1861" i="17"/>
  <c r="E1861" i="17"/>
  <c r="J1860" i="17"/>
  <c r="E1860" i="17"/>
  <c r="J1859" i="17"/>
  <c r="E1859" i="17"/>
  <c r="J1858" i="17"/>
  <c r="E1858" i="17"/>
  <c r="K1857" i="17"/>
  <c r="J1857" i="17"/>
  <c r="E1857" i="17"/>
  <c r="J1856" i="17"/>
  <c r="E1856" i="17"/>
  <c r="J1855" i="17"/>
  <c r="E1855" i="17"/>
  <c r="J1854" i="17"/>
  <c r="E1854" i="17"/>
  <c r="K1853" i="17"/>
  <c r="L1853" i="17" s="1"/>
  <c r="J1853" i="17"/>
  <c r="E1853" i="17"/>
  <c r="J1852" i="17"/>
  <c r="E1852" i="17"/>
  <c r="J1851" i="17"/>
  <c r="E1851" i="17"/>
  <c r="J1850" i="17"/>
  <c r="E1850" i="17"/>
  <c r="K1849" i="17"/>
  <c r="J1849" i="17"/>
  <c r="E1849" i="17"/>
  <c r="J1848" i="17"/>
  <c r="E1848" i="17"/>
  <c r="J1847" i="17"/>
  <c r="E1847" i="17"/>
  <c r="J1846" i="17"/>
  <c r="E1846" i="17"/>
  <c r="K1845" i="17"/>
  <c r="L1845" i="17" s="1"/>
  <c r="J1845" i="17"/>
  <c r="E1845" i="17"/>
  <c r="J1844" i="17"/>
  <c r="E1844" i="17"/>
  <c r="J1843" i="17"/>
  <c r="E1843" i="17"/>
  <c r="J1842" i="17"/>
  <c r="E1842" i="17"/>
  <c r="J1841" i="17"/>
  <c r="E1841" i="17"/>
  <c r="J1840" i="17"/>
  <c r="E1840" i="17"/>
  <c r="J1839" i="17"/>
  <c r="E1839" i="17"/>
  <c r="J1838" i="17"/>
  <c r="E1838" i="17"/>
  <c r="J1837" i="17"/>
  <c r="E1837" i="17"/>
  <c r="J1836" i="17"/>
  <c r="E1836" i="17"/>
  <c r="J1835" i="17"/>
  <c r="E1835" i="17"/>
  <c r="J1834" i="17"/>
  <c r="E1834" i="17"/>
  <c r="J1833" i="17"/>
  <c r="E1833" i="17"/>
  <c r="J1832" i="17"/>
  <c r="E1832" i="17"/>
  <c r="J1831" i="17"/>
  <c r="E1831" i="17"/>
  <c r="J1830" i="17"/>
  <c r="E1830" i="17"/>
  <c r="J1829" i="17"/>
  <c r="E1829" i="17"/>
  <c r="J1828" i="17"/>
  <c r="E1828" i="17"/>
  <c r="J1827" i="17"/>
  <c r="E1827" i="17"/>
  <c r="J1826" i="17"/>
  <c r="E1826" i="17"/>
  <c r="J1825" i="17"/>
  <c r="E1825" i="17"/>
  <c r="J1824" i="17"/>
  <c r="E1824" i="17"/>
  <c r="J1823" i="17"/>
  <c r="E1823" i="17"/>
  <c r="J1822" i="17"/>
  <c r="E1822" i="17"/>
  <c r="J1821" i="17"/>
  <c r="E1821" i="17"/>
  <c r="J1820" i="17"/>
  <c r="E1820" i="17"/>
  <c r="J1819" i="17"/>
  <c r="E1819" i="17"/>
  <c r="J1818" i="17"/>
  <c r="E1818" i="17"/>
  <c r="J1817" i="17"/>
  <c r="E1817" i="17"/>
  <c r="J1816" i="17"/>
  <c r="E1816" i="17"/>
  <c r="J1815" i="17"/>
  <c r="E1815" i="17"/>
  <c r="J1814" i="17"/>
  <c r="E1814" i="17"/>
  <c r="J1813" i="17"/>
  <c r="E1813" i="17"/>
  <c r="J1812" i="17"/>
  <c r="E1812" i="17"/>
  <c r="J1811" i="17"/>
  <c r="E1811" i="17"/>
  <c r="J1810" i="17"/>
  <c r="E1810" i="17"/>
  <c r="J1809" i="17"/>
  <c r="E1809" i="17"/>
  <c r="J1808" i="17"/>
  <c r="E1808" i="17"/>
  <c r="J1807" i="17"/>
  <c r="E1807" i="17"/>
  <c r="J1806" i="17"/>
  <c r="E1806" i="17"/>
  <c r="P1805" i="17"/>
  <c r="O1805" i="17"/>
  <c r="N1805" i="17"/>
  <c r="M1805" i="17"/>
  <c r="L1805" i="17"/>
  <c r="K1805" i="17"/>
  <c r="J1805" i="17"/>
  <c r="E1805" i="17"/>
  <c r="J1804" i="17"/>
  <c r="E1804" i="17"/>
  <c r="J1803" i="17"/>
  <c r="E1803" i="17"/>
  <c r="J1802" i="17"/>
  <c r="E1802" i="17"/>
  <c r="J1801" i="17"/>
  <c r="E1801" i="17"/>
  <c r="J1800" i="17"/>
  <c r="E1800" i="17"/>
  <c r="J1799" i="17"/>
  <c r="E1799" i="17"/>
  <c r="P1798" i="17"/>
  <c r="O1798" i="17"/>
  <c r="N1798" i="17"/>
  <c r="M1798" i="17"/>
  <c r="L1798" i="17"/>
  <c r="K1798" i="17"/>
  <c r="J1798" i="17"/>
  <c r="E1798" i="17"/>
  <c r="J1797" i="17"/>
  <c r="E1797" i="17"/>
  <c r="J1796" i="17"/>
  <c r="E1796" i="17"/>
  <c r="J1795" i="17"/>
  <c r="E1795" i="17"/>
  <c r="J1794" i="17"/>
  <c r="E1794" i="17"/>
  <c r="J1793" i="17"/>
  <c r="E1793" i="17"/>
  <c r="J1792" i="17"/>
  <c r="E1792" i="17"/>
  <c r="J1791" i="17"/>
  <c r="E1791" i="17"/>
  <c r="J1790" i="17"/>
  <c r="E1790" i="17"/>
  <c r="J1789" i="17"/>
  <c r="E1789" i="17"/>
  <c r="J1788" i="17"/>
  <c r="E1788" i="17"/>
  <c r="J1787" i="17"/>
  <c r="E1787" i="17"/>
  <c r="J1786" i="17"/>
  <c r="E1786" i="17"/>
  <c r="J1785" i="17"/>
  <c r="E1785" i="17"/>
  <c r="J1784" i="17"/>
  <c r="E1784" i="17"/>
  <c r="J1783" i="17"/>
  <c r="E1783" i="17"/>
  <c r="J1782" i="17"/>
  <c r="E1782" i="17"/>
  <c r="J1781" i="17"/>
  <c r="E1781" i="17"/>
  <c r="J1780" i="17"/>
  <c r="E1780" i="17"/>
  <c r="J1779" i="17"/>
  <c r="E1779" i="17"/>
  <c r="J1778" i="17"/>
  <c r="E1778" i="17"/>
  <c r="J1777" i="17"/>
  <c r="E1777" i="17"/>
  <c r="J1776" i="17"/>
  <c r="E1776" i="17"/>
  <c r="J1775" i="17"/>
  <c r="E1775" i="17"/>
  <c r="J1774" i="17"/>
  <c r="E1774" i="17"/>
  <c r="J1773" i="17"/>
  <c r="E1773" i="17"/>
  <c r="J1772" i="17"/>
  <c r="E1772" i="17"/>
  <c r="J1771" i="17"/>
  <c r="E1771" i="17"/>
  <c r="J1770" i="17"/>
  <c r="E1770" i="17"/>
  <c r="J1769" i="17"/>
  <c r="E1769" i="17"/>
  <c r="J1768" i="17"/>
  <c r="E1768" i="17"/>
  <c r="J1767" i="17"/>
  <c r="E1767" i="17"/>
  <c r="J1766" i="17"/>
  <c r="E1766" i="17"/>
  <c r="J1765" i="17"/>
  <c r="E1765" i="17"/>
  <c r="J1764" i="17"/>
  <c r="E1764" i="17"/>
  <c r="J1763" i="17"/>
  <c r="E1763" i="17"/>
  <c r="J1762" i="17"/>
  <c r="E1762" i="17"/>
  <c r="J1761" i="17"/>
  <c r="E1761" i="17"/>
  <c r="J1760" i="17"/>
  <c r="E1760" i="17"/>
  <c r="J1759" i="17"/>
  <c r="E1759" i="17"/>
  <c r="J1758" i="17"/>
  <c r="E1758" i="17"/>
  <c r="J1757" i="17"/>
  <c r="E1757" i="17"/>
  <c r="J1756" i="17"/>
  <c r="E1756" i="17"/>
  <c r="J1755" i="17"/>
  <c r="E1755" i="17"/>
  <c r="J1754" i="17"/>
  <c r="E1754" i="17"/>
  <c r="J1753" i="17"/>
  <c r="E1753" i="17"/>
  <c r="J1752" i="17"/>
  <c r="E1752" i="17"/>
  <c r="J1751" i="17"/>
  <c r="E1751" i="17"/>
  <c r="J1750" i="17"/>
  <c r="E1750" i="17"/>
  <c r="J1749" i="17"/>
  <c r="E1749" i="17"/>
  <c r="J1748" i="17"/>
  <c r="E1748" i="17"/>
  <c r="J1747" i="17"/>
  <c r="E1747" i="17"/>
  <c r="J1746" i="17"/>
  <c r="E1746" i="17"/>
  <c r="J1745" i="17"/>
  <c r="E1745" i="17"/>
  <c r="J1744" i="17"/>
  <c r="E1744" i="17"/>
  <c r="J1743" i="17"/>
  <c r="E1743" i="17"/>
  <c r="J1742" i="17"/>
  <c r="E1742" i="17"/>
  <c r="J1741" i="17"/>
  <c r="E1741" i="17"/>
  <c r="J1740" i="17"/>
  <c r="E1740" i="17"/>
  <c r="J1739" i="17"/>
  <c r="E1739" i="17"/>
  <c r="J1738" i="17"/>
  <c r="E1738" i="17"/>
  <c r="J1737" i="17"/>
  <c r="E1737" i="17"/>
  <c r="J1736" i="17"/>
  <c r="E1736" i="17"/>
  <c r="K1735" i="17"/>
  <c r="J1735" i="17"/>
  <c r="E1735" i="17"/>
  <c r="J1734" i="17"/>
  <c r="E1734" i="17"/>
  <c r="J1733" i="17"/>
  <c r="E1733" i="17"/>
  <c r="K1732" i="17"/>
  <c r="J1732" i="17"/>
  <c r="E1732" i="17"/>
  <c r="K1731" i="17"/>
  <c r="J1731" i="17"/>
  <c r="E1731" i="17"/>
  <c r="K1730" i="17"/>
  <c r="J1730" i="17"/>
  <c r="E1730" i="17"/>
  <c r="J1729" i="17"/>
  <c r="E1729" i="17"/>
  <c r="K1728" i="17"/>
  <c r="J1728" i="17"/>
  <c r="E1728" i="17"/>
  <c r="K1727" i="17"/>
  <c r="J1727" i="17"/>
  <c r="E1727" i="17"/>
  <c r="J1726" i="17"/>
  <c r="E1726" i="17"/>
  <c r="J1725" i="17"/>
  <c r="E1725" i="17"/>
  <c r="K1724" i="17"/>
  <c r="J1724" i="17"/>
  <c r="E1724" i="17"/>
  <c r="K1723" i="17"/>
  <c r="J1723" i="17"/>
  <c r="E1723" i="17"/>
  <c r="K1722" i="17"/>
  <c r="J1722" i="17"/>
  <c r="E1722" i="17"/>
  <c r="K1721" i="17"/>
  <c r="J1721" i="17"/>
  <c r="E1721" i="17"/>
  <c r="K1720" i="17"/>
  <c r="J1720" i="17"/>
  <c r="E1720" i="17"/>
  <c r="K1719" i="17"/>
  <c r="J1719" i="17"/>
  <c r="E1719" i="17"/>
  <c r="J1718" i="17"/>
  <c r="E1718" i="17"/>
  <c r="J1717" i="17"/>
  <c r="E1717" i="17"/>
  <c r="J1716" i="17"/>
  <c r="E1716" i="17"/>
  <c r="K1715" i="17"/>
  <c r="J1715" i="17"/>
  <c r="E1715" i="17"/>
  <c r="K1714" i="17"/>
  <c r="J1714" i="17"/>
  <c r="E1714" i="17"/>
  <c r="K1713" i="17"/>
  <c r="J1713" i="17"/>
  <c r="E1713" i="17"/>
  <c r="K1712" i="17"/>
  <c r="J1712" i="17"/>
  <c r="E1712" i="17"/>
  <c r="K1711" i="17"/>
  <c r="J1711" i="17"/>
  <c r="E1711" i="17"/>
  <c r="J1710" i="17"/>
  <c r="E1710" i="17"/>
  <c r="J1709" i="17"/>
  <c r="E1709" i="17"/>
  <c r="J1708" i="17"/>
  <c r="E1708" i="17"/>
  <c r="K1707" i="17"/>
  <c r="J1707" i="17"/>
  <c r="E1707" i="17"/>
  <c r="K1706" i="17"/>
  <c r="J1706" i="17"/>
  <c r="E1706" i="17"/>
  <c r="K1705" i="17"/>
  <c r="J1705" i="17"/>
  <c r="E1705" i="17"/>
  <c r="K1704" i="17"/>
  <c r="J1704" i="17"/>
  <c r="E1704" i="17"/>
  <c r="K1703" i="17"/>
  <c r="J1703" i="17"/>
  <c r="E1703" i="17"/>
  <c r="J1702" i="17"/>
  <c r="E1702" i="17"/>
  <c r="J1701" i="17"/>
  <c r="E1701" i="17"/>
  <c r="J1700" i="17"/>
  <c r="E1700" i="17"/>
  <c r="K1699" i="17"/>
  <c r="J1699" i="17"/>
  <c r="E1699" i="17"/>
  <c r="K1698" i="17"/>
  <c r="J1698" i="17"/>
  <c r="E1698" i="17"/>
  <c r="K1697" i="17"/>
  <c r="J1697" i="17"/>
  <c r="E1697" i="17"/>
  <c r="K1696" i="17"/>
  <c r="J1696" i="17"/>
  <c r="E1696" i="17"/>
  <c r="K1695" i="17"/>
  <c r="J1695" i="17"/>
  <c r="E1695" i="17"/>
  <c r="J1694" i="17"/>
  <c r="E1694" i="17"/>
  <c r="J1693" i="17"/>
  <c r="E1693" i="17"/>
  <c r="J1692" i="17"/>
  <c r="E1692" i="17"/>
  <c r="K1691" i="17"/>
  <c r="J1691" i="17"/>
  <c r="E1691" i="17"/>
  <c r="K1690" i="17"/>
  <c r="J1690" i="17"/>
  <c r="E1690" i="17"/>
  <c r="K1689" i="17"/>
  <c r="J1689" i="17"/>
  <c r="E1689" i="17"/>
  <c r="K1688" i="17"/>
  <c r="J1688" i="17"/>
  <c r="E1688" i="17"/>
  <c r="J1687" i="17"/>
  <c r="E1687" i="17"/>
  <c r="K1686" i="17"/>
  <c r="J1686" i="17"/>
  <c r="E1686" i="17"/>
  <c r="J1685" i="17"/>
  <c r="E1685" i="17"/>
  <c r="K1684" i="17"/>
  <c r="J1684" i="17"/>
  <c r="E1684" i="17"/>
  <c r="J1683" i="17"/>
  <c r="E1683" i="17"/>
  <c r="K1682" i="17"/>
  <c r="J1682" i="17"/>
  <c r="E1682" i="17"/>
  <c r="J1681" i="17"/>
  <c r="E1681" i="17"/>
  <c r="K1680" i="17"/>
  <c r="J1680" i="17"/>
  <c r="E1680" i="17"/>
  <c r="J1679" i="17"/>
  <c r="E1679" i="17"/>
  <c r="K1678" i="17"/>
  <c r="J1678" i="17"/>
  <c r="E1678" i="17"/>
  <c r="J1677" i="17"/>
  <c r="E1677" i="17"/>
  <c r="K1676" i="17"/>
  <c r="J1676" i="17"/>
  <c r="E1676" i="17"/>
  <c r="P1675" i="17"/>
  <c r="O1675" i="17"/>
  <c r="N1675" i="17"/>
  <c r="M1675" i="17"/>
  <c r="L1675" i="17"/>
  <c r="K1675" i="17"/>
  <c r="J1675" i="17"/>
  <c r="E1675" i="17"/>
  <c r="J1674" i="17"/>
  <c r="E1674" i="17"/>
  <c r="K1673" i="17"/>
  <c r="J1673" i="17"/>
  <c r="E1673" i="17"/>
  <c r="J1672" i="17"/>
  <c r="E1672" i="17"/>
  <c r="K1671" i="17"/>
  <c r="J1671" i="17"/>
  <c r="E1671" i="17"/>
  <c r="J1670" i="17"/>
  <c r="E1670" i="17"/>
  <c r="K1669" i="17"/>
  <c r="J1669" i="17"/>
  <c r="E1669" i="17"/>
  <c r="J1668" i="17"/>
  <c r="E1668" i="17"/>
  <c r="K1667" i="17"/>
  <c r="J1667" i="17"/>
  <c r="E1667" i="17"/>
  <c r="J1666" i="17"/>
  <c r="E1666" i="17"/>
  <c r="K1665" i="17"/>
  <c r="J1665" i="17"/>
  <c r="E1665" i="17"/>
  <c r="J1664" i="17"/>
  <c r="E1664" i="17"/>
  <c r="K1663" i="17"/>
  <c r="J1663" i="17"/>
  <c r="E1663" i="17"/>
  <c r="J1662" i="17"/>
  <c r="E1662" i="17"/>
  <c r="K1661" i="17"/>
  <c r="J1661" i="17"/>
  <c r="E1661" i="17"/>
  <c r="J1660" i="17"/>
  <c r="E1660" i="17"/>
  <c r="K1659" i="17"/>
  <c r="J1659" i="17"/>
  <c r="E1659" i="17"/>
  <c r="J1658" i="17"/>
  <c r="E1658" i="17"/>
  <c r="K1657" i="17"/>
  <c r="J1657" i="17"/>
  <c r="E1657" i="17"/>
  <c r="J1656" i="17"/>
  <c r="E1656" i="17"/>
  <c r="K1655" i="17"/>
  <c r="J1655" i="17"/>
  <c r="E1655" i="17"/>
  <c r="J1654" i="17"/>
  <c r="E1654" i="17"/>
  <c r="K1653" i="17"/>
  <c r="J1653" i="17"/>
  <c r="E1653" i="17"/>
  <c r="J1652" i="17"/>
  <c r="E1652" i="17"/>
  <c r="K1651" i="17"/>
  <c r="J1651" i="17"/>
  <c r="E1651" i="17"/>
  <c r="J1650" i="17"/>
  <c r="E1650" i="17"/>
  <c r="K1649" i="17"/>
  <c r="J1649" i="17"/>
  <c r="E1649" i="17"/>
  <c r="J1648" i="17"/>
  <c r="E1648" i="17"/>
  <c r="K1647" i="17"/>
  <c r="J1647" i="17"/>
  <c r="E1647" i="17"/>
  <c r="J1646" i="17"/>
  <c r="E1646" i="17"/>
  <c r="K1645" i="17"/>
  <c r="J1645" i="17"/>
  <c r="E1645" i="17"/>
  <c r="J1644" i="17"/>
  <c r="E1644" i="17"/>
  <c r="K1643" i="17"/>
  <c r="J1643" i="17"/>
  <c r="E1643" i="17"/>
  <c r="J1642" i="17"/>
  <c r="E1642" i="17"/>
  <c r="K1641" i="17"/>
  <c r="J1641" i="17"/>
  <c r="E1641" i="17"/>
  <c r="J1640" i="17"/>
  <c r="E1640" i="17"/>
  <c r="K1639" i="17"/>
  <c r="J1639" i="17"/>
  <c r="E1639" i="17"/>
  <c r="J1638" i="17"/>
  <c r="E1638" i="17"/>
  <c r="K1637" i="17"/>
  <c r="J1637" i="17"/>
  <c r="E1637" i="17"/>
  <c r="J1636" i="17"/>
  <c r="E1636" i="17"/>
  <c r="K1635" i="17"/>
  <c r="J1635" i="17"/>
  <c r="E1635" i="17"/>
  <c r="J1634" i="17"/>
  <c r="E1634" i="17"/>
  <c r="K1633" i="17"/>
  <c r="J1633" i="17"/>
  <c r="E1633" i="17"/>
  <c r="J1632" i="17"/>
  <c r="E1632" i="17"/>
  <c r="K1631" i="17"/>
  <c r="J1631" i="17"/>
  <c r="E1631" i="17"/>
  <c r="K1630" i="17"/>
  <c r="J1630" i="17"/>
  <c r="E1630" i="17"/>
  <c r="K1629" i="17"/>
  <c r="J1629" i="17"/>
  <c r="E1629" i="17"/>
  <c r="K1628" i="17"/>
  <c r="J1628" i="17"/>
  <c r="E1628" i="17"/>
  <c r="J1627" i="17"/>
  <c r="E1627" i="17"/>
  <c r="K1626" i="17"/>
  <c r="J1626" i="17"/>
  <c r="E1626" i="17"/>
  <c r="J1625" i="17"/>
  <c r="E1625" i="17"/>
  <c r="K1624" i="17"/>
  <c r="J1624" i="17"/>
  <c r="E1624" i="17"/>
  <c r="K1623" i="17"/>
  <c r="J1623" i="17"/>
  <c r="E1623" i="17"/>
  <c r="K1622" i="17"/>
  <c r="J1622" i="17"/>
  <c r="E1622" i="17"/>
  <c r="K1621" i="17"/>
  <c r="J1621" i="17"/>
  <c r="E1621" i="17"/>
  <c r="K1620" i="17"/>
  <c r="J1620" i="17"/>
  <c r="E1620" i="17"/>
  <c r="J1619" i="17"/>
  <c r="E1619" i="17"/>
  <c r="K1618" i="17"/>
  <c r="J1618" i="17"/>
  <c r="E1618" i="17"/>
  <c r="K1617" i="17"/>
  <c r="J1617" i="17"/>
  <c r="E1617" i="17"/>
  <c r="J1616" i="17"/>
  <c r="E1616" i="17"/>
  <c r="J1615" i="17"/>
  <c r="E1615" i="17"/>
  <c r="K1614" i="17"/>
  <c r="J1614" i="17"/>
  <c r="E1614" i="17"/>
  <c r="K1613" i="17"/>
  <c r="J1613" i="17"/>
  <c r="E1613" i="17"/>
  <c r="J1612" i="17"/>
  <c r="E1612" i="17"/>
  <c r="J1611" i="17"/>
  <c r="E1611" i="17"/>
  <c r="K1610" i="17"/>
  <c r="J1610" i="17"/>
  <c r="E1610" i="17"/>
  <c r="K1609" i="17"/>
  <c r="J1609" i="17"/>
  <c r="E1609" i="17"/>
  <c r="J1608" i="17"/>
  <c r="E1608" i="17"/>
  <c r="J1607" i="17"/>
  <c r="E1607" i="17"/>
  <c r="K1606" i="17"/>
  <c r="J1606" i="17"/>
  <c r="E1606" i="17"/>
  <c r="K1605" i="17"/>
  <c r="J1605" i="17"/>
  <c r="E1605" i="17"/>
  <c r="J1604" i="17"/>
  <c r="E1604" i="17"/>
  <c r="J1603" i="17"/>
  <c r="E1603" i="17"/>
  <c r="K1602" i="17"/>
  <c r="J1602" i="17"/>
  <c r="E1602" i="17"/>
  <c r="K1601" i="17"/>
  <c r="J1601" i="17"/>
  <c r="E1601" i="17"/>
  <c r="J1600" i="17"/>
  <c r="E1600" i="17"/>
  <c r="J1599" i="17"/>
  <c r="E1599" i="17"/>
  <c r="K1598" i="17"/>
  <c r="J1598" i="17"/>
  <c r="E1598" i="17"/>
  <c r="N1597" i="17"/>
  <c r="M1597" i="17"/>
  <c r="L1597" i="17"/>
  <c r="K1597" i="17"/>
  <c r="J1597" i="17"/>
  <c r="E1597" i="17"/>
  <c r="N1596" i="17"/>
  <c r="M1596" i="17"/>
  <c r="L1596" i="17"/>
  <c r="K1596" i="17"/>
  <c r="J1596" i="17"/>
  <c r="E1596" i="17"/>
  <c r="N1595" i="17"/>
  <c r="M1595" i="17"/>
  <c r="L1595" i="17"/>
  <c r="K1595" i="17"/>
  <c r="J1595" i="17"/>
  <c r="O1595" i="17" s="1"/>
  <c r="E1595" i="17"/>
  <c r="N1594" i="17"/>
  <c r="M1594" i="17"/>
  <c r="L1594" i="17"/>
  <c r="K1594" i="17"/>
  <c r="J1594" i="17"/>
  <c r="O1594" i="17" s="1"/>
  <c r="E1594" i="17"/>
  <c r="N1593" i="17"/>
  <c r="M1593" i="17"/>
  <c r="L1593" i="17"/>
  <c r="K1593" i="17"/>
  <c r="J1593" i="17"/>
  <c r="E1593" i="17"/>
  <c r="N1592" i="17"/>
  <c r="M1592" i="17"/>
  <c r="L1592" i="17"/>
  <c r="K1592" i="17"/>
  <c r="J1592" i="17"/>
  <c r="E1592" i="17"/>
  <c r="N1591" i="17"/>
  <c r="M1591" i="17"/>
  <c r="L1591" i="17"/>
  <c r="K1591" i="17"/>
  <c r="J1591" i="17"/>
  <c r="O1591" i="17" s="1"/>
  <c r="E1591" i="17"/>
  <c r="N1590" i="17"/>
  <c r="M1590" i="17"/>
  <c r="L1590" i="17"/>
  <c r="K1590" i="17"/>
  <c r="J1590" i="17"/>
  <c r="O1590" i="17" s="1"/>
  <c r="E1590" i="17"/>
  <c r="P1589" i="17"/>
  <c r="O1589" i="17"/>
  <c r="N1589" i="17"/>
  <c r="M1589" i="17"/>
  <c r="L1589" i="17"/>
  <c r="K1589" i="17"/>
  <c r="J1589" i="17"/>
  <c r="E1589" i="17"/>
  <c r="N1588" i="17"/>
  <c r="M1588" i="17"/>
  <c r="L1588" i="17"/>
  <c r="K1588" i="17"/>
  <c r="J1588" i="17"/>
  <c r="E1588" i="17"/>
  <c r="N1587" i="17"/>
  <c r="M1587" i="17"/>
  <c r="L1587" i="17"/>
  <c r="K1587" i="17"/>
  <c r="J1587" i="17"/>
  <c r="E1587" i="17"/>
  <c r="N1586" i="17"/>
  <c r="L1586" i="17"/>
  <c r="M1586" i="17" s="1"/>
  <c r="K1586" i="17"/>
  <c r="J1586" i="17"/>
  <c r="E1586" i="17"/>
  <c r="L1585" i="17"/>
  <c r="M1585" i="17" s="1"/>
  <c r="K1585" i="17"/>
  <c r="J1585" i="17"/>
  <c r="E1585" i="17"/>
  <c r="N1584" i="17"/>
  <c r="L1584" i="17"/>
  <c r="M1584" i="17" s="1"/>
  <c r="K1584" i="17"/>
  <c r="J1584" i="17"/>
  <c r="E1584" i="17"/>
  <c r="P1583" i="17"/>
  <c r="O1583" i="17"/>
  <c r="N1583" i="17"/>
  <c r="M1583" i="17"/>
  <c r="L1583" i="17"/>
  <c r="K1583" i="17"/>
  <c r="J1583" i="17"/>
  <c r="E1583" i="17"/>
  <c r="P1582" i="17"/>
  <c r="O1582" i="17"/>
  <c r="N1582" i="17"/>
  <c r="M1582" i="17"/>
  <c r="L1582" i="17"/>
  <c r="K1582" i="17"/>
  <c r="J1582" i="17"/>
  <c r="E1582" i="17"/>
  <c r="P1581" i="17"/>
  <c r="O1581" i="17"/>
  <c r="N1581" i="17"/>
  <c r="M1581" i="17"/>
  <c r="L1581" i="17"/>
  <c r="K1581" i="17"/>
  <c r="J1581" i="17"/>
  <c r="E1581" i="17"/>
  <c r="L1580" i="17"/>
  <c r="M1580" i="17" s="1"/>
  <c r="K1580" i="17"/>
  <c r="J1580" i="17"/>
  <c r="E1580" i="17"/>
  <c r="N1579" i="17"/>
  <c r="L1579" i="17"/>
  <c r="M1579" i="17" s="1"/>
  <c r="K1579" i="17"/>
  <c r="J1579" i="17"/>
  <c r="E1579" i="17"/>
  <c r="L1578" i="17"/>
  <c r="M1578" i="17" s="1"/>
  <c r="K1578" i="17"/>
  <c r="J1578" i="17"/>
  <c r="E1578" i="17"/>
  <c r="L1577" i="17"/>
  <c r="M1577" i="17" s="1"/>
  <c r="K1577" i="17"/>
  <c r="J1577" i="17"/>
  <c r="E1577" i="17"/>
  <c r="L1576" i="17"/>
  <c r="M1576" i="17" s="1"/>
  <c r="K1576" i="17"/>
  <c r="J1576" i="17"/>
  <c r="E1576" i="17"/>
  <c r="N1575" i="17"/>
  <c r="L1575" i="17"/>
  <c r="M1575" i="17" s="1"/>
  <c r="K1575" i="17"/>
  <c r="J1575" i="17"/>
  <c r="E1575" i="17"/>
  <c r="L1574" i="17"/>
  <c r="M1574" i="17" s="1"/>
  <c r="K1574" i="17"/>
  <c r="J1574" i="17"/>
  <c r="E1574" i="17"/>
  <c r="N1573" i="17"/>
  <c r="L1573" i="17"/>
  <c r="M1573" i="17" s="1"/>
  <c r="K1573" i="17"/>
  <c r="J1573" i="17"/>
  <c r="E1573" i="17"/>
  <c r="L1572" i="17"/>
  <c r="M1572" i="17" s="1"/>
  <c r="K1572" i="17"/>
  <c r="J1572" i="17"/>
  <c r="E1572" i="17"/>
  <c r="N1571" i="17"/>
  <c r="L1571" i="17"/>
  <c r="M1571" i="17" s="1"/>
  <c r="K1571" i="17"/>
  <c r="J1571" i="17"/>
  <c r="E1571" i="17"/>
  <c r="L1570" i="17"/>
  <c r="M1570" i="17" s="1"/>
  <c r="K1570" i="17"/>
  <c r="J1570" i="17"/>
  <c r="E1570" i="17"/>
  <c r="L1569" i="17"/>
  <c r="M1569" i="17" s="1"/>
  <c r="K1569" i="17"/>
  <c r="J1569" i="17"/>
  <c r="E1569" i="17"/>
  <c r="L1568" i="17"/>
  <c r="M1568" i="17" s="1"/>
  <c r="K1568" i="17"/>
  <c r="J1568" i="17"/>
  <c r="E1568" i="17"/>
  <c r="N1567" i="17"/>
  <c r="L1567" i="17"/>
  <c r="M1567" i="17" s="1"/>
  <c r="K1567" i="17"/>
  <c r="J1567" i="17"/>
  <c r="E1567" i="17"/>
  <c r="L1566" i="17"/>
  <c r="M1566" i="17" s="1"/>
  <c r="K1566" i="17"/>
  <c r="J1566" i="17"/>
  <c r="E1566" i="17"/>
  <c r="N1565" i="17"/>
  <c r="L1565" i="17"/>
  <c r="M1565" i="17" s="1"/>
  <c r="K1565" i="17"/>
  <c r="J1565" i="17"/>
  <c r="E1565" i="17"/>
  <c r="L1564" i="17"/>
  <c r="M1564" i="17" s="1"/>
  <c r="K1564" i="17"/>
  <c r="J1564" i="17"/>
  <c r="E1564" i="17"/>
  <c r="N1563" i="17"/>
  <c r="L1563" i="17"/>
  <c r="M1563" i="17" s="1"/>
  <c r="K1563" i="17"/>
  <c r="J1563" i="17"/>
  <c r="E1563" i="17"/>
  <c r="L1562" i="17"/>
  <c r="M1562" i="17" s="1"/>
  <c r="K1562" i="17"/>
  <c r="J1562" i="17"/>
  <c r="E1562" i="17"/>
  <c r="L1561" i="17"/>
  <c r="K1561" i="17"/>
  <c r="M1561" i="17" s="1"/>
  <c r="J1561" i="17"/>
  <c r="E1561" i="17"/>
  <c r="N1560" i="17"/>
  <c r="L1560" i="17"/>
  <c r="K1560" i="17"/>
  <c r="M1560" i="17" s="1"/>
  <c r="J1560" i="17"/>
  <c r="E1560" i="17"/>
  <c r="L1559" i="17"/>
  <c r="K1559" i="17"/>
  <c r="M1559" i="17" s="1"/>
  <c r="J1559" i="17"/>
  <c r="E1559" i="17"/>
  <c r="L1558" i="17"/>
  <c r="K1558" i="17"/>
  <c r="M1558" i="17" s="1"/>
  <c r="J1558" i="17"/>
  <c r="E1558" i="17"/>
  <c r="N1557" i="17"/>
  <c r="L1557" i="17"/>
  <c r="K1557" i="17"/>
  <c r="M1557" i="17" s="1"/>
  <c r="J1557" i="17"/>
  <c r="E1557" i="17"/>
  <c r="N1556" i="17"/>
  <c r="L1556" i="17"/>
  <c r="K1556" i="17"/>
  <c r="M1556" i="17" s="1"/>
  <c r="J1556" i="17"/>
  <c r="O1556" i="17" s="1"/>
  <c r="E1556" i="17"/>
  <c r="N1555" i="17"/>
  <c r="L1555" i="17"/>
  <c r="K1555" i="17"/>
  <c r="M1555" i="17" s="1"/>
  <c r="J1555" i="17"/>
  <c r="E1555" i="17"/>
  <c r="L1554" i="17"/>
  <c r="K1554" i="17"/>
  <c r="M1554" i="17" s="1"/>
  <c r="J1554" i="17"/>
  <c r="E1554" i="17"/>
  <c r="L1553" i="17"/>
  <c r="K1553" i="17"/>
  <c r="M1553" i="17" s="1"/>
  <c r="J1553" i="17"/>
  <c r="E1553" i="17"/>
  <c r="N1552" i="17"/>
  <c r="L1552" i="17"/>
  <c r="K1552" i="17"/>
  <c r="M1552" i="17" s="1"/>
  <c r="J1552" i="17"/>
  <c r="E1552" i="17"/>
  <c r="N1551" i="17"/>
  <c r="L1551" i="17"/>
  <c r="K1551" i="17"/>
  <c r="J1551" i="17"/>
  <c r="M1551" i="17" s="1"/>
  <c r="E1551" i="17"/>
  <c r="L1550" i="17"/>
  <c r="K1550" i="17"/>
  <c r="J1550" i="17"/>
  <c r="M1550" i="17" s="1"/>
  <c r="E1550" i="17"/>
  <c r="N1549" i="17"/>
  <c r="L1549" i="17"/>
  <c r="K1549" i="17"/>
  <c r="J1549" i="17"/>
  <c r="M1549" i="17" s="1"/>
  <c r="E1549" i="17"/>
  <c r="L1548" i="17"/>
  <c r="K1548" i="17"/>
  <c r="J1548" i="17"/>
  <c r="M1548" i="17" s="1"/>
  <c r="E1548" i="17"/>
  <c r="N1547" i="17"/>
  <c r="L1547" i="17"/>
  <c r="K1547" i="17"/>
  <c r="J1547" i="17"/>
  <c r="M1547" i="17" s="1"/>
  <c r="E1547" i="17"/>
  <c r="L1546" i="17"/>
  <c r="K1546" i="17"/>
  <c r="J1546" i="17"/>
  <c r="M1546" i="17" s="1"/>
  <c r="N1546" i="17" s="1"/>
  <c r="E1546" i="17"/>
  <c r="N1545" i="17"/>
  <c r="L1545" i="17"/>
  <c r="K1545" i="17"/>
  <c r="J1545" i="17"/>
  <c r="M1545" i="17" s="1"/>
  <c r="E1545" i="17"/>
  <c r="N1544" i="17"/>
  <c r="L1544" i="17"/>
  <c r="K1544" i="17"/>
  <c r="J1544" i="17"/>
  <c r="M1544" i="17" s="1"/>
  <c r="E1544" i="17"/>
  <c r="N1543" i="17"/>
  <c r="L1543" i="17"/>
  <c r="K1543" i="17"/>
  <c r="J1543" i="17"/>
  <c r="M1543" i="17" s="1"/>
  <c r="E1543" i="17"/>
  <c r="L1542" i="17"/>
  <c r="K1542" i="17"/>
  <c r="J1542" i="17"/>
  <c r="M1542" i="17" s="1"/>
  <c r="N1542" i="17" s="1"/>
  <c r="E1542" i="17"/>
  <c r="N1541" i="17"/>
  <c r="L1541" i="17"/>
  <c r="K1541" i="17"/>
  <c r="J1541" i="17"/>
  <c r="M1541" i="17" s="1"/>
  <c r="E1541" i="17"/>
  <c r="L1540" i="17"/>
  <c r="K1540" i="17"/>
  <c r="J1540" i="17"/>
  <c r="M1540" i="17" s="1"/>
  <c r="N1540" i="17" s="1"/>
  <c r="E1540" i="17"/>
  <c r="N1539" i="17"/>
  <c r="L1539" i="17"/>
  <c r="K1539" i="17"/>
  <c r="J1539" i="17"/>
  <c r="M1539" i="17" s="1"/>
  <c r="E1539" i="17"/>
  <c r="L1538" i="17"/>
  <c r="K1538" i="17"/>
  <c r="J1538" i="17"/>
  <c r="M1538" i="17" s="1"/>
  <c r="N1538" i="17" s="1"/>
  <c r="E1538" i="17"/>
  <c r="N1537" i="17"/>
  <c r="L1537" i="17"/>
  <c r="K1537" i="17"/>
  <c r="J1537" i="17"/>
  <c r="M1537" i="17" s="1"/>
  <c r="E1537" i="17"/>
  <c r="N1536" i="17"/>
  <c r="L1536" i="17"/>
  <c r="K1536" i="17"/>
  <c r="J1536" i="17"/>
  <c r="M1536" i="17" s="1"/>
  <c r="E1536" i="17"/>
  <c r="N1535" i="17"/>
  <c r="L1535" i="17"/>
  <c r="K1535" i="17"/>
  <c r="J1535" i="17"/>
  <c r="M1535" i="17" s="1"/>
  <c r="E1535" i="17"/>
  <c r="L1534" i="17"/>
  <c r="K1534" i="17"/>
  <c r="J1534" i="17"/>
  <c r="M1534" i="17" s="1"/>
  <c r="N1534" i="17" s="1"/>
  <c r="E1534" i="17"/>
  <c r="N1533" i="17"/>
  <c r="L1533" i="17"/>
  <c r="K1533" i="17"/>
  <c r="J1533" i="17"/>
  <c r="M1533" i="17" s="1"/>
  <c r="E1533" i="17"/>
  <c r="L1532" i="17"/>
  <c r="K1532" i="17"/>
  <c r="J1532" i="17"/>
  <c r="M1532" i="17" s="1"/>
  <c r="N1532" i="17" s="1"/>
  <c r="E1532" i="17"/>
  <c r="N1531" i="17"/>
  <c r="L1531" i="17"/>
  <c r="K1531" i="17"/>
  <c r="J1531" i="17"/>
  <c r="M1531" i="17" s="1"/>
  <c r="E1531" i="17"/>
  <c r="L1530" i="17"/>
  <c r="K1530" i="17"/>
  <c r="J1530" i="17"/>
  <c r="M1530" i="17" s="1"/>
  <c r="N1530" i="17" s="1"/>
  <c r="E1530" i="17"/>
  <c r="N1529" i="17"/>
  <c r="L1529" i="17"/>
  <c r="K1529" i="17"/>
  <c r="J1529" i="17"/>
  <c r="M1529" i="17" s="1"/>
  <c r="E1529" i="17"/>
  <c r="N1528" i="17"/>
  <c r="L1528" i="17"/>
  <c r="K1528" i="17"/>
  <c r="J1528" i="17"/>
  <c r="M1528" i="17" s="1"/>
  <c r="E1528" i="17"/>
  <c r="N1527" i="17"/>
  <c r="L1527" i="17"/>
  <c r="K1527" i="17"/>
  <c r="J1527" i="17"/>
  <c r="M1527" i="17" s="1"/>
  <c r="E1527" i="17"/>
  <c r="L1526" i="17"/>
  <c r="K1526" i="17"/>
  <c r="J1526" i="17"/>
  <c r="M1526" i="17" s="1"/>
  <c r="N1526" i="17" s="1"/>
  <c r="E1526" i="17"/>
  <c r="P1525" i="17"/>
  <c r="O1525" i="17"/>
  <c r="N1525" i="17"/>
  <c r="M1525" i="17"/>
  <c r="L1525" i="17"/>
  <c r="K1525" i="17"/>
  <c r="J1525" i="17"/>
  <c r="E1525" i="17"/>
  <c r="N1524" i="17"/>
  <c r="L1524" i="17"/>
  <c r="K1524" i="17"/>
  <c r="J1524" i="17"/>
  <c r="M1524" i="17" s="1"/>
  <c r="E1524" i="17"/>
  <c r="L1523" i="17"/>
  <c r="K1523" i="17"/>
  <c r="J1523" i="17"/>
  <c r="M1523" i="17" s="1"/>
  <c r="N1523" i="17" s="1"/>
  <c r="E1523" i="17"/>
  <c r="N1522" i="17"/>
  <c r="L1522" i="17"/>
  <c r="K1522" i="17"/>
  <c r="J1522" i="17"/>
  <c r="M1522" i="17" s="1"/>
  <c r="E1522" i="17"/>
  <c r="L1521" i="17"/>
  <c r="K1521" i="17"/>
  <c r="J1521" i="17"/>
  <c r="M1521" i="17" s="1"/>
  <c r="N1521" i="17" s="1"/>
  <c r="E1521" i="17"/>
  <c r="N1520" i="17"/>
  <c r="L1520" i="17"/>
  <c r="K1520" i="17"/>
  <c r="J1520" i="17"/>
  <c r="M1520" i="17" s="1"/>
  <c r="E1520" i="17"/>
  <c r="N1519" i="17"/>
  <c r="L1519" i="17"/>
  <c r="K1519" i="17"/>
  <c r="J1519" i="17"/>
  <c r="M1519" i="17" s="1"/>
  <c r="E1519" i="17"/>
  <c r="N1518" i="17"/>
  <c r="L1518" i="17"/>
  <c r="K1518" i="17"/>
  <c r="J1518" i="17"/>
  <c r="M1518" i="17" s="1"/>
  <c r="E1518" i="17"/>
  <c r="L1517" i="17"/>
  <c r="K1517" i="17"/>
  <c r="J1517" i="17"/>
  <c r="M1517" i="17" s="1"/>
  <c r="N1517" i="17" s="1"/>
  <c r="E1517" i="17"/>
  <c r="J1516" i="17"/>
  <c r="E1516" i="17"/>
  <c r="J1515" i="17"/>
  <c r="E1515" i="17"/>
  <c r="J1514" i="17"/>
  <c r="E1514" i="17"/>
  <c r="J1513" i="17"/>
  <c r="E1513" i="17"/>
  <c r="J1512" i="17"/>
  <c r="E1512" i="17"/>
  <c r="J1511" i="17"/>
  <c r="E1511" i="17"/>
  <c r="J1510" i="17"/>
  <c r="E1510" i="17"/>
  <c r="P1509" i="17"/>
  <c r="O1509" i="17"/>
  <c r="N1509" i="17"/>
  <c r="M1509" i="17"/>
  <c r="L1509" i="17"/>
  <c r="K1509" i="17"/>
  <c r="J1509" i="17"/>
  <c r="E1509" i="17"/>
  <c r="J1508" i="17"/>
  <c r="E1508" i="17"/>
  <c r="J1507" i="17"/>
  <c r="E1507" i="17"/>
  <c r="J1506" i="17"/>
  <c r="E1506" i="17"/>
  <c r="J1505" i="17"/>
  <c r="E1505" i="17"/>
  <c r="J1504" i="17"/>
  <c r="E1504" i="17"/>
  <c r="J1503" i="17"/>
  <c r="E1503" i="17"/>
  <c r="J1502" i="17"/>
  <c r="E1502" i="17"/>
  <c r="J1501" i="17"/>
  <c r="E1501" i="17"/>
  <c r="P1500" i="17"/>
  <c r="O1500" i="17"/>
  <c r="N1500" i="17"/>
  <c r="M1500" i="17"/>
  <c r="L1500" i="17"/>
  <c r="K1500" i="17"/>
  <c r="J1500" i="17"/>
  <c r="E1500" i="17"/>
  <c r="J1499" i="17"/>
  <c r="E1499" i="17"/>
  <c r="J1498" i="17"/>
  <c r="E1498" i="17"/>
  <c r="J1497" i="17"/>
  <c r="E1497" i="17"/>
  <c r="J1496" i="17"/>
  <c r="E1496" i="17"/>
  <c r="J1495" i="17"/>
  <c r="E1495" i="17"/>
  <c r="J1494" i="17"/>
  <c r="E1494" i="17"/>
  <c r="J1493" i="17"/>
  <c r="E1493" i="17"/>
  <c r="J1492" i="17"/>
  <c r="E1492" i="17"/>
  <c r="J1491" i="17"/>
  <c r="E1491" i="17"/>
  <c r="J1490" i="17"/>
  <c r="E1490" i="17"/>
  <c r="J1489" i="17"/>
  <c r="E1489" i="17"/>
  <c r="J1488" i="17"/>
  <c r="E1488" i="17"/>
  <c r="J1487" i="17"/>
  <c r="E1487" i="17"/>
  <c r="J1486" i="17"/>
  <c r="E1486" i="17"/>
  <c r="J1485" i="17"/>
  <c r="E1485" i="17"/>
  <c r="J1484" i="17"/>
  <c r="E1484" i="17"/>
  <c r="J1483" i="17"/>
  <c r="E1483" i="17"/>
  <c r="J1482" i="17"/>
  <c r="E1482" i="17"/>
  <c r="J1481" i="17"/>
  <c r="E1481" i="17"/>
  <c r="J1480" i="17"/>
  <c r="E1480" i="17"/>
  <c r="J1479" i="17"/>
  <c r="E1479" i="17"/>
  <c r="J1478" i="17"/>
  <c r="E1478" i="17"/>
  <c r="J1477" i="17"/>
  <c r="E1477" i="17"/>
  <c r="J1476" i="17"/>
  <c r="E1476" i="17"/>
  <c r="J1475" i="17"/>
  <c r="E1475" i="17"/>
  <c r="J1474" i="17"/>
  <c r="E1474" i="17"/>
  <c r="J1473" i="17"/>
  <c r="E1473" i="17"/>
  <c r="J1472" i="17"/>
  <c r="E1472" i="17"/>
  <c r="J1471" i="17"/>
  <c r="E1471" i="17"/>
  <c r="J1470" i="17"/>
  <c r="E1470" i="17"/>
  <c r="J1469" i="17"/>
  <c r="E1469" i="17"/>
  <c r="J1468" i="17"/>
  <c r="E1468" i="17"/>
  <c r="J1467" i="17"/>
  <c r="E1467" i="17"/>
  <c r="J1466" i="17"/>
  <c r="E1466" i="17"/>
  <c r="J1465" i="17"/>
  <c r="E1465" i="17"/>
  <c r="J1464" i="17"/>
  <c r="E1464" i="17"/>
  <c r="J1463" i="17"/>
  <c r="E1463" i="17"/>
  <c r="J1462" i="17"/>
  <c r="E1462" i="17"/>
  <c r="J1461" i="17"/>
  <c r="E1461" i="17"/>
  <c r="J1460" i="17"/>
  <c r="E1460" i="17"/>
  <c r="J1459" i="17"/>
  <c r="E1459" i="17"/>
  <c r="J1458" i="17"/>
  <c r="E1458" i="17"/>
  <c r="J1457" i="17"/>
  <c r="E1457" i="17"/>
  <c r="J1456" i="17"/>
  <c r="E1456" i="17"/>
  <c r="J1455" i="17"/>
  <c r="E1455" i="17"/>
  <c r="J1454" i="17"/>
  <c r="E1454" i="17"/>
  <c r="J1453" i="17"/>
  <c r="E1453" i="17"/>
  <c r="J1452" i="17"/>
  <c r="E1452" i="17"/>
  <c r="J1451" i="17"/>
  <c r="E1451" i="17"/>
  <c r="J1450" i="17"/>
  <c r="E1450" i="17"/>
  <c r="J1449" i="17"/>
  <c r="E1449" i="17"/>
  <c r="J1448" i="17"/>
  <c r="E1448" i="17"/>
  <c r="J1447" i="17"/>
  <c r="E1447" i="17"/>
  <c r="J1446" i="17"/>
  <c r="E1446" i="17"/>
  <c r="J1445" i="17"/>
  <c r="E1445" i="17"/>
  <c r="J1444" i="17"/>
  <c r="E1444" i="17"/>
  <c r="J1443" i="17"/>
  <c r="E1443" i="17"/>
  <c r="J1442" i="17"/>
  <c r="E1442" i="17"/>
  <c r="P1441" i="17"/>
  <c r="O1441" i="17"/>
  <c r="N1441" i="17"/>
  <c r="M1441" i="17"/>
  <c r="L1441" i="17"/>
  <c r="K1441" i="17"/>
  <c r="J1441" i="17"/>
  <c r="E1441" i="17"/>
  <c r="J1440" i="17"/>
  <c r="E1440" i="17"/>
  <c r="J1439" i="17"/>
  <c r="E1439" i="17"/>
  <c r="J1438" i="17"/>
  <c r="E1438" i="17"/>
  <c r="J1437" i="17"/>
  <c r="E1437" i="17"/>
  <c r="J1436" i="17"/>
  <c r="E1436" i="17"/>
  <c r="J1435" i="17"/>
  <c r="E1435" i="17"/>
  <c r="J1434" i="17"/>
  <c r="E1434" i="17"/>
  <c r="J1433" i="17"/>
  <c r="E1433" i="17"/>
  <c r="J1432" i="17"/>
  <c r="E1432" i="17"/>
  <c r="J1431" i="17"/>
  <c r="E1431" i="17"/>
  <c r="J1430" i="17"/>
  <c r="E1430" i="17"/>
  <c r="J1429" i="17"/>
  <c r="E1429" i="17"/>
  <c r="J1428" i="17"/>
  <c r="E1428" i="17"/>
  <c r="J1427" i="17"/>
  <c r="E1427" i="17"/>
  <c r="J1426" i="17"/>
  <c r="E1426" i="17"/>
  <c r="J1425" i="17"/>
  <c r="E1425" i="17"/>
  <c r="J1424" i="17"/>
  <c r="E1424" i="17"/>
  <c r="J1423" i="17"/>
  <c r="E1423" i="17"/>
  <c r="J1422" i="17"/>
  <c r="E1422" i="17"/>
  <c r="J1421" i="17"/>
  <c r="E1421" i="17"/>
  <c r="J1420" i="17"/>
  <c r="E1420" i="17"/>
  <c r="J1419" i="17"/>
  <c r="E1419" i="17"/>
  <c r="J1418" i="17"/>
  <c r="E1418" i="17"/>
  <c r="J1417" i="17"/>
  <c r="E1417" i="17"/>
  <c r="J1416" i="17"/>
  <c r="E1416" i="17"/>
  <c r="J1415" i="17"/>
  <c r="E1415" i="17"/>
  <c r="J1414" i="17"/>
  <c r="E1414" i="17"/>
  <c r="J1413" i="17"/>
  <c r="E1413" i="17"/>
  <c r="J1412" i="17"/>
  <c r="E1412" i="17"/>
  <c r="J1411" i="17"/>
  <c r="E1411" i="17"/>
  <c r="J1410" i="17"/>
  <c r="E1410" i="17"/>
  <c r="J1409" i="17"/>
  <c r="E1409" i="17"/>
  <c r="J1408" i="17"/>
  <c r="E1408" i="17"/>
  <c r="J1407" i="17"/>
  <c r="E1407" i="17"/>
  <c r="J1406" i="17"/>
  <c r="E1406" i="17"/>
  <c r="J1405" i="17"/>
  <c r="E1405" i="17"/>
  <c r="J1404" i="17"/>
  <c r="E1404" i="17"/>
  <c r="J1403" i="17"/>
  <c r="E1403" i="17"/>
  <c r="J1402" i="17"/>
  <c r="E1402" i="17"/>
  <c r="J1401" i="17"/>
  <c r="E1401" i="17"/>
  <c r="J1400" i="17"/>
  <c r="E1400" i="17"/>
  <c r="J1399" i="17"/>
  <c r="E1399" i="17"/>
  <c r="J1398" i="17"/>
  <c r="E1398" i="17"/>
  <c r="J1397" i="17"/>
  <c r="E1397" i="17"/>
  <c r="J1396" i="17"/>
  <c r="E1396" i="17"/>
  <c r="J1395" i="17"/>
  <c r="E1395" i="17"/>
  <c r="J1394" i="17"/>
  <c r="E1394" i="17"/>
  <c r="J1393" i="17"/>
  <c r="E1393" i="17"/>
  <c r="J1392" i="17"/>
  <c r="E1392" i="17"/>
  <c r="J1391" i="17"/>
  <c r="E1391" i="17"/>
  <c r="J1390" i="17"/>
  <c r="E1390" i="17"/>
  <c r="J1389" i="17"/>
  <c r="E1389" i="17"/>
  <c r="J1388" i="17"/>
  <c r="E1388" i="17"/>
  <c r="J1387" i="17"/>
  <c r="E1387" i="17"/>
  <c r="J1386" i="17"/>
  <c r="E1386" i="17"/>
  <c r="J1385" i="17"/>
  <c r="E1385" i="17"/>
  <c r="J1384" i="17"/>
  <c r="E1384" i="17"/>
  <c r="J1383" i="17"/>
  <c r="E1383" i="17"/>
  <c r="J1382" i="17"/>
  <c r="E1382" i="17"/>
  <c r="J1381" i="17"/>
  <c r="E1381" i="17"/>
  <c r="J1380" i="17"/>
  <c r="E1380" i="17"/>
  <c r="J1379" i="17"/>
  <c r="E1379" i="17"/>
  <c r="J1378" i="17"/>
  <c r="E1378" i="17"/>
  <c r="J1377" i="17"/>
  <c r="E1377" i="17"/>
  <c r="J1376" i="17"/>
  <c r="E1376" i="17"/>
  <c r="J1375" i="17"/>
  <c r="E1375" i="17"/>
  <c r="J1374" i="17"/>
  <c r="E1374" i="17"/>
  <c r="J1373" i="17"/>
  <c r="E1373" i="17"/>
  <c r="J1372" i="17"/>
  <c r="E1372" i="17"/>
  <c r="P1371" i="17"/>
  <c r="O1371" i="17"/>
  <c r="N1371" i="17"/>
  <c r="M1371" i="17"/>
  <c r="L1371" i="17"/>
  <c r="K1371" i="17"/>
  <c r="J1371" i="17"/>
  <c r="E1371" i="17"/>
  <c r="J1370" i="17"/>
  <c r="E1370" i="17"/>
  <c r="J1369" i="17"/>
  <c r="E1369" i="17"/>
  <c r="J1368" i="17"/>
  <c r="E1368" i="17"/>
  <c r="J1367" i="17"/>
  <c r="E1367" i="17"/>
  <c r="J1366" i="17"/>
  <c r="E1366" i="17"/>
  <c r="J1365" i="17"/>
  <c r="E1365" i="17"/>
  <c r="J1364" i="17"/>
  <c r="E1364" i="17"/>
  <c r="J1363" i="17"/>
  <c r="E1363" i="17"/>
  <c r="J1362" i="17"/>
  <c r="E1362" i="17"/>
  <c r="J1361" i="17"/>
  <c r="E1361" i="17"/>
  <c r="J1360" i="17"/>
  <c r="E1360" i="17"/>
  <c r="J1359" i="17"/>
  <c r="E1359" i="17"/>
  <c r="J1358" i="17"/>
  <c r="E1358" i="17"/>
  <c r="J1357" i="17"/>
  <c r="E1357" i="17"/>
  <c r="J1356" i="17"/>
  <c r="E1356" i="17"/>
  <c r="J1355" i="17"/>
  <c r="E1355" i="17"/>
  <c r="J1354" i="17"/>
  <c r="E1354" i="17"/>
  <c r="J1353" i="17"/>
  <c r="E1353" i="17"/>
  <c r="J1352" i="17"/>
  <c r="E1352" i="17"/>
  <c r="J1351" i="17"/>
  <c r="E1351" i="17"/>
  <c r="J1350" i="17"/>
  <c r="E1350" i="17"/>
  <c r="J1349" i="17"/>
  <c r="E1349" i="17"/>
  <c r="J1348" i="17"/>
  <c r="E1348" i="17"/>
  <c r="J1347" i="17"/>
  <c r="E1347" i="17"/>
  <c r="J1346" i="17"/>
  <c r="E1346" i="17"/>
  <c r="J1345" i="17"/>
  <c r="E1345" i="17"/>
  <c r="J1344" i="17"/>
  <c r="E1344" i="17"/>
  <c r="J1343" i="17"/>
  <c r="E1343" i="17"/>
  <c r="J1342" i="17"/>
  <c r="E1342" i="17"/>
  <c r="J1341" i="17"/>
  <c r="E1341" i="17"/>
  <c r="J1340" i="17"/>
  <c r="E1340" i="17"/>
  <c r="J1339" i="17"/>
  <c r="E1339" i="17"/>
  <c r="J1338" i="17"/>
  <c r="E1338" i="17"/>
  <c r="J1337" i="17"/>
  <c r="E1337" i="17"/>
  <c r="J1336" i="17"/>
  <c r="E1336" i="17"/>
  <c r="J1335" i="17"/>
  <c r="E1335" i="17"/>
  <c r="J1334" i="17"/>
  <c r="E1334" i="17"/>
  <c r="J1333" i="17"/>
  <c r="E1333" i="17"/>
  <c r="J1332" i="17"/>
  <c r="E1332" i="17"/>
  <c r="J1331" i="17"/>
  <c r="E1331" i="17"/>
  <c r="J1330" i="17"/>
  <c r="E1330" i="17"/>
  <c r="J1329" i="17"/>
  <c r="E1329" i="17"/>
  <c r="J1328" i="17"/>
  <c r="E1328" i="17"/>
  <c r="J1327" i="17"/>
  <c r="E1327" i="17"/>
  <c r="J1326" i="17"/>
  <c r="E1326" i="17"/>
  <c r="J1325" i="17"/>
  <c r="E1325" i="17"/>
  <c r="J1324" i="17"/>
  <c r="E1324" i="17"/>
  <c r="P1323" i="17"/>
  <c r="O1323" i="17"/>
  <c r="N1323" i="17"/>
  <c r="M1323" i="17"/>
  <c r="L1323" i="17"/>
  <c r="K1323" i="17"/>
  <c r="J1323" i="17"/>
  <c r="E1323" i="17"/>
  <c r="J1322" i="17"/>
  <c r="E1322" i="17"/>
  <c r="J1321" i="17"/>
  <c r="E1321" i="17"/>
  <c r="J1320" i="17"/>
  <c r="E1320" i="17"/>
  <c r="J1319" i="17"/>
  <c r="E1319" i="17"/>
  <c r="J1318" i="17"/>
  <c r="J1317" i="17"/>
  <c r="K1316" i="17"/>
  <c r="J1316" i="17"/>
  <c r="K1315" i="17"/>
  <c r="J1315" i="17"/>
  <c r="E1315" i="17"/>
  <c r="J1314" i="17"/>
  <c r="E1314" i="17"/>
  <c r="K1313" i="17"/>
  <c r="J1313" i="17"/>
  <c r="E1313" i="17"/>
  <c r="J1312" i="17"/>
  <c r="E1312" i="17"/>
  <c r="K1311" i="17"/>
  <c r="J1311" i="17"/>
  <c r="E1311" i="17"/>
  <c r="J1310" i="17"/>
  <c r="E1310" i="17"/>
  <c r="K1309" i="17"/>
  <c r="J1309" i="17"/>
  <c r="E1309" i="17"/>
  <c r="J1308" i="17"/>
  <c r="E1308" i="17"/>
  <c r="K1307" i="17"/>
  <c r="J1307" i="17"/>
  <c r="E1307" i="17"/>
  <c r="J1306" i="17"/>
  <c r="E1306" i="17"/>
  <c r="K1305" i="17"/>
  <c r="J1305" i="17"/>
  <c r="E1305" i="17"/>
  <c r="P1304" i="17"/>
  <c r="O1304" i="17"/>
  <c r="N1304" i="17"/>
  <c r="M1304" i="17"/>
  <c r="L1304" i="17"/>
  <c r="K1304" i="17"/>
  <c r="J1304" i="17"/>
  <c r="E1304" i="17"/>
  <c r="J1303" i="17"/>
  <c r="E1303" i="17"/>
  <c r="K1302" i="17"/>
  <c r="J1302" i="17"/>
  <c r="E1302" i="17"/>
  <c r="J1301" i="17"/>
  <c r="E1301" i="17"/>
  <c r="K1300" i="17"/>
  <c r="J1300" i="17"/>
  <c r="E1300" i="17"/>
  <c r="J1299" i="17"/>
  <c r="E1299" i="17"/>
  <c r="K1298" i="17"/>
  <c r="J1298" i="17"/>
  <c r="E1298" i="17"/>
  <c r="P1297" i="17"/>
  <c r="O1297" i="17"/>
  <c r="N1297" i="17"/>
  <c r="M1297" i="17"/>
  <c r="L1297" i="17"/>
  <c r="K1297" i="17"/>
  <c r="J1297" i="17"/>
  <c r="E1297" i="17"/>
  <c r="J1296" i="17"/>
  <c r="J1295" i="17"/>
  <c r="P1294" i="17"/>
  <c r="O1294" i="17"/>
  <c r="N1294" i="17"/>
  <c r="M1294" i="17"/>
  <c r="L1294" i="17"/>
  <c r="K1294" i="17"/>
  <c r="J1294" i="17"/>
  <c r="E1294" i="17"/>
  <c r="P1293" i="17"/>
  <c r="O1293" i="17"/>
  <c r="N1293" i="17"/>
  <c r="M1293" i="17"/>
  <c r="L1293" i="17"/>
  <c r="K1293" i="17"/>
  <c r="J1293" i="17"/>
  <c r="E1293" i="17"/>
  <c r="K1292" i="17"/>
  <c r="J1292" i="17"/>
  <c r="E1292" i="17"/>
  <c r="P1291" i="17"/>
  <c r="O1291" i="17"/>
  <c r="N1291" i="17"/>
  <c r="M1291" i="17"/>
  <c r="L1291" i="17"/>
  <c r="K1291" i="17"/>
  <c r="J1291" i="17"/>
  <c r="E1291" i="17"/>
  <c r="K1290" i="17"/>
  <c r="J1290" i="17"/>
  <c r="E1290" i="17"/>
  <c r="K1289" i="17"/>
  <c r="J1289" i="17"/>
  <c r="E1289" i="17"/>
  <c r="K1288" i="17"/>
  <c r="J1288" i="17"/>
  <c r="E1288" i="17"/>
  <c r="P1287" i="17"/>
  <c r="O1287" i="17"/>
  <c r="N1287" i="17"/>
  <c r="M1287" i="17"/>
  <c r="L1287" i="17"/>
  <c r="K1287" i="17"/>
  <c r="J1287" i="17"/>
  <c r="E1287" i="17"/>
  <c r="K1286" i="17"/>
  <c r="J1286" i="17"/>
  <c r="E1286" i="17"/>
  <c r="K1285" i="17"/>
  <c r="J1285" i="17"/>
  <c r="E1285" i="17"/>
  <c r="K1284" i="17"/>
  <c r="J1284" i="17"/>
  <c r="E1284" i="17"/>
  <c r="K1283" i="17"/>
  <c r="J1283" i="17"/>
  <c r="E1283" i="17"/>
  <c r="K1282" i="17"/>
  <c r="J1282" i="17"/>
  <c r="E1282" i="17"/>
  <c r="K1281" i="17"/>
  <c r="J1281" i="17"/>
  <c r="E1281" i="17"/>
  <c r="K1280" i="17"/>
  <c r="J1280" i="17"/>
  <c r="E1280" i="17"/>
  <c r="K1279" i="17"/>
  <c r="J1279" i="17"/>
  <c r="E1279" i="17"/>
  <c r="K1278" i="17"/>
  <c r="J1278" i="17"/>
  <c r="E1278" i="17"/>
  <c r="P1277" i="17"/>
  <c r="O1277" i="17"/>
  <c r="N1277" i="17"/>
  <c r="M1277" i="17"/>
  <c r="L1277" i="17"/>
  <c r="K1277" i="17"/>
  <c r="J1277" i="17"/>
  <c r="E1277" i="17"/>
  <c r="P1276" i="17"/>
  <c r="O1276" i="17"/>
  <c r="N1276" i="17"/>
  <c r="M1276" i="17"/>
  <c r="L1276" i="17"/>
  <c r="K1276" i="17"/>
  <c r="J1276" i="17"/>
  <c r="E1276" i="17"/>
  <c r="P1275" i="17"/>
  <c r="O1275" i="17"/>
  <c r="N1275" i="17"/>
  <c r="M1275" i="17"/>
  <c r="L1275" i="17"/>
  <c r="K1275" i="17"/>
  <c r="J1275" i="17"/>
  <c r="E1275" i="17"/>
  <c r="K1274" i="17"/>
  <c r="J1274" i="17"/>
  <c r="E1274" i="17"/>
  <c r="K1273" i="17"/>
  <c r="J1273" i="17"/>
  <c r="E1273" i="17"/>
  <c r="K1272" i="17"/>
  <c r="J1272" i="17"/>
  <c r="E1272" i="17"/>
  <c r="K1271" i="17"/>
  <c r="J1271" i="17"/>
  <c r="E1271" i="17"/>
  <c r="K1270" i="17"/>
  <c r="J1270" i="17"/>
  <c r="J1269" i="17"/>
  <c r="E1269" i="17"/>
  <c r="P1268" i="17"/>
  <c r="O1268" i="17"/>
  <c r="N1268" i="17"/>
  <c r="M1268" i="17"/>
  <c r="L1268" i="17"/>
  <c r="K1268" i="17"/>
  <c r="J1268" i="17"/>
  <c r="E1268" i="17"/>
  <c r="J1267" i="17"/>
  <c r="E1267" i="17"/>
  <c r="J1266" i="17"/>
  <c r="E1266" i="17"/>
  <c r="L1265" i="17"/>
  <c r="J1265" i="17"/>
  <c r="K1265" i="17" s="1"/>
  <c r="E1265" i="17"/>
  <c r="J1264" i="17"/>
  <c r="E1264" i="17"/>
  <c r="L1263" i="17"/>
  <c r="J1263" i="17"/>
  <c r="K1263" i="17" s="1"/>
  <c r="E1263" i="17"/>
  <c r="J1262" i="17"/>
  <c r="E1262" i="17"/>
  <c r="M1261" i="17"/>
  <c r="L1261" i="17"/>
  <c r="N1261" i="17" s="1"/>
  <c r="J1261" i="17"/>
  <c r="K1261" i="17" s="1"/>
  <c r="E1261" i="17"/>
  <c r="L1260" i="17"/>
  <c r="K1260" i="17"/>
  <c r="M1260" i="17" s="1"/>
  <c r="J1260" i="17"/>
  <c r="E1260" i="17"/>
  <c r="L1259" i="17"/>
  <c r="K1259" i="17"/>
  <c r="M1259" i="17" s="1"/>
  <c r="O1259" i="17" s="1"/>
  <c r="J1259" i="17"/>
  <c r="N1259" i="17" s="1"/>
  <c r="E1259" i="17"/>
  <c r="L1258" i="17"/>
  <c r="K1258" i="17"/>
  <c r="M1258" i="17" s="1"/>
  <c r="J1258" i="17"/>
  <c r="K1257" i="17"/>
  <c r="J1257" i="17"/>
  <c r="E1257" i="17"/>
  <c r="K1256" i="17"/>
  <c r="J1256" i="17"/>
  <c r="E1256" i="17"/>
  <c r="K1255" i="17"/>
  <c r="J1255" i="17"/>
  <c r="E1255" i="17"/>
  <c r="P1254" i="17"/>
  <c r="O1254" i="17"/>
  <c r="N1254" i="17"/>
  <c r="M1254" i="17"/>
  <c r="L1254" i="17"/>
  <c r="K1254" i="17"/>
  <c r="J1254" i="17"/>
  <c r="E1254" i="17"/>
  <c r="P1253" i="17"/>
  <c r="O1253" i="17"/>
  <c r="N1253" i="17"/>
  <c r="M1253" i="17"/>
  <c r="L1253" i="17"/>
  <c r="K1253" i="17"/>
  <c r="J1253" i="17"/>
  <c r="E1253" i="17"/>
  <c r="P1252" i="17"/>
  <c r="O1252" i="17"/>
  <c r="N1252" i="17"/>
  <c r="M1252" i="17"/>
  <c r="L1252" i="17"/>
  <c r="K1252" i="17"/>
  <c r="E1252" i="17"/>
  <c r="P1251" i="17"/>
  <c r="O1251" i="17"/>
  <c r="N1251" i="17"/>
  <c r="M1251" i="17"/>
  <c r="L1251" i="17"/>
  <c r="K1251" i="17"/>
  <c r="E1251" i="17"/>
  <c r="P1250" i="17"/>
  <c r="O1250" i="17"/>
  <c r="N1250" i="17"/>
  <c r="M1250" i="17"/>
  <c r="L1250" i="17"/>
  <c r="K1250" i="17"/>
  <c r="J1250" i="17"/>
  <c r="E1250" i="17"/>
  <c r="L1249" i="17"/>
  <c r="J1249" i="17"/>
  <c r="K1249" i="17" s="1"/>
  <c r="E1249" i="17"/>
  <c r="L1248" i="17"/>
  <c r="J1248" i="17"/>
  <c r="K1248" i="17" s="1"/>
  <c r="E1248" i="17"/>
  <c r="L1247" i="17"/>
  <c r="J1247" i="17"/>
  <c r="K1247" i="17" s="1"/>
  <c r="E1247" i="17"/>
  <c r="L1246" i="17"/>
  <c r="J1246" i="17"/>
  <c r="K1246" i="17" s="1"/>
  <c r="E1246" i="17"/>
  <c r="L1245" i="17"/>
  <c r="J1245" i="17"/>
  <c r="K1245" i="17" s="1"/>
  <c r="E1245" i="17"/>
  <c r="L1244" i="17"/>
  <c r="J1244" i="17"/>
  <c r="K1244" i="17" s="1"/>
  <c r="E1244" i="17"/>
  <c r="L1243" i="17"/>
  <c r="J1243" i="17"/>
  <c r="K1243" i="17" s="1"/>
  <c r="E1243" i="17"/>
  <c r="P1242" i="17"/>
  <c r="O1242" i="17"/>
  <c r="N1242" i="17"/>
  <c r="M1242" i="17"/>
  <c r="L1242" i="17"/>
  <c r="K1242" i="17"/>
  <c r="J1242" i="17"/>
  <c r="E1242" i="17"/>
  <c r="L1241" i="17"/>
  <c r="J1241" i="17"/>
  <c r="K1241" i="17" s="1"/>
  <c r="E1241" i="17"/>
  <c r="L1240" i="17"/>
  <c r="J1240" i="17"/>
  <c r="K1240" i="17" s="1"/>
  <c r="E1240" i="17"/>
  <c r="L1239" i="17"/>
  <c r="J1239" i="17"/>
  <c r="K1239" i="17" s="1"/>
  <c r="E1239" i="17"/>
  <c r="L1238" i="17"/>
  <c r="J1238" i="17"/>
  <c r="K1238" i="17" s="1"/>
  <c r="E1238" i="17"/>
  <c r="L1237" i="17"/>
  <c r="J1237" i="17"/>
  <c r="K1237" i="17" s="1"/>
  <c r="E1237" i="17"/>
  <c r="L1236" i="17"/>
  <c r="J1236" i="17"/>
  <c r="K1236" i="17" s="1"/>
  <c r="E1236" i="17"/>
  <c r="L1235" i="17"/>
  <c r="J1235" i="17"/>
  <c r="K1235" i="17" s="1"/>
  <c r="E1235" i="17"/>
  <c r="L1234" i="17"/>
  <c r="J1234" i="17"/>
  <c r="K1234" i="17" s="1"/>
  <c r="E1234" i="17"/>
  <c r="L1233" i="17"/>
  <c r="J1233" i="17"/>
  <c r="K1233" i="17" s="1"/>
  <c r="E1233" i="17"/>
  <c r="P1232" i="17"/>
  <c r="O1232" i="17"/>
  <c r="N1232" i="17"/>
  <c r="M1232" i="17"/>
  <c r="L1232" i="17"/>
  <c r="K1232" i="17"/>
  <c r="J1232" i="17"/>
  <c r="E1232" i="17"/>
  <c r="L1231" i="17"/>
  <c r="J1231" i="17"/>
  <c r="K1231" i="17" s="1"/>
  <c r="K1230" i="17"/>
  <c r="J1230" i="17"/>
  <c r="E1230" i="17"/>
  <c r="K1229" i="17"/>
  <c r="J1229" i="17"/>
  <c r="E1229" i="17"/>
  <c r="P1228" i="17"/>
  <c r="O1228" i="17"/>
  <c r="N1228" i="17"/>
  <c r="M1228" i="17"/>
  <c r="L1228" i="17"/>
  <c r="K1228" i="17"/>
  <c r="J1228" i="17"/>
  <c r="E1228" i="17"/>
  <c r="P1227" i="17"/>
  <c r="O1227" i="17"/>
  <c r="N1227" i="17"/>
  <c r="M1227" i="17"/>
  <c r="L1227" i="17"/>
  <c r="K1227" i="17"/>
  <c r="J1227" i="17"/>
  <c r="E1227" i="17"/>
  <c r="K1226" i="17"/>
  <c r="J1226" i="17"/>
  <c r="E1226" i="17"/>
  <c r="K1225" i="17"/>
  <c r="J1225" i="17"/>
  <c r="E1225" i="17"/>
  <c r="K1224" i="17"/>
  <c r="J1224" i="17"/>
  <c r="E1224" i="17"/>
  <c r="K1223" i="17"/>
  <c r="J1223" i="17"/>
  <c r="E1223" i="17"/>
  <c r="P1222" i="17"/>
  <c r="O1222" i="17"/>
  <c r="N1222" i="17"/>
  <c r="M1222" i="17"/>
  <c r="L1222" i="17"/>
  <c r="K1222" i="17"/>
  <c r="J1222" i="17"/>
  <c r="E1222" i="17"/>
  <c r="K1221" i="17"/>
  <c r="J1221" i="17"/>
  <c r="E1221" i="17"/>
  <c r="P1220" i="17"/>
  <c r="O1220" i="17"/>
  <c r="N1220" i="17"/>
  <c r="M1220" i="17"/>
  <c r="L1220" i="17"/>
  <c r="K1220" i="17"/>
  <c r="J1220" i="17"/>
  <c r="E1220" i="17"/>
  <c r="P1219" i="17"/>
  <c r="O1219" i="17"/>
  <c r="N1219" i="17"/>
  <c r="M1219" i="17"/>
  <c r="L1219" i="17"/>
  <c r="K1219" i="17"/>
  <c r="J1219" i="17"/>
  <c r="E1219" i="17"/>
  <c r="K1218" i="17"/>
  <c r="J1218" i="17"/>
  <c r="E1218" i="17"/>
  <c r="P1217" i="17"/>
  <c r="O1217" i="17"/>
  <c r="N1217" i="17"/>
  <c r="M1217" i="17"/>
  <c r="L1217" i="17"/>
  <c r="K1217" i="17"/>
  <c r="J1217" i="17"/>
  <c r="E1217" i="17"/>
  <c r="P1216" i="17"/>
  <c r="O1216" i="17"/>
  <c r="N1216" i="17"/>
  <c r="M1216" i="17"/>
  <c r="L1216" i="17"/>
  <c r="K1216" i="17"/>
  <c r="J1216" i="17"/>
  <c r="E1216" i="17"/>
  <c r="K1215" i="17"/>
  <c r="J1215" i="17"/>
  <c r="E1215" i="17"/>
  <c r="K1214" i="17"/>
  <c r="J1214" i="17"/>
  <c r="E1214" i="17"/>
  <c r="K1213" i="17"/>
  <c r="J1213" i="17"/>
  <c r="E1213" i="17"/>
  <c r="K1212" i="17"/>
  <c r="J1212" i="17"/>
  <c r="E1212" i="17"/>
  <c r="K1211" i="17"/>
  <c r="J1211" i="17"/>
  <c r="E1211" i="17"/>
  <c r="P1210" i="17"/>
  <c r="O1210" i="17"/>
  <c r="N1210" i="17"/>
  <c r="M1210" i="17"/>
  <c r="L1210" i="17"/>
  <c r="K1210" i="17"/>
  <c r="J1210" i="17"/>
  <c r="E1210" i="17"/>
  <c r="K1209" i="17"/>
  <c r="J1209" i="17"/>
  <c r="E1209" i="17"/>
  <c r="K1208" i="17"/>
  <c r="J1208" i="17"/>
  <c r="E1208" i="17"/>
  <c r="K1207" i="17"/>
  <c r="J1207" i="17"/>
  <c r="E1207" i="17"/>
  <c r="K1206" i="17"/>
  <c r="J1206" i="17"/>
  <c r="E1206" i="17"/>
  <c r="K1205" i="17"/>
  <c r="J1205" i="17"/>
  <c r="J1204" i="17"/>
  <c r="E1204" i="17"/>
  <c r="P1203" i="17"/>
  <c r="O1203" i="17"/>
  <c r="N1203" i="17"/>
  <c r="M1203" i="17"/>
  <c r="L1203" i="17"/>
  <c r="K1203" i="17"/>
  <c r="J1203" i="17"/>
  <c r="E1203" i="17"/>
  <c r="P1202" i="17"/>
  <c r="O1202" i="17"/>
  <c r="N1202" i="17"/>
  <c r="M1202" i="17"/>
  <c r="L1202" i="17"/>
  <c r="K1202" i="17"/>
  <c r="J1202" i="17"/>
  <c r="E1202" i="17"/>
  <c r="P1201" i="17"/>
  <c r="O1201" i="17"/>
  <c r="N1201" i="17"/>
  <c r="M1201" i="17"/>
  <c r="L1201" i="17"/>
  <c r="K1201" i="17"/>
  <c r="J1201" i="17"/>
  <c r="E1201" i="17"/>
  <c r="P1200" i="17"/>
  <c r="O1200" i="17"/>
  <c r="N1200" i="17"/>
  <c r="M1200" i="17"/>
  <c r="L1200" i="17"/>
  <c r="K1200" i="17"/>
  <c r="J1200" i="17"/>
  <c r="E1200" i="17"/>
  <c r="J1199" i="17"/>
  <c r="E1199" i="17"/>
  <c r="P1198" i="17"/>
  <c r="O1198" i="17"/>
  <c r="N1198" i="17"/>
  <c r="M1198" i="17"/>
  <c r="L1198" i="17"/>
  <c r="K1198" i="17"/>
  <c r="J1198" i="17"/>
  <c r="E1198" i="17"/>
  <c r="J1197" i="17"/>
  <c r="E1197" i="17"/>
  <c r="J1196" i="17"/>
  <c r="E1196" i="17"/>
  <c r="J1195" i="17"/>
  <c r="E1195" i="17"/>
  <c r="J1194" i="17"/>
  <c r="E1194" i="17"/>
  <c r="J1193" i="17"/>
  <c r="E1193" i="17"/>
  <c r="P1192" i="17"/>
  <c r="O1192" i="17"/>
  <c r="N1192" i="17"/>
  <c r="M1192" i="17"/>
  <c r="L1192" i="17"/>
  <c r="K1192" i="17"/>
  <c r="J1192" i="17"/>
  <c r="E1192" i="17"/>
  <c r="J1191" i="17"/>
  <c r="E1191" i="17"/>
  <c r="J1190" i="17"/>
  <c r="E1190" i="17"/>
  <c r="P1189" i="17"/>
  <c r="O1189" i="17"/>
  <c r="N1189" i="17"/>
  <c r="M1189" i="17"/>
  <c r="L1189" i="17"/>
  <c r="K1189" i="17"/>
  <c r="J1189" i="17"/>
  <c r="E1189" i="17"/>
  <c r="P1188" i="17"/>
  <c r="O1188" i="17"/>
  <c r="N1188" i="17"/>
  <c r="M1188" i="17"/>
  <c r="L1188" i="17"/>
  <c r="K1188" i="17"/>
  <c r="J1188" i="17"/>
  <c r="E1188" i="17"/>
  <c r="J1187" i="17"/>
  <c r="E1187" i="17"/>
  <c r="J1186" i="17"/>
  <c r="E1186" i="17"/>
  <c r="J1185" i="17"/>
  <c r="E1185" i="17"/>
  <c r="P1184" i="17"/>
  <c r="O1184" i="17"/>
  <c r="N1184" i="17"/>
  <c r="M1184" i="17"/>
  <c r="L1184" i="17"/>
  <c r="K1184" i="17"/>
  <c r="J1184" i="17"/>
  <c r="E1184" i="17"/>
  <c r="J1183" i="17"/>
  <c r="E1183" i="17"/>
  <c r="P1182" i="17"/>
  <c r="O1182" i="17"/>
  <c r="N1182" i="17"/>
  <c r="M1182" i="17"/>
  <c r="L1182" i="17"/>
  <c r="K1182" i="17"/>
  <c r="J1182" i="17"/>
  <c r="E1182" i="17"/>
  <c r="P1181" i="17"/>
  <c r="O1181" i="17"/>
  <c r="N1181" i="17"/>
  <c r="M1181" i="17"/>
  <c r="L1181" i="17"/>
  <c r="K1181" i="17"/>
  <c r="J1181" i="17"/>
  <c r="E1181" i="17"/>
  <c r="J1180" i="17"/>
  <c r="E1180" i="17"/>
  <c r="J1179" i="17"/>
  <c r="E1179" i="17"/>
  <c r="P1178" i="17"/>
  <c r="O1178" i="17"/>
  <c r="N1178" i="17"/>
  <c r="M1178" i="17"/>
  <c r="L1178" i="17"/>
  <c r="K1178" i="17"/>
  <c r="J1178" i="17"/>
  <c r="E1178" i="17"/>
  <c r="J1177" i="17"/>
  <c r="E1177" i="17"/>
  <c r="J1176" i="17"/>
  <c r="E1176" i="17"/>
  <c r="J1175" i="17"/>
  <c r="E1175" i="17"/>
  <c r="J1174" i="17"/>
  <c r="E1174" i="17"/>
  <c r="P1173" i="17"/>
  <c r="O1173" i="17"/>
  <c r="N1173" i="17"/>
  <c r="M1173" i="17"/>
  <c r="L1173" i="17"/>
  <c r="K1173" i="17"/>
  <c r="J1173" i="17"/>
  <c r="E1173" i="17"/>
  <c r="J1172" i="17"/>
  <c r="E1172" i="17"/>
  <c r="P1171" i="17"/>
  <c r="O1171" i="17"/>
  <c r="N1171" i="17"/>
  <c r="M1171" i="17"/>
  <c r="L1171" i="17"/>
  <c r="K1171" i="17"/>
  <c r="J1171" i="17"/>
  <c r="E1171" i="17"/>
  <c r="J1170" i="17"/>
  <c r="E1170" i="17"/>
  <c r="P1169" i="17"/>
  <c r="O1169" i="17"/>
  <c r="N1169" i="17"/>
  <c r="M1169" i="17"/>
  <c r="L1169" i="17"/>
  <c r="K1169" i="17"/>
  <c r="J1169" i="17"/>
  <c r="E1169" i="17"/>
  <c r="J1168" i="17"/>
  <c r="E1168" i="17"/>
  <c r="J1167" i="17"/>
  <c r="E1167" i="17"/>
  <c r="J1166" i="17"/>
  <c r="E1166" i="17"/>
  <c r="J1165" i="17"/>
  <c r="E1165" i="17"/>
  <c r="J1164" i="17"/>
  <c r="E1164" i="17"/>
  <c r="P1163" i="17"/>
  <c r="O1163" i="17"/>
  <c r="N1163" i="17"/>
  <c r="M1163" i="17"/>
  <c r="L1163" i="17"/>
  <c r="K1163" i="17"/>
  <c r="J1163" i="17"/>
  <c r="E1163" i="17"/>
  <c r="J1162" i="17"/>
  <c r="E1162" i="17"/>
  <c r="J1161" i="17"/>
  <c r="E1161" i="17"/>
  <c r="P1160" i="17"/>
  <c r="O1160" i="17"/>
  <c r="N1160" i="17"/>
  <c r="M1160" i="17"/>
  <c r="L1160" i="17"/>
  <c r="K1160" i="17"/>
  <c r="J1160" i="17"/>
  <c r="E1160" i="17"/>
  <c r="J1159" i="17"/>
  <c r="E1159" i="17"/>
  <c r="J1158" i="17"/>
  <c r="E1158" i="17"/>
  <c r="J1157" i="17"/>
  <c r="E1157" i="17"/>
  <c r="J1156" i="17"/>
  <c r="E1156" i="17"/>
  <c r="J1155" i="17"/>
  <c r="E1155" i="17"/>
  <c r="J1154" i="17"/>
  <c r="E1154" i="17"/>
  <c r="J1153" i="17"/>
  <c r="E1153" i="17"/>
  <c r="P1152" i="17"/>
  <c r="O1152" i="17"/>
  <c r="N1152" i="17"/>
  <c r="M1152" i="17"/>
  <c r="L1152" i="17"/>
  <c r="K1152" i="17"/>
  <c r="J1152" i="17"/>
  <c r="K1151" i="17"/>
  <c r="J1151" i="17"/>
  <c r="E1151" i="17"/>
  <c r="K1150" i="17"/>
  <c r="J1150" i="17"/>
  <c r="E1150" i="17"/>
  <c r="K1149" i="17"/>
  <c r="J1149" i="17"/>
  <c r="E1149" i="17"/>
  <c r="K1148" i="17"/>
  <c r="J1148" i="17"/>
  <c r="E1148" i="17"/>
  <c r="K1147" i="17"/>
  <c r="J1147" i="17"/>
  <c r="E1147" i="17"/>
  <c r="K1146" i="17"/>
  <c r="J1146" i="17"/>
  <c r="E1146" i="17"/>
  <c r="P1145" i="17"/>
  <c r="O1145" i="17"/>
  <c r="N1145" i="17"/>
  <c r="M1145" i="17"/>
  <c r="L1145" i="17"/>
  <c r="K1145" i="17"/>
  <c r="J1145" i="17"/>
  <c r="E1145" i="17"/>
  <c r="P1144" i="17"/>
  <c r="O1144" i="17"/>
  <c r="N1144" i="17"/>
  <c r="M1144" i="17"/>
  <c r="L1144" i="17"/>
  <c r="K1144" i="17"/>
  <c r="J1144" i="17"/>
  <c r="E1144" i="17"/>
  <c r="K1143" i="17"/>
  <c r="J1143" i="17"/>
  <c r="E1143" i="17"/>
  <c r="K1142" i="17"/>
  <c r="J1142" i="17"/>
  <c r="E1142" i="17"/>
  <c r="K1141" i="17"/>
  <c r="J1141" i="17"/>
  <c r="E1141" i="17"/>
  <c r="K1140" i="17"/>
  <c r="J1140" i="17"/>
  <c r="E1140" i="17"/>
  <c r="K1139" i="17"/>
  <c r="J1139" i="17"/>
  <c r="E1139" i="17"/>
  <c r="K1138" i="17"/>
  <c r="J1138" i="17"/>
  <c r="E1138" i="17"/>
  <c r="K1137" i="17"/>
  <c r="J1137" i="17"/>
  <c r="E1137" i="17"/>
  <c r="K1136" i="17"/>
  <c r="J1136" i="17"/>
  <c r="E1136" i="17"/>
  <c r="P1135" i="17"/>
  <c r="O1135" i="17"/>
  <c r="N1135" i="17"/>
  <c r="M1135" i="17"/>
  <c r="L1135" i="17"/>
  <c r="K1135" i="17"/>
  <c r="J1135" i="17"/>
  <c r="E1135" i="17"/>
  <c r="K1134" i="17"/>
  <c r="J1134" i="17"/>
  <c r="E1134" i="17"/>
  <c r="K1133" i="17"/>
  <c r="J1133" i="17"/>
  <c r="E1133" i="17"/>
  <c r="J1132" i="17"/>
  <c r="P1131" i="17"/>
  <c r="O1131" i="17"/>
  <c r="N1131" i="17"/>
  <c r="M1131" i="17"/>
  <c r="L1131" i="17"/>
  <c r="K1131" i="17"/>
  <c r="J1131" i="17"/>
  <c r="E1131" i="17"/>
  <c r="J1130" i="17"/>
  <c r="E1130" i="17"/>
  <c r="P1129" i="17"/>
  <c r="O1129" i="17"/>
  <c r="N1129" i="17"/>
  <c r="M1129" i="17"/>
  <c r="L1129" i="17"/>
  <c r="K1129" i="17"/>
  <c r="J1129" i="17"/>
  <c r="E1129" i="17"/>
  <c r="J1128" i="17"/>
  <c r="E1128" i="17"/>
  <c r="P1127" i="17"/>
  <c r="O1127" i="17"/>
  <c r="N1127" i="17"/>
  <c r="M1127" i="17"/>
  <c r="L1127" i="17"/>
  <c r="K1127" i="17"/>
  <c r="J1127" i="17"/>
  <c r="E1127" i="17"/>
  <c r="J1126" i="17"/>
  <c r="E1126" i="17"/>
  <c r="J1125" i="17"/>
  <c r="E1125" i="17"/>
  <c r="J1124" i="17"/>
  <c r="E1124" i="17"/>
  <c r="J1123" i="17"/>
  <c r="E1123" i="17"/>
  <c r="J1122" i="17"/>
  <c r="E1122" i="17"/>
  <c r="P1121" i="17"/>
  <c r="O1121" i="17"/>
  <c r="N1121" i="17"/>
  <c r="M1121" i="17"/>
  <c r="L1121" i="17"/>
  <c r="K1121" i="17"/>
  <c r="J1121" i="17"/>
  <c r="E1121" i="17"/>
  <c r="P1120" i="17"/>
  <c r="O1120" i="17"/>
  <c r="N1120" i="17"/>
  <c r="M1120" i="17"/>
  <c r="L1120" i="17"/>
  <c r="K1120" i="17"/>
  <c r="J1120" i="17"/>
  <c r="E1120" i="17"/>
  <c r="J1119" i="17"/>
  <c r="E1119" i="17"/>
  <c r="P1118" i="17"/>
  <c r="O1118" i="17"/>
  <c r="N1118" i="17"/>
  <c r="M1118" i="17"/>
  <c r="L1118" i="17"/>
  <c r="K1118" i="17"/>
  <c r="J1118" i="17"/>
  <c r="E1118" i="17"/>
  <c r="J1117" i="17"/>
  <c r="K1116" i="17"/>
  <c r="J1116" i="17"/>
  <c r="E1116" i="17"/>
  <c r="P1115" i="17"/>
  <c r="O1115" i="17"/>
  <c r="N1115" i="17"/>
  <c r="M1115" i="17"/>
  <c r="L1115" i="17"/>
  <c r="K1115" i="17"/>
  <c r="J1115" i="17"/>
  <c r="E1115" i="17"/>
  <c r="L1114" i="17"/>
  <c r="K1114" i="17"/>
  <c r="J1114" i="17"/>
  <c r="E1114" i="17"/>
  <c r="P1113" i="17"/>
  <c r="O1113" i="17"/>
  <c r="N1113" i="17"/>
  <c r="M1113" i="17"/>
  <c r="L1113" i="17"/>
  <c r="K1113" i="17"/>
  <c r="J1113" i="17"/>
  <c r="E1113" i="17"/>
  <c r="P1112" i="17"/>
  <c r="O1112" i="17"/>
  <c r="N1112" i="17"/>
  <c r="M1112" i="17"/>
  <c r="L1112" i="17"/>
  <c r="K1112" i="17"/>
  <c r="J1112" i="17"/>
  <c r="E1112" i="17"/>
  <c r="P1111" i="17"/>
  <c r="O1111" i="17"/>
  <c r="N1111" i="17"/>
  <c r="M1111" i="17"/>
  <c r="L1111" i="17"/>
  <c r="K1111" i="17"/>
  <c r="J1111" i="17"/>
  <c r="E1111" i="17"/>
  <c r="K1110" i="17"/>
  <c r="J1110" i="17"/>
  <c r="J1109" i="17"/>
  <c r="E1109" i="17"/>
  <c r="L1108" i="17"/>
  <c r="K1108" i="17"/>
  <c r="J1108" i="17"/>
  <c r="E1108" i="17"/>
  <c r="K1107" i="17"/>
  <c r="J1107" i="17"/>
  <c r="E1107" i="17"/>
  <c r="J1106" i="17"/>
  <c r="E1106" i="17"/>
  <c r="K1105" i="17"/>
  <c r="J1105" i="17"/>
  <c r="E1105" i="17"/>
  <c r="P1104" i="17"/>
  <c r="O1104" i="17"/>
  <c r="N1104" i="17"/>
  <c r="M1104" i="17"/>
  <c r="L1104" i="17"/>
  <c r="K1104" i="17"/>
  <c r="J1104" i="17"/>
  <c r="E1104" i="17"/>
  <c r="J1103" i="17"/>
  <c r="E1103" i="17"/>
  <c r="P1102" i="17"/>
  <c r="O1102" i="17"/>
  <c r="N1102" i="17"/>
  <c r="M1102" i="17"/>
  <c r="L1102" i="17"/>
  <c r="K1102" i="17"/>
  <c r="J1102" i="17"/>
  <c r="E1102" i="17"/>
  <c r="K1101" i="17"/>
  <c r="J1101" i="17"/>
  <c r="E1101" i="17"/>
  <c r="J1100" i="17"/>
  <c r="E1100" i="17"/>
  <c r="P1099" i="17"/>
  <c r="O1099" i="17"/>
  <c r="N1099" i="17"/>
  <c r="M1099" i="17"/>
  <c r="L1099" i="17"/>
  <c r="K1099" i="17"/>
  <c r="J1099" i="17"/>
  <c r="E1099" i="17"/>
  <c r="J1098" i="17"/>
  <c r="E1098" i="17"/>
  <c r="L1097" i="17"/>
  <c r="K1097" i="17"/>
  <c r="J1097" i="17"/>
  <c r="E1097" i="17"/>
  <c r="K1096" i="17"/>
  <c r="J1096" i="17"/>
  <c r="E1096" i="17"/>
  <c r="J1095" i="17"/>
  <c r="E1095" i="17"/>
  <c r="K1094" i="17"/>
  <c r="J1094" i="17"/>
  <c r="E1094" i="17"/>
  <c r="J1093" i="17"/>
  <c r="E1093" i="17"/>
  <c r="P1092" i="17"/>
  <c r="O1092" i="17"/>
  <c r="N1092" i="17"/>
  <c r="M1092" i="17"/>
  <c r="L1092" i="17"/>
  <c r="K1092" i="17"/>
  <c r="J1092" i="17"/>
  <c r="E1092" i="17"/>
  <c r="P1091" i="17"/>
  <c r="O1091" i="17"/>
  <c r="N1091" i="17"/>
  <c r="M1091" i="17"/>
  <c r="L1091" i="17"/>
  <c r="K1091" i="17"/>
  <c r="J1091" i="17"/>
  <c r="E1091" i="17"/>
  <c r="K1090" i="17"/>
  <c r="J1090" i="17"/>
  <c r="E1090" i="17"/>
  <c r="J1089" i="17"/>
  <c r="E1089" i="17"/>
  <c r="P1088" i="17"/>
  <c r="O1088" i="17"/>
  <c r="N1088" i="17"/>
  <c r="M1088" i="17"/>
  <c r="L1088" i="17"/>
  <c r="K1088" i="17"/>
  <c r="J1088" i="17"/>
  <c r="E1088" i="17"/>
  <c r="J1087" i="17"/>
  <c r="E1087" i="17"/>
  <c r="P1086" i="17"/>
  <c r="O1086" i="17"/>
  <c r="N1086" i="17"/>
  <c r="M1086" i="17"/>
  <c r="L1086" i="17"/>
  <c r="K1086" i="17"/>
  <c r="J1086" i="17"/>
  <c r="E1086" i="17"/>
  <c r="L1085" i="17"/>
  <c r="K1085" i="17"/>
  <c r="J1085" i="17"/>
  <c r="E1085" i="17"/>
  <c r="K1084" i="17"/>
  <c r="J1084" i="17"/>
  <c r="E1084" i="17"/>
  <c r="J1083" i="17"/>
  <c r="E1083" i="17"/>
  <c r="K1082" i="17"/>
  <c r="J1082" i="17"/>
  <c r="E1082" i="17"/>
  <c r="J1081" i="17"/>
  <c r="E1081" i="17"/>
  <c r="P1080" i="17"/>
  <c r="O1080" i="17"/>
  <c r="N1080" i="17"/>
  <c r="M1080" i="17"/>
  <c r="L1080" i="17"/>
  <c r="K1080" i="17"/>
  <c r="J1080" i="17"/>
  <c r="E1080" i="17"/>
  <c r="K1079" i="17"/>
  <c r="J1079" i="17"/>
  <c r="E1079" i="17"/>
  <c r="J1078" i="17"/>
  <c r="E1078" i="17"/>
  <c r="J1077" i="17"/>
  <c r="J1076" i="17"/>
  <c r="E1076" i="17"/>
  <c r="J1075" i="17"/>
  <c r="J1074" i="17"/>
  <c r="E1074" i="17"/>
  <c r="J1073" i="17"/>
  <c r="E1073" i="17"/>
  <c r="J1072" i="17"/>
  <c r="E1072" i="17"/>
  <c r="J1071" i="17"/>
  <c r="E1071" i="17"/>
  <c r="J1070" i="17"/>
  <c r="E1070" i="17"/>
  <c r="J1069" i="17"/>
  <c r="E1069" i="17"/>
  <c r="J1068" i="17"/>
  <c r="E1068" i="17"/>
  <c r="J1067" i="17"/>
  <c r="E1067" i="17"/>
  <c r="P1066" i="17"/>
  <c r="O1066" i="17"/>
  <c r="N1066" i="17"/>
  <c r="M1066" i="17"/>
  <c r="L1066" i="17"/>
  <c r="K1066" i="17"/>
  <c r="J1066" i="17"/>
  <c r="E1066" i="17"/>
  <c r="J1065" i="17"/>
  <c r="E1065" i="17"/>
  <c r="J1064" i="17"/>
  <c r="E1064" i="17"/>
  <c r="J1063" i="17"/>
  <c r="E1063" i="17"/>
  <c r="J1062" i="17"/>
  <c r="E1062" i="17"/>
  <c r="K1061" i="17"/>
  <c r="J1061" i="17"/>
  <c r="E1061" i="17"/>
  <c r="K1060" i="17"/>
  <c r="J1060" i="17"/>
  <c r="E1060" i="17"/>
  <c r="K1059" i="17"/>
  <c r="J1059" i="17"/>
  <c r="E1059" i="17"/>
  <c r="K1058" i="17"/>
  <c r="J1058" i="17"/>
  <c r="E1058" i="17"/>
  <c r="K1057" i="17"/>
  <c r="J1057" i="17"/>
  <c r="E1057" i="17"/>
  <c r="K1056" i="17"/>
  <c r="J1056" i="17"/>
  <c r="E1056" i="17"/>
  <c r="K1055" i="17"/>
  <c r="J1055" i="17"/>
  <c r="E1055" i="17"/>
  <c r="K1054" i="17"/>
  <c r="J1054" i="17"/>
  <c r="E1054" i="17"/>
  <c r="P1053" i="17"/>
  <c r="O1053" i="17"/>
  <c r="N1053" i="17"/>
  <c r="M1053" i="17"/>
  <c r="L1053" i="17"/>
  <c r="K1053" i="17"/>
  <c r="J1053" i="17"/>
  <c r="E1053" i="17"/>
  <c r="K1052" i="17"/>
  <c r="J1052" i="17"/>
  <c r="E1052" i="17"/>
  <c r="K1051" i="17"/>
  <c r="J1051" i="17"/>
  <c r="E1051" i="17"/>
  <c r="K1050" i="17"/>
  <c r="J1050" i="17"/>
  <c r="E1050" i="17"/>
  <c r="P1049" i="17"/>
  <c r="O1049" i="17"/>
  <c r="N1049" i="17"/>
  <c r="M1049" i="17"/>
  <c r="L1049" i="17"/>
  <c r="K1049" i="17"/>
  <c r="J1049" i="17"/>
  <c r="E1049" i="17"/>
  <c r="P1048" i="17"/>
  <c r="O1048" i="17"/>
  <c r="N1048" i="17"/>
  <c r="M1048" i="17"/>
  <c r="L1048" i="17"/>
  <c r="K1048" i="17"/>
  <c r="J1048" i="17"/>
  <c r="E1048" i="17"/>
  <c r="K1047" i="17"/>
  <c r="J1047" i="17"/>
  <c r="E1047" i="17"/>
  <c r="K1046" i="17"/>
  <c r="J1046" i="17"/>
  <c r="E1046" i="17"/>
  <c r="K1045" i="17"/>
  <c r="J1045" i="17"/>
  <c r="J1044" i="17"/>
  <c r="E1044" i="17"/>
  <c r="J1043" i="17"/>
  <c r="E1043" i="17"/>
  <c r="P1042" i="17"/>
  <c r="O1042" i="17"/>
  <c r="N1042" i="17"/>
  <c r="M1042" i="17"/>
  <c r="L1042" i="17"/>
  <c r="K1042" i="17"/>
  <c r="J1042" i="17"/>
  <c r="E1042" i="17"/>
  <c r="P1041" i="17"/>
  <c r="O1041" i="17"/>
  <c r="N1041" i="17"/>
  <c r="M1041" i="17"/>
  <c r="L1041" i="17"/>
  <c r="K1041" i="17"/>
  <c r="J1041" i="17"/>
  <c r="E1041" i="17"/>
  <c r="J1040" i="17"/>
  <c r="E1040" i="17"/>
  <c r="J1039" i="17"/>
  <c r="E1039" i="17"/>
  <c r="J1038" i="17"/>
  <c r="E1038" i="17"/>
  <c r="J1037" i="17"/>
  <c r="E1037" i="17"/>
  <c r="J1036" i="17"/>
  <c r="E1036" i="17"/>
  <c r="J1035" i="17"/>
  <c r="E1035" i="17"/>
  <c r="J1034" i="17"/>
  <c r="E1034" i="17"/>
  <c r="J1033" i="17"/>
  <c r="E1033" i="17"/>
  <c r="J1032" i="17"/>
  <c r="E1032" i="17"/>
  <c r="J1031" i="17"/>
  <c r="E1031" i="17"/>
  <c r="J1030" i="17"/>
  <c r="E1030" i="17"/>
  <c r="J1029" i="17"/>
  <c r="E1029" i="17"/>
  <c r="J1028" i="17"/>
  <c r="E1028" i="17"/>
  <c r="J1027" i="17"/>
  <c r="E1027" i="17"/>
  <c r="J1026" i="17"/>
  <c r="E1026" i="17"/>
  <c r="P1025" i="17"/>
  <c r="O1025" i="17"/>
  <c r="N1025" i="17"/>
  <c r="M1025" i="17"/>
  <c r="L1025" i="17"/>
  <c r="K1025" i="17"/>
  <c r="J1025" i="17"/>
  <c r="E1025" i="17"/>
  <c r="J1024" i="17"/>
  <c r="E1024" i="17"/>
  <c r="J1023" i="17"/>
  <c r="E1023" i="17"/>
  <c r="J1022" i="17"/>
  <c r="E1022" i="17"/>
  <c r="J1021" i="17"/>
  <c r="E1021" i="17"/>
  <c r="P1020" i="17"/>
  <c r="O1020" i="17"/>
  <c r="N1020" i="17"/>
  <c r="M1020" i="17"/>
  <c r="L1020" i="17"/>
  <c r="K1020" i="17"/>
  <c r="J1020" i="17"/>
  <c r="E1020" i="17"/>
  <c r="J1019" i="17"/>
  <c r="E1019" i="17"/>
  <c r="P1018" i="17"/>
  <c r="O1018" i="17"/>
  <c r="N1018" i="17"/>
  <c r="M1018" i="17"/>
  <c r="L1018" i="17"/>
  <c r="K1018" i="17"/>
  <c r="J1018" i="17"/>
  <c r="E1018" i="17"/>
  <c r="J1017" i="17"/>
  <c r="E1017" i="17"/>
  <c r="P1016" i="17"/>
  <c r="O1016" i="17"/>
  <c r="N1016" i="17"/>
  <c r="M1016" i="17"/>
  <c r="L1016" i="17"/>
  <c r="K1016" i="17"/>
  <c r="J1016" i="17"/>
  <c r="E1016" i="17"/>
  <c r="J1015" i="17"/>
  <c r="E1015" i="17"/>
  <c r="J1014" i="17"/>
  <c r="E1014" i="17"/>
  <c r="J1013" i="17"/>
  <c r="E1013" i="17"/>
  <c r="J1012" i="17"/>
  <c r="E1012" i="17"/>
  <c r="J1011" i="17"/>
  <c r="E1011" i="17"/>
  <c r="J1010" i="17"/>
  <c r="E1010" i="17"/>
  <c r="J1009" i="17"/>
  <c r="E1009" i="17"/>
  <c r="J1008" i="17"/>
  <c r="E1008" i="17"/>
  <c r="J1007" i="17"/>
  <c r="E1007" i="17"/>
  <c r="J1006" i="17"/>
  <c r="E1006" i="17"/>
  <c r="J1005" i="17"/>
  <c r="E1005" i="17"/>
  <c r="J1004" i="17"/>
  <c r="E1004" i="17"/>
  <c r="J1003" i="17"/>
  <c r="E1003" i="17"/>
  <c r="J1002" i="17"/>
  <c r="E1002" i="17"/>
  <c r="J1001" i="17"/>
  <c r="E1001" i="17"/>
  <c r="J1000" i="17"/>
  <c r="E1000" i="17"/>
  <c r="J999" i="17"/>
  <c r="E999" i="17"/>
  <c r="J998" i="17"/>
  <c r="E998" i="17"/>
  <c r="P997" i="17"/>
  <c r="O997" i="17"/>
  <c r="N997" i="17"/>
  <c r="M997" i="17"/>
  <c r="L997" i="17"/>
  <c r="K997" i="17"/>
  <c r="J997" i="17"/>
  <c r="E997" i="17"/>
  <c r="J996" i="17"/>
  <c r="E996" i="17"/>
  <c r="J995" i="17"/>
  <c r="E995" i="17"/>
  <c r="J994" i="17"/>
  <c r="E994" i="17"/>
  <c r="J993" i="17"/>
  <c r="E993" i="17"/>
  <c r="J992" i="17"/>
  <c r="E992" i="17"/>
  <c r="J991" i="17"/>
  <c r="E991" i="17"/>
  <c r="J990" i="17"/>
  <c r="E990" i="17"/>
  <c r="J989" i="17"/>
  <c r="E989" i="17"/>
  <c r="J988" i="17"/>
  <c r="E988" i="17"/>
  <c r="J987" i="17"/>
  <c r="E987" i="17"/>
  <c r="J986" i="17"/>
  <c r="E986" i="17"/>
  <c r="J985" i="17"/>
  <c r="E985" i="17"/>
  <c r="P984" i="17"/>
  <c r="O984" i="17"/>
  <c r="N984" i="17"/>
  <c r="M984" i="17"/>
  <c r="L984" i="17"/>
  <c r="K984" i="17"/>
  <c r="J984" i="17"/>
  <c r="E984" i="17"/>
  <c r="J983" i="17"/>
  <c r="E983" i="17"/>
  <c r="P982" i="17"/>
  <c r="O982" i="17"/>
  <c r="N982" i="17"/>
  <c r="M982" i="17"/>
  <c r="L982" i="17"/>
  <c r="K982" i="17"/>
  <c r="J982" i="17"/>
  <c r="E982" i="17"/>
  <c r="J981" i="17"/>
  <c r="E981" i="17"/>
  <c r="J980" i="17"/>
  <c r="E980" i="17"/>
  <c r="J979" i="17"/>
  <c r="E979" i="17"/>
  <c r="J978" i="17"/>
  <c r="E978" i="17"/>
  <c r="J977" i="17"/>
  <c r="E977" i="17"/>
  <c r="J976" i="17"/>
  <c r="E976" i="17"/>
  <c r="J975" i="17"/>
  <c r="E975" i="17"/>
  <c r="J974" i="17"/>
  <c r="E974" i="17"/>
  <c r="J973" i="17"/>
  <c r="E973" i="17"/>
  <c r="J972" i="17"/>
  <c r="E972" i="17"/>
  <c r="J971" i="17"/>
  <c r="E971" i="17"/>
  <c r="J970" i="17"/>
  <c r="E970" i="17"/>
  <c r="J969" i="17"/>
  <c r="E969" i="17"/>
  <c r="J968" i="17"/>
  <c r="E968" i="17"/>
  <c r="J967" i="17"/>
  <c r="E967" i="17"/>
  <c r="J966" i="17"/>
  <c r="E966" i="17"/>
  <c r="J965" i="17"/>
  <c r="E965" i="17"/>
  <c r="J964" i="17"/>
  <c r="E964" i="17"/>
  <c r="J963" i="17"/>
  <c r="E963" i="17"/>
  <c r="J962" i="17"/>
  <c r="E962" i="17"/>
  <c r="J961" i="17"/>
  <c r="E961" i="17"/>
  <c r="J960" i="17"/>
  <c r="E960" i="17"/>
  <c r="J959" i="17"/>
  <c r="E959" i="17"/>
  <c r="J958" i="17"/>
  <c r="E958" i="17"/>
  <c r="J957" i="17"/>
  <c r="E957" i="17"/>
  <c r="J956" i="17"/>
  <c r="E956" i="17"/>
  <c r="J955" i="17"/>
  <c r="E955" i="17"/>
  <c r="J954" i="17"/>
  <c r="E954" i="17"/>
  <c r="J953" i="17"/>
  <c r="E953" i="17"/>
  <c r="J952" i="17"/>
  <c r="E952" i="17"/>
  <c r="J951" i="17"/>
  <c r="E951" i="17"/>
  <c r="J950" i="17"/>
  <c r="E950" i="17"/>
  <c r="J949" i="17"/>
  <c r="E949" i="17"/>
  <c r="J948" i="17"/>
  <c r="E948" i="17"/>
  <c r="J947" i="17"/>
  <c r="E947" i="17"/>
  <c r="J946" i="17"/>
  <c r="E946" i="17"/>
  <c r="J945" i="17"/>
  <c r="E945" i="17"/>
  <c r="J944" i="17"/>
  <c r="E944" i="17"/>
  <c r="J943" i="17"/>
  <c r="E943" i="17"/>
  <c r="J942" i="17"/>
  <c r="E942" i="17"/>
  <c r="J941" i="17"/>
  <c r="E941" i="17"/>
  <c r="P940" i="17"/>
  <c r="O940" i="17"/>
  <c r="N940" i="17"/>
  <c r="M940" i="17"/>
  <c r="L940" i="17"/>
  <c r="K940" i="17"/>
  <c r="J940" i="17"/>
  <c r="E940" i="17"/>
  <c r="J939" i="17"/>
  <c r="E939" i="17"/>
  <c r="P938" i="17"/>
  <c r="O938" i="17"/>
  <c r="N938" i="17"/>
  <c r="M938" i="17"/>
  <c r="L938" i="17"/>
  <c r="K938" i="17"/>
  <c r="J938" i="17"/>
  <c r="E938" i="17"/>
  <c r="J937" i="17"/>
  <c r="E937" i="17"/>
  <c r="J936" i="17"/>
  <c r="E936" i="17"/>
  <c r="J935" i="17"/>
  <c r="E935" i="17"/>
  <c r="J934" i="17"/>
  <c r="E934" i="17"/>
  <c r="J933" i="17"/>
  <c r="E933" i="17"/>
  <c r="J932" i="17"/>
  <c r="E932" i="17"/>
  <c r="J931" i="17"/>
  <c r="E931" i="17"/>
  <c r="J930" i="17"/>
  <c r="E930" i="17"/>
  <c r="J929" i="17"/>
  <c r="E929" i="17"/>
  <c r="J928" i="17"/>
  <c r="E928" i="17"/>
  <c r="J927" i="17"/>
  <c r="E927" i="17"/>
  <c r="J926" i="17"/>
  <c r="E926" i="17"/>
  <c r="J925" i="17"/>
  <c r="E925" i="17"/>
  <c r="J924" i="17"/>
  <c r="E924" i="17"/>
  <c r="J923" i="17"/>
  <c r="E923" i="17"/>
  <c r="J922" i="17"/>
  <c r="E922" i="17"/>
  <c r="J921" i="17"/>
  <c r="E921" i="17"/>
  <c r="J920" i="17"/>
  <c r="E920" i="17"/>
  <c r="J919" i="17"/>
  <c r="E919" i="17"/>
  <c r="J918" i="17"/>
  <c r="E918" i="17"/>
  <c r="J917" i="17"/>
  <c r="E917" i="17"/>
  <c r="J916" i="17"/>
  <c r="E916" i="17"/>
  <c r="J915" i="17"/>
  <c r="E915" i="17"/>
  <c r="J914" i="17"/>
  <c r="E914" i="17"/>
  <c r="J913" i="17"/>
  <c r="E913" i="17"/>
  <c r="J912" i="17"/>
  <c r="E912" i="17"/>
  <c r="J911" i="17"/>
  <c r="E911" i="17"/>
  <c r="P910" i="17"/>
  <c r="O910" i="17"/>
  <c r="N910" i="17"/>
  <c r="M910" i="17"/>
  <c r="L910" i="17"/>
  <c r="K910" i="17"/>
  <c r="J910" i="17"/>
  <c r="E910" i="17"/>
  <c r="P909" i="17"/>
  <c r="O909" i="17"/>
  <c r="N909" i="17"/>
  <c r="M909" i="17"/>
  <c r="L909" i="17"/>
  <c r="K909" i="17"/>
  <c r="J909" i="17"/>
  <c r="E909" i="17"/>
  <c r="P908" i="17"/>
  <c r="O908" i="17"/>
  <c r="N908" i="17"/>
  <c r="M908" i="17"/>
  <c r="L908" i="17"/>
  <c r="K908" i="17"/>
  <c r="J908" i="17"/>
  <c r="E908" i="17"/>
  <c r="P907" i="17"/>
  <c r="O907" i="17"/>
  <c r="N907" i="17"/>
  <c r="M907" i="17"/>
  <c r="L907" i="17"/>
  <c r="K907" i="17"/>
  <c r="J907" i="17"/>
  <c r="E907" i="17"/>
  <c r="J906" i="17"/>
  <c r="E906" i="17"/>
  <c r="P905" i="17"/>
  <c r="O905" i="17"/>
  <c r="N905" i="17"/>
  <c r="M905" i="17"/>
  <c r="L905" i="17"/>
  <c r="K905" i="17"/>
  <c r="J905" i="17"/>
  <c r="E905" i="17"/>
  <c r="J904" i="17"/>
  <c r="E904" i="17"/>
  <c r="J903" i="17"/>
  <c r="E903" i="17"/>
  <c r="J902" i="17"/>
  <c r="E902" i="17"/>
  <c r="J901" i="17"/>
  <c r="E901" i="17"/>
  <c r="J900" i="17"/>
  <c r="E900" i="17"/>
  <c r="J899" i="17"/>
  <c r="E899" i="17"/>
  <c r="J898" i="17"/>
  <c r="E898" i="17"/>
  <c r="J897" i="17"/>
  <c r="E897" i="17"/>
  <c r="J896" i="17"/>
  <c r="E896" i="17"/>
  <c r="J895" i="17"/>
  <c r="E895" i="17"/>
  <c r="J894" i="17"/>
  <c r="E894" i="17"/>
  <c r="J893" i="17"/>
  <c r="E893" i="17"/>
  <c r="J892" i="17"/>
  <c r="E892" i="17"/>
  <c r="J891" i="17"/>
  <c r="E891" i="17"/>
  <c r="J890" i="17"/>
  <c r="E890" i="17"/>
  <c r="J889" i="17"/>
  <c r="E889" i="17"/>
  <c r="J888" i="17"/>
  <c r="E888" i="17"/>
  <c r="J887" i="17"/>
  <c r="E887" i="17"/>
  <c r="J886" i="17"/>
  <c r="E886" i="17"/>
  <c r="J885" i="17"/>
  <c r="E885" i="17"/>
  <c r="J884" i="17"/>
  <c r="E884" i="17"/>
  <c r="J883" i="17"/>
  <c r="E883" i="17"/>
  <c r="J882" i="17"/>
  <c r="E882" i="17"/>
  <c r="J881" i="17"/>
  <c r="E881" i="17"/>
  <c r="J880" i="17"/>
  <c r="E880" i="17"/>
  <c r="J879" i="17"/>
  <c r="E879" i="17"/>
  <c r="J878" i="17"/>
  <c r="E878" i="17"/>
  <c r="J877" i="17"/>
  <c r="E877" i="17"/>
  <c r="J876" i="17"/>
  <c r="E876" i="17"/>
  <c r="J875" i="17"/>
  <c r="E875" i="17"/>
  <c r="J874" i="17"/>
  <c r="E874" i="17"/>
  <c r="J873" i="17"/>
  <c r="E873" i="17"/>
  <c r="J872" i="17"/>
  <c r="E872" i="17"/>
  <c r="J871" i="17"/>
  <c r="E871" i="17"/>
  <c r="J870" i="17"/>
  <c r="E870" i="17"/>
  <c r="J869" i="17"/>
  <c r="E869" i="17"/>
  <c r="J868" i="17"/>
  <c r="E868" i="17"/>
  <c r="J867" i="17"/>
  <c r="E867" i="17"/>
  <c r="J866" i="17"/>
  <c r="E866" i="17"/>
  <c r="P865" i="17"/>
  <c r="O865" i="17"/>
  <c r="N865" i="17"/>
  <c r="M865" i="17"/>
  <c r="L865" i="17"/>
  <c r="K865" i="17"/>
  <c r="J865" i="17"/>
  <c r="E865" i="17"/>
  <c r="J864" i="17"/>
  <c r="E864" i="17"/>
  <c r="J863" i="17"/>
  <c r="E863" i="17"/>
  <c r="J862" i="17"/>
  <c r="E862" i="17"/>
  <c r="J861" i="17"/>
  <c r="E861" i="17"/>
  <c r="J860" i="17"/>
  <c r="E860" i="17"/>
  <c r="J859" i="17"/>
  <c r="E859" i="17"/>
  <c r="J858" i="17"/>
  <c r="E858" i="17"/>
  <c r="J857" i="17"/>
  <c r="E857" i="17"/>
  <c r="J856" i="17"/>
  <c r="E856" i="17"/>
  <c r="J855" i="17"/>
  <c r="E855" i="17"/>
  <c r="J854" i="17"/>
  <c r="E854" i="17"/>
  <c r="J853" i="17"/>
  <c r="E853" i="17"/>
  <c r="J852" i="17"/>
  <c r="E852" i="17"/>
  <c r="J851" i="17"/>
  <c r="E851" i="17"/>
  <c r="J850" i="17"/>
  <c r="E850" i="17"/>
  <c r="J849" i="17"/>
  <c r="E849" i="17"/>
  <c r="J848" i="17"/>
  <c r="E848" i="17"/>
  <c r="J847" i="17"/>
  <c r="E847" i="17"/>
  <c r="P846" i="17"/>
  <c r="O846" i="17"/>
  <c r="N846" i="17"/>
  <c r="M846" i="17"/>
  <c r="L846" i="17"/>
  <c r="K846" i="17"/>
  <c r="J846" i="17"/>
  <c r="E846" i="17"/>
  <c r="P845" i="17"/>
  <c r="O845" i="17"/>
  <c r="N845" i="17"/>
  <c r="M845" i="17"/>
  <c r="L845" i="17"/>
  <c r="K845" i="17"/>
  <c r="J845" i="17"/>
  <c r="E845" i="17"/>
  <c r="J844" i="17"/>
  <c r="E844" i="17"/>
  <c r="J843" i="17"/>
  <c r="E843" i="17"/>
  <c r="J842" i="17"/>
  <c r="E842" i="17"/>
  <c r="J841" i="17"/>
  <c r="E841" i="17"/>
  <c r="J840" i="17"/>
  <c r="E840" i="17"/>
  <c r="J839" i="17"/>
  <c r="E839" i="17"/>
  <c r="J838" i="17"/>
  <c r="E838" i="17"/>
  <c r="J837" i="17"/>
  <c r="E837" i="17"/>
  <c r="J836" i="17"/>
  <c r="E836" i="17"/>
  <c r="J835" i="17"/>
  <c r="E835" i="17"/>
  <c r="J834" i="17"/>
  <c r="E834" i="17"/>
  <c r="J833" i="17"/>
  <c r="E833" i="17"/>
  <c r="J832" i="17"/>
  <c r="E832" i="17"/>
  <c r="J831" i="17"/>
  <c r="E831" i="17"/>
  <c r="J830" i="17"/>
  <c r="E830" i="17"/>
  <c r="J829" i="17"/>
  <c r="E829" i="17"/>
  <c r="J828" i="17"/>
  <c r="E828" i="17"/>
  <c r="J827" i="17"/>
  <c r="E827" i="17"/>
  <c r="P826" i="17"/>
  <c r="O826" i="17"/>
  <c r="N826" i="17"/>
  <c r="M826" i="17"/>
  <c r="L826" i="17"/>
  <c r="K826" i="17"/>
  <c r="J826" i="17"/>
  <c r="E826" i="17"/>
  <c r="J825" i="17"/>
  <c r="E825" i="17"/>
  <c r="J824" i="17"/>
  <c r="E824" i="17"/>
  <c r="J823" i="17"/>
  <c r="E823" i="17"/>
  <c r="J822" i="17"/>
  <c r="E822" i="17"/>
  <c r="J821" i="17"/>
  <c r="E821" i="17"/>
  <c r="J820" i="17"/>
  <c r="E820" i="17"/>
  <c r="J819" i="17"/>
  <c r="E819" i="17"/>
  <c r="J818" i="17"/>
  <c r="E818" i="17"/>
  <c r="J817" i="17"/>
  <c r="E817" i="17"/>
  <c r="J816" i="17"/>
  <c r="E816" i="17"/>
  <c r="J815" i="17"/>
  <c r="E815" i="17"/>
  <c r="J814" i="17"/>
  <c r="E814" i="17"/>
  <c r="J813" i="17"/>
  <c r="E813" i="17"/>
  <c r="P812" i="17"/>
  <c r="O812" i="17"/>
  <c r="N812" i="17"/>
  <c r="M812" i="17"/>
  <c r="L812" i="17"/>
  <c r="K812" i="17"/>
  <c r="J812" i="17"/>
  <c r="E812" i="17"/>
  <c r="J811" i="17"/>
  <c r="E811" i="17"/>
  <c r="J810" i="17"/>
  <c r="E810" i="17"/>
  <c r="J809" i="17"/>
  <c r="E809" i="17"/>
  <c r="J808" i="17"/>
  <c r="E808" i="17"/>
  <c r="J807" i="17"/>
  <c r="E807" i="17"/>
  <c r="J806" i="17"/>
  <c r="E806" i="17"/>
  <c r="J805" i="17"/>
  <c r="E805" i="17"/>
  <c r="P804" i="17"/>
  <c r="O804" i="17"/>
  <c r="N804" i="17"/>
  <c r="M804" i="17"/>
  <c r="L804" i="17"/>
  <c r="K804" i="17"/>
  <c r="J804" i="17"/>
  <c r="E804" i="17"/>
  <c r="J803" i="17"/>
  <c r="E803" i="17"/>
  <c r="J802" i="17"/>
  <c r="E802" i="17"/>
  <c r="J801" i="17"/>
  <c r="E801" i="17"/>
  <c r="J800" i="17"/>
  <c r="E800" i="17"/>
  <c r="J799" i="17"/>
  <c r="E799" i="17"/>
  <c r="J798" i="17"/>
  <c r="E798" i="17"/>
  <c r="J797" i="17"/>
  <c r="E797" i="17"/>
  <c r="J796" i="17"/>
  <c r="E796" i="17"/>
  <c r="J795" i="17"/>
  <c r="E795" i="17"/>
  <c r="J794" i="17"/>
  <c r="E794" i="17"/>
  <c r="J793" i="17"/>
  <c r="E793" i="17"/>
  <c r="J792" i="17"/>
  <c r="E792" i="17"/>
  <c r="J791" i="17"/>
  <c r="E791" i="17"/>
  <c r="J790" i="17"/>
  <c r="E790" i="17"/>
  <c r="J789" i="17"/>
  <c r="E789" i="17"/>
  <c r="J788" i="17"/>
  <c r="E788" i="17"/>
  <c r="J787" i="17"/>
  <c r="E787" i="17"/>
  <c r="J786" i="17"/>
  <c r="E786" i="17"/>
  <c r="J785" i="17"/>
  <c r="E785" i="17"/>
  <c r="J784" i="17"/>
  <c r="E784" i="17"/>
  <c r="J783" i="17"/>
  <c r="E783" i="17"/>
  <c r="K782" i="17"/>
  <c r="J782" i="17"/>
  <c r="E782" i="17"/>
  <c r="K781" i="17"/>
  <c r="J781" i="17"/>
  <c r="E781" i="17"/>
  <c r="K780" i="17"/>
  <c r="J780" i="17"/>
  <c r="E780" i="17"/>
  <c r="K779" i="17"/>
  <c r="J779" i="17"/>
  <c r="E779" i="17"/>
  <c r="K778" i="17"/>
  <c r="J778" i="17"/>
  <c r="E778" i="17"/>
  <c r="K777" i="17"/>
  <c r="J777" i="17"/>
  <c r="E777" i="17"/>
  <c r="K776" i="17"/>
  <c r="J776" i="17"/>
  <c r="E776" i="17"/>
  <c r="K775" i="17"/>
  <c r="J775" i="17"/>
  <c r="E775" i="17"/>
  <c r="K774" i="17"/>
  <c r="J774" i="17"/>
  <c r="E774" i="17"/>
  <c r="K773" i="17"/>
  <c r="J773" i="17"/>
  <c r="E773" i="17"/>
  <c r="K772" i="17"/>
  <c r="J772" i="17"/>
  <c r="E772" i="17"/>
  <c r="K771" i="17"/>
  <c r="J771" i="17"/>
  <c r="E771" i="17"/>
  <c r="K770" i="17"/>
  <c r="J770" i="17"/>
  <c r="E770" i="17"/>
  <c r="K769" i="17"/>
  <c r="J769" i="17"/>
  <c r="E769" i="17"/>
  <c r="K768" i="17"/>
  <c r="J768" i="17"/>
  <c r="E768" i="17"/>
  <c r="K767" i="17"/>
  <c r="J767" i="17"/>
  <c r="E767" i="17"/>
  <c r="K766" i="17"/>
  <c r="J766" i="17"/>
  <c r="E766" i="17"/>
  <c r="K765" i="17"/>
  <c r="J765" i="17"/>
  <c r="E765" i="17"/>
  <c r="K764" i="17"/>
  <c r="J764" i="17"/>
  <c r="E764" i="17"/>
  <c r="K763" i="17"/>
  <c r="J763" i="17"/>
  <c r="E763" i="17"/>
  <c r="K762" i="17"/>
  <c r="J762" i="17"/>
  <c r="E762" i="17"/>
  <c r="K761" i="17"/>
  <c r="J761" i="17"/>
  <c r="E761" i="17"/>
  <c r="K760" i="17"/>
  <c r="J760" i="17"/>
  <c r="E760" i="17"/>
  <c r="K759" i="17"/>
  <c r="J759" i="17"/>
  <c r="E759" i="17"/>
  <c r="K758" i="17"/>
  <c r="J758" i="17"/>
  <c r="E758" i="17"/>
  <c r="K757" i="17"/>
  <c r="J757" i="17"/>
  <c r="E757" i="17"/>
  <c r="K756" i="17"/>
  <c r="J756" i="17"/>
  <c r="E756" i="17"/>
  <c r="K755" i="17"/>
  <c r="J755" i="17"/>
  <c r="E755" i="17"/>
  <c r="K754" i="17"/>
  <c r="J754" i="17"/>
  <c r="E754" i="17"/>
  <c r="K753" i="17"/>
  <c r="J753" i="17"/>
  <c r="E753" i="17"/>
  <c r="P752" i="17"/>
  <c r="O752" i="17"/>
  <c r="N752" i="17"/>
  <c r="M752" i="17"/>
  <c r="L752" i="17"/>
  <c r="K752" i="17"/>
  <c r="J752" i="17"/>
  <c r="E752" i="17"/>
  <c r="K751" i="17"/>
  <c r="J751" i="17"/>
  <c r="E751" i="17"/>
  <c r="K750" i="17"/>
  <c r="J750" i="17"/>
  <c r="E750" i="17"/>
  <c r="K749" i="17"/>
  <c r="J749" i="17"/>
  <c r="E749" i="17"/>
  <c r="K748" i="17"/>
  <c r="J748" i="17"/>
  <c r="E748" i="17"/>
  <c r="K747" i="17"/>
  <c r="J747" i="17"/>
  <c r="E747" i="17"/>
  <c r="K746" i="17"/>
  <c r="J746" i="17"/>
  <c r="E746" i="17"/>
  <c r="K745" i="17"/>
  <c r="J745" i="17"/>
  <c r="E745" i="17"/>
  <c r="P744" i="17"/>
  <c r="O744" i="17"/>
  <c r="N744" i="17"/>
  <c r="M744" i="17"/>
  <c r="L744" i="17"/>
  <c r="K744" i="17"/>
  <c r="J744" i="17"/>
  <c r="E744" i="17"/>
  <c r="K743" i="17"/>
  <c r="J743" i="17"/>
  <c r="E743" i="17"/>
  <c r="K742" i="17"/>
  <c r="J742" i="17"/>
  <c r="E742" i="17"/>
  <c r="K741" i="17"/>
  <c r="J741" i="17"/>
  <c r="E741" i="17"/>
  <c r="K740" i="17"/>
  <c r="J740" i="17"/>
  <c r="E740" i="17"/>
  <c r="K739" i="17"/>
  <c r="J739" i="17"/>
  <c r="E739" i="17"/>
  <c r="K738" i="17"/>
  <c r="J738" i="17"/>
  <c r="E738" i="17"/>
  <c r="K737" i="17"/>
  <c r="J737" i="17"/>
  <c r="E737" i="17"/>
  <c r="K736" i="17"/>
  <c r="J736" i="17"/>
  <c r="E736" i="17"/>
  <c r="K735" i="17"/>
  <c r="J735" i="17"/>
  <c r="E735" i="17"/>
  <c r="K734" i="17"/>
  <c r="J734" i="17"/>
  <c r="E734" i="17"/>
  <c r="K733" i="17"/>
  <c r="J733" i="17"/>
  <c r="E733" i="17"/>
  <c r="K732" i="17"/>
  <c r="J732" i="17"/>
  <c r="E732" i="17"/>
  <c r="K731" i="17"/>
  <c r="J731" i="17"/>
  <c r="E731" i="17"/>
  <c r="K730" i="17"/>
  <c r="J730" i="17"/>
  <c r="E730" i="17"/>
  <c r="K729" i="17"/>
  <c r="J729" i="17"/>
  <c r="E729" i="17"/>
  <c r="K728" i="17"/>
  <c r="J728" i="17"/>
  <c r="E728" i="17"/>
  <c r="K727" i="17"/>
  <c r="J727" i="17"/>
  <c r="E727" i="17"/>
  <c r="K726" i="17"/>
  <c r="J726" i="17"/>
  <c r="E726" i="17"/>
  <c r="P725" i="17"/>
  <c r="O725" i="17"/>
  <c r="N725" i="17"/>
  <c r="M725" i="17"/>
  <c r="L725" i="17"/>
  <c r="K725" i="17"/>
  <c r="J725" i="17"/>
  <c r="E725" i="17"/>
  <c r="K724" i="17"/>
  <c r="J724" i="17"/>
  <c r="E724" i="17"/>
  <c r="P723" i="17"/>
  <c r="O723" i="17"/>
  <c r="N723" i="17"/>
  <c r="M723" i="17"/>
  <c r="L723" i="17"/>
  <c r="K723" i="17"/>
  <c r="J723" i="17"/>
  <c r="E723" i="17"/>
  <c r="K722" i="17"/>
  <c r="J722" i="17"/>
  <c r="E722" i="17"/>
  <c r="P721" i="17"/>
  <c r="O721" i="17"/>
  <c r="N721" i="17"/>
  <c r="M721" i="17"/>
  <c r="L721" i="17"/>
  <c r="K721" i="17"/>
  <c r="J721" i="17"/>
  <c r="E721" i="17"/>
  <c r="K720" i="17"/>
  <c r="J720" i="17"/>
  <c r="E720" i="17"/>
  <c r="K719" i="17"/>
  <c r="J719" i="17"/>
  <c r="E719" i="17"/>
  <c r="P718" i="17"/>
  <c r="O718" i="17"/>
  <c r="N718" i="17"/>
  <c r="M718" i="17"/>
  <c r="L718" i="17"/>
  <c r="K718" i="17"/>
  <c r="J718" i="17"/>
  <c r="E718" i="17"/>
  <c r="K717" i="17"/>
  <c r="J717" i="17"/>
  <c r="E717" i="17"/>
  <c r="K716" i="17"/>
  <c r="J716" i="17"/>
  <c r="E716" i="17"/>
  <c r="K715" i="17"/>
  <c r="J715" i="17"/>
  <c r="E715" i="17"/>
  <c r="K714" i="17"/>
  <c r="J714" i="17"/>
  <c r="E714" i="17"/>
  <c r="K713" i="17"/>
  <c r="J713" i="17"/>
  <c r="E713" i="17"/>
  <c r="P712" i="17"/>
  <c r="O712" i="17"/>
  <c r="N712" i="17"/>
  <c r="M712" i="17"/>
  <c r="L712" i="17"/>
  <c r="K712" i="17"/>
  <c r="J712" i="17"/>
  <c r="E712" i="17"/>
  <c r="K711" i="17"/>
  <c r="J711" i="17"/>
  <c r="E711" i="17"/>
  <c r="K710" i="17"/>
  <c r="J710" i="17"/>
  <c r="E710" i="17"/>
  <c r="K709" i="17"/>
  <c r="J709" i="17"/>
  <c r="E709" i="17"/>
  <c r="K708" i="17"/>
  <c r="J708" i="17"/>
  <c r="E708" i="17"/>
  <c r="K707" i="17"/>
  <c r="J707" i="17"/>
  <c r="E707" i="17"/>
  <c r="K706" i="17"/>
  <c r="J706" i="17"/>
  <c r="E706" i="17"/>
  <c r="K705" i="17"/>
  <c r="J705" i="17"/>
  <c r="E705" i="17"/>
  <c r="P704" i="17"/>
  <c r="O704" i="17"/>
  <c r="N704" i="17"/>
  <c r="M704" i="17"/>
  <c r="L704" i="17"/>
  <c r="K704" i="17"/>
  <c r="J704" i="17"/>
  <c r="E704" i="17"/>
  <c r="K703" i="17"/>
  <c r="J703" i="17"/>
  <c r="E703" i="17"/>
  <c r="K702" i="17"/>
  <c r="J702" i="17"/>
  <c r="E702" i="17"/>
  <c r="K701" i="17"/>
  <c r="J701" i="17"/>
  <c r="E701" i="17"/>
  <c r="K700" i="17"/>
  <c r="J700" i="17"/>
  <c r="E700" i="17"/>
  <c r="K699" i="17"/>
  <c r="J699" i="17"/>
  <c r="E699" i="17"/>
  <c r="K698" i="17"/>
  <c r="J698" i="17"/>
  <c r="E698" i="17"/>
  <c r="K697" i="17"/>
  <c r="J697" i="17"/>
  <c r="E697" i="17"/>
  <c r="K696" i="17"/>
  <c r="J696" i="17"/>
  <c r="E696" i="17"/>
  <c r="K695" i="17"/>
  <c r="J695" i="17"/>
  <c r="E695" i="17"/>
  <c r="K694" i="17"/>
  <c r="J694" i="17"/>
  <c r="E694" i="17"/>
  <c r="K693" i="17"/>
  <c r="J693" i="17"/>
  <c r="E693" i="17"/>
  <c r="K692" i="17"/>
  <c r="J692" i="17"/>
  <c r="E692" i="17"/>
  <c r="K691" i="17"/>
  <c r="J691" i="17"/>
  <c r="E691" i="17"/>
  <c r="K690" i="17"/>
  <c r="J690" i="17"/>
  <c r="E690" i="17"/>
  <c r="K689" i="17"/>
  <c r="J689" i="17"/>
  <c r="E689" i="17"/>
  <c r="K688" i="17"/>
  <c r="J688" i="17"/>
  <c r="E688" i="17"/>
  <c r="K687" i="17"/>
  <c r="J687" i="17"/>
  <c r="E687" i="17"/>
  <c r="K686" i="17"/>
  <c r="J686" i="17"/>
  <c r="E686" i="17"/>
  <c r="K685" i="17"/>
  <c r="J685" i="17"/>
  <c r="E685" i="17"/>
  <c r="K684" i="17"/>
  <c r="J684" i="17"/>
  <c r="E684" i="17"/>
  <c r="K683" i="17"/>
  <c r="J683" i="17"/>
  <c r="E683" i="17"/>
  <c r="K682" i="17"/>
  <c r="J682" i="17"/>
  <c r="E682" i="17"/>
  <c r="K681" i="17"/>
  <c r="J681" i="17"/>
  <c r="E681" i="17"/>
  <c r="K680" i="17"/>
  <c r="J680" i="17"/>
  <c r="E680" i="17"/>
  <c r="K679" i="17"/>
  <c r="J679" i="17"/>
  <c r="E679" i="17"/>
  <c r="K678" i="17"/>
  <c r="J678" i="17"/>
  <c r="E678" i="17"/>
  <c r="K677" i="17"/>
  <c r="J677" i="17"/>
  <c r="E677" i="17"/>
  <c r="K676" i="17"/>
  <c r="J676" i="17"/>
  <c r="E676" i="17"/>
  <c r="K675" i="17"/>
  <c r="J675" i="17"/>
  <c r="E675" i="17"/>
  <c r="K674" i="17"/>
  <c r="J674" i="17"/>
  <c r="E674" i="17"/>
  <c r="K673" i="17"/>
  <c r="J673" i="17"/>
  <c r="E673" i="17"/>
  <c r="K672" i="17"/>
  <c r="J672" i="17"/>
  <c r="E672" i="17"/>
  <c r="K671" i="17"/>
  <c r="J671" i="17"/>
  <c r="E671" i="17"/>
  <c r="K670" i="17"/>
  <c r="J670" i="17"/>
  <c r="E670" i="17"/>
  <c r="K669" i="17"/>
  <c r="J669" i="17"/>
  <c r="E669" i="17"/>
  <c r="K668" i="17"/>
  <c r="J668" i="17"/>
  <c r="E668" i="17"/>
  <c r="K667" i="17"/>
  <c r="J667" i="17"/>
  <c r="E667" i="17"/>
  <c r="K666" i="17"/>
  <c r="J666" i="17"/>
  <c r="E666" i="17"/>
  <c r="K665" i="17"/>
  <c r="J665" i="17"/>
  <c r="E665" i="17"/>
  <c r="K664" i="17"/>
  <c r="J664" i="17"/>
  <c r="E664" i="17"/>
  <c r="K663" i="17"/>
  <c r="J663" i="17"/>
  <c r="E663" i="17"/>
  <c r="K662" i="17"/>
  <c r="J662" i="17"/>
  <c r="E662" i="17"/>
  <c r="K661" i="17"/>
  <c r="J661" i="17"/>
  <c r="E661" i="17"/>
  <c r="K660" i="17"/>
  <c r="J660" i="17"/>
  <c r="E660" i="17"/>
  <c r="K659" i="17"/>
  <c r="J659" i="17"/>
  <c r="E659" i="17"/>
  <c r="K658" i="17"/>
  <c r="J658" i="17"/>
  <c r="E658" i="17"/>
  <c r="K657" i="17"/>
  <c r="J657" i="17"/>
  <c r="E657" i="17"/>
  <c r="K656" i="17"/>
  <c r="J656" i="17"/>
  <c r="E656" i="17"/>
  <c r="K655" i="17"/>
  <c r="J655" i="17"/>
  <c r="E655" i="17"/>
  <c r="K654" i="17"/>
  <c r="J654" i="17"/>
  <c r="E654" i="17"/>
  <c r="K653" i="17"/>
  <c r="J653" i="17"/>
  <c r="E653" i="17"/>
  <c r="K652" i="17"/>
  <c r="J652" i="17"/>
  <c r="E652" i="17"/>
  <c r="K651" i="17"/>
  <c r="J651" i="17"/>
  <c r="E651" i="17"/>
  <c r="K650" i="17"/>
  <c r="J650" i="17"/>
  <c r="E650" i="17"/>
  <c r="K649" i="17"/>
  <c r="J649" i="17"/>
  <c r="E649" i="17"/>
  <c r="K648" i="17"/>
  <c r="J648" i="17"/>
  <c r="E648" i="17"/>
  <c r="P647" i="17"/>
  <c r="O647" i="17"/>
  <c r="N647" i="17"/>
  <c r="M647" i="17"/>
  <c r="L647" i="17"/>
  <c r="K647" i="17"/>
  <c r="J647" i="17"/>
  <c r="E647" i="17"/>
  <c r="K646" i="17"/>
  <c r="J646" i="17"/>
  <c r="E646" i="17"/>
  <c r="K645" i="17"/>
  <c r="J645" i="17"/>
  <c r="E645" i="17"/>
  <c r="K644" i="17"/>
  <c r="J644" i="17"/>
  <c r="E644" i="17"/>
  <c r="K643" i="17"/>
  <c r="J643" i="17"/>
  <c r="E643" i="17"/>
  <c r="K642" i="17"/>
  <c r="J642" i="17"/>
  <c r="E642" i="17"/>
  <c r="K641" i="17"/>
  <c r="J641" i="17"/>
  <c r="E641" i="17"/>
  <c r="K640" i="17"/>
  <c r="J640" i="17"/>
  <c r="E640" i="17"/>
  <c r="K639" i="17"/>
  <c r="J639" i="17"/>
  <c r="E639" i="17"/>
  <c r="K638" i="17"/>
  <c r="J638" i="17"/>
  <c r="E638" i="17"/>
  <c r="K637" i="17"/>
  <c r="J637" i="17"/>
  <c r="E637" i="17"/>
  <c r="K636" i="17"/>
  <c r="J636" i="17"/>
  <c r="E636" i="17"/>
  <c r="K635" i="17"/>
  <c r="J635" i="17"/>
  <c r="E635" i="17"/>
  <c r="K634" i="17"/>
  <c r="J634" i="17"/>
  <c r="E634" i="17"/>
  <c r="K633" i="17"/>
  <c r="J633" i="17"/>
  <c r="E633" i="17"/>
  <c r="K632" i="17"/>
  <c r="J632" i="17"/>
  <c r="E632" i="17"/>
  <c r="P631" i="17"/>
  <c r="O631" i="17"/>
  <c r="N631" i="17"/>
  <c r="M631" i="17"/>
  <c r="L631" i="17"/>
  <c r="K631" i="17"/>
  <c r="J631" i="17"/>
  <c r="E631" i="17"/>
  <c r="K630" i="17"/>
  <c r="J630" i="17"/>
  <c r="E630" i="17"/>
  <c r="K629" i="17"/>
  <c r="J629" i="17"/>
  <c r="E629" i="17"/>
  <c r="K628" i="17"/>
  <c r="J628" i="17"/>
  <c r="E628" i="17"/>
  <c r="K627" i="17"/>
  <c r="J627" i="17"/>
  <c r="E627" i="17"/>
  <c r="K626" i="17"/>
  <c r="J626" i="17"/>
  <c r="E626" i="17"/>
  <c r="P625" i="17"/>
  <c r="O625" i="17"/>
  <c r="N625" i="17"/>
  <c r="M625" i="17"/>
  <c r="L625" i="17"/>
  <c r="K625" i="17"/>
  <c r="J625" i="17"/>
  <c r="E625" i="17"/>
  <c r="K624" i="17"/>
  <c r="J624" i="17"/>
  <c r="E624" i="17"/>
  <c r="K623" i="17"/>
  <c r="J623" i="17"/>
  <c r="E623" i="17"/>
  <c r="P622" i="17"/>
  <c r="O622" i="17"/>
  <c r="N622" i="17"/>
  <c r="M622" i="17"/>
  <c r="L622" i="17"/>
  <c r="K622" i="17"/>
  <c r="J622" i="17"/>
  <c r="E622" i="17"/>
  <c r="K621" i="17"/>
  <c r="J621" i="17"/>
  <c r="E621" i="17"/>
  <c r="K620" i="17"/>
  <c r="J620" i="17"/>
  <c r="E620" i="17"/>
  <c r="K619" i="17"/>
  <c r="J619" i="17"/>
  <c r="E619" i="17"/>
  <c r="P618" i="17"/>
  <c r="O618" i="17"/>
  <c r="N618" i="17"/>
  <c r="M618" i="17"/>
  <c r="L618" i="17"/>
  <c r="K618" i="17"/>
  <c r="J618" i="17"/>
  <c r="E618" i="17"/>
  <c r="K617" i="17"/>
  <c r="J617" i="17"/>
  <c r="E617" i="17"/>
  <c r="K616" i="17"/>
  <c r="J616" i="17"/>
  <c r="E616" i="17"/>
  <c r="K615" i="17"/>
  <c r="J615" i="17"/>
  <c r="E615" i="17"/>
  <c r="K614" i="17"/>
  <c r="J614" i="17"/>
  <c r="E614" i="17"/>
  <c r="K613" i="17"/>
  <c r="J613" i="17"/>
  <c r="E613" i="17"/>
  <c r="K612" i="17"/>
  <c r="J612" i="17"/>
  <c r="E612" i="17"/>
  <c r="K611" i="17"/>
  <c r="J611" i="17"/>
  <c r="E611" i="17"/>
  <c r="K610" i="17"/>
  <c r="J610" i="17"/>
  <c r="E610" i="17"/>
  <c r="K609" i="17"/>
  <c r="J609" i="17"/>
  <c r="E609" i="17"/>
  <c r="K608" i="17"/>
  <c r="J608" i="17"/>
  <c r="E608" i="17"/>
  <c r="K607" i="17"/>
  <c r="J607" i="17"/>
  <c r="E607" i="17"/>
  <c r="K606" i="17"/>
  <c r="J606" i="17"/>
  <c r="E606" i="17"/>
  <c r="K605" i="17"/>
  <c r="J605" i="17"/>
  <c r="E605" i="17"/>
  <c r="K604" i="17"/>
  <c r="J604" i="17"/>
  <c r="E604" i="17"/>
  <c r="K603" i="17"/>
  <c r="J603" i="17"/>
  <c r="E603" i="17"/>
  <c r="K602" i="17"/>
  <c r="J602" i="17"/>
  <c r="E602" i="17"/>
  <c r="K601" i="17"/>
  <c r="J601" i="17"/>
  <c r="E601" i="17"/>
  <c r="K600" i="17"/>
  <c r="J600" i="17"/>
  <c r="E600" i="17"/>
  <c r="K599" i="17"/>
  <c r="J599" i="17"/>
  <c r="E599" i="17"/>
  <c r="K598" i="17"/>
  <c r="J598" i="17"/>
  <c r="E598" i="17"/>
  <c r="K597" i="17"/>
  <c r="J597" i="17"/>
  <c r="E597" i="17"/>
  <c r="K596" i="17"/>
  <c r="J596" i="17"/>
  <c r="E596" i="17"/>
  <c r="K595" i="17"/>
  <c r="J595" i="17"/>
  <c r="E595" i="17"/>
  <c r="K594" i="17"/>
  <c r="J594" i="17"/>
  <c r="E594" i="17"/>
  <c r="K593" i="17"/>
  <c r="J593" i="17"/>
  <c r="E593" i="17"/>
  <c r="P592" i="17"/>
  <c r="O592" i="17"/>
  <c r="N592" i="17"/>
  <c r="M592" i="17"/>
  <c r="L592" i="17"/>
  <c r="K592" i="17"/>
  <c r="J592" i="17"/>
  <c r="E592" i="17"/>
  <c r="K591" i="17"/>
  <c r="J591" i="17"/>
  <c r="E591" i="17"/>
  <c r="K590" i="17"/>
  <c r="J590" i="17"/>
  <c r="E590" i="17"/>
  <c r="P589" i="17"/>
  <c r="O589" i="17"/>
  <c r="N589" i="17"/>
  <c r="M589" i="17"/>
  <c r="L589" i="17"/>
  <c r="K589" i="17"/>
  <c r="J589" i="17"/>
  <c r="E589" i="17"/>
  <c r="K588" i="17"/>
  <c r="J588" i="17"/>
  <c r="E588" i="17"/>
  <c r="K587" i="17"/>
  <c r="J587" i="17"/>
  <c r="E587" i="17"/>
  <c r="K586" i="17"/>
  <c r="J586" i="17"/>
  <c r="E586" i="17"/>
  <c r="K585" i="17"/>
  <c r="J585" i="17"/>
  <c r="E585" i="17"/>
  <c r="K584" i="17"/>
  <c r="J584" i="17"/>
  <c r="E584" i="17"/>
  <c r="K583" i="17"/>
  <c r="J583" i="17"/>
  <c r="E583" i="17"/>
  <c r="K582" i="17"/>
  <c r="J582" i="17"/>
  <c r="E582" i="17"/>
  <c r="J581" i="17"/>
  <c r="E581" i="17"/>
  <c r="P580" i="17"/>
  <c r="O580" i="17"/>
  <c r="N580" i="17"/>
  <c r="M580" i="17"/>
  <c r="L580" i="17"/>
  <c r="K580" i="17"/>
  <c r="J580" i="17"/>
  <c r="E580" i="17"/>
  <c r="P579" i="17"/>
  <c r="O579" i="17"/>
  <c r="N579" i="17"/>
  <c r="M579" i="17"/>
  <c r="L579" i="17"/>
  <c r="K579" i="17"/>
  <c r="J579" i="17"/>
  <c r="E579" i="17"/>
  <c r="K578" i="17"/>
  <c r="J578" i="17"/>
  <c r="E578" i="17"/>
  <c r="J577" i="17"/>
  <c r="E577" i="17"/>
  <c r="K576" i="17"/>
  <c r="J576" i="17"/>
  <c r="E576" i="17"/>
  <c r="J575" i="17"/>
  <c r="E575" i="17"/>
  <c r="J574" i="17"/>
  <c r="E574" i="17"/>
  <c r="P573" i="17"/>
  <c r="O573" i="17"/>
  <c r="N573" i="17"/>
  <c r="M573" i="17"/>
  <c r="L573" i="17"/>
  <c r="K573" i="17"/>
  <c r="J573" i="17"/>
  <c r="E573" i="17"/>
  <c r="J572" i="17"/>
  <c r="E572" i="17"/>
  <c r="K571" i="17"/>
  <c r="J571" i="17"/>
  <c r="E571" i="17"/>
  <c r="J570" i="17"/>
  <c r="E570" i="17"/>
  <c r="K569" i="17"/>
  <c r="J569" i="17"/>
  <c r="E569" i="17"/>
  <c r="K568" i="17"/>
  <c r="J568" i="17"/>
  <c r="E568" i="17"/>
  <c r="K567" i="17"/>
  <c r="J567" i="17"/>
  <c r="E567" i="17"/>
  <c r="J566" i="17"/>
  <c r="E566" i="17"/>
  <c r="J565" i="17"/>
  <c r="E565" i="17"/>
  <c r="K564" i="17"/>
  <c r="J564" i="17"/>
  <c r="E564" i="17"/>
  <c r="K563" i="17"/>
  <c r="J563" i="17"/>
  <c r="E563" i="17"/>
  <c r="J562" i="17"/>
  <c r="E562" i="17"/>
  <c r="J561" i="17"/>
  <c r="E561" i="17"/>
  <c r="J560" i="17"/>
  <c r="E560" i="17"/>
  <c r="K559" i="17"/>
  <c r="J559" i="17"/>
  <c r="E559" i="17"/>
  <c r="J558" i="17"/>
  <c r="E558" i="17"/>
  <c r="J557" i="17"/>
  <c r="E557" i="17"/>
  <c r="J556" i="17"/>
  <c r="E556" i="17"/>
  <c r="K555" i="17"/>
  <c r="J555" i="17"/>
  <c r="E555" i="17"/>
  <c r="J554" i="17"/>
  <c r="E554" i="17"/>
  <c r="J553" i="17"/>
  <c r="E553" i="17"/>
  <c r="P552" i="17"/>
  <c r="O552" i="17"/>
  <c r="N552" i="17"/>
  <c r="M552" i="17"/>
  <c r="L552" i="17"/>
  <c r="K552" i="17"/>
  <c r="J552" i="17"/>
  <c r="E552" i="17"/>
  <c r="K551" i="17"/>
  <c r="J551" i="17"/>
  <c r="E551" i="17"/>
  <c r="K550" i="17"/>
  <c r="J550" i="17"/>
  <c r="E550" i="17"/>
  <c r="J549" i="17"/>
  <c r="E549" i="17"/>
  <c r="J548" i="17"/>
  <c r="E548" i="17"/>
  <c r="K547" i="17"/>
  <c r="J547" i="17"/>
  <c r="E547" i="17"/>
  <c r="K546" i="17"/>
  <c r="J546" i="17"/>
  <c r="E546" i="17"/>
  <c r="J545" i="17"/>
  <c r="E545" i="17"/>
  <c r="K544" i="17"/>
  <c r="J544" i="17"/>
  <c r="E544" i="17"/>
  <c r="P543" i="17"/>
  <c r="O543" i="17"/>
  <c r="N543" i="17"/>
  <c r="M543" i="17"/>
  <c r="L543" i="17"/>
  <c r="K543" i="17"/>
  <c r="J543" i="17"/>
  <c r="E543" i="17"/>
  <c r="K542" i="17"/>
  <c r="J542" i="17"/>
  <c r="E542" i="17"/>
  <c r="P541" i="17"/>
  <c r="O541" i="17"/>
  <c r="N541" i="17"/>
  <c r="M541" i="17"/>
  <c r="L541" i="17"/>
  <c r="K541" i="17"/>
  <c r="J541" i="17"/>
  <c r="E541" i="17"/>
  <c r="K540" i="17"/>
  <c r="J540" i="17"/>
  <c r="E540" i="17"/>
  <c r="J539" i="17"/>
  <c r="E539" i="17"/>
  <c r="J538" i="17"/>
  <c r="E538" i="17"/>
  <c r="J537" i="17"/>
  <c r="E537" i="17"/>
  <c r="K536" i="17"/>
  <c r="J536" i="17"/>
  <c r="E536" i="17"/>
  <c r="J535" i="17"/>
  <c r="E535" i="17"/>
  <c r="J534" i="17"/>
  <c r="E534" i="17"/>
  <c r="J533" i="17"/>
  <c r="E533" i="17"/>
  <c r="J532" i="17"/>
  <c r="E532" i="17"/>
  <c r="K531" i="17"/>
  <c r="J531" i="17"/>
  <c r="E531" i="17"/>
  <c r="J530" i="17"/>
  <c r="E530" i="17"/>
  <c r="K529" i="17"/>
  <c r="J529" i="17"/>
  <c r="E529" i="17"/>
  <c r="J528" i="17"/>
  <c r="E528" i="17"/>
  <c r="L527" i="17"/>
  <c r="K527" i="17"/>
  <c r="M527" i="17" s="1"/>
  <c r="J527" i="17"/>
  <c r="E527" i="17"/>
  <c r="J526" i="17"/>
  <c r="E526" i="17"/>
  <c r="J525" i="17"/>
  <c r="E525" i="17"/>
  <c r="J524" i="17"/>
  <c r="E524" i="17"/>
  <c r="K523" i="17"/>
  <c r="J523" i="17"/>
  <c r="E523" i="17"/>
  <c r="P522" i="17"/>
  <c r="O522" i="17"/>
  <c r="N522" i="17"/>
  <c r="M522" i="17"/>
  <c r="L522" i="17"/>
  <c r="K522" i="17"/>
  <c r="J522" i="17"/>
  <c r="E522" i="17"/>
  <c r="K521" i="17"/>
  <c r="J521" i="17"/>
  <c r="E521" i="17"/>
  <c r="J520" i="17"/>
  <c r="E520" i="17"/>
  <c r="J519" i="17"/>
  <c r="E519" i="17"/>
  <c r="K518" i="17"/>
  <c r="J518" i="17"/>
  <c r="E518" i="17"/>
  <c r="K517" i="17"/>
  <c r="J517" i="17"/>
  <c r="E517" i="17"/>
  <c r="J516" i="17"/>
  <c r="E516" i="17"/>
  <c r="J515" i="17"/>
  <c r="E515" i="17"/>
  <c r="K514" i="17"/>
  <c r="J514" i="17"/>
  <c r="E514" i="17"/>
  <c r="P513" i="17"/>
  <c r="O513" i="17"/>
  <c r="N513" i="17"/>
  <c r="M513" i="17"/>
  <c r="L513" i="17"/>
  <c r="K513" i="17"/>
  <c r="J513" i="17"/>
  <c r="E513" i="17"/>
  <c r="J512" i="17"/>
  <c r="E512" i="17"/>
  <c r="J511" i="17"/>
  <c r="E511" i="17"/>
  <c r="J510" i="17"/>
  <c r="E510" i="17"/>
  <c r="P509" i="17"/>
  <c r="O509" i="17"/>
  <c r="N509" i="17"/>
  <c r="M509" i="17"/>
  <c r="L509" i="17"/>
  <c r="K509" i="17"/>
  <c r="J509" i="17"/>
  <c r="E509" i="17"/>
  <c r="L508" i="17"/>
  <c r="M508" i="17" s="1"/>
  <c r="K508" i="17"/>
  <c r="J508" i="17"/>
  <c r="E508" i="17"/>
  <c r="P507" i="17"/>
  <c r="O507" i="17"/>
  <c r="N507" i="17"/>
  <c r="M507" i="17"/>
  <c r="L507" i="17"/>
  <c r="K507" i="17"/>
  <c r="J507" i="17"/>
  <c r="E507" i="17"/>
  <c r="J506" i="17"/>
  <c r="E506" i="17"/>
  <c r="P505" i="17"/>
  <c r="O505" i="17"/>
  <c r="N505" i="17"/>
  <c r="M505" i="17"/>
  <c r="L505" i="17"/>
  <c r="K505" i="17"/>
  <c r="J505" i="17"/>
  <c r="E505" i="17"/>
  <c r="K504" i="17"/>
  <c r="J504" i="17"/>
  <c r="E504" i="17"/>
  <c r="J503" i="17"/>
  <c r="E503" i="17"/>
  <c r="L502" i="17"/>
  <c r="K502" i="17"/>
  <c r="J502" i="17"/>
  <c r="E502" i="17"/>
  <c r="J501" i="17"/>
  <c r="E501" i="17"/>
  <c r="J500" i="17"/>
  <c r="E500" i="17"/>
  <c r="J499" i="17"/>
  <c r="E499" i="17"/>
  <c r="K498" i="17"/>
  <c r="J498" i="17"/>
  <c r="E498" i="17"/>
  <c r="K497" i="17"/>
  <c r="L497" i="17" s="1"/>
  <c r="J497" i="17"/>
  <c r="E497" i="17"/>
  <c r="J496" i="17"/>
  <c r="E496" i="17"/>
  <c r="J495" i="17"/>
  <c r="E495" i="17"/>
  <c r="K494" i="17"/>
  <c r="J494" i="17"/>
  <c r="E494" i="17"/>
  <c r="J493" i="17"/>
  <c r="E493" i="17"/>
  <c r="J492" i="17"/>
  <c r="E492" i="17"/>
  <c r="J491" i="17"/>
  <c r="E491" i="17"/>
  <c r="J490" i="17"/>
  <c r="K490" i="17" s="1"/>
  <c r="E490" i="17"/>
  <c r="J489" i="17"/>
  <c r="K489" i="17" s="1"/>
  <c r="L489" i="17" s="1"/>
  <c r="E489" i="17"/>
  <c r="J488" i="17"/>
  <c r="K488" i="17" s="1"/>
  <c r="E488" i="17"/>
  <c r="J487" i="17"/>
  <c r="K487" i="17" s="1"/>
  <c r="E487" i="17"/>
  <c r="J486" i="17"/>
  <c r="K486" i="17" s="1"/>
  <c r="E486" i="17"/>
  <c r="J485" i="17"/>
  <c r="K485" i="17" s="1"/>
  <c r="L485" i="17" s="1"/>
  <c r="E485" i="17"/>
  <c r="J484" i="17"/>
  <c r="K484" i="17" s="1"/>
  <c r="E484" i="17"/>
  <c r="J483" i="17"/>
  <c r="K483" i="17" s="1"/>
  <c r="E483" i="17"/>
  <c r="J482" i="17"/>
  <c r="K482" i="17" s="1"/>
  <c r="E482" i="17"/>
  <c r="J481" i="17"/>
  <c r="K481" i="17" s="1"/>
  <c r="L481" i="17" s="1"/>
  <c r="E481" i="17"/>
  <c r="J480" i="17"/>
  <c r="K480" i="17" s="1"/>
  <c r="E480" i="17"/>
  <c r="J479" i="17"/>
  <c r="K479" i="17" s="1"/>
  <c r="E479" i="17"/>
  <c r="J478" i="17"/>
  <c r="K478" i="17" s="1"/>
  <c r="E478" i="17"/>
  <c r="J477" i="17"/>
  <c r="K477" i="17" s="1"/>
  <c r="L477" i="17" s="1"/>
  <c r="E477" i="17"/>
  <c r="J476" i="17"/>
  <c r="K476" i="17" s="1"/>
  <c r="E476" i="17"/>
  <c r="J475" i="17"/>
  <c r="K475" i="17" s="1"/>
  <c r="E475" i="17"/>
  <c r="J474" i="17"/>
  <c r="K474" i="17" s="1"/>
  <c r="E474" i="17"/>
  <c r="J473" i="17"/>
  <c r="K473" i="17" s="1"/>
  <c r="L473" i="17" s="1"/>
  <c r="E473" i="17"/>
  <c r="J472" i="17"/>
  <c r="K472" i="17" s="1"/>
  <c r="E472" i="17"/>
  <c r="J471" i="17"/>
  <c r="K471" i="17" s="1"/>
  <c r="E471" i="17"/>
  <c r="J470" i="17"/>
  <c r="K470" i="17" s="1"/>
  <c r="E470" i="17"/>
  <c r="J469" i="17"/>
  <c r="K469" i="17" s="1"/>
  <c r="L469" i="17" s="1"/>
  <c r="E469" i="17"/>
  <c r="J468" i="17"/>
  <c r="K468" i="17" s="1"/>
  <c r="E468" i="17"/>
  <c r="J467" i="17"/>
  <c r="K467" i="17" s="1"/>
  <c r="E467" i="17"/>
  <c r="J466" i="17"/>
  <c r="K466" i="17" s="1"/>
  <c r="E466" i="17"/>
  <c r="J465" i="17"/>
  <c r="K465" i="17" s="1"/>
  <c r="L465" i="17" s="1"/>
  <c r="E465" i="17"/>
  <c r="J464" i="17"/>
  <c r="K464" i="17" s="1"/>
  <c r="E464" i="17"/>
  <c r="J463" i="17"/>
  <c r="K463" i="17" s="1"/>
  <c r="E463" i="17"/>
  <c r="J462" i="17"/>
  <c r="K462" i="17" s="1"/>
  <c r="E462" i="17"/>
  <c r="J461" i="17"/>
  <c r="K461" i="17" s="1"/>
  <c r="L461" i="17" s="1"/>
  <c r="E461" i="17"/>
  <c r="J460" i="17"/>
  <c r="K460" i="17" s="1"/>
  <c r="E460" i="17"/>
  <c r="J459" i="17"/>
  <c r="K459" i="17" s="1"/>
  <c r="E459" i="17"/>
  <c r="J458" i="17"/>
  <c r="K458" i="17" s="1"/>
  <c r="E458" i="17"/>
  <c r="J457" i="17"/>
  <c r="K457" i="17" s="1"/>
  <c r="L457" i="17" s="1"/>
  <c r="E457" i="17"/>
  <c r="J456" i="17"/>
  <c r="K456" i="17" s="1"/>
  <c r="E456" i="17"/>
  <c r="J455" i="17"/>
  <c r="K455" i="17" s="1"/>
  <c r="E455" i="17"/>
  <c r="J454" i="17"/>
  <c r="K454" i="17" s="1"/>
  <c r="E454" i="17"/>
  <c r="J453" i="17"/>
  <c r="K453" i="17" s="1"/>
  <c r="L453" i="17" s="1"/>
  <c r="E453" i="17"/>
  <c r="J452" i="17"/>
  <c r="K452" i="17" s="1"/>
  <c r="E452" i="17"/>
  <c r="J451" i="17"/>
  <c r="K451" i="17" s="1"/>
  <c r="E451" i="17"/>
  <c r="J450" i="17"/>
  <c r="K450" i="17" s="1"/>
  <c r="E450" i="17"/>
  <c r="J449" i="17"/>
  <c r="K449" i="17" s="1"/>
  <c r="L449" i="17" s="1"/>
  <c r="E449" i="17"/>
  <c r="J448" i="17"/>
  <c r="K448" i="17" s="1"/>
  <c r="E448" i="17"/>
  <c r="J447" i="17"/>
  <c r="K447" i="17" s="1"/>
  <c r="E447" i="17"/>
  <c r="J446" i="17"/>
  <c r="K446" i="17" s="1"/>
  <c r="E446" i="17"/>
  <c r="J445" i="17"/>
  <c r="K445" i="17" s="1"/>
  <c r="L445" i="17" s="1"/>
  <c r="E445" i="17"/>
  <c r="J444" i="17"/>
  <c r="K444" i="17" s="1"/>
  <c r="E444" i="17"/>
  <c r="J443" i="17"/>
  <c r="K443" i="17" s="1"/>
  <c r="E443" i="17"/>
  <c r="J442" i="17"/>
  <c r="K442" i="17" s="1"/>
  <c r="E442" i="17"/>
  <c r="J441" i="17"/>
  <c r="K441" i="17" s="1"/>
  <c r="L441" i="17" s="1"/>
  <c r="E441" i="17"/>
  <c r="J440" i="17"/>
  <c r="K440" i="17" s="1"/>
  <c r="E440" i="17"/>
  <c r="J439" i="17"/>
  <c r="K439" i="17" s="1"/>
  <c r="E439" i="17"/>
  <c r="J438" i="17"/>
  <c r="K438" i="17" s="1"/>
  <c r="E438" i="17"/>
  <c r="J437" i="17"/>
  <c r="K437" i="17" s="1"/>
  <c r="L437" i="17" s="1"/>
  <c r="E437" i="17"/>
  <c r="J436" i="17"/>
  <c r="K436" i="17" s="1"/>
  <c r="E436" i="17"/>
  <c r="J435" i="17"/>
  <c r="K435" i="17" s="1"/>
  <c r="E435" i="17"/>
  <c r="J434" i="17"/>
  <c r="K434" i="17" s="1"/>
  <c r="E434" i="17"/>
  <c r="J433" i="17"/>
  <c r="K433" i="17" s="1"/>
  <c r="L433" i="17" s="1"/>
  <c r="E433" i="17"/>
  <c r="J432" i="17"/>
  <c r="K432" i="17" s="1"/>
  <c r="E432" i="17"/>
  <c r="J431" i="17"/>
  <c r="K431" i="17" s="1"/>
  <c r="E431" i="17"/>
  <c r="J430" i="17"/>
  <c r="K430" i="17" s="1"/>
  <c r="E430" i="17"/>
  <c r="J429" i="17"/>
  <c r="K429" i="17" s="1"/>
  <c r="L429" i="17" s="1"/>
  <c r="E429" i="17"/>
  <c r="J428" i="17"/>
  <c r="K428" i="17" s="1"/>
  <c r="E428" i="17"/>
  <c r="J427" i="17"/>
  <c r="K427" i="17" s="1"/>
  <c r="E427" i="17"/>
  <c r="J426" i="17"/>
  <c r="K426" i="17" s="1"/>
  <c r="E426" i="17"/>
  <c r="P425" i="17"/>
  <c r="O425" i="17"/>
  <c r="N425" i="17"/>
  <c r="M425" i="17"/>
  <c r="L425" i="17"/>
  <c r="K425" i="17"/>
  <c r="J425" i="17"/>
  <c r="E425" i="17"/>
  <c r="J424" i="17"/>
  <c r="K424" i="17" s="1"/>
  <c r="L424" i="17" s="1"/>
  <c r="E424" i="17"/>
  <c r="J423" i="17"/>
  <c r="K423" i="17" s="1"/>
  <c r="E423" i="17"/>
  <c r="J422" i="17"/>
  <c r="K422" i="17" s="1"/>
  <c r="E422" i="17"/>
  <c r="J421" i="17"/>
  <c r="K421" i="17" s="1"/>
  <c r="E421" i="17"/>
  <c r="J420" i="17"/>
  <c r="K420" i="17" s="1"/>
  <c r="L420" i="17" s="1"/>
  <c r="E420" i="17"/>
  <c r="J419" i="17"/>
  <c r="K419" i="17" s="1"/>
  <c r="E419" i="17"/>
  <c r="J418" i="17"/>
  <c r="K418" i="17" s="1"/>
  <c r="E418" i="17"/>
  <c r="J417" i="17"/>
  <c r="K417" i="17" s="1"/>
  <c r="E417" i="17"/>
  <c r="J416" i="17"/>
  <c r="K416" i="17" s="1"/>
  <c r="L416" i="17" s="1"/>
  <c r="E416" i="17"/>
  <c r="J415" i="17"/>
  <c r="K415" i="17" s="1"/>
  <c r="E415" i="17"/>
  <c r="P414" i="17"/>
  <c r="O414" i="17"/>
  <c r="N414" i="17"/>
  <c r="M414" i="17"/>
  <c r="L414" i="17"/>
  <c r="K414" i="17"/>
  <c r="J414" i="17"/>
  <c r="E414" i="17"/>
  <c r="J413" i="17"/>
  <c r="K413" i="17" s="1"/>
  <c r="E413" i="17"/>
  <c r="J412" i="17"/>
  <c r="E412" i="17"/>
  <c r="J411" i="17"/>
  <c r="E411" i="17"/>
  <c r="J410" i="17"/>
  <c r="E410" i="17"/>
  <c r="J409" i="17"/>
  <c r="E409" i="17"/>
  <c r="J408" i="17"/>
  <c r="E408" i="17"/>
  <c r="J407" i="17"/>
  <c r="E407" i="17"/>
  <c r="J406" i="17"/>
  <c r="E406" i="17"/>
  <c r="J405" i="17"/>
  <c r="E405" i="17"/>
  <c r="J404" i="17"/>
  <c r="E404" i="17"/>
  <c r="J403" i="17"/>
  <c r="E403" i="17"/>
  <c r="J402" i="17"/>
  <c r="E402" i="17"/>
  <c r="J401" i="17"/>
  <c r="E401" i="17"/>
  <c r="J400" i="17"/>
  <c r="E400" i="17"/>
  <c r="J399" i="17"/>
  <c r="E399" i="17"/>
  <c r="P398" i="17"/>
  <c r="O398" i="17"/>
  <c r="N398" i="17"/>
  <c r="M398" i="17"/>
  <c r="L398" i="17"/>
  <c r="K398" i="17"/>
  <c r="J398" i="17"/>
  <c r="E398" i="17"/>
  <c r="J397" i="17"/>
  <c r="E397" i="17"/>
  <c r="J396" i="17"/>
  <c r="E396" i="17"/>
  <c r="J395" i="17"/>
  <c r="E395" i="17"/>
  <c r="J394" i="17"/>
  <c r="E394" i="17"/>
  <c r="J393" i="17"/>
  <c r="E393" i="17"/>
  <c r="J392" i="17"/>
  <c r="E392" i="17"/>
  <c r="J391" i="17"/>
  <c r="E391" i="17"/>
  <c r="J390" i="17"/>
  <c r="E390" i="17"/>
  <c r="J389" i="17"/>
  <c r="E389" i="17"/>
  <c r="J388" i="17"/>
  <c r="E388" i="17"/>
  <c r="J387" i="17"/>
  <c r="E387" i="17"/>
  <c r="J386" i="17"/>
  <c r="E386" i="17"/>
  <c r="J385" i="17"/>
  <c r="E385" i="17"/>
  <c r="J384" i="17"/>
  <c r="E384" i="17"/>
  <c r="J383" i="17"/>
  <c r="E383" i="17"/>
  <c r="J382" i="17"/>
  <c r="E382" i="17"/>
  <c r="J381" i="17"/>
  <c r="E381" i="17"/>
  <c r="J380" i="17"/>
  <c r="E380" i="17"/>
  <c r="J379" i="17"/>
  <c r="E379" i="17"/>
  <c r="J378" i="17"/>
  <c r="E378" i="17"/>
  <c r="J377" i="17"/>
  <c r="E377" i="17"/>
  <c r="J376" i="17"/>
  <c r="E376" i="17"/>
  <c r="J375" i="17"/>
  <c r="E375" i="17"/>
  <c r="J374" i="17"/>
  <c r="E374" i="17"/>
  <c r="J373" i="17"/>
  <c r="E373" i="17"/>
  <c r="J372" i="17"/>
  <c r="E372" i="17"/>
  <c r="J371" i="17"/>
  <c r="E371" i="17"/>
  <c r="P370" i="17"/>
  <c r="O370" i="17"/>
  <c r="N370" i="17"/>
  <c r="M370" i="17"/>
  <c r="L370" i="17"/>
  <c r="K370" i="17"/>
  <c r="J370" i="17"/>
  <c r="E370" i="17"/>
  <c r="P369" i="17"/>
  <c r="O369" i="17"/>
  <c r="N369" i="17"/>
  <c r="M369" i="17"/>
  <c r="L369" i="17"/>
  <c r="K369" i="17"/>
  <c r="J369" i="17"/>
  <c r="E369" i="17"/>
  <c r="J368" i="17"/>
  <c r="E368" i="17"/>
  <c r="J367" i="17"/>
  <c r="E367" i="17"/>
  <c r="J366" i="17"/>
  <c r="E366" i="17"/>
  <c r="J365" i="17"/>
  <c r="E365" i="17"/>
  <c r="J364" i="17"/>
  <c r="E364" i="17"/>
  <c r="J363" i="17"/>
  <c r="E363" i="17"/>
  <c r="J362" i="17"/>
  <c r="E362" i="17"/>
  <c r="P361" i="17"/>
  <c r="O361" i="17"/>
  <c r="N361" i="17"/>
  <c r="M361" i="17"/>
  <c r="L361" i="17"/>
  <c r="K361" i="17"/>
  <c r="J361" i="17"/>
  <c r="E361" i="17"/>
  <c r="J360" i="17"/>
  <c r="E360" i="17"/>
  <c r="J359" i="17"/>
  <c r="E359" i="17"/>
  <c r="J358" i="17"/>
  <c r="E358" i="17"/>
  <c r="J357" i="17"/>
  <c r="E357" i="17"/>
  <c r="P356" i="17"/>
  <c r="O356" i="17"/>
  <c r="N356" i="17"/>
  <c r="M356" i="17"/>
  <c r="L356" i="17"/>
  <c r="K356" i="17"/>
  <c r="J356" i="17"/>
  <c r="E356" i="17"/>
  <c r="J355" i="17"/>
  <c r="E355" i="17"/>
  <c r="J354" i="17"/>
  <c r="E354" i="17"/>
  <c r="J353" i="17"/>
  <c r="E353" i="17"/>
  <c r="J352" i="17"/>
  <c r="E352" i="17"/>
  <c r="J351" i="17"/>
  <c r="E351" i="17"/>
  <c r="J350" i="17"/>
  <c r="E350" i="17"/>
  <c r="J349" i="17"/>
  <c r="E349" i="17"/>
  <c r="J348" i="17"/>
  <c r="E348" i="17"/>
  <c r="J347" i="17"/>
  <c r="E347" i="17"/>
  <c r="P346" i="17"/>
  <c r="O346" i="17"/>
  <c r="N346" i="17"/>
  <c r="M346" i="17"/>
  <c r="L346" i="17"/>
  <c r="K346" i="17"/>
  <c r="J346" i="17"/>
  <c r="E346" i="17"/>
  <c r="J345" i="17"/>
  <c r="E345" i="17"/>
  <c r="J344" i="17"/>
  <c r="E344" i="17"/>
  <c r="J343" i="17"/>
  <c r="E343" i="17"/>
  <c r="J342" i="17"/>
  <c r="E342" i="17"/>
  <c r="J341" i="17"/>
  <c r="E341" i="17"/>
  <c r="J340" i="17"/>
  <c r="E340" i="17"/>
  <c r="J339" i="17"/>
  <c r="E339" i="17"/>
  <c r="J338" i="17"/>
  <c r="E338" i="17"/>
  <c r="J337" i="17"/>
  <c r="E337" i="17"/>
  <c r="J336" i="17"/>
  <c r="E336" i="17"/>
  <c r="J335" i="17"/>
  <c r="E335" i="17"/>
  <c r="J334" i="17"/>
  <c r="E334" i="17"/>
  <c r="J333" i="17"/>
  <c r="E333" i="17"/>
  <c r="J332" i="17"/>
  <c r="E332" i="17"/>
  <c r="J331" i="17"/>
  <c r="E331" i="17"/>
  <c r="J330" i="17"/>
  <c r="E330" i="17"/>
  <c r="J329" i="17"/>
  <c r="E329" i="17"/>
  <c r="J328" i="17"/>
  <c r="E328" i="17"/>
  <c r="J327" i="17"/>
  <c r="E327" i="17"/>
  <c r="J326" i="17"/>
  <c r="E326" i="17"/>
  <c r="J325" i="17"/>
  <c r="E325" i="17"/>
  <c r="J324" i="17"/>
  <c r="E324" i="17"/>
  <c r="J323" i="17"/>
  <c r="E323" i="17"/>
  <c r="J322" i="17"/>
  <c r="E322" i="17"/>
  <c r="J321" i="17"/>
  <c r="E321" i="17"/>
  <c r="J320" i="17"/>
  <c r="E320" i="17"/>
  <c r="J319" i="17"/>
  <c r="E319" i="17"/>
  <c r="J318" i="17"/>
  <c r="E318" i="17"/>
  <c r="J317" i="17"/>
  <c r="E317" i="17"/>
  <c r="J316" i="17"/>
  <c r="E316" i="17"/>
  <c r="J315" i="17"/>
  <c r="E315" i="17"/>
  <c r="J314" i="17"/>
  <c r="E314" i="17"/>
  <c r="J313" i="17"/>
  <c r="E313" i="17"/>
  <c r="P312" i="17"/>
  <c r="O312" i="17"/>
  <c r="N312" i="17"/>
  <c r="M312" i="17"/>
  <c r="L312" i="17"/>
  <c r="K312" i="17"/>
  <c r="J312" i="17"/>
  <c r="E312" i="17"/>
  <c r="J311" i="17"/>
  <c r="E311" i="17"/>
  <c r="J310" i="17"/>
  <c r="E310" i="17"/>
  <c r="J309" i="17"/>
  <c r="E309" i="17"/>
  <c r="J308" i="17"/>
  <c r="E308" i="17"/>
  <c r="J307" i="17"/>
  <c r="E307" i="17"/>
  <c r="J306" i="17"/>
  <c r="E306" i="17"/>
  <c r="J305" i="17"/>
  <c r="E305" i="17"/>
  <c r="J304" i="17"/>
  <c r="E304" i="17"/>
  <c r="J303" i="17"/>
  <c r="E303" i="17"/>
  <c r="J302" i="17"/>
  <c r="E302" i="17"/>
  <c r="J301" i="17"/>
  <c r="E301" i="17"/>
  <c r="P300" i="17"/>
  <c r="O300" i="17"/>
  <c r="N300" i="17"/>
  <c r="M300" i="17"/>
  <c r="L300" i="17"/>
  <c r="K300" i="17"/>
  <c r="J300" i="17"/>
  <c r="E300" i="17"/>
  <c r="J299" i="17"/>
  <c r="E299" i="17"/>
  <c r="P298" i="17"/>
  <c r="O298" i="17"/>
  <c r="N298" i="17"/>
  <c r="M298" i="17"/>
  <c r="L298" i="17"/>
  <c r="K298" i="17"/>
  <c r="J298" i="17"/>
  <c r="E298" i="17"/>
  <c r="J297" i="17"/>
  <c r="E297" i="17"/>
  <c r="J296" i="17"/>
  <c r="E296" i="17"/>
  <c r="J295" i="17"/>
  <c r="E295" i="17"/>
  <c r="J294" i="17"/>
  <c r="E294" i="17"/>
  <c r="J293" i="17"/>
  <c r="E293" i="17"/>
  <c r="J292" i="17"/>
  <c r="E292" i="17"/>
  <c r="J291" i="17"/>
  <c r="E291" i="17"/>
  <c r="J290" i="17"/>
  <c r="E290" i="17"/>
  <c r="J289" i="17"/>
  <c r="E289" i="17"/>
  <c r="J288" i="17"/>
  <c r="E288" i="17"/>
  <c r="J287" i="17"/>
  <c r="E287" i="17"/>
  <c r="J286" i="17"/>
  <c r="E286" i="17"/>
  <c r="J285" i="17"/>
  <c r="E285" i="17"/>
  <c r="P284" i="17"/>
  <c r="O284" i="17"/>
  <c r="N284" i="17"/>
  <c r="M284" i="17"/>
  <c r="L284" i="17"/>
  <c r="K284" i="17"/>
  <c r="J284" i="17"/>
  <c r="E284" i="17"/>
  <c r="J283" i="17"/>
  <c r="E283" i="17"/>
  <c r="P282" i="17"/>
  <c r="O282" i="17"/>
  <c r="N282" i="17"/>
  <c r="M282" i="17"/>
  <c r="L282" i="17"/>
  <c r="K282" i="17"/>
  <c r="J282" i="17"/>
  <c r="E282" i="17"/>
  <c r="J281" i="17"/>
  <c r="E281" i="17"/>
  <c r="J280" i="17"/>
  <c r="E280" i="17"/>
  <c r="J279" i="17"/>
  <c r="E279" i="17"/>
  <c r="J278" i="17"/>
  <c r="E278" i="17"/>
  <c r="J277" i="17"/>
  <c r="E277" i="17"/>
  <c r="P276" i="17"/>
  <c r="O276" i="17"/>
  <c r="N276" i="17"/>
  <c r="M276" i="17"/>
  <c r="L276" i="17"/>
  <c r="K276" i="17"/>
  <c r="J276" i="17"/>
  <c r="E276" i="17"/>
  <c r="J275" i="17"/>
  <c r="E275" i="17"/>
  <c r="J274" i="17"/>
  <c r="E274" i="17"/>
  <c r="J273" i="17"/>
  <c r="E273" i="17"/>
  <c r="J272" i="17"/>
  <c r="E272" i="17"/>
  <c r="J271" i="17"/>
  <c r="E271" i="17"/>
  <c r="P270" i="17"/>
  <c r="O270" i="17"/>
  <c r="N270" i="17"/>
  <c r="M270" i="17"/>
  <c r="L270" i="17"/>
  <c r="K270" i="17"/>
  <c r="J270" i="17"/>
  <c r="E270" i="17"/>
  <c r="P269" i="17"/>
  <c r="O269" i="17"/>
  <c r="N269" i="17"/>
  <c r="M269" i="17"/>
  <c r="L269" i="17"/>
  <c r="K269" i="17"/>
  <c r="J269" i="17"/>
  <c r="E269" i="17"/>
  <c r="J268" i="17"/>
  <c r="E268" i="17"/>
  <c r="P267" i="17"/>
  <c r="O267" i="17"/>
  <c r="N267" i="17"/>
  <c r="M267" i="17"/>
  <c r="L267" i="17"/>
  <c r="K267" i="17"/>
  <c r="J267" i="17"/>
  <c r="E267" i="17"/>
  <c r="J266" i="17"/>
  <c r="E266" i="17"/>
  <c r="J265" i="17"/>
  <c r="E265" i="17"/>
  <c r="J264" i="17"/>
  <c r="E264" i="17"/>
  <c r="P263" i="17"/>
  <c r="O263" i="17"/>
  <c r="N263" i="17"/>
  <c r="M263" i="17"/>
  <c r="L263" i="17"/>
  <c r="K263" i="17"/>
  <c r="J263" i="17"/>
  <c r="E263" i="17"/>
  <c r="J262" i="17"/>
  <c r="E262" i="17"/>
  <c r="J261" i="17"/>
  <c r="E261" i="17"/>
  <c r="J260" i="17"/>
  <c r="E260" i="17"/>
  <c r="J259" i="17"/>
  <c r="E259" i="17"/>
  <c r="J258" i="17"/>
  <c r="E258" i="17"/>
  <c r="J257" i="17"/>
  <c r="E257" i="17"/>
  <c r="J256" i="17"/>
  <c r="E256" i="17"/>
  <c r="J255" i="17"/>
  <c r="E255" i="17"/>
  <c r="P254" i="17"/>
  <c r="O254" i="17"/>
  <c r="N254" i="17"/>
  <c r="M254" i="17"/>
  <c r="L254" i="17"/>
  <c r="K254" i="17"/>
  <c r="J254" i="17"/>
  <c r="E254" i="17"/>
  <c r="P253" i="17"/>
  <c r="O253" i="17"/>
  <c r="N253" i="17"/>
  <c r="M253" i="17"/>
  <c r="L253" i="17"/>
  <c r="K253" i="17"/>
  <c r="J253" i="17"/>
  <c r="E253" i="17"/>
  <c r="J252" i="17"/>
  <c r="E252" i="17"/>
  <c r="J251" i="17"/>
  <c r="E251" i="17"/>
  <c r="J250" i="17"/>
  <c r="E250" i="17"/>
  <c r="J249" i="17"/>
  <c r="E249" i="17"/>
  <c r="J248" i="17"/>
  <c r="E248" i="17"/>
  <c r="J247" i="17"/>
  <c r="E247" i="17"/>
  <c r="J246" i="17"/>
  <c r="E246" i="17"/>
  <c r="J245" i="17"/>
  <c r="E245" i="17"/>
  <c r="J244" i="17"/>
  <c r="E244" i="17"/>
  <c r="J243" i="17"/>
  <c r="E243" i="17"/>
  <c r="P242" i="17"/>
  <c r="O242" i="17"/>
  <c r="N242" i="17"/>
  <c r="M242" i="17"/>
  <c r="L242" i="17"/>
  <c r="K242" i="17"/>
  <c r="J242" i="17"/>
  <c r="E242" i="17"/>
  <c r="J241" i="17"/>
  <c r="E241" i="17"/>
  <c r="J240" i="17"/>
  <c r="E240" i="17"/>
  <c r="J239" i="17"/>
  <c r="E239" i="17"/>
  <c r="J238" i="17"/>
  <c r="E238" i="17"/>
  <c r="P237" i="17"/>
  <c r="O237" i="17"/>
  <c r="N237" i="17"/>
  <c r="M237" i="17"/>
  <c r="L237" i="17"/>
  <c r="K237" i="17"/>
  <c r="J237" i="17"/>
  <c r="E237" i="17"/>
  <c r="J236" i="17"/>
  <c r="E236" i="17"/>
  <c r="P235" i="17"/>
  <c r="O235" i="17"/>
  <c r="N235" i="17"/>
  <c r="M235" i="17"/>
  <c r="L235" i="17"/>
  <c r="K235" i="17"/>
  <c r="J235" i="17"/>
  <c r="E235" i="17"/>
  <c r="J234" i="17"/>
  <c r="E234" i="17"/>
  <c r="J233" i="17"/>
  <c r="E233" i="17"/>
  <c r="J232" i="17"/>
  <c r="E232" i="17"/>
  <c r="J231" i="17"/>
  <c r="E231" i="17"/>
  <c r="P230" i="17"/>
  <c r="O230" i="17"/>
  <c r="N230" i="17"/>
  <c r="M230" i="17"/>
  <c r="L230" i="17"/>
  <c r="K230" i="17"/>
  <c r="J230" i="17"/>
  <c r="E230" i="17"/>
  <c r="J229" i="17"/>
  <c r="E229" i="17"/>
  <c r="P228" i="17"/>
  <c r="O228" i="17"/>
  <c r="N228" i="17"/>
  <c r="M228" i="17"/>
  <c r="L228" i="17"/>
  <c r="K228" i="17"/>
  <c r="J228" i="17"/>
  <c r="E228" i="17"/>
  <c r="J227" i="17"/>
  <c r="E227" i="17"/>
  <c r="J226" i="17"/>
  <c r="E226" i="17"/>
  <c r="J225" i="17"/>
  <c r="E225" i="17"/>
  <c r="J224" i="17"/>
  <c r="E224" i="17"/>
  <c r="J223" i="17"/>
  <c r="E223" i="17"/>
  <c r="P222" i="17"/>
  <c r="O222" i="17"/>
  <c r="N222" i="17"/>
  <c r="M222" i="17"/>
  <c r="L222" i="17"/>
  <c r="K222" i="17"/>
  <c r="J222" i="17"/>
  <c r="E222" i="17"/>
  <c r="J221" i="17"/>
  <c r="E221" i="17"/>
  <c r="J220" i="17"/>
  <c r="E220" i="17"/>
  <c r="P219" i="17"/>
  <c r="O219" i="17"/>
  <c r="N219" i="17"/>
  <c r="M219" i="17"/>
  <c r="L219" i="17"/>
  <c r="K219" i="17"/>
  <c r="J219" i="17"/>
  <c r="E219" i="17"/>
  <c r="J218" i="17"/>
  <c r="E218" i="17"/>
  <c r="J217" i="17"/>
  <c r="E217" i="17"/>
  <c r="J216" i="17"/>
  <c r="E216" i="17"/>
  <c r="P215" i="17"/>
  <c r="O215" i="17"/>
  <c r="N215" i="17"/>
  <c r="M215" i="17"/>
  <c r="L215" i="17"/>
  <c r="K215" i="17"/>
  <c r="J215" i="17"/>
  <c r="E215" i="17"/>
  <c r="J214" i="17"/>
  <c r="E214" i="17"/>
  <c r="P213" i="17"/>
  <c r="O213" i="17"/>
  <c r="N213" i="17"/>
  <c r="M213" i="17"/>
  <c r="L213" i="17"/>
  <c r="K213" i="17"/>
  <c r="J213" i="17"/>
  <c r="E213" i="17"/>
  <c r="J212" i="17"/>
  <c r="E212" i="17"/>
  <c r="P211" i="17"/>
  <c r="O211" i="17"/>
  <c r="N211" i="17"/>
  <c r="M211" i="17"/>
  <c r="L211" i="17"/>
  <c r="K211" i="17"/>
  <c r="J211" i="17"/>
  <c r="E211" i="17"/>
  <c r="P210" i="17"/>
  <c r="O210" i="17"/>
  <c r="N210" i="17"/>
  <c r="M210" i="17"/>
  <c r="L210" i="17"/>
  <c r="K210" i="17"/>
  <c r="J210" i="17"/>
  <c r="E210" i="17"/>
  <c r="J209" i="17"/>
  <c r="E209" i="17"/>
  <c r="P208" i="17"/>
  <c r="O208" i="17"/>
  <c r="N208" i="17"/>
  <c r="M208" i="17"/>
  <c r="L208" i="17"/>
  <c r="K208" i="17"/>
  <c r="J208" i="17"/>
  <c r="E208" i="17"/>
  <c r="J207" i="17"/>
  <c r="E207" i="17"/>
  <c r="J206" i="17"/>
  <c r="E206" i="17"/>
  <c r="J205" i="17"/>
  <c r="E205" i="17"/>
  <c r="J204" i="17"/>
  <c r="E204" i="17"/>
  <c r="J203" i="17"/>
  <c r="E203" i="17"/>
  <c r="P202" i="17"/>
  <c r="O202" i="17"/>
  <c r="N202" i="17"/>
  <c r="M202" i="17"/>
  <c r="L202" i="17"/>
  <c r="K202" i="17"/>
  <c r="J202" i="17"/>
  <c r="E202" i="17"/>
  <c r="J201" i="17"/>
  <c r="E201" i="17"/>
  <c r="J200" i="17"/>
  <c r="E200" i="17"/>
  <c r="J199" i="17"/>
  <c r="E199" i="17"/>
  <c r="P198" i="17"/>
  <c r="O198" i="17"/>
  <c r="N198" i="17"/>
  <c r="M198" i="17"/>
  <c r="L198" i="17"/>
  <c r="K198" i="17"/>
  <c r="J198" i="17"/>
  <c r="E198" i="17"/>
  <c r="J197" i="17"/>
  <c r="E197" i="17"/>
  <c r="P196" i="17"/>
  <c r="O196" i="17"/>
  <c r="N196" i="17"/>
  <c r="M196" i="17"/>
  <c r="L196" i="17"/>
  <c r="K196" i="17"/>
  <c r="J196" i="17"/>
  <c r="E196" i="17"/>
  <c r="J195" i="17"/>
  <c r="E195" i="17"/>
  <c r="P194" i="17"/>
  <c r="O194" i="17"/>
  <c r="N194" i="17"/>
  <c r="M194" i="17"/>
  <c r="L194" i="17"/>
  <c r="K194" i="17"/>
  <c r="J194" i="17"/>
  <c r="E194" i="17"/>
  <c r="J193" i="17"/>
  <c r="E193" i="17"/>
  <c r="J192" i="17"/>
  <c r="E192" i="17"/>
  <c r="J191" i="17"/>
  <c r="E191" i="17"/>
  <c r="J190" i="17"/>
  <c r="E190" i="17"/>
  <c r="P189" i="17"/>
  <c r="O189" i="17"/>
  <c r="N189" i="17"/>
  <c r="M189" i="17"/>
  <c r="L189" i="17"/>
  <c r="K189" i="17"/>
  <c r="J189" i="17"/>
  <c r="E189" i="17"/>
  <c r="J188" i="17"/>
  <c r="E188" i="17"/>
  <c r="J187" i="17"/>
  <c r="E187" i="17"/>
  <c r="J186" i="17"/>
  <c r="E186" i="17"/>
  <c r="J185" i="17"/>
  <c r="E185" i="17"/>
  <c r="P184" i="17"/>
  <c r="O184" i="17"/>
  <c r="N184" i="17"/>
  <c r="M184" i="17"/>
  <c r="L184" i="17"/>
  <c r="K184" i="17"/>
  <c r="J184" i="17"/>
  <c r="E184" i="17"/>
  <c r="J183" i="17"/>
  <c r="E183" i="17"/>
  <c r="J182" i="17"/>
  <c r="E182" i="17"/>
  <c r="J181" i="17"/>
  <c r="E181" i="17"/>
  <c r="J180" i="17"/>
  <c r="E180" i="17"/>
  <c r="J179" i="17"/>
  <c r="E179" i="17"/>
  <c r="P178" i="17"/>
  <c r="O178" i="17"/>
  <c r="N178" i="17"/>
  <c r="M178" i="17"/>
  <c r="L178" i="17"/>
  <c r="K178" i="17"/>
  <c r="J178" i="17"/>
  <c r="E178" i="17"/>
  <c r="J177" i="17"/>
  <c r="E177" i="17"/>
  <c r="J176" i="17"/>
  <c r="E176" i="17"/>
  <c r="J175" i="17"/>
  <c r="E175" i="17"/>
  <c r="J174" i="17"/>
  <c r="E174" i="17"/>
  <c r="J173" i="17"/>
  <c r="E173" i="17"/>
  <c r="J172" i="17"/>
  <c r="E172" i="17"/>
  <c r="P171" i="17"/>
  <c r="O171" i="17"/>
  <c r="N171" i="17"/>
  <c r="M171" i="17"/>
  <c r="L171" i="17"/>
  <c r="K171" i="17"/>
  <c r="J171" i="17"/>
  <c r="E171" i="17"/>
  <c r="J170" i="17"/>
  <c r="E170" i="17"/>
  <c r="P169" i="17"/>
  <c r="O169" i="17"/>
  <c r="N169" i="17"/>
  <c r="M169" i="17"/>
  <c r="L169" i="17"/>
  <c r="K169" i="17"/>
  <c r="J169" i="17"/>
  <c r="E169" i="17"/>
  <c r="J168" i="17"/>
  <c r="E168" i="17"/>
  <c r="J167" i="17"/>
  <c r="E167" i="17"/>
  <c r="J166" i="17"/>
  <c r="E166" i="17"/>
  <c r="J165" i="17"/>
  <c r="E165" i="17"/>
  <c r="J164" i="17"/>
  <c r="E164" i="17"/>
  <c r="J163" i="17"/>
  <c r="E163" i="17"/>
  <c r="P162" i="17"/>
  <c r="O162" i="17"/>
  <c r="N162" i="17"/>
  <c r="M162" i="17"/>
  <c r="L162" i="17"/>
  <c r="K162" i="17"/>
  <c r="J162" i="17"/>
  <c r="E162" i="17"/>
  <c r="P161" i="17"/>
  <c r="O161" i="17"/>
  <c r="N161" i="17"/>
  <c r="M161" i="17"/>
  <c r="L161" i="17"/>
  <c r="K161" i="17"/>
  <c r="J161" i="17"/>
  <c r="E161" i="17"/>
  <c r="J160" i="17"/>
  <c r="E160" i="17"/>
  <c r="J159" i="17"/>
  <c r="E159" i="17"/>
  <c r="P158" i="17"/>
  <c r="O158" i="17"/>
  <c r="N158" i="17"/>
  <c r="M158" i="17"/>
  <c r="L158" i="17"/>
  <c r="K158" i="17"/>
  <c r="J158" i="17"/>
  <c r="E158" i="17"/>
  <c r="P157" i="17"/>
  <c r="O157" i="17"/>
  <c r="N157" i="17"/>
  <c r="M157" i="17"/>
  <c r="L157" i="17"/>
  <c r="K157" i="17"/>
  <c r="J157" i="17"/>
  <c r="E157" i="17"/>
  <c r="J156" i="17"/>
  <c r="E156" i="17"/>
  <c r="J155" i="17"/>
  <c r="E155" i="17"/>
  <c r="J154" i="17"/>
  <c r="E154" i="17"/>
  <c r="J153" i="17"/>
  <c r="E153" i="17"/>
  <c r="P152" i="17"/>
  <c r="O152" i="17"/>
  <c r="N152" i="17"/>
  <c r="M152" i="17"/>
  <c r="L152" i="17"/>
  <c r="K152" i="17"/>
  <c r="J152" i="17"/>
  <c r="E152" i="17"/>
  <c r="P151" i="17"/>
  <c r="O151" i="17"/>
  <c r="N151" i="17"/>
  <c r="M151" i="17"/>
  <c r="L151" i="17"/>
  <c r="K151" i="17"/>
  <c r="J151" i="17"/>
  <c r="E151" i="17"/>
  <c r="P150" i="17"/>
  <c r="O150" i="17"/>
  <c r="N150" i="17"/>
  <c r="M150" i="17"/>
  <c r="L150" i="17"/>
  <c r="K150" i="17"/>
  <c r="J150" i="17"/>
  <c r="E150" i="17"/>
  <c r="J149" i="17"/>
  <c r="E149" i="17"/>
  <c r="J148" i="17"/>
  <c r="E148" i="17"/>
  <c r="J147" i="17"/>
  <c r="E147" i="17"/>
  <c r="J146" i="17"/>
  <c r="E146" i="17"/>
  <c r="J145" i="17"/>
  <c r="E145" i="17"/>
  <c r="P144" i="17"/>
  <c r="O144" i="17"/>
  <c r="N144" i="17"/>
  <c r="M144" i="17"/>
  <c r="L144" i="17"/>
  <c r="K144" i="17"/>
  <c r="J144" i="17"/>
  <c r="E144" i="17"/>
  <c r="P143" i="17"/>
  <c r="O143" i="17"/>
  <c r="N143" i="17"/>
  <c r="M143" i="17"/>
  <c r="L143" i="17"/>
  <c r="K143" i="17"/>
  <c r="J143" i="17"/>
  <c r="E143" i="17"/>
  <c r="P142" i="17"/>
  <c r="O142" i="17"/>
  <c r="N142" i="17"/>
  <c r="M142" i="17"/>
  <c r="L142" i="17"/>
  <c r="K142" i="17"/>
  <c r="J142" i="17"/>
  <c r="E142" i="17"/>
  <c r="J141" i="17"/>
  <c r="E141" i="17"/>
  <c r="P140" i="17"/>
  <c r="O140" i="17"/>
  <c r="N140" i="17"/>
  <c r="M140" i="17"/>
  <c r="L140" i="17"/>
  <c r="K140" i="17"/>
  <c r="J140" i="17"/>
  <c r="E140" i="17"/>
  <c r="J139" i="17"/>
  <c r="E139" i="17"/>
  <c r="J138" i="17"/>
  <c r="E138" i="17"/>
  <c r="J137" i="17"/>
  <c r="E137" i="17"/>
  <c r="J136" i="17"/>
  <c r="E136" i="17"/>
  <c r="J135" i="17"/>
  <c r="E135" i="17"/>
  <c r="J134" i="17"/>
  <c r="E134" i="17"/>
  <c r="J133" i="17"/>
  <c r="E133" i="17"/>
  <c r="J132" i="17"/>
  <c r="E132" i="17"/>
  <c r="J131" i="17"/>
  <c r="E131" i="17"/>
  <c r="J130" i="17"/>
  <c r="E130" i="17"/>
  <c r="J129" i="17"/>
  <c r="E129" i="17"/>
  <c r="J128" i="17"/>
  <c r="E128" i="17"/>
  <c r="J127" i="17"/>
  <c r="E127" i="17"/>
  <c r="J126" i="17"/>
  <c r="E126" i="17"/>
  <c r="J125" i="17"/>
  <c r="E125" i="17"/>
  <c r="J124" i="17"/>
  <c r="E124" i="17"/>
  <c r="J123" i="17"/>
  <c r="E123" i="17"/>
  <c r="J122" i="17"/>
  <c r="E122" i="17"/>
  <c r="J121" i="17"/>
  <c r="E121" i="17"/>
  <c r="J120" i="17"/>
  <c r="E120" i="17"/>
  <c r="J119" i="17"/>
  <c r="E119" i="17"/>
  <c r="P118" i="17"/>
  <c r="O118" i="17"/>
  <c r="N118" i="17"/>
  <c r="M118" i="17"/>
  <c r="L118" i="17"/>
  <c r="K118" i="17"/>
  <c r="J118" i="17"/>
  <c r="E118" i="17"/>
  <c r="J117" i="17"/>
  <c r="E117" i="17"/>
  <c r="J116" i="17"/>
  <c r="E116" i="17"/>
  <c r="J115" i="17"/>
  <c r="E115" i="17"/>
  <c r="J114" i="17"/>
  <c r="E114" i="17"/>
  <c r="J113" i="17"/>
  <c r="E113" i="17"/>
  <c r="J112" i="17"/>
  <c r="E112" i="17"/>
  <c r="J111" i="17"/>
  <c r="E111" i="17"/>
  <c r="J110" i="17"/>
  <c r="E110" i="17"/>
  <c r="J109" i="17"/>
  <c r="E109" i="17"/>
  <c r="J108" i="17"/>
  <c r="E108" i="17"/>
  <c r="J107" i="17"/>
  <c r="E107" i="17"/>
  <c r="J106" i="17"/>
  <c r="E106" i="17"/>
  <c r="J105" i="17"/>
  <c r="E105" i="17"/>
  <c r="J104" i="17"/>
  <c r="E104" i="17"/>
  <c r="J103" i="17"/>
  <c r="E103" i="17"/>
  <c r="J102" i="17"/>
  <c r="E102" i="17"/>
  <c r="J101" i="17"/>
  <c r="E101" i="17"/>
  <c r="J100" i="17"/>
  <c r="E100" i="17"/>
  <c r="J99" i="17"/>
  <c r="E99" i="17"/>
  <c r="J98" i="17"/>
  <c r="E98" i="17"/>
  <c r="J97" i="17"/>
  <c r="E97" i="17"/>
  <c r="J96" i="17"/>
  <c r="E96" i="17"/>
  <c r="P95" i="17"/>
  <c r="O95" i="17"/>
  <c r="N95" i="17"/>
  <c r="M95" i="17"/>
  <c r="L95" i="17"/>
  <c r="K95" i="17"/>
  <c r="J95" i="17"/>
  <c r="E95" i="17"/>
  <c r="J94" i="17"/>
  <c r="E94" i="17"/>
  <c r="J93" i="17"/>
  <c r="E93" i="17"/>
  <c r="J92" i="17"/>
  <c r="E92" i="17"/>
  <c r="P91" i="17"/>
  <c r="O91" i="17"/>
  <c r="N91" i="17"/>
  <c r="M91" i="17"/>
  <c r="L91" i="17"/>
  <c r="K91" i="17"/>
  <c r="J91" i="17"/>
  <c r="E91" i="17"/>
  <c r="J90" i="17"/>
  <c r="E90" i="17"/>
  <c r="J89" i="17"/>
  <c r="E89" i="17"/>
  <c r="J88" i="17"/>
  <c r="E88" i="17"/>
  <c r="J87" i="17"/>
  <c r="E87" i="17"/>
  <c r="J86" i="17"/>
  <c r="E86" i="17"/>
  <c r="J85" i="17"/>
  <c r="E85" i="17"/>
  <c r="J84" i="17"/>
  <c r="E84" i="17"/>
  <c r="J83" i="17"/>
  <c r="E83" i="17"/>
  <c r="P82" i="17"/>
  <c r="O82" i="17"/>
  <c r="N82" i="17"/>
  <c r="M82" i="17"/>
  <c r="L82" i="17"/>
  <c r="K82" i="17"/>
  <c r="J82" i="17"/>
  <c r="E82" i="17"/>
  <c r="P81" i="17"/>
  <c r="O81" i="17"/>
  <c r="N81" i="17"/>
  <c r="M81" i="17"/>
  <c r="L81" i="17"/>
  <c r="K81" i="17"/>
  <c r="J81" i="17"/>
  <c r="E81" i="17"/>
  <c r="P80" i="17"/>
  <c r="O80" i="17"/>
  <c r="N80" i="17"/>
  <c r="M80" i="17"/>
  <c r="L80" i="17"/>
  <c r="K80" i="17"/>
  <c r="J80" i="17"/>
  <c r="E80" i="17"/>
  <c r="J79" i="17"/>
  <c r="E79" i="17"/>
  <c r="J78" i="17"/>
  <c r="E78" i="17"/>
  <c r="J77" i="17"/>
  <c r="E77" i="17"/>
  <c r="J76" i="17"/>
  <c r="E76" i="17"/>
  <c r="P75" i="17"/>
  <c r="O75" i="17"/>
  <c r="N75" i="17"/>
  <c r="M75" i="17"/>
  <c r="L75" i="17"/>
  <c r="K75" i="17"/>
  <c r="J75" i="17"/>
  <c r="E75" i="17"/>
  <c r="P74" i="17"/>
  <c r="O74" i="17"/>
  <c r="N74" i="17"/>
  <c r="M74" i="17"/>
  <c r="L74" i="17"/>
  <c r="K74" i="17"/>
  <c r="J74" i="17"/>
  <c r="E74" i="17"/>
  <c r="P73" i="17"/>
  <c r="O73" i="17"/>
  <c r="N73" i="17"/>
  <c r="M73" i="17"/>
  <c r="L73" i="17"/>
  <c r="K73" i="17"/>
  <c r="J73" i="17"/>
  <c r="E73" i="17"/>
  <c r="J72" i="17"/>
  <c r="E72" i="17"/>
  <c r="P71" i="17"/>
  <c r="O71" i="17"/>
  <c r="N71" i="17"/>
  <c r="M71" i="17"/>
  <c r="L71" i="17"/>
  <c r="K71" i="17"/>
  <c r="J71" i="17"/>
  <c r="E71" i="17"/>
  <c r="J70" i="17"/>
  <c r="E70" i="17"/>
  <c r="J69" i="17"/>
  <c r="E69" i="17"/>
  <c r="J68" i="17"/>
  <c r="E68" i="17"/>
  <c r="J67" i="17"/>
  <c r="E67" i="17"/>
  <c r="J66" i="17"/>
  <c r="E66" i="17"/>
  <c r="J65" i="17"/>
  <c r="E65" i="17"/>
  <c r="P64" i="17"/>
  <c r="O64" i="17"/>
  <c r="N64" i="17"/>
  <c r="M64" i="17"/>
  <c r="L64" i="17"/>
  <c r="K64" i="17"/>
  <c r="J64" i="17"/>
  <c r="E64" i="17"/>
  <c r="P63" i="17"/>
  <c r="O63" i="17"/>
  <c r="N63" i="17"/>
  <c r="M63" i="17"/>
  <c r="L63" i="17"/>
  <c r="K63" i="17"/>
  <c r="J63" i="17"/>
  <c r="E63" i="17"/>
  <c r="P62" i="17"/>
  <c r="O62" i="17"/>
  <c r="N62" i="17"/>
  <c r="M62" i="17"/>
  <c r="L62" i="17"/>
  <c r="K62" i="17"/>
  <c r="J62" i="17"/>
  <c r="E62" i="17"/>
  <c r="J61" i="17"/>
  <c r="E61" i="17"/>
  <c r="J60" i="17"/>
  <c r="E60" i="17"/>
  <c r="J59" i="17"/>
  <c r="E59" i="17"/>
  <c r="J58" i="17"/>
  <c r="E58" i="17"/>
  <c r="J57" i="17"/>
  <c r="E57" i="17"/>
  <c r="J56" i="17"/>
  <c r="E56" i="17"/>
  <c r="P55" i="17"/>
  <c r="O55" i="17"/>
  <c r="N55" i="17"/>
  <c r="M55" i="17"/>
  <c r="L55" i="17"/>
  <c r="K55" i="17"/>
  <c r="J55" i="17"/>
  <c r="E55" i="17"/>
  <c r="J54" i="17"/>
  <c r="E54" i="17"/>
  <c r="J53" i="17"/>
  <c r="E53" i="17"/>
  <c r="J52" i="17"/>
  <c r="E52" i="17"/>
  <c r="P51" i="17"/>
  <c r="O51" i="17"/>
  <c r="N51" i="17"/>
  <c r="M51" i="17"/>
  <c r="L51" i="17"/>
  <c r="K51" i="17"/>
  <c r="J51" i="17"/>
  <c r="E51" i="17"/>
  <c r="P50" i="17"/>
  <c r="O50" i="17"/>
  <c r="N50" i="17"/>
  <c r="M50" i="17"/>
  <c r="L50" i="17"/>
  <c r="K50" i="17"/>
  <c r="J50" i="17"/>
  <c r="E50" i="17"/>
  <c r="P49" i="17"/>
  <c r="O49" i="17"/>
  <c r="N49" i="17"/>
  <c r="M49" i="17"/>
  <c r="L49" i="17"/>
  <c r="K49" i="17"/>
  <c r="J49" i="17"/>
  <c r="E49" i="17"/>
  <c r="J48" i="17"/>
  <c r="E48" i="17"/>
  <c r="J47" i="17"/>
  <c r="E47" i="17"/>
  <c r="J46" i="17"/>
  <c r="E46" i="17"/>
  <c r="P45" i="17"/>
  <c r="O45" i="17"/>
  <c r="N45" i="17"/>
  <c r="M45" i="17"/>
  <c r="L45" i="17"/>
  <c r="K45" i="17"/>
  <c r="J45" i="17"/>
  <c r="E45" i="17"/>
  <c r="J44" i="17"/>
  <c r="E44" i="17"/>
  <c r="P43" i="17"/>
  <c r="O43" i="17"/>
  <c r="N43" i="17"/>
  <c r="M43" i="17"/>
  <c r="L43" i="17"/>
  <c r="K43" i="17"/>
  <c r="J43" i="17"/>
  <c r="E43" i="17"/>
  <c r="J42" i="17"/>
  <c r="E42" i="17"/>
  <c r="J41" i="17"/>
  <c r="E41" i="17"/>
  <c r="P40" i="17"/>
  <c r="O40" i="17"/>
  <c r="N40" i="17"/>
  <c r="M40" i="17"/>
  <c r="L40" i="17"/>
  <c r="K40" i="17"/>
  <c r="J40" i="17"/>
  <c r="E40" i="17"/>
  <c r="J39" i="17"/>
  <c r="E39" i="17"/>
  <c r="J38" i="17"/>
  <c r="E38" i="17"/>
  <c r="P37" i="17"/>
  <c r="O37" i="17"/>
  <c r="N37" i="17"/>
  <c r="M37" i="17"/>
  <c r="L37" i="17"/>
  <c r="K37" i="17"/>
  <c r="J37" i="17"/>
  <c r="E37" i="17"/>
  <c r="P36" i="17"/>
  <c r="O36" i="17"/>
  <c r="N36" i="17"/>
  <c r="M36" i="17"/>
  <c r="L36" i="17"/>
  <c r="K36" i="17"/>
  <c r="J36" i="17"/>
  <c r="E36" i="17"/>
  <c r="J35" i="17"/>
  <c r="E35" i="17"/>
  <c r="P34" i="17"/>
  <c r="O34" i="17"/>
  <c r="N34" i="17"/>
  <c r="M34" i="17"/>
  <c r="L34" i="17"/>
  <c r="K34" i="17"/>
  <c r="J34" i="17"/>
  <c r="E34" i="17"/>
  <c r="P33" i="17"/>
  <c r="O33" i="17"/>
  <c r="N33" i="17"/>
  <c r="M33" i="17"/>
  <c r="L33" i="17"/>
  <c r="K33" i="17"/>
  <c r="J33" i="17"/>
  <c r="E33" i="17"/>
  <c r="P32" i="17"/>
  <c r="O32" i="17"/>
  <c r="N32" i="17"/>
  <c r="M32" i="17"/>
  <c r="L32" i="17"/>
  <c r="K32" i="17"/>
  <c r="J32" i="17"/>
  <c r="E32" i="17"/>
  <c r="J31" i="17"/>
  <c r="E31" i="17"/>
  <c r="J30" i="17"/>
  <c r="E30" i="17"/>
  <c r="J29" i="17"/>
  <c r="E29" i="17"/>
  <c r="P28" i="17"/>
  <c r="O28" i="17"/>
  <c r="N28" i="17"/>
  <c r="M28" i="17"/>
  <c r="L28" i="17"/>
  <c r="K28" i="17"/>
  <c r="J28" i="17"/>
  <c r="E28" i="17"/>
  <c r="J27" i="17"/>
  <c r="E27" i="17"/>
  <c r="P26" i="17"/>
  <c r="O26" i="17"/>
  <c r="N26" i="17"/>
  <c r="M26" i="17"/>
  <c r="L26" i="17"/>
  <c r="K26" i="17"/>
  <c r="J26" i="17"/>
  <c r="E26" i="17"/>
  <c r="P25" i="17"/>
  <c r="O25" i="17"/>
  <c r="N25" i="17"/>
  <c r="M25" i="17"/>
  <c r="L25" i="17"/>
  <c r="K25" i="17"/>
  <c r="J25" i="17"/>
  <c r="E25" i="17"/>
  <c r="P24" i="17"/>
  <c r="O24" i="17"/>
  <c r="N24" i="17"/>
  <c r="M24" i="17"/>
  <c r="L24" i="17"/>
  <c r="K24" i="17"/>
  <c r="J24" i="17"/>
  <c r="E24" i="17"/>
  <c r="P23" i="17"/>
  <c r="O23" i="17"/>
  <c r="N23" i="17"/>
  <c r="M23" i="17"/>
  <c r="L23" i="17"/>
  <c r="K23" i="17"/>
  <c r="J23" i="17"/>
  <c r="E23" i="17"/>
  <c r="P22" i="17"/>
  <c r="O22" i="17"/>
  <c r="N22" i="17"/>
  <c r="M22" i="17"/>
  <c r="L22" i="17"/>
  <c r="K22" i="17"/>
  <c r="J22" i="17"/>
  <c r="E22" i="17"/>
  <c r="J21" i="17"/>
  <c r="E21" i="17"/>
  <c r="P20" i="17"/>
  <c r="O20" i="17"/>
  <c r="N20" i="17"/>
  <c r="M20" i="17"/>
  <c r="L20" i="17"/>
  <c r="K20" i="17"/>
  <c r="J20" i="17"/>
  <c r="E20" i="17"/>
  <c r="P19" i="17"/>
  <c r="O19" i="17"/>
  <c r="N19" i="17"/>
  <c r="M19" i="17"/>
  <c r="L19" i="17"/>
  <c r="K19" i="17"/>
  <c r="J19" i="17"/>
  <c r="E19" i="17"/>
  <c r="P18" i="17"/>
  <c r="O18" i="17"/>
  <c r="N18" i="17"/>
  <c r="M18" i="17"/>
  <c r="L18" i="17"/>
  <c r="K18" i="17"/>
  <c r="J18" i="17"/>
  <c r="E18" i="17"/>
  <c r="J17" i="17"/>
  <c r="E17" i="17"/>
  <c r="P16" i="17"/>
  <c r="O16" i="17"/>
  <c r="N16" i="17"/>
  <c r="M16" i="17"/>
  <c r="L16" i="17"/>
  <c r="K16" i="17"/>
  <c r="J16" i="17"/>
  <c r="E16" i="17"/>
  <c r="P15" i="17"/>
  <c r="O15" i="17"/>
  <c r="N15" i="17"/>
  <c r="M15" i="17"/>
  <c r="L15" i="17"/>
  <c r="K15" i="17"/>
  <c r="J15" i="17"/>
  <c r="E15" i="17"/>
  <c r="P14" i="17"/>
  <c r="O14" i="17"/>
  <c r="N14" i="17"/>
  <c r="M14" i="17"/>
  <c r="L14" i="17"/>
  <c r="K14" i="17"/>
  <c r="J14" i="17"/>
  <c r="E14" i="17"/>
  <c r="P13" i="17"/>
  <c r="O13" i="17"/>
  <c r="N13" i="17"/>
  <c r="M13" i="17"/>
  <c r="L13" i="17"/>
  <c r="K13" i="17"/>
  <c r="J13" i="17"/>
  <c r="E13" i="17"/>
  <c r="J12" i="17"/>
  <c r="E12" i="17"/>
  <c r="P11" i="17"/>
  <c r="O11" i="17"/>
  <c r="N11" i="17"/>
  <c r="M11" i="17"/>
  <c r="L11" i="17"/>
  <c r="K11" i="17"/>
  <c r="J11" i="17"/>
  <c r="E11" i="17"/>
  <c r="J10" i="17"/>
  <c r="E10" i="17"/>
  <c r="P9" i="17"/>
  <c r="O9" i="17"/>
  <c r="N9" i="17"/>
  <c r="M9" i="17"/>
  <c r="L9" i="17"/>
  <c r="K9" i="17"/>
  <c r="J9" i="17"/>
  <c r="E9" i="17"/>
  <c r="P8" i="17"/>
  <c r="O8" i="17"/>
  <c r="N8" i="17"/>
  <c r="M8" i="17"/>
  <c r="L8" i="17"/>
  <c r="K8" i="17"/>
  <c r="J8" i="17"/>
  <c r="E8" i="17"/>
  <c r="P7" i="17"/>
  <c r="O7" i="17"/>
  <c r="N7" i="17"/>
  <c r="M7" i="17"/>
  <c r="L7" i="17"/>
  <c r="K7" i="17"/>
  <c r="J7" i="17"/>
  <c r="E7" i="17"/>
  <c r="J6" i="17"/>
  <c r="E6" i="17"/>
  <c r="P5" i="17"/>
  <c r="O5" i="17"/>
  <c r="N5" i="17"/>
  <c r="M5" i="17"/>
  <c r="L5" i="17"/>
  <c r="K5" i="17"/>
  <c r="J5" i="17"/>
  <c r="J2" i="17" s="1"/>
  <c r="E5" i="17"/>
  <c r="J4" i="17"/>
  <c r="E4" i="17"/>
  <c r="P3" i="17"/>
  <c r="O3" i="17"/>
  <c r="N3" i="17"/>
  <c r="M3" i="17"/>
  <c r="L3" i="17"/>
  <c r="K3" i="17"/>
  <c r="J3" i="17"/>
  <c r="E3" i="17"/>
  <c r="E2" i="17" s="1"/>
  <c r="H2" i="17"/>
  <c r="F2" i="17"/>
  <c r="G2" i="17" s="1"/>
  <c r="I427" i="16"/>
  <c r="I426" i="16"/>
  <c r="I425" i="16"/>
  <c r="I424" i="16"/>
  <c r="I423" i="16"/>
  <c r="I422" i="16"/>
  <c r="I421" i="16"/>
  <c r="I420" i="16"/>
  <c r="I419" i="16"/>
  <c r="I418" i="16"/>
  <c r="I417" i="16"/>
  <c r="I416" i="16"/>
  <c r="I415" i="16"/>
  <c r="I414" i="16"/>
  <c r="I413" i="16"/>
  <c r="I412" i="16"/>
  <c r="I411" i="16"/>
  <c r="I410" i="16"/>
  <c r="I409" i="16"/>
  <c r="I408" i="16"/>
  <c r="I407" i="16"/>
  <c r="I406" i="16"/>
  <c r="I405" i="16"/>
  <c r="I404" i="16"/>
  <c r="I403" i="16"/>
  <c r="I402" i="16"/>
  <c r="I401" i="16"/>
  <c r="I400" i="16"/>
  <c r="I399" i="16"/>
  <c r="I398" i="16"/>
  <c r="I397" i="16"/>
  <c r="I396" i="16"/>
  <c r="I395" i="16"/>
  <c r="I394" i="16"/>
  <c r="I393" i="16"/>
  <c r="I392" i="16"/>
  <c r="I391" i="16"/>
  <c r="I390" i="16"/>
  <c r="I389" i="16"/>
  <c r="I388" i="16"/>
  <c r="I387" i="16"/>
  <c r="I386" i="16"/>
  <c r="I385" i="16"/>
  <c r="I384" i="16"/>
  <c r="I383" i="16"/>
  <c r="I382" i="16"/>
  <c r="I381" i="16"/>
  <c r="I380" i="16"/>
  <c r="I379" i="16"/>
  <c r="I378" i="16"/>
  <c r="I377" i="16"/>
  <c r="I376" i="16"/>
  <c r="I375" i="16"/>
  <c r="I374" i="16"/>
  <c r="I373" i="16"/>
  <c r="I372" i="16"/>
  <c r="I371" i="16"/>
  <c r="I370" i="16"/>
  <c r="I369" i="16"/>
  <c r="I368" i="16"/>
  <c r="I367" i="16"/>
  <c r="I366" i="16"/>
  <c r="I365" i="16"/>
  <c r="I364" i="16"/>
  <c r="I363" i="16"/>
  <c r="I362" i="16"/>
  <c r="I361" i="16"/>
  <c r="I360" i="16"/>
  <c r="I359" i="16"/>
  <c r="I358" i="16"/>
  <c r="I357" i="16"/>
  <c r="I356" i="16"/>
  <c r="I355" i="16"/>
  <c r="I354" i="16"/>
  <c r="I353" i="16"/>
  <c r="I352" i="16"/>
  <c r="I351" i="16"/>
  <c r="I350" i="16"/>
  <c r="I349" i="16"/>
  <c r="I348" i="16"/>
  <c r="I347" i="16"/>
  <c r="I346" i="16"/>
  <c r="I345" i="16"/>
  <c r="D345" i="16"/>
  <c r="I344" i="16"/>
  <c r="D344" i="16"/>
  <c r="I343" i="16"/>
  <c r="D343" i="16"/>
  <c r="I342" i="16"/>
  <c r="D342" i="16"/>
  <c r="I341" i="16"/>
  <c r="D341" i="16"/>
  <c r="I340" i="16"/>
  <c r="D340" i="16"/>
  <c r="I339" i="16"/>
  <c r="D339" i="16"/>
  <c r="I338" i="16"/>
  <c r="D338" i="16"/>
  <c r="I337" i="16"/>
  <c r="D337" i="16"/>
  <c r="I336" i="16"/>
  <c r="D336" i="16"/>
  <c r="I335" i="16"/>
  <c r="D335" i="16"/>
  <c r="I334" i="16"/>
  <c r="D334" i="16"/>
  <c r="I333" i="16"/>
  <c r="I332" i="16"/>
  <c r="D332" i="16"/>
  <c r="I331" i="16"/>
  <c r="D331" i="16"/>
  <c r="I330" i="16"/>
  <c r="D330" i="16"/>
  <c r="I329" i="16"/>
  <c r="D329" i="16"/>
  <c r="I328" i="16"/>
  <c r="D328" i="16"/>
  <c r="I327" i="16"/>
  <c r="D327" i="16"/>
  <c r="I326" i="16"/>
  <c r="D326" i="16"/>
  <c r="I325" i="16"/>
  <c r="D325" i="16"/>
  <c r="I324" i="16"/>
  <c r="D324" i="16"/>
  <c r="I323" i="16"/>
  <c r="D323" i="16"/>
  <c r="I322" i="16"/>
  <c r="D322" i="16"/>
  <c r="I321" i="16"/>
  <c r="D321" i="16"/>
  <c r="I320" i="16"/>
  <c r="D320" i="16"/>
  <c r="I319" i="16"/>
  <c r="D319" i="16"/>
  <c r="I318" i="16"/>
  <c r="D318" i="16"/>
  <c r="I317" i="16"/>
  <c r="D317" i="16"/>
  <c r="I316" i="16"/>
  <c r="D316" i="16"/>
  <c r="I315" i="16"/>
  <c r="D315" i="16"/>
  <c r="I314" i="16"/>
  <c r="D314" i="16"/>
  <c r="I313" i="16"/>
  <c r="D313" i="16"/>
  <c r="I312" i="16"/>
  <c r="D312" i="16"/>
  <c r="I311" i="16"/>
  <c r="D311" i="16"/>
  <c r="I310" i="16"/>
  <c r="D310" i="16"/>
  <c r="I309" i="16"/>
  <c r="D309" i="16"/>
  <c r="I308" i="16"/>
  <c r="D308" i="16"/>
  <c r="I307" i="16"/>
  <c r="D307" i="16"/>
  <c r="I306" i="16"/>
  <c r="D306" i="16"/>
  <c r="I305" i="16"/>
  <c r="D305" i="16"/>
  <c r="I304" i="16"/>
  <c r="D304" i="16"/>
  <c r="I303" i="16"/>
  <c r="D303" i="16"/>
  <c r="I302" i="16"/>
  <c r="D302" i="16"/>
  <c r="I301" i="16"/>
  <c r="D301" i="16"/>
  <c r="I300" i="16"/>
  <c r="D300" i="16"/>
  <c r="I299" i="16"/>
  <c r="I298" i="16"/>
  <c r="I297" i="16"/>
  <c r="D297" i="16"/>
  <c r="I296" i="16"/>
  <c r="D296" i="16"/>
  <c r="I295" i="16"/>
  <c r="I294" i="16"/>
  <c r="I293" i="16"/>
  <c r="I292" i="16"/>
  <c r="I291" i="16"/>
  <c r="D291" i="16"/>
  <c r="I290" i="16"/>
  <c r="D290" i="16"/>
  <c r="I289" i="16"/>
  <c r="D289" i="16"/>
  <c r="I288" i="16"/>
  <c r="D288" i="16"/>
  <c r="I287" i="16"/>
  <c r="D287" i="16"/>
  <c r="I286" i="16"/>
  <c r="D286" i="16"/>
  <c r="I285" i="16"/>
  <c r="D285" i="16"/>
  <c r="I284" i="16"/>
  <c r="D284" i="16"/>
  <c r="I283" i="16"/>
  <c r="D283" i="16"/>
  <c r="I282" i="16"/>
  <c r="D282" i="16"/>
  <c r="I281" i="16"/>
  <c r="D281" i="16"/>
  <c r="I280" i="16"/>
  <c r="D280" i="16"/>
  <c r="I279" i="16"/>
  <c r="D279" i="16"/>
  <c r="I278" i="16"/>
  <c r="I277" i="16"/>
  <c r="D277" i="16"/>
  <c r="I276" i="16"/>
  <c r="D276" i="16"/>
  <c r="I275" i="16"/>
  <c r="D275" i="16"/>
  <c r="I274" i="16"/>
  <c r="D274" i="16"/>
  <c r="I273" i="16"/>
  <c r="D273" i="16"/>
  <c r="I272" i="16"/>
  <c r="D272" i="16"/>
  <c r="I271" i="16"/>
  <c r="D271" i="16"/>
  <c r="I270" i="16"/>
  <c r="D270" i="16"/>
  <c r="I269" i="16"/>
  <c r="D269" i="16"/>
  <c r="I268" i="16"/>
  <c r="D268" i="16"/>
  <c r="I267" i="16"/>
  <c r="D267" i="16"/>
  <c r="I266" i="16"/>
  <c r="D266" i="16"/>
  <c r="I265" i="16"/>
  <c r="D265" i="16"/>
  <c r="I264" i="16"/>
  <c r="D264" i="16"/>
  <c r="I263" i="16"/>
  <c r="D263" i="16"/>
  <c r="I262" i="16"/>
  <c r="I261" i="16"/>
  <c r="D261" i="16"/>
  <c r="I260" i="16"/>
  <c r="D260" i="16"/>
  <c r="I259" i="16"/>
  <c r="D259" i="16"/>
  <c r="I258" i="16"/>
  <c r="D258" i="16"/>
  <c r="I257" i="16"/>
  <c r="D257" i="16"/>
  <c r="I256" i="16"/>
  <c r="D256" i="16"/>
  <c r="I255" i="16"/>
  <c r="D255" i="16"/>
  <c r="I254" i="16"/>
  <c r="D254" i="16"/>
  <c r="I253" i="16"/>
  <c r="D253" i="16"/>
  <c r="I252" i="16"/>
  <c r="D252" i="16"/>
  <c r="I251" i="16"/>
  <c r="D251" i="16"/>
  <c r="I250" i="16"/>
  <c r="D250" i="16"/>
  <c r="I249" i="16"/>
  <c r="D249" i="16"/>
  <c r="I248" i="16"/>
  <c r="I247" i="16"/>
  <c r="I246" i="16"/>
  <c r="I245" i="16"/>
  <c r="D245" i="16"/>
  <c r="I244" i="16"/>
  <c r="D244" i="16"/>
  <c r="I243" i="16"/>
  <c r="I242" i="16"/>
  <c r="D242" i="16"/>
  <c r="I241" i="16"/>
  <c r="D241" i="16"/>
  <c r="I240" i="16"/>
  <c r="D240" i="16"/>
  <c r="I239" i="16"/>
  <c r="D239" i="16"/>
  <c r="I238" i="16"/>
  <c r="D238" i="16"/>
  <c r="I237" i="16"/>
  <c r="D237" i="16"/>
  <c r="I236" i="16"/>
  <c r="D236" i="16"/>
  <c r="I235" i="16"/>
  <c r="D235" i="16"/>
  <c r="I234" i="16"/>
  <c r="D234" i="16"/>
  <c r="I233" i="16"/>
  <c r="D233" i="16"/>
  <c r="I232" i="16"/>
  <c r="D232" i="16"/>
  <c r="I231" i="16"/>
  <c r="D231" i="16"/>
  <c r="I230" i="16"/>
  <c r="D230" i="16"/>
  <c r="I229" i="16"/>
  <c r="I228" i="16"/>
  <c r="I227" i="16"/>
  <c r="D227" i="16"/>
  <c r="I226" i="16"/>
  <c r="D226" i="16"/>
  <c r="I225" i="16"/>
  <c r="D225" i="16"/>
  <c r="I224" i="16"/>
  <c r="D224" i="16"/>
  <c r="I223" i="16"/>
  <c r="D223" i="16"/>
  <c r="I222" i="16"/>
  <c r="D222" i="16"/>
  <c r="I221" i="16"/>
  <c r="D221" i="16"/>
  <c r="I220" i="16"/>
  <c r="D220" i="16"/>
  <c r="I219" i="16"/>
  <c r="D219" i="16"/>
  <c r="I218" i="16"/>
  <c r="D218" i="16"/>
  <c r="I217" i="16"/>
  <c r="D217" i="16"/>
  <c r="I216" i="16"/>
  <c r="D216" i="16"/>
  <c r="I215" i="16"/>
  <c r="D215" i="16"/>
  <c r="I214" i="16"/>
  <c r="D214" i="16"/>
  <c r="I213" i="16"/>
  <c r="D213" i="16"/>
  <c r="I212" i="16"/>
  <c r="D212" i="16"/>
  <c r="I211" i="16"/>
  <c r="I210" i="16"/>
  <c r="D210" i="16"/>
  <c r="I209" i="16"/>
  <c r="D209" i="16"/>
  <c r="I208" i="16"/>
  <c r="D208" i="16"/>
  <c r="I207" i="16"/>
  <c r="I206" i="16"/>
  <c r="I205" i="16"/>
  <c r="I204" i="16"/>
  <c r="I203" i="16"/>
  <c r="I202" i="16"/>
  <c r="I201" i="16"/>
  <c r="I200" i="16"/>
  <c r="I199" i="16"/>
  <c r="I198" i="16"/>
  <c r="I197" i="16"/>
  <c r="I196" i="16"/>
  <c r="I195" i="16"/>
  <c r="D195" i="16"/>
  <c r="I194" i="16"/>
  <c r="D194" i="16"/>
  <c r="I193" i="16"/>
  <c r="D193" i="16"/>
  <c r="I192" i="16"/>
  <c r="D192" i="16"/>
  <c r="I191" i="16"/>
  <c r="D191" i="16"/>
  <c r="I190" i="16"/>
  <c r="D190" i="16"/>
  <c r="I189" i="16"/>
  <c r="D189" i="16"/>
  <c r="I188" i="16"/>
  <c r="D188" i="16"/>
  <c r="I187" i="16"/>
  <c r="D187" i="16"/>
  <c r="I186" i="16"/>
  <c r="D186" i="16"/>
  <c r="I185" i="16"/>
  <c r="D185" i="16"/>
  <c r="I184" i="16"/>
  <c r="D184" i="16"/>
  <c r="I183" i="16"/>
  <c r="D183" i="16"/>
  <c r="I182" i="16"/>
  <c r="D182" i="16"/>
  <c r="I181" i="16"/>
  <c r="D181" i="16"/>
  <c r="I180" i="16"/>
  <c r="D180" i="16"/>
  <c r="I179" i="16"/>
  <c r="D179" i="16"/>
  <c r="I178" i="16"/>
  <c r="D178" i="16"/>
  <c r="I177" i="16"/>
  <c r="D177" i="16"/>
  <c r="I176" i="16"/>
  <c r="D176" i="16"/>
  <c r="I175" i="16"/>
  <c r="I174" i="16"/>
  <c r="I173" i="16"/>
  <c r="I172" i="16"/>
  <c r="I171" i="16"/>
  <c r="I170" i="16"/>
  <c r="I169" i="16"/>
  <c r="I168" i="16"/>
  <c r="D168" i="16"/>
  <c r="I167" i="16"/>
  <c r="I166" i="16"/>
  <c r="D166" i="16"/>
  <c r="I165" i="16"/>
  <c r="D165" i="16"/>
  <c r="I164" i="16"/>
  <c r="D164" i="16"/>
  <c r="I163" i="16"/>
  <c r="D163" i="16"/>
  <c r="I162" i="16"/>
  <c r="D162" i="16"/>
  <c r="I161" i="16"/>
  <c r="D161" i="16"/>
  <c r="I160" i="16"/>
  <c r="D160" i="16"/>
  <c r="I159" i="16"/>
  <c r="D159" i="16"/>
  <c r="I158" i="16"/>
  <c r="D158" i="16"/>
  <c r="I157" i="16"/>
  <c r="D157" i="16"/>
  <c r="I156" i="16"/>
  <c r="D156" i="16"/>
  <c r="I155" i="16"/>
  <c r="D155" i="16"/>
  <c r="I154" i="16"/>
  <c r="D154" i="16"/>
  <c r="I153" i="16"/>
  <c r="D153" i="16"/>
  <c r="I152" i="16"/>
  <c r="D152" i="16"/>
  <c r="I151" i="16"/>
  <c r="D151" i="16"/>
  <c r="I150" i="16"/>
  <c r="D150" i="16"/>
  <c r="I149" i="16"/>
  <c r="D149" i="16"/>
  <c r="I148" i="16"/>
  <c r="D148" i="16"/>
  <c r="I147" i="16"/>
  <c r="D147" i="16"/>
  <c r="I146" i="16"/>
  <c r="D146" i="16"/>
  <c r="I145" i="16"/>
  <c r="D145" i="16"/>
  <c r="I144" i="16"/>
  <c r="D144" i="16"/>
  <c r="I143" i="16"/>
  <c r="D143" i="16"/>
  <c r="I142" i="16"/>
  <c r="D142" i="16"/>
  <c r="I141" i="16"/>
  <c r="D141" i="16"/>
  <c r="I140" i="16"/>
  <c r="D140" i="16"/>
  <c r="I139" i="16"/>
  <c r="D139" i="16"/>
  <c r="I138" i="16"/>
  <c r="D138" i="16"/>
  <c r="I137" i="16"/>
  <c r="D137" i="16"/>
  <c r="I136" i="16"/>
  <c r="D136" i="16"/>
  <c r="I135" i="16"/>
  <c r="D135" i="16"/>
  <c r="I134" i="16"/>
  <c r="D134" i="16"/>
  <c r="I133" i="16"/>
  <c r="D133" i="16"/>
  <c r="I132" i="16"/>
  <c r="D132" i="16"/>
  <c r="I131" i="16"/>
  <c r="D131" i="16"/>
  <c r="I130" i="16"/>
  <c r="D130" i="16"/>
  <c r="I129" i="16"/>
  <c r="D129" i="16"/>
  <c r="I128" i="16"/>
  <c r="D128" i="16"/>
  <c r="I127" i="16"/>
  <c r="D127" i="16"/>
  <c r="I126" i="16"/>
  <c r="D126" i="16"/>
  <c r="I125" i="16"/>
  <c r="D125" i="16"/>
  <c r="I124" i="16"/>
  <c r="D124" i="16"/>
  <c r="I123" i="16"/>
  <c r="D123" i="16"/>
  <c r="I122" i="16"/>
  <c r="I121" i="16"/>
  <c r="I120" i="16"/>
  <c r="I119" i="16"/>
  <c r="I118" i="16"/>
  <c r="I117" i="16"/>
  <c r="I116" i="16"/>
  <c r="I115" i="16"/>
  <c r="I114" i="16"/>
  <c r="I113" i="16"/>
  <c r="I112" i="16"/>
  <c r="I111" i="16"/>
  <c r="I110" i="16"/>
  <c r="I109" i="16"/>
  <c r="I108" i="16"/>
  <c r="I107" i="16"/>
  <c r="I106" i="16"/>
  <c r="I105" i="16"/>
  <c r="I104" i="16"/>
  <c r="I103" i="16"/>
  <c r="I102" i="16"/>
  <c r="I101" i="16"/>
  <c r="I100" i="16"/>
  <c r="I99" i="16"/>
  <c r="I98" i="16"/>
  <c r="I97" i="16"/>
  <c r="I96" i="16"/>
  <c r="I95" i="16"/>
  <c r="I94" i="16"/>
  <c r="I93" i="16"/>
  <c r="I92" i="16"/>
  <c r="I91" i="16"/>
  <c r="D91" i="16"/>
  <c r="I90" i="16"/>
  <c r="D90" i="16"/>
  <c r="I89" i="16"/>
  <c r="D89" i="16"/>
  <c r="I88" i="16"/>
  <c r="D88" i="16"/>
  <c r="I87" i="16"/>
  <c r="D87" i="16"/>
  <c r="I86" i="16"/>
  <c r="D86" i="16"/>
  <c r="I85" i="16"/>
  <c r="D85" i="16"/>
  <c r="I84" i="16"/>
  <c r="D84" i="16"/>
  <c r="I83" i="16"/>
  <c r="D83" i="16"/>
  <c r="I82" i="16"/>
  <c r="D82" i="16"/>
  <c r="I81" i="16"/>
  <c r="D81" i="16"/>
  <c r="I80" i="16"/>
  <c r="D80" i="16"/>
  <c r="I79" i="16"/>
  <c r="D79" i="16"/>
  <c r="I78" i="16"/>
  <c r="D78" i="16"/>
  <c r="I77" i="16"/>
  <c r="D77" i="16"/>
  <c r="I76" i="16"/>
  <c r="D76" i="16"/>
  <c r="I75" i="16"/>
  <c r="D75" i="16"/>
  <c r="I74" i="16"/>
  <c r="I73" i="16"/>
  <c r="D73" i="16"/>
  <c r="I72" i="16"/>
  <c r="D72" i="16"/>
  <c r="I71" i="16"/>
  <c r="D71" i="16"/>
  <c r="I70" i="16"/>
  <c r="D70" i="16"/>
  <c r="I69" i="16"/>
  <c r="D69" i="16"/>
  <c r="I68" i="16"/>
  <c r="D68" i="16"/>
  <c r="I67" i="16"/>
  <c r="D67" i="16"/>
  <c r="I66" i="16"/>
  <c r="D66" i="16"/>
  <c r="I65" i="16"/>
  <c r="I64" i="16"/>
  <c r="I63" i="16"/>
  <c r="D63" i="16"/>
  <c r="I62" i="16"/>
  <c r="D62" i="16"/>
  <c r="I61" i="16"/>
  <c r="D61" i="16"/>
  <c r="I60" i="16"/>
  <c r="D60" i="16"/>
  <c r="I59" i="16"/>
  <c r="D59" i="16"/>
  <c r="I58" i="16"/>
  <c r="D58" i="16"/>
  <c r="I57" i="16"/>
  <c r="D57" i="16"/>
  <c r="I56" i="16"/>
  <c r="D56" i="16"/>
  <c r="I55" i="16"/>
  <c r="D55" i="16"/>
  <c r="I54" i="16"/>
  <c r="D54" i="16"/>
  <c r="I53" i="16"/>
  <c r="D53" i="16"/>
  <c r="I52" i="16"/>
  <c r="D52" i="16"/>
  <c r="I51" i="16"/>
  <c r="D51" i="16"/>
  <c r="I50" i="16"/>
  <c r="D50" i="16"/>
  <c r="I49" i="16"/>
  <c r="I48" i="16"/>
  <c r="I47" i="16"/>
  <c r="I46" i="16"/>
  <c r="I45" i="16"/>
  <c r="I44" i="16"/>
  <c r="I43" i="16"/>
  <c r="I42" i="16"/>
  <c r="I41" i="16"/>
  <c r="I40" i="16"/>
  <c r="I39" i="16"/>
  <c r="I38" i="16"/>
  <c r="I37" i="16"/>
  <c r="D37" i="16"/>
  <c r="I36" i="16"/>
  <c r="D36" i="16"/>
  <c r="I35" i="16"/>
  <c r="D35" i="16"/>
  <c r="I34" i="16"/>
  <c r="D34" i="16"/>
  <c r="I33" i="16"/>
  <c r="D33" i="16"/>
  <c r="I32" i="16"/>
  <c r="D32" i="16"/>
  <c r="I31" i="16"/>
  <c r="D31" i="16"/>
  <c r="I30" i="16"/>
  <c r="D30" i="16"/>
  <c r="I29" i="16"/>
  <c r="I28" i="16"/>
  <c r="I27" i="16"/>
  <c r="I26" i="16"/>
  <c r="I25" i="16"/>
  <c r="I24" i="16"/>
  <c r="I23" i="16"/>
  <c r="I22" i="16"/>
  <c r="I21" i="16"/>
  <c r="I20" i="16"/>
  <c r="I19" i="16"/>
  <c r="I18" i="16"/>
  <c r="I17" i="16"/>
  <c r="I16" i="16"/>
  <c r="I15" i="16"/>
  <c r="I14" i="16"/>
  <c r="I13" i="16"/>
  <c r="D13" i="16"/>
  <c r="I12" i="16"/>
  <c r="D12" i="16"/>
  <c r="I11" i="16"/>
  <c r="D11" i="16"/>
  <c r="I10" i="16"/>
  <c r="D10" i="16"/>
  <c r="I9" i="16"/>
  <c r="D9" i="16"/>
  <c r="I8" i="16"/>
  <c r="D8" i="16"/>
  <c r="Z7" i="16"/>
  <c r="I7" i="16"/>
  <c r="D7" i="16"/>
  <c r="Z6" i="16"/>
  <c r="I6" i="16"/>
  <c r="D6" i="16"/>
  <c r="Z5" i="16"/>
  <c r="I5" i="16"/>
  <c r="D5" i="16"/>
  <c r="Z4" i="16"/>
  <c r="I4" i="16"/>
  <c r="D4" i="16"/>
  <c r="Z3" i="16"/>
  <c r="I3" i="16"/>
  <c r="D3" i="16"/>
  <c r="U2" i="16"/>
  <c r="T2" i="16"/>
  <c r="S2" i="16"/>
  <c r="R2" i="16"/>
  <c r="Q2" i="16"/>
  <c r="P2" i="16"/>
  <c r="O2" i="16"/>
  <c r="N2" i="16"/>
  <c r="M2" i="16"/>
  <c r="L2" i="16"/>
  <c r="K2" i="16"/>
  <c r="J2" i="16"/>
  <c r="H1" i="16"/>
  <c r="F1" i="16"/>
  <c r="G1" i="16" s="1"/>
  <c r="A1" i="16"/>
  <c r="E345" i="15"/>
  <c r="E344" i="15"/>
  <c r="E343" i="15"/>
  <c r="E342" i="15"/>
  <c r="E341" i="15"/>
  <c r="E340" i="15"/>
  <c r="E339" i="15"/>
  <c r="E338" i="15"/>
  <c r="E337" i="15"/>
  <c r="E336" i="15"/>
  <c r="E335" i="15"/>
  <c r="E334" i="15"/>
  <c r="E332" i="15"/>
  <c r="E331" i="15"/>
  <c r="E330" i="15"/>
  <c r="E329" i="15"/>
  <c r="E328" i="15"/>
  <c r="E327" i="15"/>
  <c r="E326" i="15"/>
  <c r="E325" i="15"/>
  <c r="E324" i="15"/>
  <c r="E323" i="15"/>
  <c r="E322" i="15"/>
  <c r="E321" i="15"/>
  <c r="E320" i="15"/>
  <c r="E319" i="15"/>
  <c r="E318" i="15"/>
  <c r="E317" i="15"/>
  <c r="E316" i="15"/>
  <c r="E315" i="15"/>
  <c r="E314" i="15"/>
  <c r="E313" i="15"/>
  <c r="E312" i="15"/>
  <c r="E311" i="15"/>
  <c r="E310" i="15"/>
  <c r="E309" i="15"/>
  <c r="E308" i="15"/>
  <c r="E307" i="15"/>
  <c r="E306" i="15"/>
  <c r="E305" i="15"/>
  <c r="E304" i="15"/>
  <c r="E303" i="15"/>
  <c r="E302" i="15"/>
  <c r="E301" i="15"/>
  <c r="E300" i="15"/>
  <c r="E297" i="15"/>
  <c r="E296" i="15"/>
  <c r="E291" i="15"/>
  <c r="E290" i="15"/>
  <c r="E289" i="15"/>
  <c r="E288" i="15"/>
  <c r="E287" i="15"/>
  <c r="E286" i="15"/>
  <c r="E285" i="15"/>
  <c r="E284" i="15"/>
  <c r="E283" i="15"/>
  <c r="E282" i="15"/>
  <c r="E281" i="15"/>
  <c r="E280" i="15"/>
  <c r="E279" i="15"/>
  <c r="E277" i="15"/>
  <c r="E276" i="15"/>
  <c r="E275" i="15"/>
  <c r="E274" i="15"/>
  <c r="E273" i="15"/>
  <c r="E272" i="15"/>
  <c r="E271" i="15"/>
  <c r="E270" i="15"/>
  <c r="E269" i="15"/>
  <c r="E268" i="15"/>
  <c r="E267" i="15"/>
  <c r="E266" i="15"/>
  <c r="E265" i="15"/>
  <c r="E264" i="15"/>
  <c r="E263" i="15"/>
  <c r="E261" i="15"/>
  <c r="E260" i="15"/>
  <c r="E259" i="15"/>
  <c r="E258" i="15"/>
  <c r="E257" i="15"/>
  <c r="E256" i="15"/>
  <c r="E255" i="15"/>
  <c r="E254" i="15"/>
  <c r="E253" i="15"/>
  <c r="E252" i="15"/>
  <c r="E251" i="15"/>
  <c r="E250" i="15"/>
  <c r="E249" i="15"/>
  <c r="E245" i="15"/>
  <c r="E244" i="15"/>
  <c r="E242" i="15"/>
  <c r="E241" i="15"/>
  <c r="E240" i="15"/>
  <c r="E239" i="15"/>
  <c r="E238" i="15"/>
  <c r="E237" i="15"/>
  <c r="E236" i="15"/>
  <c r="E235" i="15"/>
  <c r="E234" i="15"/>
  <c r="E233" i="15"/>
  <c r="E232" i="15"/>
  <c r="E231" i="15"/>
  <c r="E230" i="15"/>
  <c r="E227" i="15"/>
  <c r="E226" i="15"/>
  <c r="E225" i="15"/>
  <c r="E224" i="15"/>
  <c r="E223" i="15"/>
  <c r="E222" i="15"/>
  <c r="E221" i="15"/>
  <c r="E220" i="15"/>
  <c r="E219" i="15"/>
  <c r="E218" i="15"/>
  <c r="E217" i="15"/>
  <c r="E216" i="15"/>
  <c r="E215" i="15"/>
  <c r="E214" i="15"/>
  <c r="E213" i="15"/>
  <c r="E212" i="15"/>
  <c r="E210" i="15"/>
  <c r="E209" i="15"/>
  <c r="E208"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3" i="15"/>
  <c r="E62" i="15"/>
  <c r="E61" i="15"/>
  <c r="E60" i="15"/>
  <c r="E59" i="15"/>
  <c r="E58" i="15"/>
  <c r="E57" i="15"/>
  <c r="E56" i="15"/>
  <c r="E55" i="15"/>
  <c r="E54" i="15"/>
  <c r="E53" i="15"/>
  <c r="E52" i="15"/>
  <c r="E51" i="15"/>
  <c r="E50" i="15"/>
  <c r="E37" i="15"/>
  <c r="E36" i="15"/>
  <c r="E35" i="15"/>
  <c r="E34" i="15"/>
  <c r="E33" i="15"/>
  <c r="E32" i="15"/>
  <c r="E31" i="15"/>
  <c r="E30" i="15"/>
  <c r="E13" i="15"/>
  <c r="E12" i="15"/>
  <c r="E11" i="15"/>
  <c r="E10" i="15"/>
  <c r="E9" i="15"/>
  <c r="E8" i="15"/>
  <c r="E7" i="15"/>
  <c r="E6" i="15"/>
  <c r="E5" i="15"/>
  <c r="E4" i="15"/>
  <c r="E3" i="15"/>
  <c r="K1" i="15"/>
  <c r="J1" i="15"/>
  <c r="H1" i="15"/>
  <c r="E1" i="15"/>
  <c r="G1" i="15" s="1"/>
  <c r="BF496" i="14"/>
  <c r="BE496" i="14"/>
  <c r="BD496" i="14"/>
  <c r="BB496" i="14"/>
  <c r="AZ496" i="14"/>
  <c r="AX496" i="14"/>
  <c r="AW496" i="14"/>
  <c r="G496" i="14"/>
  <c r="BF495" i="14"/>
  <c r="BE495" i="14"/>
  <c r="BD495" i="14"/>
  <c r="BB495" i="14"/>
  <c r="AZ495" i="14"/>
  <c r="AX495" i="14"/>
  <c r="AW495" i="14"/>
  <c r="G495" i="14"/>
  <c r="BF494" i="14"/>
  <c r="BE494" i="14"/>
  <c r="BD494" i="14"/>
  <c r="BB494" i="14"/>
  <c r="AZ494" i="14"/>
  <c r="AX494" i="14"/>
  <c r="AW494" i="14"/>
  <c r="G494" i="14"/>
  <c r="BF493" i="14"/>
  <c r="BE493" i="14"/>
  <c r="BD493" i="14"/>
  <c r="BB493" i="14"/>
  <c r="AZ493" i="14"/>
  <c r="AX493" i="14"/>
  <c r="AW493" i="14"/>
  <c r="G493" i="14"/>
  <c r="BF492" i="14"/>
  <c r="BE492" i="14"/>
  <c r="BD492" i="14"/>
  <c r="BB492" i="14"/>
  <c r="AZ492" i="14"/>
  <c r="AX492" i="14"/>
  <c r="AW492" i="14"/>
  <c r="G492" i="14"/>
  <c r="BF491" i="14"/>
  <c r="BE491" i="14"/>
  <c r="BD491" i="14"/>
  <c r="BB491" i="14"/>
  <c r="AZ491" i="14"/>
  <c r="AX491" i="14"/>
  <c r="AW491" i="14"/>
  <c r="G491" i="14"/>
  <c r="BF490" i="14"/>
  <c r="BE490" i="14"/>
  <c r="BD490" i="14"/>
  <c r="BB490" i="14"/>
  <c r="AZ490" i="14"/>
  <c r="AX490" i="14"/>
  <c r="AW490" i="14"/>
  <c r="G490" i="14"/>
  <c r="BF489" i="14"/>
  <c r="BE489" i="14"/>
  <c r="BD489" i="14"/>
  <c r="BB489" i="14"/>
  <c r="AZ489" i="14"/>
  <c r="AX489" i="14"/>
  <c r="AW489" i="14"/>
  <c r="G489" i="14"/>
  <c r="BF488" i="14"/>
  <c r="BE488" i="14"/>
  <c r="BD488" i="14"/>
  <c r="BB488" i="14"/>
  <c r="AZ488" i="14"/>
  <c r="AX488" i="14"/>
  <c r="AW488" i="14"/>
  <c r="G488" i="14"/>
  <c r="BF487" i="14"/>
  <c r="BE487" i="14"/>
  <c r="BD487" i="14"/>
  <c r="BB487" i="14"/>
  <c r="AZ487" i="14"/>
  <c r="AX487" i="14"/>
  <c r="AW487" i="14"/>
  <c r="G487" i="14"/>
  <c r="BF486" i="14"/>
  <c r="BE486" i="14"/>
  <c r="BD486" i="14"/>
  <c r="BB486" i="14"/>
  <c r="AZ486" i="14"/>
  <c r="AX486" i="14"/>
  <c r="AW486" i="14"/>
  <c r="G486" i="14"/>
  <c r="BF485" i="14"/>
  <c r="BE485" i="14"/>
  <c r="BD485" i="14"/>
  <c r="BB485" i="14"/>
  <c r="AZ485" i="14"/>
  <c r="AX485" i="14"/>
  <c r="AW485" i="14"/>
  <c r="G485" i="14"/>
  <c r="BF484" i="14"/>
  <c r="BE484" i="14"/>
  <c r="BD484" i="14"/>
  <c r="BB484" i="14"/>
  <c r="AZ484" i="14"/>
  <c r="AX484" i="14"/>
  <c r="AW484" i="14"/>
  <c r="G484" i="14"/>
  <c r="BF483" i="14"/>
  <c r="BE483" i="14"/>
  <c r="BD483" i="14"/>
  <c r="BB483" i="14"/>
  <c r="AZ483" i="14"/>
  <c r="AX483" i="14"/>
  <c r="AW483" i="14"/>
  <c r="G483" i="14"/>
  <c r="BF482" i="14"/>
  <c r="BE482" i="14"/>
  <c r="BD482" i="14"/>
  <c r="BB482" i="14"/>
  <c r="AZ482" i="14"/>
  <c r="AX482" i="14"/>
  <c r="AW482" i="14"/>
  <c r="G482" i="14"/>
  <c r="BF481" i="14"/>
  <c r="BE481" i="14"/>
  <c r="BD481" i="14"/>
  <c r="BB481" i="14"/>
  <c r="AZ481" i="14"/>
  <c r="AX481" i="14"/>
  <c r="AW481" i="14"/>
  <c r="G481" i="14"/>
  <c r="BF480" i="14"/>
  <c r="BE480" i="14"/>
  <c r="BD480" i="14"/>
  <c r="BB480" i="14"/>
  <c r="AZ480" i="14"/>
  <c r="AX480" i="14"/>
  <c r="AW480" i="14"/>
  <c r="G480" i="14"/>
  <c r="BF479" i="14"/>
  <c r="BE479" i="14"/>
  <c r="BD479" i="14"/>
  <c r="BB479" i="14"/>
  <c r="AZ479" i="14"/>
  <c r="AX479" i="14"/>
  <c r="AW479" i="14"/>
  <c r="G479" i="14"/>
  <c r="BF478" i="14"/>
  <c r="BE478" i="14"/>
  <c r="BD478" i="14"/>
  <c r="BB478" i="14"/>
  <c r="AZ478" i="14"/>
  <c r="AX478" i="14"/>
  <c r="AW478" i="14"/>
  <c r="G478" i="14"/>
  <c r="BF477" i="14"/>
  <c r="BE477" i="14"/>
  <c r="BD477" i="14"/>
  <c r="BB477" i="14"/>
  <c r="AZ477" i="14"/>
  <c r="AX477" i="14"/>
  <c r="AW477" i="14"/>
  <c r="G477" i="14"/>
  <c r="BF476" i="14"/>
  <c r="BE476" i="14"/>
  <c r="BD476" i="14"/>
  <c r="BB476" i="14"/>
  <c r="AZ476" i="14"/>
  <c r="AX476" i="14"/>
  <c r="AW476" i="14"/>
  <c r="G476" i="14"/>
  <c r="BF475" i="14"/>
  <c r="BE475" i="14"/>
  <c r="BD475" i="14"/>
  <c r="BB475" i="14"/>
  <c r="AZ475" i="14"/>
  <c r="AX475" i="14"/>
  <c r="AW475" i="14"/>
  <c r="G475" i="14"/>
  <c r="BF474" i="14"/>
  <c r="BE474" i="14"/>
  <c r="BD474" i="14"/>
  <c r="BB474" i="14"/>
  <c r="AZ474" i="14"/>
  <c r="AX474" i="14"/>
  <c r="AW474" i="14"/>
  <c r="G474" i="14"/>
  <c r="BF473" i="14"/>
  <c r="BE473" i="14"/>
  <c r="BD473" i="14"/>
  <c r="BB473" i="14"/>
  <c r="AZ473" i="14"/>
  <c r="AX473" i="14"/>
  <c r="AW473" i="14"/>
  <c r="G473" i="14"/>
  <c r="BF472" i="14"/>
  <c r="BE472" i="14"/>
  <c r="BD472" i="14"/>
  <c r="BB472" i="14"/>
  <c r="AZ472" i="14"/>
  <c r="AX472" i="14"/>
  <c r="AW472" i="14"/>
  <c r="G472" i="14"/>
  <c r="BF471" i="14"/>
  <c r="BE471" i="14"/>
  <c r="BD471" i="14"/>
  <c r="BB471" i="14"/>
  <c r="AZ471" i="14"/>
  <c r="AX471" i="14"/>
  <c r="AW471" i="14"/>
  <c r="G471" i="14"/>
  <c r="BF470" i="14"/>
  <c r="BE470" i="14"/>
  <c r="BD470" i="14"/>
  <c r="BB470" i="14"/>
  <c r="AZ470" i="14"/>
  <c r="AX470" i="14"/>
  <c r="AW470" i="14"/>
  <c r="G470" i="14"/>
  <c r="BF469" i="14"/>
  <c r="BE469" i="14"/>
  <c r="BD469" i="14"/>
  <c r="BB469" i="14"/>
  <c r="AZ469" i="14"/>
  <c r="AX469" i="14"/>
  <c r="AW469" i="14"/>
  <c r="G469" i="14"/>
  <c r="BF468" i="14"/>
  <c r="BE468" i="14"/>
  <c r="BD468" i="14"/>
  <c r="BB468" i="14"/>
  <c r="AZ468" i="14"/>
  <c r="AX468" i="14"/>
  <c r="AW468" i="14"/>
  <c r="G468" i="14"/>
  <c r="BF467" i="14"/>
  <c r="BE467" i="14"/>
  <c r="BD467" i="14"/>
  <c r="BB467" i="14"/>
  <c r="AZ467" i="14"/>
  <c r="AX467" i="14"/>
  <c r="AW467" i="14"/>
  <c r="G467" i="14"/>
  <c r="BF466" i="14"/>
  <c r="BE466" i="14"/>
  <c r="BD466" i="14"/>
  <c r="BB466" i="14"/>
  <c r="AZ466" i="14"/>
  <c r="AX466" i="14"/>
  <c r="AW466" i="14"/>
  <c r="G466" i="14"/>
  <c r="BF465" i="14"/>
  <c r="BE465" i="14"/>
  <c r="BD465" i="14"/>
  <c r="BB465" i="14"/>
  <c r="AZ465" i="14"/>
  <c r="AX465" i="14"/>
  <c r="AW465" i="14"/>
  <c r="G465" i="14"/>
  <c r="BF464" i="14"/>
  <c r="BE464" i="14"/>
  <c r="BD464" i="14"/>
  <c r="BB464" i="14"/>
  <c r="AZ464" i="14"/>
  <c r="AX464" i="14"/>
  <c r="AW464" i="14"/>
  <c r="G464" i="14"/>
  <c r="BF463" i="14"/>
  <c r="BE463" i="14"/>
  <c r="BD463" i="14"/>
  <c r="BB463" i="14"/>
  <c r="AZ463" i="14"/>
  <c r="AX463" i="14"/>
  <c r="AW463" i="14"/>
  <c r="G463" i="14"/>
  <c r="BF462" i="14"/>
  <c r="BE462" i="14"/>
  <c r="BD462" i="14"/>
  <c r="BB462" i="14"/>
  <c r="AZ462" i="14"/>
  <c r="AX462" i="14"/>
  <c r="AW462" i="14"/>
  <c r="G462" i="14"/>
  <c r="BF461" i="14"/>
  <c r="BE461" i="14"/>
  <c r="BD461" i="14"/>
  <c r="BB461" i="14"/>
  <c r="AZ461" i="14"/>
  <c r="AX461" i="14"/>
  <c r="AW461" i="14"/>
  <c r="G461" i="14"/>
  <c r="BF460" i="14"/>
  <c r="BE460" i="14"/>
  <c r="BD460" i="14"/>
  <c r="BB460" i="14"/>
  <c r="AZ460" i="14"/>
  <c r="AX460" i="14"/>
  <c r="AW460" i="14"/>
  <c r="G460" i="14"/>
  <c r="BF459" i="14"/>
  <c r="BE459" i="14"/>
  <c r="BD459" i="14"/>
  <c r="BB459" i="14"/>
  <c r="AZ459" i="14"/>
  <c r="AX459" i="14"/>
  <c r="AW459" i="14"/>
  <c r="G459" i="14"/>
  <c r="BF458" i="14"/>
  <c r="BE458" i="14"/>
  <c r="BD458" i="14"/>
  <c r="BB458" i="14"/>
  <c r="AZ458" i="14"/>
  <c r="AX458" i="14"/>
  <c r="AW458" i="14"/>
  <c r="G458" i="14"/>
  <c r="BF457" i="14"/>
  <c r="BE457" i="14"/>
  <c r="BD457" i="14"/>
  <c r="BB457" i="14"/>
  <c r="AZ457" i="14"/>
  <c r="AX457" i="14"/>
  <c r="AW457" i="14"/>
  <c r="G457" i="14"/>
  <c r="BF456" i="14"/>
  <c r="BE456" i="14"/>
  <c r="BD456" i="14"/>
  <c r="BB456" i="14"/>
  <c r="AZ456" i="14"/>
  <c r="AX456" i="14"/>
  <c r="AW456" i="14"/>
  <c r="G456" i="14"/>
  <c r="BF455" i="14"/>
  <c r="BE455" i="14"/>
  <c r="BD455" i="14"/>
  <c r="BB455" i="14"/>
  <c r="AZ455" i="14"/>
  <c r="AX455" i="14"/>
  <c r="AW455" i="14"/>
  <c r="G455" i="14"/>
  <c r="BF454" i="14"/>
  <c r="BE454" i="14"/>
  <c r="BD454" i="14"/>
  <c r="BB454" i="14"/>
  <c r="AZ454" i="14"/>
  <c r="AX454" i="14"/>
  <c r="AW454" i="14"/>
  <c r="G454" i="14"/>
  <c r="BF453" i="14"/>
  <c r="BE453" i="14"/>
  <c r="BD453" i="14"/>
  <c r="BB453" i="14"/>
  <c r="AZ453" i="14"/>
  <c r="AX453" i="14"/>
  <c r="AW453" i="14"/>
  <c r="G453" i="14"/>
  <c r="BF452" i="14"/>
  <c r="BE452" i="14"/>
  <c r="BD452" i="14"/>
  <c r="BB452" i="14"/>
  <c r="AZ452" i="14"/>
  <c r="AX452" i="14"/>
  <c r="AW452" i="14"/>
  <c r="G452" i="14"/>
  <c r="BF451" i="14"/>
  <c r="BE451" i="14"/>
  <c r="BD451" i="14"/>
  <c r="BB451" i="14"/>
  <c r="AZ451" i="14"/>
  <c r="AX451" i="14"/>
  <c r="AW451" i="14"/>
  <c r="G451" i="14"/>
  <c r="BF450" i="14"/>
  <c r="BE450" i="14"/>
  <c r="BD450" i="14"/>
  <c r="BB450" i="14"/>
  <c r="AZ450" i="14"/>
  <c r="AX450" i="14"/>
  <c r="AW450" i="14"/>
  <c r="G450" i="14"/>
  <c r="BF449" i="14"/>
  <c r="BE449" i="14"/>
  <c r="BD449" i="14"/>
  <c r="BB449" i="14"/>
  <c r="AZ449" i="14"/>
  <c r="AX449" i="14"/>
  <c r="AW449" i="14"/>
  <c r="G449" i="14"/>
  <c r="BF448" i="14"/>
  <c r="BE448" i="14"/>
  <c r="BD448" i="14"/>
  <c r="BB448" i="14"/>
  <c r="AZ448" i="14"/>
  <c r="AX448" i="14"/>
  <c r="AW448" i="14"/>
  <c r="G448" i="14"/>
  <c r="BF447" i="14"/>
  <c r="BE447" i="14"/>
  <c r="BD447" i="14"/>
  <c r="BB447" i="14"/>
  <c r="AZ447" i="14"/>
  <c r="AX447" i="14"/>
  <c r="AW447" i="14"/>
  <c r="G447" i="14"/>
  <c r="BF446" i="14"/>
  <c r="BE446" i="14"/>
  <c r="BD446" i="14"/>
  <c r="BB446" i="14"/>
  <c r="AZ446" i="14"/>
  <c r="AX446" i="14"/>
  <c r="AW446" i="14"/>
  <c r="G446" i="14"/>
  <c r="BF445" i="14"/>
  <c r="BE445" i="14"/>
  <c r="BD445" i="14"/>
  <c r="BB445" i="14"/>
  <c r="AZ445" i="14"/>
  <c r="AX445" i="14"/>
  <c r="AW445" i="14"/>
  <c r="G445" i="14"/>
  <c r="BF444" i="14"/>
  <c r="BE444" i="14"/>
  <c r="BD444" i="14"/>
  <c r="BB444" i="14"/>
  <c r="AZ444" i="14"/>
  <c r="AX444" i="14"/>
  <c r="AW444" i="14"/>
  <c r="G444" i="14"/>
  <c r="BF443" i="14"/>
  <c r="BE443" i="14"/>
  <c r="BD443" i="14"/>
  <c r="BB443" i="14"/>
  <c r="AZ443" i="14"/>
  <c r="AX443" i="14"/>
  <c r="AW443" i="14"/>
  <c r="G443" i="14"/>
  <c r="BF442" i="14"/>
  <c r="BE442" i="14"/>
  <c r="BD442" i="14"/>
  <c r="BB442" i="14"/>
  <c r="AZ442" i="14"/>
  <c r="AX442" i="14"/>
  <c r="AW442" i="14"/>
  <c r="G442" i="14"/>
  <c r="BF441" i="14"/>
  <c r="BE441" i="14"/>
  <c r="BD441" i="14"/>
  <c r="BB441" i="14"/>
  <c r="AZ441" i="14"/>
  <c r="AX441" i="14"/>
  <c r="AW441" i="14"/>
  <c r="G441" i="14"/>
  <c r="BF440" i="14"/>
  <c r="BE440" i="14"/>
  <c r="BD440" i="14"/>
  <c r="BB440" i="14"/>
  <c r="AZ440" i="14"/>
  <c r="AX440" i="14"/>
  <c r="AW440" i="14"/>
  <c r="G440" i="14"/>
  <c r="BF439" i="14"/>
  <c r="BE439" i="14"/>
  <c r="BD439" i="14"/>
  <c r="BB439" i="14"/>
  <c r="AZ439" i="14"/>
  <c r="AX439" i="14"/>
  <c r="AW439" i="14"/>
  <c r="G439" i="14"/>
  <c r="BF438" i="14"/>
  <c r="BE438" i="14"/>
  <c r="BD438" i="14"/>
  <c r="BB438" i="14"/>
  <c r="AZ438" i="14"/>
  <c r="AX438" i="14"/>
  <c r="AW438" i="14"/>
  <c r="G438" i="14"/>
  <c r="BF437" i="14"/>
  <c r="BE437" i="14"/>
  <c r="BD437" i="14"/>
  <c r="BB437" i="14"/>
  <c r="AZ437" i="14"/>
  <c r="AX437" i="14"/>
  <c r="AW437" i="14"/>
  <c r="G437" i="14"/>
  <c r="BF436" i="14"/>
  <c r="BE436" i="14"/>
  <c r="BD436" i="14"/>
  <c r="BB436" i="14"/>
  <c r="AZ436" i="14"/>
  <c r="AX436" i="14"/>
  <c r="AW436" i="14"/>
  <c r="G436" i="14"/>
  <c r="BF435" i="14"/>
  <c r="BE435" i="14"/>
  <c r="BD435" i="14"/>
  <c r="BB435" i="14"/>
  <c r="AZ435" i="14"/>
  <c r="AX435" i="14"/>
  <c r="AW435" i="14"/>
  <c r="G435" i="14"/>
  <c r="BF434" i="14"/>
  <c r="BE434" i="14"/>
  <c r="BD434" i="14"/>
  <c r="BB434" i="14"/>
  <c r="AZ434" i="14"/>
  <c r="AX434" i="14"/>
  <c r="AW434" i="14"/>
  <c r="G434" i="14"/>
  <c r="BF433" i="14"/>
  <c r="BE433" i="14"/>
  <c r="BD433" i="14"/>
  <c r="BB433" i="14"/>
  <c r="AZ433" i="14"/>
  <c r="AX433" i="14"/>
  <c r="AW433" i="14"/>
  <c r="G433" i="14"/>
  <c r="BF432" i="14"/>
  <c r="BE432" i="14"/>
  <c r="BD432" i="14"/>
  <c r="BB432" i="14"/>
  <c r="AZ432" i="14"/>
  <c r="AX432" i="14"/>
  <c r="AW432" i="14"/>
  <c r="G432" i="14"/>
  <c r="BF431" i="14"/>
  <c r="BE431" i="14"/>
  <c r="BD431" i="14"/>
  <c r="BB431" i="14"/>
  <c r="AZ431" i="14"/>
  <c r="AX431" i="14"/>
  <c r="AW431" i="14"/>
  <c r="G431" i="14"/>
  <c r="BF430" i="14"/>
  <c r="BE430" i="14"/>
  <c r="BD430" i="14"/>
  <c r="BB430" i="14"/>
  <c r="AZ430" i="14"/>
  <c r="AX430" i="14"/>
  <c r="AW430" i="14"/>
  <c r="G430" i="14"/>
  <c r="BF429" i="14"/>
  <c r="BE429" i="14"/>
  <c r="BD429" i="14"/>
  <c r="BB429" i="14"/>
  <c r="AZ429" i="14"/>
  <c r="AX429" i="14"/>
  <c r="AW429" i="14"/>
  <c r="G429" i="14"/>
  <c r="BF428" i="14"/>
  <c r="BE428" i="14"/>
  <c r="BD428" i="14"/>
  <c r="BB428" i="14"/>
  <c r="AZ428" i="14"/>
  <c r="AX428" i="14"/>
  <c r="AW428" i="14"/>
  <c r="G428" i="14"/>
  <c r="BF427" i="14"/>
  <c r="BE427" i="14"/>
  <c r="BD427" i="14"/>
  <c r="BB427" i="14"/>
  <c r="AZ427" i="14"/>
  <c r="AX427" i="14"/>
  <c r="AW427" i="14"/>
  <c r="G427" i="14"/>
  <c r="BF426" i="14"/>
  <c r="BE426" i="14"/>
  <c r="BD426" i="14"/>
  <c r="BB426" i="14"/>
  <c r="AZ426" i="14"/>
  <c r="AX426" i="14"/>
  <c r="AW426" i="14"/>
  <c r="G426" i="14"/>
  <c r="BF425" i="14"/>
  <c r="BE425" i="14"/>
  <c r="BD425" i="14"/>
  <c r="BB425" i="14"/>
  <c r="AZ425" i="14"/>
  <c r="AX425" i="14"/>
  <c r="AW425" i="14"/>
  <c r="G425" i="14"/>
  <c r="BF424" i="14"/>
  <c r="BE424" i="14"/>
  <c r="BD424" i="14"/>
  <c r="BB424" i="14"/>
  <c r="AZ424" i="14"/>
  <c r="AX424" i="14"/>
  <c r="AW424" i="14"/>
  <c r="G424" i="14"/>
  <c r="BF423" i="14"/>
  <c r="BE423" i="14"/>
  <c r="BD423" i="14"/>
  <c r="BB423" i="14"/>
  <c r="AZ423" i="14"/>
  <c r="AX423" i="14"/>
  <c r="AW423" i="14"/>
  <c r="G423" i="14"/>
  <c r="BF422" i="14"/>
  <c r="BE422" i="14"/>
  <c r="BD422" i="14"/>
  <c r="BB422" i="14"/>
  <c r="AZ422" i="14"/>
  <c r="AX422" i="14"/>
  <c r="AW422" i="14"/>
  <c r="G422" i="14"/>
  <c r="BF421" i="14"/>
  <c r="BE421" i="14"/>
  <c r="BD421" i="14"/>
  <c r="BB421" i="14"/>
  <c r="AZ421" i="14"/>
  <c r="AX421" i="14"/>
  <c r="AW421" i="14"/>
  <c r="G421" i="14"/>
  <c r="BF420" i="14"/>
  <c r="BE420" i="14"/>
  <c r="BD420" i="14"/>
  <c r="BB420" i="14"/>
  <c r="AZ420" i="14"/>
  <c r="AX420" i="14"/>
  <c r="AW420" i="14"/>
  <c r="G420" i="14"/>
  <c r="BF419" i="14"/>
  <c r="BE419" i="14"/>
  <c r="BD419" i="14"/>
  <c r="BB419" i="14"/>
  <c r="AZ419" i="14"/>
  <c r="AX419" i="14"/>
  <c r="AW419" i="14"/>
  <c r="G419" i="14"/>
  <c r="BF418" i="14"/>
  <c r="BE418" i="14"/>
  <c r="BD418" i="14"/>
  <c r="BB418" i="14"/>
  <c r="AZ418" i="14"/>
  <c r="AX418" i="14"/>
  <c r="AW418" i="14"/>
  <c r="G418" i="14"/>
  <c r="BF417" i="14"/>
  <c r="BE417" i="14"/>
  <c r="BD417" i="14"/>
  <c r="BB417" i="14"/>
  <c r="AZ417" i="14"/>
  <c r="AX417" i="14"/>
  <c r="AW417" i="14"/>
  <c r="G417" i="14"/>
  <c r="BF416" i="14"/>
  <c r="BE416" i="14"/>
  <c r="BD416" i="14"/>
  <c r="BB416" i="14"/>
  <c r="AZ416" i="14"/>
  <c r="AX416" i="14"/>
  <c r="AW416" i="14"/>
  <c r="G416" i="14"/>
  <c r="BF415" i="14"/>
  <c r="BE415" i="14"/>
  <c r="BD415" i="14"/>
  <c r="BB415" i="14"/>
  <c r="AZ415" i="14"/>
  <c r="AX415" i="14"/>
  <c r="AW415" i="14"/>
  <c r="G415" i="14"/>
  <c r="BF414" i="14"/>
  <c r="BE414" i="14"/>
  <c r="BD414" i="14"/>
  <c r="BB414" i="14"/>
  <c r="AZ414" i="14"/>
  <c r="AX414" i="14"/>
  <c r="AW414" i="14"/>
  <c r="G414" i="14"/>
  <c r="BF413" i="14"/>
  <c r="BE413" i="14"/>
  <c r="BD413" i="14"/>
  <c r="BB413" i="14"/>
  <c r="AZ413" i="14"/>
  <c r="AX413" i="14"/>
  <c r="AW413" i="14"/>
  <c r="G413" i="14"/>
  <c r="BF412" i="14"/>
  <c r="BE412" i="14"/>
  <c r="BD412" i="14"/>
  <c r="BB412" i="14"/>
  <c r="AZ412" i="14"/>
  <c r="AX412" i="14"/>
  <c r="AW412" i="14"/>
  <c r="G412" i="14"/>
  <c r="BF411" i="14"/>
  <c r="BE411" i="14"/>
  <c r="BD411" i="14"/>
  <c r="BB411" i="14"/>
  <c r="AZ411" i="14"/>
  <c r="AX411" i="14"/>
  <c r="AW411" i="14"/>
  <c r="G411" i="14"/>
  <c r="BF410" i="14"/>
  <c r="BE410" i="14"/>
  <c r="BD410" i="14"/>
  <c r="BB410" i="14"/>
  <c r="AZ410" i="14"/>
  <c r="AX410" i="14"/>
  <c r="AW410" i="14"/>
  <c r="G410" i="14"/>
  <c r="BF409" i="14"/>
  <c r="BE409" i="14"/>
  <c r="BD409" i="14"/>
  <c r="BB409" i="14"/>
  <c r="AZ409" i="14"/>
  <c r="AX409" i="14"/>
  <c r="AW409" i="14"/>
  <c r="G409" i="14"/>
  <c r="BF408" i="14"/>
  <c r="BE408" i="14"/>
  <c r="BD408" i="14"/>
  <c r="BB408" i="14"/>
  <c r="AZ408" i="14"/>
  <c r="AX408" i="14"/>
  <c r="AW408" i="14"/>
  <c r="G408" i="14"/>
  <c r="BF407" i="14"/>
  <c r="BE407" i="14"/>
  <c r="BD407" i="14"/>
  <c r="BB407" i="14"/>
  <c r="AZ407" i="14"/>
  <c r="AX407" i="14"/>
  <c r="AW407" i="14"/>
  <c r="G407" i="14"/>
  <c r="BF406" i="14"/>
  <c r="BE406" i="14"/>
  <c r="BD406" i="14"/>
  <c r="BB406" i="14"/>
  <c r="AZ406" i="14"/>
  <c r="AX406" i="14"/>
  <c r="AW406" i="14"/>
  <c r="G406" i="14"/>
  <c r="BF405" i="14"/>
  <c r="BE405" i="14"/>
  <c r="BD405" i="14"/>
  <c r="BB405" i="14"/>
  <c r="AZ405" i="14"/>
  <c r="AX405" i="14"/>
  <c r="AW405" i="14"/>
  <c r="G405" i="14"/>
  <c r="BF404" i="14"/>
  <c r="BE404" i="14"/>
  <c r="BD404" i="14"/>
  <c r="BB404" i="14"/>
  <c r="AZ404" i="14"/>
  <c r="AX404" i="14"/>
  <c r="AW404" i="14"/>
  <c r="G404" i="14"/>
  <c r="BF403" i="14"/>
  <c r="BE403" i="14"/>
  <c r="BD403" i="14"/>
  <c r="BB403" i="14"/>
  <c r="AZ403" i="14"/>
  <c r="AX403" i="14"/>
  <c r="AW403" i="14"/>
  <c r="G403" i="14"/>
  <c r="BF402" i="14"/>
  <c r="BE402" i="14"/>
  <c r="BD402" i="14"/>
  <c r="BB402" i="14"/>
  <c r="AZ402" i="14"/>
  <c r="AX402" i="14"/>
  <c r="AW402" i="14"/>
  <c r="G402" i="14"/>
  <c r="BF401" i="14"/>
  <c r="BE401" i="14"/>
  <c r="BD401" i="14"/>
  <c r="BB401" i="14"/>
  <c r="AZ401" i="14"/>
  <c r="AX401" i="14"/>
  <c r="AW401" i="14"/>
  <c r="G401" i="14"/>
  <c r="BF400" i="14"/>
  <c r="BE400" i="14"/>
  <c r="BD400" i="14"/>
  <c r="BB400" i="14"/>
  <c r="AZ400" i="14"/>
  <c r="AX400" i="14"/>
  <c r="AW400" i="14"/>
  <c r="G400" i="14"/>
  <c r="BF399" i="14"/>
  <c r="BE399" i="14"/>
  <c r="BD399" i="14"/>
  <c r="BB399" i="14"/>
  <c r="AZ399" i="14"/>
  <c r="AX399" i="14"/>
  <c r="AW399" i="14"/>
  <c r="G399" i="14"/>
  <c r="BF398" i="14"/>
  <c r="BE398" i="14"/>
  <c r="BD398" i="14"/>
  <c r="BB398" i="14"/>
  <c r="AZ398" i="14"/>
  <c r="AX398" i="14"/>
  <c r="AW398" i="14"/>
  <c r="G398" i="14"/>
  <c r="BF397" i="14"/>
  <c r="BE397" i="14"/>
  <c r="BD397" i="14"/>
  <c r="BB397" i="14"/>
  <c r="AZ397" i="14"/>
  <c r="AX397" i="14"/>
  <c r="AW397" i="14"/>
  <c r="BF396" i="14"/>
  <c r="BE396" i="14"/>
  <c r="BD396" i="14"/>
  <c r="BB396" i="14"/>
  <c r="AZ396" i="14"/>
  <c r="AX396" i="14"/>
  <c r="AW396" i="14"/>
  <c r="BF395" i="14"/>
  <c r="BE395" i="14"/>
  <c r="BD395" i="14"/>
  <c r="BB395" i="14"/>
  <c r="AZ395" i="14"/>
  <c r="AX395" i="14"/>
  <c r="AW395" i="14"/>
  <c r="BF394" i="14"/>
  <c r="BE394" i="14"/>
  <c r="BD394" i="14"/>
  <c r="BB394" i="14"/>
  <c r="AZ394" i="14"/>
  <c r="AX394" i="14"/>
  <c r="AW394" i="14"/>
  <c r="BF393" i="14"/>
  <c r="BE393" i="14"/>
  <c r="BD393" i="14"/>
  <c r="BB393" i="14"/>
  <c r="AZ393" i="14"/>
  <c r="AX393" i="14"/>
  <c r="AW393" i="14"/>
  <c r="G393" i="14"/>
  <c r="BF392" i="14"/>
  <c r="BE392" i="14"/>
  <c r="BD392" i="14"/>
  <c r="BB392" i="14"/>
  <c r="AZ392" i="14"/>
  <c r="AX392" i="14"/>
  <c r="AW392" i="14"/>
  <c r="G392" i="14"/>
  <c r="BF391" i="14"/>
  <c r="BE391" i="14"/>
  <c r="BD391" i="14"/>
  <c r="BB391" i="14"/>
  <c r="AZ391" i="14"/>
  <c r="AX391" i="14"/>
  <c r="AW391" i="14"/>
  <c r="G391" i="14"/>
  <c r="BF390" i="14"/>
  <c r="BE390" i="14"/>
  <c r="BD390" i="14"/>
  <c r="BB390" i="14"/>
  <c r="AZ390" i="14"/>
  <c r="AX390" i="14"/>
  <c r="AW390" i="14"/>
  <c r="G390" i="14"/>
  <c r="BF389" i="14"/>
  <c r="BE389" i="14"/>
  <c r="BD389" i="14"/>
  <c r="BB389" i="14"/>
  <c r="AZ389" i="14"/>
  <c r="AX389" i="14"/>
  <c r="AW389" i="14"/>
  <c r="G389" i="14"/>
  <c r="BF388" i="14"/>
  <c r="BE388" i="14"/>
  <c r="BD388" i="14"/>
  <c r="BB388" i="14"/>
  <c r="AZ388" i="14"/>
  <c r="AX388" i="14"/>
  <c r="AW388" i="14"/>
  <c r="BF387" i="14"/>
  <c r="BE387" i="14"/>
  <c r="BD387" i="14"/>
  <c r="BB387" i="14"/>
  <c r="AZ387" i="14"/>
  <c r="AX387" i="14"/>
  <c r="AW387" i="14"/>
  <c r="G387" i="14"/>
  <c r="BF386" i="14"/>
  <c r="BE386" i="14"/>
  <c r="BD386" i="14"/>
  <c r="BB386" i="14"/>
  <c r="AZ386" i="14"/>
  <c r="AX386" i="14"/>
  <c r="AW386" i="14"/>
  <c r="G386" i="14"/>
  <c r="BF385" i="14"/>
  <c r="BE385" i="14"/>
  <c r="BD385" i="14"/>
  <c r="BB385" i="14"/>
  <c r="AZ385" i="14"/>
  <c r="AX385" i="14"/>
  <c r="AW385" i="14"/>
  <c r="G385" i="14"/>
  <c r="BF384" i="14"/>
  <c r="BE384" i="14"/>
  <c r="BD384" i="14"/>
  <c r="BB384" i="14"/>
  <c r="AZ384" i="14"/>
  <c r="AX384" i="14"/>
  <c r="AW384" i="14"/>
  <c r="G384" i="14"/>
  <c r="BF383" i="14"/>
  <c r="BE383" i="14"/>
  <c r="BD383" i="14"/>
  <c r="BB383" i="14"/>
  <c r="AZ383" i="14"/>
  <c r="AX383" i="14"/>
  <c r="AW383" i="14"/>
  <c r="G383" i="14"/>
  <c r="BF382" i="14"/>
  <c r="BE382" i="14"/>
  <c r="BD382" i="14"/>
  <c r="BB382" i="14"/>
  <c r="AZ382" i="14"/>
  <c r="AX382" i="14"/>
  <c r="AW382" i="14"/>
  <c r="G382" i="14"/>
  <c r="BF381" i="14"/>
  <c r="BE381" i="14"/>
  <c r="BD381" i="14"/>
  <c r="BB381" i="14"/>
  <c r="AZ381" i="14"/>
  <c r="AX381" i="14"/>
  <c r="AW381" i="14"/>
  <c r="G381" i="14"/>
  <c r="BF380" i="14"/>
  <c r="BE380" i="14"/>
  <c r="BD380" i="14"/>
  <c r="BB380" i="14"/>
  <c r="AZ380" i="14"/>
  <c r="AX380" i="14"/>
  <c r="AW380" i="14"/>
  <c r="G380" i="14"/>
  <c r="BF379" i="14"/>
  <c r="BE379" i="14"/>
  <c r="BD379" i="14"/>
  <c r="BB379" i="14"/>
  <c r="AZ379" i="14"/>
  <c r="AX379" i="14"/>
  <c r="AW379" i="14"/>
  <c r="G379" i="14"/>
  <c r="BF378" i="14"/>
  <c r="BE378" i="14"/>
  <c r="BD378" i="14"/>
  <c r="BB378" i="14"/>
  <c r="AZ378" i="14"/>
  <c r="AX378" i="14"/>
  <c r="AW378" i="14"/>
  <c r="G378" i="14"/>
  <c r="BF377" i="14"/>
  <c r="BE377" i="14"/>
  <c r="BD377" i="14"/>
  <c r="BB377" i="14"/>
  <c r="AZ377" i="14"/>
  <c r="AX377" i="14"/>
  <c r="AW377" i="14"/>
  <c r="G377" i="14"/>
  <c r="BF376" i="14"/>
  <c r="BE376" i="14"/>
  <c r="BD376" i="14"/>
  <c r="BB376" i="14"/>
  <c r="AZ376" i="14"/>
  <c r="AX376" i="14"/>
  <c r="AW376" i="14"/>
  <c r="G376" i="14"/>
  <c r="BF375" i="14"/>
  <c r="BE375" i="14"/>
  <c r="BD375" i="14"/>
  <c r="BB375" i="14"/>
  <c r="AZ375" i="14"/>
  <c r="AX375" i="14"/>
  <c r="AW375" i="14"/>
  <c r="G375" i="14"/>
  <c r="BF374" i="14"/>
  <c r="BE374" i="14"/>
  <c r="BD374" i="14"/>
  <c r="BB374" i="14"/>
  <c r="AZ374" i="14"/>
  <c r="AX374" i="14"/>
  <c r="AW374" i="14"/>
  <c r="G374" i="14"/>
  <c r="BF373" i="14"/>
  <c r="BE373" i="14"/>
  <c r="BD373" i="14"/>
  <c r="BB373" i="14"/>
  <c r="AZ373" i="14"/>
  <c r="AX373" i="14"/>
  <c r="AW373" i="14"/>
  <c r="G373" i="14"/>
  <c r="BF372" i="14"/>
  <c r="BE372" i="14"/>
  <c r="BD372" i="14"/>
  <c r="BB372" i="14"/>
  <c r="AZ372" i="14"/>
  <c r="AX372" i="14"/>
  <c r="AW372" i="14"/>
  <c r="G372" i="14"/>
  <c r="BF371" i="14"/>
  <c r="BE371" i="14"/>
  <c r="BD371" i="14"/>
  <c r="BB371" i="14"/>
  <c r="AZ371" i="14"/>
  <c r="AX371" i="14"/>
  <c r="AW371" i="14"/>
  <c r="G371" i="14"/>
  <c r="BF370" i="14"/>
  <c r="BE370" i="14"/>
  <c r="BD370" i="14"/>
  <c r="BB370" i="14"/>
  <c r="AZ370" i="14"/>
  <c r="AX370" i="14"/>
  <c r="AW370" i="14"/>
  <c r="G370" i="14"/>
  <c r="BF369" i="14"/>
  <c r="BE369" i="14"/>
  <c r="BD369" i="14"/>
  <c r="BB369" i="14"/>
  <c r="AZ369" i="14"/>
  <c r="AX369" i="14"/>
  <c r="AW369" i="14"/>
  <c r="G369" i="14"/>
  <c r="BF368" i="14"/>
  <c r="BE368" i="14"/>
  <c r="BD368" i="14"/>
  <c r="BB368" i="14"/>
  <c r="AZ368" i="14"/>
  <c r="AX368" i="14"/>
  <c r="AW368" i="14"/>
  <c r="G368" i="14"/>
  <c r="BF367" i="14"/>
  <c r="BE367" i="14"/>
  <c r="BD367" i="14"/>
  <c r="BB367" i="14"/>
  <c r="AZ367" i="14"/>
  <c r="AX367" i="14"/>
  <c r="AW367" i="14"/>
  <c r="G367" i="14"/>
  <c r="BF366" i="14"/>
  <c r="BE366" i="14"/>
  <c r="BD366" i="14"/>
  <c r="BB366" i="14"/>
  <c r="AZ366" i="14"/>
  <c r="AX366" i="14"/>
  <c r="AW366" i="14"/>
  <c r="G366" i="14"/>
  <c r="BF365" i="14"/>
  <c r="BE365" i="14"/>
  <c r="BD365" i="14"/>
  <c r="BB365" i="14"/>
  <c r="AZ365" i="14"/>
  <c r="AX365" i="14"/>
  <c r="AW365" i="14"/>
  <c r="G365" i="14"/>
  <c r="BF364" i="14"/>
  <c r="BE364" i="14"/>
  <c r="BD364" i="14"/>
  <c r="BB364" i="14"/>
  <c r="AZ364" i="14"/>
  <c r="AX364" i="14"/>
  <c r="AW364" i="14"/>
  <c r="G364" i="14"/>
  <c r="BF363" i="14"/>
  <c r="BE363" i="14"/>
  <c r="BD363" i="14"/>
  <c r="BB363" i="14"/>
  <c r="AZ363" i="14"/>
  <c r="AX363" i="14"/>
  <c r="AW363" i="14"/>
  <c r="G363" i="14"/>
  <c r="BF362" i="14"/>
  <c r="BE362" i="14"/>
  <c r="BD362" i="14"/>
  <c r="BB362" i="14"/>
  <c r="AZ362" i="14"/>
  <c r="AX362" i="14"/>
  <c r="AW362" i="14"/>
  <c r="G362" i="14"/>
  <c r="BF361" i="14"/>
  <c r="BE361" i="14"/>
  <c r="BD361" i="14"/>
  <c r="BB361" i="14"/>
  <c r="AZ361" i="14"/>
  <c r="AX361" i="14"/>
  <c r="AW361" i="14"/>
  <c r="G361" i="14"/>
  <c r="BF360" i="14"/>
  <c r="BE360" i="14"/>
  <c r="BD360" i="14"/>
  <c r="BB360" i="14"/>
  <c r="AZ360" i="14"/>
  <c r="AX360" i="14"/>
  <c r="AW360" i="14"/>
  <c r="G360" i="14"/>
  <c r="BF359" i="14"/>
  <c r="BE359" i="14"/>
  <c r="BD359" i="14"/>
  <c r="BB359" i="14"/>
  <c r="AZ359" i="14"/>
  <c r="AX359" i="14"/>
  <c r="AW359" i="14"/>
  <c r="G359" i="14"/>
  <c r="BF358" i="14"/>
  <c r="BE358" i="14"/>
  <c r="BD358" i="14"/>
  <c r="BB358" i="14"/>
  <c r="AZ358" i="14"/>
  <c r="AX358" i="14"/>
  <c r="AW358" i="14"/>
  <c r="G358" i="14"/>
  <c r="BF357" i="14"/>
  <c r="BE357" i="14"/>
  <c r="BD357" i="14"/>
  <c r="BB357" i="14"/>
  <c r="AZ357" i="14"/>
  <c r="AX357" i="14"/>
  <c r="AW357" i="14"/>
  <c r="G357" i="14"/>
  <c r="BF356" i="14"/>
  <c r="BE356" i="14"/>
  <c r="BD356" i="14"/>
  <c r="BB356" i="14"/>
  <c r="AZ356" i="14"/>
  <c r="AX356" i="14"/>
  <c r="AW356" i="14"/>
  <c r="G356" i="14"/>
  <c r="BF355" i="14"/>
  <c r="BE355" i="14"/>
  <c r="BD355" i="14"/>
  <c r="BB355" i="14"/>
  <c r="AZ355" i="14"/>
  <c r="AX355" i="14"/>
  <c r="AW355" i="14"/>
  <c r="G355" i="14"/>
  <c r="BF354" i="14"/>
  <c r="BE354" i="14"/>
  <c r="BD354" i="14"/>
  <c r="BB354" i="14"/>
  <c r="AZ354" i="14"/>
  <c r="AX354" i="14"/>
  <c r="AW354" i="14"/>
  <c r="G354" i="14"/>
  <c r="BF353" i="14"/>
  <c r="BE353" i="14"/>
  <c r="BD353" i="14"/>
  <c r="BB353" i="14"/>
  <c r="AZ353" i="14"/>
  <c r="AX353" i="14"/>
  <c r="AW353" i="14"/>
  <c r="G353" i="14"/>
  <c r="BF352" i="14"/>
  <c r="BE352" i="14"/>
  <c r="BD352" i="14"/>
  <c r="BB352" i="14"/>
  <c r="AZ352" i="14"/>
  <c r="AX352" i="14"/>
  <c r="AW352" i="14"/>
  <c r="G352" i="14"/>
  <c r="BF351" i="14"/>
  <c r="BE351" i="14"/>
  <c r="BD351" i="14"/>
  <c r="BB351" i="14"/>
  <c r="AZ351" i="14"/>
  <c r="AX351" i="14"/>
  <c r="AW351" i="14"/>
  <c r="G351" i="14"/>
  <c r="BF350" i="14"/>
  <c r="BE350" i="14"/>
  <c r="BD350" i="14"/>
  <c r="BB350" i="14"/>
  <c r="AZ350" i="14"/>
  <c r="AX350" i="14"/>
  <c r="AW350" i="14"/>
  <c r="G350" i="14"/>
  <c r="BF349" i="14"/>
  <c r="BE349" i="14"/>
  <c r="BD349" i="14"/>
  <c r="BB349" i="14"/>
  <c r="AZ349" i="14"/>
  <c r="AX349" i="14"/>
  <c r="AW349" i="14"/>
  <c r="G349" i="14"/>
  <c r="BF348" i="14"/>
  <c r="BE348" i="14"/>
  <c r="BD348" i="14"/>
  <c r="BB348" i="14"/>
  <c r="AZ348" i="14"/>
  <c r="AX348" i="14"/>
  <c r="AW348" i="14"/>
  <c r="G348" i="14"/>
  <c r="BF347" i="14"/>
  <c r="BE347" i="14"/>
  <c r="BD347" i="14"/>
  <c r="BB347" i="14"/>
  <c r="AZ347" i="14"/>
  <c r="AX347" i="14"/>
  <c r="AW347" i="14"/>
  <c r="G347" i="14"/>
  <c r="BF346" i="14"/>
  <c r="BE346" i="14"/>
  <c r="BD346" i="14"/>
  <c r="BB346" i="14"/>
  <c r="AZ346" i="14"/>
  <c r="AX346" i="14"/>
  <c r="AW346" i="14"/>
  <c r="G346" i="14"/>
  <c r="BF345" i="14"/>
  <c r="BE345" i="14"/>
  <c r="BD345" i="14"/>
  <c r="BB345" i="14"/>
  <c r="AZ345" i="14"/>
  <c r="AX345" i="14"/>
  <c r="AW345" i="14"/>
  <c r="G345" i="14"/>
  <c r="BF344" i="14"/>
  <c r="BE344" i="14"/>
  <c r="BD344" i="14"/>
  <c r="BB344" i="14"/>
  <c r="AZ344" i="14"/>
  <c r="AX344" i="14"/>
  <c r="AW344" i="14"/>
  <c r="G344" i="14"/>
  <c r="BF343" i="14"/>
  <c r="BE343" i="14"/>
  <c r="BD343" i="14"/>
  <c r="BB343" i="14"/>
  <c r="AZ343" i="14"/>
  <c r="AX343" i="14"/>
  <c r="AW343" i="14"/>
  <c r="G343" i="14"/>
  <c r="BF342" i="14"/>
  <c r="BE342" i="14"/>
  <c r="BD342" i="14"/>
  <c r="BB342" i="14"/>
  <c r="AZ342" i="14"/>
  <c r="AX342" i="14"/>
  <c r="AW342" i="14"/>
  <c r="G342" i="14"/>
  <c r="BF341" i="14"/>
  <c r="BE341" i="14"/>
  <c r="BD341" i="14"/>
  <c r="BB341" i="14"/>
  <c r="AZ341" i="14"/>
  <c r="AX341" i="14"/>
  <c r="AW341" i="14"/>
  <c r="G341" i="14"/>
  <c r="BF340" i="14"/>
  <c r="BE340" i="14"/>
  <c r="BD340" i="14"/>
  <c r="BB340" i="14"/>
  <c r="AZ340" i="14"/>
  <c r="AX340" i="14"/>
  <c r="AW340" i="14"/>
  <c r="G340" i="14"/>
  <c r="BF339" i="14"/>
  <c r="BE339" i="14"/>
  <c r="BD339" i="14"/>
  <c r="BB339" i="14"/>
  <c r="AZ339" i="14"/>
  <c r="AX339" i="14"/>
  <c r="AW339" i="14"/>
  <c r="G339" i="14"/>
  <c r="BF338" i="14"/>
  <c r="BE338" i="14"/>
  <c r="BD338" i="14"/>
  <c r="BB338" i="14"/>
  <c r="AZ338" i="14"/>
  <c r="AX338" i="14"/>
  <c r="AW338" i="14"/>
  <c r="G338" i="14"/>
  <c r="BF337" i="14"/>
  <c r="BE337" i="14"/>
  <c r="BD337" i="14"/>
  <c r="BB337" i="14"/>
  <c r="AZ337" i="14"/>
  <c r="AX337" i="14"/>
  <c r="AW337" i="14"/>
  <c r="G337" i="14"/>
  <c r="BF336" i="14"/>
  <c r="BE336" i="14"/>
  <c r="BD336" i="14"/>
  <c r="BB336" i="14"/>
  <c r="AZ336" i="14"/>
  <c r="AX336" i="14"/>
  <c r="AW336" i="14"/>
  <c r="G336" i="14"/>
  <c r="BF335" i="14"/>
  <c r="BE335" i="14"/>
  <c r="BD335" i="14"/>
  <c r="BB335" i="14"/>
  <c r="AZ335" i="14"/>
  <c r="AX335" i="14"/>
  <c r="AW335" i="14"/>
  <c r="G335" i="14"/>
  <c r="BF334" i="14"/>
  <c r="BE334" i="14"/>
  <c r="BD334" i="14"/>
  <c r="BB334" i="14"/>
  <c r="AZ334" i="14"/>
  <c r="AX334" i="14"/>
  <c r="AW334" i="14"/>
  <c r="G334" i="14"/>
  <c r="BF333" i="14"/>
  <c r="BE333" i="14"/>
  <c r="BD333" i="14"/>
  <c r="BB333" i="14"/>
  <c r="AZ333" i="14"/>
  <c r="AX333" i="14"/>
  <c r="AW333" i="14"/>
  <c r="G333" i="14"/>
  <c r="BF332" i="14"/>
  <c r="BE332" i="14"/>
  <c r="BD332" i="14"/>
  <c r="BB332" i="14"/>
  <c r="AZ332" i="14"/>
  <c r="AX332" i="14"/>
  <c r="AW332" i="14"/>
  <c r="G332" i="14"/>
  <c r="BF331" i="14"/>
  <c r="BE331" i="14"/>
  <c r="BD331" i="14"/>
  <c r="BB331" i="14"/>
  <c r="AZ331" i="14"/>
  <c r="AX331" i="14"/>
  <c r="AW331" i="14"/>
  <c r="G331" i="14"/>
  <c r="BF330" i="14"/>
  <c r="BE330" i="14"/>
  <c r="BD330" i="14"/>
  <c r="BB330" i="14"/>
  <c r="AZ330" i="14"/>
  <c r="AX330" i="14"/>
  <c r="AW330" i="14"/>
  <c r="G330" i="14"/>
  <c r="BF329" i="14"/>
  <c r="BE329" i="14"/>
  <c r="BD329" i="14"/>
  <c r="BB329" i="14"/>
  <c r="AZ329" i="14"/>
  <c r="AX329" i="14"/>
  <c r="AW329" i="14"/>
  <c r="G329" i="14"/>
  <c r="BF328" i="14"/>
  <c r="BE328" i="14"/>
  <c r="BD328" i="14"/>
  <c r="BB328" i="14"/>
  <c r="AZ328" i="14"/>
  <c r="AX328" i="14"/>
  <c r="AW328" i="14"/>
  <c r="G328" i="14"/>
  <c r="BF327" i="14"/>
  <c r="BE327" i="14"/>
  <c r="BD327" i="14"/>
  <c r="BB327" i="14"/>
  <c r="AZ327" i="14"/>
  <c r="AX327" i="14"/>
  <c r="AW327" i="14"/>
  <c r="G327" i="14"/>
  <c r="BF326" i="14"/>
  <c r="BE326" i="14"/>
  <c r="BD326" i="14"/>
  <c r="BB326" i="14"/>
  <c r="AZ326" i="14"/>
  <c r="AX326" i="14"/>
  <c r="AW326" i="14"/>
  <c r="G326" i="14"/>
  <c r="BF325" i="14"/>
  <c r="BE325" i="14"/>
  <c r="BD325" i="14"/>
  <c r="BB325" i="14"/>
  <c r="AZ325" i="14"/>
  <c r="AX325" i="14"/>
  <c r="AW325" i="14"/>
  <c r="G325" i="14"/>
  <c r="BF324" i="14"/>
  <c r="BE324" i="14"/>
  <c r="BD324" i="14"/>
  <c r="BB324" i="14"/>
  <c r="AZ324" i="14"/>
  <c r="AX324" i="14"/>
  <c r="AW324" i="14"/>
  <c r="G324" i="14"/>
  <c r="BF323" i="14"/>
  <c r="BE323" i="14"/>
  <c r="BD323" i="14"/>
  <c r="BB323" i="14"/>
  <c r="AZ323" i="14"/>
  <c r="AX323" i="14"/>
  <c r="AW323" i="14"/>
  <c r="G323" i="14"/>
  <c r="BF322" i="14"/>
  <c r="BE322" i="14"/>
  <c r="BD322" i="14"/>
  <c r="BB322" i="14"/>
  <c r="AZ322" i="14"/>
  <c r="AX322" i="14"/>
  <c r="AW322" i="14"/>
  <c r="G322" i="14"/>
  <c r="BF321" i="14"/>
  <c r="BE321" i="14"/>
  <c r="BD321" i="14"/>
  <c r="BB321" i="14"/>
  <c r="AZ321" i="14"/>
  <c r="AX321" i="14"/>
  <c r="AW321" i="14"/>
  <c r="G321" i="14"/>
  <c r="BF320" i="14"/>
  <c r="BE320" i="14"/>
  <c r="BD320" i="14"/>
  <c r="BB320" i="14"/>
  <c r="AZ320" i="14"/>
  <c r="AX320" i="14"/>
  <c r="AW320" i="14"/>
  <c r="G320" i="14"/>
  <c r="BF319" i="14"/>
  <c r="BE319" i="14"/>
  <c r="BD319" i="14"/>
  <c r="BB319" i="14"/>
  <c r="AZ319" i="14"/>
  <c r="AX319" i="14"/>
  <c r="AW319" i="14"/>
  <c r="G319" i="14"/>
  <c r="BF318" i="14"/>
  <c r="BE318" i="14"/>
  <c r="BD318" i="14"/>
  <c r="BB318" i="14"/>
  <c r="AZ318" i="14"/>
  <c r="AX318" i="14"/>
  <c r="AW318" i="14"/>
  <c r="G318" i="14"/>
  <c r="BF317" i="14"/>
  <c r="BE317" i="14"/>
  <c r="BD317" i="14"/>
  <c r="BB317" i="14"/>
  <c r="AZ317" i="14"/>
  <c r="AX317" i="14"/>
  <c r="AW317" i="14"/>
  <c r="G317" i="14"/>
  <c r="BF316" i="14"/>
  <c r="BE316" i="14"/>
  <c r="BD316" i="14"/>
  <c r="BB316" i="14"/>
  <c r="AZ316" i="14"/>
  <c r="AX316" i="14"/>
  <c r="AW316" i="14"/>
  <c r="G316" i="14"/>
  <c r="BF315" i="14"/>
  <c r="BE315" i="14"/>
  <c r="BD315" i="14"/>
  <c r="BB315" i="14"/>
  <c r="AZ315" i="14"/>
  <c r="AX315" i="14"/>
  <c r="AW315" i="14"/>
  <c r="G315" i="14"/>
  <c r="BF314" i="14"/>
  <c r="BE314" i="14"/>
  <c r="BD314" i="14"/>
  <c r="BB314" i="14"/>
  <c r="AZ314" i="14"/>
  <c r="AX314" i="14"/>
  <c r="AW314" i="14"/>
  <c r="G314" i="14"/>
  <c r="BF313" i="14"/>
  <c r="BE313" i="14"/>
  <c r="BD313" i="14"/>
  <c r="BB313" i="14"/>
  <c r="AZ313" i="14"/>
  <c r="AX313" i="14"/>
  <c r="AW313" i="14"/>
  <c r="G313" i="14"/>
  <c r="BF312" i="14"/>
  <c r="BE312" i="14"/>
  <c r="BD312" i="14"/>
  <c r="BB312" i="14"/>
  <c r="AZ312" i="14"/>
  <c r="AX312" i="14"/>
  <c r="AW312" i="14"/>
  <c r="G312" i="14"/>
  <c r="BF311" i="14"/>
  <c r="BE311" i="14"/>
  <c r="BD311" i="14"/>
  <c r="BB311" i="14"/>
  <c r="AZ311" i="14"/>
  <c r="AX311" i="14"/>
  <c r="AW311" i="14"/>
  <c r="G311" i="14"/>
  <c r="BF310" i="14"/>
  <c r="BE310" i="14"/>
  <c r="BD310" i="14"/>
  <c r="BB310" i="14"/>
  <c r="AZ310" i="14"/>
  <c r="AX310" i="14"/>
  <c r="AW310" i="14"/>
  <c r="G310" i="14"/>
  <c r="BF309" i="14"/>
  <c r="BE309" i="14"/>
  <c r="BD309" i="14"/>
  <c r="BB309" i="14"/>
  <c r="AZ309" i="14"/>
  <c r="AX309" i="14"/>
  <c r="AW309" i="14"/>
  <c r="G309" i="14"/>
  <c r="BF308" i="14"/>
  <c r="BE308" i="14"/>
  <c r="BD308" i="14"/>
  <c r="BB308" i="14"/>
  <c r="AZ308" i="14"/>
  <c r="AX308" i="14"/>
  <c r="AW308" i="14"/>
  <c r="G308" i="14"/>
  <c r="BF307" i="14"/>
  <c r="BE307" i="14"/>
  <c r="BD307" i="14"/>
  <c r="BB307" i="14"/>
  <c r="AZ307" i="14"/>
  <c r="AX307" i="14"/>
  <c r="AW307" i="14"/>
  <c r="G307" i="14"/>
  <c r="BF306" i="14"/>
  <c r="BE306" i="14"/>
  <c r="BD306" i="14"/>
  <c r="BB306" i="14"/>
  <c r="AZ306" i="14"/>
  <c r="AX306" i="14"/>
  <c r="AW306" i="14"/>
  <c r="G306" i="14"/>
  <c r="BF305" i="14"/>
  <c r="BE305" i="14"/>
  <c r="BD305" i="14"/>
  <c r="BB305" i="14"/>
  <c r="AZ305" i="14"/>
  <c r="AX305" i="14"/>
  <c r="AW305" i="14"/>
  <c r="G305" i="14"/>
  <c r="BF304" i="14"/>
  <c r="BE304" i="14"/>
  <c r="BD304" i="14"/>
  <c r="BB304" i="14"/>
  <c r="AZ304" i="14"/>
  <c r="AX304" i="14"/>
  <c r="AW304" i="14"/>
  <c r="G304" i="14"/>
  <c r="BF303" i="14"/>
  <c r="BE303" i="14"/>
  <c r="BD303" i="14"/>
  <c r="BB303" i="14"/>
  <c r="AZ303" i="14"/>
  <c r="AX303" i="14"/>
  <c r="AW303" i="14"/>
  <c r="G303" i="14"/>
  <c r="BF302" i="14"/>
  <c r="BE302" i="14"/>
  <c r="BD302" i="14"/>
  <c r="BB302" i="14"/>
  <c r="AZ302" i="14"/>
  <c r="AX302" i="14"/>
  <c r="AW302" i="14"/>
  <c r="G302" i="14"/>
  <c r="BF301" i="14"/>
  <c r="BE301" i="14"/>
  <c r="BD301" i="14"/>
  <c r="BB301" i="14"/>
  <c r="AZ301" i="14"/>
  <c r="AX301" i="14"/>
  <c r="AW301" i="14"/>
  <c r="G301" i="14"/>
  <c r="BF300" i="14"/>
  <c r="BE300" i="14"/>
  <c r="BD300" i="14"/>
  <c r="BB300" i="14"/>
  <c r="AZ300" i="14"/>
  <c r="AX300" i="14"/>
  <c r="AW300" i="14"/>
  <c r="G300" i="14"/>
  <c r="BF299" i="14"/>
  <c r="BE299" i="14"/>
  <c r="BD299" i="14"/>
  <c r="BB299" i="14"/>
  <c r="AZ299" i="14"/>
  <c r="AX299" i="14"/>
  <c r="AW299" i="14"/>
  <c r="G299" i="14"/>
  <c r="BF298" i="14"/>
  <c r="BE298" i="14"/>
  <c r="BD298" i="14"/>
  <c r="BB298" i="14"/>
  <c r="AZ298" i="14"/>
  <c r="AX298" i="14"/>
  <c r="AW298" i="14"/>
  <c r="G298" i="14"/>
  <c r="BF297" i="14"/>
  <c r="BE297" i="14"/>
  <c r="BD297" i="14"/>
  <c r="BB297" i="14"/>
  <c r="AZ297" i="14"/>
  <c r="AX297" i="14"/>
  <c r="AW297" i="14"/>
  <c r="G297" i="14"/>
  <c r="BF296" i="14"/>
  <c r="BE296" i="14"/>
  <c r="BD296" i="14"/>
  <c r="BB296" i="14"/>
  <c r="AZ296" i="14"/>
  <c r="AX296" i="14"/>
  <c r="AW296" i="14"/>
  <c r="G296" i="14"/>
  <c r="BF295" i="14"/>
  <c r="BE295" i="14"/>
  <c r="BD295" i="14"/>
  <c r="BB295" i="14"/>
  <c r="AZ295" i="14"/>
  <c r="AX295" i="14"/>
  <c r="AW295" i="14"/>
  <c r="G295" i="14"/>
  <c r="BF294" i="14"/>
  <c r="BE294" i="14"/>
  <c r="BD294" i="14"/>
  <c r="BB294" i="14"/>
  <c r="AZ294" i="14"/>
  <c r="AX294" i="14"/>
  <c r="AW294" i="14"/>
  <c r="G294" i="14"/>
  <c r="BF293" i="14"/>
  <c r="BE293" i="14"/>
  <c r="BD293" i="14"/>
  <c r="BB293" i="14"/>
  <c r="AZ293" i="14"/>
  <c r="AX293" i="14"/>
  <c r="AW293" i="14"/>
  <c r="G293" i="14"/>
  <c r="BF292" i="14"/>
  <c r="BE292" i="14"/>
  <c r="BD292" i="14"/>
  <c r="BB292" i="14"/>
  <c r="AZ292" i="14"/>
  <c r="AX292" i="14"/>
  <c r="AW292" i="14"/>
  <c r="G292" i="14"/>
  <c r="BF291" i="14"/>
  <c r="BE291" i="14"/>
  <c r="BD291" i="14"/>
  <c r="BB291" i="14"/>
  <c r="AZ291" i="14"/>
  <c r="AX291" i="14"/>
  <c r="AW291" i="14"/>
  <c r="G291" i="14"/>
  <c r="BF290" i="14"/>
  <c r="BE290" i="14"/>
  <c r="BD290" i="14"/>
  <c r="BB290" i="14"/>
  <c r="AZ290" i="14"/>
  <c r="AX290" i="14"/>
  <c r="AW290" i="14"/>
  <c r="G290" i="14"/>
  <c r="BF289" i="14"/>
  <c r="BE289" i="14"/>
  <c r="BD289" i="14"/>
  <c r="BB289" i="14"/>
  <c r="AZ289" i="14"/>
  <c r="AX289" i="14"/>
  <c r="AW289" i="14"/>
  <c r="G289" i="14"/>
  <c r="BF288" i="14"/>
  <c r="BE288" i="14"/>
  <c r="BD288" i="14"/>
  <c r="BB288" i="14"/>
  <c r="AZ288" i="14"/>
  <c r="AX288" i="14"/>
  <c r="AW288" i="14"/>
  <c r="G288" i="14"/>
  <c r="BF287" i="14"/>
  <c r="BE287" i="14"/>
  <c r="BD287" i="14"/>
  <c r="BB287" i="14"/>
  <c r="AZ287" i="14"/>
  <c r="AX287" i="14"/>
  <c r="AW287" i="14"/>
  <c r="G287" i="14"/>
  <c r="F287" i="14"/>
  <c r="BF286" i="14"/>
  <c r="BE286" i="14"/>
  <c r="BD286" i="14"/>
  <c r="BB286" i="14"/>
  <c r="AZ286" i="14"/>
  <c r="AX286" i="14"/>
  <c r="AW286" i="14"/>
  <c r="G286" i="14"/>
  <c r="F286" i="14"/>
  <c r="BF285" i="14"/>
  <c r="BE285" i="14"/>
  <c r="BD285" i="14"/>
  <c r="BB285" i="14"/>
  <c r="AZ285" i="14"/>
  <c r="AX285" i="14"/>
  <c r="AW285" i="14"/>
  <c r="G285" i="14"/>
  <c r="F285" i="14"/>
  <c r="BF284" i="14"/>
  <c r="BE284" i="14"/>
  <c r="BD284" i="14"/>
  <c r="BB284" i="14"/>
  <c r="AZ284" i="14"/>
  <c r="AX284" i="14"/>
  <c r="AW284" i="14"/>
  <c r="G284" i="14"/>
  <c r="F284" i="14"/>
  <c r="BF283" i="14"/>
  <c r="BE283" i="14"/>
  <c r="BD283" i="14"/>
  <c r="BB283" i="14"/>
  <c r="AZ283" i="14"/>
  <c r="AX283" i="14"/>
  <c r="AW283" i="14"/>
  <c r="G283" i="14"/>
  <c r="F283" i="14"/>
  <c r="BF282" i="14"/>
  <c r="BE282" i="14"/>
  <c r="BD282" i="14"/>
  <c r="BB282" i="14"/>
  <c r="AZ282" i="14"/>
  <c r="AX282" i="14"/>
  <c r="AW282" i="14"/>
  <c r="G282" i="14"/>
  <c r="F282" i="14"/>
  <c r="BF281" i="14"/>
  <c r="BE281" i="14"/>
  <c r="BD281" i="14"/>
  <c r="BB281" i="14"/>
  <c r="AZ281" i="14"/>
  <c r="AX281" i="14"/>
  <c r="AW281" i="14"/>
  <c r="G281" i="14"/>
  <c r="F281" i="14"/>
  <c r="BF280" i="14"/>
  <c r="BE280" i="14"/>
  <c r="BD280" i="14"/>
  <c r="BB280" i="14"/>
  <c r="AZ280" i="14"/>
  <c r="AX280" i="14"/>
  <c r="AW280" i="14"/>
  <c r="G280" i="14"/>
  <c r="F280" i="14"/>
  <c r="BF279" i="14"/>
  <c r="BE279" i="14"/>
  <c r="BD279" i="14"/>
  <c r="BB279" i="14"/>
  <c r="AZ279" i="14"/>
  <c r="AX279" i="14"/>
  <c r="AW279" i="14"/>
  <c r="G279" i="14"/>
  <c r="F279" i="14"/>
  <c r="BF278" i="14"/>
  <c r="BE278" i="14"/>
  <c r="BD278" i="14"/>
  <c r="BB278" i="14"/>
  <c r="AZ278" i="14"/>
  <c r="AX278" i="14"/>
  <c r="AW278" i="14"/>
  <c r="G278" i="14"/>
  <c r="F278" i="14"/>
  <c r="BF277" i="14"/>
  <c r="BE277" i="14"/>
  <c r="BD277" i="14"/>
  <c r="BB277" i="14"/>
  <c r="AZ277" i="14"/>
  <c r="AX277" i="14"/>
  <c r="AW277" i="14"/>
  <c r="G277" i="14"/>
  <c r="F277" i="14"/>
  <c r="BF276" i="14"/>
  <c r="BE276" i="14"/>
  <c r="BD276" i="14"/>
  <c r="BB276" i="14"/>
  <c r="AZ276" i="14"/>
  <c r="AX276" i="14"/>
  <c r="AW276" i="14"/>
  <c r="G276" i="14"/>
  <c r="F276" i="14"/>
  <c r="BF275" i="14"/>
  <c r="BE275" i="14"/>
  <c r="BD275" i="14"/>
  <c r="BB275" i="14"/>
  <c r="AZ275" i="14"/>
  <c r="AX275" i="14"/>
  <c r="AW275" i="14"/>
  <c r="G275" i="14"/>
  <c r="F275" i="14"/>
  <c r="BF274" i="14"/>
  <c r="BE274" i="14"/>
  <c r="BD274" i="14"/>
  <c r="BB274" i="14"/>
  <c r="AZ274" i="14"/>
  <c r="AX274" i="14"/>
  <c r="AW274" i="14"/>
  <c r="G274" i="14"/>
  <c r="F274" i="14"/>
  <c r="BF273" i="14"/>
  <c r="BE273" i="14"/>
  <c r="BD273" i="14"/>
  <c r="BB273" i="14"/>
  <c r="AZ273" i="14"/>
  <c r="AX273" i="14"/>
  <c r="AW273" i="14"/>
  <c r="G273" i="14"/>
  <c r="F273" i="14"/>
  <c r="BF272" i="14"/>
  <c r="BE272" i="14"/>
  <c r="BD272" i="14"/>
  <c r="BB272" i="14"/>
  <c r="AZ272" i="14"/>
  <c r="AX272" i="14"/>
  <c r="AW272" i="14"/>
  <c r="G272" i="14"/>
  <c r="F272" i="14"/>
  <c r="BF271" i="14"/>
  <c r="BE271" i="14"/>
  <c r="BD271" i="14"/>
  <c r="BB271" i="14"/>
  <c r="AZ271" i="14"/>
  <c r="AX271" i="14"/>
  <c r="AW271" i="14"/>
  <c r="G271" i="14"/>
  <c r="F271" i="14"/>
  <c r="BF270" i="14"/>
  <c r="BE270" i="14"/>
  <c r="BD270" i="14"/>
  <c r="BB270" i="14"/>
  <c r="AZ270" i="14"/>
  <c r="AX270" i="14"/>
  <c r="AW270" i="14"/>
  <c r="G270" i="14"/>
  <c r="F270" i="14"/>
  <c r="BF269" i="14"/>
  <c r="BE269" i="14"/>
  <c r="BD269" i="14"/>
  <c r="BB269" i="14"/>
  <c r="AZ269" i="14"/>
  <c r="AX269" i="14"/>
  <c r="AW269" i="14"/>
  <c r="G269" i="14"/>
  <c r="F269" i="14"/>
  <c r="BF268" i="14"/>
  <c r="BE268" i="14"/>
  <c r="BD268" i="14"/>
  <c r="BB268" i="14"/>
  <c r="AZ268" i="14"/>
  <c r="AX268" i="14"/>
  <c r="AW268" i="14"/>
  <c r="G268" i="14"/>
  <c r="F268" i="14"/>
  <c r="BF267" i="14"/>
  <c r="BE267" i="14"/>
  <c r="BD267" i="14"/>
  <c r="BB267" i="14"/>
  <c r="AZ267" i="14"/>
  <c r="AX267" i="14"/>
  <c r="AW267" i="14"/>
  <c r="G267" i="14"/>
  <c r="F267" i="14"/>
  <c r="BF266" i="14"/>
  <c r="BE266" i="14"/>
  <c r="BD266" i="14"/>
  <c r="BB266" i="14"/>
  <c r="AZ266" i="14"/>
  <c r="AX266" i="14"/>
  <c r="AW266" i="14"/>
  <c r="G266" i="14"/>
  <c r="F266" i="14"/>
  <c r="BF265" i="14"/>
  <c r="BE265" i="14"/>
  <c r="BD265" i="14"/>
  <c r="BB265" i="14"/>
  <c r="AZ265" i="14"/>
  <c r="AX265" i="14"/>
  <c r="AW265" i="14"/>
  <c r="G265" i="14"/>
  <c r="F265" i="14"/>
  <c r="BF264" i="14"/>
  <c r="BE264" i="14"/>
  <c r="BD264" i="14"/>
  <c r="BB264" i="14"/>
  <c r="AZ264" i="14"/>
  <c r="AX264" i="14"/>
  <c r="AW264" i="14"/>
  <c r="G264" i="14"/>
  <c r="F264" i="14"/>
  <c r="BF263" i="14"/>
  <c r="BE263" i="14"/>
  <c r="BD263" i="14"/>
  <c r="BB263" i="14"/>
  <c r="AZ263" i="14"/>
  <c r="AX263" i="14"/>
  <c r="AW263" i="14"/>
  <c r="G263" i="14"/>
  <c r="F263" i="14"/>
  <c r="BF262" i="14"/>
  <c r="BE262" i="14"/>
  <c r="BD262" i="14"/>
  <c r="BB262" i="14"/>
  <c r="AZ262" i="14"/>
  <c r="AX262" i="14"/>
  <c r="AW262" i="14"/>
  <c r="G262" i="14"/>
  <c r="F262" i="14"/>
  <c r="BF261" i="14"/>
  <c r="BE261" i="14"/>
  <c r="BD261" i="14"/>
  <c r="BB261" i="14"/>
  <c r="AZ261" i="14"/>
  <c r="AX261" i="14"/>
  <c r="AW261" i="14"/>
  <c r="G261" i="14"/>
  <c r="F261" i="14"/>
  <c r="BF260" i="14"/>
  <c r="BE260" i="14"/>
  <c r="BD260" i="14"/>
  <c r="BB260" i="14"/>
  <c r="AZ260" i="14"/>
  <c r="AX260" i="14"/>
  <c r="AW260" i="14"/>
  <c r="G260" i="14"/>
  <c r="F260" i="14"/>
  <c r="BF259" i="14"/>
  <c r="BE259" i="14"/>
  <c r="BD259" i="14"/>
  <c r="BB259" i="14"/>
  <c r="AZ259" i="14"/>
  <c r="AX259" i="14"/>
  <c r="AW259" i="14"/>
  <c r="G259" i="14"/>
  <c r="F259" i="14"/>
  <c r="BF258" i="14"/>
  <c r="BE258" i="14"/>
  <c r="BD258" i="14"/>
  <c r="BB258" i="14"/>
  <c r="AZ258" i="14"/>
  <c r="AX258" i="14"/>
  <c r="AW258" i="14"/>
  <c r="G258" i="14"/>
  <c r="F258" i="14"/>
  <c r="BF257" i="14"/>
  <c r="BE257" i="14"/>
  <c r="BD257" i="14"/>
  <c r="BB257" i="14"/>
  <c r="AZ257" i="14"/>
  <c r="AX257" i="14"/>
  <c r="AW257" i="14"/>
  <c r="G257" i="14"/>
  <c r="F257" i="14"/>
  <c r="BF256" i="14"/>
  <c r="BE256" i="14"/>
  <c r="BD256" i="14"/>
  <c r="BB256" i="14"/>
  <c r="AZ256" i="14"/>
  <c r="AX256" i="14"/>
  <c r="AW256" i="14"/>
  <c r="G256" i="14"/>
  <c r="F256" i="14"/>
  <c r="BF255" i="14"/>
  <c r="BE255" i="14"/>
  <c r="BD255" i="14"/>
  <c r="BB255" i="14"/>
  <c r="AZ255" i="14"/>
  <c r="AX255" i="14"/>
  <c r="AW255" i="14"/>
  <c r="G255" i="14"/>
  <c r="F255" i="14"/>
  <c r="BF254" i="14"/>
  <c r="BE254" i="14"/>
  <c r="BD254" i="14"/>
  <c r="BB254" i="14"/>
  <c r="AZ254" i="14"/>
  <c r="AX254" i="14"/>
  <c r="AW254" i="14"/>
  <c r="G254" i="14"/>
  <c r="F254" i="14"/>
  <c r="BF253" i="14"/>
  <c r="BE253" i="14"/>
  <c r="BD253" i="14"/>
  <c r="BB253" i="14"/>
  <c r="AZ253" i="14"/>
  <c r="AX253" i="14"/>
  <c r="AW253" i="14"/>
  <c r="G253" i="14"/>
  <c r="F253" i="14"/>
  <c r="BF252" i="14"/>
  <c r="BE252" i="14"/>
  <c r="BD252" i="14"/>
  <c r="BB252" i="14"/>
  <c r="AZ252" i="14"/>
  <c r="AX252" i="14"/>
  <c r="AW252" i="14"/>
  <c r="G252" i="14"/>
  <c r="F252" i="14"/>
  <c r="BF251" i="14"/>
  <c r="BE251" i="14"/>
  <c r="BD251" i="14"/>
  <c r="BB251" i="14"/>
  <c r="AZ251" i="14"/>
  <c r="AX251" i="14"/>
  <c r="AW251" i="14"/>
  <c r="G251" i="14"/>
  <c r="F251" i="14"/>
  <c r="BF250" i="14"/>
  <c r="BE250" i="14"/>
  <c r="BD250" i="14"/>
  <c r="BB250" i="14"/>
  <c r="AZ250" i="14"/>
  <c r="AX250" i="14"/>
  <c r="AW250" i="14"/>
  <c r="G250" i="14"/>
  <c r="F250" i="14"/>
  <c r="BF249" i="14"/>
  <c r="BE249" i="14"/>
  <c r="BD249" i="14"/>
  <c r="BB249" i="14"/>
  <c r="AZ249" i="14"/>
  <c r="AX249" i="14"/>
  <c r="AW249" i="14"/>
  <c r="G249" i="14"/>
  <c r="F249" i="14"/>
  <c r="BF248" i="14"/>
  <c r="BE248" i="14"/>
  <c r="BD248" i="14"/>
  <c r="BB248" i="14"/>
  <c r="AZ248" i="14"/>
  <c r="AX248" i="14"/>
  <c r="AW248" i="14"/>
  <c r="G248" i="14"/>
  <c r="F248" i="14"/>
  <c r="BF247" i="14"/>
  <c r="BE247" i="14"/>
  <c r="BD247" i="14"/>
  <c r="BB247" i="14"/>
  <c r="AZ247" i="14"/>
  <c r="AX247" i="14"/>
  <c r="AW247" i="14"/>
  <c r="G247" i="14"/>
  <c r="F247" i="14"/>
  <c r="BF246" i="14"/>
  <c r="BE246" i="14"/>
  <c r="BD246" i="14"/>
  <c r="BB246" i="14"/>
  <c r="AZ246" i="14"/>
  <c r="AX246" i="14"/>
  <c r="AW246" i="14"/>
  <c r="G246" i="14"/>
  <c r="F246" i="14"/>
  <c r="BF245" i="14"/>
  <c r="BE245" i="14"/>
  <c r="BD245" i="14"/>
  <c r="BB245" i="14"/>
  <c r="AZ245" i="14"/>
  <c r="AX245" i="14"/>
  <c r="AW245" i="14"/>
  <c r="G245" i="14"/>
  <c r="F245" i="14"/>
  <c r="BF244" i="14"/>
  <c r="BE244" i="14"/>
  <c r="BD244" i="14"/>
  <c r="BB244" i="14"/>
  <c r="AZ244" i="14"/>
  <c r="AX244" i="14"/>
  <c r="AW244" i="14"/>
  <c r="G244" i="14"/>
  <c r="F244" i="14"/>
  <c r="BF243" i="14"/>
  <c r="BE243" i="14"/>
  <c r="BD243" i="14"/>
  <c r="BB243" i="14"/>
  <c r="AZ243" i="14"/>
  <c r="AX243" i="14"/>
  <c r="AW243" i="14"/>
  <c r="G243" i="14"/>
  <c r="F243" i="14"/>
  <c r="BF242" i="14"/>
  <c r="BE242" i="14"/>
  <c r="BD242" i="14"/>
  <c r="BB242" i="14"/>
  <c r="AZ242" i="14"/>
  <c r="AX242" i="14"/>
  <c r="AW242" i="14"/>
  <c r="G242" i="14"/>
  <c r="F242" i="14"/>
  <c r="BF241" i="14"/>
  <c r="BE241" i="14"/>
  <c r="BD241" i="14"/>
  <c r="BB241" i="14"/>
  <c r="AZ241" i="14"/>
  <c r="AX241" i="14"/>
  <c r="AW241" i="14"/>
  <c r="G241" i="14"/>
  <c r="F241" i="14"/>
  <c r="BF240" i="14"/>
  <c r="BE240" i="14"/>
  <c r="BD240" i="14"/>
  <c r="BB240" i="14"/>
  <c r="AZ240" i="14"/>
  <c r="AX240" i="14"/>
  <c r="AW240" i="14"/>
  <c r="G240" i="14"/>
  <c r="F240" i="14"/>
  <c r="BF239" i="14"/>
  <c r="BE239" i="14"/>
  <c r="BD239" i="14"/>
  <c r="BB239" i="14"/>
  <c r="AZ239" i="14"/>
  <c r="AX239" i="14"/>
  <c r="AW239" i="14"/>
  <c r="G239" i="14"/>
  <c r="F239" i="14"/>
  <c r="BF238" i="14"/>
  <c r="BE238" i="14"/>
  <c r="BD238" i="14"/>
  <c r="BB238" i="14"/>
  <c r="AZ238" i="14"/>
  <c r="AX238" i="14"/>
  <c r="AW238" i="14"/>
  <c r="G238" i="14"/>
  <c r="F238" i="14"/>
  <c r="BF237" i="14"/>
  <c r="BE237" i="14"/>
  <c r="BD237" i="14"/>
  <c r="BB237" i="14"/>
  <c r="AZ237" i="14"/>
  <c r="AX237" i="14"/>
  <c r="AW237" i="14"/>
  <c r="G237" i="14"/>
  <c r="F237" i="14"/>
  <c r="BF236" i="14"/>
  <c r="BE236" i="14"/>
  <c r="BD236" i="14"/>
  <c r="BB236" i="14"/>
  <c r="AZ236" i="14"/>
  <c r="AX236" i="14"/>
  <c r="AW236" i="14"/>
  <c r="G236" i="14"/>
  <c r="F236" i="14"/>
  <c r="BF235" i="14"/>
  <c r="BE235" i="14"/>
  <c r="BD235" i="14"/>
  <c r="BB235" i="14"/>
  <c r="AZ235" i="14"/>
  <c r="AX235" i="14"/>
  <c r="AW235" i="14"/>
  <c r="G235" i="14"/>
  <c r="F235" i="14"/>
  <c r="BF234" i="14"/>
  <c r="BE234" i="14"/>
  <c r="BD234" i="14"/>
  <c r="BB234" i="14"/>
  <c r="AZ234" i="14"/>
  <c r="AX234" i="14"/>
  <c r="AW234" i="14"/>
  <c r="G234" i="14"/>
  <c r="F234" i="14"/>
  <c r="BF233" i="14"/>
  <c r="BE233" i="14"/>
  <c r="BD233" i="14"/>
  <c r="BB233" i="14"/>
  <c r="AZ233" i="14"/>
  <c r="AX233" i="14"/>
  <c r="AW233" i="14"/>
  <c r="G233" i="14"/>
  <c r="F233" i="14"/>
  <c r="BF232" i="14"/>
  <c r="BE232" i="14"/>
  <c r="BD232" i="14"/>
  <c r="BB232" i="14"/>
  <c r="AZ232" i="14"/>
  <c r="AX232" i="14"/>
  <c r="AW232" i="14"/>
  <c r="G232" i="14"/>
  <c r="F232" i="14"/>
  <c r="BF231" i="14"/>
  <c r="BE231" i="14"/>
  <c r="BD231" i="14"/>
  <c r="BB231" i="14"/>
  <c r="AZ231" i="14"/>
  <c r="AX231" i="14"/>
  <c r="AW231" i="14"/>
  <c r="G231" i="14"/>
  <c r="F231" i="14"/>
  <c r="BF230" i="14"/>
  <c r="BE230" i="14"/>
  <c r="BD230" i="14"/>
  <c r="BB230" i="14"/>
  <c r="AZ230" i="14"/>
  <c r="AX230" i="14"/>
  <c r="AW230" i="14"/>
  <c r="G230" i="14"/>
  <c r="F230" i="14"/>
  <c r="BF229" i="14"/>
  <c r="BE229" i="14"/>
  <c r="BD229" i="14"/>
  <c r="BB229" i="14"/>
  <c r="AZ229" i="14"/>
  <c r="AX229" i="14"/>
  <c r="AW229" i="14"/>
  <c r="G229" i="14"/>
  <c r="F229" i="14"/>
  <c r="BF228" i="14"/>
  <c r="BE228" i="14"/>
  <c r="BD228" i="14"/>
  <c r="BB228" i="14"/>
  <c r="AZ228" i="14"/>
  <c r="AX228" i="14"/>
  <c r="AW228" i="14"/>
  <c r="G228" i="14"/>
  <c r="F228" i="14"/>
  <c r="BF227" i="14"/>
  <c r="BE227" i="14"/>
  <c r="BD227" i="14"/>
  <c r="BB227" i="14"/>
  <c r="AZ227" i="14"/>
  <c r="AX227" i="14"/>
  <c r="AW227" i="14"/>
  <c r="G227" i="14"/>
  <c r="F227" i="14"/>
  <c r="BF226" i="14"/>
  <c r="BE226" i="14"/>
  <c r="BD226" i="14"/>
  <c r="BB226" i="14"/>
  <c r="AZ226" i="14"/>
  <c r="AX226" i="14"/>
  <c r="AW226" i="14"/>
  <c r="G226" i="14"/>
  <c r="F226" i="14"/>
  <c r="BF225" i="14"/>
  <c r="BE225" i="14"/>
  <c r="BD225" i="14"/>
  <c r="BB225" i="14"/>
  <c r="AZ225" i="14"/>
  <c r="AX225" i="14"/>
  <c r="AW225" i="14"/>
  <c r="G225" i="14"/>
  <c r="F225" i="14"/>
  <c r="BF224" i="14"/>
  <c r="BE224" i="14"/>
  <c r="BD224" i="14"/>
  <c r="BB224" i="14"/>
  <c r="AZ224" i="14"/>
  <c r="AX224" i="14"/>
  <c r="AW224" i="14"/>
  <c r="G224" i="14"/>
  <c r="F224" i="14"/>
  <c r="BF223" i="14"/>
  <c r="BE223" i="14"/>
  <c r="BD223" i="14"/>
  <c r="BB223" i="14"/>
  <c r="AZ223" i="14"/>
  <c r="AX223" i="14"/>
  <c r="AW223" i="14"/>
  <c r="G223" i="14"/>
  <c r="F223" i="14"/>
  <c r="BF222" i="14"/>
  <c r="BE222" i="14"/>
  <c r="BD222" i="14"/>
  <c r="BB222" i="14"/>
  <c r="AZ222" i="14"/>
  <c r="AX222" i="14"/>
  <c r="AW222" i="14"/>
  <c r="G222" i="14"/>
  <c r="F222" i="14"/>
  <c r="BF221" i="14"/>
  <c r="BE221" i="14"/>
  <c r="BD221" i="14"/>
  <c r="BB221" i="14"/>
  <c r="AZ221" i="14"/>
  <c r="AX221" i="14"/>
  <c r="AW221" i="14"/>
  <c r="G221" i="14"/>
  <c r="F221" i="14"/>
  <c r="BF220" i="14"/>
  <c r="BE220" i="14"/>
  <c r="BD220" i="14"/>
  <c r="BB220" i="14"/>
  <c r="AZ220" i="14"/>
  <c r="AX220" i="14"/>
  <c r="AW220" i="14"/>
  <c r="G220" i="14"/>
  <c r="F220" i="14"/>
  <c r="BF219" i="14"/>
  <c r="BE219" i="14"/>
  <c r="BD219" i="14"/>
  <c r="BB219" i="14"/>
  <c r="AZ219" i="14"/>
  <c r="AX219" i="14"/>
  <c r="AW219" i="14"/>
  <c r="G219" i="14"/>
  <c r="F219" i="14"/>
  <c r="BF218" i="14"/>
  <c r="BE218" i="14"/>
  <c r="BD218" i="14"/>
  <c r="BB218" i="14"/>
  <c r="AZ218" i="14"/>
  <c r="AX218" i="14"/>
  <c r="AW218" i="14"/>
  <c r="G218" i="14"/>
  <c r="F218" i="14"/>
  <c r="BF217" i="14"/>
  <c r="BE217" i="14"/>
  <c r="BD217" i="14"/>
  <c r="BB217" i="14"/>
  <c r="AZ217" i="14"/>
  <c r="AX217" i="14"/>
  <c r="AW217" i="14"/>
  <c r="G217" i="14"/>
  <c r="F217" i="14"/>
  <c r="BF216" i="14"/>
  <c r="BE216" i="14"/>
  <c r="BD216" i="14"/>
  <c r="BB216" i="14"/>
  <c r="AZ216" i="14"/>
  <c r="AX216" i="14"/>
  <c r="AW216" i="14"/>
  <c r="G216" i="14"/>
  <c r="F216" i="14"/>
  <c r="BF215" i="14"/>
  <c r="BE215" i="14"/>
  <c r="BD215" i="14"/>
  <c r="BB215" i="14"/>
  <c r="AZ215" i="14"/>
  <c r="AX215" i="14"/>
  <c r="AW215" i="14"/>
  <c r="G215" i="14"/>
  <c r="F215" i="14"/>
  <c r="BF214" i="14"/>
  <c r="BE214" i="14"/>
  <c r="BD214" i="14"/>
  <c r="BB214" i="14"/>
  <c r="AZ214" i="14"/>
  <c r="AX214" i="14"/>
  <c r="AW214" i="14"/>
  <c r="G214" i="14"/>
  <c r="F214" i="14"/>
  <c r="BF213" i="14"/>
  <c r="BE213" i="14"/>
  <c r="BD213" i="14"/>
  <c r="BB213" i="14"/>
  <c r="AZ213" i="14"/>
  <c r="AX213" i="14"/>
  <c r="AW213" i="14"/>
  <c r="G213" i="14"/>
  <c r="F213" i="14"/>
  <c r="BF212" i="14"/>
  <c r="BE212" i="14"/>
  <c r="BD212" i="14"/>
  <c r="BB212" i="14"/>
  <c r="AZ212" i="14"/>
  <c r="AX212" i="14"/>
  <c r="AW212" i="14"/>
  <c r="G212" i="14"/>
  <c r="F212" i="14"/>
  <c r="BF211" i="14"/>
  <c r="BE211" i="14"/>
  <c r="BD211" i="14"/>
  <c r="BB211" i="14"/>
  <c r="AZ211" i="14"/>
  <c r="AX211" i="14"/>
  <c r="AW211" i="14"/>
  <c r="G211" i="14"/>
  <c r="F211" i="14"/>
  <c r="BF210" i="14"/>
  <c r="BE210" i="14"/>
  <c r="BD210" i="14"/>
  <c r="BB210" i="14"/>
  <c r="AZ210" i="14"/>
  <c r="AX210" i="14"/>
  <c r="AW210" i="14"/>
  <c r="G210" i="14"/>
  <c r="F210" i="14"/>
  <c r="BF209" i="14"/>
  <c r="BE209" i="14"/>
  <c r="BD209" i="14"/>
  <c r="BB209" i="14"/>
  <c r="AZ209" i="14"/>
  <c r="AX209" i="14"/>
  <c r="AW209" i="14"/>
  <c r="G209" i="14"/>
  <c r="F209" i="14"/>
  <c r="BF208" i="14"/>
  <c r="BE208" i="14"/>
  <c r="BD208" i="14"/>
  <c r="BB208" i="14"/>
  <c r="AZ208" i="14"/>
  <c r="AX208" i="14"/>
  <c r="AW208" i="14"/>
  <c r="G208" i="14"/>
  <c r="F208" i="14"/>
  <c r="BF207" i="14"/>
  <c r="BE207" i="14"/>
  <c r="BD207" i="14"/>
  <c r="BB207" i="14"/>
  <c r="AZ207" i="14"/>
  <c r="AX207" i="14"/>
  <c r="AW207" i="14"/>
  <c r="G207" i="14"/>
  <c r="F207" i="14"/>
  <c r="BF206" i="14"/>
  <c r="BE206" i="14"/>
  <c r="BD206" i="14"/>
  <c r="BB206" i="14"/>
  <c r="AZ206" i="14"/>
  <c r="AX206" i="14"/>
  <c r="AW206" i="14"/>
  <c r="G206" i="14"/>
  <c r="F206" i="14"/>
  <c r="BF205" i="14"/>
  <c r="BE205" i="14"/>
  <c r="BD205" i="14"/>
  <c r="BB205" i="14"/>
  <c r="AZ205" i="14"/>
  <c r="AX205" i="14"/>
  <c r="AW205" i="14"/>
  <c r="G205" i="14"/>
  <c r="F205" i="14"/>
  <c r="BF204" i="14"/>
  <c r="BE204" i="14"/>
  <c r="BD204" i="14"/>
  <c r="BB204" i="14"/>
  <c r="AZ204" i="14"/>
  <c r="AX204" i="14"/>
  <c r="AW204" i="14"/>
  <c r="Q204" i="14"/>
  <c r="P204" i="14"/>
  <c r="O204" i="14"/>
  <c r="G204" i="14"/>
  <c r="F204" i="14"/>
  <c r="BF203" i="14"/>
  <c r="BE203" i="14"/>
  <c r="BD203" i="14"/>
  <c r="BB203" i="14"/>
  <c r="AZ203" i="14"/>
  <c r="AX203" i="14"/>
  <c r="AW203" i="14"/>
  <c r="G203" i="14"/>
  <c r="F203" i="14"/>
  <c r="BF202" i="14"/>
  <c r="BE202" i="14"/>
  <c r="BD202" i="14"/>
  <c r="BB202" i="14"/>
  <c r="AZ202" i="14"/>
  <c r="AX202" i="14"/>
  <c r="AW202" i="14"/>
  <c r="G202" i="14"/>
  <c r="F202" i="14"/>
  <c r="BF201" i="14"/>
  <c r="BE201" i="14"/>
  <c r="BD201" i="14"/>
  <c r="BB201" i="14"/>
  <c r="AZ201" i="14"/>
  <c r="AX201" i="14"/>
  <c r="AW201" i="14"/>
  <c r="G201" i="14"/>
  <c r="F201" i="14"/>
  <c r="BF200" i="14"/>
  <c r="BE200" i="14"/>
  <c r="BD200" i="14"/>
  <c r="BB200" i="14"/>
  <c r="AZ200" i="14"/>
  <c r="AX200" i="14"/>
  <c r="AW200" i="14"/>
  <c r="G200" i="14"/>
  <c r="F200" i="14"/>
  <c r="BF199" i="14"/>
  <c r="BE199" i="14"/>
  <c r="BD199" i="14"/>
  <c r="BB199" i="14"/>
  <c r="AZ199" i="14"/>
  <c r="AX199" i="14"/>
  <c r="AW199" i="14"/>
  <c r="G199" i="14"/>
  <c r="F199" i="14"/>
  <c r="BF198" i="14"/>
  <c r="BE198" i="14"/>
  <c r="BD198" i="14"/>
  <c r="BB198" i="14"/>
  <c r="AZ198" i="14"/>
  <c r="AX198" i="14"/>
  <c r="AW198" i="14"/>
  <c r="G198" i="14"/>
  <c r="F198" i="14"/>
  <c r="BF197" i="14"/>
  <c r="BE197" i="14"/>
  <c r="BD197" i="14"/>
  <c r="BB197" i="14"/>
  <c r="AZ197" i="14"/>
  <c r="AX197" i="14"/>
  <c r="AW197" i="14"/>
  <c r="G197" i="14"/>
  <c r="F197" i="14"/>
  <c r="BF196" i="14"/>
  <c r="BE196" i="14"/>
  <c r="BD196" i="14"/>
  <c r="BB196" i="14"/>
  <c r="AZ196" i="14"/>
  <c r="AX196" i="14"/>
  <c r="AW196" i="14"/>
  <c r="G196" i="14"/>
  <c r="F196" i="14"/>
  <c r="BF195" i="14"/>
  <c r="BE195" i="14"/>
  <c r="BD195" i="14"/>
  <c r="BB195" i="14"/>
  <c r="AZ195" i="14"/>
  <c r="AX195" i="14"/>
  <c r="AW195" i="14"/>
  <c r="G195" i="14"/>
  <c r="F195" i="14"/>
  <c r="BF194" i="14"/>
  <c r="BE194" i="14"/>
  <c r="BD194" i="14"/>
  <c r="BB194" i="14"/>
  <c r="AZ194" i="14"/>
  <c r="AX194" i="14"/>
  <c r="AW194" i="14"/>
  <c r="G194" i="14"/>
  <c r="F194" i="14"/>
  <c r="BF193" i="14"/>
  <c r="BE193" i="14"/>
  <c r="BD193" i="14"/>
  <c r="BB193" i="14"/>
  <c r="AZ193" i="14"/>
  <c r="AX193" i="14"/>
  <c r="AW193" i="14"/>
  <c r="G193" i="14"/>
  <c r="F193" i="14"/>
  <c r="BF192" i="14"/>
  <c r="BE192" i="14"/>
  <c r="BD192" i="14"/>
  <c r="BB192" i="14"/>
  <c r="AZ192" i="14"/>
  <c r="AX192" i="14"/>
  <c r="AW192" i="14"/>
  <c r="G192" i="14"/>
  <c r="F192" i="14"/>
  <c r="BF191" i="14"/>
  <c r="BE191" i="14"/>
  <c r="BD191" i="14"/>
  <c r="BB191" i="14"/>
  <c r="AZ191" i="14"/>
  <c r="AX191" i="14"/>
  <c r="AW191" i="14"/>
  <c r="G191" i="14"/>
  <c r="F191" i="14"/>
  <c r="BF190" i="14"/>
  <c r="BE190" i="14"/>
  <c r="BD190" i="14"/>
  <c r="BB190" i="14"/>
  <c r="AZ190" i="14"/>
  <c r="AX190" i="14"/>
  <c r="AW190" i="14"/>
  <c r="G190" i="14"/>
  <c r="F190" i="14"/>
  <c r="BF189" i="14"/>
  <c r="BE189" i="14"/>
  <c r="BD189" i="14"/>
  <c r="BB189" i="14"/>
  <c r="AZ189" i="14"/>
  <c r="AX189" i="14"/>
  <c r="AW189" i="14"/>
  <c r="G189" i="14"/>
  <c r="F189" i="14"/>
  <c r="BF188" i="14"/>
  <c r="BE188" i="14"/>
  <c r="BD188" i="14"/>
  <c r="BB188" i="14"/>
  <c r="AZ188" i="14"/>
  <c r="AX188" i="14"/>
  <c r="AW188" i="14"/>
  <c r="G188" i="14"/>
  <c r="F188" i="14"/>
  <c r="BF187" i="14"/>
  <c r="BE187" i="14"/>
  <c r="BD187" i="14"/>
  <c r="BB187" i="14"/>
  <c r="AZ187" i="14"/>
  <c r="AX187" i="14"/>
  <c r="AW187" i="14"/>
  <c r="G187" i="14"/>
  <c r="F187" i="14"/>
  <c r="BF186" i="14"/>
  <c r="BE186" i="14"/>
  <c r="BD186" i="14"/>
  <c r="BB186" i="14"/>
  <c r="AZ186" i="14"/>
  <c r="AX186" i="14"/>
  <c r="AW186" i="14"/>
  <c r="G186" i="14"/>
  <c r="F186" i="14"/>
  <c r="BF185" i="14"/>
  <c r="BE185" i="14"/>
  <c r="BD185" i="14"/>
  <c r="BB185" i="14"/>
  <c r="AZ185" i="14"/>
  <c r="AX185" i="14"/>
  <c r="AW185" i="14"/>
  <c r="G185" i="14"/>
  <c r="F185" i="14"/>
  <c r="BF184" i="14"/>
  <c r="BE184" i="14"/>
  <c r="BD184" i="14"/>
  <c r="BB184" i="14"/>
  <c r="AZ184" i="14"/>
  <c r="AX184" i="14"/>
  <c r="AW184" i="14"/>
  <c r="G184" i="14"/>
  <c r="F184" i="14"/>
  <c r="BF183" i="14"/>
  <c r="BE183" i="14"/>
  <c r="BD183" i="14"/>
  <c r="BB183" i="14"/>
  <c r="AZ183" i="14"/>
  <c r="AX183" i="14"/>
  <c r="AW183" i="14"/>
  <c r="G183" i="14"/>
  <c r="F183" i="14"/>
  <c r="BF182" i="14"/>
  <c r="BE182" i="14"/>
  <c r="BD182" i="14"/>
  <c r="BB182" i="14"/>
  <c r="AZ182" i="14"/>
  <c r="AX182" i="14"/>
  <c r="AW182" i="14"/>
  <c r="G182" i="14"/>
  <c r="F182" i="14"/>
  <c r="BF181" i="14"/>
  <c r="BE181" i="14"/>
  <c r="BD181" i="14"/>
  <c r="BB181" i="14"/>
  <c r="AZ181" i="14"/>
  <c r="AX181" i="14"/>
  <c r="AW181" i="14"/>
  <c r="G181" i="14"/>
  <c r="F181" i="14"/>
  <c r="BF180" i="14"/>
  <c r="BE180" i="14"/>
  <c r="BD180" i="14"/>
  <c r="BB180" i="14"/>
  <c r="AZ180" i="14"/>
  <c r="AX180" i="14"/>
  <c r="AW180" i="14"/>
  <c r="G180" i="14"/>
  <c r="F180" i="14"/>
  <c r="BF179" i="14"/>
  <c r="BE179" i="14"/>
  <c r="BD179" i="14"/>
  <c r="BB179" i="14"/>
  <c r="AZ179" i="14"/>
  <c r="AX179" i="14"/>
  <c r="AW179" i="14"/>
  <c r="G179" i="14"/>
  <c r="F179" i="14"/>
  <c r="BF178" i="14"/>
  <c r="BE178" i="14"/>
  <c r="BD178" i="14"/>
  <c r="BB178" i="14"/>
  <c r="AZ178" i="14"/>
  <c r="AX178" i="14"/>
  <c r="AW178" i="14"/>
  <c r="G178" i="14"/>
  <c r="F178" i="14"/>
  <c r="BF177" i="14"/>
  <c r="BE177" i="14"/>
  <c r="BD177" i="14"/>
  <c r="BB177" i="14"/>
  <c r="AZ177" i="14"/>
  <c r="AX177" i="14"/>
  <c r="AW177" i="14"/>
  <c r="G177" i="14"/>
  <c r="F177" i="14"/>
  <c r="BF176" i="14"/>
  <c r="BE176" i="14"/>
  <c r="BD176" i="14"/>
  <c r="BB176" i="14"/>
  <c r="AZ176" i="14"/>
  <c r="AX176" i="14"/>
  <c r="AW176" i="14"/>
  <c r="G176" i="14"/>
  <c r="F176" i="14"/>
  <c r="BF175" i="14"/>
  <c r="BE175" i="14"/>
  <c r="BD175" i="14"/>
  <c r="BB175" i="14"/>
  <c r="AZ175" i="14"/>
  <c r="AX175" i="14"/>
  <c r="AW175" i="14"/>
  <c r="G175" i="14"/>
  <c r="F175" i="14"/>
  <c r="BF174" i="14"/>
  <c r="BE174" i="14"/>
  <c r="BD174" i="14"/>
  <c r="BB174" i="14"/>
  <c r="AZ174" i="14"/>
  <c r="AX174" i="14"/>
  <c r="AW174" i="14"/>
  <c r="G174" i="14"/>
  <c r="F174" i="14"/>
  <c r="BF173" i="14"/>
  <c r="BE173" i="14"/>
  <c r="BD173" i="14"/>
  <c r="BB173" i="14"/>
  <c r="AZ173" i="14"/>
  <c r="AX173" i="14"/>
  <c r="AW173" i="14"/>
  <c r="G173" i="14"/>
  <c r="F173" i="14"/>
  <c r="BF172" i="14"/>
  <c r="BE172" i="14"/>
  <c r="BD172" i="14"/>
  <c r="BB172" i="14"/>
  <c r="AZ172" i="14"/>
  <c r="AX172" i="14"/>
  <c r="AW172" i="14"/>
  <c r="Z172" i="14"/>
  <c r="G172" i="14"/>
  <c r="F172" i="14"/>
  <c r="BF171" i="14"/>
  <c r="BE171" i="14"/>
  <c r="BD171" i="14"/>
  <c r="BB171" i="14"/>
  <c r="AZ171" i="14"/>
  <c r="AX171" i="14"/>
  <c r="AW171" i="14"/>
  <c r="G171" i="14"/>
  <c r="F171" i="14"/>
  <c r="BF170" i="14"/>
  <c r="BE170" i="14"/>
  <c r="BD170" i="14"/>
  <c r="BB170" i="14"/>
  <c r="AZ170" i="14"/>
  <c r="AX170" i="14"/>
  <c r="AW170" i="14"/>
  <c r="Q170" i="14"/>
  <c r="P170" i="14"/>
  <c r="O170" i="14"/>
  <c r="N170" i="14"/>
  <c r="G170" i="14"/>
  <c r="F170" i="14"/>
  <c r="BF169" i="14"/>
  <c r="BE169" i="14"/>
  <c r="BD169" i="14"/>
  <c r="BB169" i="14"/>
  <c r="AZ169" i="14"/>
  <c r="AX169" i="14"/>
  <c r="AW169" i="14"/>
  <c r="G169" i="14"/>
  <c r="F169" i="14"/>
  <c r="BF168" i="14"/>
  <c r="BE168" i="14"/>
  <c r="BD168" i="14"/>
  <c r="BB168" i="14"/>
  <c r="AZ168" i="14"/>
  <c r="AX168" i="14"/>
  <c r="AW168" i="14"/>
  <c r="Q168" i="14"/>
  <c r="P168" i="14"/>
  <c r="O168" i="14"/>
  <c r="G168" i="14"/>
  <c r="F168" i="14"/>
  <c r="BF167" i="14"/>
  <c r="BE167" i="14"/>
  <c r="BD167" i="14"/>
  <c r="BB167" i="14"/>
  <c r="AZ167" i="14"/>
  <c r="AX167" i="14"/>
  <c r="AW167" i="14"/>
  <c r="G167" i="14"/>
  <c r="F167" i="14"/>
  <c r="BF166" i="14"/>
  <c r="BE166" i="14"/>
  <c r="BD166" i="14"/>
  <c r="BB166" i="14"/>
  <c r="AZ166" i="14"/>
  <c r="AX166" i="14"/>
  <c r="AW166" i="14"/>
  <c r="G166" i="14"/>
  <c r="F166" i="14"/>
  <c r="BF165" i="14"/>
  <c r="BE165" i="14"/>
  <c r="BD165" i="14"/>
  <c r="BB165" i="14"/>
  <c r="AZ165" i="14"/>
  <c r="AX165" i="14"/>
  <c r="AW165" i="14"/>
  <c r="G165" i="14"/>
  <c r="F165" i="14"/>
  <c r="BF164" i="14"/>
  <c r="BE164" i="14"/>
  <c r="BD164" i="14"/>
  <c r="BB164" i="14"/>
  <c r="AZ164" i="14"/>
  <c r="AX164" i="14"/>
  <c r="AW164" i="14"/>
  <c r="G164" i="14"/>
  <c r="F164" i="14"/>
  <c r="BF163" i="14"/>
  <c r="BE163" i="14"/>
  <c r="BD163" i="14"/>
  <c r="BB163" i="14"/>
  <c r="AZ163" i="14"/>
  <c r="AX163" i="14"/>
  <c r="AW163" i="14"/>
  <c r="G163" i="14"/>
  <c r="F163" i="14"/>
  <c r="BF162" i="14"/>
  <c r="BE162" i="14"/>
  <c r="BD162" i="14"/>
  <c r="BB162" i="14"/>
  <c r="AZ162" i="14"/>
  <c r="AX162" i="14"/>
  <c r="AW162" i="14"/>
  <c r="G162" i="14"/>
  <c r="F162" i="14"/>
  <c r="BF161" i="14"/>
  <c r="BE161" i="14"/>
  <c r="BD161" i="14"/>
  <c r="BB161" i="14"/>
  <c r="AZ161" i="14"/>
  <c r="AX161" i="14"/>
  <c r="AW161" i="14"/>
  <c r="G161" i="14"/>
  <c r="F161" i="14"/>
  <c r="BF160" i="14"/>
  <c r="BE160" i="14"/>
  <c r="BD160" i="14"/>
  <c r="BB160" i="14"/>
  <c r="AZ160" i="14"/>
  <c r="AX160" i="14"/>
  <c r="AW160" i="14"/>
  <c r="G160" i="14"/>
  <c r="F160" i="14"/>
  <c r="BF159" i="14"/>
  <c r="BE159" i="14"/>
  <c r="BD159" i="14"/>
  <c r="BB159" i="14"/>
  <c r="AZ159" i="14"/>
  <c r="AX159" i="14"/>
  <c r="AW159" i="14"/>
  <c r="G159" i="14"/>
  <c r="F159" i="14"/>
  <c r="BF158" i="14"/>
  <c r="BE158" i="14"/>
  <c r="BD158" i="14"/>
  <c r="BB158" i="14"/>
  <c r="AZ158" i="14"/>
  <c r="AX158" i="14"/>
  <c r="AW158" i="14"/>
  <c r="G158" i="14"/>
  <c r="F158" i="14"/>
  <c r="BF157" i="14"/>
  <c r="BE157" i="14"/>
  <c r="BD157" i="14"/>
  <c r="BB157" i="14"/>
  <c r="AZ157" i="14"/>
  <c r="AX157" i="14"/>
  <c r="AW157" i="14"/>
  <c r="G157" i="14"/>
  <c r="F157" i="14"/>
  <c r="BF156" i="14"/>
  <c r="BE156" i="14"/>
  <c r="BD156" i="14"/>
  <c r="BB156" i="14"/>
  <c r="AZ156" i="14"/>
  <c r="AX156" i="14"/>
  <c r="AW156" i="14"/>
  <c r="G156" i="14"/>
  <c r="F156" i="14"/>
  <c r="BF155" i="14"/>
  <c r="BE155" i="14"/>
  <c r="BD155" i="14"/>
  <c r="BB155" i="14"/>
  <c r="AZ155" i="14"/>
  <c r="AX155" i="14"/>
  <c r="AW155" i="14"/>
  <c r="G155" i="14"/>
  <c r="F155" i="14"/>
  <c r="BF154" i="14"/>
  <c r="BE154" i="14"/>
  <c r="BD154" i="14"/>
  <c r="BB154" i="14"/>
  <c r="AZ154" i="14"/>
  <c r="AX154" i="14"/>
  <c r="AW154" i="14"/>
  <c r="G154" i="14"/>
  <c r="F154" i="14"/>
  <c r="BF153" i="14"/>
  <c r="BE153" i="14"/>
  <c r="BD153" i="14"/>
  <c r="BB153" i="14"/>
  <c r="AZ153" i="14"/>
  <c r="AX153" i="14"/>
  <c r="AW153" i="14"/>
  <c r="G153" i="14"/>
  <c r="F153" i="14"/>
  <c r="BF152" i="14"/>
  <c r="BE152" i="14"/>
  <c r="BD152" i="14"/>
  <c r="BB152" i="14"/>
  <c r="AZ152" i="14"/>
  <c r="AX152" i="14"/>
  <c r="AW152" i="14"/>
  <c r="G152" i="14"/>
  <c r="F152" i="14"/>
  <c r="BF151" i="14"/>
  <c r="BE151" i="14"/>
  <c r="BD151" i="14"/>
  <c r="BB151" i="14"/>
  <c r="AZ151" i="14"/>
  <c r="AX151" i="14"/>
  <c r="AW151" i="14"/>
  <c r="G151" i="14"/>
  <c r="F151" i="14"/>
  <c r="BF150" i="14"/>
  <c r="BE150" i="14"/>
  <c r="BD150" i="14"/>
  <c r="BB150" i="14"/>
  <c r="AZ150" i="14"/>
  <c r="AX150" i="14"/>
  <c r="AW150" i="14"/>
  <c r="G150" i="14"/>
  <c r="F150" i="14"/>
  <c r="BF149" i="14"/>
  <c r="BE149" i="14"/>
  <c r="BD149" i="14"/>
  <c r="BB149" i="14"/>
  <c r="AZ149" i="14"/>
  <c r="AX149" i="14"/>
  <c r="AW149" i="14"/>
  <c r="G149" i="14"/>
  <c r="F149" i="14"/>
  <c r="BF148" i="14"/>
  <c r="BE148" i="14"/>
  <c r="BD148" i="14"/>
  <c r="BB148" i="14"/>
  <c r="AZ148" i="14"/>
  <c r="AX148" i="14"/>
  <c r="AW148" i="14"/>
  <c r="G148" i="14"/>
  <c r="F148" i="14"/>
  <c r="BF147" i="14"/>
  <c r="BE147" i="14"/>
  <c r="BD147" i="14"/>
  <c r="BB147" i="14"/>
  <c r="AZ147" i="14"/>
  <c r="AX147" i="14"/>
  <c r="AW147" i="14"/>
  <c r="G147" i="14"/>
  <c r="F147" i="14"/>
  <c r="BF146" i="14"/>
  <c r="BE146" i="14"/>
  <c r="BD146" i="14"/>
  <c r="BB146" i="14"/>
  <c r="AZ146" i="14"/>
  <c r="AX146" i="14"/>
  <c r="AW146" i="14"/>
  <c r="G146" i="14"/>
  <c r="F146" i="14"/>
  <c r="BF145" i="14"/>
  <c r="BE145" i="14"/>
  <c r="BD145" i="14"/>
  <c r="BB145" i="14"/>
  <c r="AZ145" i="14"/>
  <c r="AX145" i="14"/>
  <c r="AW145" i="14"/>
  <c r="G145" i="14"/>
  <c r="F145" i="14"/>
  <c r="BF144" i="14"/>
  <c r="BE144" i="14"/>
  <c r="BD144" i="14"/>
  <c r="BB144" i="14"/>
  <c r="AZ144" i="14"/>
  <c r="AX144" i="14"/>
  <c r="AW144" i="14"/>
  <c r="G144" i="14"/>
  <c r="F144" i="14"/>
  <c r="BF143" i="14"/>
  <c r="BE143" i="14"/>
  <c r="BD143" i="14"/>
  <c r="BB143" i="14"/>
  <c r="AZ143" i="14"/>
  <c r="AX143" i="14"/>
  <c r="AW143" i="14"/>
  <c r="G143" i="14"/>
  <c r="F143" i="14"/>
  <c r="BF142" i="14"/>
  <c r="BE142" i="14"/>
  <c r="BD142" i="14"/>
  <c r="BB142" i="14"/>
  <c r="AZ142" i="14"/>
  <c r="AX142" i="14"/>
  <c r="AW142" i="14"/>
  <c r="G142" i="14"/>
  <c r="F142" i="14"/>
  <c r="BF141" i="14"/>
  <c r="BE141" i="14"/>
  <c r="BD141" i="14"/>
  <c r="BB141" i="14"/>
  <c r="AZ141" i="14"/>
  <c r="AX141" i="14"/>
  <c r="AW141" i="14"/>
  <c r="G141" i="14"/>
  <c r="F141" i="14"/>
  <c r="BF140" i="14"/>
  <c r="BE140" i="14"/>
  <c r="BD140" i="14"/>
  <c r="BB140" i="14"/>
  <c r="AZ140" i="14"/>
  <c r="AX140" i="14"/>
  <c r="AW140" i="14"/>
  <c r="G140" i="14"/>
  <c r="F140" i="14"/>
  <c r="BF139" i="14"/>
  <c r="BE139" i="14"/>
  <c r="BD139" i="14"/>
  <c r="BB139" i="14"/>
  <c r="AZ139" i="14"/>
  <c r="AX139" i="14"/>
  <c r="AW139" i="14"/>
  <c r="G139" i="14"/>
  <c r="F139" i="14"/>
  <c r="BF138" i="14"/>
  <c r="BE138" i="14"/>
  <c r="BD138" i="14"/>
  <c r="BB138" i="14"/>
  <c r="AZ138" i="14"/>
  <c r="AX138" i="14"/>
  <c r="AW138" i="14"/>
  <c r="G138" i="14"/>
  <c r="F138" i="14"/>
  <c r="BF137" i="14"/>
  <c r="BE137" i="14"/>
  <c r="BD137" i="14"/>
  <c r="BB137" i="14"/>
  <c r="AZ137" i="14"/>
  <c r="AX137" i="14"/>
  <c r="AW137" i="14"/>
  <c r="G137" i="14"/>
  <c r="F137" i="14"/>
  <c r="BF136" i="14"/>
  <c r="BE136" i="14"/>
  <c r="BD136" i="14"/>
  <c r="BB136" i="14"/>
  <c r="AZ136" i="14"/>
  <c r="AX136" i="14"/>
  <c r="AW136" i="14"/>
  <c r="G136" i="14"/>
  <c r="F136" i="14"/>
  <c r="BF135" i="14"/>
  <c r="BE135" i="14"/>
  <c r="BD135" i="14"/>
  <c r="BB135" i="14"/>
  <c r="AZ135" i="14"/>
  <c r="AX135" i="14"/>
  <c r="AW135" i="14"/>
  <c r="G135" i="14"/>
  <c r="F135" i="14"/>
  <c r="BF134" i="14"/>
  <c r="BE134" i="14"/>
  <c r="BD134" i="14"/>
  <c r="BB134" i="14"/>
  <c r="AZ134" i="14"/>
  <c r="AX134" i="14"/>
  <c r="AW134" i="14"/>
  <c r="G134" i="14"/>
  <c r="F134" i="14"/>
  <c r="BF133" i="14"/>
  <c r="BE133" i="14"/>
  <c r="BD133" i="14"/>
  <c r="BB133" i="14"/>
  <c r="AZ133" i="14"/>
  <c r="AX133" i="14"/>
  <c r="AW133" i="14"/>
  <c r="G133" i="14"/>
  <c r="F133" i="14"/>
  <c r="BF132" i="14"/>
  <c r="BE132" i="14"/>
  <c r="BD132" i="14"/>
  <c r="BB132" i="14"/>
  <c r="AZ132" i="14"/>
  <c r="AX132" i="14"/>
  <c r="AW132" i="14"/>
  <c r="G132" i="14"/>
  <c r="F132" i="14"/>
  <c r="BF131" i="14"/>
  <c r="BE131" i="14"/>
  <c r="BD131" i="14"/>
  <c r="BB131" i="14"/>
  <c r="AZ131" i="14"/>
  <c r="AX131" i="14"/>
  <c r="AW131" i="14"/>
  <c r="G131" i="14"/>
  <c r="F131" i="14"/>
  <c r="BF130" i="14"/>
  <c r="BE130" i="14"/>
  <c r="BD130" i="14"/>
  <c r="BB130" i="14"/>
  <c r="AZ130" i="14"/>
  <c r="AX130" i="14"/>
  <c r="AW130" i="14"/>
  <c r="G130" i="14"/>
  <c r="F130" i="14"/>
  <c r="BF129" i="14"/>
  <c r="BE129" i="14"/>
  <c r="BD129" i="14"/>
  <c r="BB129" i="14"/>
  <c r="AZ129" i="14"/>
  <c r="AX129" i="14"/>
  <c r="AW129" i="14"/>
  <c r="G129" i="14"/>
  <c r="F129" i="14"/>
  <c r="BF128" i="14"/>
  <c r="BE128" i="14"/>
  <c r="BD128" i="14"/>
  <c r="BB128" i="14"/>
  <c r="AZ128" i="14"/>
  <c r="AX128" i="14"/>
  <c r="AW128" i="14"/>
  <c r="G128" i="14"/>
  <c r="F128" i="14"/>
  <c r="BF127" i="14"/>
  <c r="BE127" i="14"/>
  <c r="BD127" i="14"/>
  <c r="BB127" i="14"/>
  <c r="AZ127" i="14"/>
  <c r="AX127" i="14"/>
  <c r="AW127" i="14"/>
  <c r="G127" i="14"/>
  <c r="BF126" i="14"/>
  <c r="BE126" i="14"/>
  <c r="BD126" i="14"/>
  <c r="BB126" i="14"/>
  <c r="AZ126" i="14"/>
  <c r="AX126" i="14"/>
  <c r="AW126" i="14"/>
  <c r="Q126" i="14"/>
  <c r="P126" i="14"/>
  <c r="O126" i="14"/>
  <c r="G126" i="14"/>
  <c r="F126" i="14"/>
  <c r="BF125" i="14"/>
  <c r="BE125" i="14"/>
  <c r="BD125" i="14"/>
  <c r="BB125" i="14"/>
  <c r="AZ125" i="14"/>
  <c r="AX125" i="14"/>
  <c r="AW125" i="14"/>
  <c r="Z125" i="14"/>
  <c r="G125" i="14"/>
  <c r="F125" i="14"/>
  <c r="BF124" i="14"/>
  <c r="BE124" i="14"/>
  <c r="BD124" i="14"/>
  <c r="BB124" i="14"/>
  <c r="AZ124" i="14"/>
  <c r="AX124" i="14"/>
  <c r="AW124" i="14"/>
  <c r="G124" i="14"/>
  <c r="F124" i="14"/>
  <c r="BF123" i="14"/>
  <c r="BE123" i="14"/>
  <c r="BD123" i="14"/>
  <c r="BB123" i="14"/>
  <c r="AZ123" i="14"/>
  <c r="AX123" i="14"/>
  <c r="AW123" i="14"/>
  <c r="G123" i="14"/>
  <c r="F123" i="14"/>
  <c r="BF122" i="14"/>
  <c r="BE122" i="14"/>
  <c r="BD122" i="14"/>
  <c r="BB122" i="14"/>
  <c r="AZ122" i="14"/>
  <c r="AX122" i="14"/>
  <c r="AW122" i="14"/>
  <c r="N122" i="14"/>
  <c r="M122" i="14"/>
  <c r="K122" i="14"/>
  <c r="G122" i="14"/>
  <c r="F122" i="14"/>
  <c r="BF121" i="14"/>
  <c r="BE121" i="14"/>
  <c r="BD121" i="14"/>
  <c r="BB121" i="14"/>
  <c r="AZ121" i="14"/>
  <c r="AX121" i="14"/>
  <c r="AW121" i="14"/>
  <c r="G121" i="14"/>
  <c r="F121" i="14"/>
  <c r="BF120" i="14"/>
  <c r="BE120" i="14"/>
  <c r="BD120" i="14"/>
  <c r="BB120" i="14"/>
  <c r="AZ120" i="14"/>
  <c r="AX120" i="14"/>
  <c r="AW120" i="14"/>
  <c r="G120" i="14"/>
  <c r="F120" i="14"/>
  <c r="BF119" i="14"/>
  <c r="BE119" i="14"/>
  <c r="BD119" i="14"/>
  <c r="BB119" i="14"/>
  <c r="AZ119" i="14"/>
  <c r="AX119" i="14"/>
  <c r="AW119" i="14"/>
  <c r="X119" i="14"/>
  <c r="N119" i="14"/>
  <c r="M119" i="14"/>
  <c r="K119" i="14"/>
  <c r="G119" i="14"/>
  <c r="F119" i="14"/>
  <c r="BF118" i="14"/>
  <c r="BE118" i="14"/>
  <c r="BD118" i="14"/>
  <c r="BB118" i="14"/>
  <c r="AZ118" i="14"/>
  <c r="AX118" i="14"/>
  <c r="AW118" i="14"/>
  <c r="G118" i="14"/>
  <c r="F118" i="14"/>
  <c r="BF117" i="14"/>
  <c r="BE117" i="14"/>
  <c r="BD117" i="14"/>
  <c r="BB117" i="14"/>
  <c r="AZ117" i="14"/>
  <c r="AX117" i="14"/>
  <c r="AW117" i="14"/>
  <c r="G117" i="14"/>
  <c r="F117" i="14"/>
  <c r="BF116" i="14"/>
  <c r="BE116" i="14"/>
  <c r="BD116" i="14"/>
  <c r="BB116" i="14"/>
  <c r="AZ116" i="14"/>
  <c r="AX116" i="14"/>
  <c r="AW116" i="14"/>
  <c r="G116" i="14"/>
  <c r="F116" i="14"/>
  <c r="BF115" i="14"/>
  <c r="BE115" i="14"/>
  <c r="BD115" i="14"/>
  <c r="BB115" i="14"/>
  <c r="AZ115" i="14"/>
  <c r="AX115" i="14"/>
  <c r="AW115" i="14"/>
  <c r="G115" i="14"/>
  <c r="F115" i="14"/>
  <c r="BF114" i="14"/>
  <c r="BE114" i="14"/>
  <c r="BD114" i="14"/>
  <c r="BB114" i="14"/>
  <c r="AZ114" i="14"/>
  <c r="AX114" i="14"/>
  <c r="AW114" i="14"/>
  <c r="M114" i="14"/>
  <c r="N114" i="14" s="1"/>
  <c r="G114" i="14"/>
  <c r="F114" i="14"/>
  <c r="BF113" i="14"/>
  <c r="BE113" i="14"/>
  <c r="BD113" i="14"/>
  <c r="BB113" i="14"/>
  <c r="AZ113" i="14"/>
  <c r="AX113" i="14"/>
  <c r="AW113" i="14"/>
  <c r="G113" i="14"/>
  <c r="F113" i="14"/>
  <c r="BF112" i="14"/>
  <c r="BE112" i="14"/>
  <c r="BD112" i="14"/>
  <c r="BB112" i="14"/>
  <c r="AZ112" i="14"/>
  <c r="AX112" i="14"/>
  <c r="AW112" i="14"/>
  <c r="G112" i="14"/>
  <c r="F112" i="14"/>
  <c r="BF111" i="14"/>
  <c r="BE111" i="14"/>
  <c r="BD111" i="14"/>
  <c r="BB111" i="14"/>
  <c r="AZ111" i="14"/>
  <c r="AX111" i="14"/>
  <c r="AW111" i="14"/>
  <c r="J111" i="14"/>
  <c r="G111" i="14"/>
  <c r="F111" i="14"/>
  <c r="BF110" i="14"/>
  <c r="BE110" i="14"/>
  <c r="BD110" i="14"/>
  <c r="BB110" i="14"/>
  <c r="AZ110" i="14"/>
  <c r="AX110" i="14"/>
  <c r="AW110" i="14"/>
  <c r="J110" i="14"/>
  <c r="G110" i="14"/>
  <c r="F110" i="14"/>
  <c r="BF109" i="14"/>
  <c r="BE109" i="14"/>
  <c r="BD109" i="14"/>
  <c r="BB109" i="14"/>
  <c r="AZ109" i="14"/>
  <c r="AX109" i="14"/>
  <c r="AW109" i="14"/>
  <c r="Z109" i="14"/>
  <c r="J109" i="14"/>
  <c r="G109" i="14"/>
  <c r="F109" i="14"/>
  <c r="BF108" i="14"/>
  <c r="BE108" i="14"/>
  <c r="BD108" i="14"/>
  <c r="BB108" i="14"/>
  <c r="AZ108" i="14"/>
  <c r="AX108" i="14"/>
  <c r="AW108" i="14"/>
  <c r="J108" i="14"/>
  <c r="G108" i="14"/>
  <c r="F108" i="14"/>
  <c r="BF107" i="14"/>
  <c r="BE107" i="14"/>
  <c r="BD107" i="14"/>
  <c r="BB107" i="14"/>
  <c r="AZ107" i="14"/>
  <c r="AX107" i="14"/>
  <c r="AW107" i="14"/>
  <c r="J107" i="14"/>
  <c r="G107" i="14"/>
  <c r="F107" i="14"/>
  <c r="BF106" i="14"/>
  <c r="BE106" i="14"/>
  <c r="BD106" i="14"/>
  <c r="BB106" i="14"/>
  <c r="AZ106" i="14"/>
  <c r="AX106" i="14"/>
  <c r="AW106" i="14"/>
  <c r="J106" i="14"/>
  <c r="G106" i="14"/>
  <c r="F106" i="14"/>
  <c r="BF105" i="14"/>
  <c r="BE105" i="14"/>
  <c r="BD105" i="14"/>
  <c r="BB105" i="14"/>
  <c r="AZ105" i="14"/>
  <c r="AX105" i="14"/>
  <c r="AW105" i="14"/>
  <c r="J105" i="14"/>
  <c r="G105" i="14"/>
  <c r="F105" i="14"/>
  <c r="BF104" i="14"/>
  <c r="BE104" i="14"/>
  <c r="BD104" i="14"/>
  <c r="BB104" i="14"/>
  <c r="AZ104" i="14"/>
  <c r="AX104" i="14"/>
  <c r="AW104" i="14"/>
  <c r="G104" i="14"/>
  <c r="F104" i="14"/>
  <c r="BF103" i="14"/>
  <c r="BE103" i="14"/>
  <c r="BD103" i="14"/>
  <c r="BB103" i="14"/>
  <c r="AZ103" i="14"/>
  <c r="AX103" i="14"/>
  <c r="AW103" i="14"/>
  <c r="G103" i="14"/>
  <c r="F103" i="14"/>
  <c r="BF102" i="14"/>
  <c r="BE102" i="14"/>
  <c r="BD102" i="14"/>
  <c r="BB102" i="14"/>
  <c r="AZ102" i="14"/>
  <c r="AX102" i="14"/>
  <c r="AW102" i="14"/>
  <c r="J102" i="14"/>
  <c r="G102" i="14"/>
  <c r="F102" i="14"/>
  <c r="BF101" i="14"/>
  <c r="BE101" i="14"/>
  <c r="BD101" i="14"/>
  <c r="BB101" i="14"/>
  <c r="AZ101" i="14"/>
  <c r="AX101" i="14"/>
  <c r="AW101" i="14"/>
  <c r="J101" i="14"/>
  <c r="G101" i="14"/>
  <c r="F101" i="14"/>
  <c r="BF100" i="14"/>
  <c r="BE100" i="14"/>
  <c r="BD100" i="14"/>
  <c r="BB100" i="14"/>
  <c r="AZ100" i="14"/>
  <c r="AX100" i="14"/>
  <c r="AW100" i="14"/>
  <c r="J100" i="14"/>
  <c r="G100" i="14"/>
  <c r="F100" i="14"/>
  <c r="BF99" i="14"/>
  <c r="BE99" i="14"/>
  <c r="BD99" i="14"/>
  <c r="BB99" i="14"/>
  <c r="AZ99" i="14"/>
  <c r="AX99" i="14"/>
  <c r="AW99" i="14"/>
  <c r="J99" i="14"/>
  <c r="G99" i="14"/>
  <c r="F99" i="14"/>
  <c r="BF98" i="14"/>
  <c r="BE98" i="14"/>
  <c r="BD98" i="14"/>
  <c r="BB98" i="14"/>
  <c r="AZ98" i="14"/>
  <c r="AX98" i="14"/>
  <c r="AW98" i="14"/>
  <c r="J98" i="14"/>
  <c r="G98" i="14"/>
  <c r="F98" i="14"/>
  <c r="BF97" i="14"/>
  <c r="BE97" i="14"/>
  <c r="BD97" i="14"/>
  <c r="BB97" i="14"/>
  <c r="AZ97" i="14"/>
  <c r="AX97" i="14"/>
  <c r="AW97" i="14"/>
  <c r="J97" i="14"/>
  <c r="G97" i="14"/>
  <c r="F97" i="14"/>
  <c r="BF96" i="14"/>
  <c r="BE96" i="14"/>
  <c r="BD96" i="14"/>
  <c r="BB96" i="14"/>
  <c r="AZ96" i="14"/>
  <c r="AX96" i="14"/>
  <c r="AW96" i="14"/>
  <c r="J96" i="14"/>
  <c r="G96" i="14"/>
  <c r="F96" i="14"/>
  <c r="BF95" i="14"/>
  <c r="BE95" i="14"/>
  <c r="BD95" i="14"/>
  <c r="BB95" i="14"/>
  <c r="AZ95" i="14"/>
  <c r="AX95" i="14"/>
  <c r="AW95" i="14"/>
  <c r="G95" i="14"/>
  <c r="F95" i="14"/>
  <c r="BF94" i="14"/>
  <c r="BE94" i="14"/>
  <c r="BD94" i="14"/>
  <c r="BB94" i="14"/>
  <c r="AZ94" i="14"/>
  <c r="AX94" i="14"/>
  <c r="AW94" i="14"/>
  <c r="G94" i="14"/>
  <c r="F94" i="14"/>
  <c r="BF93" i="14"/>
  <c r="BE93" i="14"/>
  <c r="BD93" i="14"/>
  <c r="BB93" i="14"/>
  <c r="AZ93" i="14"/>
  <c r="AX93" i="14"/>
  <c r="AW93" i="14"/>
  <c r="X93" i="14"/>
  <c r="G93" i="14"/>
  <c r="F93" i="14"/>
  <c r="BF92" i="14"/>
  <c r="BE92" i="14"/>
  <c r="BD92" i="14"/>
  <c r="BB92" i="14"/>
  <c r="AZ92" i="14"/>
  <c r="AX92" i="14"/>
  <c r="AW92" i="14"/>
  <c r="AB92" i="14"/>
  <c r="G92" i="14"/>
  <c r="F92" i="14"/>
  <c r="BF91" i="14"/>
  <c r="BE91" i="14"/>
  <c r="BD91" i="14"/>
  <c r="BB91" i="14"/>
  <c r="AZ91" i="14"/>
  <c r="AX91" i="14"/>
  <c r="AW91" i="14"/>
  <c r="M91" i="14"/>
  <c r="G91" i="14"/>
  <c r="F91" i="14"/>
  <c r="BF90" i="14"/>
  <c r="BE90" i="14"/>
  <c r="BD90" i="14"/>
  <c r="BB90" i="14"/>
  <c r="AZ90" i="14"/>
  <c r="AX90" i="14"/>
  <c r="AW90" i="14"/>
  <c r="Z90" i="14"/>
  <c r="G90" i="14"/>
  <c r="F90" i="14"/>
  <c r="BF89" i="14"/>
  <c r="BE89" i="14"/>
  <c r="BD89" i="14"/>
  <c r="BB89" i="14"/>
  <c r="AZ89" i="14"/>
  <c r="AX89" i="14"/>
  <c r="AW89" i="14"/>
  <c r="N89" i="14"/>
  <c r="M89" i="14"/>
  <c r="G89" i="14"/>
  <c r="F89" i="14"/>
  <c r="BF88" i="14"/>
  <c r="BE88" i="14"/>
  <c r="BD88" i="14"/>
  <c r="BB88" i="14"/>
  <c r="AZ88" i="14"/>
  <c r="AX88" i="14"/>
  <c r="AW88" i="14"/>
  <c r="G88" i="14"/>
  <c r="F88" i="14"/>
  <c r="BF87" i="14"/>
  <c r="BE87" i="14"/>
  <c r="BD87" i="14"/>
  <c r="BB87" i="14"/>
  <c r="AZ87" i="14"/>
  <c r="AX87" i="14"/>
  <c r="AW87" i="14"/>
  <c r="G87" i="14"/>
  <c r="F87" i="14"/>
  <c r="BF86" i="14"/>
  <c r="BE86" i="14"/>
  <c r="BD86" i="14"/>
  <c r="BB86" i="14"/>
  <c r="AZ86" i="14"/>
  <c r="AX86" i="14"/>
  <c r="AW86" i="14"/>
  <c r="G86" i="14"/>
  <c r="F86" i="14"/>
  <c r="BF85" i="14"/>
  <c r="BE85" i="14"/>
  <c r="BD85" i="14"/>
  <c r="BB85" i="14"/>
  <c r="AZ85" i="14"/>
  <c r="AX85" i="14"/>
  <c r="AW85" i="14"/>
  <c r="G85" i="14"/>
  <c r="F85" i="14"/>
  <c r="BF84" i="14"/>
  <c r="BE84" i="14"/>
  <c r="BD84" i="14"/>
  <c r="BB84" i="14"/>
  <c r="AZ84" i="14"/>
  <c r="AX84" i="14"/>
  <c r="AW84" i="14"/>
  <c r="N84" i="14"/>
  <c r="G84" i="14"/>
  <c r="F84" i="14"/>
  <c r="BF83" i="14"/>
  <c r="BE83" i="14"/>
  <c r="BD83" i="14"/>
  <c r="BB83" i="14"/>
  <c r="AZ83" i="14"/>
  <c r="AX83" i="14"/>
  <c r="AW83" i="14"/>
  <c r="G83" i="14"/>
  <c r="F83" i="14"/>
  <c r="BF82" i="14"/>
  <c r="BE82" i="14"/>
  <c r="BD82" i="14"/>
  <c r="BB82" i="14"/>
  <c r="AZ82" i="14"/>
  <c r="AX82" i="14"/>
  <c r="AW82" i="14"/>
  <c r="BF81" i="14"/>
  <c r="BE81" i="14"/>
  <c r="BD81" i="14"/>
  <c r="BB81" i="14"/>
  <c r="AZ81" i="14"/>
  <c r="AX81" i="14"/>
  <c r="AW81" i="14"/>
  <c r="G81" i="14"/>
  <c r="F81" i="14"/>
  <c r="BF80" i="14"/>
  <c r="BE80" i="14"/>
  <c r="BD80" i="14"/>
  <c r="BB80" i="14"/>
  <c r="AZ80" i="14"/>
  <c r="AX80" i="14"/>
  <c r="AW80" i="14"/>
  <c r="Z80" i="14"/>
  <c r="G80" i="14"/>
  <c r="F80" i="14"/>
  <c r="BF79" i="14"/>
  <c r="BE79" i="14"/>
  <c r="BD79" i="14"/>
  <c r="BB79" i="14"/>
  <c r="AZ79" i="14"/>
  <c r="AX79" i="14"/>
  <c r="AW79" i="14"/>
  <c r="G79" i="14"/>
  <c r="F79" i="14"/>
  <c r="BF78" i="14"/>
  <c r="BE78" i="14"/>
  <c r="BD78" i="14"/>
  <c r="BB78" i="14"/>
  <c r="AZ78" i="14"/>
  <c r="AX78" i="14"/>
  <c r="AW78" i="14"/>
  <c r="G78" i="14"/>
  <c r="F78" i="14"/>
  <c r="BF77" i="14"/>
  <c r="BE77" i="14"/>
  <c r="BD77" i="14"/>
  <c r="BB77" i="14"/>
  <c r="AZ77" i="14"/>
  <c r="AX77" i="14"/>
  <c r="AW77" i="14"/>
  <c r="G77" i="14"/>
  <c r="F77" i="14"/>
  <c r="BF76" i="14"/>
  <c r="BE76" i="14"/>
  <c r="BD76" i="14"/>
  <c r="BB76" i="14"/>
  <c r="AZ76" i="14"/>
  <c r="AX76" i="14"/>
  <c r="AW76" i="14"/>
  <c r="G76" i="14"/>
  <c r="F76" i="14"/>
  <c r="BF75" i="14"/>
  <c r="BE75" i="14"/>
  <c r="BD75" i="14"/>
  <c r="BB75" i="14"/>
  <c r="AZ75" i="14"/>
  <c r="AX75" i="14"/>
  <c r="AW75" i="14"/>
  <c r="G75" i="14"/>
  <c r="F75" i="14"/>
  <c r="BF74" i="14"/>
  <c r="BE74" i="14"/>
  <c r="BD74" i="14"/>
  <c r="BB74" i="14"/>
  <c r="AZ74" i="14"/>
  <c r="AX74" i="14"/>
  <c r="AW74" i="14"/>
  <c r="G74" i="14"/>
  <c r="F74" i="14"/>
  <c r="BF73" i="14"/>
  <c r="BE73" i="14"/>
  <c r="BD73" i="14"/>
  <c r="BB73" i="14"/>
  <c r="AZ73" i="14"/>
  <c r="AX73" i="14"/>
  <c r="AW73" i="14"/>
  <c r="G73" i="14"/>
  <c r="F73" i="14"/>
  <c r="BF72" i="14"/>
  <c r="BE72" i="14"/>
  <c r="BD72" i="14"/>
  <c r="BB72" i="14"/>
  <c r="AZ72" i="14"/>
  <c r="AX72" i="14"/>
  <c r="AW72" i="14"/>
  <c r="G72" i="14"/>
  <c r="F72" i="14"/>
  <c r="BF71" i="14"/>
  <c r="BE71" i="14"/>
  <c r="BD71" i="14"/>
  <c r="BB71" i="14"/>
  <c r="AZ71" i="14"/>
  <c r="AX71" i="14"/>
  <c r="AW71" i="14"/>
  <c r="G71" i="14"/>
  <c r="F71" i="14"/>
  <c r="BF70" i="14"/>
  <c r="BE70" i="14"/>
  <c r="BD70" i="14"/>
  <c r="BB70" i="14"/>
  <c r="AZ70" i="14"/>
  <c r="AX70" i="14"/>
  <c r="AW70" i="14"/>
  <c r="G70" i="14"/>
  <c r="F70" i="14"/>
  <c r="BF69" i="14"/>
  <c r="BE69" i="14"/>
  <c r="BD69" i="14"/>
  <c r="BB69" i="14"/>
  <c r="AZ69" i="14"/>
  <c r="AX69" i="14"/>
  <c r="AW69" i="14"/>
  <c r="AG69" i="14"/>
  <c r="Z69" i="14"/>
  <c r="M69" i="14"/>
  <c r="N69" i="14" s="1"/>
  <c r="G69" i="14"/>
  <c r="F69" i="14"/>
  <c r="BF68" i="14"/>
  <c r="BE68" i="14"/>
  <c r="BD68" i="14"/>
  <c r="BB68" i="14"/>
  <c r="AZ68" i="14"/>
  <c r="AX68" i="14"/>
  <c r="AW68" i="14"/>
  <c r="Z68" i="14"/>
  <c r="M68" i="14"/>
  <c r="G68" i="14"/>
  <c r="F68" i="14"/>
  <c r="BF67" i="14"/>
  <c r="BE67" i="14"/>
  <c r="BD67" i="14"/>
  <c r="BB67" i="14"/>
  <c r="AZ67" i="14"/>
  <c r="AX67" i="14"/>
  <c r="AW67" i="14"/>
  <c r="G67" i="14"/>
  <c r="F67" i="14"/>
  <c r="BF66" i="14"/>
  <c r="BE66" i="14"/>
  <c r="BD66" i="14"/>
  <c r="BB66" i="14"/>
  <c r="AZ66" i="14"/>
  <c r="AX66" i="14"/>
  <c r="AW66" i="14"/>
  <c r="G66" i="14"/>
  <c r="F66" i="14"/>
  <c r="BF65" i="14"/>
  <c r="BE65" i="14"/>
  <c r="BD65" i="14"/>
  <c r="BB65" i="14"/>
  <c r="AZ65" i="14"/>
  <c r="AX65" i="14"/>
  <c r="AW65" i="14"/>
  <c r="G65" i="14"/>
  <c r="F65" i="14"/>
  <c r="BF64" i="14"/>
  <c r="BE64" i="14"/>
  <c r="BD64" i="14"/>
  <c r="BB64" i="14"/>
  <c r="AZ64" i="14"/>
  <c r="AX64" i="14"/>
  <c r="AW64" i="14"/>
  <c r="G64" i="14"/>
  <c r="F64" i="14"/>
  <c r="BF63" i="14"/>
  <c r="BE63" i="14"/>
  <c r="BD63" i="14"/>
  <c r="BB63" i="14"/>
  <c r="AZ63" i="14"/>
  <c r="AX63" i="14"/>
  <c r="AW63" i="14"/>
  <c r="G63" i="14"/>
  <c r="F63" i="14"/>
  <c r="BF62" i="14"/>
  <c r="BE62" i="14"/>
  <c r="BD62" i="14"/>
  <c r="BB62" i="14"/>
  <c r="AZ62" i="14"/>
  <c r="AX62" i="14"/>
  <c r="AW62" i="14"/>
  <c r="G62" i="14"/>
  <c r="F62" i="14"/>
  <c r="BF61" i="14"/>
  <c r="BE61" i="14"/>
  <c r="BD61" i="14"/>
  <c r="BB61" i="14"/>
  <c r="AZ61" i="14"/>
  <c r="AX61" i="14"/>
  <c r="AW61" i="14"/>
  <c r="G61" i="14"/>
  <c r="F61" i="14"/>
  <c r="BF60" i="14"/>
  <c r="BE60" i="14"/>
  <c r="BD60" i="14"/>
  <c r="BB60" i="14"/>
  <c r="AZ60" i="14"/>
  <c r="AX60" i="14"/>
  <c r="AW60" i="14"/>
  <c r="G60" i="14"/>
  <c r="F60" i="14"/>
  <c r="BF59" i="14"/>
  <c r="BE59" i="14"/>
  <c r="BD59" i="14"/>
  <c r="BB59" i="14"/>
  <c r="AZ59" i="14"/>
  <c r="AX59" i="14"/>
  <c r="AW59" i="14"/>
  <c r="G59" i="14"/>
  <c r="F59" i="14"/>
  <c r="BF58" i="14"/>
  <c r="BE58" i="14"/>
  <c r="BD58" i="14"/>
  <c r="BB58" i="14"/>
  <c r="AZ58" i="14"/>
  <c r="AX58" i="14"/>
  <c r="AW58" i="14"/>
  <c r="G58" i="14"/>
  <c r="F58" i="14"/>
  <c r="BF57" i="14"/>
  <c r="BE57" i="14"/>
  <c r="BD57" i="14"/>
  <c r="BB57" i="14"/>
  <c r="AZ57" i="14"/>
  <c r="AX57" i="14"/>
  <c r="AW57" i="14"/>
  <c r="G57" i="14"/>
  <c r="F57" i="14"/>
  <c r="BF56" i="14"/>
  <c r="BE56" i="14"/>
  <c r="BD56" i="14"/>
  <c r="BB56" i="14"/>
  <c r="AZ56" i="14"/>
  <c r="AX56" i="14"/>
  <c r="AW56" i="14"/>
  <c r="BF55" i="14"/>
  <c r="BE55" i="14"/>
  <c r="BD55" i="14"/>
  <c r="BB55" i="14"/>
  <c r="AZ55" i="14"/>
  <c r="AX55" i="14"/>
  <c r="AW55" i="14"/>
  <c r="G55" i="14"/>
  <c r="F55" i="14"/>
  <c r="BF54" i="14"/>
  <c r="BE54" i="14"/>
  <c r="BD54" i="14"/>
  <c r="BB54" i="14"/>
  <c r="AZ54" i="14"/>
  <c r="AX54" i="14"/>
  <c r="AW54" i="14"/>
  <c r="Z54" i="14"/>
  <c r="X54" i="14"/>
  <c r="N54" i="14"/>
  <c r="M54" i="14" s="1"/>
  <c r="G54" i="14"/>
  <c r="F54" i="14"/>
  <c r="BF53" i="14"/>
  <c r="BE53" i="14"/>
  <c r="BD53" i="14"/>
  <c r="BB53" i="14"/>
  <c r="AZ53" i="14"/>
  <c r="AX53" i="14"/>
  <c r="AW53" i="14"/>
  <c r="N53" i="14"/>
  <c r="M53" i="14"/>
  <c r="G53" i="14"/>
  <c r="F53" i="14"/>
  <c r="BF52" i="14"/>
  <c r="BE52" i="14"/>
  <c r="BD52" i="14"/>
  <c r="BB52" i="14"/>
  <c r="AZ52" i="14"/>
  <c r="AX52" i="14"/>
  <c r="AW52" i="14"/>
  <c r="G52" i="14"/>
  <c r="F52" i="14"/>
  <c r="BF51" i="14"/>
  <c r="BE51" i="14"/>
  <c r="BD51" i="14"/>
  <c r="BB51" i="14"/>
  <c r="AZ51" i="14"/>
  <c r="AX51" i="14"/>
  <c r="AW51" i="14"/>
  <c r="G51" i="14"/>
  <c r="F51" i="14"/>
  <c r="BF50" i="14"/>
  <c r="BE50" i="14"/>
  <c r="BD50" i="14"/>
  <c r="BB50" i="14"/>
  <c r="AZ50" i="14"/>
  <c r="AX50" i="14"/>
  <c r="AW50" i="14"/>
  <c r="G50" i="14"/>
  <c r="F50" i="14"/>
  <c r="BF49" i="14"/>
  <c r="BE49" i="14"/>
  <c r="BD49" i="14"/>
  <c r="BB49" i="14"/>
  <c r="AZ49" i="14"/>
  <c r="AX49" i="14"/>
  <c r="AW49" i="14"/>
  <c r="G49" i="14"/>
  <c r="F49" i="14"/>
  <c r="BF48" i="14"/>
  <c r="BE48" i="14"/>
  <c r="BD48" i="14"/>
  <c r="BB48" i="14"/>
  <c r="AZ48" i="14"/>
  <c r="AX48" i="14"/>
  <c r="AW48" i="14"/>
  <c r="G48" i="14"/>
  <c r="F48" i="14"/>
  <c r="BF47" i="14"/>
  <c r="BE47" i="14"/>
  <c r="BD47" i="14"/>
  <c r="BB47" i="14"/>
  <c r="AZ47" i="14"/>
  <c r="AX47" i="14"/>
  <c r="AW47" i="14"/>
  <c r="G47" i="14"/>
  <c r="F47" i="14"/>
  <c r="BF46" i="14"/>
  <c r="BE46" i="14"/>
  <c r="BD46" i="14"/>
  <c r="BB46" i="14"/>
  <c r="AZ46" i="14"/>
  <c r="AX46" i="14"/>
  <c r="AW46" i="14"/>
  <c r="G46" i="14"/>
  <c r="F46" i="14"/>
  <c r="BF45" i="14"/>
  <c r="BE45" i="14"/>
  <c r="BD45" i="14"/>
  <c r="BB45" i="14"/>
  <c r="AZ45" i="14"/>
  <c r="AX45" i="14"/>
  <c r="AW45" i="14"/>
  <c r="G45" i="14"/>
  <c r="F45" i="14"/>
  <c r="BF44" i="14"/>
  <c r="BE44" i="14"/>
  <c r="BD44" i="14"/>
  <c r="BB44" i="14"/>
  <c r="AZ44" i="14"/>
  <c r="AX44" i="14"/>
  <c r="AW44" i="14"/>
  <c r="G44" i="14"/>
  <c r="F44" i="14"/>
  <c r="BF43" i="14"/>
  <c r="BE43" i="14"/>
  <c r="BD43" i="14"/>
  <c r="BB43" i="14"/>
  <c r="AZ43" i="14"/>
  <c r="AX43" i="14"/>
  <c r="AW43" i="14"/>
  <c r="K43" i="14"/>
  <c r="G43" i="14"/>
  <c r="F43" i="14"/>
  <c r="BF42" i="14"/>
  <c r="BE42" i="14"/>
  <c r="BD42" i="14"/>
  <c r="BB42" i="14"/>
  <c r="AZ42" i="14"/>
  <c r="AX42" i="14"/>
  <c r="AW42" i="14"/>
  <c r="M42" i="14"/>
  <c r="N42" i="14" s="1"/>
  <c r="K42" i="14"/>
  <c r="G42" i="14"/>
  <c r="F42" i="14"/>
  <c r="BF41" i="14"/>
  <c r="BE41" i="14"/>
  <c r="BD41" i="14"/>
  <c r="BB41" i="14"/>
  <c r="AZ41" i="14"/>
  <c r="AX41" i="14"/>
  <c r="AW41" i="14"/>
  <c r="G41" i="14"/>
  <c r="F41" i="14"/>
  <c r="BF40" i="14"/>
  <c r="BE40" i="14"/>
  <c r="BD40" i="14"/>
  <c r="BB40" i="14"/>
  <c r="AZ40" i="14"/>
  <c r="AX40" i="14"/>
  <c r="AW40" i="14"/>
  <c r="G40" i="14"/>
  <c r="F40" i="14"/>
  <c r="BF39" i="14"/>
  <c r="BE39" i="14"/>
  <c r="BD39" i="14"/>
  <c r="BB39" i="14"/>
  <c r="AZ39" i="14"/>
  <c r="AX39" i="14"/>
  <c r="AW39" i="14"/>
  <c r="M39" i="14"/>
  <c r="N39" i="14" s="1"/>
  <c r="G39" i="14"/>
  <c r="F39" i="14"/>
  <c r="BF38" i="14"/>
  <c r="BE38" i="14"/>
  <c r="BD38" i="14"/>
  <c r="BB38" i="14"/>
  <c r="AZ38" i="14"/>
  <c r="AX38" i="14"/>
  <c r="AW38" i="14"/>
  <c r="N38" i="14"/>
  <c r="G38" i="14"/>
  <c r="F38" i="14"/>
  <c r="BF37" i="14"/>
  <c r="BE37" i="14"/>
  <c r="BD37" i="14"/>
  <c r="BB37" i="14"/>
  <c r="AZ37" i="14"/>
  <c r="AX37" i="14"/>
  <c r="AW37" i="14"/>
  <c r="Z37" i="14"/>
  <c r="G37" i="14"/>
  <c r="F37" i="14"/>
  <c r="BF36" i="14"/>
  <c r="BE36" i="14"/>
  <c r="BD36" i="14"/>
  <c r="BB36" i="14"/>
  <c r="AZ36" i="14"/>
  <c r="AX36" i="14"/>
  <c r="AW36" i="14"/>
  <c r="N36" i="14"/>
  <c r="M36" i="14"/>
  <c r="G36" i="14"/>
  <c r="F36" i="14"/>
  <c r="BF35" i="14"/>
  <c r="BE35" i="14"/>
  <c r="BD35" i="14"/>
  <c r="BB35" i="14"/>
  <c r="AZ35" i="14"/>
  <c r="AX35" i="14"/>
  <c r="AW35" i="14"/>
  <c r="G35" i="14"/>
  <c r="F35" i="14"/>
  <c r="BF34" i="14"/>
  <c r="BE34" i="14"/>
  <c r="BD34" i="14"/>
  <c r="BB34" i="14"/>
  <c r="AZ34" i="14"/>
  <c r="AX34" i="14"/>
  <c r="AW34" i="14"/>
  <c r="G34" i="14"/>
  <c r="F34" i="14"/>
  <c r="BF33" i="14"/>
  <c r="BE33" i="14"/>
  <c r="BD33" i="14"/>
  <c r="BB33" i="14"/>
  <c r="AZ33" i="14"/>
  <c r="AX33" i="14"/>
  <c r="AW33" i="14"/>
  <c r="G33" i="14"/>
  <c r="F33" i="14"/>
  <c r="BF32" i="14"/>
  <c r="BE32" i="14"/>
  <c r="BD32" i="14"/>
  <c r="AZ32" i="14"/>
  <c r="AX32" i="14"/>
  <c r="AW32" i="14"/>
  <c r="G32" i="14"/>
  <c r="F32" i="14"/>
  <c r="BF31" i="14"/>
  <c r="BE31" i="14"/>
  <c r="BD31" i="14"/>
  <c r="BB31" i="14"/>
  <c r="AZ31" i="14"/>
  <c r="AX31" i="14"/>
  <c r="AW31" i="14"/>
  <c r="G31" i="14"/>
  <c r="F31" i="14"/>
  <c r="BF30" i="14"/>
  <c r="BE30" i="14"/>
  <c r="BD30" i="14"/>
  <c r="BB30" i="14"/>
  <c r="AZ30" i="14"/>
  <c r="AX30" i="14"/>
  <c r="AW30" i="14"/>
  <c r="G30" i="14"/>
  <c r="F30" i="14"/>
  <c r="BF29" i="14"/>
  <c r="BE29" i="14"/>
  <c r="BD29" i="14"/>
  <c r="BB29" i="14"/>
  <c r="AZ29" i="14"/>
  <c r="AX29" i="14"/>
  <c r="AW29" i="14"/>
  <c r="G29" i="14"/>
  <c r="F29" i="14"/>
  <c r="BF28" i="14"/>
  <c r="BE28" i="14"/>
  <c r="BD28" i="14"/>
  <c r="BB28" i="14"/>
  <c r="AZ28" i="14"/>
  <c r="AX28" i="14"/>
  <c r="AW28" i="14"/>
  <c r="K28" i="14"/>
  <c r="G28" i="14"/>
  <c r="F28" i="14"/>
  <c r="BF27" i="14"/>
  <c r="BE27" i="14"/>
  <c r="BD27" i="14"/>
  <c r="BB27" i="14"/>
  <c r="AZ27" i="14"/>
  <c r="AX27" i="14"/>
  <c r="AW27" i="14"/>
  <c r="G27" i="14"/>
  <c r="F27" i="14"/>
  <c r="BF26" i="14"/>
  <c r="BE26" i="14"/>
  <c r="BD26" i="14"/>
  <c r="BB26" i="14"/>
  <c r="AZ26" i="14"/>
  <c r="AX26" i="14"/>
  <c r="AW26" i="14"/>
  <c r="G26" i="14"/>
  <c r="F26" i="14"/>
  <c r="BF25" i="14"/>
  <c r="BE25" i="14"/>
  <c r="BD25" i="14"/>
  <c r="BB25" i="14"/>
  <c r="AZ25" i="14"/>
  <c r="AX25" i="14"/>
  <c r="AW25" i="14"/>
  <c r="G25" i="14"/>
  <c r="F25" i="14"/>
  <c r="BF24" i="14"/>
  <c r="BE24" i="14"/>
  <c r="BD24" i="14"/>
  <c r="BB24" i="14"/>
  <c r="AZ24" i="14"/>
  <c r="AX24" i="14"/>
  <c r="AW24" i="14"/>
  <c r="G24" i="14"/>
  <c r="F24" i="14"/>
  <c r="BF23" i="14"/>
  <c r="BE23" i="14"/>
  <c r="BD23" i="14"/>
  <c r="BB23" i="14"/>
  <c r="AZ23" i="14"/>
  <c r="AX23" i="14"/>
  <c r="AW23" i="14"/>
  <c r="G23" i="14"/>
  <c r="F23" i="14"/>
  <c r="BF22" i="14"/>
  <c r="BE22" i="14"/>
  <c r="BD22" i="14"/>
  <c r="BB22" i="14"/>
  <c r="AZ22" i="14"/>
  <c r="AX22" i="14"/>
  <c r="AW22" i="14"/>
  <c r="G22" i="14"/>
  <c r="F22" i="14"/>
  <c r="BF21" i="14"/>
  <c r="BE21" i="14"/>
  <c r="BD21" i="14"/>
  <c r="BB21" i="14"/>
  <c r="AZ21" i="14"/>
  <c r="AX21" i="14"/>
  <c r="AW21" i="14"/>
  <c r="G21" i="14"/>
  <c r="F21" i="14"/>
  <c r="BF20" i="14"/>
  <c r="BE20" i="14"/>
  <c r="BB20" i="14"/>
  <c r="AZ20" i="14"/>
  <c r="AX20" i="14"/>
  <c r="AW20" i="14"/>
  <c r="AG20" i="14"/>
  <c r="G20" i="14"/>
  <c r="F20" i="14"/>
  <c r="BF19" i="14"/>
  <c r="BE19" i="14"/>
  <c r="BD19" i="14"/>
  <c r="BB19" i="14"/>
  <c r="AZ19" i="14"/>
  <c r="AX19" i="14"/>
  <c r="AW19" i="14"/>
  <c r="G19" i="14"/>
  <c r="F19" i="14"/>
  <c r="BF18" i="14"/>
  <c r="BE18" i="14"/>
  <c r="BD18" i="14"/>
  <c r="BB18" i="14"/>
  <c r="AZ18" i="14"/>
  <c r="AX18" i="14"/>
  <c r="AW18" i="14"/>
  <c r="G18" i="14"/>
  <c r="F18" i="14"/>
  <c r="BF17" i="14"/>
  <c r="BE17" i="14"/>
  <c r="BD17" i="14"/>
  <c r="BB17" i="14"/>
  <c r="AZ17" i="14"/>
  <c r="AX17" i="14"/>
  <c r="AW17" i="14"/>
  <c r="G17" i="14"/>
  <c r="F17" i="14"/>
  <c r="BF16" i="14"/>
  <c r="BE16" i="14"/>
  <c r="BD16" i="14"/>
  <c r="BB16" i="14"/>
  <c r="AZ16" i="14"/>
  <c r="AX16" i="14"/>
  <c r="AW16" i="14"/>
  <c r="G16" i="14"/>
  <c r="F16" i="14"/>
  <c r="BF15" i="14"/>
  <c r="BE15" i="14"/>
  <c r="BD15" i="14"/>
  <c r="BB15" i="14"/>
  <c r="AZ15" i="14"/>
  <c r="AX15" i="14"/>
  <c r="AW15" i="14"/>
  <c r="G15" i="14"/>
  <c r="F15" i="14"/>
  <c r="BF14" i="14"/>
  <c r="BE14" i="14"/>
  <c r="BD14" i="14"/>
  <c r="BB14" i="14"/>
  <c r="AZ14" i="14"/>
  <c r="AX14" i="14"/>
  <c r="AW14" i="14"/>
  <c r="G14" i="14"/>
  <c r="F14" i="14"/>
  <c r="BF13" i="14"/>
  <c r="BE13" i="14"/>
  <c r="BD13" i="14"/>
  <c r="BB13" i="14"/>
  <c r="AZ13" i="14"/>
  <c r="AX13" i="14"/>
  <c r="AW13" i="14"/>
  <c r="G13" i="14"/>
  <c r="F13" i="14"/>
  <c r="BF12" i="14"/>
  <c r="BE12" i="14"/>
  <c r="BD12" i="14"/>
  <c r="BB12" i="14"/>
  <c r="AZ12" i="14"/>
  <c r="AX12" i="14"/>
  <c r="AW12" i="14"/>
  <c r="G12" i="14"/>
  <c r="F12" i="14"/>
  <c r="BF11" i="14"/>
  <c r="BE11" i="14"/>
  <c r="BD11" i="14"/>
  <c r="BB11" i="14"/>
  <c r="AZ11" i="14"/>
  <c r="AX11" i="14"/>
  <c r="AW11" i="14"/>
  <c r="G11" i="14"/>
  <c r="F11" i="14"/>
  <c r="BF10" i="14"/>
  <c r="BE10" i="14"/>
  <c r="BD10" i="14"/>
  <c r="BB10" i="14"/>
  <c r="AZ10" i="14"/>
  <c r="AX10" i="14"/>
  <c r="AW10" i="14"/>
  <c r="G10" i="14"/>
  <c r="F10" i="14"/>
  <c r="BF9" i="14"/>
  <c r="BE9" i="14"/>
  <c r="BD9" i="14"/>
  <c r="BB9" i="14"/>
  <c r="AZ9" i="14"/>
  <c r="AX9" i="14"/>
  <c r="AW9" i="14"/>
  <c r="G9" i="14"/>
  <c r="F9" i="14"/>
  <c r="BF8" i="14"/>
  <c r="BE8" i="14"/>
  <c r="BD8" i="14"/>
  <c r="BB8" i="14"/>
  <c r="AZ8" i="14"/>
  <c r="AX8" i="14"/>
  <c r="AW8" i="14"/>
  <c r="G8" i="14"/>
  <c r="F8" i="14"/>
  <c r="BF7" i="14"/>
  <c r="BE7" i="14"/>
  <c r="BD7" i="14"/>
  <c r="BB7" i="14"/>
  <c r="AZ7" i="14"/>
  <c r="AW7" i="14"/>
  <c r="G7" i="14"/>
  <c r="F7" i="14"/>
  <c r="BF6" i="14"/>
  <c r="BE6" i="14"/>
  <c r="BD6" i="14"/>
  <c r="BB6" i="14"/>
  <c r="AZ6" i="14"/>
  <c r="AX6" i="14"/>
  <c r="AW6" i="14"/>
  <c r="G6" i="14"/>
  <c r="F6" i="14"/>
  <c r="BF5" i="14"/>
  <c r="BE5" i="14"/>
  <c r="BD5" i="14"/>
  <c r="BB5" i="14"/>
  <c r="AZ5" i="14"/>
  <c r="AX5" i="14"/>
  <c r="AW5" i="14"/>
  <c r="G5" i="14"/>
  <c r="F5" i="14"/>
  <c r="BF4" i="14"/>
  <c r="BE4" i="14"/>
  <c r="BD4" i="14"/>
  <c r="BB4" i="14"/>
  <c r="AZ4" i="14"/>
  <c r="AX4" i="14"/>
  <c r="AW4" i="14"/>
  <c r="G4" i="14"/>
  <c r="F4" i="14"/>
  <c r="BF3" i="14"/>
  <c r="BE3" i="14"/>
  <c r="BD3" i="14"/>
  <c r="BB3" i="14"/>
  <c r="AZ3" i="14"/>
  <c r="AX3" i="14"/>
  <c r="AW3" i="14"/>
  <c r="G3" i="14"/>
  <c r="F3" i="14"/>
  <c r="BF2" i="14"/>
  <c r="BE2" i="14"/>
  <c r="BD2" i="14"/>
  <c r="BB2" i="14"/>
  <c r="AZ2" i="14"/>
  <c r="AX2" i="14"/>
  <c r="G2" i="14"/>
  <c r="F2" i="14"/>
  <c r="O40" i="12"/>
  <c r="N40" i="12"/>
  <c r="M40" i="12"/>
  <c r="L40" i="12"/>
  <c r="K40" i="12"/>
  <c r="J40" i="12"/>
  <c r="I40" i="12"/>
  <c r="O39" i="12"/>
  <c r="N39" i="12"/>
  <c r="M39" i="12"/>
  <c r="L39" i="12"/>
  <c r="K39" i="12"/>
  <c r="J39" i="12"/>
  <c r="I39" i="12"/>
  <c r="O37" i="12"/>
  <c r="N37" i="12"/>
  <c r="M37" i="12"/>
  <c r="L37" i="12"/>
  <c r="K37" i="12"/>
  <c r="J37" i="12"/>
  <c r="I37" i="12"/>
  <c r="N36" i="12"/>
  <c r="M36" i="12"/>
  <c r="L36" i="12"/>
  <c r="K36" i="12"/>
  <c r="J36" i="12"/>
  <c r="I36" i="12"/>
  <c r="O35" i="12"/>
  <c r="N35" i="12"/>
  <c r="M35" i="12"/>
  <c r="L35" i="12"/>
  <c r="K35" i="12"/>
  <c r="J35" i="12"/>
  <c r="I35" i="12"/>
  <c r="O34" i="12"/>
  <c r="N34" i="12"/>
  <c r="M34" i="12"/>
  <c r="L34" i="12"/>
  <c r="K34" i="12"/>
  <c r="J34" i="12"/>
  <c r="I34" i="12"/>
  <c r="N33" i="12"/>
  <c r="M33" i="12"/>
  <c r="L33" i="12"/>
  <c r="K33" i="12"/>
  <c r="J33" i="12"/>
  <c r="I33" i="12"/>
  <c r="O32" i="12"/>
  <c r="N32" i="12"/>
  <c r="M32" i="12"/>
  <c r="L32" i="12"/>
  <c r="K32" i="12"/>
  <c r="J32" i="12"/>
  <c r="I32" i="12"/>
  <c r="N31" i="12"/>
  <c r="M31" i="12"/>
  <c r="L31" i="12"/>
  <c r="K31" i="12"/>
  <c r="J31" i="12"/>
  <c r="I31" i="12"/>
  <c r="O30" i="12"/>
  <c r="N30" i="12"/>
  <c r="M30" i="12"/>
  <c r="L30" i="12"/>
  <c r="K30" i="12"/>
  <c r="J30" i="12"/>
  <c r="I30" i="12"/>
  <c r="N29" i="12"/>
  <c r="M29" i="12"/>
  <c r="L29" i="12"/>
  <c r="K29" i="12"/>
  <c r="J29" i="12"/>
  <c r="I29" i="12"/>
  <c r="O28" i="12"/>
  <c r="N28" i="12"/>
  <c r="M28" i="12"/>
  <c r="L28" i="12"/>
  <c r="K28" i="12"/>
  <c r="J28" i="12"/>
  <c r="I28" i="12"/>
  <c r="N26" i="12"/>
  <c r="M26" i="12"/>
  <c r="L26" i="12"/>
  <c r="K26" i="12"/>
  <c r="J26" i="12"/>
  <c r="I26" i="12"/>
  <c r="O25" i="12"/>
  <c r="N25" i="12"/>
  <c r="M25" i="12"/>
  <c r="L25" i="12"/>
  <c r="K25" i="12"/>
  <c r="J25" i="12"/>
  <c r="I25" i="12"/>
  <c r="N23" i="12"/>
  <c r="M23" i="12"/>
  <c r="L23" i="12"/>
  <c r="K23" i="12"/>
  <c r="J23" i="12"/>
  <c r="I23" i="12"/>
  <c r="O22" i="12"/>
  <c r="N22" i="12"/>
  <c r="M22" i="12"/>
  <c r="L22" i="12"/>
  <c r="K22" i="12"/>
  <c r="J22" i="12"/>
  <c r="I22" i="12"/>
  <c r="N21" i="12"/>
  <c r="M21" i="12"/>
  <c r="L21" i="12"/>
  <c r="K21" i="12"/>
  <c r="J21" i="12"/>
  <c r="I21" i="12"/>
  <c r="O20" i="12"/>
  <c r="N20" i="12"/>
  <c r="M20" i="12"/>
  <c r="L20" i="12"/>
  <c r="K20" i="12"/>
  <c r="J20" i="12"/>
  <c r="I20" i="12"/>
  <c r="N19" i="12"/>
  <c r="M19" i="12"/>
  <c r="L19" i="12"/>
  <c r="K19" i="12"/>
  <c r="J19" i="12"/>
  <c r="I19" i="12"/>
  <c r="O18" i="12"/>
  <c r="N18" i="12"/>
  <c r="M18" i="12"/>
  <c r="L18" i="12"/>
  <c r="K18" i="12"/>
  <c r="J18" i="12"/>
  <c r="I18" i="12"/>
  <c r="N16" i="12"/>
  <c r="M16" i="12"/>
  <c r="L16" i="12"/>
  <c r="K16" i="12"/>
  <c r="J16" i="12"/>
  <c r="I16" i="12"/>
  <c r="O15" i="12"/>
  <c r="N15" i="12"/>
  <c r="M15" i="12"/>
  <c r="L15" i="12"/>
  <c r="K15" i="12"/>
  <c r="J15" i="12"/>
  <c r="I15" i="12"/>
  <c r="N14" i="12"/>
  <c r="M14" i="12"/>
  <c r="L14" i="12"/>
  <c r="K14" i="12"/>
  <c r="J14" i="12"/>
  <c r="I14" i="12"/>
  <c r="O13" i="12"/>
  <c r="N13" i="12"/>
  <c r="M13" i="12"/>
  <c r="L13" i="12"/>
  <c r="K13" i="12"/>
  <c r="J13" i="12"/>
  <c r="I13" i="12"/>
  <c r="N12" i="12"/>
  <c r="M12" i="12"/>
  <c r="L12" i="12"/>
  <c r="K12" i="12"/>
  <c r="J12" i="12"/>
  <c r="I12" i="12"/>
  <c r="O11" i="12"/>
  <c r="N11" i="12"/>
  <c r="M11" i="12"/>
  <c r="L11" i="12"/>
  <c r="K11" i="12"/>
  <c r="J11" i="12"/>
  <c r="I11" i="12"/>
  <c r="N10" i="12"/>
  <c r="M10" i="12"/>
  <c r="L10" i="12"/>
  <c r="K10" i="12"/>
  <c r="J10" i="12"/>
  <c r="I10" i="12"/>
  <c r="O9" i="12"/>
  <c r="N9" i="12"/>
  <c r="M9" i="12"/>
  <c r="L9" i="12"/>
  <c r="K9" i="12"/>
  <c r="J9" i="12"/>
  <c r="I9" i="12"/>
  <c r="O7" i="12"/>
  <c r="N7" i="12"/>
  <c r="M7" i="12"/>
  <c r="L7" i="12"/>
  <c r="K7" i="12"/>
  <c r="J7" i="12"/>
  <c r="I7" i="12"/>
  <c r="O6" i="12"/>
  <c r="N6" i="12"/>
  <c r="M6" i="12"/>
  <c r="L6" i="12"/>
  <c r="K6" i="12"/>
  <c r="J6" i="12"/>
  <c r="I6" i="12"/>
  <c r="O5" i="12"/>
  <c r="N5" i="12"/>
  <c r="M5" i="12"/>
  <c r="L5" i="12"/>
  <c r="K5" i="12"/>
  <c r="J5" i="12"/>
  <c r="I5" i="12"/>
  <c r="O4" i="12"/>
  <c r="N4" i="12"/>
  <c r="M4" i="12"/>
  <c r="L4" i="12"/>
  <c r="K4" i="12"/>
  <c r="J4" i="12"/>
  <c r="I4" i="12"/>
  <c r="O2" i="12"/>
  <c r="N2" i="12"/>
  <c r="M2" i="12"/>
  <c r="L2" i="12"/>
  <c r="K2" i="12"/>
  <c r="J2" i="12"/>
  <c r="I2" i="12"/>
  <c r="O1" i="12"/>
  <c r="N1" i="12"/>
  <c r="M1" i="12"/>
  <c r="L1" i="12"/>
  <c r="K1" i="12"/>
  <c r="J1" i="12"/>
  <c r="I1" i="12"/>
  <c r="N35" i="11"/>
  <c r="AK31" i="11"/>
  <c r="AL31" i="11" s="1"/>
  <c r="AG30" i="11"/>
  <c r="AC30" i="11"/>
  <c r="AK18" i="11"/>
  <c r="AL18" i="11" s="1"/>
  <c r="AG17" i="11"/>
  <c r="AC17" i="11"/>
  <c r="AL5" i="11"/>
  <c r="AK5" i="11"/>
  <c r="AG4" i="11"/>
  <c r="AC4" i="11"/>
  <c r="X16" i="10"/>
  <c r="I16" i="10" s="1"/>
  <c r="W16" i="10"/>
  <c r="S16" i="10"/>
  <c r="Q16" i="10"/>
  <c r="M16" i="10"/>
  <c r="K16" i="10"/>
  <c r="F16" i="10"/>
  <c r="E16" i="10"/>
  <c r="U15" i="10"/>
  <c r="S15" i="10"/>
  <c r="R15" i="10"/>
  <c r="Q15" i="10"/>
  <c r="O15" i="10"/>
  <c r="M15" i="10"/>
  <c r="K15" i="10"/>
  <c r="L15" i="10" s="1"/>
  <c r="I15" i="10"/>
  <c r="J15" i="10" s="1"/>
  <c r="G15" i="10"/>
  <c r="H15" i="10" s="1"/>
  <c r="F15" i="10"/>
  <c r="E15" i="10"/>
  <c r="D15" i="10"/>
  <c r="C15" i="10"/>
  <c r="B15" i="10"/>
  <c r="X6" i="10"/>
  <c r="I6" i="10" s="1"/>
  <c r="W6" i="10"/>
  <c r="U6" i="10"/>
  <c r="O6" i="10"/>
  <c r="K6" i="10"/>
  <c r="G6" i="10"/>
  <c r="H6" i="10" s="1"/>
  <c r="C6" i="10"/>
  <c r="U5" i="10"/>
  <c r="S5" i="10"/>
  <c r="R5" i="10"/>
  <c r="Q5" i="10"/>
  <c r="O5" i="10"/>
  <c r="P5" i="10" s="1"/>
  <c r="M5" i="10"/>
  <c r="K5" i="10"/>
  <c r="L5" i="10" s="1"/>
  <c r="J5" i="10"/>
  <c r="I5" i="10"/>
  <c r="G5" i="10"/>
  <c r="H5" i="10" s="1"/>
  <c r="F5" i="10"/>
  <c r="E5" i="10"/>
  <c r="D5" i="10"/>
  <c r="C5" i="10"/>
  <c r="B5" i="10"/>
  <c r="AL16" i="9"/>
  <c r="AM16" i="9" s="1"/>
  <c r="AI15" i="9"/>
  <c r="AE15" i="9"/>
  <c r="AL6" i="9"/>
  <c r="AM6" i="9" s="1"/>
  <c r="AK5" i="9"/>
  <c r="AI5" i="9"/>
  <c r="AE5" i="9"/>
  <c r="M42" i="8"/>
  <c r="L42" i="8"/>
  <c r="K42" i="8"/>
  <c r="J42" i="8"/>
  <c r="I42" i="8"/>
  <c r="G42" i="8"/>
  <c r="D42" i="8"/>
  <c r="M41" i="8"/>
  <c r="L41" i="8"/>
  <c r="K41" i="8"/>
  <c r="J41" i="8"/>
  <c r="I41" i="8"/>
  <c r="G41" i="8"/>
  <c r="D41" i="8"/>
  <c r="M40" i="8"/>
  <c r="L40" i="8"/>
  <c r="K40" i="8"/>
  <c r="J40" i="8"/>
  <c r="I40" i="8"/>
  <c r="G40" i="8"/>
  <c r="D40" i="8"/>
  <c r="M39" i="8"/>
  <c r="L39" i="8"/>
  <c r="K39" i="8"/>
  <c r="J39" i="8"/>
  <c r="I39" i="8"/>
  <c r="G39" i="8"/>
  <c r="D39" i="8"/>
  <c r="M38" i="8"/>
  <c r="L38" i="8"/>
  <c r="K38" i="8"/>
  <c r="J38" i="8"/>
  <c r="I38" i="8"/>
  <c r="G38" i="8"/>
  <c r="D38" i="8"/>
  <c r="M37" i="8"/>
  <c r="L37" i="8"/>
  <c r="K37" i="8"/>
  <c r="J37" i="8"/>
  <c r="I37" i="8"/>
  <c r="G37" i="8"/>
  <c r="D37" i="8"/>
  <c r="M36" i="8"/>
  <c r="L36" i="8"/>
  <c r="K36" i="8"/>
  <c r="J36" i="8"/>
  <c r="I36" i="8"/>
  <c r="G36" i="8"/>
  <c r="D36" i="8"/>
  <c r="M35" i="8"/>
  <c r="L35" i="8"/>
  <c r="K35" i="8"/>
  <c r="J35" i="8"/>
  <c r="I35" i="8"/>
  <c r="G35" i="8"/>
  <c r="D35" i="8"/>
  <c r="M34" i="8"/>
  <c r="L34" i="8"/>
  <c r="K34" i="8"/>
  <c r="J34" i="8"/>
  <c r="I34" i="8"/>
  <c r="G34" i="8"/>
  <c r="D34" i="8"/>
  <c r="M33" i="8"/>
  <c r="L33" i="8"/>
  <c r="K33" i="8"/>
  <c r="J33" i="8"/>
  <c r="I33" i="8"/>
  <c r="G33" i="8"/>
  <c r="D33" i="8"/>
  <c r="M32" i="8"/>
  <c r="L32" i="8"/>
  <c r="K32" i="8"/>
  <c r="J32" i="8"/>
  <c r="I32" i="8"/>
  <c r="G32" i="8"/>
  <c r="D32" i="8"/>
  <c r="M31" i="8"/>
  <c r="L31" i="8"/>
  <c r="K31" i="8"/>
  <c r="J31" i="8"/>
  <c r="I31" i="8"/>
  <c r="G31" i="8"/>
  <c r="D31" i="8"/>
  <c r="M30" i="8"/>
  <c r="L30" i="8"/>
  <c r="K30" i="8"/>
  <c r="J30" i="8"/>
  <c r="I30" i="8"/>
  <c r="G30" i="8"/>
  <c r="D30" i="8"/>
  <c r="M29" i="8"/>
  <c r="L29" i="8"/>
  <c r="K29" i="8"/>
  <c r="J29" i="8"/>
  <c r="I29" i="8"/>
  <c r="G29" i="8"/>
  <c r="D29" i="8"/>
  <c r="M28" i="8"/>
  <c r="L28" i="8"/>
  <c r="K28" i="8"/>
  <c r="J28" i="8"/>
  <c r="I28" i="8"/>
  <c r="G28" i="8"/>
  <c r="D28" i="8"/>
  <c r="M27" i="8"/>
  <c r="L27" i="8"/>
  <c r="K27" i="8"/>
  <c r="J27" i="8"/>
  <c r="I27" i="8"/>
  <c r="G27" i="8"/>
  <c r="D27" i="8"/>
  <c r="M26" i="8"/>
  <c r="L26" i="8"/>
  <c r="K26" i="8"/>
  <c r="J26" i="8"/>
  <c r="I26" i="8"/>
  <c r="G26" i="8"/>
  <c r="D26" i="8"/>
  <c r="M25" i="8"/>
  <c r="L25" i="8"/>
  <c r="K25" i="8"/>
  <c r="J25" i="8"/>
  <c r="I25" i="8"/>
  <c r="G25" i="8"/>
  <c r="D25" i="8"/>
  <c r="M24" i="8"/>
  <c r="L24" i="8"/>
  <c r="K24" i="8"/>
  <c r="J24" i="8"/>
  <c r="I24" i="8"/>
  <c r="G24" i="8"/>
  <c r="D24" i="8"/>
  <c r="M23" i="8"/>
  <c r="L23" i="8"/>
  <c r="K23" i="8"/>
  <c r="J23" i="8"/>
  <c r="I23" i="8"/>
  <c r="G23" i="8"/>
  <c r="D23" i="8"/>
  <c r="M22" i="8"/>
  <c r="L22" i="8"/>
  <c r="K22" i="8"/>
  <c r="J22" i="8"/>
  <c r="I22" i="8"/>
  <c r="G22" i="8"/>
  <c r="D22" i="8"/>
  <c r="M21" i="8"/>
  <c r="L21" i="8"/>
  <c r="K21" i="8"/>
  <c r="J21" i="8"/>
  <c r="I21" i="8"/>
  <c r="G21" i="8"/>
  <c r="D21" i="8"/>
  <c r="M20" i="8"/>
  <c r="L20" i="8"/>
  <c r="K20" i="8"/>
  <c r="J20" i="8"/>
  <c r="I20" i="8"/>
  <c r="G20" i="8"/>
  <c r="D20" i="8"/>
  <c r="M19" i="8"/>
  <c r="L19" i="8"/>
  <c r="K19" i="8"/>
  <c r="J19" i="8"/>
  <c r="I19" i="8"/>
  <c r="G19" i="8"/>
  <c r="D19" i="8"/>
  <c r="M18" i="8"/>
  <c r="L18" i="8"/>
  <c r="K18" i="8"/>
  <c r="J18" i="8"/>
  <c r="I18" i="8"/>
  <c r="G18" i="8"/>
  <c r="D18" i="8"/>
  <c r="M17" i="8"/>
  <c r="L17" i="8"/>
  <c r="K17" i="8"/>
  <c r="J17" i="8"/>
  <c r="I17" i="8"/>
  <c r="G17" i="8"/>
  <c r="D17" i="8"/>
  <c r="M16" i="8"/>
  <c r="L16" i="8"/>
  <c r="K16" i="8"/>
  <c r="J16" i="8"/>
  <c r="I16" i="8"/>
  <c r="G16" i="8"/>
  <c r="D16" i="8"/>
  <c r="M15" i="8"/>
  <c r="L15" i="8"/>
  <c r="K15" i="8"/>
  <c r="J15" i="8"/>
  <c r="I15" i="8"/>
  <c r="G15" i="8"/>
  <c r="D15" i="8"/>
  <c r="M14" i="8"/>
  <c r="L14" i="8"/>
  <c r="K14" i="8"/>
  <c r="J14" i="8"/>
  <c r="I14" i="8"/>
  <c r="G14" i="8"/>
  <c r="D14" i="8"/>
  <c r="M13" i="8"/>
  <c r="L13" i="8"/>
  <c r="K13" i="8"/>
  <c r="J13" i="8"/>
  <c r="I13" i="8"/>
  <c r="G13" i="8"/>
  <c r="D13" i="8"/>
  <c r="M12" i="8"/>
  <c r="L12" i="8"/>
  <c r="K12" i="8"/>
  <c r="J12" i="8"/>
  <c r="I12" i="8"/>
  <c r="G12" i="8"/>
  <c r="D12" i="8"/>
  <c r="M11" i="8"/>
  <c r="L11" i="8"/>
  <c r="K11" i="8"/>
  <c r="J11" i="8"/>
  <c r="I11" i="8"/>
  <c r="G11" i="8"/>
  <c r="D11" i="8"/>
  <c r="V10" i="8"/>
  <c r="S10" i="8"/>
  <c r="M10" i="8"/>
  <c r="L10" i="8"/>
  <c r="K10" i="8"/>
  <c r="J10" i="8"/>
  <c r="I10" i="8"/>
  <c r="G10" i="8"/>
  <c r="D10" i="8"/>
  <c r="V9" i="8"/>
  <c r="S9" i="8"/>
  <c r="M9" i="8"/>
  <c r="L9" i="8"/>
  <c r="K9" i="8"/>
  <c r="J9" i="8"/>
  <c r="I9" i="8"/>
  <c r="G9" i="8"/>
  <c r="D9" i="8"/>
  <c r="V8" i="8"/>
  <c r="S8" i="8"/>
  <c r="M8" i="8"/>
  <c r="L8" i="8"/>
  <c r="K8" i="8"/>
  <c r="J8" i="8"/>
  <c r="I8" i="8"/>
  <c r="G8" i="8"/>
  <c r="D8" i="8"/>
  <c r="V7" i="8"/>
  <c r="S7" i="8"/>
  <c r="M7" i="8"/>
  <c r="L7" i="8"/>
  <c r="K7" i="8"/>
  <c r="J7" i="8"/>
  <c r="I7" i="8"/>
  <c r="G7" i="8"/>
  <c r="D7" i="8"/>
  <c r="A7" i="8"/>
  <c r="V6" i="8"/>
  <c r="S6" i="8"/>
  <c r="M6" i="8"/>
  <c r="L6" i="8"/>
  <c r="K6" i="8"/>
  <c r="J6" i="8"/>
  <c r="I6" i="8"/>
  <c r="G6" i="8"/>
  <c r="D6" i="8"/>
  <c r="A6" i="8"/>
  <c r="V5" i="8"/>
  <c r="S5" i="8"/>
  <c r="M5" i="8"/>
  <c r="L5" i="8"/>
  <c r="K5" i="8"/>
  <c r="J5" i="8"/>
  <c r="I5" i="8"/>
  <c r="G5" i="8"/>
  <c r="D5" i="8"/>
  <c r="V4" i="8"/>
  <c r="S4" i="8"/>
  <c r="M4" i="8"/>
  <c r="L4" i="8"/>
  <c r="K4" i="8"/>
  <c r="J4" i="8"/>
  <c r="I4" i="8"/>
  <c r="G4" i="8"/>
  <c r="D4" i="8"/>
  <c r="V3" i="8"/>
  <c r="S3" i="8"/>
  <c r="M3" i="8"/>
  <c r="L3" i="8"/>
  <c r="K3" i="8"/>
  <c r="J3" i="8"/>
  <c r="I3" i="8"/>
  <c r="G3" i="8"/>
  <c r="D3" i="8"/>
  <c r="V2" i="8"/>
  <c r="S2" i="8"/>
  <c r="Q2" i="8"/>
  <c r="N2" i="8"/>
  <c r="M2" i="8"/>
  <c r="L2" i="8"/>
  <c r="K2" i="8"/>
  <c r="J2" i="8"/>
  <c r="I2" i="8"/>
  <c r="G2" i="8"/>
  <c r="D2" i="8"/>
  <c r="N1" i="8"/>
  <c r="C37" i="8" s="1"/>
  <c r="M1" i="8"/>
  <c r="L1" i="8"/>
  <c r="K1" i="8"/>
  <c r="J1" i="8"/>
  <c r="I1" i="8"/>
  <c r="AC16" i="7"/>
  <c r="Z16" i="7" s="1"/>
  <c r="AB16" i="7"/>
  <c r="Y16" i="7"/>
  <c r="V16" i="7"/>
  <c r="R16" i="7"/>
  <c r="N16" i="7"/>
  <c r="L16" i="7"/>
  <c r="M16" i="7" s="1"/>
  <c r="H16" i="7"/>
  <c r="Z15" i="7"/>
  <c r="Y15" i="7"/>
  <c r="X15" i="7"/>
  <c r="W15" i="7"/>
  <c r="V15" i="7"/>
  <c r="T15" i="7"/>
  <c r="U15" i="7" s="1"/>
  <c r="R15" i="7"/>
  <c r="P15" i="7"/>
  <c r="N15" i="7"/>
  <c r="O15" i="7" s="1"/>
  <c r="L15" i="7"/>
  <c r="K15" i="7"/>
  <c r="J15" i="7"/>
  <c r="I15" i="7"/>
  <c r="H15" i="7"/>
  <c r="G15" i="7"/>
  <c r="AB6" i="7"/>
  <c r="AC6" i="7" s="1"/>
  <c r="Z5" i="7"/>
  <c r="Y5" i="7"/>
  <c r="X5" i="7"/>
  <c r="W5" i="7"/>
  <c r="V5" i="7"/>
  <c r="T5" i="7"/>
  <c r="U5" i="7" s="1"/>
  <c r="R5" i="7"/>
  <c r="Q5" i="7"/>
  <c r="P5" i="7"/>
  <c r="O5" i="7"/>
  <c r="N5" i="7"/>
  <c r="M5" i="7"/>
  <c r="L5" i="7"/>
  <c r="K5" i="7"/>
  <c r="J5" i="7"/>
  <c r="I5" i="7"/>
  <c r="H5" i="7"/>
  <c r="G5" i="7"/>
  <c r="F32" i="6"/>
  <c r="E32" i="6"/>
  <c r="D32" i="6"/>
  <c r="C32" i="6"/>
  <c r="B32" i="6"/>
  <c r="A32" i="6"/>
  <c r="M31" i="6"/>
  <c r="L31" i="6"/>
  <c r="K31" i="6"/>
  <c r="J31" i="6"/>
  <c r="I31" i="6"/>
  <c r="H31" i="6"/>
  <c r="F31" i="6"/>
  <c r="E31" i="6"/>
  <c r="D31" i="6"/>
  <c r="C31" i="6"/>
  <c r="B31" i="6"/>
  <c r="A31" i="6"/>
  <c r="M30" i="6"/>
  <c r="L30" i="6"/>
  <c r="K30" i="6"/>
  <c r="J30" i="6"/>
  <c r="I30" i="6"/>
  <c r="H30" i="6"/>
  <c r="F30" i="6"/>
  <c r="E30" i="6"/>
  <c r="D30" i="6"/>
  <c r="C30" i="6"/>
  <c r="B30" i="6"/>
  <c r="A30" i="6"/>
  <c r="M29" i="6"/>
  <c r="L29" i="6"/>
  <c r="K29" i="6"/>
  <c r="J29" i="6"/>
  <c r="I29" i="6"/>
  <c r="H29" i="6"/>
  <c r="F29" i="6"/>
  <c r="E29" i="6"/>
  <c r="D29" i="6"/>
  <c r="C29" i="6"/>
  <c r="B29" i="6"/>
  <c r="A29" i="6"/>
  <c r="M28" i="6"/>
  <c r="L28" i="6"/>
  <c r="K28" i="6"/>
  <c r="J28" i="6"/>
  <c r="I28" i="6"/>
  <c r="H28" i="6"/>
  <c r="F28" i="6"/>
  <c r="E28" i="6"/>
  <c r="D28" i="6"/>
  <c r="C28" i="6"/>
  <c r="B28" i="6"/>
  <c r="A28" i="6"/>
  <c r="M27" i="6"/>
  <c r="L27" i="6"/>
  <c r="K27" i="6"/>
  <c r="J27" i="6"/>
  <c r="I27" i="6"/>
  <c r="H27" i="6"/>
  <c r="F27" i="6"/>
  <c r="E27" i="6"/>
  <c r="D27" i="6"/>
  <c r="C27" i="6"/>
  <c r="B27" i="6"/>
  <c r="A27" i="6"/>
  <c r="M26" i="6"/>
  <c r="L26" i="6"/>
  <c r="K26" i="6"/>
  <c r="J26" i="6"/>
  <c r="I26" i="6"/>
  <c r="H26" i="6"/>
  <c r="F26" i="6"/>
  <c r="E26" i="6"/>
  <c r="D26" i="6"/>
  <c r="C26" i="6"/>
  <c r="B26" i="6"/>
  <c r="A26" i="6"/>
  <c r="M25" i="6"/>
  <c r="L25" i="6"/>
  <c r="K25" i="6"/>
  <c r="J25" i="6"/>
  <c r="I25" i="6"/>
  <c r="H25" i="6"/>
  <c r="F25" i="6"/>
  <c r="E25" i="6"/>
  <c r="D25" i="6"/>
  <c r="C25" i="6"/>
  <c r="B25" i="6"/>
  <c r="A25" i="6"/>
  <c r="M24" i="6"/>
  <c r="L24" i="6"/>
  <c r="K24" i="6"/>
  <c r="J24" i="6"/>
  <c r="I24" i="6"/>
  <c r="H24" i="6"/>
  <c r="F24" i="6"/>
  <c r="E24" i="6"/>
  <c r="D24" i="6"/>
  <c r="C24" i="6"/>
  <c r="B24" i="6"/>
  <c r="A24" i="6"/>
  <c r="M23" i="6"/>
  <c r="L23" i="6"/>
  <c r="K23" i="6"/>
  <c r="J23" i="6"/>
  <c r="I23" i="6"/>
  <c r="H23" i="6"/>
  <c r="F23" i="6"/>
  <c r="E23" i="6"/>
  <c r="D23" i="6"/>
  <c r="C23" i="6"/>
  <c r="B23" i="6"/>
  <c r="A23" i="6"/>
  <c r="M22" i="6"/>
  <c r="L22" i="6"/>
  <c r="K22" i="6"/>
  <c r="J22" i="6"/>
  <c r="I22" i="6"/>
  <c r="H22" i="6"/>
  <c r="F22" i="6"/>
  <c r="E22" i="6"/>
  <c r="D22" i="6"/>
  <c r="C22" i="6"/>
  <c r="B22" i="6"/>
  <c r="A22" i="6"/>
  <c r="M21" i="6"/>
  <c r="L21" i="6"/>
  <c r="K21" i="6"/>
  <c r="J21" i="6"/>
  <c r="I21" i="6"/>
  <c r="H21" i="6"/>
  <c r="F21" i="6"/>
  <c r="E21" i="6"/>
  <c r="D21" i="6"/>
  <c r="C21" i="6"/>
  <c r="B21" i="6"/>
  <c r="A21" i="6"/>
  <c r="M20" i="6"/>
  <c r="L20" i="6"/>
  <c r="K20" i="6"/>
  <c r="J20" i="6"/>
  <c r="I20" i="6"/>
  <c r="H20" i="6"/>
  <c r="F20" i="6"/>
  <c r="E20" i="6"/>
  <c r="D20" i="6"/>
  <c r="C20" i="6"/>
  <c r="B20" i="6"/>
  <c r="A20" i="6"/>
  <c r="M19" i="6"/>
  <c r="L19" i="6"/>
  <c r="K19" i="6"/>
  <c r="J19" i="6"/>
  <c r="I19" i="6"/>
  <c r="H19" i="6"/>
  <c r="F19" i="6"/>
  <c r="E19" i="6"/>
  <c r="D19" i="6"/>
  <c r="C19" i="6"/>
  <c r="B19" i="6"/>
  <c r="A19" i="6"/>
  <c r="M18" i="6"/>
  <c r="L18" i="6"/>
  <c r="K18" i="6"/>
  <c r="J18" i="6"/>
  <c r="I18" i="6"/>
  <c r="H18" i="6"/>
  <c r="F18" i="6"/>
  <c r="E18" i="6"/>
  <c r="D18" i="6"/>
  <c r="C18" i="6"/>
  <c r="B18" i="6"/>
  <c r="A18" i="6"/>
  <c r="M17" i="6"/>
  <c r="L17" i="6"/>
  <c r="K17" i="6"/>
  <c r="J17" i="6"/>
  <c r="I17" i="6"/>
  <c r="H17" i="6"/>
  <c r="F17" i="6"/>
  <c r="E17" i="6"/>
  <c r="D17" i="6"/>
  <c r="C17" i="6"/>
  <c r="B17" i="6"/>
  <c r="A17" i="6"/>
  <c r="M16" i="6"/>
  <c r="L16" i="6"/>
  <c r="K16" i="6"/>
  <c r="J16" i="6"/>
  <c r="I16" i="6"/>
  <c r="H16" i="6"/>
  <c r="F16" i="6"/>
  <c r="E16" i="6"/>
  <c r="D16" i="6"/>
  <c r="C16" i="6"/>
  <c r="B16" i="6"/>
  <c r="A16" i="6"/>
  <c r="M15" i="6"/>
  <c r="L15" i="6"/>
  <c r="K15" i="6"/>
  <c r="J15" i="6"/>
  <c r="I15" i="6"/>
  <c r="H15" i="6"/>
  <c r="F15" i="6"/>
  <c r="E15" i="6"/>
  <c r="D15" i="6"/>
  <c r="C15" i="6"/>
  <c r="B15" i="6"/>
  <c r="A15" i="6"/>
  <c r="M14" i="6"/>
  <c r="L14" i="6"/>
  <c r="K14" i="6"/>
  <c r="J14" i="6"/>
  <c r="I14" i="6"/>
  <c r="H14" i="6"/>
  <c r="F14" i="6"/>
  <c r="E14" i="6"/>
  <c r="D14" i="6"/>
  <c r="C14" i="6"/>
  <c r="B14" i="6"/>
  <c r="A14" i="6"/>
  <c r="M13" i="6"/>
  <c r="L13" i="6"/>
  <c r="K13" i="6"/>
  <c r="J13" i="6"/>
  <c r="I13" i="6"/>
  <c r="H13" i="6"/>
  <c r="F13" i="6"/>
  <c r="E13" i="6"/>
  <c r="D13" i="6"/>
  <c r="C13" i="6"/>
  <c r="B13" i="6"/>
  <c r="A13" i="6"/>
  <c r="M12" i="6"/>
  <c r="L12" i="6"/>
  <c r="K12" i="6"/>
  <c r="J12" i="6"/>
  <c r="I12" i="6"/>
  <c r="H12" i="6"/>
  <c r="F12" i="6"/>
  <c r="E12" i="6"/>
  <c r="D12" i="6"/>
  <c r="C12" i="6"/>
  <c r="B12" i="6"/>
  <c r="A12" i="6"/>
  <c r="M11" i="6"/>
  <c r="L11" i="6"/>
  <c r="K11" i="6"/>
  <c r="J11" i="6"/>
  <c r="I11" i="6"/>
  <c r="H11" i="6"/>
  <c r="F11" i="6"/>
  <c r="E11" i="6"/>
  <c r="D11" i="6"/>
  <c r="C11" i="6"/>
  <c r="B11" i="6"/>
  <c r="A11" i="6"/>
  <c r="M10" i="6"/>
  <c r="L10" i="6"/>
  <c r="K10" i="6"/>
  <c r="J10" i="6"/>
  <c r="I10" i="6"/>
  <c r="H10" i="6"/>
  <c r="F10" i="6"/>
  <c r="E10" i="6"/>
  <c r="D10" i="6"/>
  <c r="C10" i="6"/>
  <c r="B10" i="6"/>
  <c r="A10" i="6"/>
  <c r="M9" i="6"/>
  <c r="L9" i="6"/>
  <c r="K9" i="6"/>
  <c r="J9" i="6"/>
  <c r="I9" i="6"/>
  <c r="H9" i="6"/>
  <c r="F9" i="6"/>
  <c r="E9" i="6"/>
  <c r="D9" i="6"/>
  <c r="C9" i="6"/>
  <c r="B9" i="6"/>
  <c r="A9" i="6"/>
  <c r="M8" i="6"/>
  <c r="L8" i="6"/>
  <c r="K8" i="6"/>
  <c r="J8" i="6"/>
  <c r="I8" i="6"/>
  <c r="H8" i="6"/>
  <c r="F8" i="6"/>
  <c r="E8" i="6"/>
  <c r="D8" i="6"/>
  <c r="C8" i="6"/>
  <c r="B8" i="6"/>
  <c r="A8" i="6"/>
  <c r="M7" i="6"/>
  <c r="L7" i="6"/>
  <c r="K7" i="6"/>
  <c r="J7" i="6"/>
  <c r="I7" i="6"/>
  <c r="H7" i="6"/>
  <c r="F7" i="6"/>
  <c r="E7" i="6"/>
  <c r="D7" i="6"/>
  <c r="C7" i="6"/>
  <c r="B7" i="6"/>
  <c r="A7" i="6"/>
  <c r="M6" i="6"/>
  <c r="L6" i="6"/>
  <c r="K6" i="6"/>
  <c r="J6" i="6"/>
  <c r="I6" i="6"/>
  <c r="H6" i="6"/>
  <c r="F6" i="6"/>
  <c r="E6" i="6"/>
  <c r="D6" i="6"/>
  <c r="C6" i="6"/>
  <c r="B6" i="6"/>
  <c r="A6" i="6"/>
  <c r="M5" i="6"/>
  <c r="L5" i="6"/>
  <c r="K5" i="6"/>
  <c r="J5" i="6"/>
  <c r="I5" i="6"/>
  <c r="H5" i="6"/>
  <c r="F5" i="6"/>
  <c r="E5" i="6"/>
  <c r="D5" i="6"/>
  <c r="C5" i="6"/>
  <c r="B5" i="6"/>
  <c r="A5" i="6"/>
  <c r="M4" i="6"/>
  <c r="L4" i="6"/>
  <c r="K4" i="6"/>
  <c r="J4" i="6"/>
  <c r="I4" i="6"/>
  <c r="H4" i="6"/>
  <c r="F4" i="6"/>
  <c r="E4" i="6"/>
  <c r="D4" i="6"/>
  <c r="C4" i="6"/>
  <c r="B4" i="6"/>
  <c r="A4" i="6"/>
  <c r="M3" i="6"/>
  <c r="L3" i="6"/>
  <c r="K3" i="6"/>
  <c r="J3" i="6"/>
  <c r="I3" i="6"/>
  <c r="E3" i="6"/>
  <c r="D3" i="6"/>
  <c r="C3" i="6"/>
  <c r="B3" i="6"/>
  <c r="A3" i="6"/>
  <c r="H30" i="5"/>
  <c r="D30" i="5"/>
  <c r="C30" i="5"/>
  <c r="B30" i="5"/>
  <c r="A30" i="5"/>
  <c r="H29" i="5"/>
  <c r="D29" i="5"/>
  <c r="C29" i="5"/>
  <c r="E29" i="5" s="1"/>
  <c r="B29" i="5"/>
  <c r="A29" i="5"/>
  <c r="H28" i="5"/>
  <c r="D28" i="5"/>
  <c r="C28" i="5"/>
  <c r="B28" i="5"/>
  <c r="A28" i="5"/>
  <c r="H27" i="5"/>
  <c r="D27" i="5"/>
  <c r="C27" i="5"/>
  <c r="B27" i="5"/>
  <c r="A27" i="5"/>
  <c r="H26" i="5"/>
  <c r="D26" i="5"/>
  <c r="C26" i="5"/>
  <c r="B26" i="5"/>
  <c r="A26" i="5"/>
  <c r="H25" i="5"/>
  <c r="D25" i="5"/>
  <c r="C25" i="5"/>
  <c r="B25" i="5"/>
  <c r="A25" i="5"/>
  <c r="H24" i="5"/>
  <c r="D24" i="5"/>
  <c r="C24" i="5"/>
  <c r="B24" i="5"/>
  <c r="A24" i="5"/>
  <c r="H23" i="5"/>
  <c r="D23" i="5"/>
  <c r="C23" i="5"/>
  <c r="B23" i="5"/>
  <c r="A23" i="5"/>
  <c r="H22" i="5"/>
  <c r="D22" i="5"/>
  <c r="C22" i="5"/>
  <c r="B22" i="5"/>
  <c r="A22" i="5"/>
  <c r="H21" i="5"/>
  <c r="D21" i="5"/>
  <c r="C21" i="5"/>
  <c r="B21" i="5"/>
  <c r="A21" i="5"/>
  <c r="H20" i="5"/>
  <c r="D20" i="5"/>
  <c r="C20" i="5"/>
  <c r="B20" i="5"/>
  <c r="A20" i="5"/>
  <c r="H19" i="5"/>
  <c r="D19" i="5"/>
  <c r="C19" i="5"/>
  <c r="B19" i="5"/>
  <c r="A19" i="5"/>
  <c r="H18" i="5"/>
  <c r="D18" i="5"/>
  <c r="C18" i="5"/>
  <c r="B18" i="5"/>
  <c r="A18" i="5"/>
  <c r="H17" i="5"/>
  <c r="D17" i="5"/>
  <c r="C17" i="5"/>
  <c r="B17" i="5"/>
  <c r="A17" i="5"/>
  <c r="H16" i="5"/>
  <c r="D16" i="5"/>
  <c r="C16" i="5"/>
  <c r="B16" i="5"/>
  <c r="A16" i="5"/>
  <c r="H15" i="5"/>
  <c r="D15" i="5"/>
  <c r="C15" i="5"/>
  <c r="B15" i="5"/>
  <c r="A15" i="5"/>
  <c r="H14" i="5"/>
  <c r="D14" i="5"/>
  <c r="C14" i="5"/>
  <c r="B14" i="5"/>
  <c r="A14" i="5"/>
  <c r="H13" i="5"/>
  <c r="D13" i="5"/>
  <c r="C13" i="5"/>
  <c r="B13" i="5"/>
  <c r="A13" i="5"/>
  <c r="H12" i="5"/>
  <c r="D12" i="5"/>
  <c r="C12" i="5"/>
  <c r="B12" i="5"/>
  <c r="A12" i="5"/>
  <c r="H11" i="5"/>
  <c r="D11" i="5"/>
  <c r="C11" i="5"/>
  <c r="B11" i="5"/>
  <c r="A11" i="5"/>
  <c r="H10" i="5"/>
  <c r="D10" i="5"/>
  <c r="C10" i="5"/>
  <c r="B10" i="5"/>
  <c r="A10" i="5"/>
  <c r="H9" i="5"/>
  <c r="D9" i="5"/>
  <c r="C9" i="5"/>
  <c r="B9" i="5"/>
  <c r="A9" i="5"/>
  <c r="H8" i="5"/>
  <c r="D8" i="5"/>
  <c r="C8" i="5"/>
  <c r="B8" i="5"/>
  <c r="A8" i="5"/>
  <c r="H7" i="5"/>
  <c r="D7" i="5"/>
  <c r="C7" i="5"/>
  <c r="B7" i="5"/>
  <c r="A7" i="5"/>
  <c r="H6" i="5"/>
  <c r="D6" i="5"/>
  <c r="C6" i="5"/>
  <c r="B6" i="5"/>
  <c r="A6" i="5"/>
  <c r="H5" i="5"/>
  <c r="D5" i="5"/>
  <c r="C5" i="5"/>
  <c r="B5" i="5"/>
  <c r="A5" i="5"/>
  <c r="H4" i="5"/>
  <c r="D4" i="5"/>
  <c r="C4" i="5"/>
  <c r="B4" i="5"/>
  <c r="A4" i="5"/>
  <c r="H3" i="5"/>
  <c r="D3" i="5"/>
  <c r="C3" i="5"/>
  <c r="B3" i="5"/>
  <c r="A3" i="5"/>
  <c r="H2" i="5"/>
  <c r="D2" i="5"/>
  <c r="C2" i="5"/>
  <c r="B2" i="5"/>
  <c r="A2" i="5"/>
  <c r="I32" i="4"/>
  <c r="A32" i="28" s="1"/>
  <c r="I31" i="4"/>
  <c r="A31" i="28" s="1"/>
  <c r="I30" i="4"/>
  <c r="M30" i="4" s="1"/>
  <c r="E30" i="28" s="1"/>
  <c r="I29" i="4"/>
  <c r="J29" i="4" s="1"/>
  <c r="I28" i="4"/>
  <c r="A28" i="28" s="1"/>
  <c r="I27" i="4"/>
  <c r="A27" i="28" s="1"/>
  <c r="I26" i="4"/>
  <c r="K26" i="4" s="1"/>
  <c r="C26" i="28" s="1"/>
  <c r="I25" i="4"/>
  <c r="K25" i="4" s="1"/>
  <c r="C25" i="28" s="1"/>
  <c r="I24" i="4"/>
  <c r="A24" i="28" s="1"/>
  <c r="I23" i="4"/>
  <c r="L23" i="4" s="1"/>
  <c r="I22" i="4"/>
  <c r="J22" i="4" s="1"/>
  <c r="B22" i="28" s="1"/>
  <c r="I21" i="4"/>
  <c r="L21" i="4" s="1"/>
  <c r="D21" i="28" s="1"/>
  <c r="I20" i="4"/>
  <c r="L20" i="4" s="1"/>
  <c r="D20" i="28" s="1"/>
  <c r="I19" i="4"/>
  <c r="I18" i="4"/>
  <c r="M18" i="4" s="1"/>
  <c r="E18" i="28" s="1"/>
  <c r="I17" i="4"/>
  <c r="J17" i="4" s="1"/>
  <c r="B17" i="28" s="1"/>
  <c r="C17" i="4"/>
  <c r="B17" i="4"/>
  <c r="I16" i="4"/>
  <c r="Q16" i="4" s="1"/>
  <c r="E16" i="4"/>
  <c r="F16" i="4" s="1"/>
  <c r="D16" i="4"/>
  <c r="C16" i="4"/>
  <c r="B16" i="4"/>
  <c r="A16" i="4"/>
  <c r="I15" i="4"/>
  <c r="K15" i="4" s="1"/>
  <c r="C15" i="28" s="1"/>
  <c r="E15" i="4"/>
  <c r="F15" i="4" s="1"/>
  <c r="D15" i="4"/>
  <c r="C15" i="4"/>
  <c r="B15" i="4"/>
  <c r="A15" i="4"/>
  <c r="I14" i="4"/>
  <c r="J14" i="4" s="1"/>
  <c r="B14" i="28" s="1"/>
  <c r="E14" i="4"/>
  <c r="F14" i="4" s="1"/>
  <c r="D14" i="4"/>
  <c r="C14" i="4"/>
  <c r="B14" i="4"/>
  <c r="A14" i="4"/>
  <c r="I13" i="4"/>
  <c r="A13" i="28" s="1"/>
  <c r="E13" i="4"/>
  <c r="F13" i="4" s="1"/>
  <c r="D13" i="4"/>
  <c r="C13" i="4"/>
  <c r="B13" i="4"/>
  <c r="A13" i="4"/>
  <c r="I12" i="4"/>
  <c r="L12" i="4" s="1"/>
  <c r="D12" i="28" s="1"/>
  <c r="E12" i="4"/>
  <c r="D12" i="4"/>
  <c r="F12" i="4" s="1"/>
  <c r="C12" i="4"/>
  <c r="B12" i="4"/>
  <c r="A12" i="4"/>
  <c r="I11" i="4"/>
  <c r="J11" i="4" s="1"/>
  <c r="B11" i="28" s="1"/>
  <c r="E11" i="4"/>
  <c r="D11" i="4"/>
  <c r="C11" i="4"/>
  <c r="B11" i="4"/>
  <c r="A11" i="4"/>
  <c r="I10" i="4"/>
  <c r="A10" i="28" s="1"/>
  <c r="E10" i="4"/>
  <c r="F10" i="4" s="1"/>
  <c r="D10" i="4"/>
  <c r="C10" i="4"/>
  <c r="B10" i="4"/>
  <c r="A10" i="4"/>
  <c r="I9" i="4"/>
  <c r="K9" i="4" s="1"/>
  <c r="C9" i="28" s="1"/>
  <c r="F9" i="4"/>
  <c r="E9" i="4"/>
  <c r="D9" i="4"/>
  <c r="C9" i="4"/>
  <c r="B9" i="4"/>
  <c r="A9" i="4"/>
  <c r="I8" i="4"/>
  <c r="M8" i="4" s="1"/>
  <c r="E8" i="4"/>
  <c r="F8" i="4" s="1"/>
  <c r="D8" i="4"/>
  <c r="C8" i="4"/>
  <c r="B8" i="4"/>
  <c r="A8" i="4"/>
  <c r="I7" i="4"/>
  <c r="M7" i="4" s="1"/>
  <c r="E7" i="4"/>
  <c r="F7" i="4" s="1"/>
  <c r="D7" i="4"/>
  <c r="C7" i="4"/>
  <c r="B7" i="4"/>
  <c r="A7" i="4"/>
  <c r="I6" i="4"/>
  <c r="L6" i="4" s="1"/>
  <c r="D6" i="28" s="1"/>
  <c r="E6" i="4"/>
  <c r="F6" i="4" s="1"/>
  <c r="D6" i="4"/>
  <c r="C6" i="4"/>
  <c r="B6" i="4"/>
  <c r="A6" i="4"/>
  <c r="I5" i="4"/>
  <c r="A5" i="28" s="1"/>
  <c r="E5" i="4"/>
  <c r="F5" i="4" s="1"/>
  <c r="D5" i="4"/>
  <c r="C5" i="4"/>
  <c r="B5" i="4"/>
  <c r="A5" i="4"/>
  <c r="I4" i="4"/>
  <c r="L4" i="4" s="1"/>
  <c r="D4" i="28" s="1"/>
  <c r="F4" i="4"/>
  <c r="E4" i="4"/>
  <c r="D4" i="4"/>
  <c r="C4" i="4"/>
  <c r="B4" i="4"/>
  <c r="A4" i="4"/>
  <c r="I3" i="4"/>
  <c r="L3" i="4" s="1"/>
  <c r="E3" i="4"/>
  <c r="D3" i="4"/>
  <c r="D17" i="4" s="1"/>
  <c r="C3" i="4"/>
  <c r="B3" i="4"/>
  <c r="A3" i="4"/>
  <c r="R2" i="4"/>
  <c r="I2" i="4"/>
  <c r="A2" i="28" s="1"/>
  <c r="R1" i="4"/>
  <c r="B14" i="3"/>
  <c r="B13" i="3"/>
  <c r="B12" i="3"/>
  <c r="E7" i="3" s="1"/>
  <c r="B11" i="3"/>
  <c r="E9" i="3" s="1"/>
  <c r="B3" i="3"/>
  <c r="E2" i="3"/>
  <c r="G64" i="2"/>
  <c r="G52" i="2"/>
  <c r="G51" i="2"/>
  <c r="G50" i="2"/>
  <c r="G49" i="2"/>
  <c r="G48" i="2"/>
  <c r="G47" i="2"/>
  <c r="G46" i="2"/>
  <c r="G45" i="2"/>
  <c r="G44" i="2"/>
  <c r="G43" i="2"/>
  <c r="G42" i="2"/>
  <c r="G53" i="2" s="1"/>
  <c r="G39" i="2"/>
  <c r="G65" i="2" s="1"/>
  <c r="G38" i="2"/>
  <c r="G37" i="2"/>
  <c r="G36" i="2"/>
  <c r="G35" i="2"/>
  <c r="G34" i="2"/>
  <c r="G33" i="2"/>
  <c r="G59" i="2" s="1"/>
  <c r="G32" i="2"/>
  <c r="G58" i="2" s="1"/>
  <c r="G31" i="2"/>
  <c r="G30" i="2"/>
  <c r="G29" i="2"/>
  <c r="G40" i="2" s="1"/>
  <c r="G26" i="2"/>
  <c r="G25" i="2"/>
  <c r="G24" i="2"/>
  <c r="G63" i="2" s="1"/>
  <c r="G23" i="2"/>
  <c r="G62" i="2" s="1"/>
  <c r="G22" i="2"/>
  <c r="G61" i="2" s="1"/>
  <c r="G21" i="2"/>
  <c r="G60" i="2" s="1"/>
  <c r="B21" i="2"/>
  <c r="G20" i="2"/>
  <c r="B20" i="2"/>
  <c r="G19" i="2"/>
  <c r="B19" i="2"/>
  <c r="G18" i="2"/>
  <c r="G57" i="2" s="1"/>
  <c r="B18" i="2"/>
  <c r="G17" i="2"/>
  <c r="G27" i="2" s="1"/>
  <c r="B17" i="2"/>
  <c r="G16" i="2"/>
  <c r="B16" i="2"/>
  <c r="B15" i="2"/>
  <c r="B14" i="2"/>
  <c r="G13" i="2"/>
  <c r="B13" i="2"/>
  <c r="G12" i="2"/>
  <c r="B12" i="2"/>
  <c r="G11" i="2"/>
  <c r="B11" i="2"/>
  <c r="G10" i="2"/>
  <c r="G9" i="2"/>
  <c r="G8" i="2"/>
  <c r="B8" i="2"/>
  <c r="G7" i="2"/>
  <c r="B7" i="2"/>
  <c r="G6" i="2"/>
  <c r="B6" i="2"/>
  <c r="G5" i="2"/>
  <c r="B5" i="2"/>
  <c r="G4" i="2"/>
  <c r="G14" i="2" s="1"/>
  <c r="B4" i="2"/>
  <c r="G3" i="2"/>
  <c r="B3" i="2"/>
  <c r="E5" i="1"/>
  <c r="E4" i="1"/>
  <c r="E3" i="1"/>
  <c r="G10" i="5" l="1"/>
  <c r="I10" i="5" s="1"/>
  <c r="F7" i="5"/>
  <c r="F12" i="5"/>
  <c r="G16" i="5"/>
  <c r="G13" i="5"/>
  <c r="G19" i="5"/>
  <c r="G29" i="5"/>
  <c r="I29" i="5" s="1"/>
  <c r="G23" i="5"/>
  <c r="Y15" i="9"/>
  <c r="G2" i="5"/>
  <c r="I2" i="5" s="1"/>
  <c r="K2" i="5" s="1"/>
  <c r="G8" i="5"/>
  <c r="F5" i="5"/>
  <c r="G24" i="5"/>
  <c r="I24" i="5" s="1"/>
  <c r="K24" i="5" s="1"/>
  <c r="E24" i="5"/>
  <c r="F15" i="8"/>
  <c r="D5" i="11"/>
  <c r="AA18" i="11"/>
  <c r="Y5" i="9"/>
  <c r="F19" i="5"/>
  <c r="E21" i="5"/>
  <c r="J21" i="5" s="1"/>
  <c r="G3" i="5"/>
  <c r="F26" i="5"/>
  <c r="G15" i="5"/>
  <c r="I15" i="5" s="1"/>
  <c r="F4" i="5"/>
  <c r="F11" i="5"/>
  <c r="F9" i="8"/>
  <c r="S4" i="11"/>
  <c r="R5" i="4"/>
  <c r="F25" i="8"/>
  <c r="F16" i="8"/>
  <c r="E3" i="5"/>
  <c r="J3" i="5" s="1"/>
  <c r="E30" i="5"/>
  <c r="F20" i="8"/>
  <c r="AH15" i="9"/>
  <c r="AA4" i="11"/>
  <c r="E12" i="5"/>
  <c r="J12" i="5" s="1"/>
  <c r="A5" i="8"/>
  <c r="M22" i="4"/>
  <c r="E22" i="28" s="1"/>
  <c r="C3" i="8"/>
  <c r="E3" i="8" s="1"/>
  <c r="U3" i="8"/>
  <c r="U9" i="8"/>
  <c r="F14" i="8"/>
  <c r="F24" i="8"/>
  <c r="F40" i="8"/>
  <c r="G18" i="5"/>
  <c r="F31" i="8"/>
  <c r="F37" i="8"/>
  <c r="G17" i="11"/>
  <c r="I19" i="5"/>
  <c r="G17" i="5"/>
  <c r="I8" i="5"/>
  <c r="K8" i="5" s="1"/>
  <c r="F30" i="5"/>
  <c r="F27" i="8"/>
  <c r="F34" i="8"/>
  <c r="M5" i="9"/>
  <c r="K18" i="11"/>
  <c r="J16" i="4"/>
  <c r="B16" i="28" s="1"/>
  <c r="M25" i="4"/>
  <c r="E25" i="28" s="1"/>
  <c r="M15" i="4"/>
  <c r="E15" i="28" s="1"/>
  <c r="R20" i="4"/>
  <c r="AD4" i="11"/>
  <c r="F41" i="8"/>
  <c r="AC5" i="9"/>
  <c r="M27" i="4"/>
  <c r="E27" i="5"/>
  <c r="F12" i="8"/>
  <c r="F23" i="8"/>
  <c r="F32" i="8"/>
  <c r="W30" i="11"/>
  <c r="F6" i="5"/>
  <c r="E7" i="5"/>
  <c r="J7" i="5" s="1"/>
  <c r="G9" i="5"/>
  <c r="I9" i="5" s="1"/>
  <c r="K9" i="5" s="1"/>
  <c r="F13" i="5"/>
  <c r="F11" i="8"/>
  <c r="M17" i="4"/>
  <c r="E17" i="28" s="1"/>
  <c r="Q31" i="11"/>
  <c r="G30" i="5"/>
  <c r="I30" i="5" s="1"/>
  <c r="F20" i="5"/>
  <c r="G22" i="5"/>
  <c r="F2" i="5"/>
  <c r="Q17" i="11"/>
  <c r="E30" i="11"/>
  <c r="C18" i="11"/>
  <c r="Q17" i="4"/>
  <c r="M12" i="4"/>
  <c r="E12" i="28" s="1"/>
  <c r="I3" i="5"/>
  <c r="K3" i="5" s="1"/>
  <c r="G7" i="5"/>
  <c r="E15" i="5"/>
  <c r="J15" i="5" s="1"/>
  <c r="E26" i="5"/>
  <c r="J26" i="5" s="1"/>
  <c r="J1" i="6"/>
  <c r="N9" i="6"/>
  <c r="F2" i="8"/>
  <c r="F36" i="8"/>
  <c r="I15" i="9"/>
  <c r="Q15" i="4"/>
  <c r="L16" i="4"/>
  <c r="D16" i="28" s="1"/>
  <c r="M28" i="4"/>
  <c r="E28" i="28" s="1"/>
  <c r="I17" i="5"/>
  <c r="K17" i="5" s="1"/>
  <c r="I23" i="5"/>
  <c r="G12" i="5"/>
  <c r="I12" i="5" s="1"/>
  <c r="K12" i="5" s="1"/>
  <c r="F14" i="5"/>
  <c r="F18" i="5"/>
  <c r="G20" i="5"/>
  <c r="I20" i="5" s="1"/>
  <c r="K20" i="5" s="1"/>
  <c r="F3" i="8"/>
  <c r="AH5" i="9"/>
  <c r="AC15" i="9"/>
  <c r="R7" i="4"/>
  <c r="J12" i="4"/>
  <c r="B12" i="28" s="1"/>
  <c r="M16" i="4"/>
  <c r="E16" i="28" s="1"/>
  <c r="M24" i="4"/>
  <c r="E24" i="28" s="1"/>
  <c r="Q11" i="4"/>
  <c r="K12" i="4"/>
  <c r="C12" i="28" s="1"/>
  <c r="G5" i="5"/>
  <c r="I5" i="5" s="1"/>
  <c r="K5" i="5" s="1"/>
  <c r="E8" i="5"/>
  <c r="J8" i="5" s="1"/>
  <c r="E17" i="5"/>
  <c r="J17" i="5" s="1"/>
  <c r="E23" i="5"/>
  <c r="J23" i="5" s="1"/>
  <c r="N23" i="6"/>
  <c r="N27" i="6"/>
  <c r="F10" i="8"/>
  <c r="B5" i="9"/>
  <c r="C4" i="11"/>
  <c r="E4" i="5"/>
  <c r="J4" i="5" s="1"/>
  <c r="E10" i="5"/>
  <c r="I13" i="5"/>
  <c r="K13" i="5" s="1"/>
  <c r="I16" i="5"/>
  <c r="K16" i="5" s="1"/>
  <c r="E20" i="5"/>
  <c r="J20" i="5" s="1"/>
  <c r="G26" i="5"/>
  <c r="I26" i="5" s="1"/>
  <c r="F29" i="5"/>
  <c r="M1" i="6"/>
  <c r="N15" i="6"/>
  <c r="E37" i="8"/>
  <c r="F21" i="8"/>
  <c r="F30" i="8"/>
  <c r="E5" i="9"/>
  <c r="O4" i="11"/>
  <c r="AI5" i="11"/>
  <c r="S18" i="11"/>
  <c r="AA31" i="11"/>
  <c r="AA30" i="11"/>
  <c r="E22" i="5"/>
  <c r="J22" i="5" s="1"/>
  <c r="G27" i="5"/>
  <c r="I27" i="5" s="1"/>
  <c r="K27" i="5" s="1"/>
  <c r="N4" i="6"/>
  <c r="N10" i="6"/>
  <c r="N12" i="6"/>
  <c r="N16" i="6"/>
  <c r="F18" i="8"/>
  <c r="F28" i="8"/>
  <c r="F39" i="8"/>
  <c r="Q5" i="9"/>
  <c r="B15" i="9"/>
  <c r="AJ5" i="11"/>
  <c r="E6" i="5"/>
  <c r="J6" i="5" s="1"/>
  <c r="G21" i="5"/>
  <c r="I21" i="5" s="1"/>
  <c r="K21" i="5" s="1"/>
  <c r="F7" i="8"/>
  <c r="U8" i="8"/>
  <c r="F17" i="8"/>
  <c r="E15" i="9"/>
  <c r="AA17" i="11"/>
  <c r="L18" i="4"/>
  <c r="D18" i="28" s="1"/>
  <c r="N28" i="6"/>
  <c r="N30" i="6"/>
  <c r="C10" i="8"/>
  <c r="E10" i="8" s="1"/>
  <c r="C25" i="8"/>
  <c r="E25" i="8" s="1"/>
  <c r="C27" i="8"/>
  <c r="E27" i="8" s="1"/>
  <c r="C29" i="8"/>
  <c r="E29" i="8" s="1"/>
  <c r="A4" i="8"/>
  <c r="Q3" i="4"/>
  <c r="R4" i="4"/>
  <c r="L11" i="4"/>
  <c r="D11" i="28" s="1"/>
  <c r="L14" i="4"/>
  <c r="D14" i="28" s="1"/>
  <c r="J15" i="4"/>
  <c r="B15" i="28" s="1"/>
  <c r="J24" i="4"/>
  <c r="B24" i="28" s="1"/>
  <c r="J27" i="4"/>
  <c r="B27" i="28" s="1"/>
  <c r="J30" i="4"/>
  <c r="B30" i="28" s="1"/>
  <c r="E2" i="5"/>
  <c r="G4" i="5"/>
  <c r="I4" i="5" s="1"/>
  <c r="K4" i="5" s="1"/>
  <c r="F9" i="5"/>
  <c r="G11" i="5"/>
  <c r="I11" i="5" s="1"/>
  <c r="K11" i="5" s="1"/>
  <c r="F16" i="5"/>
  <c r="I18" i="5"/>
  <c r="F23" i="5"/>
  <c r="F25" i="5"/>
  <c r="L1" i="6"/>
  <c r="N5" i="6"/>
  <c r="N26" i="6"/>
  <c r="W2" i="8"/>
  <c r="X2" i="8" s="1"/>
  <c r="U6" i="8"/>
  <c r="U10" i="8"/>
  <c r="C17" i="8"/>
  <c r="E17" i="8" s="1"/>
  <c r="C19" i="8"/>
  <c r="E19" i="8" s="1"/>
  <c r="C21" i="8"/>
  <c r="E21" i="8" s="1"/>
  <c r="F22" i="8"/>
  <c r="F26" i="8"/>
  <c r="F29" i="8"/>
  <c r="F33" i="8"/>
  <c r="F35" i="8"/>
  <c r="F5" i="9"/>
  <c r="S5" i="9"/>
  <c r="O15" i="9"/>
  <c r="E4" i="11"/>
  <c r="U4" i="11"/>
  <c r="V4" i="11" s="1"/>
  <c r="F5" i="11"/>
  <c r="I17" i="11"/>
  <c r="AD18" i="11"/>
  <c r="L10" i="4"/>
  <c r="D10" i="28" s="1"/>
  <c r="L13" i="4"/>
  <c r="D13" i="28" s="1"/>
  <c r="Q10" i="4"/>
  <c r="K11" i="4"/>
  <c r="C11" i="28" s="1"/>
  <c r="Q13" i="4"/>
  <c r="K14" i="4"/>
  <c r="C14" i="28" s="1"/>
  <c r="Q18" i="4"/>
  <c r="K10" i="5"/>
  <c r="R10" i="4"/>
  <c r="M11" i="4"/>
  <c r="E11" i="28" s="1"/>
  <c r="Q14" i="4"/>
  <c r="K24" i="4"/>
  <c r="C24" i="28" s="1"/>
  <c r="K27" i="4"/>
  <c r="C27" i="28" s="1"/>
  <c r="K30" i="4"/>
  <c r="C30" i="28" s="1"/>
  <c r="F8" i="5"/>
  <c r="E13" i="5"/>
  <c r="J13" i="5" s="1"/>
  <c r="E14" i="5"/>
  <c r="J14" i="5" s="1"/>
  <c r="F15" i="5"/>
  <c r="F21" i="5"/>
  <c r="F27" i="5"/>
  <c r="N7" i="6"/>
  <c r="N18" i="6"/>
  <c r="N3" i="8"/>
  <c r="C11" i="8"/>
  <c r="E11" i="8" s="1"/>
  <c r="C13" i="8"/>
  <c r="E13" i="8" s="1"/>
  <c r="G5" i="9"/>
  <c r="U5" i="9"/>
  <c r="Q15" i="9"/>
  <c r="AJ15" i="9"/>
  <c r="F4" i="11"/>
  <c r="W4" i="11"/>
  <c r="K5" i="11"/>
  <c r="W17" i="11"/>
  <c r="L24" i="4"/>
  <c r="D24" i="28" s="1"/>
  <c r="L27" i="4"/>
  <c r="D27" i="28" s="1"/>
  <c r="I7" i="5"/>
  <c r="E11" i="5"/>
  <c r="J11" i="5" s="1"/>
  <c r="E18" i="5"/>
  <c r="E25" i="5"/>
  <c r="J25" i="5" s="1"/>
  <c r="N13" i="6"/>
  <c r="N17" i="6"/>
  <c r="N19" i="6"/>
  <c r="N25" i="6"/>
  <c r="U2" i="8"/>
  <c r="U7" i="8"/>
  <c r="F13" i="8"/>
  <c r="F19" i="8"/>
  <c r="I5" i="9"/>
  <c r="W5" i="9"/>
  <c r="W15" i="9"/>
  <c r="G4" i="11"/>
  <c r="Y4" i="11"/>
  <c r="AA5" i="11"/>
  <c r="Y17" i="11"/>
  <c r="K4" i="11"/>
  <c r="L4" i="11" s="1"/>
  <c r="R8" i="4"/>
  <c r="K10" i="4"/>
  <c r="C10" i="28" s="1"/>
  <c r="K13" i="4"/>
  <c r="C13" i="28" s="1"/>
  <c r="K18" i="4"/>
  <c r="C18" i="28" s="1"/>
  <c r="M31" i="4"/>
  <c r="E31" i="28" s="1"/>
  <c r="E5" i="5"/>
  <c r="J5" i="5" s="1"/>
  <c r="F22" i="5"/>
  <c r="G28" i="5"/>
  <c r="I28" i="5" s="1"/>
  <c r="K28" i="5" s="1"/>
  <c r="K1" i="6"/>
  <c r="N11" i="6"/>
  <c r="U4" i="8"/>
  <c r="F8" i="8"/>
  <c r="K5" i="9"/>
  <c r="AA5" i="9"/>
  <c r="AB5" i="9" s="1"/>
  <c r="C15" i="9"/>
  <c r="AA15" i="9"/>
  <c r="M4" i="11"/>
  <c r="J13" i="4"/>
  <c r="B13" i="28" s="1"/>
  <c r="N31" i="6"/>
  <c r="N4" i="8"/>
  <c r="A3" i="8"/>
  <c r="C41" i="8"/>
  <c r="E41" i="8" s="1"/>
  <c r="R6" i="4"/>
  <c r="M10" i="4"/>
  <c r="E10" i="28" s="1"/>
  <c r="M13" i="4"/>
  <c r="B31" i="5"/>
  <c r="E16" i="5"/>
  <c r="J16" i="5" s="1"/>
  <c r="I1" i="6"/>
  <c r="N8" i="6"/>
  <c r="N20" i="6"/>
  <c r="N21" i="6"/>
  <c r="N24" i="6"/>
  <c r="N29" i="6"/>
  <c r="C2" i="8"/>
  <c r="E2" i="8" s="1"/>
  <c r="C5" i="8"/>
  <c r="E5" i="8" s="1"/>
  <c r="U5" i="8"/>
  <c r="C33" i="8"/>
  <c r="E33" i="8" s="1"/>
  <c r="C35" i="8"/>
  <c r="E35" i="8" s="1"/>
  <c r="F38" i="8"/>
  <c r="F42" i="8"/>
  <c r="C5" i="9"/>
  <c r="R5" i="9" s="1"/>
  <c r="O5" i="9"/>
  <c r="H15" i="9"/>
  <c r="Q4" i="11"/>
  <c r="D17" i="11"/>
  <c r="J10" i="4"/>
  <c r="B10" i="28" s="1"/>
  <c r="B22" i="2"/>
  <c r="Z5" i="9"/>
  <c r="B9" i="2"/>
  <c r="D3" i="28"/>
  <c r="AF6" i="9"/>
  <c r="H6" i="9"/>
  <c r="AL7" i="9"/>
  <c r="AM7" i="9" s="1"/>
  <c r="AJ6" i="9"/>
  <c r="D6" i="9"/>
  <c r="AK6" i="9"/>
  <c r="O6" i="9"/>
  <c r="E6" i="9"/>
  <c r="AI6" i="9"/>
  <c r="Y6" i="9"/>
  <c r="C6" i="9"/>
  <c r="AH6" i="9"/>
  <c r="W6" i="9"/>
  <c r="M6" i="9"/>
  <c r="B6" i="9"/>
  <c r="K6" i="9"/>
  <c r="AE6" i="9"/>
  <c r="U6" i="9"/>
  <c r="S6" i="9"/>
  <c r="I6" i="9"/>
  <c r="AC6" i="9"/>
  <c r="G6" i="9"/>
  <c r="AA6" i="9"/>
  <c r="Q6" i="9"/>
  <c r="F6" i="9"/>
  <c r="AI16" i="9"/>
  <c r="H16" i="9"/>
  <c r="AF16" i="9"/>
  <c r="D16" i="9"/>
  <c r="AC16" i="9"/>
  <c r="B16" i="9"/>
  <c r="AL17" i="9"/>
  <c r="AM17" i="9" s="1"/>
  <c r="AJ16" i="9"/>
  <c r="O16" i="9"/>
  <c r="AH16" i="9"/>
  <c r="AE16" i="9"/>
  <c r="I16" i="9"/>
  <c r="AA16" i="9"/>
  <c r="E16" i="9"/>
  <c r="C16" i="9"/>
  <c r="Y16" i="9"/>
  <c r="W16" i="9"/>
  <c r="Q16" i="9"/>
  <c r="E8" i="28"/>
  <c r="J27" i="5"/>
  <c r="W6" i="7"/>
  <c r="G6" i="7"/>
  <c r="J6" i="7"/>
  <c r="R6" i="7"/>
  <c r="I6" i="7"/>
  <c r="T6" i="7"/>
  <c r="K6" i="7"/>
  <c r="Z6" i="7"/>
  <c r="H6" i="7"/>
  <c r="Y6" i="7"/>
  <c r="P6" i="7"/>
  <c r="X6" i="7"/>
  <c r="N6" i="7"/>
  <c r="V6" i="7"/>
  <c r="AB7" i="7"/>
  <c r="AC7" i="7" s="1"/>
  <c r="L6" i="7"/>
  <c r="E7" i="28"/>
  <c r="K18" i="5"/>
  <c r="G55" i="2"/>
  <c r="G66" i="2" s="1"/>
  <c r="G56" i="2"/>
  <c r="F3" i="4"/>
  <c r="A9" i="28"/>
  <c r="J9" i="4"/>
  <c r="B9" i="28" s="1"/>
  <c r="J19" i="4"/>
  <c r="B19" i="28" s="1"/>
  <c r="R21" i="4"/>
  <c r="K7" i="5"/>
  <c r="E9" i="5"/>
  <c r="J9" i="5" s="1"/>
  <c r="E19" i="5"/>
  <c r="J19" i="5" s="1"/>
  <c r="M15" i="7"/>
  <c r="X16" i="7"/>
  <c r="R2" i="8"/>
  <c r="N15" i="10"/>
  <c r="T4" i="11"/>
  <c r="A19" i="28"/>
  <c r="M19" i="4"/>
  <c r="J2" i="5"/>
  <c r="L6" i="10"/>
  <c r="W7" i="10"/>
  <c r="X7" i="10" s="1"/>
  <c r="T6" i="10"/>
  <c r="D6" i="10"/>
  <c r="J6" i="10" s="1"/>
  <c r="R6" i="10"/>
  <c r="B6" i="10"/>
  <c r="P15" i="10"/>
  <c r="G16" i="10"/>
  <c r="U16" i="10"/>
  <c r="AD5" i="11"/>
  <c r="O17" i="11"/>
  <c r="AK32" i="11"/>
  <c r="AL32" i="11" s="1"/>
  <c r="I22" i="5"/>
  <c r="K22" i="5" s="1"/>
  <c r="K26" i="5"/>
  <c r="E28" i="5"/>
  <c r="J28" i="5" s="1"/>
  <c r="H1" i="6"/>
  <c r="N22" i="6"/>
  <c r="P16" i="7"/>
  <c r="C40" i="8"/>
  <c r="E40" i="8" s="1"/>
  <c r="C36" i="8"/>
  <c r="E36" i="8" s="1"/>
  <c r="C32" i="8"/>
  <c r="E32" i="8" s="1"/>
  <c r="C28" i="8"/>
  <c r="E28" i="8" s="1"/>
  <c r="C24" i="8"/>
  <c r="E24" i="8" s="1"/>
  <c r="C20" i="8"/>
  <c r="E20" i="8" s="1"/>
  <c r="C16" i="8"/>
  <c r="E16" i="8" s="1"/>
  <c r="C12" i="8"/>
  <c r="E12" i="8" s="1"/>
  <c r="C9" i="8"/>
  <c r="E9" i="8" s="1"/>
  <c r="C42" i="8"/>
  <c r="E42" i="8" s="1"/>
  <c r="C38" i="8"/>
  <c r="E38" i="8" s="1"/>
  <c r="C34" i="8"/>
  <c r="E34" i="8" s="1"/>
  <c r="C30" i="8"/>
  <c r="E30" i="8" s="1"/>
  <c r="C26" i="8"/>
  <c r="E26" i="8" s="1"/>
  <c r="C22" i="8"/>
  <c r="E22" i="8" s="1"/>
  <c r="C18" i="8"/>
  <c r="E18" i="8" s="1"/>
  <c r="C14" i="8"/>
  <c r="E14" i="8" s="1"/>
  <c r="C4" i="8"/>
  <c r="E4" i="8" s="1"/>
  <c r="T2" i="8"/>
  <c r="P3" i="8"/>
  <c r="M6" i="10"/>
  <c r="I4" i="11"/>
  <c r="AI4" i="11"/>
  <c r="AF5" i="11"/>
  <c r="AH18" i="11"/>
  <c r="B18" i="11"/>
  <c r="AE18" i="11" s="1"/>
  <c r="AG18" i="11"/>
  <c r="Y18" i="11"/>
  <c r="Q18" i="11"/>
  <c r="R18" i="11" s="1"/>
  <c r="I18" i="11"/>
  <c r="J18" i="11" s="1"/>
  <c r="AF18" i="11"/>
  <c r="W18" i="11"/>
  <c r="O18" i="11"/>
  <c r="P18" i="11" s="1"/>
  <c r="G18" i="11"/>
  <c r="H18" i="11" s="1"/>
  <c r="AC18" i="11"/>
  <c r="U18" i="11"/>
  <c r="V18" i="11" s="1"/>
  <c r="M18" i="11"/>
  <c r="E18" i="11"/>
  <c r="D18" i="11"/>
  <c r="G31" i="11"/>
  <c r="J21" i="4"/>
  <c r="B21" i="28" s="1"/>
  <c r="K23" i="4"/>
  <c r="L29" i="4"/>
  <c r="Q15" i="7"/>
  <c r="A2" i="8"/>
  <c r="Z15" i="9"/>
  <c r="W17" i="10"/>
  <c r="X17" i="10" s="1"/>
  <c r="T16" i="10"/>
  <c r="D16" i="10"/>
  <c r="R16" i="10"/>
  <c r="B16" i="10"/>
  <c r="C5" i="11"/>
  <c r="S5" i="11"/>
  <c r="F18" i="11"/>
  <c r="AK19" i="11"/>
  <c r="AL19" i="11" s="1"/>
  <c r="K19" i="4"/>
  <c r="C19" i="28" s="1"/>
  <c r="A20" i="28"/>
  <c r="J20" i="4"/>
  <c r="B20" i="28" s="1"/>
  <c r="A26" i="28"/>
  <c r="L26" i="4"/>
  <c r="D26" i="28" s="1"/>
  <c r="K15" i="5"/>
  <c r="K3" i="4"/>
  <c r="K4" i="4"/>
  <c r="C4" i="28" s="1"/>
  <c r="K5" i="4"/>
  <c r="C5" i="28" s="1"/>
  <c r="K6" i="4"/>
  <c r="C6" i="28" s="1"/>
  <c r="K7" i="4"/>
  <c r="C7" i="28" s="1"/>
  <c r="L8" i="4"/>
  <c r="D8" i="28" s="1"/>
  <c r="M9" i="4"/>
  <c r="N12" i="4"/>
  <c r="F12" i="28" s="1"/>
  <c r="N14" i="6"/>
  <c r="L5" i="4"/>
  <c r="D5" i="28" s="1"/>
  <c r="P6" i="10"/>
  <c r="L18" i="11"/>
  <c r="AD30" i="11"/>
  <c r="BD20" i="14"/>
  <c r="AF15" i="9"/>
  <c r="AF17" i="11"/>
  <c r="AF30" i="11"/>
  <c r="AD17" i="11"/>
  <c r="AF4" i="11"/>
  <c r="T15" i="10"/>
  <c r="T5" i="10"/>
  <c r="AF5" i="9"/>
  <c r="S17" i="11"/>
  <c r="K17" i="11"/>
  <c r="C17" i="11"/>
  <c r="R17" i="11" s="1"/>
  <c r="Q30" i="11"/>
  <c r="AH17" i="11"/>
  <c r="B17" i="11"/>
  <c r="AJ4" i="11"/>
  <c r="D4" i="11"/>
  <c r="D15" i="9"/>
  <c r="AJ5" i="9"/>
  <c r="D5" i="9"/>
  <c r="Y30" i="11"/>
  <c r="G30" i="11"/>
  <c r="AH30" i="11"/>
  <c r="O30" i="11"/>
  <c r="F30" i="11"/>
  <c r="AH4" i="11"/>
  <c r="B4" i="11"/>
  <c r="AE4" i="11" s="1"/>
  <c r="M30" i="11"/>
  <c r="D30" i="11"/>
  <c r="F17" i="11"/>
  <c r="H5" i="9"/>
  <c r="U17" i="11"/>
  <c r="M17" i="11"/>
  <c r="E17" i="11"/>
  <c r="U30" i="11"/>
  <c r="B30" i="11"/>
  <c r="X30" i="11" s="1"/>
  <c r="A3" i="28"/>
  <c r="R3" i="4"/>
  <c r="A4" i="28"/>
  <c r="Q4" i="4"/>
  <c r="A6" i="28"/>
  <c r="M6" i="4"/>
  <c r="A7" i="28"/>
  <c r="L7" i="4"/>
  <c r="D7" i="28" s="1"/>
  <c r="A8" i="28"/>
  <c r="K8" i="4"/>
  <c r="C8" i="28" s="1"/>
  <c r="H31" i="5"/>
  <c r="F17" i="5"/>
  <c r="K23" i="5"/>
  <c r="F24" i="5"/>
  <c r="F28" i="5"/>
  <c r="C31" i="5"/>
  <c r="N6" i="6"/>
  <c r="S5" i="7"/>
  <c r="S15" i="7"/>
  <c r="S16" i="7"/>
  <c r="K16" i="7"/>
  <c r="W16" i="7"/>
  <c r="G16" i="7"/>
  <c r="AB17" i="7"/>
  <c r="AC17" i="7" s="1"/>
  <c r="F11" i="4"/>
  <c r="A18" i="28"/>
  <c r="R18" i="4"/>
  <c r="R19" i="4"/>
  <c r="M23" i="4"/>
  <c r="N23" i="4" s="1"/>
  <c r="K28" i="4"/>
  <c r="C28" i="28" s="1"/>
  <c r="K31" i="4"/>
  <c r="C31" i="28" s="1"/>
  <c r="F3" i="5"/>
  <c r="F10" i="5"/>
  <c r="J18" i="5"/>
  <c r="K19" i="5"/>
  <c r="D31" i="5"/>
  <c r="I16" i="7"/>
  <c r="T16" i="7"/>
  <c r="F4" i="8"/>
  <c r="F5" i="8"/>
  <c r="C6" i="8"/>
  <c r="E6" i="8" s="1"/>
  <c r="C15" i="8"/>
  <c r="E15" i="8" s="1"/>
  <c r="C23" i="8"/>
  <c r="E23" i="8" s="1"/>
  <c r="C31" i="8"/>
  <c r="E31" i="8" s="1"/>
  <c r="C39" i="8"/>
  <c r="E39" i="8" s="1"/>
  <c r="E6" i="10"/>
  <c r="Q6" i="10"/>
  <c r="AC31" i="11"/>
  <c r="U31" i="11"/>
  <c r="M31" i="11"/>
  <c r="E31" i="11"/>
  <c r="C31" i="11"/>
  <c r="R31" i="11" s="1"/>
  <c r="F31" i="11"/>
  <c r="Y31" i="11"/>
  <c r="O31" i="11"/>
  <c r="D31" i="11"/>
  <c r="AH31" i="11"/>
  <c r="B31" i="11"/>
  <c r="AB31" i="11" s="1"/>
  <c r="AG31" i="11"/>
  <c r="W31" i="11"/>
  <c r="K31" i="11"/>
  <c r="AF31" i="11"/>
  <c r="AD31" i="11"/>
  <c r="S31" i="11"/>
  <c r="I31" i="11"/>
  <c r="J3" i="4"/>
  <c r="J4" i="4"/>
  <c r="B4" i="28" s="1"/>
  <c r="J5" i="4"/>
  <c r="B5" i="28" s="1"/>
  <c r="J6" i="4"/>
  <c r="B6" i="28" s="1"/>
  <c r="J7" i="4"/>
  <c r="B7" i="28" s="1"/>
  <c r="J8" i="4"/>
  <c r="B8" i="28" s="1"/>
  <c r="L9" i="4"/>
  <c r="D9" i="28" s="1"/>
  <c r="E13" i="28"/>
  <c r="N13" i="4"/>
  <c r="F13" i="28" s="1"/>
  <c r="N16" i="4"/>
  <c r="F16" i="28" s="1"/>
  <c r="E17" i="4"/>
  <c r="F17" i="4" s="1"/>
  <c r="R17" i="4"/>
  <c r="N18" i="4"/>
  <c r="F18" i="28" s="1"/>
  <c r="L19" i="4"/>
  <c r="D19" i="28" s="1"/>
  <c r="K20" i="4"/>
  <c r="C20" i="28" s="1"/>
  <c r="A21" i="28"/>
  <c r="Q21" i="4"/>
  <c r="J23" i="4"/>
  <c r="J26" i="4"/>
  <c r="B26" i="28" s="1"/>
  <c r="E27" i="28"/>
  <c r="N27" i="4"/>
  <c r="F27" i="28" s="1"/>
  <c r="K29" i="4"/>
  <c r="J10" i="5"/>
  <c r="R12" i="4"/>
  <c r="R13" i="4"/>
  <c r="R14" i="4"/>
  <c r="R15" i="4"/>
  <c r="R16" i="4"/>
  <c r="A17" i="28"/>
  <c r="K17" i="4"/>
  <c r="C17" i="28" s="1"/>
  <c r="Q19" i="4"/>
  <c r="M20" i="4"/>
  <c r="K21" i="4"/>
  <c r="C21" i="28" s="1"/>
  <c r="A22" i="28"/>
  <c r="L22" i="4"/>
  <c r="D22" i="28" s="1"/>
  <c r="A25" i="28"/>
  <c r="J25" i="4"/>
  <c r="B25" i="28" s="1"/>
  <c r="M26" i="4"/>
  <c r="J28" i="4"/>
  <c r="B28" i="28" s="1"/>
  <c r="M29" i="4"/>
  <c r="J31" i="4"/>
  <c r="B31" i="28" s="1"/>
  <c r="G6" i="5"/>
  <c r="I6" i="5" s="1"/>
  <c r="K6" i="5" s="1"/>
  <c r="S1" i="4"/>
  <c r="S2" i="4" s="1"/>
  <c r="S4" i="4" s="1"/>
  <c r="M3" i="4"/>
  <c r="M4" i="4"/>
  <c r="M5" i="4"/>
  <c r="Q9" i="4"/>
  <c r="Q5" i="4"/>
  <c r="Q6" i="4"/>
  <c r="Q7" i="4"/>
  <c r="Q8" i="4"/>
  <c r="R9" i="4"/>
  <c r="A11" i="28"/>
  <c r="R11" i="4"/>
  <c r="A12" i="28"/>
  <c r="Q12" i="4"/>
  <c r="A14" i="28"/>
  <c r="M14" i="4"/>
  <c r="A15" i="28"/>
  <c r="L15" i="4"/>
  <c r="D15" i="28" s="1"/>
  <c r="A16" i="28"/>
  <c r="K16" i="4"/>
  <c r="C16" i="28" s="1"/>
  <c r="L17" i="4"/>
  <c r="J18" i="4"/>
  <c r="B18" i="28" s="1"/>
  <c r="S19" i="4"/>
  <c r="Q20" i="4"/>
  <c r="M21" i="4"/>
  <c r="K22" i="4"/>
  <c r="C22" i="28" s="1"/>
  <c r="L25" i="4"/>
  <c r="D25" i="28" s="1"/>
  <c r="L28" i="4"/>
  <c r="A30" i="28"/>
  <c r="L30" i="4"/>
  <c r="D30" i="28" s="1"/>
  <c r="L31" i="4"/>
  <c r="G14" i="5"/>
  <c r="I14" i="5" s="1"/>
  <c r="K14" i="5" s="1"/>
  <c r="G25" i="5"/>
  <c r="I25" i="5" s="1"/>
  <c r="K25" i="5" s="1"/>
  <c r="J16" i="7"/>
  <c r="F6" i="8"/>
  <c r="C7" i="8"/>
  <c r="E7" i="8" s="1"/>
  <c r="C8" i="8"/>
  <c r="E8" i="8" s="1"/>
  <c r="T5" i="9"/>
  <c r="N5" i="10"/>
  <c r="F6" i="10"/>
  <c r="S6" i="10"/>
  <c r="C16" i="10"/>
  <c r="O16" i="10"/>
  <c r="P4" i="11"/>
  <c r="AK6" i="11"/>
  <c r="AL6" i="11" s="1"/>
  <c r="AH5" i="11"/>
  <c r="B5" i="11"/>
  <c r="AB5" i="11" s="1"/>
  <c r="AG5" i="11"/>
  <c r="Y5" i="11"/>
  <c r="Q5" i="11"/>
  <c r="I5" i="11"/>
  <c r="W5" i="11"/>
  <c r="O5" i="11"/>
  <c r="G5" i="11"/>
  <c r="AC5" i="11"/>
  <c r="U5" i="11"/>
  <c r="M5" i="11"/>
  <c r="E5" i="11"/>
  <c r="T18" i="11"/>
  <c r="K31" i="17"/>
  <c r="K38" i="17"/>
  <c r="M38" i="17"/>
  <c r="N38" i="17" s="1"/>
  <c r="K59" i="17"/>
  <c r="K61" i="17"/>
  <c r="L61" i="17" s="1"/>
  <c r="P61" i="17"/>
  <c r="M61" i="17"/>
  <c r="O61" i="17"/>
  <c r="N61" i="17"/>
  <c r="K85" i="17"/>
  <c r="K87" i="17"/>
  <c r="L87" i="17" s="1"/>
  <c r="M87" i="17"/>
  <c r="N87" i="17"/>
  <c r="O87" i="17" s="1"/>
  <c r="K103" i="17"/>
  <c r="L103" i="17"/>
  <c r="K105" i="17"/>
  <c r="L105" i="17" s="1"/>
  <c r="M105" i="17"/>
  <c r="O105" i="17"/>
  <c r="P105" i="17" s="1"/>
  <c r="N105" i="17"/>
  <c r="K120" i="17"/>
  <c r="M120" i="17" s="1"/>
  <c r="L120" i="17"/>
  <c r="K122" i="17"/>
  <c r="L122" i="17" s="1"/>
  <c r="M122" i="17"/>
  <c r="N122" i="17"/>
  <c r="O122" i="17" s="1"/>
  <c r="K136" i="17"/>
  <c r="M136" i="17"/>
  <c r="L136" i="17"/>
  <c r="K138" i="17"/>
  <c r="K163" i="17"/>
  <c r="K165" i="17"/>
  <c r="K182" i="17"/>
  <c r="K185" i="17"/>
  <c r="K191" i="17"/>
  <c r="K203" i="17"/>
  <c r="L203" i="17"/>
  <c r="M203" i="17"/>
  <c r="K216" i="17"/>
  <c r="K226" i="17"/>
  <c r="K238" i="17"/>
  <c r="L238" i="17"/>
  <c r="M238" i="17"/>
  <c r="K515" i="17"/>
  <c r="K534" i="17"/>
  <c r="L730" i="17"/>
  <c r="K4" i="17"/>
  <c r="L4" i="17"/>
  <c r="L38" i="17"/>
  <c r="K46" i="17"/>
  <c r="K69" i="17"/>
  <c r="K93" i="17"/>
  <c r="K110" i="17"/>
  <c r="K127" i="17"/>
  <c r="L127" i="17" s="1"/>
  <c r="K147" i="17"/>
  <c r="L147" i="17"/>
  <c r="K172" i="17"/>
  <c r="L525" i="17"/>
  <c r="K525" i="17"/>
  <c r="M764" i="17"/>
  <c r="P764" i="17" s="1"/>
  <c r="L764" i="17"/>
  <c r="S10" i="4"/>
  <c r="K29" i="17"/>
  <c r="L29" i="17"/>
  <c r="K57" i="17"/>
  <c r="L57" i="17"/>
  <c r="K83" i="17"/>
  <c r="L83" i="17"/>
  <c r="K101" i="17"/>
  <c r="L101" i="17"/>
  <c r="K117" i="17"/>
  <c r="K134" i="17"/>
  <c r="M134" i="17"/>
  <c r="L134" i="17"/>
  <c r="K159" i="17"/>
  <c r="L159" i="17"/>
  <c r="M159" i="17" s="1"/>
  <c r="N159" i="17" s="1"/>
  <c r="K180" i="17"/>
  <c r="M180" i="17"/>
  <c r="N180" i="17" s="1"/>
  <c r="L180" i="17"/>
  <c r="M577" i="17"/>
  <c r="L577" i="17"/>
  <c r="K577" i="17"/>
  <c r="M672" i="17"/>
  <c r="N672" i="17" s="1"/>
  <c r="L672" i="17"/>
  <c r="N757" i="17"/>
  <c r="N134" i="17"/>
  <c r="M705" i="17"/>
  <c r="L705" i="17"/>
  <c r="N1162" i="17"/>
  <c r="M1162" i="17"/>
  <c r="K1162" i="17"/>
  <c r="L1162" i="17" s="1"/>
  <c r="K1167" i="17"/>
  <c r="L1167" i="17"/>
  <c r="M1167" i="17" s="1"/>
  <c r="K1174" i="17"/>
  <c r="L1174" i="17"/>
  <c r="M1179" i="17"/>
  <c r="K1179" i="17"/>
  <c r="O1179" i="17"/>
  <c r="L1179" i="17"/>
  <c r="N1179" i="17" s="1"/>
  <c r="K1186" i="17"/>
  <c r="K1193" i="17"/>
  <c r="L1193" i="17"/>
  <c r="K1197" i="17"/>
  <c r="K6" i="17"/>
  <c r="L6" i="17"/>
  <c r="K12" i="17"/>
  <c r="K47" i="17"/>
  <c r="L47" i="17"/>
  <c r="K52" i="17"/>
  <c r="K70" i="17"/>
  <c r="L70" i="17"/>
  <c r="M70" i="17" s="1"/>
  <c r="K76" i="17"/>
  <c r="K94" i="17"/>
  <c r="K97" i="17"/>
  <c r="K111" i="17"/>
  <c r="M111" i="17"/>
  <c r="L111" i="17"/>
  <c r="K113" i="17"/>
  <c r="K128" i="17"/>
  <c r="M128" i="17"/>
  <c r="L128" i="17"/>
  <c r="K130" i="17"/>
  <c r="K148" i="17"/>
  <c r="L148" i="17" s="1"/>
  <c r="K153" i="17"/>
  <c r="L153" i="17" s="1"/>
  <c r="M153" i="17"/>
  <c r="N153" i="17"/>
  <c r="K173" i="17"/>
  <c r="K175" i="17"/>
  <c r="K197" i="17"/>
  <c r="K207" i="17"/>
  <c r="L207" i="17"/>
  <c r="K221" i="17"/>
  <c r="L221" i="17"/>
  <c r="M221" i="17"/>
  <c r="K232" i="17"/>
  <c r="K496" i="17"/>
  <c r="M742" i="17"/>
  <c r="L742" i="17"/>
  <c r="K30" i="17"/>
  <c r="K58" i="17"/>
  <c r="K84" i="17"/>
  <c r="M84" i="17"/>
  <c r="L84" i="17"/>
  <c r="K102" i="17"/>
  <c r="L102" i="17"/>
  <c r="K119" i="17"/>
  <c r="K135" i="17"/>
  <c r="L135" i="17"/>
  <c r="K160" i="17"/>
  <c r="K181" i="17"/>
  <c r="M776" i="17"/>
  <c r="L776" i="17"/>
  <c r="S30" i="11"/>
  <c r="K30" i="11"/>
  <c r="C30" i="11"/>
  <c r="K44" i="17"/>
  <c r="L44" i="17"/>
  <c r="K68" i="17"/>
  <c r="M68" i="17"/>
  <c r="L68" i="17"/>
  <c r="O68" i="17"/>
  <c r="K92" i="17"/>
  <c r="K109" i="17"/>
  <c r="K126" i="17"/>
  <c r="L126" i="17"/>
  <c r="K146" i="17"/>
  <c r="K170" i="17"/>
  <c r="L170" i="17" s="1"/>
  <c r="L565" i="17"/>
  <c r="K565" i="17"/>
  <c r="L660" i="17"/>
  <c r="I30" i="11"/>
  <c r="AB30" i="11"/>
  <c r="N68" i="17"/>
  <c r="L500" i="17"/>
  <c r="K500" i="17"/>
  <c r="N653" i="17"/>
  <c r="O653" i="17" s="1"/>
  <c r="L692" i="17"/>
  <c r="M692" i="17" s="1"/>
  <c r="K243" i="17"/>
  <c r="L243" i="17"/>
  <c r="K247" i="17"/>
  <c r="K251" i="17"/>
  <c r="K257" i="17"/>
  <c r="K261" i="17"/>
  <c r="L261" i="17"/>
  <c r="K266" i="17"/>
  <c r="K273" i="17"/>
  <c r="L273" i="17"/>
  <c r="M273" i="17" s="1"/>
  <c r="K278" i="17"/>
  <c r="K283" i="17"/>
  <c r="L283" i="17"/>
  <c r="K288" i="17"/>
  <c r="K292" i="17"/>
  <c r="K296" i="17"/>
  <c r="K302" i="17"/>
  <c r="K306" i="17"/>
  <c r="K310" i="17"/>
  <c r="K315" i="17"/>
  <c r="K319" i="17"/>
  <c r="L319" i="17"/>
  <c r="K323" i="17"/>
  <c r="K327" i="17"/>
  <c r="L327" i="17"/>
  <c r="K331" i="17"/>
  <c r="K335" i="17"/>
  <c r="K339" i="17"/>
  <c r="K343" i="17"/>
  <c r="L343" i="17"/>
  <c r="K348" i="17"/>
  <c r="K352" i="17"/>
  <c r="K357" i="17"/>
  <c r="K362" i="17"/>
  <c r="L362" i="17" s="1"/>
  <c r="K366" i="17"/>
  <c r="K372" i="17"/>
  <c r="K376" i="17"/>
  <c r="K380" i="17"/>
  <c r="K384" i="17"/>
  <c r="K388" i="17"/>
  <c r="K392" i="17"/>
  <c r="K396" i="17"/>
  <c r="L396" i="17"/>
  <c r="K401" i="17"/>
  <c r="K405" i="17"/>
  <c r="L405" i="17"/>
  <c r="K409" i="17"/>
  <c r="L413" i="17"/>
  <c r="M413" i="17" s="1"/>
  <c r="N416" i="17"/>
  <c r="O416" i="17" s="1"/>
  <c r="L418" i="17"/>
  <c r="L422" i="17"/>
  <c r="L427" i="17"/>
  <c r="L431" i="17"/>
  <c r="N433" i="17"/>
  <c r="O433" i="17" s="1"/>
  <c r="L435" i="17"/>
  <c r="L439" i="17"/>
  <c r="N441" i="17"/>
  <c r="L443" i="17"/>
  <c r="L447" i="17"/>
  <c r="N449" i="17"/>
  <c r="L451" i="17"/>
  <c r="M451" i="17" s="1"/>
  <c r="L455" i="17"/>
  <c r="N457" i="17"/>
  <c r="L459" i="17"/>
  <c r="N461" i="17"/>
  <c r="L463" i="17"/>
  <c r="M463" i="17" s="1"/>
  <c r="N465" i="17"/>
  <c r="L467" i="17"/>
  <c r="N469" i="17"/>
  <c r="L471" i="17"/>
  <c r="N473" i="17"/>
  <c r="L475" i="17"/>
  <c r="L479" i="17"/>
  <c r="N481" i="17"/>
  <c r="O481" i="17" s="1"/>
  <c r="L483" i="17"/>
  <c r="L487" i="17"/>
  <c r="N489" i="17"/>
  <c r="M514" i="17"/>
  <c r="M524" i="17"/>
  <c r="K533" i="17"/>
  <c r="N628" i="17"/>
  <c r="O654" i="17"/>
  <c r="M654" i="17"/>
  <c r="N654" i="17" s="1"/>
  <c r="L654" i="17"/>
  <c r="P654" i="17"/>
  <c r="L664" i="17"/>
  <c r="M686" i="17"/>
  <c r="L686" i="17"/>
  <c r="M696" i="17"/>
  <c r="L696" i="17"/>
  <c r="O722" i="17"/>
  <c r="M722" i="17"/>
  <c r="L722" i="17"/>
  <c r="P722" i="17"/>
  <c r="L734" i="17"/>
  <c r="O758" i="17"/>
  <c r="L758" i="17"/>
  <c r="M758" i="17" s="1"/>
  <c r="M768" i="17"/>
  <c r="L768" i="17"/>
  <c r="K27" i="17"/>
  <c r="K42" i="17"/>
  <c r="K56" i="17"/>
  <c r="K67" i="17"/>
  <c r="K79" i="17"/>
  <c r="K90" i="17"/>
  <c r="K100" i="17"/>
  <c r="K108" i="17"/>
  <c r="K116" i="17"/>
  <c r="K125" i="17"/>
  <c r="K133" i="17"/>
  <c r="K145" i="17"/>
  <c r="K156" i="17"/>
  <c r="K168" i="17"/>
  <c r="K179" i="17"/>
  <c r="M243" i="17"/>
  <c r="M343" i="17"/>
  <c r="M405" i="17"/>
  <c r="M416" i="17"/>
  <c r="M418" i="17"/>
  <c r="M420" i="17"/>
  <c r="M422" i="17"/>
  <c r="M424" i="17"/>
  <c r="M427" i="17"/>
  <c r="M429" i="17"/>
  <c r="N429" i="17" s="1"/>
  <c r="M433" i="17"/>
  <c r="M435" i="17"/>
  <c r="M437" i="17"/>
  <c r="M439" i="17"/>
  <c r="M441" i="17"/>
  <c r="M443" i="17"/>
  <c r="M445" i="17"/>
  <c r="M449" i="17"/>
  <c r="M453" i="17"/>
  <c r="M455" i="17"/>
  <c r="M457" i="17"/>
  <c r="M459" i="17"/>
  <c r="M461" i="17"/>
  <c r="M465" i="17"/>
  <c r="M467" i="17"/>
  <c r="M469" i="17"/>
  <c r="M471" i="17"/>
  <c r="M473" i="17"/>
  <c r="M475" i="17"/>
  <c r="M477" i="17"/>
  <c r="M481" i="17"/>
  <c r="M483" i="17"/>
  <c r="M485" i="17"/>
  <c r="N485" i="17" s="1"/>
  <c r="O485" i="17" s="1"/>
  <c r="M487" i="17"/>
  <c r="M489" i="17"/>
  <c r="K493" i="17"/>
  <c r="L514" i="17"/>
  <c r="L517" i="17"/>
  <c r="L542" i="17"/>
  <c r="K556" i="17"/>
  <c r="K574" i="17"/>
  <c r="I2" i="16"/>
  <c r="K21" i="17"/>
  <c r="K41" i="17"/>
  <c r="K54" i="17"/>
  <c r="M54" i="17"/>
  <c r="K66" i="17"/>
  <c r="K78" i="17"/>
  <c r="K89" i="17"/>
  <c r="K99" i="17"/>
  <c r="M99" i="17"/>
  <c r="K107" i="17"/>
  <c r="K115" i="17"/>
  <c r="K124" i="17"/>
  <c r="K132" i="17"/>
  <c r="M132" i="17"/>
  <c r="K141" i="17"/>
  <c r="M141" i="17"/>
  <c r="K155" i="17"/>
  <c r="K167" i="17"/>
  <c r="M167" i="17"/>
  <c r="K177" i="17"/>
  <c r="K187" i="17"/>
  <c r="L187" i="17"/>
  <c r="K190" i="17"/>
  <c r="K192" i="17"/>
  <c r="L192" i="17"/>
  <c r="K195" i="17"/>
  <c r="K199" i="17"/>
  <c r="L199" i="17"/>
  <c r="K201" i="17"/>
  <c r="K204" i="17"/>
  <c r="L204" i="17"/>
  <c r="K206" i="17"/>
  <c r="K209" i="17"/>
  <c r="L209" i="17"/>
  <c r="K214" i="17"/>
  <c r="K217" i="17"/>
  <c r="L217" i="17"/>
  <c r="K220" i="17"/>
  <c r="K223" i="17"/>
  <c r="L223" i="17"/>
  <c r="K225" i="17"/>
  <c r="N225" i="17" s="1"/>
  <c r="M225" i="17"/>
  <c r="K227" i="17"/>
  <c r="L227" i="17"/>
  <c r="K231" i="17"/>
  <c r="K233" i="17"/>
  <c r="L233" i="17"/>
  <c r="K236" i="17"/>
  <c r="K239" i="17"/>
  <c r="L239" i="17"/>
  <c r="K241" i="17"/>
  <c r="K244" i="17"/>
  <c r="L244" i="17"/>
  <c r="K246" i="17"/>
  <c r="K248" i="17"/>
  <c r="L248" i="17"/>
  <c r="K250" i="17"/>
  <c r="K252" i="17"/>
  <c r="L252" i="17"/>
  <c r="K256" i="17"/>
  <c r="K258" i="17"/>
  <c r="L258" i="17"/>
  <c r="K260" i="17"/>
  <c r="K262" i="17"/>
  <c r="L262" i="17"/>
  <c r="K265" i="17"/>
  <c r="K268" i="17"/>
  <c r="L268" i="17"/>
  <c r="K272" i="17"/>
  <c r="M272" i="17" s="1"/>
  <c r="K274" i="17"/>
  <c r="L274" i="17"/>
  <c r="K277" i="17"/>
  <c r="K279" i="17"/>
  <c r="L279" i="17"/>
  <c r="K281" i="17"/>
  <c r="K285" i="17"/>
  <c r="L285" i="17"/>
  <c r="K287" i="17"/>
  <c r="K289" i="17"/>
  <c r="L289" i="17"/>
  <c r="K291" i="17"/>
  <c r="K293" i="17"/>
  <c r="L293" i="17"/>
  <c r="K295" i="17"/>
  <c r="K297" i="17"/>
  <c r="L297" i="17"/>
  <c r="K301" i="17"/>
  <c r="K303" i="17"/>
  <c r="L303" i="17"/>
  <c r="K305" i="17"/>
  <c r="K307" i="17"/>
  <c r="L307" i="17"/>
  <c r="K309" i="17"/>
  <c r="K311" i="17"/>
  <c r="L311" i="17"/>
  <c r="K314" i="17"/>
  <c r="K316" i="17"/>
  <c r="L316" i="17"/>
  <c r="K318" i="17"/>
  <c r="K320" i="17"/>
  <c r="L320" i="17"/>
  <c r="K322" i="17"/>
  <c r="K324" i="17"/>
  <c r="L324" i="17"/>
  <c r="K326" i="17"/>
  <c r="M326" i="17"/>
  <c r="K328" i="17"/>
  <c r="L328" i="17"/>
  <c r="K330" i="17"/>
  <c r="K332" i="17"/>
  <c r="L332" i="17"/>
  <c r="K334" i="17"/>
  <c r="K336" i="17"/>
  <c r="L336" i="17"/>
  <c r="K338" i="17"/>
  <c r="K340" i="17"/>
  <c r="L340" i="17"/>
  <c r="K342" i="17"/>
  <c r="M342" i="17" s="1"/>
  <c r="K344" i="17"/>
  <c r="L344" i="17"/>
  <c r="K347" i="17"/>
  <c r="K349" i="17"/>
  <c r="L349" i="17"/>
  <c r="K351" i="17"/>
  <c r="K353" i="17"/>
  <c r="L353" i="17"/>
  <c r="K355" i="17"/>
  <c r="K358" i="17"/>
  <c r="L358" i="17"/>
  <c r="K360" i="17"/>
  <c r="K363" i="17"/>
  <c r="L363" i="17"/>
  <c r="K365" i="17"/>
  <c r="K367" i="17"/>
  <c r="L367" i="17"/>
  <c r="K371" i="17"/>
  <c r="K373" i="17"/>
  <c r="L373" i="17"/>
  <c r="K375" i="17"/>
  <c r="N375" i="17" s="1"/>
  <c r="M375" i="17"/>
  <c r="K377" i="17"/>
  <c r="L377" i="17"/>
  <c r="K379" i="17"/>
  <c r="K381" i="17"/>
  <c r="L381" i="17"/>
  <c r="K383" i="17"/>
  <c r="K385" i="17"/>
  <c r="L385" i="17"/>
  <c r="K387" i="17"/>
  <c r="K389" i="17"/>
  <c r="L389" i="17"/>
  <c r="K391" i="17"/>
  <c r="N391" i="17"/>
  <c r="O391" i="17" s="1"/>
  <c r="M391" i="17"/>
  <c r="K393" i="17"/>
  <c r="L393" i="17"/>
  <c r="K395" i="17"/>
  <c r="K397" i="17"/>
  <c r="L397" i="17"/>
  <c r="K400" i="17"/>
  <c r="K402" i="17"/>
  <c r="L402" i="17"/>
  <c r="K404" i="17"/>
  <c r="K406" i="17"/>
  <c r="L406" i="17"/>
  <c r="K408" i="17"/>
  <c r="K410" i="17"/>
  <c r="L410" i="17"/>
  <c r="K412" i="17"/>
  <c r="L415" i="17"/>
  <c r="N415" i="17"/>
  <c r="L419" i="17"/>
  <c r="N419" i="17" s="1"/>
  <c r="N421" i="17"/>
  <c r="M421" i="17"/>
  <c r="L423" i="17"/>
  <c r="L428" i="17"/>
  <c r="N428" i="17"/>
  <c r="M430" i="17"/>
  <c r="L432" i="17"/>
  <c r="N432" i="17"/>
  <c r="L436" i="17"/>
  <c r="N438" i="17"/>
  <c r="M438" i="17"/>
  <c r="L440" i="17"/>
  <c r="L444" i="17"/>
  <c r="L448" i="17"/>
  <c r="L452" i="17"/>
  <c r="N452" i="17"/>
  <c r="N454" i="17"/>
  <c r="M454" i="17"/>
  <c r="L456" i="17"/>
  <c r="L460" i="17"/>
  <c r="N460" i="17"/>
  <c r="L464" i="17"/>
  <c r="N464" i="17"/>
  <c r="O464" i="17" s="1"/>
  <c r="L468" i="17"/>
  <c r="M470" i="17"/>
  <c r="N470" i="17" s="1"/>
  <c r="O470" i="17" s="1"/>
  <c r="L472" i="17"/>
  <c r="L476" i="17"/>
  <c r="L480" i="17"/>
  <c r="N480" i="17"/>
  <c r="L484" i="17"/>
  <c r="N484" i="17" s="1"/>
  <c r="N486" i="17"/>
  <c r="M486" i="17"/>
  <c r="L488" i="17"/>
  <c r="M494" i="17"/>
  <c r="L494" i="17"/>
  <c r="M506" i="17"/>
  <c r="K506" i="17"/>
  <c r="L566" i="17"/>
  <c r="K566" i="17"/>
  <c r="N645" i="17"/>
  <c r="L670" i="17"/>
  <c r="O680" i="17"/>
  <c r="M680" i="17"/>
  <c r="L680" i="17"/>
  <c r="P680" i="17"/>
  <c r="N690" i="17"/>
  <c r="N700" i="17"/>
  <c r="L702" i="17"/>
  <c r="M714" i="17"/>
  <c r="L714" i="17"/>
  <c r="L740" i="17"/>
  <c r="N749" i="17"/>
  <c r="L751" i="17"/>
  <c r="M774" i="17"/>
  <c r="N774" i="17" s="1"/>
  <c r="L774" i="17"/>
  <c r="L800" i="17"/>
  <c r="K800" i="17"/>
  <c r="K10" i="17"/>
  <c r="K35" i="17"/>
  <c r="L41" i="17"/>
  <c r="K48" i="17"/>
  <c r="L54" i="17"/>
  <c r="K60" i="17"/>
  <c r="K72" i="17"/>
  <c r="L78" i="17"/>
  <c r="K86" i="17"/>
  <c r="K96" i="17"/>
  <c r="L99" i="17"/>
  <c r="K104" i="17"/>
  <c r="L107" i="17"/>
  <c r="K112" i="17"/>
  <c r="L115" i="17"/>
  <c r="K121" i="17"/>
  <c r="K129" i="17"/>
  <c r="L132" i="17"/>
  <c r="K137" i="17"/>
  <c r="L141" i="17"/>
  <c r="K149" i="17"/>
  <c r="K164" i="17"/>
  <c r="L167" i="17"/>
  <c r="K174" i="17"/>
  <c r="K183" i="17"/>
  <c r="M187" i="17"/>
  <c r="L190" i="17"/>
  <c r="M192" i="17"/>
  <c r="M199" i="17"/>
  <c r="L201" i="17"/>
  <c r="M201" i="17" s="1"/>
  <c r="M209" i="17"/>
  <c r="L214" i="17"/>
  <c r="M217" i="17"/>
  <c r="M223" i="17"/>
  <c r="L225" i="17"/>
  <c r="M227" i="17"/>
  <c r="M233" i="17"/>
  <c r="M239" i="17"/>
  <c r="M244" i="17"/>
  <c r="L246" i="17"/>
  <c r="L250" i="17"/>
  <c r="M258" i="17"/>
  <c r="L265" i="17"/>
  <c r="M265" i="17" s="1"/>
  <c r="M268" i="17"/>
  <c r="L272" i="17"/>
  <c r="M274" i="17"/>
  <c r="M285" i="17"/>
  <c r="M293" i="17"/>
  <c r="L295" i="17"/>
  <c r="M303" i="17"/>
  <c r="L305" i="17"/>
  <c r="M305" i="17" s="1"/>
  <c r="M316" i="17"/>
  <c r="L322" i="17"/>
  <c r="L326" i="17"/>
  <c r="M328" i="17"/>
  <c r="M340" i="17"/>
  <c r="L342" i="17"/>
  <c r="M344" i="17"/>
  <c r="L347" i="17"/>
  <c r="M349" i="17"/>
  <c r="M353" i="17"/>
  <c r="M363" i="17"/>
  <c r="M367" i="17"/>
  <c r="M373" i="17"/>
  <c r="L375" i="17"/>
  <c r="M377" i="17"/>
  <c r="L383" i="17"/>
  <c r="M385" i="17"/>
  <c r="M389" i="17"/>
  <c r="L391" i="17"/>
  <c r="L395" i="17"/>
  <c r="L408" i="17"/>
  <c r="M408" i="17" s="1"/>
  <c r="M410" i="17"/>
  <c r="M415" i="17"/>
  <c r="L417" i="17"/>
  <c r="M419" i="17"/>
  <c r="L421" i="17"/>
  <c r="M423" i="17"/>
  <c r="N423" i="17" s="1"/>
  <c r="O423" i="17" s="1"/>
  <c r="L426" i="17"/>
  <c r="M428" i="17"/>
  <c r="L430" i="17"/>
  <c r="N430" i="17" s="1"/>
  <c r="O430" i="17" s="1"/>
  <c r="M432" i="17"/>
  <c r="L434" i="17"/>
  <c r="M436" i="17"/>
  <c r="L438" i="17"/>
  <c r="M440" i="17"/>
  <c r="N440" i="17" s="1"/>
  <c r="L442" i="17"/>
  <c r="L446" i="17"/>
  <c r="M448" i="17"/>
  <c r="N448" i="17" s="1"/>
  <c r="L450" i="17"/>
  <c r="M452" i="17"/>
  <c r="L454" i="17"/>
  <c r="M456" i="17"/>
  <c r="N456" i="17" s="1"/>
  <c r="O456" i="17" s="1"/>
  <c r="L458" i="17"/>
  <c r="M460" i="17"/>
  <c r="L462" i="17"/>
  <c r="M462" i="17" s="1"/>
  <c r="N462" i="17" s="1"/>
  <c r="M464" i="17"/>
  <c r="L466" i="17"/>
  <c r="M468" i="17"/>
  <c r="L470" i="17"/>
  <c r="M472" i="17"/>
  <c r="L474" i="17"/>
  <c r="L478" i="17"/>
  <c r="M480" i="17"/>
  <c r="L482" i="17"/>
  <c r="M484" i="17"/>
  <c r="L486" i="17"/>
  <c r="M488" i="17"/>
  <c r="N488" i="17" s="1"/>
  <c r="O488" i="17" s="1"/>
  <c r="L490" i="17"/>
  <c r="N501" i="17"/>
  <c r="M501" i="17"/>
  <c r="L501" i="17"/>
  <c r="O501" i="17"/>
  <c r="K501" i="17"/>
  <c r="L506" i="17"/>
  <c r="L520" i="17"/>
  <c r="K520" i="17"/>
  <c r="K537" i="17"/>
  <c r="K549" i="17"/>
  <c r="K560" i="17"/>
  <c r="L569" i="17"/>
  <c r="L516" i="17"/>
  <c r="L523" i="17"/>
  <c r="M526" i="17"/>
  <c r="K526" i="17"/>
  <c r="K572" i="17"/>
  <c r="O656" i="17"/>
  <c r="L656" i="17"/>
  <c r="M656" i="17" s="1"/>
  <c r="L688" i="17"/>
  <c r="M726" i="17"/>
  <c r="N726" i="17" s="1"/>
  <c r="L726" i="17"/>
  <c r="M760" i="17"/>
  <c r="L760" i="17"/>
  <c r="K17" i="17"/>
  <c r="K39" i="17"/>
  <c r="K53" i="17"/>
  <c r="K65" i="17"/>
  <c r="K77" i="17"/>
  <c r="K88" i="17"/>
  <c r="K98" i="17"/>
  <c r="K106" i="17"/>
  <c r="K114" i="17"/>
  <c r="K123" i="17"/>
  <c r="K131" i="17"/>
  <c r="K139" i="17"/>
  <c r="K154" i="17"/>
  <c r="K166" i="17"/>
  <c r="K176" i="17"/>
  <c r="K186" i="17"/>
  <c r="K516" i="17"/>
  <c r="L518" i="17"/>
  <c r="L526" i="17"/>
  <c r="L538" i="17"/>
  <c r="M538" i="17" s="1"/>
  <c r="K538" i="17"/>
  <c r="K561" i="17"/>
  <c r="N617" i="17"/>
  <c r="M643" i="17"/>
  <c r="M676" i="17"/>
  <c r="L676" i="17"/>
  <c r="L709" i="17"/>
  <c r="N722" i="17"/>
  <c r="L747" i="17"/>
  <c r="N758" i="17"/>
  <c r="N773" i="17"/>
  <c r="M780" i="17"/>
  <c r="L780" i="17"/>
  <c r="M502" i="17"/>
  <c r="L504" i="17"/>
  <c r="L529" i="17"/>
  <c r="M529" i="17"/>
  <c r="N531" i="17"/>
  <c r="L531" i="17"/>
  <c r="M531" i="17" s="1"/>
  <c r="O531" i="17"/>
  <c r="L539" i="17"/>
  <c r="K539" i="17"/>
  <c r="M547" i="17"/>
  <c r="L547" i="17"/>
  <c r="L551" i="17"/>
  <c r="M551" i="17" s="1"/>
  <c r="L578" i="17"/>
  <c r="M641" i="17"/>
  <c r="N656" i="17"/>
  <c r="P656" i="17" s="1"/>
  <c r="L658" i="17"/>
  <c r="L674" i="17"/>
  <c r="O690" i="17"/>
  <c r="P690" i="17" s="1"/>
  <c r="M690" i="17"/>
  <c r="L690" i="17"/>
  <c r="N695" i="17"/>
  <c r="L707" i="17"/>
  <c r="L728" i="17"/>
  <c r="L745" i="17"/>
  <c r="N760" i="17"/>
  <c r="M762" i="17"/>
  <c r="L762" i="17"/>
  <c r="N762" i="17" s="1"/>
  <c r="L778" i="17"/>
  <c r="K188" i="17"/>
  <c r="K193" i="17"/>
  <c r="K200" i="17"/>
  <c r="K205" i="17"/>
  <c r="K212" i="17"/>
  <c r="K218" i="17"/>
  <c r="K224" i="17"/>
  <c r="K229" i="17"/>
  <c r="K234" i="17"/>
  <c r="K240" i="17"/>
  <c r="K245" i="17"/>
  <c r="K249" i="17"/>
  <c r="K255" i="17"/>
  <c r="K259" i="17"/>
  <c r="K264" i="17"/>
  <c r="K271" i="17"/>
  <c r="K275" i="17"/>
  <c r="K280" i="17"/>
  <c r="K286" i="17"/>
  <c r="K290" i="17"/>
  <c r="K294" i="17"/>
  <c r="K299" i="17"/>
  <c r="K304" i="17"/>
  <c r="K308" i="17"/>
  <c r="K313" i="17"/>
  <c r="L313" i="17" s="1"/>
  <c r="K317" i="17"/>
  <c r="K321" i="17"/>
  <c r="K325" i="17"/>
  <c r="K329" i="17"/>
  <c r="K333" i="17"/>
  <c r="K337" i="17"/>
  <c r="K341" i="17"/>
  <c r="K345" i="17"/>
  <c r="K350" i="17"/>
  <c r="K354" i="17"/>
  <c r="K359" i="17"/>
  <c r="K364" i="17"/>
  <c r="K368" i="17"/>
  <c r="K374" i="17"/>
  <c r="K378" i="17"/>
  <c r="K382" i="17"/>
  <c r="K386" i="17"/>
  <c r="K390" i="17"/>
  <c r="K394" i="17"/>
  <c r="K399" i="17"/>
  <c r="L399" i="17" s="1"/>
  <c r="K403" i="17"/>
  <c r="K407" i="17"/>
  <c r="K411" i="17"/>
  <c r="K495" i="17"/>
  <c r="L553" i="17"/>
  <c r="M557" i="17"/>
  <c r="L557" i="17"/>
  <c r="K557" i="17"/>
  <c r="N613" i="17"/>
  <c r="N640" i="17"/>
  <c r="L652" i="17"/>
  <c r="L668" i="17"/>
  <c r="M684" i="17"/>
  <c r="L684" i="17"/>
  <c r="N698" i="17"/>
  <c r="O700" i="17"/>
  <c r="P700" i="17" s="1"/>
  <c r="L700" i="17"/>
  <c r="M700" i="17" s="1"/>
  <c r="L719" i="17"/>
  <c r="N727" i="17"/>
  <c r="L738" i="17"/>
  <c r="M756" i="17"/>
  <c r="L756" i="17"/>
  <c r="L772" i="17"/>
  <c r="M772" i="17" s="1"/>
  <c r="L193" i="17"/>
  <c r="L200" i="17"/>
  <c r="L212" i="17"/>
  <c r="L218" i="17"/>
  <c r="L224" i="17"/>
  <c r="L229" i="17"/>
  <c r="L234" i="17"/>
  <c r="L245" i="17"/>
  <c r="L259" i="17"/>
  <c r="L264" i="17"/>
  <c r="L271" i="17"/>
  <c r="L275" i="17"/>
  <c r="L286" i="17"/>
  <c r="L299" i="17"/>
  <c r="L304" i="17"/>
  <c r="L308" i="17"/>
  <c r="L317" i="17"/>
  <c r="L321" i="17"/>
  <c r="L333" i="17"/>
  <c r="L337" i="17"/>
  <c r="L341" i="17"/>
  <c r="L345" i="17"/>
  <c r="L350" i="17"/>
  <c r="L354" i="17"/>
  <c r="L364" i="17"/>
  <c r="L374" i="17"/>
  <c r="L378" i="17"/>
  <c r="L386" i="17"/>
  <c r="L390" i="17"/>
  <c r="L403" i="17"/>
  <c r="L407" i="17"/>
  <c r="L411" i="17"/>
  <c r="K492" i="17"/>
  <c r="N497" i="17"/>
  <c r="M497" i="17"/>
  <c r="L498" i="17"/>
  <c r="K503" i="17"/>
  <c r="K512" i="17"/>
  <c r="M521" i="17"/>
  <c r="N521" i="17" s="1"/>
  <c r="L521" i="17"/>
  <c r="L530" i="17"/>
  <c r="K530" i="17"/>
  <c r="L544" i="17"/>
  <c r="K548" i="17"/>
  <c r="K553" i="17"/>
  <c r="M553" i="17" s="1"/>
  <c r="K575" i="17"/>
  <c r="N585" i="17"/>
  <c r="N655" i="17"/>
  <c r="L666" i="17"/>
  <c r="N680" i="17"/>
  <c r="L682" i="17"/>
  <c r="O698" i="17"/>
  <c r="M698" i="17"/>
  <c r="L698" i="17"/>
  <c r="N714" i="17"/>
  <c r="L716" i="17"/>
  <c r="M716" i="17" s="1"/>
  <c r="L736" i="17"/>
  <c r="M754" i="17"/>
  <c r="L754" i="17"/>
  <c r="M770" i="17"/>
  <c r="L770" i="17"/>
  <c r="K805" i="17"/>
  <c r="L805" i="17" s="1"/>
  <c r="N805" i="17"/>
  <c r="O805" i="17" s="1"/>
  <c r="M805" i="17"/>
  <c r="L511" i="17"/>
  <c r="K511" i="17"/>
  <c r="N517" i="17"/>
  <c r="M517" i="17"/>
  <c r="N524" i="17"/>
  <c r="O524" i="17" s="1"/>
  <c r="P524" i="17"/>
  <c r="K524" i="17"/>
  <c r="L524" i="17" s="1"/>
  <c r="O527" i="17"/>
  <c r="K558" i="17"/>
  <c r="N564" i="17"/>
  <c r="L564" i="17"/>
  <c r="M564" i="17" s="1"/>
  <c r="M568" i="17"/>
  <c r="L568" i="17"/>
  <c r="N568" i="17" s="1"/>
  <c r="O568" i="17" s="1"/>
  <c r="N610" i="17"/>
  <c r="N643" i="17"/>
  <c r="M645" i="17"/>
  <c r="M662" i="17"/>
  <c r="L662" i="17"/>
  <c r="N676" i="17"/>
  <c r="M678" i="17"/>
  <c r="L678" i="17"/>
  <c r="N692" i="17"/>
  <c r="O692" i="17" s="1"/>
  <c r="P692" i="17" s="1"/>
  <c r="L694" i="17"/>
  <c r="L711" i="17"/>
  <c r="M732" i="17"/>
  <c r="L732" i="17"/>
  <c r="M749" i="17"/>
  <c r="L749" i="17"/>
  <c r="N764" i="17"/>
  <c r="O764" i="17" s="1"/>
  <c r="M766" i="17"/>
  <c r="L766" i="17"/>
  <c r="N780" i="17"/>
  <c r="M782" i="17"/>
  <c r="L782" i="17"/>
  <c r="N834" i="17"/>
  <c r="L834" i="17"/>
  <c r="K834" i="17"/>
  <c r="M834" i="17"/>
  <c r="O415" i="17"/>
  <c r="O421" i="17"/>
  <c r="O428" i="17"/>
  <c r="O429" i="17"/>
  <c r="O432" i="17"/>
  <c r="O438" i="17"/>
  <c r="O440" i="17"/>
  <c r="O441" i="17"/>
  <c r="O448" i="17"/>
  <c r="O449" i="17"/>
  <c r="O457" i="17"/>
  <c r="O460" i="17"/>
  <c r="O461" i="17"/>
  <c r="O465" i="17"/>
  <c r="O469" i="17"/>
  <c r="O473" i="17"/>
  <c r="O480" i="17"/>
  <c r="O486" i="17"/>
  <c r="O489" i="17"/>
  <c r="N502" i="17"/>
  <c r="N514" i="17"/>
  <c r="M536" i="17"/>
  <c r="N536" i="17" s="1"/>
  <c r="L536" i="17"/>
  <c r="M546" i="17"/>
  <c r="L546" i="17"/>
  <c r="M555" i="17"/>
  <c r="L555" i="17"/>
  <c r="M563" i="17"/>
  <c r="L563" i="17"/>
  <c r="L571" i="17"/>
  <c r="M582" i="17"/>
  <c r="L582" i="17"/>
  <c r="L784" i="17"/>
  <c r="K784" i="17"/>
  <c r="L792" i="17"/>
  <c r="M792" i="17" s="1"/>
  <c r="K792" i="17"/>
  <c r="N792" i="17"/>
  <c r="L808" i="17"/>
  <c r="K808" i="17"/>
  <c r="L528" i="17"/>
  <c r="L554" i="17"/>
  <c r="L562" i="17"/>
  <c r="L581" i="17"/>
  <c r="N607" i="17"/>
  <c r="K817" i="17"/>
  <c r="K491" i="17"/>
  <c r="K499" i="17"/>
  <c r="N508" i="17"/>
  <c r="O508" i="17" s="1"/>
  <c r="K510" i="17"/>
  <c r="K519" i="17"/>
  <c r="N527" i="17"/>
  <c r="K528" i="17"/>
  <c r="K532" i="17"/>
  <c r="K535" i="17"/>
  <c r="L540" i="17"/>
  <c r="K545" i="17"/>
  <c r="L550" i="17"/>
  <c r="K554" i="17"/>
  <c r="L559" i="17"/>
  <c r="K562" i="17"/>
  <c r="N567" i="17"/>
  <c r="L567" i="17"/>
  <c r="M567" i="17" s="1"/>
  <c r="K570" i="17"/>
  <c r="M576" i="17"/>
  <c r="L576" i="17"/>
  <c r="K581" i="17"/>
  <c r="N604" i="17"/>
  <c r="L788" i="17"/>
  <c r="K788" i="17"/>
  <c r="M788" i="17"/>
  <c r="K796" i="17"/>
  <c r="L842" i="17"/>
  <c r="K842" i="17"/>
  <c r="M842" i="17"/>
  <c r="N842" i="17" s="1"/>
  <c r="O842" i="17" s="1"/>
  <c r="K1382" i="17"/>
  <c r="L651" i="17"/>
  <c r="M653" i="17"/>
  <c r="L653" i="17"/>
  <c r="O655" i="17"/>
  <c r="M655" i="17"/>
  <c r="L655" i="17"/>
  <c r="M657" i="17"/>
  <c r="L657" i="17"/>
  <c r="L659" i="17"/>
  <c r="M661" i="17"/>
  <c r="L661" i="17"/>
  <c r="L663" i="17"/>
  <c r="L665" i="17"/>
  <c r="L667" i="17"/>
  <c r="M669" i="17"/>
  <c r="L669" i="17"/>
  <c r="L671" i="17"/>
  <c r="M673" i="17"/>
  <c r="L673" i="17"/>
  <c r="L675" i="17"/>
  <c r="L677" i="17"/>
  <c r="M679" i="17"/>
  <c r="N679" i="17" s="1"/>
  <c r="L679" i="17"/>
  <c r="M681" i="17"/>
  <c r="L681" i="17"/>
  <c r="L683" i="17"/>
  <c r="M685" i="17"/>
  <c r="L685" i="17"/>
  <c r="L687" i="17"/>
  <c r="M689" i="17"/>
  <c r="L689" i="17"/>
  <c r="L691" i="17"/>
  <c r="L693" i="17"/>
  <c r="M695" i="17"/>
  <c r="L695" i="17"/>
  <c r="M697" i="17"/>
  <c r="N697" i="17" s="1"/>
  <c r="L697" i="17"/>
  <c r="L699" i="17"/>
  <c r="M701" i="17"/>
  <c r="L701" i="17"/>
  <c r="L703" i="17"/>
  <c r="L706" i="17"/>
  <c r="L708" i="17"/>
  <c r="L710" i="17"/>
  <c r="M713" i="17"/>
  <c r="L713" i="17"/>
  <c r="M715" i="17"/>
  <c r="L715" i="17"/>
  <c r="N715" i="17" s="1"/>
  <c r="L717" i="17"/>
  <c r="M720" i="17"/>
  <c r="L720" i="17"/>
  <c r="M724" i="17"/>
  <c r="L724" i="17"/>
  <c r="M727" i="17"/>
  <c r="L727" i="17"/>
  <c r="L729" i="17"/>
  <c r="L731" i="17"/>
  <c r="L733" i="17"/>
  <c r="L735" i="17"/>
  <c r="L737" i="17"/>
  <c r="M739" i="17"/>
  <c r="L739" i="17"/>
  <c r="L741" i="17"/>
  <c r="O743" i="17"/>
  <c r="M743" i="17"/>
  <c r="N743" i="17" s="1"/>
  <c r="L743" i="17"/>
  <c r="L746" i="17"/>
  <c r="L748" i="17"/>
  <c r="O750" i="17"/>
  <c r="M750" i="17"/>
  <c r="N750" i="17" s="1"/>
  <c r="L750" i="17"/>
  <c r="M753" i="17"/>
  <c r="L753" i="17"/>
  <c r="N753" i="17" s="1"/>
  <c r="L755" i="17"/>
  <c r="O757" i="17"/>
  <c r="M757" i="17"/>
  <c r="L757" i="17"/>
  <c r="L759" i="17"/>
  <c r="L761" i="17"/>
  <c r="L763" i="17"/>
  <c r="L765" i="17"/>
  <c r="L767" i="17"/>
  <c r="M769" i="17"/>
  <c r="L769" i="17"/>
  <c r="L771" i="17"/>
  <c r="M773" i="17"/>
  <c r="O773" i="17" s="1"/>
  <c r="L773" i="17"/>
  <c r="L775" i="17"/>
  <c r="L777" i="17"/>
  <c r="L779" i="17"/>
  <c r="L781" i="17"/>
  <c r="L825" i="17"/>
  <c r="K825" i="17"/>
  <c r="L814" i="17"/>
  <c r="K814" i="17"/>
  <c r="K822" i="17"/>
  <c r="L831" i="17"/>
  <c r="K831" i="17"/>
  <c r="K839" i="17"/>
  <c r="M1046" i="17"/>
  <c r="N1046" i="17" s="1"/>
  <c r="M1057" i="17"/>
  <c r="O1057" i="17" s="1"/>
  <c r="K1081" i="17"/>
  <c r="L783" i="17"/>
  <c r="K783" i="17"/>
  <c r="L787" i="17"/>
  <c r="K787" i="17"/>
  <c r="K791" i="17"/>
  <c r="L795" i="17"/>
  <c r="K795" i="17"/>
  <c r="K799" i="17"/>
  <c r="L803" i="17"/>
  <c r="K803" i="17"/>
  <c r="L810" i="17"/>
  <c r="K810" i="17"/>
  <c r="M814" i="17"/>
  <c r="N814" i="17" s="1"/>
  <c r="K819" i="17"/>
  <c r="L828" i="17"/>
  <c r="K828" i="17"/>
  <c r="M831" i="17"/>
  <c r="L836" i="17"/>
  <c r="K836" i="17"/>
  <c r="K844" i="17"/>
  <c r="N965" i="17"/>
  <c r="N991" i="17"/>
  <c r="O1046" i="17"/>
  <c r="M1051" i="17"/>
  <c r="N1051" i="17" s="1"/>
  <c r="K1093" i="17"/>
  <c r="N1235" i="17"/>
  <c r="K807" i="17"/>
  <c r="L807" i="17" s="1"/>
  <c r="K816" i="17"/>
  <c r="K824" i="17"/>
  <c r="N833" i="17"/>
  <c r="O833" i="17" s="1"/>
  <c r="K833" i="17"/>
  <c r="L833" i="17" s="1"/>
  <c r="L841" i="17"/>
  <c r="K841" i="17"/>
  <c r="L848" i="17"/>
  <c r="K848" i="17"/>
  <c r="M850" i="17"/>
  <c r="O850" i="17" s="1"/>
  <c r="L850" i="17"/>
  <c r="N850" i="17" s="1"/>
  <c r="K850" i="17"/>
  <c r="N852" i="17"/>
  <c r="L852" i="17"/>
  <c r="M852" i="17" s="1"/>
  <c r="K852" i="17"/>
  <c r="M854" i="17"/>
  <c r="L854" i="17"/>
  <c r="N854" i="17" s="1"/>
  <c r="K854" i="17"/>
  <c r="N856" i="17"/>
  <c r="L856" i="17"/>
  <c r="M856" i="17" s="1"/>
  <c r="K856" i="17"/>
  <c r="M858" i="17"/>
  <c r="L858" i="17"/>
  <c r="K858" i="17"/>
  <c r="L860" i="17"/>
  <c r="M860" i="17" s="1"/>
  <c r="N860" i="17" s="1"/>
  <c r="K860" i="17"/>
  <c r="M862" i="17"/>
  <c r="L862" i="17"/>
  <c r="N862" i="17" s="1"/>
  <c r="K862" i="17"/>
  <c r="N864" i="17"/>
  <c r="L864" i="17"/>
  <c r="M864" i="17" s="1"/>
  <c r="K864" i="17"/>
  <c r="M867" i="17"/>
  <c r="L867" i="17"/>
  <c r="K867" i="17"/>
  <c r="N869" i="17"/>
  <c r="O869" i="17" s="1"/>
  <c r="L869" i="17"/>
  <c r="M869" i="17" s="1"/>
  <c r="K869" i="17"/>
  <c r="M871" i="17"/>
  <c r="L871" i="17"/>
  <c r="N871" i="17" s="1"/>
  <c r="K871" i="17"/>
  <c r="N873" i="17"/>
  <c r="L873" i="17"/>
  <c r="M873" i="17" s="1"/>
  <c r="K873" i="17"/>
  <c r="M875" i="17"/>
  <c r="L875" i="17"/>
  <c r="N875" i="17" s="1"/>
  <c r="K875" i="17"/>
  <c r="L877" i="17"/>
  <c r="M877" i="17" s="1"/>
  <c r="N877" i="17" s="1"/>
  <c r="K877" i="17"/>
  <c r="M879" i="17"/>
  <c r="L879" i="17"/>
  <c r="K879" i="17"/>
  <c r="N881" i="17"/>
  <c r="L881" i="17"/>
  <c r="M881" i="17" s="1"/>
  <c r="K881" i="17"/>
  <c r="M883" i="17"/>
  <c r="L883" i="17"/>
  <c r="N883" i="17" s="1"/>
  <c r="O883" i="17" s="1"/>
  <c r="K883" i="17"/>
  <c r="L885" i="17"/>
  <c r="K885" i="17"/>
  <c r="M887" i="17"/>
  <c r="L887" i="17"/>
  <c r="N887" i="17" s="1"/>
  <c r="K887" i="17"/>
  <c r="L889" i="17"/>
  <c r="K889" i="17"/>
  <c r="M891" i="17"/>
  <c r="L891" i="17"/>
  <c r="N891" i="17" s="1"/>
  <c r="K891" i="17"/>
  <c r="L893" i="17"/>
  <c r="M893" i="17" s="1"/>
  <c r="N893" i="17" s="1"/>
  <c r="K893" i="17"/>
  <c r="M895" i="17"/>
  <c r="L895" i="17"/>
  <c r="N895" i="17" s="1"/>
  <c r="K895" i="17"/>
  <c r="L897" i="17"/>
  <c r="K897" i="17"/>
  <c r="M899" i="17"/>
  <c r="L899" i="17"/>
  <c r="N899" i="17" s="1"/>
  <c r="K899" i="17"/>
  <c r="N901" i="17"/>
  <c r="K1103" i="17"/>
  <c r="M1137" i="17"/>
  <c r="O1209" i="17"/>
  <c r="L1209" i="17"/>
  <c r="M1209" i="17"/>
  <c r="P1568" i="17"/>
  <c r="N1568" i="17"/>
  <c r="N1570" i="17"/>
  <c r="P1596" i="17"/>
  <c r="L583" i="17"/>
  <c r="L584" i="17"/>
  <c r="L585" i="17"/>
  <c r="L586" i="17"/>
  <c r="L587" i="17"/>
  <c r="L588" i="17"/>
  <c r="L590" i="17"/>
  <c r="L591" i="17"/>
  <c r="M591" i="17" s="1"/>
  <c r="L593" i="17"/>
  <c r="L594" i="17"/>
  <c r="L595" i="17"/>
  <c r="L596" i="17"/>
  <c r="L597" i="17"/>
  <c r="L598" i="17"/>
  <c r="L599" i="17"/>
  <c r="L600" i="17"/>
  <c r="L601" i="17"/>
  <c r="L602" i="17"/>
  <c r="L603" i="17"/>
  <c r="L604" i="17"/>
  <c r="L605" i="17"/>
  <c r="M605" i="17" s="1"/>
  <c r="L606" i="17"/>
  <c r="L607" i="17"/>
  <c r="L608" i="17"/>
  <c r="L609" i="17"/>
  <c r="L610" i="17"/>
  <c r="L611" i="17"/>
  <c r="M611" i="17" s="1"/>
  <c r="L612" i="17"/>
  <c r="L613" i="17"/>
  <c r="L614" i="17"/>
  <c r="L615" i="17"/>
  <c r="L616" i="17"/>
  <c r="L617" i="17"/>
  <c r="L619" i="17"/>
  <c r="M619" i="17" s="1"/>
  <c r="N619" i="17" s="1"/>
  <c r="L620" i="17"/>
  <c r="L621" i="17"/>
  <c r="L623" i="17"/>
  <c r="M623" i="17" s="1"/>
  <c r="L624" i="17"/>
  <c r="L626" i="17"/>
  <c r="L627" i="17"/>
  <c r="L628" i="17"/>
  <c r="L629" i="17"/>
  <c r="L630" i="17"/>
  <c r="L632" i="17"/>
  <c r="L633" i="17"/>
  <c r="L634" i="17"/>
  <c r="L635" i="17"/>
  <c r="L636" i="17"/>
  <c r="L637" i="17"/>
  <c r="L638" i="17"/>
  <c r="L639" i="17"/>
  <c r="L640" i="17"/>
  <c r="L641" i="17"/>
  <c r="L642" i="17"/>
  <c r="L643" i="17"/>
  <c r="L644" i="17"/>
  <c r="L645" i="17"/>
  <c r="L646" i="17"/>
  <c r="L648" i="17"/>
  <c r="L649" i="17"/>
  <c r="L650" i="17"/>
  <c r="L786" i="17"/>
  <c r="K786" i="17"/>
  <c r="L790" i="17"/>
  <c r="K790" i="17"/>
  <c r="K794" i="17"/>
  <c r="K798" i="17"/>
  <c r="L802" i="17"/>
  <c r="M802" i="17" s="1"/>
  <c r="K802" i="17"/>
  <c r="M807" i="17"/>
  <c r="K813" i="17"/>
  <c r="L821" i="17"/>
  <c r="K821" i="17"/>
  <c r="L830" i="17"/>
  <c r="K830" i="17"/>
  <c r="M833" i="17"/>
  <c r="L838" i="17"/>
  <c r="K838" i="17"/>
  <c r="M841" i="17"/>
  <c r="O881" i="17"/>
  <c r="M1047" i="17"/>
  <c r="M1058" i="17"/>
  <c r="N1058" i="17" s="1"/>
  <c r="K1156" i="17"/>
  <c r="K1165" i="17"/>
  <c r="K1170" i="17"/>
  <c r="L1170" i="17"/>
  <c r="M1170" i="17" s="1"/>
  <c r="M1176" i="17"/>
  <c r="K1176" i="17"/>
  <c r="L1176" i="17"/>
  <c r="M1183" i="17"/>
  <c r="K1183" i="17"/>
  <c r="L1183" i="17" s="1"/>
  <c r="K1190" i="17"/>
  <c r="L1190" i="17"/>
  <c r="K1195" i="17"/>
  <c r="K1204" i="17"/>
  <c r="L1204" i="17"/>
  <c r="N1241" i="17"/>
  <c r="M583" i="17"/>
  <c r="N583" i="17" s="1"/>
  <c r="M584" i="17"/>
  <c r="M585" i="17"/>
  <c r="M586" i="17"/>
  <c r="M590" i="17"/>
  <c r="N590" i="17" s="1"/>
  <c r="M593" i="17"/>
  <c r="N593" i="17" s="1"/>
  <c r="O593" i="17" s="1"/>
  <c r="M596" i="17"/>
  <c r="M597" i="17"/>
  <c r="M599" i="17"/>
  <c r="N599" i="17" s="1"/>
  <c r="M601" i="17"/>
  <c r="N601" i="17" s="1"/>
  <c r="M602" i="17"/>
  <c r="M604" i="17"/>
  <c r="M607" i="17"/>
  <c r="M609" i="17"/>
  <c r="N609" i="17" s="1"/>
  <c r="M610" i="17"/>
  <c r="M613" i="17"/>
  <c r="M615" i="17"/>
  <c r="N615" i="17" s="1"/>
  <c r="M617" i="17"/>
  <c r="M621" i="17"/>
  <c r="M626" i="17"/>
  <c r="N626" i="17" s="1"/>
  <c r="M628" i="17"/>
  <c r="O628" i="17" s="1"/>
  <c r="M630" i="17"/>
  <c r="M632" i="17"/>
  <c r="M633" i="17"/>
  <c r="M634" i="17"/>
  <c r="M635" i="17"/>
  <c r="M637" i="17"/>
  <c r="M640" i="17"/>
  <c r="M786" i="17"/>
  <c r="M790" i="17"/>
  <c r="K809" i="17"/>
  <c r="K818" i="17"/>
  <c r="M821" i="17"/>
  <c r="L827" i="17"/>
  <c r="K827" i="17"/>
  <c r="K835" i="17"/>
  <c r="M838" i="17"/>
  <c r="K843" i="17"/>
  <c r="P883" i="17"/>
  <c r="O1058" i="17"/>
  <c r="M1061" i="17"/>
  <c r="M1075" i="17"/>
  <c r="N1075" i="17" s="1"/>
  <c r="K1075" i="17"/>
  <c r="L1075" i="17" s="1"/>
  <c r="K785" i="17"/>
  <c r="L789" i="17"/>
  <c r="K789" i="17"/>
  <c r="N790" i="17"/>
  <c r="L793" i="17"/>
  <c r="K793" i="17"/>
  <c r="K797" i="17"/>
  <c r="L801" i="17"/>
  <c r="K801" i="17"/>
  <c r="K806" i="17"/>
  <c r="L815" i="17"/>
  <c r="K815" i="17"/>
  <c r="L823" i="17"/>
  <c r="K823" i="17"/>
  <c r="K832" i="17"/>
  <c r="P833" i="17"/>
  <c r="K840" i="17"/>
  <c r="M1056" i="17"/>
  <c r="N1056" i="17" s="1"/>
  <c r="N1105" i="17"/>
  <c r="M1116" i="17"/>
  <c r="L1116" i="17"/>
  <c r="L811" i="17"/>
  <c r="K811" i="17"/>
  <c r="K820" i="17"/>
  <c r="K829" i="17"/>
  <c r="K837" i="17"/>
  <c r="L847" i="17"/>
  <c r="M847" i="17" s="1"/>
  <c r="K847" i="17"/>
  <c r="L849" i="17"/>
  <c r="K849" i="17"/>
  <c r="K851" i="17"/>
  <c r="K853" i="17"/>
  <c r="K855" i="17"/>
  <c r="K857" i="17"/>
  <c r="K859" i="17"/>
  <c r="L861" i="17"/>
  <c r="K861" i="17"/>
  <c r="M863" i="17"/>
  <c r="N863" i="17" s="1"/>
  <c r="L863" i="17"/>
  <c r="K863" i="17"/>
  <c r="K866" i="17"/>
  <c r="L868" i="17"/>
  <c r="M868" i="17" s="1"/>
  <c r="K868" i="17"/>
  <c r="K870" i="17"/>
  <c r="K872" i="17"/>
  <c r="K874" i="17"/>
  <c r="K876" i="17"/>
  <c r="L878" i="17"/>
  <c r="K878" i="17"/>
  <c r="L880" i="17"/>
  <c r="K880" i="17"/>
  <c r="K882" i="17"/>
  <c r="K884" i="17"/>
  <c r="K886" i="17"/>
  <c r="K888" i="17"/>
  <c r="K890" i="17"/>
  <c r="K892" i="17"/>
  <c r="L894" i="17"/>
  <c r="K894" i="17"/>
  <c r="M896" i="17"/>
  <c r="N896" i="17" s="1"/>
  <c r="L896" i="17"/>
  <c r="K896" i="17"/>
  <c r="K898" i="17"/>
  <c r="K1062" i="17"/>
  <c r="K1067" i="17"/>
  <c r="M1068" i="17"/>
  <c r="K1071" i="17"/>
  <c r="M1079" i="17"/>
  <c r="L1082" i="17"/>
  <c r="L1094" i="17"/>
  <c r="L1105" i="17"/>
  <c r="K1122" i="17"/>
  <c r="K1126" i="17"/>
  <c r="K1153" i="17"/>
  <c r="L1206" i="17"/>
  <c r="L1215" i="17"/>
  <c r="M1248" i="17"/>
  <c r="N1248" i="17" s="1"/>
  <c r="K1262" i="17"/>
  <c r="O1578" i="17"/>
  <c r="K1616" i="17"/>
  <c r="M1100" i="17"/>
  <c r="K1158" i="17"/>
  <c r="N1208" i="17"/>
  <c r="L1212" i="17"/>
  <c r="O1265" i="17"/>
  <c r="P1265" i="17" s="1"/>
  <c r="M1265" i="17"/>
  <c r="N1265" i="17" s="1"/>
  <c r="K1301" i="17"/>
  <c r="L1310" i="17"/>
  <c r="K1310" i="17"/>
  <c r="K1390" i="17"/>
  <c r="L1884" i="17"/>
  <c r="K900" i="17"/>
  <c r="K901" i="17"/>
  <c r="K902" i="17"/>
  <c r="K903" i="17"/>
  <c r="K904" i="17"/>
  <c r="K906" i="17"/>
  <c r="N906" i="17" s="1"/>
  <c r="K911" i="17"/>
  <c r="K912" i="17"/>
  <c r="K913" i="17"/>
  <c r="K914" i="17"/>
  <c r="L914" i="17" s="1"/>
  <c r="M914" i="17" s="1"/>
  <c r="K915" i="17"/>
  <c r="K916" i="17"/>
  <c r="K917" i="17"/>
  <c r="K918" i="17"/>
  <c r="K919" i="17"/>
  <c r="K920" i="17"/>
  <c r="K921" i="17"/>
  <c r="K922" i="17"/>
  <c r="K923" i="17"/>
  <c r="K924" i="17"/>
  <c r="K925" i="17"/>
  <c r="K926" i="17"/>
  <c r="K927" i="17"/>
  <c r="K928" i="17"/>
  <c r="K929" i="17"/>
  <c r="K930" i="17"/>
  <c r="K931" i="17"/>
  <c r="K932" i="17"/>
  <c r="K933" i="17"/>
  <c r="K934" i="17"/>
  <c r="K935" i="17"/>
  <c r="K936" i="17"/>
  <c r="K937" i="17"/>
  <c r="K939" i="17"/>
  <c r="K941" i="17"/>
  <c r="K942" i="17"/>
  <c r="K943" i="17"/>
  <c r="K944" i="17"/>
  <c r="K945" i="17"/>
  <c r="K946" i="17"/>
  <c r="K947" i="17"/>
  <c r="K948" i="17"/>
  <c r="K949" i="17"/>
  <c r="K950" i="17"/>
  <c r="K951" i="17"/>
  <c r="K952" i="17"/>
  <c r="K953" i="17"/>
  <c r="K954" i="17"/>
  <c r="K955" i="17"/>
  <c r="K956" i="17"/>
  <c r="K957" i="17"/>
  <c r="K958" i="17"/>
  <c r="K959" i="17"/>
  <c r="K960" i="17"/>
  <c r="K961" i="17"/>
  <c r="K962" i="17"/>
  <c r="K963" i="17"/>
  <c r="K964" i="17"/>
  <c r="K965" i="17"/>
  <c r="K966" i="17"/>
  <c r="K967" i="17"/>
  <c r="K968" i="17"/>
  <c r="K969" i="17"/>
  <c r="K970" i="17"/>
  <c r="K971" i="17"/>
  <c r="K972" i="17"/>
  <c r="K973" i="17"/>
  <c r="K974" i="17"/>
  <c r="K975" i="17"/>
  <c r="K976" i="17"/>
  <c r="K977" i="17"/>
  <c r="K978" i="17"/>
  <c r="K979" i="17"/>
  <c r="K980" i="17"/>
  <c r="K981" i="17"/>
  <c r="K983" i="17"/>
  <c r="K985" i="17"/>
  <c r="K986" i="17"/>
  <c r="K987" i="17"/>
  <c r="K988" i="17"/>
  <c r="K989" i="17"/>
  <c r="K990" i="17"/>
  <c r="L990" i="17" s="1"/>
  <c r="M990" i="17" s="1"/>
  <c r="K991" i="17"/>
  <c r="K992" i="17"/>
  <c r="K993" i="17"/>
  <c r="K994" i="17"/>
  <c r="K995" i="17"/>
  <c r="K996" i="17"/>
  <c r="K998" i="17"/>
  <c r="K999" i="17"/>
  <c r="K1000" i="17"/>
  <c r="K1001" i="17"/>
  <c r="K1002" i="17"/>
  <c r="K1003" i="17"/>
  <c r="K1004" i="17"/>
  <c r="K1005" i="17"/>
  <c r="K1006" i="17"/>
  <c r="K1007" i="17"/>
  <c r="K1008" i="17"/>
  <c r="K1009" i="17"/>
  <c r="K1010" i="17"/>
  <c r="K1011" i="17"/>
  <c r="K1012" i="17"/>
  <c r="K1013" i="17"/>
  <c r="K1014" i="17"/>
  <c r="K1015" i="17"/>
  <c r="K1017" i="17"/>
  <c r="K1019" i="17"/>
  <c r="K1021" i="17"/>
  <c r="K1022" i="17"/>
  <c r="K1023" i="17"/>
  <c r="K1024" i="17"/>
  <c r="K1026" i="17"/>
  <c r="K1027" i="17"/>
  <c r="K1028" i="17"/>
  <c r="K1029" i="17"/>
  <c r="K1030" i="17"/>
  <c r="K1031" i="17"/>
  <c r="K1032" i="17"/>
  <c r="K1033" i="17"/>
  <c r="L1033" i="17" s="1"/>
  <c r="K1034" i="17"/>
  <c r="K1035" i="17"/>
  <c r="K1036" i="17"/>
  <c r="K1037" i="17"/>
  <c r="K1038" i="17"/>
  <c r="K1039" i="17"/>
  <c r="K1040" i="17"/>
  <c r="K1043" i="17"/>
  <c r="K1044" i="17"/>
  <c r="L1045" i="17"/>
  <c r="L1046" i="17"/>
  <c r="L1047" i="17"/>
  <c r="L1050" i="17"/>
  <c r="L1051" i="17"/>
  <c r="L1052" i="17"/>
  <c r="L1054" i="17"/>
  <c r="L1055" i="17"/>
  <c r="L1056" i="17"/>
  <c r="O1056" i="17" s="1"/>
  <c r="L1057" i="17"/>
  <c r="L1058" i="17"/>
  <c r="L1059" i="17"/>
  <c r="L1060" i="17"/>
  <c r="M1060" i="17" s="1"/>
  <c r="N1060" i="17" s="1"/>
  <c r="L1061" i="17"/>
  <c r="K1065" i="17"/>
  <c r="K1070" i="17"/>
  <c r="K1074" i="17"/>
  <c r="K1078" i="17"/>
  <c r="L1079" i="17"/>
  <c r="K1089" i="17"/>
  <c r="L1090" i="17"/>
  <c r="M1090" i="17" s="1"/>
  <c r="K1100" i="17"/>
  <c r="L1101" i="17"/>
  <c r="M1101" i="17" s="1"/>
  <c r="L1110" i="17"/>
  <c r="N1110" i="17" s="1"/>
  <c r="O1110" i="17" s="1"/>
  <c r="M1114" i="17"/>
  <c r="K1119" i="17"/>
  <c r="K1125" i="17"/>
  <c r="K1132" i="17"/>
  <c r="M1147" i="17"/>
  <c r="M1155" i="17"/>
  <c r="K1155" i="17"/>
  <c r="L1158" i="17"/>
  <c r="L1208" i="17"/>
  <c r="O1208" i="17" s="1"/>
  <c r="M1212" i="17"/>
  <c r="N1212" i="17" s="1"/>
  <c r="L1221" i="17"/>
  <c r="L1224" i="17"/>
  <c r="L1226" i="17"/>
  <c r="L1230" i="17"/>
  <c r="L1299" i="17"/>
  <c r="K1299" i="17"/>
  <c r="K1308" i="17"/>
  <c r="L1316" i="17"/>
  <c r="N1576" i="17"/>
  <c r="P1576" i="17" s="1"/>
  <c r="P1578" i="17"/>
  <c r="N1578" i="17"/>
  <c r="K1608" i="17"/>
  <c r="L900" i="17"/>
  <c r="L901" i="17"/>
  <c r="M901" i="17" s="1"/>
  <c r="L902" i="17"/>
  <c r="M902" i="17" s="1"/>
  <c r="L906" i="17"/>
  <c r="L911" i="17"/>
  <c r="M911" i="17" s="1"/>
  <c r="L913" i="17"/>
  <c r="L915" i="17"/>
  <c r="L919" i="17"/>
  <c r="L921" i="17"/>
  <c r="L923" i="17"/>
  <c r="M923" i="17" s="1"/>
  <c r="L926" i="17"/>
  <c r="M926" i="17" s="1"/>
  <c r="N926" i="17" s="1"/>
  <c r="L928" i="17"/>
  <c r="L929" i="17"/>
  <c r="L930" i="17"/>
  <c r="L931" i="17"/>
  <c r="L934" i="17"/>
  <c r="L937" i="17"/>
  <c r="L939" i="17"/>
  <c r="M939" i="17" s="1"/>
  <c r="L941" i="17"/>
  <c r="L944" i="17"/>
  <c r="M944" i="17" s="1"/>
  <c r="L949" i="17"/>
  <c r="L952" i="17"/>
  <c r="L953" i="17"/>
  <c r="L954" i="17"/>
  <c r="L955" i="17"/>
  <c r="L957" i="17"/>
  <c r="M957" i="17" s="1"/>
  <c r="L960" i="17"/>
  <c r="L961" i="17"/>
  <c r="L963" i="17"/>
  <c r="L964" i="17"/>
  <c r="L965" i="17"/>
  <c r="L969" i="17"/>
  <c r="M969" i="17" s="1"/>
  <c r="N969" i="17" s="1"/>
  <c r="L970" i="17"/>
  <c r="L971" i="17"/>
  <c r="L972" i="17"/>
  <c r="L973" i="17"/>
  <c r="L977" i="17"/>
  <c r="M977" i="17" s="1"/>
  <c r="L979" i="17"/>
  <c r="L980" i="17"/>
  <c r="M980" i="17" s="1"/>
  <c r="L981" i="17"/>
  <c r="N981" i="17" s="1"/>
  <c r="L987" i="17"/>
  <c r="M987" i="17" s="1"/>
  <c r="L989" i="17"/>
  <c r="L991" i="17"/>
  <c r="L994" i="17"/>
  <c r="L998" i="17"/>
  <c r="L1000" i="17"/>
  <c r="L1003" i="17"/>
  <c r="L1004" i="17"/>
  <c r="M1004" i="17" s="1"/>
  <c r="L1006" i="17"/>
  <c r="L1007" i="17"/>
  <c r="L1008" i="17"/>
  <c r="L1011" i="17"/>
  <c r="M1011" i="17" s="1"/>
  <c r="N1011" i="17" s="1"/>
  <c r="L1015" i="17"/>
  <c r="M1015" i="17" s="1"/>
  <c r="L1017" i="17"/>
  <c r="N1017" i="17" s="1"/>
  <c r="L1022" i="17"/>
  <c r="M1022" i="17" s="1"/>
  <c r="L1026" i="17"/>
  <c r="L1028" i="17"/>
  <c r="L1030" i="17"/>
  <c r="L1031" i="17"/>
  <c r="L1032" i="17"/>
  <c r="L1034" i="17"/>
  <c r="L1035" i="17"/>
  <c r="L1036" i="17"/>
  <c r="L1039" i="17"/>
  <c r="M1039" i="17" s="1"/>
  <c r="L1040" i="17"/>
  <c r="L1044" i="17"/>
  <c r="K1077" i="17"/>
  <c r="N1079" i="17"/>
  <c r="M1085" i="17"/>
  <c r="K1087" i="17"/>
  <c r="L1089" i="17"/>
  <c r="M1097" i="17"/>
  <c r="N1097" i="17" s="1"/>
  <c r="K1098" i="17"/>
  <c r="L1100" i="17"/>
  <c r="N1101" i="17"/>
  <c r="O1101" i="17" s="1"/>
  <c r="M1108" i="17"/>
  <c r="K1109" i="17"/>
  <c r="M1110" i="17"/>
  <c r="L1119" i="17"/>
  <c r="L1125" i="17"/>
  <c r="L1155" i="17"/>
  <c r="K1161" i="17"/>
  <c r="K1164" i="17"/>
  <c r="K1166" i="17"/>
  <c r="K1168" i="17"/>
  <c r="K1172" i="17"/>
  <c r="K1175" i="17"/>
  <c r="K1177" i="17"/>
  <c r="K1180" i="17"/>
  <c r="K1185" i="17"/>
  <c r="K1187" i="17"/>
  <c r="K1191" i="17"/>
  <c r="K1194" i="17"/>
  <c r="K1196" i="17"/>
  <c r="K1199" i="17"/>
  <c r="L1205" i="17"/>
  <c r="M1208" i="17"/>
  <c r="L1214" i="17"/>
  <c r="M1221" i="17"/>
  <c r="N1263" i="17"/>
  <c r="O1263" i="17" s="1"/>
  <c r="P1263" i="17" s="1"/>
  <c r="K1269" i="17"/>
  <c r="M1295" i="17"/>
  <c r="K1295" i="17"/>
  <c r="L1295" i="17"/>
  <c r="L1380" i="17"/>
  <c r="K1380" i="17"/>
  <c r="N1548" i="17"/>
  <c r="O1548" i="17" s="1"/>
  <c r="M906" i="17"/>
  <c r="M919" i="17"/>
  <c r="M930" i="17"/>
  <c r="M941" i="17"/>
  <c r="M952" i="17"/>
  <c r="M953" i="17"/>
  <c r="M960" i="17"/>
  <c r="M961" i="17"/>
  <c r="M965" i="17"/>
  <c r="M972" i="17"/>
  <c r="M981" i="17"/>
  <c r="M991" i="17"/>
  <c r="M994" i="17"/>
  <c r="M1000" i="17"/>
  <c r="M1007" i="17"/>
  <c r="M1017" i="17"/>
  <c r="M1028" i="17"/>
  <c r="M1031" i="17"/>
  <c r="M1032" i="17"/>
  <c r="M1036" i="17"/>
  <c r="M1040" i="17"/>
  <c r="N1047" i="17"/>
  <c r="O1047" i="17" s="1"/>
  <c r="N1057" i="17"/>
  <c r="N1061" i="17"/>
  <c r="K1064" i="17"/>
  <c r="K1069" i="17"/>
  <c r="K1073" i="17"/>
  <c r="M1096" i="17"/>
  <c r="K1117" i="17"/>
  <c r="K1124" i="17"/>
  <c r="K1130" i="17"/>
  <c r="K1157" i="17"/>
  <c r="L1211" i="17"/>
  <c r="M1249" i="17"/>
  <c r="N1258" i="17"/>
  <c r="O1258" i="17" s="1"/>
  <c r="M1302" i="17"/>
  <c r="P1562" i="17"/>
  <c r="N1562" i="17"/>
  <c r="O1562" i="17" s="1"/>
  <c r="K1600" i="17"/>
  <c r="M1702" i="17"/>
  <c r="L1702" i="17"/>
  <c r="N1702" i="17" s="1"/>
  <c r="O1702" i="17" s="1"/>
  <c r="K1702" i="17"/>
  <c r="L1726" i="17"/>
  <c r="K1726" i="17"/>
  <c r="P1110" i="17"/>
  <c r="K1154" i="17"/>
  <c r="L1207" i="17"/>
  <c r="N1213" i="17"/>
  <c r="L1218" i="17"/>
  <c r="N1223" i="17"/>
  <c r="N1225" i="17"/>
  <c r="K1264" i="17"/>
  <c r="L1264" i="17" s="1"/>
  <c r="M1290" i="17"/>
  <c r="L1388" i="17"/>
  <c r="K1388" i="17"/>
  <c r="P1588" i="17"/>
  <c r="P1597" i="17"/>
  <c r="K1799" i="17"/>
  <c r="L1799" i="17" s="1"/>
  <c r="M1799" i="17"/>
  <c r="K1063" i="17"/>
  <c r="K1068" i="17"/>
  <c r="L1068" i="17" s="1"/>
  <c r="K1072" i="17"/>
  <c r="K1076" i="17"/>
  <c r="M1082" i="17"/>
  <c r="N1082" i="17" s="1"/>
  <c r="K1083" i="17"/>
  <c r="L1084" i="17"/>
  <c r="M1094" i="17"/>
  <c r="K1095" i="17"/>
  <c r="L1096" i="17"/>
  <c r="M1105" i="17"/>
  <c r="K1106" i="17"/>
  <c r="L1107" i="17"/>
  <c r="K1123" i="17"/>
  <c r="K1128" i="17"/>
  <c r="L1154" i="17"/>
  <c r="M1154" i="17" s="1"/>
  <c r="K1159" i="17"/>
  <c r="N1209" i="17"/>
  <c r="O1213" i="17"/>
  <c r="L1213" i="17"/>
  <c r="M1213" i="17" s="1"/>
  <c r="O1223" i="17"/>
  <c r="P1223" i="17" s="1"/>
  <c r="L1223" i="17"/>
  <c r="M1223" i="17" s="1"/>
  <c r="O1225" i="17"/>
  <c r="L1225" i="17"/>
  <c r="M1225" i="17" s="1"/>
  <c r="L1229" i="17"/>
  <c r="N1236" i="17"/>
  <c r="O1236" i="17" s="1"/>
  <c r="N1238" i="17"/>
  <c r="O1238" i="17" s="1"/>
  <c r="N1243" i="17"/>
  <c r="N1249" i="17"/>
  <c r="N1260" i="17"/>
  <c r="O1260" i="17" s="1"/>
  <c r="M1264" i="17"/>
  <c r="M1280" i="17"/>
  <c r="N1559" i="17"/>
  <c r="M1231" i="17"/>
  <c r="M1233" i="17"/>
  <c r="M1234" i="17"/>
  <c r="N1234" i="17" s="1"/>
  <c r="M1235" i="17"/>
  <c r="M1236" i="17"/>
  <c r="M1237" i="17"/>
  <c r="N1237" i="17" s="1"/>
  <c r="M1238" i="17"/>
  <c r="M1239" i="17"/>
  <c r="M1240" i="17"/>
  <c r="M1241" i="17"/>
  <c r="M1243" i="17"/>
  <c r="M1244" i="17"/>
  <c r="N1244" i="17" s="1"/>
  <c r="M1245" i="17"/>
  <c r="M1246" i="17"/>
  <c r="M1247" i="17"/>
  <c r="P1258" i="17"/>
  <c r="P1259" i="17"/>
  <c r="P1260" i="17"/>
  <c r="L1273" i="17"/>
  <c r="L1280" i="17"/>
  <c r="L1284" i="17"/>
  <c r="M1284" i="17" s="1"/>
  <c r="L1289" i="17"/>
  <c r="L1305" i="17"/>
  <c r="L1313" i="17"/>
  <c r="K1385" i="17"/>
  <c r="K1393" i="17"/>
  <c r="P1554" i="17"/>
  <c r="P1565" i="17"/>
  <c r="O1567" i="17"/>
  <c r="O1575" i="17"/>
  <c r="P1575" i="17" s="1"/>
  <c r="O1586" i="17"/>
  <c r="K1763" i="17"/>
  <c r="L1133" i="17"/>
  <c r="L1134" i="17"/>
  <c r="L1136" i="17"/>
  <c r="L1137" i="17"/>
  <c r="L1138" i="17"/>
  <c r="L1139" i="17"/>
  <c r="L1140" i="17"/>
  <c r="L1141" i="17"/>
  <c r="L1142" i="17"/>
  <c r="L1143" i="17"/>
  <c r="L1146" i="17"/>
  <c r="L1147" i="17"/>
  <c r="L1148" i="17"/>
  <c r="L1149" i="17"/>
  <c r="L1150" i="17"/>
  <c r="L1151" i="17"/>
  <c r="O1234" i="17"/>
  <c r="O1235" i="17"/>
  <c r="O1237" i="17"/>
  <c r="O1244" i="17"/>
  <c r="P1244" i="17" s="1"/>
  <c r="O1248" i="17"/>
  <c r="M1263" i="17"/>
  <c r="L1272" i="17"/>
  <c r="N1272" i="17" s="1"/>
  <c r="L1279" i="17"/>
  <c r="M1279" i="17" s="1"/>
  <c r="L1283" i="17"/>
  <c r="L1288" i="17"/>
  <c r="N1298" i="17"/>
  <c r="O1298" i="17" s="1"/>
  <c r="L1298" i="17"/>
  <c r="L1307" i="17"/>
  <c r="L1315" i="17"/>
  <c r="K1320" i="17"/>
  <c r="K1322" i="17"/>
  <c r="K1325" i="17"/>
  <c r="K1327" i="17"/>
  <c r="K1329" i="17"/>
  <c r="K1331" i="17"/>
  <c r="K1333" i="17"/>
  <c r="K1335" i="17"/>
  <c r="K1337" i="17"/>
  <c r="K1339" i="17"/>
  <c r="K1341" i="17"/>
  <c r="K1343" i="17"/>
  <c r="K1345" i="17"/>
  <c r="K1347" i="17"/>
  <c r="K1349" i="17"/>
  <c r="K1351" i="17"/>
  <c r="K1353" i="17"/>
  <c r="K1355" i="17"/>
  <c r="K1357" i="17"/>
  <c r="K1359" i="17"/>
  <c r="K1361" i="17"/>
  <c r="K1363" i="17"/>
  <c r="K1365" i="17"/>
  <c r="K1367" i="17"/>
  <c r="K1369" i="17"/>
  <c r="K1372" i="17"/>
  <c r="K1374" i="17"/>
  <c r="K1376" i="17"/>
  <c r="K1378" i="17"/>
  <c r="M1383" i="17"/>
  <c r="L1383" i="17"/>
  <c r="K1383" i="17"/>
  <c r="L1391" i="17"/>
  <c r="K1391" i="17"/>
  <c r="M1399" i="17"/>
  <c r="P1518" i="17"/>
  <c r="P1527" i="17"/>
  <c r="P1543" i="17"/>
  <c r="N1554" i="17"/>
  <c r="O1554" i="17" s="1"/>
  <c r="P1556" i="17"/>
  <c r="P1567" i="17"/>
  <c r="P1586" i="17"/>
  <c r="L1739" i="17"/>
  <c r="K1739" i="17"/>
  <c r="K1267" i="17"/>
  <c r="M1267" i="17" s="1"/>
  <c r="N1267" i="17" s="1"/>
  <c r="L1312" i="17"/>
  <c r="K1386" i="17"/>
  <c r="P1523" i="17"/>
  <c r="P1564" i="17"/>
  <c r="O1566" i="17"/>
  <c r="O1588" i="17"/>
  <c r="P1591" i="17"/>
  <c r="O1593" i="17"/>
  <c r="P1593" i="17" s="1"/>
  <c r="P1595" i="17"/>
  <c r="O1597" i="17"/>
  <c r="K1604" i="17"/>
  <c r="L1604" i="17" s="1"/>
  <c r="K1612" i="17"/>
  <c r="K1625" i="17"/>
  <c r="L1625" i="17" s="1"/>
  <c r="L1718" i="17"/>
  <c r="K1718" i="17"/>
  <c r="L1267" i="17"/>
  <c r="L1271" i="17"/>
  <c r="M1272" i="17"/>
  <c r="L1278" i="17"/>
  <c r="L1282" i="17"/>
  <c r="L1286" i="17"/>
  <c r="M1288" i="17"/>
  <c r="L1292" i="17"/>
  <c r="M1298" i="17"/>
  <c r="L1300" i="17"/>
  <c r="K1303" i="17"/>
  <c r="M1307" i="17"/>
  <c r="L1309" i="17"/>
  <c r="K1312" i="17"/>
  <c r="L1381" i="17"/>
  <c r="K1381" i="17"/>
  <c r="K1389" i="17"/>
  <c r="P1520" i="17"/>
  <c r="O1555" i="17"/>
  <c r="O1563" i="17"/>
  <c r="N1564" i="17"/>
  <c r="O1564" i="17" s="1"/>
  <c r="O1571" i="17"/>
  <c r="N1572" i="17"/>
  <c r="O1579" i="17"/>
  <c r="N1580" i="17"/>
  <c r="K1694" i="17"/>
  <c r="K1747" i="17"/>
  <c r="L1769" i="17"/>
  <c r="K1769" i="17"/>
  <c r="L1255" i="17"/>
  <c r="L1256" i="17"/>
  <c r="L1257" i="17"/>
  <c r="K1266" i="17"/>
  <c r="O1279" i="17"/>
  <c r="L1296" i="17"/>
  <c r="L1314" i="17"/>
  <c r="K1384" i="17"/>
  <c r="K1392" i="17"/>
  <c r="O1552" i="17"/>
  <c r="N1553" i="17"/>
  <c r="P1555" i="17"/>
  <c r="O1560" i="17"/>
  <c r="N1561" i="17"/>
  <c r="O1561" i="17" s="1"/>
  <c r="P1561" i="17" s="1"/>
  <c r="O1568" i="17"/>
  <c r="N1569" i="17"/>
  <c r="O1576" i="17"/>
  <c r="N1577" i="17"/>
  <c r="O1577" i="17" s="1"/>
  <c r="O1587" i="17"/>
  <c r="P1587" i="17" s="1"/>
  <c r="P1590" i="17"/>
  <c r="O1592" i="17"/>
  <c r="P1592" i="17" s="1"/>
  <c r="P1594" i="17"/>
  <c r="O1596" i="17"/>
  <c r="O1261" i="17"/>
  <c r="P1261" i="17" s="1"/>
  <c r="L1266" i="17"/>
  <c r="L1270" i="17"/>
  <c r="M1271" i="17"/>
  <c r="L1274" i="17"/>
  <c r="L1281" i="17"/>
  <c r="L1285" i="17"/>
  <c r="L1290" i="17"/>
  <c r="K1296" i="17"/>
  <c r="M1300" i="17"/>
  <c r="N1300" i="17" s="1"/>
  <c r="N1302" i="17"/>
  <c r="L1302" i="17"/>
  <c r="K1306" i="17"/>
  <c r="L1311" i="17"/>
  <c r="K1314" i="17"/>
  <c r="K1319" i="17"/>
  <c r="K1321" i="17"/>
  <c r="K1324" i="17"/>
  <c r="K1326" i="17"/>
  <c r="K1328" i="17"/>
  <c r="K1330" i="17"/>
  <c r="K1332" i="17"/>
  <c r="K1334" i="17"/>
  <c r="K1336" i="17"/>
  <c r="K1338" i="17"/>
  <c r="K1340" i="17"/>
  <c r="K1342" i="17"/>
  <c r="K1344" i="17"/>
  <c r="K1346" i="17"/>
  <c r="K1348" i="17"/>
  <c r="K1350" i="17"/>
  <c r="K1352" i="17"/>
  <c r="K1354" i="17"/>
  <c r="K1356" i="17"/>
  <c r="K1358" i="17"/>
  <c r="K1360" i="17"/>
  <c r="K1362" i="17"/>
  <c r="K1364" i="17"/>
  <c r="K1366" i="17"/>
  <c r="K1368" i="17"/>
  <c r="K1370" i="17"/>
  <c r="K1373" i="17"/>
  <c r="K1375" i="17"/>
  <c r="K1377" i="17"/>
  <c r="L1379" i="17"/>
  <c r="M1379" i="17" s="1"/>
  <c r="K1379" i="17"/>
  <c r="M1387" i="17"/>
  <c r="L1387" i="17"/>
  <c r="K1387" i="17"/>
  <c r="N1550" i="17"/>
  <c r="P1552" i="17"/>
  <c r="O1557" i="17"/>
  <c r="P1557" i="17" s="1"/>
  <c r="N1558" i="17"/>
  <c r="P1560" i="17"/>
  <c r="P1563" i="17"/>
  <c r="O1565" i="17"/>
  <c r="N1566" i="17"/>
  <c r="P1571" i="17"/>
  <c r="O1573" i="17"/>
  <c r="P1573" i="17" s="1"/>
  <c r="N1574" i="17"/>
  <c r="P1579" i="17"/>
  <c r="O1584" i="17"/>
  <c r="P1584" i="17" s="1"/>
  <c r="N1585" i="17"/>
  <c r="O1585" i="17" s="1"/>
  <c r="P1585" i="17" s="1"/>
  <c r="K1710" i="17"/>
  <c r="M1734" i="17"/>
  <c r="L1734" i="17"/>
  <c r="K1734" i="17"/>
  <c r="K1755" i="17"/>
  <c r="L1766" i="17"/>
  <c r="K1766" i="17"/>
  <c r="N1279" i="17"/>
  <c r="N1280" i="17"/>
  <c r="N1288" i="17"/>
  <c r="N1290" i="17"/>
  <c r="O1517" i="17"/>
  <c r="P1517" i="17" s="1"/>
  <c r="O1518" i="17"/>
  <c r="O1519" i="17"/>
  <c r="P1519" i="17" s="1"/>
  <c r="O1520" i="17"/>
  <c r="O1521" i="17"/>
  <c r="P1521" i="17" s="1"/>
  <c r="O1522" i="17"/>
  <c r="P1522" i="17" s="1"/>
  <c r="O1523" i="17"/>
  <c r="O1524" i="17"/>
  <c r="P1524" i="17" s="1"/>
  <c r="O1526" i="17"/>
  <c r="P1526" i="17" s="1"/>
  <c r="O1527" i="17"/>
  <c r="O1528" i="17"/>
  <c r="P1528" i="17" s="1"/>
  <c r="O1529" i="17"/>
  <c r="P1529" i="17" s="1"/>
  <c r="O1530" i="17"/>
  <c r="P1530" i="17" s="1"/>
  <c r="O1531" i="17"/>
  <c r="P1531" i="17" s="1"/>
  <c r="O1532" i="17"/>
  <c r="P1532" i="17" s="1"/>
  <c r="O1533" i="17"/>
  <c r="P1533" i="17" s="1"/>
  <c r="O1534" i="17"/>
  <c r="P1534" i="17" s="1"/>
  <c r="O1535" i="17"/>
  <c r="P1535" i="17" s="1"/>
  <c r="O1536" i="17"/>
  <c r="P1536" i="17" s="1"/>
  <c r="O1537" i="17"/>
  <c r="P1537" i="17" s="1"/>
  <c r="O1538" i="17"/>
  <c r="P1538" i="17" s="1"/>
  <c r="O1539" i="17"/>
  <c r="P1539" i="17" s="1"/>
  <c r="O1540" i="17"/>
  <c r="P1540" i="17" s="1"/>
  <c r="O1541" i="17"/>
  <c r="P1541" i="17" s="1"/>
  <c r="O1542" i="17"/>
  <c r="P1542" i="17" s="1"/>
  <c r="O1543" i="17"/>
  <c r="O1544" i="17"/>
  <c r="P1544" i="17" s="1"/>
  <c r="O1545" i="17"/>
  <c r="P1545" i="17" s="1"/>
  <c r="O1546" i="17"/>
  <c r="P1546" i="17" s="1"/>
  <c r="O1547" i="17"/>
  <c r="P1547" i="17" s="1"/>
  <c r="O1549" i="17"/>
  <c r="P1549" i="17" s="1"/>
  <c r="O1550" i="17"/>
  <c r="O1551" i="17"/>
  <c r="P1551" i="17" s="1"/>
  <c r="O1622" i="17"/>
  <c r="M1622" i="17"/>
  <c r="L1622" i="17"/>
  <c r="L1630" i="17"/>
  <c r="L1689" i="17"/>
  <c r="M1697" i="17"/>
  <c r="L1697" i="17"/>
  <c r="M1705" i="17"/>
  <c r="L1705" i="17"/>
  <c r="M1713" i="17"/>
  <c r="L1713" i="17"/>
  <c r="M1721" i="17"/>
  <c r="L1721" i="17"/>
  <c r="M1607" i="17"/>
  <c r="L1607" i="17"/>
  <c r="N1607" i="17" s="1"/>
  <c r="L1611" i="17"/>
  <c r="M1619" i="17"/>
  <c r="L1619" i="17"/>
  <c r="L1634" i="17"/>
  <c r="L1636" i="17"/>
  <c r="M1640" i="17"/>
  <c r="L1640" i="17"/>
  <c r="N1640" i="17" s="1"/>
  <c r="L1646" i="17"/>
  <c r="M1650" i="17"/>
  <c r="L1650" i="17"/>
  <c r="L1652" i="17"/>
  <c r="L1660" i="17"/>
  <c r="L1662" i="17"/>
  <c r="M1666" i="17"/>
  <c r="L1666" i="17"/>
  <c r="L1677" i="17"/>
  <c r="M1679" i="17"/>
  <c r="L1679" i="17"/>
  <c r="M1683" i="17"/>
  <c r="L1683" i="17"/>
  <c r="L1687" i="17"/>
  <c r="L1692" i="17"/>
  <c r="L1708" i="17"/>
  <c r="N1724" i="17"/>
  <c r="M1724" i="17"/>
  <c r="L1724" i="17"/>
  <c r="K1729" i="17"/>
  <c r="L1729" i="17" s="1"/>
  <c r="L1732" i="17"/>
  <c r="M1732" i="17" s="1"/>
  <c r="L1790" i="17"/>
  <c r="K1790" i="17"/>
  <c r="K1793" i="17"/>
  <c r="K1599" i="17"/>
  <c r="K1603" i="17"/>
  <c r="L1603" i="17" s="1"/>
  <c r="K1607" i="17"/>
  <c r="K1611" i="17"/>
  <c r="K1615" i="17"/>
  <c r="K1619" i="17"/>
  <c r="N1622" i="17"/>
  <c r="M1624" i="17"/>
  <c r="L1624" i="17"/>
  <c r="K1627" i="17"/>
  <c r="L1627" i="17" s="1"/>
  <c r="K1632" i="17"/>
  <c r="K1634" i="17"/>
  <c r="K1636" i="17"/>
  <c r="K1638" i="17"/>
  <c r="K1640" i="17"/>
  <c r="K1642" i="17"/>
  <c r="K1644" i="17"/>
  <c r="K1646" i="17"/>
  <c r="K1648" i="17"/>
  <c r="K1650" i="17"/>
  <c r="K1652" i="17"/>
  <c r="K1654" i="17"/>
  <c r="K1656" i="17"/>
  <c r="K1658" i="17"/>
  <c r="K1660" i="17"/>
  <c r="K1662" i="17"/>
  <c r="K1664" i="17"/>
  <c r="K1666" i="17"/>
  <c r="K1668" i="17"/>
  <c r="K1670" i="17"/>
  <c r="K1672" i="17"/>
  <c r="K1674" i="17"/>
  <c r="K1677" i="17"/>
  <c r="K1679" i="17"/>
  <c r="K1681" i="17"/>
  <c r="K1683" i="17"/>
  <c r="K1685" i="17"/>
  <c r="K1687" i="17"/>
  <c r="K1692" i="17"/>
  <c r="P1695" i="17"/>
  <c r="O1695" i="17"/>
  <c r="M1695" i="17"/>
  <c r="N1695" i="17" s="1"/>
  <c r="L1695" i="17"/>
  <c r="K1700" i="17"/>
  <c r="M1703" i="17"/>
  <c r="L1703" i="17"/>
  <c r="K1708" i="17"/>
  <c r="M1708" i="17" s="1"/>
  <c r="M1711" i="17"/>
  <c r="L1711" i="17"/>
  <c r="K1716" i="17"/>
  <c r="M1719" i="17"/>
  <c r="L1719" i="17"/>
  <c r="N1727" i="17"/>
  <c r="M1727" i="17"/>
  <c r="O1727" i="17" s="1"/>
  <c r="L1727" i="17"/>
  <c r="P1727" i="17" s="1"/>
  <c r="L1735" i="17"/>
  <c r="M1735" i="17"/>
  <c r="N1735" i="17" s="1"/>
  <c r="L1834" i="17"/>
  <c r="L1848" i="17"/>
  <c r="K1848" i="17"/>
  <c r="L1598" i="17"/>
  <c r="M1602" i="17"/>
  <c r="L1602" i="17"/>
  <c r="M1606" i="17"/>
  <c r="L1606" i="17"/>
  <c r="M1610" i="17"/>
  <c r="L1610" i="17"/>
  <c r="L1614" i="17"/>
  <c r="M1618" i="17"/>
  <c r="L1618" i="17"/>
  <c r="N1619" i="17"/>
  <c r="O1619" i="17" s="1"/>
  <c r="L1621" i="17"/>
  <c r="L1629" i="17"/>
  <c r="N1690" i="17"/>
  <c r="M1690" i="17"/>
  <c r="O1690" i="17" s="1"/>
  <c r="L1690" i="17"/>
  <c r="M1698" i="17"/>
  <c r="L1698" i="17"/>
  <c r="O1706" i="17"/>
  <c r="N1706" i="17"/>
  <c r="P1706" i="17" s="1"/>
  <c r="L1706" i="17"/>
  <c r="M1706" i="17" s="1"/>
  <c r="N1714" i="17"/>
  <c r="M1714" i="17"/>
  <c r="O1714" i="17" s="1"/>
  <c r="L1714" i="17"/>
  <c r="L1722" i="17"/>
  <c r="N1730" i="17"/>
  <c r="M1730" i="17"/>
  <c r="L1730" i="17"/>
  <c r="L1743" i="17"/>
  <c r="K1743" i="17"/>
  <c r="L1751" i="17"/>
  <c r="K1751" i="17"/>
  <c r="K1759" i="17"/>
  <c r="K1782" i="17"/>
  <c r="K1785" i="17"/>
  <c r="P1865" i="17"/>
  <c r="N1865" i="17"/>
  <c r="L1865" i="17"/>
  <c r="M1865" i="17" s="1"/>
  <c r="M1316" i="17"/>
  <c r="K1394" i="17"/>
  <c r="K1395" i="17"/>
  <c r="K1396" i="17"/>
  <c r="K1397" i="17"/>
  <c r="K1398" i="17"/>
  <c r="K1399" i="17"/>
  <c r="K1400" i="17"/>
  <c r="K1401" i="17"/>
  <c r="K1402" i="17"/>
  <c r="K1403" i="17"/>
  <c r="K1404" i="17"/>
  <c r="K1405" i="17"/>
  <c r="K1406" i="17"/>
  <c r="K1407" i="17"/>
  <c r="K1408" i="17"/>
  <c r="K1409" i="17"/>
  <c r="K1410" i="17"/>
  <c r="K1411" i="17"/>
  <c r="K1412" i="17"/>
  <c r="K1413" i="17"/>
  <c r="K1414" i="17"/>
  <c r="K1415" i="17"/>
  <c r="K1416" i="17"/>
  <c r="K1417" i="17"/>
  <c r="K1418" i="17"/>
  <c r="K1419" i="17"/>
  <c r="K1420" i="17"/>
  <c r="K1421" i="17"/>
  <c r="K1422" i="17"/>
  <c r="K1423" i="17"/>
  <c r="K1424" i="17"/>
  <c r="K1425" i="17"/>
  <c r="K1426" i="17"/>
  <c r="K1427" i="17"/>
  <c r="K1428" i="17"/>
  <c r="K1429" i="17"/>
  <c r="K1430" i="17"/>
  <c r="K1431" i="17"/>
  <c r="K1432" i="17"/>
  <c r="K1433" i="17"/>
  <c r="K1434" i="17"/>
  <c r="K1435" i="17"/>
  <c r="K1436" i="17"/>
  <c r="K1437" i="17"/>
  <c r="K1438" i="17"/>
  <c r="K1439" i="17"/>
  <c r="K1440" i="17"/>
  <c r="K1442" i="17"/>
  <c r="K1443" i="17"/>
  <c r="K1444" i="17"/>
  <c r="K1445" i="17"/>
  <c r="K1446" i="17"/>
  <c r="K1447" i="17"/>
  <c r="K1448" i="17"/>
  <c r="K1449" i="17"/>
  <c r="K1450" i="17"/>
  <c r="K1451" i="17"/>
  <c r="K1452" i="17"/>
  <c r="K1453" i="17"/>
  <c r="K1454" i="17"/>
  <c r="K1455" i="17"/>
  <c r="K1456" i="17"/>
  <c r="K1457" i="17"/>
  <c r="K1458" i="17"/>
  <c r="K1459" i="17"/>
  <c r="K1460" i="17"/>
  <c r="K1461" i="17"/>
  <c r="K1462" i="17"/>
  <c r="K1463" i="17"/>
  <c r="K1464" i="17"/>
  <c r="K1465" i="17"/>
  <c r="K1466" i="17"/>
  <c r="K1467" i="17"/>
  <c r="K1468" i="17"/>
  <c r="K1469" i="17"/>
  <c r="K1470" i="17"/>
  <c r="K1471" i="17"/>
  <c r="K1472" i="17"/>
  <c r="K1473" i="17"/>
  <c r="K1474" i="17"/>
  <c r="K1475" i="17"/>
  <c r="K1476" i="17"/>
  <c r="K1477" i="17"/>
  <c r="K1478" i="17"/>
  <c r="K1479" i="17"/>
  <c r="K1480" i="17"/>
  <c r="K1481" i="17"/>
  <c r="K1482" i="17"/>
  <c r="K1483" i="17"/>
  <c r="K1484" i="17"/>
  <c r="K1485" i="17"/>
  <c r="K1486" i="17"/>
  <c r="K1487" i="17"/>
  <c r="K1488" i="17"/>
  <c r="K1489" i="17"/>
  <c r="K1490" i="17"/>
  <c r="K1491" i="17"/>
  <c r="K1492" i="17"/>
  <c r="K1493" i="17"/>
  <c r="K1494" i="17"/>
  <c r="K1495" i="17"/>
  <c r="K1496" i="17"/>
  <c r="K1497" i="17"/>
  <c r="K1498" i="17"/>
  <c r="K1499" i="17"/>
  <c r="K1501" i="17"/>
  <c r="K1502" i="17"/>
  <c r="K1503" i="17"/>
  <c r="K1504" i="17"/>
  <c r="K1505" i="17"/>
  <c r="K1506" i="17"/>
  <c r="K1507" i="17"/>
  <c r="K1508" i="17"/>
  <c r="K1510" i="17"/>
  <c r="K1511" i="17"/>
  <c r="K1512" i="17"/>
  <c r="K1513" i="17"/>
  <c r="K1514" i="17"/>
  <c r="K1515" i="17"/>
  <c r="K1516" i="17"/>
  <c r="L1626" i="17"/>
  <c r="L1693" i="17"/>
  <c r="L1725" i="17"/>
  <c r="L1842" i="17"/>
  <c r="L1891" i="17"/>
  <c r="L1394" i="17"/>
  <c r="L1396" i="17"/>
  <c r="M1396" i="17" s="1"/>
  <c r="L1397" i="17"/>
  <c r="L1399" i="17"/>
  <c r="L1400" i="17"/>
  <c r="L1401" i="17"/>
  <c r="L1402" i="17"/>
  <c r="L1404" i="17"/>
  <c r="M1404" i="17" s="1"/>
  <c r="L1405" i="17"/>
  <c r="M1601" i="17"/>
  <c r="L1601" i="17"/>
  <c r="L1605" i="17"/>
  <c r="M1609" i="17"/>
  <c r="L1609" i="17"/>
  <c r="L1613" i="17"/>
  <c r="L1617" i="17"/>
  <c r="L1623" i="17"/>
  <c r="M1631" i="17"/>
  <c r="L1631" i="17"/>
  <c r="L1633" i="17"/>
  <c r="L1635" i="17"/>
  <c r="L1637" i="17"/>
  <c r="M1639" i="17"/>
  <c r="L1639" i="17"/>
  <c r="L1641" i="17"/>
  <c r="L1643" i="17"/>
  <c r="L1645" i="17"/>
  <c r="M1647" i="17"/>
  <c r="L1647" i="17"/>
  <c r="L1649" i="17"/>
  <c r="M1651" i="17"/>
  <c r="L1651" i="17"/>
  <c r="L1653" i="17"/>
  <c r="L1655" i="17"/>
  <c r="L1657" i="17"/>
  <c r="L1659" i="17"/>
  <c r="L1661" i="17"/>
  <c r="M1663" i="17"/>
  <c r="L1663" i="17"/>
  <c r="L1665" i="17"/>
  <c r="L1667" i="17"/>
  <c r="L1669" i="17"/>
  <c r="M1671" i="17"/>
  <c r="L1671" i="17"/>
  <c r="L1673" i="17"/>
  <c r="L1676" i="17"/>
  <c r="L1678" i="17"/>
  <c r="M1680" i="17"/>
  <c r="L1680" i="17"/>
  <c r="L1682" i="17"/>
  <c r="M1684" i="17"/>
  <c r="L1684" i="17"/>
  <c r="L1686" i="17"/>
  <c r="M1688" i="17"/>
  <c r="L1688" i="17"/>
  <c r="K1693" i="17"/>
  <c r="M1696" i="17"/>
  <c r="N1696" i="17" s="1"/>
  <c r="O1696" i="17" s="1"/>
  <c r="L1696" i="17"/>
  <c r="K1701" i="17"/>
  <c r="L1704" i="17"/>
  <c r="K1709" i="17"/>
  <c r="M1712" i="17"/>
  <c r="L1712" i="17"/>
  <c r="K1717" i="17"/>
  <c r="L1720" i="17"/>
  <c r="K1725" i="17"/>
  <c r="M1728" i="17"/>
  <c r="L1728" i="17"/>
  <c r="K1733" i="17"/>
  <c r="K1774" i="17"/>
  <c r="L1777" i="17"/>
  <c r="K1777" i="17"/>
  <c r="M1620" i="17"/>
  <c r="L1620" i="17"/>
  <c r="L1628" i="17"/>
  <c r="M1691" i="17"/>
  <c r="L1691" i="17"/>
  <c r="L1699" i="17"/>
  <c r="M1699" i="17" s="1"/>
  <c r="N1707" i="17"/>
  <c r="M1707" i="17"/>
  <c r="O1707" i="17" s="1"/>
  <c r="L1707" i="17"/>
  <c r="P1707" i="17" s="1"/>
  <c r="M1715" i="17"/>
  <c r="N1715" i="17" s="1"/>
  <c r="L1715" i="17"/>
  <c r="O1723" i="17"/>
  <c r="N1723" i="17"/>
  <c r="P1723" i="17" s="1"/>
  <c r="M1723" i="17"/>
  <c r="L1723" i="17"/>
  <c r="L1731" i="17"/>
  <c r="L1925" i="17"/>
  <c r="M1925" i="17"/>
  <c r="K1771" i="17"/>
  <c r="K1779" i="17"/>
  <c r="K1787" i="17"/>
  <c r="K1795" i="17"/>
  <c r="L1840" i="17"/>
  <c r="L1857" i="17"/>
  <c r="N1899" i="17"/>
  <c r="L1899" i="17"/>
  <c r="M1899" i="17" s="1"/>
  <c r="P1899" i="17" s="1"/>
  <c r="L1933" i="17"/>
  <c r="M1933" i="17"/>
  <c r="N1933" i="17" s="1"/>
  <c r="L1738" i="17"/>
  <c r="K1738" i="17"/>
  <c r="L1742" i="17"/>
  <c r="K1742" i="17"/>
  <c r="K1746" i="17"/>
  <c r="K1750" i="17"/>
  <c r="L1754" i="17"/>
  <c r="K1754" i="17"/>
  <c r="L1758" i="17"/>
  <c r="K1758" i="17"/>
  <c r="K1762" i="17"/>
  <c r="K1768" i="17"/>
  <c r="K1776" i="17"/>
  <c r="L1784" i="17"/>
  <c r="K1784" i="17"/>
  <c r="L1792" i="17"/>
  <c r="K1792" i="17"/>
  <c r="K1801" i="17"/>
  <c r="L1803" i="17"/>
  <c r="K1803" i="17"/>
  <c r="L1806" i="17"/>
  <c r="K1806" i="17"/>
  <c r="K1808" i="17"/>
  <c r="L1810" i="17"/>
  <c r="K1810" i="17"/>
  <c r="L1812" i="17"/>
  <c r="K1812" i="17"/>
  <c r="K1814" i="17"/>
  <c r="K1816" i="17"/>
  <c r="K1818" i="17"/>
  <c r="L1820" i="17"/>
  <c r="K1820" i="17"/>
  <c r="L1822" i="17"/>
  <c r="K1822" i="17"/>
  <c r="L1824" i="17"/>
  <c r="L1826" i="17"/>
  <c r="M1877" i="17"/>
  <c r="N2005" i="17"/>
  <c r="L1765" i="17"/>
  <c r="K1765" i="17"/>
  <c r="K1773" i="17"/>
  <c r="L1773" i="17" s="1"/>
  <c r="L1781" i="17"/>
  <c r="K1781" i="17"/>
  <c r="L1789" i="17"/>
  <c r="K1789" i="17"/>
  <c r="L1797" i="17"/>
  <c r="K1797" i="17"/>
  <c r="M1849" i="17"/>
  <c r="L1849" i="17"/>
  <c r="M1872" i="17"/>
  <c r="L1872" i="17"/>
  <c r="M1880" i="17"/>
  <c r="O1880" i="17" s="1"/>
  <c r="L1880" i="17"/>
  <c r="N1907" i="17"/>
  <c r="L1907" i="17"/>
  <c r="M1907" i="17"/>
  <c r="L1941" i="17"/>
  <c r="K1737" i="17"/>
  <c r="K1741" i="17"/>
  <c r="L1745" i="17"/>
  <c r="K1745" i="17"/>
  <c r="L1749" i="17"/>
  <c r="K1749" i="17"/>
  <c r="L1753" i="17"/>
  <c r="K1753" i="17"/>
  <c r="K1757" i="17"/>
  <c r="L1761" i="17"/>
  <c r="K1761" i="17"/>
  <c r="K1770" i="17"/>
  <c r="M1773" i="17"/>
  <c r="O1773" i="17" s="1"/>
  <c r="K1778" i="17"/>
  <c r="K1786" i="17"/>
  <c r="L1794" i="17"/>
  <c r="K1794" i="17"/>
  <c r="M1797" i="17"/>
  <c r="N1797" i="17" s="1"/>
  <c r="O1797" i="17" s="1"/>
  <c r="L1841" i="17"/>
  <c r="K1864" i="17"/>
  <c r="L1864" i="17" s="1"/>
  <c r="K1970" i="17"/>
  <c r="L1767" i="17"/>
  <c r="K1767" i="17"/>
  <c r="N1773" i="17"/>
  <c r="L1775" i="17"/>
  <c r="K1775" i="17"/>
  <c r="K1783" i="17"/>
  <c r="L1791" i="17"/>
  <c r="M1791" i="17" s="1"/>
  <c r="K1791" i="17"/>
  <c r="L1800" i="17"/>
  <c r="K1800" i="17"/>
  <c r="L1888" i="17"/>
  <c r="L1916" i="17"/>
  <c r="L1949" i="17"/>
  <c r="L1736" i="17"/>
  <c r="K1736" i="17"/>
  <c r="K1740" i="17"/>
  <c r="K1744" i="17"/>
  <c r="L1748" i="17"/>
  <c r="K1748" i="17"/>
  <c r="L1752" i="17"/>
  <c r="K1752" i="17"/>
  <c r="L1756" i="17"/>
  <c r="K1756" i="17"/>
  <c r="K1760" i="17"/>
  <c r="L1764" i="17"/>
  <c r="K1764" i="17"/>
  <c r="K1772" i="17"/>
  <c r="M1775" i="17"/>
  <c r="L1780" i="17"/>
  <c r="K1780" i="17"/>
  <c r="L1788" i="17"/>
  <c r="K1788" i="17"/>
  <c r="L1796" i="17"/>
  <c r="K1796" i="17"/>
  <c r="K1802" i="17"/>
  <c r="K1804" i="17"/>
  <c r="L1807" i="17"/>
  <c r="K1807" i="17"/>
  <c r="K1809" i="17"/>
  <c r="L1811" i="17"/>
  <c r="K1811" i="17"/>
  <c r="K1813" i="17"/>
  <c r="K1815" i="17"/>
  <c r="K1817" i="17"/>
  <c r="L1819" i="17"/>
  <c r="K1819" i="17"/>
  <c r="K1821" i="17"/>
  <c r="L1825" i="17"/>
  <c r="L1856" i="17"/>
  <c r="K1856" i="17"/>
  <c r="M1876" i="17"/>
  <c r="L1876" i="17"/>
  <c r="L1896" i="17"/>
  <c r="N1904" i="17"/>
  <c r="L1904" i="17"/>
  <c r="L1912" i="17"/>
  <c r="L1922" i="17"/>
  <c r="M1922" i="17" s="1"/>
  <c r="O1927" i="17"/>
  <c r="P1927" i="17" s="1"/>
  <c r="L1930" i="17"/>
  <c r="L1938" i="17"/>
  <c r="M1938" i="17" s="1"/>
  <c r="L1946" i="17"/>
  <c r="M1946" i="17" s="1"/>
  <c r="K1957" i="17"/>
  <c r="L1957" i="17" s="1"/>
  <c r="L1965" i="17"/>
  <c r="K2078" i="17"/>
  <c r="L2078" i="17" s="1"/>
  <c r="K1847" i="17"/>
  <c r="K1855" i="17"/>
  <c r="K1863" i="17"/>
  <c r="L1863" i="17" s="1"/>
  <c r="K1871" i="17"/>
  <c r="K1875" i="17"/>
  <c r="L1875" i="17" s="1"/>
  <c r="L1893" i="17"/>
  <c r="M1896" i="17"/>
  <c r="L1901" i="17"/>
  <c r="M1904" i="17"/>
  <c r="L1909" i="17"/>
  <c r="M1912" i="17"/>
  <c r="L1918" i="17"/>
  <c r="N1927" i="17"/>
  <c r="L1927" i="17"/>
  <c r="M1930" i="17"/>
  <c r="L1935" i="17"/>
  <c r="L1943" i="17"/>
  <c r="N1943" i="17" s="1"/>
  <c r="N1951" i="17"/>
  <c r="L1951" i="17"/>
  <c r="K1978" i="17"/>
  <c r="K1986" i="17"/>
  <c r="L1994" i="17"/>
  <c r="K1994" i="17"/>
  <c r="K2003" i="17"/>
  <c r="L2003" i="17" s="1"/>
  <c r="K1846" i="17"/>
  <c r="L1846" i="17" s="1"/>
  <c r="L1847" i="17"/>
  <c r="O1847" i="17" s="1"/>
  <c r="K1854" i="17"/>
  <c r="L1854" i="17" s="1"/>
  <c r="L1855" i="17"/>
  <c r="O1855" i="17" s="1"/>
  <c r="K1862" i="17"/>
  <c r="K1870" i="17"/>
  <c r="O1874" i="17"/>
  <c r="P1874" i="17" s="1"/>
  <c r="N1874" i="17"/>
  <c r="L1879" i="17"/>
  <c r="L1883" i="17"/>
  <c r="L1887" i="17"/>
  <c r="L1890" i="17"/>
  <c r="M1893" i="17"/>
  <c r="L1898" i="17"/>
  <c r="L1906" i="17"/>
  <c r="M1909" i="17"/>
  <c r="L1915" i="17"/>
  <c r="M1915" i="17" s="1"/>
  <c r="L1924" i="17"/>
  <c r="M1927" i="17"/>
  <c r="L1932" i="17"/>
  <c r="M1935" i="17"/>
  <c r="N1935" i="17" s="1"/>
  <c r="O1935" i="17" s="1"/>
  <c r="N1940" i="17"/>
  <c r="O1940" i="17" s="1"/>
  <c r="L1940" i="17"/>
  <c r="M1940" i="17" s="1"/>
  <c r="M1943" i="17"/>
  <c r="L1948" i="17"/>
  <c r="M1948" i="17" s="1"/>
  <c r="M1951" i="17"/>
  <c r="M1953" i="17"/>
  <c r="N1953" i="17" s="1"/>
  <c r="L1953" i="17"/>
  <c r="L1955" i="17"/>
  <c r="L1966" i="17"/>
  <c r="K1966" i="17"/>
  <c r="L1973" i="17"/>
  <c r="N2008" i="17"/>
  <c r="O2026" i="17"/>
  <c r="M1847" i="17"/>
  <c r="M1855" i="17"/>
  <c r="L1870" i="17"/>
  <c r="M1875" i="17"/>
  <c r="M1883" i="17"/>
  <c r="N1883" i="17" s="1"/>
  <c r="M1887" i="17"/>
  <c r="L1895" i="17"/>
  <c r="N1895" i="17" s="1"/>
  <c r="L1903" i="17"/>
  <c r="L1911" i="17"/>
  <c r="L1921" i="17"/>
  <c r="L1929" i="17"/>
  <c r="N1929" i="17" s="1"/>
  <c r="L1937" i="17"/>
  <c r="L1945" i="17"/>
  <c r="L1960" i="17"/>
  <c r="N1960" i="17" s="1"/>
  <c r="P1998" i="17"/>
  <c r="O2034" i="17"/>
  <c r="L2216" i="17"/>
  <c r="K2216" i="17"/>
  <c r="K1844" i="17"/>
  <c r="M1846" i="17"/>
  <c r="N1847" i="17"/>
  <c r="P1847" i="17" s="1"/>
  <c r="K1852" i="17"/>
  <c r="M1854" i="17"/>
  <c r="N1854" i="17" s="1"/>
  <c r="N1855" i="17"/>
  <c r="K1860" i="17"/>
  <c r="K1868" i="17"/>
  <c r="M1870" i="17"/>
  <c r="N1870" i="17" s="1"/>
  <c r="L1878" i="17"/>
  <c r="L1882" i="17"/>
  <c r="L1886" i="17"/>
  <c r="N1892" i="17"/>
  <c r="L1892" i="17"/>
  <c r="O1892" i="17" s="1"/>
  <c r="M1895" i="17"/>
  <c r="O1897" i="17"/>
  <c r="L1900" i="17"/>
  <c r="M1903" i="17"/>
  <c r="L1908" i="17"/>
  <c r="M1911" i="17"/>
  <c r="L1917" i="17"/>
  <c r="L1926" i="17"/>
  <c r="M1929" i="17"/>
  <c r="L1934" i="17"/>
  <c r="N1942" i="17"/>
  <c r="L1942" i="17"/>
  <c r="O1942" i="17" s="1"/>
  <c r="P1942" i="17" s="1"/>
  <c r="M1945" i="17"/>
  <c r="L1950" i="17"/>
  <c r="N1950" i="17" s="1"/>
  <c r="O1950" i="17" s="1"/>
  <c r="L1974" i="17"/>
  <c r="K1974" i="17"/>
  <c r="N2024" i="17"/>
  <c r="O2042" i="17"/>
  <c r="N2072" i="17"/>
  <c r="K1823" i="17"/>
  <c r="L1823" i="17" s="1"/>
  <c r="K1824" i="17"/>
  <c r="K1825" i="17"/>
  <c r="K1826" i="17"/>
  <c r="K1827" i="17"/>
  <c r="K1828" i="17"/>
  <c r="L1828" i="17" s="1"/>
  <c r="K1829" i="17"/>
  <c r="K1830" i="17"/>
  <c r="K1831" i="17"/>
  <c r="K1832" i="17"/>
  <c r="L1832" i="17" s="1"/>
  <c r="K1833" i="17"/>
  <c r="L1833" i="17" s="1"/>
  <c r="K1834" i="17"/>
  <c r="K1835" i="17"/>
  <c r="K1836" i="17"/>
  <c r="K1837" i="17"/>
  <c r="K1838" i="17"/>
  <c r="K1839" i="17"/>
  <c r="L1839" i="17" s="1"/>
  <c r="K1840" i="17"/>
  <c r="K1841" i="17"/>
  <c r="K1842" i="17"/>
  <c r="K1843" i="17"/>
  <c r="M1845" i="17"/>
  <c r="O1845" i="17" s="1"/>
  <c r="N1846" i="17"/>
  <c r="K1851" i="17"/>
  <c r="L1852" i="17"/>
  <c r="M1853" i="17"/>
  <c r="K1859" i="17"/>
  <c r="M1861" i="17"/>
  <c r="K1867" i="17"/>
  <c r="L1868" i="17"/>
  <c r="M1869" i="17"/>
  <c r="O1869" i="17" s="1"/>
  <c r="K1873" i="17"/>
  <c r="M1874" i="17"/>
  <c r="M1878" i="17"/>
  <c r="N1878" i="17" s="1"/>
  <c r="M1886" i="17"/>
  <c r="L1889" i="17"/>
  <c r="M1892" i="17"/>
  <c r="N1897" i="17"/>
  <c r="L1897" i="17"/>
  <c r="M1900" i="17"/>
  <c r="L1905" i="17"/>
  <c r="M1908" i="17"/>
  <c r="N1908" i="17" s="1"/>
  <c r="N1913" i="17"/>
  <c r="L1913" i="17"/>
  <c r="L1923" i="17"/>
  <c r="N1931" i="17"/>
  <c r="L1931" i="17"/>
  <c r="O1931" i="17" s="1"/>
  <c r="L1939" i="17"/>
  <c r="M1942" i="17"/>
  <c r="L1947" i="17"/>
  <c r="M1950" i="17"/>
  <c r="P1950" i="17" s="1"/>
  <c r="K1961" i="17"/>
  <c r="N1969" i="17"/>
  <c r="L1969" i="17"/>
  <c r="K1982" i="17"/>
  <c r="L1990" i="17"/>
  <c r="K1990" i="17"/>
  <c r="K1999" i="17"/>
  <c r="L1843" i="17"/>
  <c r="N1845" i="17"/>
  <c r="K1850" i="17"/>
  <c r="L1851" i="17"/>
  <c r="M1852" i="17"/>
  <c r="N1853" i="17"/>
  <c r="K1858" i="17"/>
  <c r="L1859" i="17"/>
  <c r="N1861" i="17"/>
  <c r="O1865" i="17"/>
  <c r="K1866" i="17"/>
  <c r="L1867" i="17"/>
  <c r="M1868" i="17"/>
  <c r="N1869" i="17"/>
  <c r="N1872" i="17"/>
  <c r="L1873" i="17"/>
  <c r="N1876" i="17"/>
  <c r="O1876" i="17" s="1"/>
  <c r="L1885" i="17"/>
  <c r="M1889" i="17"/>
  <c r="P1892" i="17"/>
  <c r="L1894" i="17"/>
  <c r="M1897" i="17"/>
  <c r="O1899" i="17"/>
  <c r="L1902" i="17"/>
  <c r="M1905" i="17"/>
  <c r="L1910" i="17"/>
  <c r="M1913" i="17"/>
  <c r="O1913" i="17" s="1"/>
  <c r="L1919" i="17"/>
  <c r="L1928" i="17"/>
  <c r="M1931" i="17"/>
  <c r="O1933" i="17"/>
  <c r="L1936" i="17"/>
  <c r="L1944" i="17"/>
  <c r="M1952" i="17"/>
  <c r="L1952" i="17"/>
  <c r="M1954" i="17"/>
  <c r="L1954" i="17"/>
  <c r="L1956" i="17"/>
  <c r="N1956" i="17" s="1"/>
  <c r="P2069" i="17"/>
  <c r="N2083" i="17"/>
  <c r="L2086" i="17"/>
  <c r="K2086" i="17"/>
  <c r="M2089" i="17"/>
  <c r="K2094" i="17"/>
  <c r="M2097" i="17"/>
  <c r="K2102" i="17"/>
  <c r="M2105" i="17"/>
  <c r="N2105" i="17" s="1"/>
  <c r="N2110" i="17"/>
  <c r="L2110" i="17"/>
  <c r="K2110" i="17"/>
  <c r="M2110" i="17" s="1"/>
  <c r="M2114" i="17"/>
  <c r="K2119" i="17"/>
  <c r="L2119" i="17" s="1"/>
  <c r="M2122" i="17"/>
  <c r="L2127" i="17"/>
  <c r="K2127" i="17"/>
  <c r="M2130" i="17"/>
  <c r="K2135" i="17"/>
  <c r="M2138" i="17"/>
  <c r="M2143" i="17"/>
  <c r="L2143" i="17"/>
  <c r="K2143" i="17"/>
  <c r="M2156" i="17"/>
  <c r="L2188" i="17"/>
  <c r="K2188" i="17"/>
  <c r="M1956" i="17"/>
  <c r="O1956" i="17" s="1"/>
  <c r="M1960" i="17"/>
  <c r="M1965" i="17"/>
  <c r="M1969" i="17"/>
  <c r="M1981" i="17"/>
  <c r="N1981" i="17" s="1"/>
  <c r="O1981" i="17" s="1"/>
  <c r="M1985" i="17"/>
  <c r="M1998" i="17"/>
  <c r="N1998" i="17" s="1"/>
  <c r="O1998" i="17" s="1"/>
  <c r="M2002" i="17"/>
  <c r="N2002" i="17" s="1"/>
  <c r="L2007" i="17"/>
  <c r="L2011" i="17"/>
  <c r="L2015" i="17"/>
  <c r="L2019" i="17"/>
  <c r="P2034" i="17"/>
  <c r="O2036" i="17"/>
  <c r="P2042" i="17"/>
  <c r="N2053" i="17"/>
  <c r="P2058" i="17"/>
  <c r="O2060" i="17"/>
  <c r="N2061" i="17"/>
  <c r="O2061" i="17" s="1"/>
  <c r="M2063" i="17"/>
  <c r="O2063" i="17" s="1"/>
  <c r="P2063" i="17" s="1"/>
  <c r="P2066" i="17"/>
  <c r="O2068" i="17"/>
  <c r="N2069" i="17"/>
  <c r="M2071" i="17"/>
  <c r="M2092" i="17"/>
  <c r="M2100" i="17"/>
  <c r="M2108" i="17"/>
  <c r="M2117" i="17"/>
  <c r="M2125" i="17"/>
  <c r="M2133" i="17"/>
  <c r="M2141" i="17"/>
  <c r="M2148" i="17"/>
  <c r="N2148" i="17" s="1"/>
  <c r="L2154" i="17"/>
  <c r="M2154" i="17" s="1"/>
  <c r="M1972" i="17"/>
  <c r="L1977" i="17"/>
  <c r="L1981" i="17"/>
  <c r="P1981" i="17" s="1"/>
  <c r="M1984" i="17"/>
  <c r="N1984" i="17" s="1"/>
  <c r="L1985" i="17"/>
  <c r="N1985" i="17" s="1"/>
  <c r="M1988" i="17"/>
  <c r="L1989" i="17"/>
  <c r="L1993" i="17"/>
  <c r="M1996" i="17"/>
  <c r="L1998" i="17"/>
  <c r="O2001" i="17"/>
  <c r="M2001" i="17"/>
  <c r="P2001" i="17" s="1"/>
  <c r="L2002" i="17"/>
  <c r="L2006" i="17"/>
  <c r="L2010" i="17"/>
  <c r="M2010" i="17" s="1"/>
  <c r="L2014" i="17"/>
  <c r="L2018" i="17"/>
  <c r="N2018" i="17" s="1"/>
  <c r="O2038" i="17"/>
  <c r="P2060" i="17"/>
  <c r="N2063" i="17"/>
  <c r="M2065" i="17"/>
  <c r="O2065" i="17" s="1"/>
  <c r="P2068" i="17"/>
  <c r="M2079" i="17"/>
  <c r="L2146" i="17"/>
  <c r="M2146" i="17" s="1"/>
  <c r="M2157" i="17"/>
  <c r="K2179" i="17"/>
  <c r="L2179" i="17" s="1"/>
  <c r="L2343" i="17"/>
  <c r="M2343" i="17"/>
  <c r="N2343" i="17" s="1"/>
  <c r="K2343" i="17"/>
  <c r="O2027" i="17"/>
  <c r="O2035" i="17"/>
  <c r="P2035" i="17" s="1"/>
  <c r="O2059" i="17"/>
  <c r="P2059" i="17" s="1"/>
  <c r="O2067" i="17"/>
  <c r="P2067" i="17" s="1"/>
  <c r="K2082" i="17"/>
  <c r="N1877" i="17"/>
  <c r="O1877" i="17" s="1"/>
  <c r="N1880" i="17"/>
  <c r="N1881" i="17"/>
  <c r="L1959" i="17"/>
  <c r="L1964" i="17"/>
  <c r="L1968" i="17"/>
  <c r="L1972" i="17"/>
  <c r="L1976" i="17"/>
  <c r="M1976" i="17" s="1"/>
  <c r="L1980" i="17"/>
  <c r="L1984" i="17"/>
  <c r="L1988" i="17"/>
  <c r="N1988" i="17" s="1"/>
  <c r="L1992" i="17"/>
  <c r="L2005" i="17"/>
  <c r="O2008" i="17"/>
  <c r="P2008" i="17" s="1"/>
  <c r="L2009" i="17"/>
  <c r="L2013" i="17"/>
  <c r="L2017" i="17"/>
  <c r="L2021" i="17"/>
  <c r="O2024" i="17"/>
  <c r="N2065" i="17"/>
  <c r="N2073" i="17"/>
  <c r="L2077" i="17"/>
  <c r="K2077" i="17"/>
  <c r="O2253" i="17"/>
  <c r="L2253" i="17"/>
  <c r="K1958" i="17"/>
  <c r="K1963" i="17"/>
  <c r="K1967" i="17"/>
  <c r="K1971" i="17"/>
  <c r="K1975" i="17"/>
  <c r="K1979" i="17"/>
  <c r="K1983" i="17"/>
  <c r="K1987" i="17"/>
  <c r="K1991" i="17"/>
  <c r="K1995" i="17"/>
  <c r="K2000" i="17"/>
  <c r="N2001" i="17"/>
  <c r="K2004" i="17"/>
  <c r="N2038" i="17"/>
  <c r="O2053" i="17"/>
  <c r="N2062" i="17"/>
  <c r="O2062" i="17" s="1"/>
  <c r="M2064" i="17"/>
  <c r="O2069" i="17"/>
  <c r="N2070" i="17"/>
  <c r="O2070" i="17" s="1"/>
  <c r="M2072" i="17"/>
  <c r="M2099" i="17"/>
  <c r="O2243" i="17"/>
  <c r="P2243" i="17" s="1"/>
  <c r="L2280" i="17"/>
  <c r="M2005" i="17"/>
  <c r="M2006" i="17"/>
  <c r="N2006" i="17" s="1"/>
  <c r="M2007" i="17"/>
  <c r="M2008" i="17"/>
  <c r="M2009" i="17"/>
  <c r="M2011" i="17"/>
  <c r="M2012" i="17"/>
  <c r="M2015" i="17"/>
  <c r="M2016" i="17"/>
  <c r="M2017" i="17"/>
  <c r="N2017" i="17" s="1"/>
  <c r="M2018" i="17"/>
  <c r="M2020" i="17"/>
  <c r="N2020" i="17" s="1"/>
  <c r="M2021" i="17"/>
  <c r="M2022" i="17"/>
  <c r="M2023" i="17"/>
  <c r="M2024" i="17"/>
  <c r="P2024" i="17" s="1"/>
  <c r="M2025" i="17"/>
  <c r="M2026" i="17"/>
  <c r="N2026" i="17" s="1"/>
  <c r="M2027" i="17"/>
  <c r="N2027" i="17" s="1"/>
  <c r="M2028" i="17"/>
  <c r="N2028" i="17" s="1"/>
  <c r="M2029" i="17"/>
  <c r="M2030" i="17"/>
  <c r="M2031" i="17"/>
  <c r="M2032" i="17"/>
  <c r="M2033" i="17"/>
  <c r="M2034" i="17"/>
  <c r="N2034" i="17" s="1"/>
  <c r="M2035" i="17"/>
  <c r="N2035" i="17" s="1"/>
  <c r="M2036" i="17"/>
  <c r="N2036" i="17" s="1"/>
  <c r="M2037" i="17"/>
  <c r="N2037" i="17" s="1"/>
  <c r="M2038" i="17"/>
  <c r="M2039" i="17"/>
  <c r="N2039" i="17" s="1"/>
  <c r="M2040" i="17"/>
  <c r="M2041" i="17"/>
  <c r="M2042" i="17"/>
  <c r="N2042" i="17" s="1"/>
  <c r="M2043" i="17"/>
  <c r="N2043" i="17" s="1"/>
  <c r="M2044" i="17"/>
  <c r="N2044" i="17" s="1"/>
  <c r="M2045" i="17"/>
  <c r="N2045" i="17" s="1"/>
  <c r="M2046" i="17"/>
  <c r="M2047" i="17"/>
  <c r="M2048" i="17"/>
  <c r="M2049" i="17"/>
  <c r="M2050" i="17"/>
  <c r="N2050" i="17" s="1"/>
  <c r="M2051" i="17"/>
  <c r="N2051" i="17" s="1"/>
  <c r="M2052" i="17"/>
  <c r="N2052" i="17" s="1"/>
  <c r="M2053" i="17"/>
  <c r="P2053" i="17" s="1"/>
  <c r="M2054" i="17"/>
  <c r="M2055" i="17"/>
  <c r="M2056" i="17"/>
  <c r="N2056" i="17" s="1"/>
  <c r="M2057" i="17"/>
  <c r="M2073" i="17"/>
  <c r="M2074" i="17"/>
  <c r="N2074" i="17" s="1"/>
  <c r="N2099" i="17"/>
  <c r="L2220" i="17"/>
  <c r="L2242" i="17"/>
  <c r="K2242" i="17"/>
  <c r="M2242" i="17" s="1"/>
  <c r="P2266" i="17"/>
  <c r="K2340" i="17"/>
  <c r="O2088" i="17"/>
  <c r="K2081" i="17"/>
  <c r="L2081" i="17" s="1"/>
  <c r="K2085" i="17"/>
  <c r="K2088" i="17"/>
  <c r="N2088" i="17" s="1"/>
  <c r="L2091" i="17"/>
  <c r="K2096" i="17"/>
  <c r="L2099" i="17"/>
  <c r="N2101" i="17"/>
  <c r="K2104" i="17"/>
  <c r="N2104" i="17" s="1"/>
  <c r="L2107" i="17"/>
  <c r="M2107" i="17" s="1"/>
  <c r="N2109" i="17"/>
  <c r="K2113" i="17"/>
  <c r="L2116" i="17"/>
  <c r="M2116" i="17" s="1"/>
  <c r="K2121" i="17"/>
  <c r="L2124" i="17"/>
  <c r="K2129" i="17"/>
  <c r="L2132" i="17"/>
  <c r="K2137" i="17"/>
  <c r="L2140" i="17"/>
  <c r="M2140" i="17" s="1"/>
  <c r="O2142" i="17"/>
  <c r="L2148" i="17"/>
  <c r="L2156" i="17"/>
  <c r="K2225" i="17"/>
  <c r="K2245" i="17"/>
  <c r="L2264" i="17"/>
  <c r="L2088" i="17"/>
  <c r="N2090" i="17"/>
  <c r="L2096" i="17"/>
  <c r="L2104" i="17"/>
  <c r="N2106" i="17"/>
  <c r="L2121" i="17"/>
  <c r="N2121" i="17" s="1"/>
  <c r="N2123" i="17"/>
  <c r="L2137" i="17"/>
  <c r="N2139" i="17"/>
  <c r="K2175" i="17"/>
  <c r="L2175" i="17" s="1"/>
  <c r="K2183" i="17"/>
  <c r="L2192" i="17"/>
  <c r="K2192" i="17"/>
  <c r="K2200" i="17"/>
  <c r="L2228" i="17"/>
  <c r="M2228" i="17" s="1"/>
  <c r="K2250" i="17"/>
  <c r="L2285" i="17"/>
  <c r="N2294" i="17"/>
  <c r="N2310" i="17"/>
  <c r="M2088" i="17"/>
  <c r="M2096" i="17"/>
  <c r="M2104" i="17"/>
  <c r="M2121" i="17"/>
  <c r="M2137" i="17"/>
  <c r="L2195" i="17"/>
  <c r="K2208" i="17"/>
  <c r="L2277" i="17"/>
  <c r="L2361" i="17"/>
  <c r="L2364" i="17"/>
  <c r="K2364" i="17"/>
  <c r="O2075" i="17"/>
  <c r="P2075" i="17" s="1"/>
  <c r="L2076" i="17"/>
  <c r="L2080" i="17"/>
  <c r="L2084" i="17"/>
  <c r="K2087" i="17"/>
  <c r="L2090" i="17"/>
  <c r="O2090" i="17" s="1"/>
  <c r="O2092" i="17"/>
  <c r="N2092" i="17"/>
  <c r="P2092" i="17" s="1"/>
  <c r="M2093" i="17"/>
  <c r="K2095" i="17"/>
  <c r="L2098" i="17"/>
  <c r="M2101" i="17"/>
  <c r="K2103" i="17"/>
  <c r="L2106" i="17"/>
  <c r="O2106" i="17" s="1"/>
  <c r="N2108" i="17"/>
  <c r="O2108" i="17" s="1"/>
  <c r="P2108" i="17" s="1"/>
  <c r="M2109" i="17"/>
  <c r="K2111" i="17"/>
  <c r="L2115" i="17"/>
  <c r="N2117" i="17"/>
  <c r="M2118" i="17"/>
  <c r="K2120" i="17"/>
  <c r="L2123" i="17"/>
  <c r="O2125" i="17"/>
  <c r="N2125" i="17"/>
  <c r="P2125" i="17" s="1"/>
  <c r="M2126" i="17"/>
  <c r="N2126" i="17" s="1"/>
  <c r="K2128" i="17"/>
  <c r="L2131" i="17"/>
  <c r="N2133" i="17"/>
  <c r="O2133" i="17" s="1"/>
  <c r="P2133" i="17" s="1"/>
  <c r="M2134" i="17"/>
  <c r="K2136" i="17"/>
  <c r="L2139" i="17"/>
  <c r="O2139" i="17" s="1"/>
  <c r="M2142" i="17"/>
  <c r="N2142" i="17" s="1"/>
  <c r="K2144" i="17"/>
  <c r="L2147" i="17"/>
  <c r="P2149" i="17"/>
  <c r="L2155" i="17"/>
  <c r="P2157" i="17"/>
  <c r="K2195" i="17"/>
  <c r="K2203" i="17"/>
  <c r="M2211" i="17"/>
  <c r="L2211" i="17"/>
  <c r="L2233" i="17"/>
  <c r="K2233" i="17"/>
  <c r="L2269" i="17"/>
  <c r="O2269" i="17" s="1"/>
  <c r="O2271" i="17"/>
  <c r="K2361" i="17"/>
  <c r="M2076" i="17"/>
  <c r="M2080" i="17"/>
  <c r="L2087" i="17"/>
  <c r="P2089" i="17"/>
  <c r="O2089" i="17"/>
  <c r="N2089" i="17"/>
  <c r="M2090" i="17"/>
  <c r="M2098" i="17"/>
  <c r="L2103" i="17"/>
  <c r="O2105" i="17"/>
  <c r="M2106" i="17"/>
  <c r="L2111" i="17"/>
  <c r="O2114" i="17"/>
  <c r="N2114" i="17"/>
  <c r="P2114" i="17" s="1"/>
  <c r="L2120" i="17"/>
  <c r="O2122" i="17"/>
  <c r="P2122" i="17" s="1"/>
  <c r="N2122" i="17"/>
  <c r="M2123" i="17"/>
  <c r="N2130" i="17"/>
  <c r="M2131" i="17"/>
  <c r="N2138" i="17"/>
  <c r="M2139" i="17"/>
  <c r="P2139" i="17" s="1"/>
  <c r="L2144" i="17"/>
  <c r="L2237" i="17"/>
  <c r="L2261" i="17"/>
  <c r="K2332" i="17"/>
  <c r="N2145" i="17"/>
  <c r="P2145" i="17" s="1"/>
  <c r="N2149" i="17"/>
  <c r="N2150" i="17"/>
  <c r="P2150" i="17" s="1"/>
  <c r="N2151" i="17"/>
  <c r="P2151" i="17" s="1"/>
  <c r="N2152" i="17"/>
  <c r="N2153" i="17"/>
  <c r="N2157" i="17"/>
  <c r="N2158" i="17"/>
  <c r="N2159" i="17"/>
  <c r="N2160" i="17"/>
  <c r="N2161" i="17"/>
  <c r="P2161" i="17" s="1"/>
  <c r="N2162" i="17"/>
  <c r="N2163" i="17"/>
  <c r="N2164" i="17"/>
  <c r="P2164" i="17" s="1"/>
  <c r="N2165" i="17"/>
  <c r="P2165" i="17" s="1"/>
  <c r="N2166" i="17"/>
  <c r="N2167" i="17"/>
  <c r="P2167" i="17" s="1"/>
  <c r="N2168" i="17"/>
  <c r="N2169" i="17"/>
  <c r="N2170" i="17"/>
  <c r="P2170" i="17" s="1"/>
  <c r="N2171" i="17"/>
  <c r="P2271" i="17"/>
  <c r="O2298" i="17"/>
  <c r="M2316" i="17"/>
  <c r="K2323" i="17"/>
  <c r="O2323" i="17" s="1"/>
  <c r="N2323" i="17"/>
  <c r="M2323" i="17"/>
  <c r="L2347" i="17"/>
  <c r="K2347" i="17"/>
  <c r="K2385" i="17"/>
  <c r="N2385" i="17"/>
  <c r="M2385" i="17"/>
  <c r="O2145" i="17"/>
  <c r="O2149" i="17"/>
  <c r="O2150" i="17"/>
  <c r="O2151" i="17"/>
  <c r="O2153" i="17"/>
  <c r="O2157" i="17"/>
  <c r="O2158" i="17"/>
  <c r="P2158" i="17" s="1"/>
  <c r="O2159" i="17"/>
  <c r="P2159" i="17" s="1"/>
  <c r="O2161" i="17"/>
  <c r="O2162" i="17"/>
  <c r="P2162" i="17" s="1"/>
  <c r="O2164" i="17"/>
  <c r="O2165" i="17"/>
  <c r="O2166" i="17"/>
  <c r="P2166" i="17" s="1"/>
  <c r="O2167" i="17"/>
  <c r="O2169" i="17"/>
  <c r="O2170" i="17"/>
  <c r="K2197" i="17"/>
  <c r="K2205" i="17"/>
  <c r="K2213" i="17"/>
  <c r="K2222" i="17"/>
  <c r="M2222" i="17" s="1"/>
  <c r="N2222" i="17" s="1"/>
  <c r="K2230" i="17"/>
  <c r="K2239" i="17"/>
  <c r="M2239" i="17" s="1"/>
  <c r="K2247" i="17"/>
  <c r="L2258" i="17"/>
  <c r="L2266" i="17"/>
  <c r="O2266" i="17" s="1"/>
  <c r="L2274" i="17"/>
  <c r="L2282" i="17"/>
  <c r="L2290" i="17"/>
  <c r="L2292" i="17"/>
  <c r="L2294" i="17"/>
  <c r="L2296" i="17"/>
  <c r="L2298" i="17"/>
  <c r="N2298" i="17" s="1"/>
  <c r="L2300" i="17"/>
  <c r="L2302" i="17"/>
  <c r="L2304" i="17"/>
  <c r="N2304" i="17" s="1"/>
  <c r="L2306" i="17"/>
  <c r="N2306" i="17" s="1"/>
  <c r="O2306" i="17" s="1"/>
  <c r="L2308" i="17"/>
  <c r="L2310" i="17"/>
  <c r="L2312" i="17"/>
  <c r="L2314" i="17"/>
  <c r="M2314" i="17" s="1"/>
  <c r="L2316" i="17"/>
  <c r="L2318" i="17"/>
  <c r="L2323" i="17"/>
  <c r="L2327" i="17"/>
  <c r="M2327" i="17"/>
  <c r="K2335" i="17"/>
  <c r="L2335" i="17" s="1"/>
  <c r="L2369" i="17"/>
  <c r="N2372" i="17"/>
  <c r="L2372" i="17"/>
  <c r="K2372" i="17"/>
  <c r="M2372" i="17" s="1"/>
  <c r="L2385" i="17"/>
  <c r="K2174" i="17"/>
  <c r="K2178" i="17"/>
  <c r="K2182" i="17"/>
  <c r="K2187" i="17"/>
  <c r="K2191" i="17"/>
  <c r="K2194" i="17"/>
  <c r="N2199" i="17"/>
  <c r="M2199" i="17"/>
  <c r="O2199" i="17" s="1"/>
  <c r="K2202" i="17"/>
  <c r="L2205" i="17"/>
  <c r="N2207" i="17"/>
  <c r="M2207" i="17"/>
  <c r="K2210" i="17"/>
  <c r="M2215" i="17"/>
  <c r="K2219" i="17"/>
  <c r="L2222" i="17"/>
  <c r="M2224" i="17"/>
  <c r="K2227" i="17"/>
  <c r="M2232" i="17"/>
  <c r="K2236" i="17"/>
  <c r="L2239" i="17"/>
  <c r="N2241" i="17"/>
  <c r="M2241" i="17"/>
  <c r="K2244" i="17"/>
  <c r="N2249" i="17"/>
  <c r="M2249" i="17"/>
  <c r="M2212" i="17"/>
  <c r="N2221" i="17"/>
  <c r="M2221" i="17"/>
  <c r="M2229" i="17"/>
  <c r="N2238" i="17"/>
  <c r="M2238" i="17"/>
  <c r="M2246" i="17"/>
  <c r="N2293" i="17"/>
  <c r="N2295" i="17"/>
  <c r="N2299" i="17"/>
  <c r="O2299" i="17" s="1"/>
  <c r="N2309" i="17"/>
  <c r="N2311" i="17"/>
  <c r="N2315" i="17"/>
  <c r="O2315" i="17" s="1"/>
  <c r="M2353" i="17"/>
  <c r="L2353" i="17"/>
  <c r="K2356" i="17"/>
  <c r="K2396" i="17"/>
  <c r="N2172" i="17"/>
  <c r="O2172" i="17" s="1"/>
  <c r="K2173" i="17"/>
  <c r="K2177" i="17"/>
  <c r="K2181" i="17"/>
  <c r="K2186" i="17"/>
  <c r="K2190" i="17"/>
  <c r="N2193" i="17"/>
  <c r="M2193" i="17"/>
  <c r="K2196" i="17"/>
  <c r="N2201" i="17"/>
  <c r="M2201" i="17"/>
  <c r="O2201" i="17" s="1"/>
  <c r="P2201" i="17" s="1"/>
  <c r="K2204" i="17"/>
  <c r="N2209" i="17"/>
  <c r="M2209" i="17"/>
  <c r="N2217" i="17"/>
  <c r="M2217" i="17"/>
  <c r="N2226" i="17"/>
  <c r="M2226" i="17"/>
  <c r="M2234" i="17"/>
  <c r="N2234" i="17" s="1"/>
  <c r="N2243" i="17"/>
  <c r="M2243" i="17"/>
  <c r="P2251" i="17"/>
  <c r="O2291" i="17"/>
  <c r="P2295" i="17"/>
  <c r="M2315" i="17"/>
  <c r="P2315" i="17" s="1"/>
  <c r="O2317" i="17"/>
  <c r="M2317" i="17"/>
  <c r="N2317" i="17" s="1"/>
  <c r="N2319" i="17"/>
  <c r="K2345" i="17"/>
  <c r="L2345" i="17" s="1"/>
  <c r="K2353" i="17"/>
  <c r="M2380" i="17"/>
  <c r="L2380" i="17"/>
  <c r="K2380" i="17"/>
  <c r="K2393" i="17"/>
  <c r="K2454" i="17"/>
  <c r="L2454" i="17" s="1"/>
  <c r="K2471" i="17"/>
  <c r="M2176" i="17"/>
  <c r="N2176" i="17" s="1"/>
  <c r="M2180" i="17"/>
  <c r="N2184" i="17"/>
  <c r="M2184" i="17"/>
  <c r="M2189" i="17"/>
  <c r="N2198" i="17"/>
  <c r="M2198" i="17"/>
  <c r="O2198" i="17" s="1"/>
  <c r="N2206" i="17"/>
  <c r="M2206" i="17"/>
  <c r="N2214" i="17"/>
  <c r="O2214" i="17" s="1"/>
  <c r="M2214" i="17"/>
  <c r="M2223" i="17"/>
  <c r="N2223" i="17" s="1"/>
  <c r="N2231" i="17"/>
  <c r="M2231" i="17"/>
  <c r="O2231" i="17" s="1"/>
  <c r="P2231" i="17" s="1"/>
  <c r="M2240" i="17"/>
  <c r="M2248" i="17"/>
  <c r="K2377" i="17"/>
  <c r="L2377" i="17" s="1"/>
  <c r="K2447" i="17"/>
  <c r="L2447" i="17" s="1"/>
  <c r="K2464" i="17"/>
  <c r="K2531" i="17"/>
  <c r="M2531" i="17"/>
  <c r="L2531" i="17"/>
  <c r="N2531" i="17" s="1"/>
  <c r="M2251" i="17"/>
  <c r="O2251" i="17" s="1"/>
  <c r="M2252" i="17"/>
  <c r="M2253" i="17"/>
  <c r="M2254" i="17"/>
  <c r="M2255" i="17"/>
  <c r="O2255" i="17" s="1"/>
  <c r="M2256" i="17"/>
  <c r="O2256" i="17" s="1"/>
  <c r="M2257" i="17"/>
  <c r="M2258" i="17"/>
  <c r="N2258" i="17" s="1"/>
  <c r="O2258" i="17" s="1"/>
  <c r="P2258" i="17" s="1"/>
  <c r="M2259" i="17"/>
  <c r="M2260" i="17"/>
  <c r="M2261" i="17"/>
  <c r="M2262" i="17"/>
  <c r="M2263" i="17"/>
  <c r="O2263" i="17" s="1"/>
  <c r="M2264" i="17"/>
  <c r="M2265" i="17"/>
  <c r="M2266" i="17"/>
  <c r="N2266" i="17" s="1"/>
  <c r="M2267" i="17"/>
  <c r="M2268" i="17"/>
  <c r="M2269" i="17"/>
  <c r="M2270" i="17"/>
  <c r="M2271" i="17"/>
  <c r="M2272" i="17"/>
  <c r="M2273" i="17"/>
  <c r="M2274" i="17"/>
  <c r="M2275" i="17"/>
  <c r="O2275" i="17" s="1"/>
  <c r="M2276" i="17"/>
  <c r="M2278" i="17"/>
  <c r="M2279" i="17"/>
  <c r="O2279" i="17" s="1"/>
  <c r="P2279" i="17" s="1"/>
  <c r="M2280" i="17"/>
  <c r="M2281" i="17"/>
  <c r="M2283" i="17"/>
  <c r="M2284" i="17"/>
  <c r="M2285" i="17"/>
  <c r="M2286" i="17"/>
  <c r="M2287" i="17"/>
  <c r="O2287" i="17" s="1"/>
  <c r="M2288" i="17"/>
  <c r="P2288" i="17" s="1"/>
  <c r="M2289" i="17"/>
  <c r="M2290" i="17"/>
  <c r="N2290" i="17" s="1"/>
  <c r="O2290" i="17" s="1"/>
  <c r="M2291" i="17"/>
  <c r="P2291" i="17" s="1"/>
  <c r="M2292" i="17"/>
  <c r="M2293" i="17"/>
  <c r="O2293" i="17" s="1"/>
  <c r="M2294" i="17"/>
  <c r="M2295" i="17"/>
  <c r="O2295" i="17" s="1"/>
  <c r="M2297" i="17"/>
  <c r="M2298" i="17"/>
  <c r="M2299" i="17"/>
  <c r="P2299" i="17" s="1"/>
  <c r="M2300" i="17"/>
  <c r="M2301" i="17"/>
  <c r="N2301" i="17" s="1"/>
  <c r="M2303" i="17"/>
  <c r="M2304" i="17"/>
  <c r="M2305" i="17"/>
  <c r="M2306" i="17"/>
  <c r="M2307" i="17"/>
  <c r="N2307" i="17" s="1"/>
  <c r="O2307" i="17" s="1"/>
  <c r="M2308" i="17"/>
  <c r="M2309" i="17"/>
  <c r="O2309" i="17" s="1"/>
  <c r="M2310" i="17"/>
  <c r="M2311" i="17"/>
  <c r="O2311" i="17" s="1"/>
  <c r="P2311" i="17" s="1"/>
  <c r="M2313" i="17"/>
  <c r="K2322" i="17"/>
  <c r="L2337" i="17"/>
  <c r="N2251" i="17"/>
  <c r="N2253" i="17"/>
  <c r="N2254" i="17"/>
  <c r="N2255" i="17"/>
  <c r="N2256" i="17"/>
  <c r="N2259" i="17"/>
  <c r="N2261" i="17"/>
  <c r="N2262" i="17"/>
  <c r="N2263" i="17"/>
  <c r="N2264" i="17"/>
  <c r="N2267" i="17"/>
  <c r="N2269" i="17"/>
  <c r="N2270" i="17"/>
  <c r="N2271" i="17"/>
  <c r="N2272" i="17"/>
  <c r="N2275" i="17"/>
  <c r="N2278" i="17"/>
  <c r="N2279" i="17"/>
  <c r="N2280" i="17"/>
  <c r="N2283" i="17"/>
  <c r="N2285" i="17"/>
  <c r="N2286" i="17"/>
  <c r="N2287" i="17"/>
  <c r="N2288" i="17"/>
  <c r="O2288" i="17" s="1"/>
  <c r="N2291" i="17"/>
  <c r="L2322" i="17"/>
  <c r="L2326" i="17"/>
  <c r="M2326" i="17" s="1"/>
  <c r="K2329" i="17"/>
  <c r="L2334" i="17"/>
  <c r="K2337" i="17"/>
  <c r="L2342" i="17"/>
  <c r="M2342" i="17" s="1"/>
  <c r="K2351" i="17"/>
  <c r="L2354" i="17"/>
  <c r="K2359" i="17"/>
  <c r="L2362" i="17"/>
  <c r="K2367" i="17"/>
  <c r="M2370" i="17"/>
  <c r="L2370" i="17"/>
  <c r="K2375" i="17"/>
  <c r="L2375" i="17" s="1"/>
  <c r="N2378" i="17"/>
  <c r="M2378" i="17"/>
  <c r="L2378" i="17"/>
  <c r="K2321" i="17"/>
  <c r="L2331" i="17"/>
  <c r="L2339" i="17"/>
  <c r="L2348" i="17"/>
  <c r="K2381" i="17"/>
  <c r="K2389" i="17"/>
  <c r="L2321" i="17"/>
  <c r="L2328" i="17"/>
  <c r="N2328" i="17" s="1"/>
  <c r="K2331" i="17"/>
  <c r="K2339" i="17"/>
  <c r="K2348" i="17"/>
  <c r="M2352" i="17"/>
  <c r="K2357" i="17"/>
  <c r="K2365" i="17"/>
  <c r="K2373" i="17"/>
  <c r="L2389" i="17"/>
  <c r="K2320" i="17"/>
  <c r="M2321" i="17"/>
  <c r="N2321" i="17" s="1"/>
  <c r="K2325" i="17"/>
  <c r="L2325" i="17" s="1"/>
  <c r="K2328" i="17"/>
  <c r="M2331" i="17"/>
  <c r="L2333" i="17"/>
  <c r="K2336" i="17"/>
  <c r="K2344" i="17"/>
  <c r="K2346" i="17"/>
  <c r="K2352" i="17"/>
  <c r="L2352" i="17" s="1"/>
  <c r="K2360" i="17"/>
  <c r="K2368" i="17"/>
  <c r="K2376" i="17"/>
  <c r="L2320" i="17"/>
  <c r="M2328" i="17"/>
  <c r="L2330" i="17"/>
  <c r="K2333" i="17"/>
  <c r="L2338" i="17"/>
  <c r="M2338" i="17" s="1"/>
  <c r="K2341" i="17"/>
  <c r="M2349" i="17"/>
  <c r="N2349" i="17" s="1"/>
  <c r="L2349" i="17"/>
  <c r="K2355" i="17"/>
  <c r="L2358" i="17"/>
  <c r="K2363" i="17"/>
  <c r="O2366" i="17"/>
  <c r="M2366" i="17"/>
  <c r="L2366" i="17"/>
  <c r="N2366" i="17" s="1"/>
  <c r="K2371" i="17"/>
  <c r="M2374" i="17"/>
  <c r="L2374" i="17"/>
  <c r="K2379" i="17"/>
  <c r="L2379" i="17" s="1"/>
  <c r="K2384" i="17"/>
  <c r="K2388" i="17"/>
  <c r="K2392" i="17"/>
  <c r="K2398" i="17"/>
  <c r="L2458" i="17"/>
  <c r="K2458" i="17"/>
  <c r="M2458" i="17" s="1"/>
  <c r="L2475" i="17"/>
  <c r="K2475" i="17"/>
  <c r="K2395" i="17"/>
  <c r="K2400" i="17"/>
  <c r="K2402" i="17"/>
  <c r="K2404" i="17"/>
  <c r="K2406" i="17"/>
  <c r="K2408" i="17"/>
  <c r="K2410" i="17"/>
  <c r="K2412" i="17"/>
  <c r="K2414" i="17"/>
  <c r="K2416" i="17"/>
  <c r="K2418" i="17"/>
  <c r="K2420" i="17"/>
  <c r="K2422" i="17"/>
  <c r="K2424" i="17"/>
  <c r="K2426" i="17"/>
  <c r="K2428" i="17"/>
  <c r="K2430" i="17"/>
  <c r="L2430" i="17" s="1"/>
  <c r="K2442" i="17"/>
  <c r="L2452" i="17"/>
  <c r="M2452" i="17" s="1"/>
  <c r="K2452" i="17"/>
  <c r="K2469" i="17"/>
  <c r="M2480" i="17"/>
  <c r="K2383" i="17"/>
  <c r="K2387" i="17"/>
  <c r="K2391" i="17"/>
  <c r="L2395" i="17"/>
  <c r="L2402" i="17"/>
  <c r="L2406" i="17"/>
  <c r="L2414" i="17"/>
  <c r="M2414" i="17" s="1"/>
  <c r="L2418" i="17"/>
  <c r="L2422" i="17"/>
  <c r="K2445" i="17"/>
  <c r="L2445" i="17" s="1"/>
  <c r="K2462" i="17"/>
  <c r="L2462" i="17" s="1"/>
  <c r="M2462" i="17" s="1"/>
  <c r="M2543" i="17"/>
  <c r="N2568" i="17"/>
  <c r="M2395" i="17"/>
  <c r="K2397" i="17"/>
  <c r="M2406" i="17"/>
  <c r="N2406" i="17" s="1"/>
  <c r="M2422" i="17"/>
  <c r="N2422" i="17" s="1"/>
  <c r="K2436" i="17"/>
  <c r="L2440" i="17"/>
  <c r="N2440" i="17" s="1"/>
  <c r="L2456" i="17"/>
  <c r="K2456" i="17"/>
  <c r="L2473" i="17"/>
  <c r="K2473" i="17"/>
  <c r="M2580" i="17"/>
  <c r="K2382" i="17"/>
  <c r="K2386" i="17"/>
  <c r="K2390" i="17"/>
  <c r="K2394" i="17"/>
  <c r="L2397" i="17"/>
  <c r="K2449" i="17"/>
  <c r="L2449" i="17" s="1"/>
  <c r="M2449" i="17" s="1"/>
  <c r="K2466" i="17"/>
  <c r="M2397" i="17"/>
  <c r="K2399" i="17"/>
  <c r="K2401" i="17"/>
  <c r="K2403" i="17"/>
  <c r="K2405" i="17"/>
  <c r="K2407" i="17"/>
  <c r="K2409" i="17"/>
  <c r="K2411" i="17"/>
  <c r="K2413" i="17"/>
  <c r="K2415" i="17"/>
  <c r="K2417" i="17"/>
  <c r="K2419" i="17"/>
  <c r="K2421" i="17"/>
  <c r="K2423" i="17"/>
  <c r="K2425" i="17"/>
  <c r="K2427" i="17"/>
  <c r="K2429" i="17"/>
  <c r="K2431" i="17"/>
  <c r="K2460" i="17"/>
  <c r="P2509" i="17"/>
  <c r="M2439" i="17"/>
  <c r="L2494" i="17"/>
  <c r="K2494" i="17"/>
  <c r="N2514" i="17"/>
  <c r="M2514" i="17"/>
  <c r="L2518" i="17"/>
  <c r="M2518" i="17" s="1"/>
  <c r="K2539" i="17"/>
  <c r="L2539" i="17" s="1"/>
  <c r="N2586" i="17"/>
  <c r="L2637" i="17"/>
  <c r="L2510" i="17"/>
  <c r="M2510" i="17"/>
  <c r="N2510" i="17" s="1"/>
  <c r="N2518" i="17"/>
  <c r="L2522" i="17"/>
  <c r="N2522" i="17" s="1"/>
  <c r="O2522" i="17" s="1"/>
  <c r="M2553" i="17"/>
  <c r="K2599" i="17"/>
  <c r="M2637" i="17"/>
  <c r="M2434" i="17"/>
  <c r="L2435" i="17"/>
  <c r="M2435" i="17" s="1"/>
  <c r="M2438" i="17"/>
  <c r="L2439" i="17"/>
  <c r="M2441" i="17"/>
  <c r="K2444" i="17"/>
  <c r="P2522" i="17"/>
  <c r="M2522" i="17"/>
  <c r="K2527" i="17"/>
  <c r="L2527" i="17" s="1"/>
  <c r="O2569" i="17"/>
  <c r="P2569" i="17" s="1"/>
  <c r="M2571" i="17"/>
  <c r="N2571" i="17" s="1"/>
  <c r="M2628" i="17"/>
  <c r="N2628" i="17" s="1"/>
  <c r="M2448" i="17"/>
  <c r="M2453" i="17"/>
  <c r="O2457" i="17"/>
  <c r="M2457" i="17"/>
  <c r="M2465" i="17"/>
  <c r="M2470" i="17"/>
  <c r="O2474" i="17"/>
  <c r="M2474" i="17"/>
  <c r="K2486" i="17"/>
  <c r="L2486" i="17" s="1"/>
  <c r="K2495" i="17"/>
  <c r="L2495" i="17" s="1"/>
  <c r="L2506" i="17"/>
  <c r="M2506" i="17"/>
  <c r="K2535" i="17"/>
  <c r="N2547" i="17"/>
  <c r="O2547" i="17" s="1"/>
  <c r="P2547" i="17" s="1"/>
  <c r="M2547" i="17"/>
  <c r="K2432" i="17"/>
  <c r="L2433" i="17"/>
  <c r="N2434" i="17"/>
  <c r="K2437" i="17"/>
  <c r="N2438" i="17"/>
  <c r="M2440" i="17"/>
  <c r="K2443" i="17"/>
  <c r="L2446" i="17"/>
  <c r="L2448" i="17"/>
  <c r="L2450" i="17"/>
  <c r="L2453" i="17"/>
  <c r="L2455" i="17"/>
  <c r="L2457" i="17"/>
  <c r="N2457" i="17" s="1"/>
  <c r="L2459" i="17"/>
  <c r="L2461" i="17"/>
  <c r="M2461" i="17" s="1"/>
  <c r="L2463" i="17"/>
  <c r="L2465" i="17"/>
  <c r="L2467" i="17"/>
  <c r="L2470" i="17"/>
  <c r="L2472" i="17"/>
  <c r="L2474" i="17"/>
  <c r="N2474" i="17" s="1"/>
  <c r="L2487" i="17"/>
  <c r="L2502" i="17"/>
  <c r="M2502" i="17"/>
  <c r="M2563" i="17"/>
  <c r="N2563" i="17"/>
  <c r="M2476" i="17"/>
  <c r="M2477" i="17"/>
  <c r="M2478" i="17"/>
  <c r="M2479" i="17"/>
  <c r="L2485" i="17"/>
  <c r="M2485" i="17" s="1"/>
  <c r="L2493" i="17"/>
  <c r="L2501" i="17"/>
  <c r="L2505" i="17"/>
  <c r="L2509" i="17"/>
  <c r="O2509" i="17"/>
  <c r="L2513" i="17"/>
  <c r="P2513" i="17" s="1"/>
  <c r="L2517" i="17"/>
  <c r="L2521" i="17"/>
  <c r="P2521" i="17" s="1"/>
  <c r="M2626" i="17"/>
  <c r="N2476" i="17"/>
  <c r="O2476" i="17" s="1"/>
  <c r="N2478" i="17"/>
  <c r="P2478" i="17" s="1"/>
  <c r="L2484" i="17"/>
  <c r="L2557" i="17"/>
  <c r="M2557" i="17" s="1"/>
  <c r="N2635" i="17"/>
  <c r="O2478" i="17"/>
  <c r="L2483" i="17"/>
  <c r="K2484" i="17"/>
  <c r="L2491" i="17"/>
  <c r="K2492" i="17"/>
  <c r="L2492" i="17" s="1"/>
  <c r="M2492" i="17" s="1"/>
  <c r="K2500" i="17"/>
  <c r="M2501" i="17"/>
  <c r="L2508" i="17"/>
  <c r="M2509" i="17"/>
  <c r="M2513" i="17"/>
  <c r="M2517" i="17"/>
  <c r="N2517" i="17" s="1"/>
  <c r="M2521" i="17"/>
  <c r="L2526" i="17"/>
  <c r="L2482" i="17"/>
  <c r="K2483" i="17"/>
  <c r="M2484" i="17"/>
  <c r="L2490" i="17"/>
  <c r="K2491" i="17"/>
  <c r="L2498" i="17"/>
  <c r="K2499" i="17"/>
  <c r="K2504" i="17"/>
  <c r="L2504" i="17" s="1"/>
  <c r="K2508" i="17"/>
  <c r="N2509" i="17"/>
  <c r="K2512" i="17"/>
  <c r="N2513" i="17"/>
  <c r="N2521" i="17"/>
  <c r="K2526" i="17"/>
  <c r="M2530" i="17"/>
  <c r="L2530" i="17"/>
  <c r="L2534" i="17"/>
  <c r="K2542" i="17"/>
  <c r="M2546" i="17"/>
  <c r="L2546" i="17"/>
  <c r="L2562" i="17"/>
  <c r="N2633" i="17"/>
  <c r="O2633" i="17" s="1"/>
  <c r="L2481" i="17"/>
  <c r="L2489" i="17"/>
  <c r="L2497" i="17"/>
  <c r="L2503" i="17"/>
  <c r="L2507" i="17"/>
  <c r="L2511" i="17"/>
  <c r="L2515" i="17"/>
  <c r="L2519" i="17"/>
  <c r="K2538" i="17"/>
  <c r="L2538" i="17" s="1"/>
  <c r="L2480" i="17"/>
  <c r="L2488" i="17"/>
  <c r="L2496" i="17"/>
  <c r="M2496" i="17" s="1"/>
  <c r="O2513" i="17"/>
  <c r="O2516" i="17"/>
  <c r="P2516" i="17" s="1"/>
  <c r="O2520" i="17"/>
  <c r="P2520" i="17" s="1"/>
  <c r="O2521" i="17"/>
  <c r="N2541" i="17"/>
  <c r="M2552" i="17"/>
  <c r="L2559" i="17"/>
  <c r="M2559" i="17" s="1"/>
  <c r="L2565" i="17"/>
  <c r="L2570" i="17"/>
  <c r="M2570" i="17" s="1"/>
  <c r="M2573" i="17"/>
  <c r="L2573" i="17"/>
  <c r="P2579" i="17"/>
  <c r="L2579" i="17"/>
  <c r="M2579" i="17" s="1"/>
  <c r="O2579" i="17"/>
  <c r="L2582" i="17"/>
  <c r="L2588" i="17"/>
  <c r="K2594" i="17"/>
  <c r="K2609" i="17"/>
  <c r="M2611" i="17"/>
  <c r="M2613" i="17"/>
  <c r="N2613" i="17" s="1"/>
  <c r="O2613" i="17" s="1"/>
  <c r="L2618" i="17"/>
  <c r="M2618" i="17" s="1"/>
  <c r="P2623" i="17"/>
  <c r="M2643" i="17"/>
  <c r="N2643" i="17"/>
  <c r="L2656" i="17"/>
  <c r="N2545" i="17"/>
  <c r="N2561" i="17"/>
  <c r="L2567" i="17"/>
  <c r="N2567" i="17" s="1"/>
  <c r="L2576" i="17"/>
  <c r="L2585" i="17"/>
  <c r="N2618" i="17"/>
  <c r="O2618" i="17" s="1"/>
  <c r="P2618" i="17" s="1"/>
  <c r="N2652" i="17"/>
  <c r="M2656" i="17"/>
  <c r="O2656" i="17" s="1"/>
  <c r="P2656" i="17" s="1"/>
  <c r="N2524" i="17"/>
  <c r="L2525" i="17"/>
  <c r="L2529" i="17"/>
  <c r="L2533" i="17"/>
  <c r="L2537" i="17"/>
  <c r="N2540" i="17"/>
  <c r="L2541" i="17"/>
  <c r="L2545" i="17"/>
  <c r="M2549" i="17"/>
  <c r="L2549" i="17"/>
  <c r="N2552" i="17"/>
  <c r="L2561" i="17"/>
  <c r="M2567" i="17"/>
  <c r="N2569" i="17"/>
  <c r="N2578" i="17"/>
  <c r="N2579" i="17"/>
  <c r="M2585" i="17"/>
  <c r="N2587" i="17"/>
  <c r="O2587" i="17" s="1"/>
  <c r="P2587" i="17" s="1"/>
  <c r="K2590" i="17"/>
  <c r="M2627" i="17"/>
  <c r="M2629" i="17"/>
  <c r="L2634" i="17"/>
  <c r="P2639" i="17"/>
  <c r="N2656" i="17"/>
  <c r="M2525" i="17"/>
  <c r="N2525" i="17" s="1"/>
  <c r="M2533" i="17"/>
  <c r="M2541" i="17"/>
  <c r="M2545" i="17"/>
  <c r="M2561" i="17"/>
  <c r="L2595" i="17"/>
  <c r="K2595" i="17"/>
  <c r="M2606" i="17"/>
  <c r="L2610" i="17"/>
  <c r="M2610" i="17" s="1"/>
  <c r="P2615" i="17"/>
  <c r="O2634" i="17"/>
  <c r="M2634" i="17"/>
  <c r="N2634" i="17"/>
  <c r="L2647" i="17"/>
  <c r="M2647" i="17" s="1"/>
  <c r="N2647" i="17" s="1"/>
  <c r="L2551" i="17"/>
  <c r="M2560" i="17"/>
  <c r="O2561" i="17"/>
  <c r="N2598" i="17"/>
  <c r="M2612" i="17"/>
  <c r="N2642" i="17"/>
  <c r="O2642" i="17" s="1"/>
  <c r="L2523" i="17"/>
  <c r="M2524" i="17"/>
  <c r="M2528" i="17"/>
  <c r="M2532" i="17"/>
  <c r="M2536" i="17"/>
  <c r="N2536" i="17" s="1"/>
  <c r="M2540" i="17"/>
  <c r="N2543" i="17"/>
  <c r="M2544" i="17"/>
  <c r="M2551" i="17"/>
  <c r="N2553" i="17"/>
  <c r="M2554" i="17"/>
  <c r="N2554" i="17" s="1"/>
  <c r="L2560" i="17"/>
  <c r="O2568" i="17"/>
  <c r="P2568" i="17" s="1"/>
  <c r="M2568" i="17"/>
  <c r="M2577" i="17"/>
  <c r="M2586" i="17"/>
  <c r="M2621" i="17"/>
  <c r="N2621" i="17" s="1"/>
  <c r="L2626" i="17"/>
  <c r="P2631" i="17"/>
  <c r="M2653" i="17"/>
  <c r="L2602" i="17"/>
  <c r="L2605" i="17"/>
  <c r="L2612" i="17"/>
  <c r="L2620" i="17"/>
  <c r="L2628" i="17"/>
  <c r="L2636" i="17"/>
  <c r="M2636" i="17" s="1"/>
  <c r="L2646" i="17"/>
  <c r="L2655" i="17"/>
  <c r="M2550" i="17"/>
  <c r="M2558" i="17"/>
  <c r="M2566" i="17"/>
  <c r="M2574" i="17"/>
  <c r="M2584" i="17"/>
  <c r="L2593" i="17"/>
  <c r="L2604" i="17"/>
  <c r="M2605" i="17"/>
  <c r="M2617" i="17"/>
  <c r="N2617" i="17" s="1"/>
  <c r="M2625" i="17"/>
  <c r="M2633" i="17"/>
  <c r="M2642" i="17"/>
  <c r="M2652" i="17"/>
  <c r="O2652" i="17" s="1"/>
  <c r="L2548" i="17"/>
  <c r="P2555" i="17"/>
  <c r="L2556" i="17"/>
  <c r="L2564" i="17"/>
  <c r="N2566" i="17"/>
  <c r="L2572" i="17"/>
  <c r="N2574" i="17"/>
  <c r="L2581" i="17"/>
  <c r="K2593" i="17"/>
  <c r="K2596" i="17"/>
  <c r="K2601" i="17"/>
  <c r="L2601" i="17" s="1"/>
  <c r="K2604" i="17"/>
  <c r="L2611" i="17"/>
  <c r="M2616" i="17"/>
  <c r="L2619" i="17"/>
  <c r="M2624" i="17"/>
  <c r="L2627" i="17"/>
  <c r="L2635" i="17"/>
  <c r="M2635" i="17" s="1"/>
  <c r="M2641" i="17"/>
  <c r="L2644" i="17"/>
  <c r="M2651" i="17"/>
  <c r="L2654" i="17"/>
  <c r="M2654" i="17" s="1"/>
  <c r="N2654" i="17" s="1"/>
  <c r="E1" i="18"/>
  <c r="G1" i="18"/>
  <c r="L2592" i="17"/>
  <c r="K2592" i="17"/>
  <c r="L2603" i="17"/>
  <c r="K2607" i="17"/>
  <c r="L2591" i="17"/>
  <c r="L2600" i="17"/>
  <c r="M2600" i="17" s="1"/>
  <c r="L2608" i="17"/>
  <c r="L2616" i="17"/>
  <c r="L2624" i="17"/>
  <c r="L2632" i="17"/>
  <c r="M2632" i="17" s="1"/>
  <c r="L2641" i="17"/>
  <c r="L2651" i="17"/>
  <c r="L2589" i="17"/>
  <c r="M2591" i="17"/>
  <c r="L2598" i="17"/>
  <c r="M2598" i="17" s="1"/>
  <c r="L2606" i="17"/>
  <c r="M2608" i="17"/>
  <c r="L2614" i="17"/>
  <c r="L2622" i="17"/>
  <c r="L2630" i="17"/>
  <c r="L2638" i="17"/>
  <c r="L2648" i="17"/>
  <c r="AD5" i="9" l="1"/>
  <c r="N29" i="4"/>
  <c r="V5" i="9"/>
  <c r="A8" i="8"/>
  <c r="P5" i="9"/>
  <c r="L5" i="11"/>
  <c r="R4" i="11"/>
  <c r="N4" i="11"/>
  <c r="N11" i="4"/>
  <c r="F11" i="28" s="1"/>
  <c r="J15" i="9"/>
  <c r="J5" i="11"/>
  <c r="V6" i="9"/>
  <c r="H17" i="11"/>
  <c r="H4" i="11"/>
  <c r="X18" i="11"/>
  <c r="N24" i="4"/>
  <c r="F24" i="28" s="1"/>
  <c r="N5" i="9"/>
  <c r="X5" i="9"/>
  <c r="AG6" i="9"/>
  <c r="X15" i="9"/>
  <c r="J31" i="11"/>
  <c r="T31" i="11"/>
  <c r="AE31" i="11"/>
  <c r="P31" i="11"/>
  <c r="AB4" i="11"/>
  <c r="N10" i="4"/>
  <c r="F10" i="28" s="1"/>
  <c r="L31" i="11"/>
  <c r="V31" i="11"/>
  <c r="L6" i="9"/>
  <c r="Z18" i="11"/>
  <c r="N6" i="9"/>
  <c r="Z31" i="11"/>
  <c r="AD6" i="9"/>
  <c r="X6" i="9"/>
  <c r="F31" i="5"/>
  <c r="P6" i="9"/>
  <c r="L5" i="9"/>
  <c r="R15" i="9"/>
  <c r="T5" i="11"/>
  <c r="AB18" i="11"/>
  <c r="R16" i="9"/>
  <c r="J5" i="9"/>
  <c r="N30" i="4"/>
  <c r="F30" i="28" s="1"/>
  <c r="M2576" i="17"/>
  <c r="N2576" i="17"/>
  <c r="P2576" i="17" s="1"/>
  <c r="L2247" i="17"/>
  <c r="M2247" i="17" s="1"/>
  <c r="P2106" i="17"/>
  <c r="O2002" i="17"/>
  <c r="L1838" i="17"/>
  <c r="O1903" i="17"/>
  <c r="P1903" i="17" s="1"/>
  <c r="N1903" i="17"/>
  <c r="P1877" i="17"/>
  <c r="L1782" i="17"/>
  <c r="M1782" i="17" s="1"/>
  <c r="N1703" i="17"/>
  <c r="L1326" i="17"/>
  <c r="M1274" i="17"/>
  <c r="N1274" i="17" s="1"/>
  <c r="M558" i="17"/>
  <c r="L558" i="17"/>
  <c r="M2638" i="17"/>
  <c r="N2638" i="17" s="1"/>
  <c r="O2578" i="17"/>
  <c r="P2578" i="17"/>
  <c r="O2576" i="17"/>
  <c r="M2588" i="17"/>
  <c r="O2588" i="17" s="1"/>
  <c r="N2588" i="17"/>
  <c r="P2588" i="17" s="1"/>
  <c r="M2565" i="17"/>
  <c r="N2565" i="17" s="1"/>
  <c r="O2565" i="17" s="1"/>
  <c r="M2488" i="17"/>
  <c r="O2530" i="17"/>
  <c r="N2530" i="17"/>
  <c r="M2482" i="17"/>
  <c r="N2482" i="17"/>
  <c r="N2477" i="17"/>
  <c r="O2477" i="17" s="1"/>
  <c r="P2477" i="17" s="1"/>
  <c r="N2487" i="17"/>
  <c r="M2487" i="17"/>
  <c r="O2440" i="17"/>
  <c r="P2440" i="17" s="1"/>
  <c r="O2514" i="17"/>
  <c r="P2514" i="17"/>
  <c r="N2370" i="17"/>
  <c r="O2370" i="17" s="1"/>
  <c r="P2370" i="17" s="1"/>
  <c r="O2272" i="17"/>
  <c r="P2272" i="17" s="1"/>
  <c r="M2345" i="17"/>
  <c r="P2345" i="17" s="1"/>
  <c r="P2309" i="17"/>
  <c r="O2239" i="17"/>
  <c r="P2239" i="17" s="1"/>
  <c r="N2239" i="17"/>
  <c r="M2277" i="17"/>
  <c r="M2183" i="17"/>
  <c r="L2183" i="17"/>
  <c r="L2129" i="17"/>
  <c r="M2129" i="17" s="1"/>
  <c r="N2057" i="17"/>
  <c r="P2057" i="17"/>
  <c r="O2057" i="17"/>
  <c r="N2049" i="17"/>
  <c r="N2041" i="17"/>
  <c r="O2033" i="17"/>
  <c r="N2033" i="17"/>
  <c r="P2033" i="17" s="1"/>
  <c r="N2025" i="17"/>
  <c r="O2025" i="17" s="1"/>
  <c r="L2082" i="17"/>
  <c r="M2135" i="17"/>
  <c r="L2135" i="17"/>
  <c r="L1858" i="17"/>
  <c r="M1924" i="17"/>
  <c r="N1924" i="17"/>
  <c r="O1924" i="17" s="1"/>
  <c r="N1909" i="17"/>
  <c r="O1909" i="17" s="1"/>
  <c r="P1909" i="17" s="1"/>
  <c r="L1804" i="17"/>
  <c r="M1804" i="17" s="1"/>
  <c r="M1970" i="17"/>
  <c r="L1970" i="17"/>
  <c r="L1830" i="17"/>
  <c r="P1933" i="17"/>
  <c r="M1629" i="17"/>
  <c r="N1629" i="17" s="1"/>
  <c r="M1646" i="17"/>
  <c r="L898" i="17"/>
  <c r="M888" i="17"/>
  <c r="O888" i="17" s="1"/>
  <c r="P888" i="17" s="1"/>
  <c r="N888" i="17"/>
  <c r="L888" i="17"/>
  <c r="N838" i="17"/>
  <c r="O838" i="17" s="1"/>
  <c r="P838" i="17" s="1"/>
  <c r="O895" i="17"/>
  <c r="P895" i="17"/>
  <c r="M474" i="17"/>
  <c r="N474" i="17" s="1"/>
  <c r="M458" i="17"/>
  <c r="O458" i="17" s="1"/>
  <c r="P458" i="17" s="1"/>
  <c r="N458" i="17"/>
  <c r="N2360" i="17"/>
  <c r="M2360" i="17"/>
  <c r="L2360" i="17"/>
  <c r="N2572" i="17"/>
  <c r="M2572" i="17"/>
  <c r="O2572" i="17" s="1"/>
  <c r="O2584" i="17"/>
  <c r="P2584" i="17" s="1"/>
  <c r="N2584" i="17"/>
  <c r="O2628" i="17"/>
  <c r="P2653" i="17"/>
  <c r="N2653" i="17"/>
  <c r="O2653" i="17"/>
  <c r="O2524" i="17"/>
  <c r="P2524" i="17" s="1"/>
  <c r="N2582" i="17"/>
  <c r="M2582" i="17"/>
  <c r="N2546" i="17"/>
  <c r="P2476" i="17"/>
  <c r="N2535" i="17"/>
  <c r="L2535" i="17"/>
  <c r="M2535" i="17" s="1"/>
  <c r="M2486" i="17"/>
  <c r="O2510" i="17"/>
  <c r="M2466" i="17"/>
  <c r="L2466" i="17"/>
  <c r="O2543" i="17"/>
  <c r="M2330" i="17"/>
  <c r="N2330" i="17"/>
  <c r="O2330" i="17" s="1"/>
  <c r="P2256" i="17"/>
  <c r="M2464" i="17"/>
  <c r="L2464" i="17"/>
  <c r="M2454" i="17"/>
  <c r="N2345" i="17"/>
  <c r="L2244" i="17"/>
  <c r="O2244" i="17" s="1"/>
  <c r="M2244" i="17"/>
  <c r="N2244" i="17" s="1"/>
  <c r="M2230" i="17"/>
  <c r="L2230" i="17"/>
  <c r="N2233" i="17"/>
  <c r="M2233" i="17"/>
  <c r="P2233" i="17" s="1"/>
  <c r="O2117" i="17"/>
  <c r="P2117" i="17" s="1"/>
  <c r="N2084" i="17"/>
  <c r="M2084" i="17"/>
  <c r="L2250" i="17"/>
  <c r="M2175" i="17"/>
  <c r="M2179" i="17"/>
  <c r="N1954" i="17"/>
  <c r="O1954" i="17" s="1"/>
  <c r="P1954" i="17" s="1"/>
  <c r="M1856" i="17"/>
  <c r="N1856" i="17" s="1"/>
  <c r="L1757" i="17"/>
  <c r="M1816" i="17"/>
  <c r="N1816" i="17"/>
  <c r="O1816" i="17" s="1"/>
  <c r="L1816" i="17"/>
  <c r="N1611" i="17"/>
  <c r="O1611" i="17"/>
  <c r="M1611" i="17"/>
  <c r="M797" i="17"/>
  <c r="L797" i="17"/>
  <c r="N797" i="17" s="1"/>
  <c r="O797" i="17" s="1"/>
  <c r="O643" i="17"/>
  <c r="P643" i="17" s="1"/>
  <c r="M21" i="17"/>
  <c r="L21" i="17"/>
  <c r="M1964" i="17"/>
  <c r="N1964" i="17" s="1"/>
  <c r="O1964" i="17" s="1"/>
  <c r="M1977" i="17"/>
  <c r="L1844" i="17"/>
  <c r="M1844" i="17" s="1"/>
  <c r="M1879" i="17"/>
  <c r="N1879" i="17"/>
  <c r="O1879" i="17" s="1"/>
  <c r="M1901" i="17"/>
  <c r="N1901" i="17"/>
  <c r="O1901" i="17" s="1"/>
  <c r="M1746" i="17"/>
  <c r="L1746" i="17"/>
  <c r="O1925" i="17"/>
  <c r="N1925" i="17"/>
  <c r="M1657" i="17"/>
  <c r="M1891" i="17"/>
  <c r="P1735" i="17"/>
  <c r="O1735" i="17"/>
  <c r="M1627" i="17"/>
  <c r="M1662" i="17"/>
  <c r="N1662" i="17" s="1"/>
  <c r="L352" i="17"/>
  <c r="M352" i="17"/>
  <c r="N352" i="17" s="1"/>
  <c r="N2629" i="17"/>
  <c r="P2629" i="17" s="1"/>
  <c r="O2629" i="17"/>
  <c r="N2461" i="17"/>
  <c r="O2461" i="17" s="1"/>
  <c r="L2386" i="17"/>
  <c r="M2537" i="17"/>
  <c r="O2537" i="17" s="1"/>
  <c r="N2537" i="17"/>
  <c r="M2402" i="17"/>
  <c r="N2402" i="17"/>
  <c r="M2329" i="17"/>
  <c r="L2329" i="17"/>
  <c r="N2329" i="17" s="1"/>
  <c r="P2269" i="17"/>
  <c r="N2189" i="17"/>
  <c r="L2393" i="17"/>
  <c r="L2190" i="17"/>
  <c r="O2222" i="17"/>
  <c r="O2171" i="17"/>
  <c r="P2171" i="17" s="1"/>
  <c r="O2163" i="17"/>
  <c r="P2163" i="17" s="1"/>
  <c r="P2153" i="17"/>
  <c r="O2130" i="17"/>
  <c r="P2130" i="17" s="1"/>
  <c r="L2128" i="17"/>
  <c r="M2128" i="17" s="1"/>
  <c r="N2128" i="17" s="1"/>
  <c r="N2228" i="17"/>
  <c r="P2228" i="17" s="1"/>
  <c r="N2220" i="17"/>
  <c r="O2220" i="17" s="1"/>
  <c r="M2220" i="17"/>
  <c r="L1983" i="17"/>
  <c r="P2561" i="17"/>
  <c r="O2552" i="17"/>
  <c r="P2552" i="17" s="1"/>
  <c r="O2517" i="17"/>
  <c r="M2489" i="17"/>
  <c r="N2489" i="17" s="1"/>
  <c r="M2538" i="17"/>
  <c r="N2538" i="17" s="1"/>
  <c r="M2498" i="17"/>
  <c r="N2498" i="17" s="1"/>
  <c r="O2498" i="17" s="1"/>
  <c r="N2501" i="17"/>
  <c r="P2501" i="17" s="1"/>
  <c r="O2501" i="17"/>
  <c r="M2603" i="17"/>
  <c r="N2493" i="17"/>
  <c r="O2493" i="17" s="1"/>
  <c r="M2493" i="17"/>
  <c r="N2470" i="17"/>
  <c r="N2453" i="17"/>
  <c r="P2474" i="17"/>
  <c r="P2457" i="17"/>
  <c r="O2571" i="17"/>
  <c r="P2571" i="17"/>
  <c r="N2441" i="17"/>
  <c r="N2374" i="17"/>
  <c r="M2355" i="17"/>
  <c r="L2355" i="17"/>
  <c r="L2344" i="17"/>
  <c r="O2326" i="17"/>
  <c r="P2326" i="17"/>
  <c r="N2326" i="17"/>
  <c r="P2253" i="17"/>
  <c r="M2447" i="17"/>
  <c r="P2293" i="17"/>
  <c r="P2304" i="17"/>
  <c r="O2304" i="17"/>
  <c r="M2282" i="17"/>
  <c r="N2282" i="17" s="1"/>
  <c r="L2213" i="17"/>
  <c r="O2126" i="17"/>
  <c r="P2126" i="17" s="1"/>
  <c r="L2095" i="17"/>
  <c r="M2195" i="17"/>
  <c r="N2195" i="17" s="1"/>
  <c r="O2228" i="17"/>
  <c r="P2038" i="17"/>
  <c r="N2156" i="17"/>
  <c r="P2156" i="17" s="1"/>
  <c r="O2156" i="17"/>
  <c r="M1974" i="17"/>
  <c r="M1937" i="17"/>
  <c r="N1937" i="17" s="1"/>
  <c r="M1857" i="17"/>
  <c r="N1728" i="17"/>
  <c r="P1611" i="17"/>
  <c r="P1714" i="17"/>
  <c r="L1599" i="17"/>
  <c r="M1599" i="17" s="1"/>
  <c r="L191" i="17"/>
  <c r="M191" i="17" s="1"/>
  <c r="P2530" i="17"/>
  <c r="L2471" i="17"/>
  <c r="N2551" i="17"/>
  <c r="O2551" i="17" s="1"/>
  <c r="P2551" i="17" s="1"/>
  <c r="L2437" i="17"/>
  <c r="N2558" i="17"/>
  <c r="P2517" i="17"/>
  <c r="N2433" i="17"/>
  <c r="M2433" i="17"/>
  <c r="O2268" i="17"/>
  <c r="N2268" i="17"/>
  <c r="P2268" i="17" s="1"/>
  <c r="O2260" i="17"/>
  <c r="P2260" i="17"/>
  <c r="N2260" i="17"/>
  <c r="N2252" i="17"/>
  <c r="O2252" i="17" s="1"/>
  <c r="P2214" i="17"/>
  <c r="L2204" i="17"/>
  <c r="M2204" i="17"/>
  <c r="O2215" i="17"/>
  <c r="P2215" i="17"/>
  <c r="N2215" i="17"/>
  <c r="M2318" i="17"/>
  <c r="N2318" i="17" s="1"/>
  <c r="M2302" i="17"/>
  <c r="N2302" i="17"/>
  <c r="O2302" i="17" s="1"/>
  <c r="P2302" i="17" s="1"/>
  <c r="P2169" i="17"/>
  <c r="P2237" i="17"/>
  <c r="N2237" i="17"/>
  <c r="M2237" i="17"/>
  <c r="O2237" i="17"/>
  <c r="O2116" i="17"/>
  <c r="N2116" i="17"/>
  <c r="N2091" i="17"/>
  <c r="O2091" i="17" s="1"/>
  <c r="M2091" i="17"/>
  <c r="M2013" i="17"/>
  <c r="N2013" i="17" s="1"/>
  <c r="O2146" i="17"/>
  <c r="N2146" i="17"/>
  <c r="N2014" i="17"/>
  <c r="O2014" i="17"/>
  <c r="M2014" i="17"/>
  <c r="P2014" i="17" s="1"/>
  <c r="N2019" i="17"/>
  <c r="M2019" i="17"/>
  <c r="P2019" i="17" s="1"/>
  <c r="O1969" i="17"/>
  <c r="O2083" i="17"/>
  <c r="P2083" i="17" s="1"/>
  <c r="M1917" i="17"/>
  <c r="L1860" i="17"/>
  <c r="M1966" i="17"/>
  <c r="P1940" i="17"/>
  <c r="O1883" i="17"/>
  <c r="P1883" i="17" s="1"/>
  <c r="N1888" i="17"/>
  <c r="M1888" i="17"/>
  <c r="O1888" i="17" s="1"/>
  <c r="O1849" i="17"/>
  <c r="N1849" i="17"/>
  <c r="P1849" i="17" s="1"/>
  <c r="M1762" i="17"/>
  <c r="L1762" i="17"/>
  <c r="N1762" i="17" s="1"/>
  <c r="O1728" i="17"/>
  <c r="N1704" i="17"/>
  <c r="M1704" i="17"/>
  <c r="O1704" i="17" s="1"/>
  <c r="P1704" i="17" s="1"/>
  <c r="L1674" i="17"/>
  <c r="N1674" i="17"/>
  <c r="O1674" i="17" s="1"/>
  <c r="P1674" i="17" s="1"/>
  <c r="M1674" i="17"/>
  <c r="L1658" i="17"/>
  <c r="M1658" i="17" s="1"/>
  <c r="L1642" i="17"/>
  <c r="M1642" i="17"/>
  <c r="N1697" i="17"/>
  <c r="L1128" i="17"/>
  <c r="M1084" i="17"/>
  <c r="M571" i="17"/>
  <c r="N571" i="17"/>
  <c r="N674" i="17"/>
  <c r="M674" i="17"/>
  <c r="O674" i="17" s="1"/>
  <c r="P674" i="17" s="1"/>
  <c r="L96" i="17"/>
  <c r="M2594" i="17"/>
  <c r="L2594" i="17"/>
  <c r="O2594" i="17" s="1"/>
  <c r="P2594" i="17" s="1"/>
  <c r="N2594" i="17"/>
  <c r="L2443" i="17"/>
  <c r="N2342" i="17"/>
  <c r="P2342" i="17" s="1"/>
  <c r="O2342" i="17"/>
  <c r="O2563" i="17"/>
  <c r="P2563" i="17" s="1"/>
  <c r="P2543" i="17"/>
  <c r="N2488" i="17"/>
  <c r="P2488" i="17" s="1"/>
  <c r="O2374" i="17"/>
  <c r="P2374" i="17" s="1"/>
  <c r="N2276" i="17"/>
  <c r="O2276" i="17" s="1"/>
  <c r="L2512" i="17"/>
  <c r="N2465" i="17"/>
  <c r="O2465" i="17" s="1"/>
  <c r="L2394" i="17"/>
  <c r="M2394" i="17"/>
  <c r="L2197" i="17"/>
  <c r="M2197" i="17" s="1"/>
  <c r="O2361" i="17"/>
  <c r="N2361" i="17"/>
  <c r="P2361" i="17" s="1"/>
  <c r="M2361" i="17"/>
  <c r="M2081" i="17"/>
  <c r="N2081" i="17" s="1"/>
  <c r="O2264" i="17"/>
  <c r="P2264" i="17" s="1"/>
  <c r="N2079" i="17"/>
  <c r="P2079" i="17" s="1"/>
  <c r="O2079" i="17"/>
  <c r="N2154" i="17"/>
  <c r="P2061" i="17"/>
  <c r="M1944" i="17"/>
  <c r="N1944" i="17" s="1"/>
  <c r="O1944" i="17" s="1"/>
  <c r="M1982" i="17"/>
  <c r="L1982" i="17"/>
  <c r="M1939" i="17"/>
  <c r="M1921" i="17"/>
  <c r="N1921" i="17"/>
  <c r="M1863" i="17"/>
  <c r="O1895" i="17"/>
  <c r="P1895" i="17" s="1"/>
  <c r="O1870" i="17"/>
  <c r="O2019" i="17"/>
  <c r="L1744" i="17"/>
  <c r="M1744" i="17" s="1"/>
  <c r="P1797" i="17"/>
  <c r="M1765" i="17"/>
  <c r="L1801" i="17"/>
  <c r="M1801" i="17" s="1"/>
  <c r="N1801" i="17" s="1"/>
  <c r="M1676" i="17"/>
  <c r="N1676" i="17" s="1"/>
  <c r="M1643" i="17"/>
  <c r="N1643" i="17" s="1"/>
  <c r="L1513" i="17"/>
  <c r="M1513" i="17"/>
  <c r="L1504" i="17"/>
  <c r="N1504" i="17"/>
  <c r="O1504" i="17" s="1"/>
  <c r="M1504" i="17"/>
  <c r="L1495" i="17"/>
  <c r="L1487" i="17"/>
  <c r="L1479" i="17"/>
  <c r="M1479" i="17"/>
  <c r="L1471" i="17"/>
  <c r="M1471" i="17"/>
  <c r="N1471" i="17" s="1"/>
  <c r="L1463" i="17"/>
  <c r="M1463" i="17"/>
  <c r="L1455" i="17"/>
  <c r="O1455" i="17" s="1"/>
  <c r="M1455" i="17"/>
  <c r="N1455" i="17" s="1"/>
  <c r="L1447" i="17"/>
  <c r="L1438" i="17"/>
  <c r="M1438" i="17" s="1"/>
  <c r="L1430" i="17"/>
  <c r="L1422" i="17"/>
  <c r="N1422" i="17" s="1"/>
  <c r="M1422" i="17"/>
  <c r="L1414" i="17"/>
  <c r="M1414" i="17"/>
  <c r="N1414" i="17" s="1"/>
  <c r="L1406" i="17"/>
  <c r="M1398" i="17"/>
  <c r="L1398" i="17"/>
  <c r="N1398" i="17" s="1"/>
  <c r="M1743" i="17"/>
  <c r="P1690" i="17"/>
  <c r="M1148" i="17"/>
  <c r="M1138" i="17"/>
  <c r="N1138" i="17" s="1"/>
  <c r="O862" i="17"/>
  <c r="P862" i="17" s="1"/>
  <c r="M324" i="17"/>
  <c r="N324" i="17" s="1"/>
  <c r="L288" i="17"/>
  <c r="N2600" i="17"/>
  <c r="O2600" i="17"/>
  <c r="P2600" i="17" s="1"/>
  <c r="M2339" i="17"/>
  <c r="M2620" i="17"/>
  <c r="N2620" i="17" s="1"/>
  <c r="N2626" i="17"/>
  <c r="O2626" i="17" s="1"/>
  <c r="P2626" i="17" s="1"/>
  <c r="P2647" i="17"/>
  <c r="O2647" i="17"/>
  <c r="O2557" i="17"/>
  <c r="P2557" i="17"/>
  <c r="N2557" i="17"/>
  <c r="L2599" i="17"/>
  <c r="N2458" i="17"/>
  <c r="P2458" i="17" s="1"/>
  <c r="M2379" i="17"/>
  <c r="O2616" i="17"/>
  <c r="P2616" i="17" s="1"/>
  <c r="N2616" i="17"/>
  <c r="L2596" i="17"/>
  <c r="M2596" i="17" s="1"/>
  <c r="N2448" i="17"/>
  <c r="O2448" i="17" s="1"/>
  <c r="N2550" i="17"/>
  <c r="O2550" i="17" s="1"/>
  <c r="N2585" i="17"/>
  <c r="O2488" i="17"/>
  <c r="N2502" i="17"/>
  <c r="O2502" i="17" s="1"/>
  <c r="N2506" i="17"/>
  <c r="O2506" i="17" s="1"/>
  <c r="O2470" i="17"/>
  <c r="P2470" i="17" s="1"/>
  <c r="O2453" i="17"/>
  <c r="P2453" i="17" s="1"/>
  <c r="O2518" i="17"/>
  <c r="L2383" i="17"/>
  <c r="L2341" i="17"/>
  <c r="M2341" i="17" s="1"/>
  <c r="M2365" i="17"/>
  <c r="N2365" i="17" s="1"/>
  <c r="L2365" i="17"/>
  <c r="M2351" i="17"/>
  <c r="L2351" i="17"/>
  <c r="M2375" i="17"/>
  <c r="N2284" i="17"/>
  <c r="O2284" i="17" s="1"/>
  <c r="M2377" i="17"/>
  <c r="L2187" i="17"/>
  <c r="P2090" i="17"/>
  <c r="O2123" i="17"/>
  <c r="P2123" i="17" s="1"/>
  <c r="L2000" i="17"/>
  <c r="L1967" i="17"/>
  <c r="P2065" i="17"/>
  <c r="N1976" i="17"/>
  <c r="O1976" i="17"/>
  <c r="P1880" i="17"/>
  <c r="O2006" i="17"/>
  <c r="N2100" i="17"/>
  <c r="O1960" i="17"/>
  <c r="P1960" i="17" s="1"/>
  <c r="M2119" i="17"/>
  <c r="P1969" i="17"/>
  <c r="N1900" i="17"/>
  <c r="O1900" i="17" s="1"/>
  <c r="O1908" i="17"/>
  <c r="P1855" i="17"/>
  <c r="L1862" i="17"/>
  <c r="M1862" i="17"/>
  <c r="N1862" i="17"/>
  <c r="O1862" i="17" s="1"/>
  <c r="M1918" i="17"/>
  <c r="M1871" i="17"/>
  <c r="P1871" i="17" s="1"/>
  <c r="O1871" i="17"/>
  <c r="L1871" i="17"/>
  <c r="N1871" i="17"/>
  <c r="M1800" i="17"/>
  <c r="O1907" i="17"/>
  <c r="P1907" i="17" s="1"/>
  <c r="L794" i="17"/>
  <c r="N705" i="17"/>
  <c r="O705" i="17"/>
  <c r="P705" i="17" s="1"/>
  <c r="M2648" i="17"/>
  <c r="N2648" i="17" s="1"/>
  <c r="O2592" i="17"/>
  <c r="M2592" i="17"/>
  <c r="N2592" i="17" s="1"/>
  <c r="M2548" i="17"/>
  <c r="M2619" i="17"/>
  <c r="O2598" i="17"/>
  <c r="N2523" i="17"/>
  <c r="M2523" i="17"/>
  <c r="O2617" i="17"/>
  <c r="P2598" i="17"/>
  <c r="O2554" i="17"/>
  <c r="P2554" i="17" s="1"/>
  <c r="M2529" i="17"/>
  <c r="N2529" i="17" s="1"/>
  <c r="O2529" i="17" s="1"/>
  <c r="O2549" i="17"/>
  <c r="N2549" i="17"/>
  <c r="P2549" i="17" s="1"/>
  <c r="P2613" i="17"/>
  <c r="L2609" i="17"/>
  <c r="N2573" i="17"/>
  <c r="N2511" i="17"/>
  <c r="M2511" i="17"/>
  <c r="M2481" i="17"/>
  <c r="M2483" i="17"/>
  <c r="N2483" i="17" s="1"/>
  <c r="N2486" i="17"/>
  <c r="P2628" i="17"/>
  <c r="M2527" i="17"/>
  <c r="M2495" i="17"/>
  <c r="N2495" i="17" s="1"/>
  <c r="N2637" i="17"/>
  <c r="O2637" i="17" s="1"/>
  <c r="P2518" i="17"/>
  <c r="M2539" i="17"/>
  <c r="L2429" i="17"/>
  <c r="L2425" i="17"/>
  <c r="M2421" i="17"/>
  <c r="L2421" i="17"/>
  <c r="M2417" i="17"/>
  <c r="L2417" i="17"/>
  <c r="L2413" i="17"/>
  <c r="L2409" i="17"/>
  <c r="M2405" i="17"/>
  <c r="L2405" i="17"/>
  <c r="L2401" i="17"/>
  <c r="M2401" i="17" s="1"/>
  <c r="N2449" i="17"/>
  <c r="O2449" i="17" s="1"/>
  <c r="M2456" i="17"/>
  <c r="N2462" i="17"/>
  <c r="L2416" i="17"/>
  <c r="L2400" i="17"/>
  <c r="M2445" i="17"/>
  <c r="N2445" i="17" s="1"/>
  <c r="M2475" i="17"/>
  <c r="O2458" i="17"/>
  <c r="L2388" i="17"/>
  <c r="P2366" i="17"/>
  <c r="N2379" i="17"/>
  <c r="M2320" i="17"/>
  <c r="N2352" i="17"/>
  <c r="N2375" i="17"/>
  <c r="L2359" i="17"/>
  <c r="N2322" i="17"/>
  <c r="M2322" i="17"/>
  <c r="O2283" i="17"/>
  <c r="O2259" i="17"/>
  <c r="N2447" i="17"/>
  <c r="N2454" i="17"/>
  <c r="N2377" i="17"/>
  <c r="O2345" i="17"/>
  <c r="P2317" i="17"/>
  <c r="O2301" i="17"/>
  <c r="P2301" i="17" s="1"/>
  <c r="L2186" i="17"/>
  <c r="O2186" i="17" s="1"/>
  <c r="N2313" i="17"/>
  <c r="P2313" i="17" s="1"/>
  <c r="N2297" i="17"/>
  <c r="P2297" i="17" s="1"/>
  <c r="O2241" i="17"/>
  <c r="P2241" i="17" s="1"/>
  <c r="L2202" i="17"/>
  <c r="L2182" i="17"/>
  <c r="M2182" i="17" s="1"/>
  <c r="O2182" i="17" s="1"/>
  <c r="O2372" i="17"/>
  <c r="P2372" i="17" s="1"/>
  <c r="N2182" i="17"/>
  <c r="O2168" i="17"/>
  <c r="P2168" i="17" s="1"/>
  <c r="O2160" i="17"/>
  <c r="P2160" i="17" s="1"/>
  <c r="O2152" i="17"/>
  <c r="P2152" i="17" s="1"/>
  <c r="O2525" i="17"/>
  <c r="P2525" i="17" s="1"/>
  <c r="M2347" i="17"/>
  <c r="P2306" i="17"/>
  <c r="P2298" i="17"/>
  <c r="P2287" i="17"/>
  <c r="P2222" i="17"/>
  <c r="M2115" i="17"/>
  <c r="P2115" i="17" s="1"/>
  <c r="P2105" i="17"/>
  <c r="O2233" i="17"/>
  <c r="N2211" i="17"/>
  <c r="O2211" i="17" s="1"/>
  <c r="O2206" i="17"/>
  <c r="P2206" i="17" s="1"/>
  <c r="M2334" i="17"/>
  <c r="O2223" i="17"/>
  <c r="P2223" i="17" s="1"/>
  <c r="P2142" i="17"/>
  <c r="O2101" i="17"/>
  <c r="P2101" i="17" s="1"/>
  <c r="L2245" i="17"/>
  <c r="M2245" i="17" s="1"/>
  <c r="P2088" i="17"/>
  <c r="L2340" i="17"/>
  <c r="N2140" i="17"/>
  <c r="P2140" i="17" s="1"/>
  <c r="O2099" i="17"/>
  <c r="P2099" i="17" s="1"/>
  <c r="O2234" i="17"/>
  <c r="P2234" i="17" s="1"/>
  <c r="O2037" i="17"/>
  <c r="P2037" i="17" s="1"/>
  <c r="N1996" i="17"/>
  <c r="O1996" i="17" s="1"/>
  <c r="M2155" i="17"/>
  <c r="O2072" i="17"/>
  <c r="P2072" i="17" s="1"/>
  <c r="O2343" i="17"/>
  <c r="P2343" i="17" s="1"/>
  <c r="O2073" i="17"/>
  <c r="P2073" i="17" s="1"/>
  <c r="N2055" i="17"/>
  <c r="O2055" i="17" s="1"/>
  <c r="P2055" i="17" s="1"/>
  <c r="P2036" i="17"/>
  <c r="O1988" i="17"/>
  <c r="M1959" i="17"/>
  <c r="N1959" i="17" s="1"/>
  <c r="O2018" i="17"/>
  <c r="P2018" i="17" s="1"/>
  <c r="O1985" i="17"/>
  <c r="P1985" i="17" s="1"/>
  <c r="O2267" i="17"/>
  <c r="P2267" i="17" s="1"/>
  <c r="M2127" i="17"/>
  <c r="N2127" i="17" s="1"/>
  <c r="N2119" i="17"/>
  <c r="O2110" i="17"/>
  <c r="P2110" i="17" s="1"/>
  <c r="O2074" i="17"/>
  <c r="P2074" i="17" s="1"/>
  <c r="N2016" i="17"/>
  <c r="O2016" i="17" s="1"/>
  <c r="P2016" i="17" s="1"/>
  <c r="M1902" i="17"/>
  <c r="N1902" i="17" s="1"/>
  <c r="M1926" i="17"/>
  <c r="O1926" i="17" s="1"/>
  <c r="P1897" i="17"/>
  <c r="M1867" i="17"/>
  <c r="N1837" i="17"/>
  <c r="M1837" i="17"/>
  <c r="O2193" i="17"/>
  <c r="P2193" i="17" s="1"/>
  <c r="N1886" i="17"/>
  <c r="O1886" i="17" s="1"/>
  <c r="M1906" i="17"/>
  <c r="O1878" i="17"/>
  <c r="P1878" i="17" s="1"/>
  <c r="N1957" i="17"/>
  <c r="M1957" i="17"/>
  <c r="O1957" i="17" s="1"/>
  <c r="N1930" i="17"/>
  <c r="N1875" i="17"/>
  <c r="L1809" i="17"/>
  <c r="M1780" i="17"/>
  <c r="N1780" i="17" s="1"/>
  <c r="M1949" i="17"/>
  <c r="P1949" i="17" s="1"/>
  <c r="N1775" i="17"/>
  <c r="O1775" i="17" s="1"/>
  <c r="P1775" i="17" s="1"/>
  <c r="M1794" i="17"/>
  <c r="M1781" i="17"/>
  <c r="N1781" i="17" s="1"/>
  <c r="L1770" i="17"/>
  <c r="M1941" i="17"/>
  <c r="N2048" i="17"/>
  <c r="O2048" i="17" s="1"/>
  <c r="M1820" i="17"/>
  <c r="M1806" i="17"/>
  <c r="L1787" i="17"/>
  <c r="M1787" i="17"/>
  <c r="N1787" i="17" s="1"/>
  <c r="P1925" i="17"/>
  <c r="N1620" i="17"/>
  <c r="O1620" i="17" s="1"/>
  <c r="M1693" i="17"/>
  <c r="N1693" i="17" s="1"/>
  <c r="N1680" i="17"/>
  <c r="O1680" i="17" s="1"/>
  <c r="N1661" i="17"/>
  <c r="M1661" i="17"/>
  <c r="N1647" i="17"/>
  <c r="O1647" i="17" s="1"/>
  <c r="M1623" i="17"/>
  <c r="M1725" i="17"/>
  <c r="P1725" i="17" s="1"/>
  <c r="L1709" i="17"/>
  <c r="L1512" i="17"/>
  <c r="M1512" i="17"/>
  <c r="L1503" i="17"/>
  <c r="L1494" i="17"/>
  <c r="M1494" i="17"/>
  <c r="L1486" i="17"/>
  <c r="M1486" i="17" s="1"/>
  <c r="N1486" i="17" s="1"/>
  <c r="L1478" i="17"/>
  <c r="M1478" i="17" s="1"/>
  <c r="N1478" i="17"/>
  <c r="O1478" i="17" s="1"/>
  <c r="L1470" i="17"/>
  <c r="L1462" i="17"/>
  <c r="M1462" i="17"/>
  <c r="N1462" i="17" s="1"/>
  <c r="L1454" i="17"/>
  <c r="M1454" i="17" s="1"/>
  <c r="L1446" i="17"/>
  <c r="M1446" i="17" s="1"/>
  <c r="L1437" i="17"/>
  <c r="N1437" i="17" s="1"/>
  <c r="O1437" i="17" s="1"/>
  <c r="M1437" i="17"/>
  <c r="L1429" i="17"/>
  <c r="N1429" i="17" s="1"/>
  <c r="O1429" i="17" s="1"/>
  <c r="M1429" i="17"/>
  <c r="L1421" i="17"/>
  <c r="N1421" i="17" s="1"/>
  <c r="L1413" i="17"/>
  <c r="M1413" i="17"/>
  <c r="N1413" i="17" s="1"/>
  <c r="M1405" i="17"/>
  <c r="N1614" i="17"/>
  <c r="O1614" i="17" s="1"/>
  <c r="P1614" i="17" s="1"/>
  <c r="M1614" i="17"/>
  <c r="M1692" i="17"/>
  <c r="O1692" i="17" s="1"/>
  <c r="L1656" i="17"/>
  <c r="L1837" i="17"/>
  <c r="O1724" i="17"/>
  <c r="P1724" i="17" s="1"/>
  <c r="N1692" i="17"/>
  <c r="P1692" i="17" s="1"/>
  <c r="N1683" i="17"/>
  <c r="O1683" i="17" s="1"/>
  <c r="L1672" i="17"/>
  <c r="M1636" i="17"/>
  <c r="O1636" i="17" s="1"/>
  <c r="P1622" i="17"/>
  <c r="O1558" i="17"/>
  <c r="P1558" i="17"/>
  <c r="L1375" i="17"/>
  <c r="L1342" i="17"/>
  <c r="L1694" i="17"/>
  <c r="M1381" i="17"/>
  <c r="O1243" i="17"/>
  <c r="P1243" i="17" s="1"/>
  <c r="L1123" i="17"/>
  <c r="M1123" i="17"/>
  <c r="M928" i="17"/>
  <c r="N928" i="17" s="1"/>
  <c r="N941" i="17"/>
  <c r="N1221" i="17"/>
  <c r="O1221" i="17" s="1"/>
  <c r="L1062" i="17"/>
  <c r="L859" i="17"/>
  <c r="N841" i="17"/>
  <c r="P841" i="17" s="1"/>
  <c r="N821" i="17"/>
  <c r="O873" i="17"/>
  <c r="P873" i="17" s="1"/>
  <c r="O856" i="17"/>
  <c r="P856" i="17" s="1"/>
  <c r="M761" i="17"/>
  <c r="O720" i="17"/>
  <c r="M667" i="17"/>
  <c r="N782" i="17"/>
  <c r="N682" i="17"/>
  <c r="M682" i="17"/>
  <c r="O682" i="17" s="1"/>
  <c r="M738" i="17"/>
  <c r="N738" i="17" s="1"/>
  <c r="L188" i="17"/>
  <c r="M188" i="17" s="1"/>
  <c r="O658" i="17"/>
  <c r="P658" i="17" s="1"/>
  <c r="M658" i="17"/>
  <c r="N658" i="17"/>
  <c r="N547" i="17"/>
  <c r="P547" i="17" s="1"/>
  <c r="M504" i="17"/>
  <c r="P504" i="17" s="1"/>
  <c r="N504" i="17"/>
  <c r="O504" i="17"/>
  <c r="M561" i="17"/>
  <c r="L561" i="17"/>
  <c r="O760" i="17"/>
  <c r="M490" i="17"/>
  <c r="N490" i="17" s="1"/>
  <c r="O490" i="17" s="1"/>
  <c r="M322" i="17"/>
  <c r="N322" i="17" s="1"/>
  <c r="M702" i="17"/>
  <c r="N436" i="17"/>
  <c r="O436" i="17" s="1"/>
  <c r="P436" i="17" s="1"/>
  <c r="N305" i="17"/>
  <c r="N437" i="17"/>
  <c r="O437" i="17" s="1"/>
  <c r="P437" i="17" s="1"/>
  <c r="L160" i="17"/>
  <c r="L130" i="17"/>
  <c r="N720" i="17"/>
  <c r="L185" i="17"/>
  <c r="N185" i="17" s="1"/>
  <c r="M185" i="17"/>
  <c r="L59" i="17"/>
  <c r="M2389" i="17"/>
  <c r="N2389" i="17" s="1"/>
  <c r="O2389" i="17" s="1"/>
  <c r="M2359" i="17"/>
  <c r="O2217" i="17"/>
  <c r="L2181" i="17"/>
  <c r="M2181" i="17" s="1"/>
  <c r="L2227" i="17"/>
  <c r="L2178" i="17"/>
  <c r="M2178" i="17"/>
  <c r="P2290" i="17"/>
  <c r="M2103" i="17"/>
  <c r="L2203" i="17"/>
  <c r="O2104" i="17"/>
  <c r="P2104" i="17" s="1"/>
  <c r="O2140" i="17"/>
  <c r="P2023" i="17"/>
  <c r="N2023" i="17"/>
  <c r="O2023" i="17" s="1"/>
  <c r="M2147" i="17"/>
  <c r="N2147" i="17" s="1"/>
  <c r="N2054" i="17"/>
  <c r="O2054" i="17" s="1"/>
  <c r="L1995" i="17"/>
  <c r="M1995" i="17" s="1"/>
  <c r="L1979" i="17"/>
  <c r="L1963" i="17"/>
  <c r="M1963" i="17" s="1"/>
  <c r="P2070" i="17"/>
  <c r="N2071" i="17"/>
  <c r="P2071" i="17" s="1"/>
  <c r="N2031" i="17"/>
  <c r="N2015" i="17"/>
  <c r="O2015" i="17" s="1"/>
  <c r="O2071" i="17"/>
  <c r="O2039" i="17"/>
  <c r="M1928" i="17"/>
  <c r="M1866" i="17"/>
  <c r="L1866" i="17"/>
  <c r="N1866" i="17" s="1"/>
  <c r="N2009" i="17"/>
  <c r="M1882" i="17"/>
  <c r="N1882" i="17" s="1"/>
  <c r="M1828" i="17"/>
  <c r="P1935" i="17"/>
  <c r="O1951" i="17"/>
  <c r="P1951" i="17" s="1"/>
  <c r="N2012" i="17"/>
  <c r="O2012" i="17" s="1"/>
  <c r="M1813" i="17"/>
  <c r="N1813" i="17" s="1"/>
  <c r="L1813" i="17"/>
  <c r="O1764" i="17"/>
  <c r="N1764" i="17"/>
  <c r="M1764" i="17"/>
  <c r="P1764" i="17" s="1"/>
  <c r="M1752" i="17"/>
  <c r="O1791" i="17"/>
  <c r="N1791" i="17"/>
  <c r="P1791" i="17" s="1"/>
  <c r="M1753" i="17"/>
  <c r="N1753" i="17" s="1"/>
  <c r="O1781" i="17"/>
  <c r="M1810" i="17"/>
  <c r="N1810" i="17" s="1"/>
  <c r="O1810" i="17" s="1"/>
  <c r="M1758" i="17"/>
  <c r="O1758" i="17" s="1"/>
  <c r="M1742" i="17"/>
  <c r="N1742" i="17" s="1"/>
  <c r="O1742" i="17" s="1"/>
  <c r="N1684" i="17"/>
  <c r="M1665" i="17"/>
  <c r="N1651" i="17"/>
  <c r="N1633" i="17"/>
  <c r="M1633" i="17"/>
  <c r="P1845" i="17"/>
  <c r="N1725" i="17"/>
  <c r="N1666" i="17"/>
  <c r="O1666" i="17" s="1"/>
  <c r="P1666" i="17" s="1"/>
  <c r="N1650" i="17"/>
  <c r="P1574" i="17"/>
  <c r="O1574" i="17"/>
  <c r="L1358" i="17"/>
  <c r="O1358" i="17" s="1"/>
  <c r="M1358" i="17"/>
  <c r="N1358" i="17" s="1"/>
  <c r="P1553" i="17"/>
  <c r="O1553" i="17"/>
  <c r="M1286" i="17"/>
  <c r="L1269" i="17"/>
  <c r="M1269" i="17" s="1"/>
  <c r="M1089" i="17"/>
  <c r="N1089" i="17" s="1"/>
  <c r="M1059" i="17"/>
  <c r="L1038" i="17"/>
  <c r="M1038" i="17" s="1"/>
  <c r="M1030" i="17"/>
  <c r="M1021" i="17"/>
  <c r="L1021" i="17"/>
  <c r="N1021" i="17" s="1"/>
  <c r="L1010" i="17"/>
  <c r="M1010" i="17" s="1"/>
  <c r="N1010" i="17"/>
  <c r="O1010" i="17" s="1"/>
  <c r="L1002" i="17"/>
  <c r="L985" i="17"/>
  <c r="L975" i="17"/>
  <c r="M975" i="17"/>
  <c r="M967" i="17"/>
  <c r="L967" i="17"/>
  <c r="N967" i="17"/>
  <c r="O967" i="17" s="1"/>
  <c r="L959" i="17"/>
  <c r="L943" i="17"/>
  <c r="L933" i="17"/>
  <c r="M925" i="17"/>
  <c r="L925" i="17"/>
  <c r="N925" i="17" s="1"/>
  <c r="L904" i="17"/>
  <c r="M904" i="17" s="1"/>
  <c r="M1390" i="17"/>
  <c r="L1390" i="17"/>
  <c r="L857" i="17"/>
  <c r="M857" i="17" s="1"/>
  <c r="O899" i="17"/>
  <c r="P899" i="17" s="1"/>
  <c r="P850" i="17"/>
  <c r="M731" i="17"/>
  <c r="N731" i="17" s="1"/>
  <c r="M706" i="17"/>
  <c r="N563" i="17"/>
  <c r="O782" i="17"/>
  <c r="P782" i="17" s="1"/>
  <c r="N668" i="17"/>
  <c r="P668" i="17" s="1"/>
  <c r="M668" i="17"/>
  <c r="O668" i="17" s="1"/>
  <c r="O419" i="17"/>
  <c r="N164" i="17"/>
  <c r="O164" i="17" s="1"/>
  <c r="L164" i="17"/>
  <c r="M164" i="17"/>
  <c r="N265" i="17"/>
  <c r="L256" i="17"/>
  <c r="M256" i="17" s="1"/>
  <c r="N233" i="17"/>
  <c r="O233" i="17"/>
  <c r="L89" i="17"/>
  <c r="M89" i="17" s="1"/>
  <c r="L493" i="17"/>
  <c r="N493" i="17" s="1"/>
  <c r="M493" i="17"/>
  <c r="O493" i="17" s="1"/>
  <c r="M2589" i="17"/>
  <c r="N2589" i="17" s="1"/>
  <c r="M2564" i="17"/>
  <c r="N2564" i="17" s="1"/>
  <c r="M2432" i="17"/>
  <c r="L2432" i="17"/>
  <c r="N2439" i="17"/>
  <c r="O2439" i="17" s="1"/>
  <c r="P2439" i="17" s="1"/>
  <c r="N2395" i="17"/>
  <c r="N2338" i="17"/>
  <c r="O2338" i="17" s="1"/>
  <c r="L2368" i="17"/>
  <c r="P2368" i="17" s="1"/>
  <c r="L2177" i="17"/>
  <c r="L2174" i="17"/>
  <c r="N2022" i="17"/>
  <c r="P2022" i="17" s="1"/>
  <c r="N2030" i="17"/>
  <c r="O2030" i="17" s="1"/>
  <c r="N1843" i="17"/>
  <c r="M1843" i="17"/>
  <c r="O1843" i="17" s="1"/>
  <c r="O1853" i="17"/>
  <c r="P1853" i="17" s="1"/>
  <c r="N1965" i="17"/>
  <c r="O1965" i="17" s="1"/>
  <c r="L1817" i="17"/>
  <c r="N1949" i="17"/>
  <c r="N1669" i="17"/>
  <c r="M1669" i="17"/>
  <c r="M1637" i="17"/>
  <c r="N1637" i="17" s="1"/>
  <c r="O1725" i="17"/>
  <c r="L1510" i="17"/>
  <c r="L1501" i="17"/>
  <c r="M1501" i="17" s="1"/>
  <c r="L1492" i="17"/>
  <c r="L1484" i="17"/>
  <c r="M1484" i="17" s="1"/>
  <c r="L1476" i="17"/>
  <c r="L1468" i="17"/>
  <c r="L1460" i="17"/>
  <c r="M1460" i="17"/>
  <c r="N1460" i="17" s="1"/>
  <c r="L1452" i="17"/>
  <c r="L1444" i="17"/>
  <c r="N1444" i="17" s="1"/>
  <c r="L1435" i="17"/>
  <c r="L1427" i="17"/>
  <c r="N1427" i="17" s="1"/>
  <c r="L1419" i="17"/>
  <c r="M1419" i="17" s="1"/>
  <c r="N1419" i="17"/>
  <c r="O1419" i="17" s="1"/>
  <c r="L1411" i="17"/>
  <c r="M1652" i="17"/>
  <c r="N1652" i="17" s="1"/>
  <c r="M1476" i="17"/>
  <c r="L1346" i="17"/>
  <c r="N1346" i="17" s="1"/>
  <c r="M1283" i="17"/>
  <c r="N1240" i="17"/>
  <c r="O1240" i="17" s="1"/>
  <c r="P1240" i="17" s="1"/>
  <c r="N1231" i="17"/>
  <c r="O1231" i="17" s="1"/>
  <c r="P1231" i="17" s="1"/>
  <c r="L1106" i="17"/>
  <c r="P1702" i="17"/>
  <c r="L1308" i="17"/>
  <c r="N1308" i="17"/>
  <c r="M1308" i="17"/>
  <c r="O1308" i="17" s="1"/>
  <c r="M840" i="17"/>
  <c r="P840" i="17"/>
  <c r="O840" i="17"/>
  <c r="L840" i="17"/>
  <c r="N840" i="17"/>
  <c r="O1570" i="17"/>
  <c r="P1570" i="17"/>
  <c r="M729" i="17"/>
  <c r="N729" i="17" s="1"/>
  <c r="M703" i="17"/>
  <c r="N703" i="17" s="1"/>
  <c r="N693" i="17"/>
  <c r="M693" i="17"/>
  <c r="N663" i="17"/>
  <c r="M663" i="17"/>
  <c r="O663" i="17" s="1"/>
  <c r="P663" i="17" s="1"/>
  <c r="P568" i="17"/>
  <c r="N666" i="17"/>
  <c r="M666" i="17"/>
  <c r="M652" i="17"/>
  <c r="N652" i="17"/>
  <c r="O652" i="17" s="1"/>
  <c r="P652" i="17" s="1"/>
  <c r="L255" i="17"/>
  <c r="M709" i="17"/>
  <c r="L176" i="17"/>
  <c r="O726" i="17"/>
  <c r="P726" i="17" s="1"/>
  <c r="O452" i="17"/>
  <c r="N751" i="17"/>
  <c r="M751" i="17"/>
  <c r="O751" i="17" s="1"/>
  <c r="P751" i="17" s="1"/>
  <c r="N408" i="17"/>
  <c r="N400" i="17"/>
  <c r="M400" i="17"/>
  <c r="L400" i="17"/>
  <c r="L330" i="17"/>
  <c r="N262" i="17"/>
  <c r="O262" i="17" s="1"/>
  <c r="P262" i="17" s="1"/>
  <c r="M262" i="17"/>
  <c r="L251" i="17"/>
  <c r="M500" i="17"/>
  <c r="N500" i="17"/>
  <c r="P500" i="17" s="1"/>
  <c r="L173" i="17"/>
  <c r="L226" i="17"/>
  <c r="H5" i="11"/>
  <c r="N2630" i="17"/>
  <c r="M2630" i="17"/>
  <c r="P2630" i="17" s="1"/>
  <c r="M2507" i="17"/>
  <c r="L2460" i="17"/>
  <c r="M2460" i="17" s="1"/>
  <c r="N2414" i="17"/>
  <c r="P2414" i="17" s="1"/>
  <c r="M2622" i="17"/>
  <c r="N2605" i="17"/>
  <c r="P2642" i="17"/>
  <c r="O2574" i="17"/>
  <c r="P2574" i="17" s="1"/>
  <c r="M2602" i="17"/>
  <c r="M2655" i="17"/>
  <c r="O2586" i="17"/>
  <c r="P2586" i="17" s="1"/>
  <c r="N2560" i="17"/>
  <c r="O2540" i="17"/>
  <c r="N2612" i="17"/>
  <c r="O2612" i="17" s="1"/>
  <c r="P2612" i="17" s="1"/>
  <c r="O2560" i="17"/>
  <c r="N2610" i="17"/>
  <c r="O2610" i="17" s="1"/>
  <c r="N2544" i="17"/>
  <c r="O2544" i="17" s="1"/>
  <c r="P2544" i="17" s="1"/>
  <c r="N2627" i="17"/>
  <c r="P2627" i="17" s="1"/>
  <c r="N2570" i="17"/>
  <c r="O2545" i="17"/>
  <c r="P2545" i="17" s="1"/>
  <c r="N2532" i="17"/>
  <c r="P2532" i="17" s="1"/>
  <c r="O2643" i="17"/>
  <c r="P2643" i="17" s="1"/>
  <c r="N2508" i="17"/>
  <c r="M2508" i="17"/>
  <c r="P2508" i="17" s="1"/>
  <c r="L2499" i="17"/>
  <c r="M2472" i="17"/>
  <c r="M2467" i="17"/>
  <c r="M2463" i="17"/>
  <c r="M2459" i="17"/>
  <c r="P2459" i="17" s="1"/>
  <c r="M2455" i="17"/>
  <c r="M2450" i="17"/>
  <c r="M2446" i="17"/>
  <c r="N2527" i="17"/>
  <c r="O2438" i="17"/>
  <c r="P2438" i="17" s="1"/>
  <c r="P2510" i="17"/>
  <c r="N2539" i="17"/>
  <c r="M2494" i="17"/>
  <c r="P2494" i="17" s="1"/>
  <c r="L2390" i="17"/>
  <c r="M2390" i="17" s="1"/>
  <c r="N2580" i="17"/>
  <c r="L2426" i="17"/>
  <c r="L2410" i="17"/>
  <c r="L2391" i="17"/>
  <c r="L2469" i="17"/>
  <c r="O2469" i="17" s="1"/>
  <c r="N2452" i="17"/>
  <c r="O2452" i="17" s="1"/>
  <c r="P2452" i="17" s="1"/>
  <c r="O2422" i="17"/>
  <c r="P2422" i="17" s="1"/>
  <c r="O2414" i="17"/>
  <c r="O2406" i="17"/>
  <c r="P2406" i="17" s="1"/>
  <c r="O2402" i="17"/>
  <c r="P2402" i="17" s="1"/>
  <c r="M2358" i="17"/>
  <c r="P2358" i="17" s="1"/>
  <c r="O2349" i="17"/>
  <c r="P2349" i="17" s="1"/>
  <c r="P2338" i="17"/>
  <c r="M2325" i="17"/>
  <c r="O2328" i="17"/>
  <c r="P2328" i="17" s="1"/>
  <c r="L2381" i="17"/>
  <c r="M2368" i="17"/>
  <c r="L2373" i="17"/>
  <c r="O2373" i="17" s="1"/>
  <c r="M2348" i="17"/>
  <c r="P2348" i="17" s="1"/>
  <c r="N2331" i="17"/>
  <c r="O2378" i="17"/>
  <c r="P2378" i="17" s="1"/>
  <c r="M2354" i="17"/>
  <c r="P2354" i="17" s="1"/>
  <c r="M2337" i="17"/>
  <c r="L2367" i="17"/>
  <c r="N2337" i="17"/>
  <c r="O2337" i="17" s="1"/>
  <c r="P2337" i="17" s="1"/>
  <c r="M2312" i="17"/>
  <c r="N2312" i="17" s="1"/>
  <c r="M2296" i="17"/>
  <c r="O2531" i="17"/>
  <c r="P2531" i="17" s="1"/>
  <c r="N2248" i="17"/>
  <c r="O2248" i="17" s="1"/>
  <c r="P2248" i="17" s="1"/>
  <c r="N2380" i="17"/>
  <c r="O2380" i="17" s="1"/>
  <c r="O2319" i="17"/>
  <c r="P2319" i="17" s="1"/>
  <c r="P2307" i="17"/>
  <c r="P2283" i="17"/>
  <c r="P2217" i="17"/>
  <c r="L2196" i="17"/>
  <c r="L2173" i="17"/>
  <c r="O2173" i="17" s="1"/>
  <c r="N2353" i="17"/>
  <c r="P2353" i="17" s="1"/>
  <c r="N2246" i="17"/>
  <c r="O2246" i="17" s="1"/>
  <c r="P2246" i="17" s="1"/>
  <c r="N2229" i="17"/>
  <c r="O2229" i="17" s="1"/>
  <c r="P2229" i="17" s="1"/>
  <c r="N2212" i="17"/>
  <c r="O2212" i="17" s="1"/>
  <c r="P2212" i="17" s="1"/>
  <c r="M2173" i="17"/>
  <c r="O2249" i="17"/>
  <c r="P2249" i="17" s="1"/>
  <c r="N2224" i="17"/>
  <c r="O2224" i="17" s="1"/>
  <c r="P2224" i="17" s="1"/>
  <c r="L2210" i="17"/>
  <c r="P2199" i="17"/>
  <c r="M2369" i="17"/>
  <c r="P2369" i="17" s="1"/>
  <c r="M2174" i="17"/>
  <c r="O2385" i="17"/>
  <c r="P2385" i="17" s="1"/>
  <c r="P2323" i="17"/>
  <c r="N2316" i="17"/>
  <c r="P2316" i="17" s="1"/>
  <c r="O2310" i="17"/>
  <c r="P2310" i="17" s="1"/>
  <c r="O2294" i="17"/>
  <c r="P2294" i="17" s="1"/>
  <c r="P2263" i="17"/>
  <c r="O2184" i="17"/>
  <c r="P2184" i="17" s="1"/>
  <c r="O2138" i="17"/>
  <c r="P2138" i="17" s="1"/>
  <c r="N2097" i="17"/>
  <c r="P2097" i="17" s="1"/>
  <c r="M2144" i="17"/>
  <c r="M2111" i="17"/>
  <c r="N2080" i="17"/>
  <c r="O2080" i="17" s="1"/>
  <c r="M2364" i="17"/>
  <c r="P2364" i="17" s="1"/>
  <c r="L2208" i="17"/>
  <c r="N2208" i="17" s="1"/>
  <c r="M2203" i="17"/>
  <c r="O2203" i="17" s="1"/>
  <c r="N2103" i="17"/>
  <c r="N2131" i="17"/>
  <c r="P2131" i="17" s="1"/>
  <c r="N2115" i="17"/>
  <c r="N2098" i="17"/>
  <c r="P2098" i="17" s="1"/>
  <c r="L2085" i="17"/>
  <c r="M2085" i="17" s="1"/>
  <c r="N2085" i="17" s="1"/>
  <c r="L2225" i="17"/>
  <c r="N2225" i="17" s="1"/>
  <c r="N2134" i="17"/>
  <c r="P2134" i="17" s="1"/>
  <c r="O2109" i="17"/>
  <c r="P2109" i="17" s="1"/>
  <c r="N2314" i="17"/>
  <c r="O2314" i="17" s="1"/>
  <c r="N2245" i="17"/>
  <c r="O2245" i="17" s="1"/>
  <c r="O2121" i="17"/>
  <c r="P2121" i="17" s="1"/>
  <c r="N2096" i="17"/>
  <c r="O2096" i="17" s="1"/>
  <c r="P2116" i="17"/>
  <c r="M2132" i="17"/>
  <c r="L1991" i="17"/>
  <c r="M1991" i="17" s="1"/>
  <c r="L1975" i="17"/>
  <c r="M1975" i="17" s="1"/>
  <c r="L1958" i="17"/>
  <c r="M2077" i="17"/>
  <c r="P2077" i="17" s="1"/>
  <c r="N2021" i="17"/>
  <c r="M1958" i="17"/>
  <c r="O2051" i="17"/>
  <c r="P2051" i="17" s="1"/>
  <c r="N2047" i="17"/>
  <c r="O2047" i="17" s="1"/>
  <c r="O1984" i="17"/>
  <c r="P1984" i="17" s="1"/>
  <c r="O2052" i="17"/>
  <c r="P2052" i="17" s="1"/>
  <c r="N2029" i="17"/>
  <c r="N2011" i="17"/>
  <c r="M1993" i="17"/>
  <c r="N1993" i="17" s="1"/>
  <c r="N2143" i="17"/>
  <c r="L2094" i="17"/>
  <c r="M2086" i="17"/>
  <c r="P2086" i="17" s="1"/>
  <c r="N1952" i="17"/>
  <c r="O1952" i="17" s="1"/>
  <c r="M1910" i="17"/>
  <c r="L1961" i="17"/>
  <c r="M1934" i="17"/>
  <c r="N1934" i="17" s="1"/>
  <c r="N1842" i="17"/>
  <c r="M1842" i="17"/>
  <c r="O1842" i="17" s="1"/>
  <c r="P1842" i="17" s="1"/>
  <c r="N1834" i="17"/>
  <c r="M1834" i="17"/>
  <c r="O1834" i="17" s="1"/>
  <c r="P1834" i="17" s="1"/>
  <c r="M1826" i="17"/>
  <c r="N1826" i="17" s="1"/>
  <c r="N1926" i="17"/>
  <c r="O1881" i="17"/>
  <c r="P1881" i="17" s="1"/>
  <c r="N1868" i="17"/>
  <c r="N1852" i="17"/>
  <c r="O1852" i="17" s="1"/>
  <c r="P1852" i="17" s="1"/>
  <c r="N1948" i="17"/>
  <c r="M1932" i="17"/>
  <c r="N1932" i="17" s="1"/>
  <c r="N1887" i="17"/>
  <c r="M1994" i="17"/>
  <c r="N1994" i="17" s="1"/>
  <c r="L1978" i="17"/>
  <c r="M1978" i="17" s="1"/>
  <c r="O1948" i="17"/>
  <c r="M2078" i="17"/>
  <c r="N2078" i="17" s="1"/>
  <c r="P1965" i="17"/>
  <c r="N1946" i="17"/>
  <c r="N1922" i="17"/>
  <c r="P1922" i="17" s="1"/>
  <c r="M1821" i="17"/>
  <c r="N1821" i="17" s="1"/>
  <c r="L1821" i="17"/>
  <c r="N1807" i="17"/>
  <c r="M1807" i="17"/>
  <c r="L1802" i="17"/>
  <c r="L1740" i="17"/>
  <c r="M1916" i="17"/>
  <c r="L1778" i="17"/>
  <c r="L1741" i="17"/>
  <c r="P1773" i="17"/>
  <c r="O1946" i="17"/>
  <c r="L1814" i="17"/>
  <c r="M1792" i="17"/>
  <c r="L1776" i="17"/>
  <c r="L1779" i="17"/>
  <c r="M1731" i="17"/>
  <c r="P1731" i="17" s="1"/>
  <c r="N1691" i="17"/>
  <c r="P1691" i="17" s="1"/>
  <c r="P1869" i="17"/>
  <c r="N1712" i="17"/>
  <c r="P1712" i="17" s="1"/>
  <c r="N1688" i="17"/>
  <c r="P1688" i="17" s="1"/>
  <c r="O1684" i="17"/>
  <c r="N1673" i="17"/>
  <c r="M1673" i="17"/>
  <c r="O1669" i="17"/>
  <c r="M1655" i="17"/>
  <c r="N1655" i="17" s="1"/>
  <c r="O1651" i="17"/>
  <c r="M1641" i="17"/>
  <c r="M1617" i="17"/>
  <c r="L1403" i="17"/>
  <c r="L1395" i="17"/>
  <c r="L1733" i="17"/>
  <c r="M1733" i="17" s="1"/>
  <c r="L1508" i="17"/>
  <c r="L1499" i="17"/>
  <c r="L1491" i="17"/>
  <c r="M1491" i="17" s="1"/>
  <c r="L1483" i="17"/>
  <c r="N1483" i="17"/>
  <c r="O1483" i="17" s="1"/>
  <c r="M1483" i="17"/>
  <c r="L1475" i="17"/>
  <c r="N1475" i="17" s="1"/>
  <c r="M1475" i="17"/>
  <c r="L1467" i="17"/>
  <c r="L1459" i="17"/>
  <c r="M1459" i="17"/>
  <c r="N1459" i="17" s="1"/>
  <c r="O1459" i="17" s="1"/>
  <c r="L1451" i="17"/>
  <c r="L1443" i="17"/>
  <c r="L1434" i="17"/>
  <c r="M1434" i="17" s="1"/>
  <c r="N1434" i="17"/>
  <c r="L1426" i="17"/>
  <c r="L1418" i="17"/>
  <c r="L1410" i="17"/>
  <c r="M1410" i="17" s="1"/>
  <c r="N1402" i="17"/>
  <c r="M1402" i="17"/>
  <c r="O1402" i="17" s="1"/>
  <c r="P1402" i="17" s="1"/>
  <c r="N1394" i="17"/>
  <c r="M1394" i="17"/>
  <c r="L1785" i="17"/>
  <c r="O1730" i="17"/>
  <c r="P1730" i="17" s="1"/>
  <c r="N1698" i="17"/>
  <c r="P1698" i="17" s="1"/>
  <c r="M1621" i="17"/>
  <c r="M1598" i="17"/>
  <c r="N1711" i="17"/>
  <c r="P1711" i="17" s="1"/>
  <c r="M1700" i="17"/>
  <c r="M1793" i="17"/>
  <c r="L1793" i="17"/>
  <c r="N1732" i="17"/>
  <c r="L1716" i="17"/>
  <c r="L1700" i="17"/>
  <c r="M1687" i="17"/>
  <c r="N1687" i="17" s="1"/>
  <c r="M1677" i="17"/>
  <c r="L1670" i="17"/>
  <c r="M1670" i="17" s="1"/>
  <c r="M1660" i="17"/>
  <c r="O1660" i="17" s="1"/>
  <c r="P1660" i="17" s="1"/>
  <c r="L1654" i="17"/>
  <c r="P1654" i="17" s="1"/>
  <c r="O1650" i="17"/>
  <c r="L1644" i="17"/>
  <c r="O1640" i="17"/>
  <c r="P1640" i="17" s="1"/>
  <c r="M1634" i="17"/>
  <c r="N1634" i="17" s="1"/>
  <c r="M1603" i="17"/>
  <c r="N1721" i="17"/>
  <c r="P1721" i="17" s="1"/>
  <c r="N1705" i="17"/>
  <c r="P1705" i="17" s="1"/>
  <c r="M1689" i="17"/>
  <c r="O1689" i="17" s="1"/>
  <c r="P1689" i="17" s="1"/>
  <c r="N1286" i="17"/>
  <c r="M1766" i="17"/>
  <c r="O1766" i="17" s="1"/>
  <c r="P1766" i="17" s="1"/>
  <c r="L1710" i="17"/>
  <c r="P1550" i="17"/>
  <c r="M1452" i="17"/>
  <c r="N1452" i="17" s="1"/>
  <c r="M1346" i="17"/>
  <c r="L1334" i="17"/>
  <c r="N1334" i="17" s="1"/>
  <c r="M1421" i="17"/>
  <c r="N1307" i="17"/>
  <c r="O1307" i="17" s="1"/>
  <c r="P1307" i="17"/>
  <c r="O1278" i="17"/>
  <c r="M1278" i="17"/>
  <c r="N1278" i="17" s="1"/>
  <c r="N1372" i="17"/>
  <c r="L1372" i="17"/>
  <c r="M1372" i="17"/>
  <c r="O1372" i="17" s="1"/>
  <c r="P1372" i="17" s="1"/>
  <c r="N1341" i="17"/>
  <c r="P1341" i="17" s="1"/>
  <c r="L1341" i="17"/>
  <c r="O1341" i="17"/>
  <c r="M1341" i="17"/>
  <c r="L1320" i="17"/>
  <c r="N1320" i="17" s="1"/>
  <c r="M1320" i="17"/>
  <c r="P1209" i="17"/>
  <c r="P1225" i="17"/>
  <c r="L1124" i="17"/>
  <c r="N1000" i="17"/>
  <c r="L1078" i="17"/>
  <c r="M1078" i="17"/>
  <c r="M1050" i="17"/>
  <c r="O1075" i="17"/>
  <c r="P1075" i="17" s="1"/>
  <c r="N1183" i="17"/>
  <c r="O1183" i="17" s="1"/>
  <c r="P1183" i="17" s="1"/>
  <c r="M1165" i="17"/>
  <c r="N1165" i="17" s="1"/>
  <c r="L1165" i="17"/>
  <c r="N786" i="17"/>
  <c r="M642" i="17"/>
  <c r="N634" i="17"/>
  <c r="P634" i="17" s="1"/>
  <c r="O634" i="17"/>
  <c r="N624" i="17"/>
  <c r="O624" i="17" s="1"/>
  <c r="P624" i="17" s="1"/>
  <c r="M624" i="17"/>
  <c r="M614" i="17"/>
  <c r="N614" i="17" s="1"/>
  <c r="M606" i="17"/>
  <c r="N606" i="17" s="1"/>
  <c r="N598" i="17"/>
  <c r="O598" i="17" s="1"/>
  <c r="M598" i="17"/>
  <c r="O588" i="17"/>
  <c r="N588" i="17"/>
  <c r="P588" i="17" s="1"/>
  <c r="M588" i="17"/>
  <c r="O1060" i="17"/>
  <c r="P887" i="17"/>
  <c r="O887" i="17"/>
  <c r="L816" i="17"/>
  <c r="L1382" i="17"/>
  <c r="M540" i="17"/>
  <c r="L548" i="17"/>
  <c r="N706" i="17"/>
  <c r="N553" i="17"/>
  <c r="O553" i="17" s="1"/>
  <c r="P553" i="17" s="1"/>
  <c r="L53" i="17"/>
  <c r="N688" i="17"/>
  <c r="M688" i="17"/>
  <c r="O688" i="17" s="1"/>
  <c r="O484" i="17"/>
  <c r="N476" i="17"/>
  <c r="M476" i="17"/>
  <c r="N406" i="17"/>
  <c r="M406" i="17"/>
  <c r="O406" i="17" s="1"/>
  <c r="P406" i="17" s="1"/>
  <c r="M381" i="17"/>
  <c r="N381" i="17" s="1"/>
  <c r="M336" i="17"/>
  <c r="N336" i="17" s="1"/>
  <c r="M311" i="17"/>
  <c r="N311" i="17" s="1"/>
  <c r="L231" i="17"/>
  <c r="N231" i="17" s="1"/>
  <c r="M231" i="17"/>
  <c r="M177" i="17"/>
  <c r="L177" i="17"/>
  <c r="L66" i="17"/>
  <c r="M66" i="17" s="1"/>
  <c r="L100" i="17"/>
  <c r="L323" i="17"/>
  <c r="L76" i="17"/>
  <c r="M101" i="17"/>
  <c r="O101" i="17" s="1"/>
  <c r="N101" i="17"/>
  <c r="M29" i="17"/>
  <c r="P29" i="17" s="1"/>
  <c r="L31" i="17"/>
  <c r="N2611" i="17"/>
  <c r="O2611" i="17" s="1"/>
  <c r="L2382" i="17"/>
  <c r="N2382" i="17"/>
  <c r="O2382" i="17" s="1"/>
  <c r="M2382" i="17"/>
  <c r="L2428" i="17"/>
  <c r="L2384" i="17"/>
  <c r="L2363" i="17"/>
  <c r="M2363" i="17" s="1"/>
  <c r="O2651" i="17"/>
  <c r="N2651" i="17"/>
  <c r="P2651" i="17" s="1"/>
  <c r="M2614" i="17"/>
  <c r="N2641" i="17"/>
  <c r="O2641" i="17" s="1"/>
  <c r="L2607" i="17"/>
  <c r="M2607" i="17" s="1"/>
  <c r="M2604" i="17"/>
  <c r="M2581" i="17"/>
  <c r="P2633" i="17"/>
  <c r="N2655" i="17"/>
  <c r="O2536" i="17"/>
  <c r="P2536" i="17" s="1"/>
  <c r="M2644" i="17"/>
  <c r="P2644" i="17" s="1"/>
  <c r="P2560" i="17"/>
  <c r="M2595" i="17"/>
  <c r="O2654" i="17"/>
  <c r="P2654" i="17" s="1"/>
  <c r="L2590" i="17"/>
  <c r="O2541" i="17"/>
  <c r="P2541" i="17" s="1"/>
  <c r="O2570" i="17"/>
  <c r="N2559" i="17"/>
  <c r="O2559" i="17" s="1"/>
  <c r="O2523" i="17"/>
  <c r="N2503" i="17"/>
  <c r="M2503" i="17"/>
  <c r="M2562" i="17"/>
  <c r="M2534" i="17"/>
  <c r="M2491" i="17"/>
  <c r="N2491" i="17" s="1"/>
  <c r="O2491" i="17" s="1"/>
  <c r="O2508" i="17"/>
  <c r="N2492" i="17"/>
  <c r="O2492" i="17" s="1"/>
  <c r="P2492" i="17" s="1"/>
  <c r="N2479" i="17"/>
  <c r="N2480" i="17"/>
  <c r="O2480" i="17" s="1"/>
  <c r="N2577" i="17"/>
  <c r="O2577" i="17" s="1"/>
  <c r="N2472" i="17"/>
  <c r="N2467" i="17"/>
  <c r="N2463" i="17"/>
  <c r="N2459" i="17"/>
  <c r="N2455" i="17"/>
  <c r="N2450" i="17"/>
  <c r="N2446" i="17"/>
  <c r="O2553" i="17"/>
  <c r="P2553" i="17" s="1"/>
  <c r="N2494" i="17"/>
  <c r="M2431" i="17"/>
  <c r="L2431" i="17"/>
  <c r="M2427" i="17"/>
  <c r="L2427" i="17"/>
  <c r="L2423" i="17"/>
  <c r="M2419" i="17"/>
  <c r="L2419" i="17"/>
  <c r="L2415" i="17"/>
  <c r="M2411" i="17"/>
  <c r="L2411" i="17"/>
  <c r="L2407" i="17"/>
  <c r="M2403" i="17"/>
  <c r="L2403" i="17"/>
  <c r="L2399" i="17"/>
  <c r="M2418" i="17"/>
  <c r="N2418" i="17" s="1"/>
  <c r="L2424" i="17"/>
  <c r="L2408" i="17"/>
  <c r="M2469" i="17"/>
  <c r="L2442" i="17"/>
  <c r="L2398" i="17"/>
  <c r="N2358" i="17"/>
  <c r="L2371" i="17"/>
  <c r="L2376" i="17"/>
  <c r="N2376" i="17" s="1"/>
  <c r="N2368" i="17"/>
  <c r="L2346" i="17"/>
  <c r="M2373" i="17"/>
  <c r="N2348" i="17"/>
  <c r="N2354" i="17"/>
  <c r="M2367" i="17"/>
  <c r="N2180" i="17"/>
  <c r="O2180" i="17" s="1"/>
  <c r="O2313" i="17"/>
  <c r="O2305" i="17"/>
  <c r="O2297" i="17"/>
  <c r="P2275" i="17"/>
  <c r="O2209" i="17"/>
  <c r="L2356" i="17"/>
  <c r="O2353" i="17"/>
  <c r="N2305" i="17"/>
  <c r="P2305" i="17" s="1"/>
  <c r="N2173" i="17"/>
  <c r="L2236" i="17"/>
  <c r="M2236" i="17" s="1"/>
  <c r="O2207" i="17"/>
  <c r="N2369" i="17"/>
  <c r="N2327" i="17"/>
  <c r="O2327" i="17" s="1"/>
  <c r="M2202" i="17"/>
  <c r="O2202" i="17" s="1"/>
  <c r="P2202" i="17" s="1"/>
  <c r="N2174" i="17"/>
  <c r="O2148" i="17"/>
  <c r="P2148" i="17" s="1"/>
  <c r="M2335" i="17"/>
  <c r="O2316" i="17"/>
  <c r="P2255" i="17"/>
  <c r="M2205" i="17"/>
  <c r="O2205" i="17" s="1"/>
  <c r="P2205" i="17" s="1"/>
  <c r="O2097" i="17"/>
  <c r="N2364" i="17"/>
  <c r="N2308" i="17"/>
  <c r="P2308" i="17" s="1"/>
  <c r="N2203" i="17"/>
  <c r="O2103" i="17"/>
  <c r="L2200" i="17"/>
  <c r="M2192" i="17"/>
  <c r="O2131" i="17"/>
  <c r="O2115" i="17"/>
  <c r="O2098" i="17"/>
  <c r="O2134" i="17"/>
  <c r="N2093" i="17"/>
  <c r="P2093" i="17" s="1"/>
  <c r="N2137" i="17"/>
  <c r="P2137" i="17" s="1"/>
  <c r="N2300" i="17"/>
  <c r="P2300" i="17" s="1"/>
  <c r="N2242" i="17"/>
  <c r="O2242" i="17" s="1"/>
  <c r="P2172" i="17"/>
  <c r="N2107" i="17"/>
  <c r="M2124" i="17"/>
  <c r="N2046" i="17"/>
  <c r="P2027" i="17"/>
  <c r="N1972" i="17"/>
  <c r="O1972" i="17" s="1"/>
  <c r="N2077" i="17"/>
  <c r="P2062" i="17"/>
  <c r="O2020" i="17"/>
  <c r="P2020" i="17" s="1"/>
  <c r="M1979" i="17"/>
  <c r="N1979" i="17" s="1"/>
  <c r="O2021" i="17"/>
  <c r="P2021" i="17" s="1"/>
  <c r="O2005" i="17"/>
  <c r="P2005" i="17" s="1"/>
  <c r="M1992" i="17"/>
  <c r="N1992" i="17" s="1"/>
  <c r="M1968" i="17"/>
  <c r="N1968" i="17" s="1"/>
  <c r="P2050" i="17"/>
  <c r="O2028" i="17"/>
  <c r="P2028" i="17" s="1"/>
  <c r="O1993" i="17"/>
  <c r="L2102" i="17"/>
  <c r="M2094" i="17"/>
  <c r="N2086" i="17"/>
  <c r="M1936" i="17"/>
  <c r="N1910" i="17"/>
  <c r="M1885" i="17"/>
  <c r="N1885" i="17" s="1"/>
  <c r="O1872" i="17"/>
  <c r="P1872" i="17" s="1"/>
  <c r="O2050" i="17"/>
  <c r="L1999" i="17"/>
  <c r="P1931" i="17"/>
  <c r="N1905" i="17"/>
  <c r="P1905" i="17" s="1"/>
  <c r="M1873" i="17"/>
  <c r="N1873" i="17" s="1"/>
  <c r="O1861" i="17"/>
  <c r="N1851" i="17"/>
  <c r="O1851" i="17" s="1"/>
  <c r="P1851" i="17" s="1"/>
  <c r="M1851" i="17"/>
  <c r="N1841" i="17"/>
  <c r="M1841" i="17"/>
  <c r="M1833" i="17"/>
  <c r="M1825" i="17"/>
  <c r="N1825" i="17" s="1"/>
  <c r="M2216" i="17"/>
  <c r="O2216" i="17" s="1"/>
  <c r="O2011" i="17"/>
  <c r="P2011" i="17" s="1"/>
  <c r="N1945" i="17"/>
  <c r="O1945" i="17" s="1"/>
  <c r="N1911" i="17"/>
  <c r="M1955" i="17"/>
  <c r="N1955" i="17" s="1"/>
  <c r="P1946" i="17"/>
  <c r="N1915" i="17"/>
  <c r="M1898" i="17"/>
  <c r="O1994" i="17"/>
  <c r="N1893" i="17"/>
  <c r="O1893" i="17" s="1"/>
  <c r="O1854" i="17"/>
  <c r="P1854" i="17" s="1"/>
  <c r="O1943" i="17"/>
  <c r="P1943" i="17" s="1"/>
  <c r="N1896" i="17"/>
  <c r="O1896" i="17" s="1"/>
  <c r="P1876" i="17"/>
  <c r="N1811" i="17"/>
  <c r="M1811" i="17"/>
  <c r="M1788" i="17"/>
  <c r="L1760" i="17"/>
  <c r="M1736" i="17"/>
  <c r="N1736" i="17" s="1"/>
  <c r="L1836" i="17"/>
  <c r="O1922" i="17"/>
  <c r="N1761" i="17"/>
  <c r="M1761" i="17"/>
  <c r="N1749" i="17"/>
  <c r="M1749" i="17"/>
  <c r="O1749" i="17" s="1"/>
  <c r="M1822" i="17"/>
  <c r="N1822" i="17" s="1"/>
  <c r="O1822" i="17"/>
  <c r="L1818" i="17"/>
  <c r="M1803" i="17"/>
  <c r="N1803" i="17" s="1"/>
  <c r="N1731" i="17"/>
  <c r="O1715" i="17"/>
  <c r="P1715" i="17" s="1"/>
  <c r="O1691" i="17"/>
  <c r="L1774" i="17"/>
  <c r="M1720" i="17"/>
  <c r="O1712" i="17"/>
  <c r="P1696" i="17"/>
  <c r="O1688" i="17"/>
  <c r="P1684" i="17"/>
  <c r="N1678" i="17"/>
  <c r="M1678" i="17"/>
  <c r="O1673" i="17"/>
  <c r="P1669" i="17"/>
  <c r="N1663" i="17"/>
  <c r="M1659" i="17"/>
  <c r="P1651" i="17"/>
  <c r="N1645" i="17"/>
  <c r="M1645" i="17"/>
  <c r="N1631" i="17"/>
  <c r="O1631" i="17" s="1"/>
  <c r="M1605" i="17"/>
  <c r="L1717" i="17"/>
  <c r="L1701" i="17"/>
  <c r="N1701" i="17" s="1"/>
  <c r="L1516" i="17"/>
  <c r="L1507" i="17"/>
  <c r="L1498" i="17"/>
  <c r="L1490" i="17"/>
  <c r="L1482" i="17"/>
  <c r="L1474" i="17"/>
  <c r="L1466" i="17"/>
  <c r="M1466" i="17" s="1"/>
  <c r="N1466" i="17" s="1"/>
  <c r="L1458" i="17"/>
  <c r="M1458" i="17"/>
  <c r="N1458" i="17" s="1"/>
  <c r="L1450" i="17"/>
  <c r="L1442" i="17"/>
  <c r="L1433" i="17"/>
  <c r="N1433" i="17" s="1"/>
  <c r="L1425" i="17"/>
  <c r="M1425" i="17"/>
  <c r="N1425" i="17" s="1"/>
  <c r="L1417" i="17"/>
  <c r="M1417" i="17"/>
  <c r="N1417" i="17" s="1"/>
  <c r="O1417" i="17" s="1"/>
  <c r="L1409" i="17"/>
  <c r="M1401" i="17"/>
  <c r="N1316" i="17"/>
  <c r="O1316" i="17" s="1"/>
  <c r="P1316" i="17"/>
  <c r="L1759" i="17"/>
  <c r="M1759" i="17" s="1"/>
  <c r="O1698" i="17"/>
  <c r="O1904" i="17"/>
  <c r="P1904" i="17" s="1"/>
  <c r="O1711" i="17"/>
  <c r="M1790" i="17"/>
  <c r="O1790" i="17" s="1"/>
  <c r="O1732" i="17"/>
  <c r="M1716" i="17"/>
  <c r="N1700" i="17"/>
  <c r="O1687" i="17"/>
  <c r="L1681" i="17"/>
  <c r="L1664" i="17"/>
  <c r="M1654" i="17"/>
  <c r="P1650" i="17"/>
  <c r="M1644" i="17"/>
  <c r="L1638" i="17"/>
  <c r="M1638" i="17" s="1"/>
  <c r="O1721" i="17"/>
  <c r="O1705" i="17"/>
  <c r="N1689" i="17"/>
  <c r="N1766" i="17"/>
  <c r="L1755" i="17"/>
  <c r="M1755" i="17" s="1"/>
  <c r="M1710" i="17"/>
  <c r="M1444" i="17"/>
  <c r="O1444" i="17" s="1"/>
  <c r="M1334" i="17"/>
  <c r="O1569" i="17"/>
  <c r="P1569" i="17"/>
  <c r="M1397" i="17"/>
  <c r="L1369" i="17"/>
  <c r="N1369" i="17" s="1"/>
  <c r="M1369" i="17"/>
  <c r="L1339" i="17"/>
  <c r="M1763" i="17"/>
  <c r="N1763" i="17" s="1"/>
  <c r="L1763" i="17"/>
  <c r="M1289" i="17"/>
  <c r="N1289" i="17" s="1"/>
  <c r="P1289" i="17"/>
  <c r="O1289" i="17"/>
  <c r="O1280" i="17"/>
  <c r="P1280" i="17" s="1"/>
  <c r="L1072" i="17"/>
  <c r="N1072" i="17" s="1"/>
  <c r="M1072" i="17"/>
  <c r="N1380" i="17"/>
  <c r="M1380" i="17"/>
  <c r="O1108" i="17"/>
  <c r="N1108" i="17"/>
  <c r="M931" i="17"/>
  <c r="N931" i="17" s="1"/>
  <c r="L917" i="17"/>
  <c r="M917" i="17" s="1"/>
  <c r="M1299" i="17"/>
  <c r="N1299" i="17" s="1"/>
  <c r="O1299" i="17" s="1"/>
  <c r="N980" i="17"/>
  <c r="N972" i="17"/>
  <c r="L1262" i="17"/>
  <c r="O1079" i="17"/>
  <c r="P1079" i="17" s="1"/>
  <c r="N990" i="17"/>
  <c r="O821" i="17"/>
  <c r="P821" i="17"/>
  <c r="L1156" i="17"/>
  <c r="M1156" i="17" s="1"/>
  <c r="P881" i="17"/>
  <c r="O871" i="17"/>
  <c r="P871" i="17" s="1"/>
  <c r="P864" i="17"/>
  <c r="O864" i="17"/>
  <c r="O854" i="17"/>
  <c r="P854" i="17" s="1"/>
  <c r="L839" i="17"/>
  <c r="M839" i="17"/>
  <c r="N839" i="17" s="1"/>
  <c r="N767" i="17"/>
  <c r="M767" i="17"/>
  <c r="O767" i="17" s="1"/>
  <c r="P767" i="17" s="1"/>
  <c r="L499" i="17"/>
  <c r="M499" i="17" s="1"/>
  <c r="M808" i="17"/>
  <c r="P808" i="17" s="1"/>
  <c r="N808" i="17"/>
  <c r="P834" i="17"/>
  <c r="O834" i="17"/>
  <c r="M578" i="17"/>
  <c r="N578" i="17"/>
  <c r="O578" i="17" s="1"/>
  <c r="P578" i="17" s="1"/>
  <c r="P676" i="17"/>
  <c r="O676" i="17"/>
  <c r="L206" i="17"/>
  <c r="M206" i="17" s="1"/>
  <c r="O206" i="17"/>
  <c r="N206" i="17"/>
  <c r="L195" i="17"/>
  <c r="L556" i="17"/>
  <c r="P68" i="17"/>
  <c r="O1162" i="17"/>
  <c r="P122" i="17"/>
  <c r="N2591" i="17"/>
  <c r="M2473" i="17"/>
  <c r="M2593" i="17"/>
  <c r="N2593" i="17" s="1"/>
  <c r="O2593" i="17" s="1"/>
  <c r="O2566" i="17"/>
  <c r="P2566" i="17" s="1"/>
  <c r="O2532" i="17"/>
  <c r="N2644" i="17"/>
  <c r="N2608" i="17"/>
  <c r="P2608" i="17" s="1"/>
  <c r="N2636" i="17"/>
  <c r="P2636" i="17" s="1"/>
  <c r="N2625" i="17"/>
  <c r="O2625" i="17" s="1"/>
  <c r="O2567" i="17"/>
  <c r="P2567" i="17" s="1"/>
  <c r="M2519" i="17"/>
  <c r="N2519" i="17"/>
  <c r="M2526" i="17"/>
  <c r="M2504" i="17"/>
  <c r="M2490" i="17"/>
  <c r="N2490" i="17"/>
  <c r="L2542" i="17"/>
  <c r="O2635" i="17"/>
  <c r="P2635" i="17" s="1"/>
  <c r="O2459" i="17"/>
  <c r="N2435" i="17"/>
  <c r="O2494" i="17"/>
  <c r="M2416" i="17"/>
  <c r="M2400" i="17"/>
  <c r="L2436" i="17"/>
  <c r="L2387" i="17"/>
  <c r="M2387" i="17" s="1"/>
  <c r="N2469" i="17"/>
  <c r="O2358" i="17"/>
  <c r="M2333" i="17"/>
  <c r="N2333" i="17" s="1"/>
  <c r="O2333" i="17" s="1"/>
  <c r="N2325" i="17"/>
  <c r="O2325" i="17" s="1"/>
  <c r="P2325" i="17" s="1"/>
  <c r="M2376" i="17"/>
  <c r="O2368" i="17"/>
  <c r="L2336" i="17"/>
  <c r="N2373" i="17"/>
  <c r="L2357" i="17"/>
  <c r="O2348" i="17"/>
  <c r="M2362" i="17"/>
  <c r="O2354" i="17"/>
  <c r="N2334" i="17"/>
  <c r="N2274" i="17"/>
  <c r="N2367" i="17"/>
  <c r="O2286" i="17"/>
  <c r="P2286" i="17" s="1"/>
  <c r="O2278" i="17"/>
  <c r="O2270" i="17"/>
  <c r="O2262" i="17"/>
  <c r="P2262" i="17" s="1"/>
  <c r="O2254" i="17"/>
  <c r="P2254" i="17" s="1"/>
  <c r="L2396" i="17"/>
  <c r="N2303" i="17"/>
  <c r="P2278" i="17"/>
  <c r="M2186" i="17"/>
  <c r="L2194" i="17"/>
  <c r="O2369" i="17"/>
  <c r="N2202" i="17"/>
  <c r="O2147" i="17"/>
  <c r="O2308" i="17"/>
  <c r="O2300" i="17"/>
  <c r="O2292" i="17"/>
  <c r="N2205" i="17"/>
  <c r="O2176" i="17"/>
  <c r="L2332" i="17"/>
  <c r="M2332" i="17" s="1"/>
  <c r="O2261" i="17"/>
  <c r="P2261" i="17" s="1"/>
  <c r="L2136" i="17"/>
  <c r="P2176" i="17"/>
  <c r="N2141" i="17"/>
  <c r="O2141" i="17" s="1"/>
  <c r="M2120" i="17"/>
  <c r="N2120" i="17" s="1"/>
  <c r="M2087" i="17"/>
  <c r="O2364" i="17"/>
  <c r="N2292" i="17"/>
  <c r="P2292" i="17" s="1"/>
  <c r="M2208" i="17"/>
  <c r="P2103" i="17"/>
  <c r="O2285" i="17"/>
  <c r="P2285" i="17" s="1"/>
  <c r="N2192" i="17"/>
  <c r="M2225" i="17"/>
  <c r="O2225" i="17" s="1"/>
  <c r="N2118" i="17"/>
  <c r="O2093" i="17"/>
  <c r="O2137" i="17"/>
  <c r="O2107" i="17"/>
  <c r="O2280" i="17"/>
  <c r="P2280" i="17" s="1"/>
  <c r="O2045" i="17"/>
  <c r="P2045" i="17" s="1"/>
  <c r="L2004" i="17"/>
  <c r="M2004" i="17" s="1"/>
  <c r="L1987" i="17"/>
  <c r="L1971" i="17"/>
  <c r="M1971" i="17" s="1"/>
  <c r="O2077" i="17"/>
  <c r="P1988" i="17"/>
  <c r="O2043" i="17"/>
  <c r="N2010" i="17"/>
  <c r="O2010" i="17" s="1"/>
  <c r="P2044" i="17"/>
  <c r="P2002" i="17"/>
  <c r="O1992" i="17"/>
  <c r="M1980" i="17"/>
  <c r="N1980" i="17" s="1"/>
  <c r="O1968" i="17"/>
  <c r="P2039" i="17"/>
  <c r="P2026" i="17"/>
  <c r="N2007" i="17"/>
  <c r="M1989" i="17"/>
  <c r="M1973" i="17"/>
  <c r="M2188" i="17"/>
  <c r="N2188" i="17" s="1"/>
  <c r="N2094" i="17"/>
  <c r="O2086" i="17"/>
  <c r="N2040" i="17"/>
  <c r="O2040" i="17" s="1"/>
  <c r="P1956" i="17"/>
  <c r="O1949" i="17"/>
  <c r="M1923" i="17"/>
  <c r="N1923" i="17" s="1"/>
  <c r="P1908" i="17"/>
  <c r="M1894" i="17"/>
  <c r="O1894" i="17" s="1"/>
  <c r="P1870" i="17"/>
  <c r="L1850" i="17"/>
  <c r="N2032" i="17"/>
  <c r="O2032" i="17" s="1"/>
  <c r="M1990" i="17"/>
  <c r="M1961" i="17"/>
  <c r="M1840" i="17"/>
  <c r="N1832" i="17"/>
  <c r="M1832" i="17"/>
  <c r="O1832" i="17" s="1"/>
  <c r="P1832" i="17" s="1"/>
  <c r="M1824" i="17"/>
  <c r="P1948" i="17"/>
  <c r="N1863" i="17"/>
  <c r="O1863" i="17" s="1"/>
  <c r="N2216" i="17"/>
  <c r="P2006" i="17"/>
  <c r="N2064" i="17"/>
  <c r="O1929" i="17"/>
  <c r="P1929" i="17" s="1"/>
  <c r="L1829" i="17"/>
  <c r="L1772" i="17"/>
  <c r="O1731" i="17"/>
  <c r="N1628" i="17"/>
  <c r="M1682" i="17"/>
  <c r="M1649" i="17"/>
  <c r="M1701" i="17"/>
  <c r="L1515" i="17"/>
  <c r="O1515" i="17" s="1"/>
  <c r="N1515" i="17"/>
  <c r="P1515" i="17" s="1"/>
  <c r="M1515" i="17"/>
  <c r="L1506" i="17"/>
  <c r="M1506" i="17" s="1"/>
  <c r="L1497" i="17"/>
  <c r="L1489" i="17"/>
  <c r="M1489" i="17" s="1"/>
  <c r="L1481" i="17"/>
  <c r="L1473" i="17"/>
  <c r="O1473" i="17" s="1"/>
  <c r="M1473" i="17"/>
  <c r="N1473" i="17" s="1"/>
  <c r="L1465" i="17"/>
  <c r="M1465" i="17"/>
  <c r="L1457" i="17"/>
  <c r="L1449" i="17"/>
  <c r="M1449" i="17" s="1"/>
  <c r="L1440" i="17"/>
  <c r="L1432" i="17"/>
  <c r="M1432" i="17"/>
  <c r="N1432" i="17" s="1"/>
  <c r="L1424" i="17"/>
  <c r="M1424" i="17"/>
  <c r="L1416" i="17"/>
  <c r="L1408" i="17"/>
  <c r="N1408" i="17"/>
  <c r="M1408" i="17"/>
  <c r="M1400" i="17"/>
  <c r="M1751" i="17"/>
  <c r="M1722" i="17"/>
  <c r="N1636" i="17"/>
  <c r="P1636" i="17" s="1"/>
  <c r="O1618" i="17"/>
  <c r="N1618" i="17"/>
  <c r="P1618" i="17" s="1"/>
  <c r="N1606" i="17"/>
  <c r="P1861" i="17"/>
  <c r="N1719" i="17"/>
  <c r="O1719" i="17"/>
  <c r="N1708" i="17"/>
  <c r="N1627" i="17"/>
  <c r="O1607" i="17"/>
  <c r="P1607" i="17" s="1"/>
  <c r="N1790" i="17"/>
  <c r="P1732" i="17"/>
  <c r="N1716" i="17"/>
  <c r="O1700" i="17"/>
  <c r="M1681" i="17"/>
  <c r="M1664" i="17"/>
  <c r="O1654" i="17"/>
  <c r="L1648" i="17"/>
  <c r="L1632" i="17"/>
  <c r="N1283" i="17"/>
  <c r="O1283" i="17" s="1"/>
  <c r="M1435" i="17"/>
  <c r="N1435" i="17" s="1"/>
  <c r="L1366" i="17"/>
  <c r="M1366" i="17" s="1"/>
  <c r="L1350" i="17"/>
  <c r="O1350" i="17" s="1"/>
  <c r="M1350" i="17"/>
  <c r="N1350" i="17" s="1"/>
  <c r="L1338" i="17"/>
  <c r="M1338" i="17" s="1"/>
  <c r="M1440" i="17"/>
  <c r="N1440" i="17" s="1"/>
  <c r="L1349" i="17"/>
  <c r="N1349" i="17" s="1"/>
  <c r="M1349" i="17"/>
  <c r="M1313" i="17"/>
  <c r="N1313" i="17" s="1"/>
  <c r="M1433" i="17"/>
  <c r="P1236" i="17"/>
  <c r="L951" i="17"/>
  <c r="M1230" i="17"/>
  <c r="N1230" i="17" s="1"/>
  <c r="O1230" i="17" s="1"/>
  <c r="P1248" i="17"/>
  <c r="N802" i="17"/>
  <c r="N699" i="17"/>
  <c r="O699" i="17"/>
  <c r="M699" i="17"/>
  <c r="P699" i="17" s="1"/>
  <c r="L532" i="17"/>
  <c r="M532" i="17" s="1"/>
  <c r="O770" i="17"/>
  <c r="N770" i="17"/>
  <c r="P770" i="17" s="1"/>
  <c r="M240" i="17"/>
  <c r="L240" i="17"/>
  <c r="N240" i="17" s="1"/>
  <c r="M516" i="17"/>
  <c r="N516" i="17" s="1"/>
  <c r="O462" i="17"/>
  <c r="M246" i="17"/>
  <c r="N246" i="17" s="1"/>
  <c r="N104" i="17"/>
  <c r="L104" i="17"/>
  <c r="M104" i="17"/>
  <c r="O104" i="17" s="1"/>
  <c r="L379" i="17"/>
  <c r="L309" i="17"/>
  <c r="L291" i="17"/>
  <c r="L281" i="17"/>
  <c r="M281" i="17"/>
  <c r="M248" i="17"/>
  <c r="N248" i="17" s="1"/>
  <c r="N401" i="17"/>
  <c r="O401" i="17" s="1"/>
  <c r="L401" i="17"/>
  <c r="P401" i="17" s="1"/>
  <c r="M401" i="17"/>
  <c r="N776" i="17"/>
  <c r="P776" i="17" s="1"/>
  <c r="M1197" i="17"/>
  <c r="N1197" i="17" s="1"/>
  <c r="O1197" i="17" s="1"/>
  <c r="L1197" i="17"/>
  <c r="P1162" i="17"/>
  <c r="P2652" i="17"/>
  <c r="O2644" i="17"/>
  <c r="L2412" i="17"/>
  <c r="N2632" i="17"/>
  <c r="O2632" i="17" s="1"/>
  <c r="M2556" i="17"/>
  <c r="N2606" i="17"/>
  <c r="O2606" i="17" s="1"/>
  <c r="N2624" i="17"/>
  <c r="O2624" i="17" s="1"/>
  <c r="O2627" i="17"/>
  <c r="M2601" i="17"/>
  <c r="N2601" i="17" s="1"/>
  <c r="P2617" i="17"/>
  <c r="O2621" i="17"/>
  <c r="P2621" i="17" s="1"/>
  <c r="O2608" i="17"/>
  <c r="O2636" i="17"/>
  <c r="P2634" i="17"/>
  <c r="P2540" i="17"/>
  <c r="N2528" i="17"/>
  <c r="M2646" i="17"/>
  <c r="N2646" i="17" s="1"/>
  <c r="P2570" i="17"/>
  <c r="P2559" i="17"/>
  <c r="N2533" i="17"/>
  <c r="O2533" i="17" s="1"/>
  <c r="M2515" i="17"/>
  <c r="N2497" i="17"/>
  <c r="M2497" i="17"/>
  <c r="N2485" i="17"/>
  <c r="M2505" i="17"/>
  <c r="N2484" i="17"/>
  <c r="O2484" i="17" s="1"/>
  <c r="P2484" i="17" s="1"/>
  <c r="L2500" i="17"/>
  <c r="M2500" i="17" s="1"/>
  <c r="N2496" i="17"/>
  <c r="O2496" i="17" s="1"/>
  <c r="L2444" i="17"/>
  <c r="O2434" i="17"/>
  <c r="P2434" i="17" s="1"/>
  <c r="O2630" i="17"/>
  <c r="N2432" i="17"/>
  <c r="O2432" i="17" s="1"/>
  <c r="M2430" i="17"/>
  <c r="N2430" i="17" s="1"/>
  <c r="N2397" i="17"/>
  <c r="L2420" i="17"/>
  <c r="L2404" i="17"/>
  <c r="M2404" i="17" s="1"/>
  <c r="L2392" i="17"/>
  <c r="O2321" i="17"/>
  <c r="P2321" i="17" s="1"/>
  <c r="N2289" i="17"/>
  <c r="N2281" i="17"/>
  <c r="O2281" i="17" s="1"/>
  <c r="N2273" i="17"/>
  <c r="O2273" i="17" s="1"/>
  <c r="N2265" i="17"/>
  <c r="O2265" i="17" s="1"/>
  <c r="N2257" i="17"/>
  <c r="O2257" i="17" s="1"/>
  <c r="N2240" i="17"/>
  <c r="O2240" i="17" s="1"/>
  <c r="P2198" i="17"/>
  <c r="P2259" i="17"/>
  <c r="O2226" i="17"/>
  <c r="P2226" i="17" s="1"/>
  <c r="P2209" i="17"/>
  <c r="P2270" i="17"/>
  <c r="O2238" i="17"/>
  <c r="P2238" i="17" s="1"/>
  <c r="O2221" i="17"/>
  <c r="P2221" i="17" s="1"/>
  <c r="N2186" i="17"/>
  <c r="N2232" i="17"/>
  <c r="L2219" i="17"/>
  <c r="P2207" i="17"/>
  <c r="L2191" i="17"/>
  <c r="N2076" i="17"/>
  <c r="L2113" i="17"/>
  <c r="P2107" i="17"/>
  <c r="P2043" i="17"/>
  <c r="O2056" i="17"/>
  <c r="P2056" i="17" s="1"/>
  <c r="M1987" i="17"/>
  <c r="P1976" i="17"/>
  <c r="O2017" i="17"/>
  <c r="P2017" i="17" s="1"/>
  <c r="O1980" i="17"/>
  <c r="O2044" i="17"/>
  <c r="O2022" i="17"/>
  <c r="M1947" i="17"/>
  <c r="M1919" i="17"/>
  <c r="N1919" i="17" s="1"/>
  <c r="N1894" i="17"/>
  <c r="P1913" i="17"/>
  <c r="O1902" i="17"/>
  <c r="P1902" i="17" s="1"/>
  <c r="N1889" i="17"/>
  <c r="O1889" i="17" s="1"/>
  <c r="N1859" i="17"/>
  <c r="M1859" i="17"/>
  <c r="O1859" i="17" s="1"/>
  <c r="P1859" i="17" s="1"/>
  <c r="N1839" i="17"/>
  <c r="O1839" i="17" s="1"/>
  <c r="M1839" i="17"/>
  <c r="P1839" i="17" s="1"/>
  <c r="L1831" i="17"/>
  <c r="N1823" i="17"/>
  <c r="M1823" i="17"/>
  <c r="O1905" i="17"/>
  <c r="O1868" i="17"/>
  <c r="P1868" i="17" s="1"/>
  <c r="N1966" i="17"/>
  <c r="O1966" i="17" s="1"/>
  <c r="P1953" i="17"/>
  <c r="O1953" i="17"/>
  <c r="M2003" i="17"/>
  <c r="N2003" i="17" s="1"/>
  <c r="L1986" i="17"/>
  <c r="O1846" i="17"/>
  <c r="P1846" i="17" s="1"/>
  <c r="N1938" i="17"/>
  <c r="O1938" i="17" s="1"/>
  <c r="N1912" i="17"/>
  <c r="O1887" i="17"/>
  <c r="L1827" i="17"/>
  <c r="M1819" i="17"/>
  <c r="N1819" i="17" s="1"/>
  <c r="L1815" i="17"/>
  <c r="M1767" i="17"/>
  <c r="M1756" i="17"/>
  <c r="O1800" i="17"/>
  <c r="N1800" i="17"/>
  <c r="P1800" i="17" s="1"/>
  <c r="L1783" i="17"/>
  <c r="M1864" i="17"/>
  <c r="L1786" i="17"/>
  <c r="N1758" i="17"/>
  <c r="P1758" i="17" s="1"/>
  <c r="L1737" i="17"/>
  <c r="M1789" i="17"/>
  <c r="N1789" i="17" s="1"/>
  <c r="L1835" i="17"/>
  <c r="M1812" i="17"/>
  <c r="L1808" i="17"/>
  <c r="M1784" i="17"/>
  <c r="N1784" i="17" s="1"/>
  <c r="L1768" i="17"/>
  <c r="M1768" i="17" s="1"/>
  <c r="L1750" i="17"/>
  <c r="L1795" i="17"/>
  <c r="L1771" i="17"/>
  <c r="N1699" i="17"/>
  <c r="O1699" i="17" s="1"/>
  <c r="M1628" i="17"/>
  <c r="M1777" i="17"/>
  <c r="O1777" i="17" s="1"/>
  <c r="N1777" i="17"/>
  <c r="P1728" i="17"/>
  <c r="M1686" i="17"/>
  <c r="N1671" i="17"/>
  <c r="M1667" i="17"/>
  <c r="N1653" i="17"/>
  <c r="M1653" i="17"/>
  <c r="N1639" i="17"/>
  <c r="M1635" i="17"/>
  <c r="M1613" i="17"/>
  <c r="N1601" i="17"/>
  <c r="P1601" i="17" s="1"/>
  <c r="O1601" i="17"/>
  <c r="M1626" i="17"/>
  <c r="N1751" i="17"/>
  <c r="N1654" i="17"/>
  <c r="M1848" i="17"/>
  <c r="N1848" i="17" s="1"/>
  <c r="N1660" i="17"/>
  <c r="N1624" i="17"/>
  <c r="O1624" i="17" s="1"/>
  <c r="P1624" i="17" s="1"/>
  <c r="L1685" i="17"/>
  <c r="N1679" i="17"/>
  <c r="L1668" i="17"/>
  <c r="M1668" i="17" s="1"/>
  <c r="L1615" i="17"/>
  <c r="M1729" i="17"/>
  <c r="N1729" i="17" s="1"/>
  <c r="N1713" i="17"/>
  <c r="O1713" i="17" s="1"/>
  <c r="P1713" i="17" s="1"/>
  <c r="M1630" i="17"/>
  <c r="N1630" i="17"/>
  <c r="M1510" i="17"/>
  <c r="M1427" i="17"/>
  <c r="L1370" i="17"/>
  <c r="M1370" i="17" s="1"/>
  <c r="L1306" i="17"/>
  <c r="L1063" i="17"/>
  <c r="M1063" i="17"/>
  <c r="M1388" i="17"/>
  <c r="N1726" i="17"/>
  <c r="M1726" i="17"/>
  <c r="N1050" i="17"/>
  <c r="N1295" i="17"/>
  <c r="P1208" i="17"/>
  <c r="N1008" i="17"/>
  <c r="M1008" i="17"/>
  <c r="L993" i="17"/>
  <c r="M973" i="17"/>
  <c r="N973" i="17" s="1"/>
  <c r="M1226" i="17"/>
  <c r="N1226" i="17" s="1"/>
  <c r="M1065" i="17"/>
  <c r="N1065" i="17" s="1"/>
  <c r="L1065" i="17"/>
  <c r="O1054" i="17"/>
  <c r="N1054" i="17"/>
  <c r="P1054" i="17" s="1"/>
  <c r="M1054" i="17"/>
  <c r="L1043" i="17"/>
  <c r="N1033" i="17"/>
  <c r="O1033" i="17" s="1"/>
  <c r="P1033" i="17" s="1"/>
  <c r="M1033" i="17"/>
  <c r="L1024" i="17"/>
  <c r="M1024" i="17" s="1"/>
  <c r="L1013" i="17"/>
  <c r="L1005" i="17"/>
  <c r="M1005" i="17"/>
  <c r="N1005" i="17"/>
  <c r="O1005" i="17" s="1"/>
  <c r="M996" i="17"/>
  <c r="L996" i="17"/>
  <c r="L988" i="17"/>
  <c r="L978" i="17"/>
  <c r="N970" i="17"/>
  <c r="M970" i="17"/>
  <c r="O970" i="17" s="1"/>
  <c r="N962" i="17"/>
  <c r="L962" i="17"/>
  <c r="O962" i="17" s="1"/>
  <c r="M962" i="17"/>
  <c r="N954" i="17"/>
  <c r="O954" i="17" s="1"/>
  <c r="P954" i="17" s="1"/>
  <c r="M954" i="17"/>
  <c r="L946" i="17"/>
  <c r="M946" i="17" s="1"/>
  <c r="L936" i="17"/>
  <c r="M936" i="17"/>
  <c r="L920" i="17"/>
  <c r="M920" i="17"/>
  <c r="L912" i="17"/>
  <c r="M912" i="17"/>
  <c r="N912" i="17"/>
  <c r="O912" i="17" s="1"/>
  <c r="M1884" i="17"/>
  <c r="N1100" i="17"/>
  <c r="O1100" i="17"/>
  <c r="N1068" i="17"/>
  <c r="L890" i="17"/>
  <c r="M890" i="17" s="1"/>
  <c r="M880" i="17"/>
  <c r="N880" i="17" s="1"/>
  <c r="L870" i="17"/>
  <c r="M870" i="17" s="1"/>
  <c r="M648" i="17"/>
  <c r="N648" i="17"/>
  <c r="P648" i="17" s="1"/>
  <c r="O648" i="17"/>
  <c r="M639" i="17"/>
  <c r="O639" i="17" s="1"/>
  <c r="N639" i="17"/>
  <c r="N630" i="17"/>
  <c r="O630" i="17" s="1"/>
  <c r="N620" i="17"/>
  <c r="O620" i="17" s="1"/>
  <c r="M620" i="17"/>
  <c r="P620" i="17" s="1"/>
  <c r="N611" i="17"/>
  <c r="O611" i="17" s="1"/>
  <c r="P611" i="17" s="1"/>
  <c r="M603" i="17"/>
  <c r="N603" i="17" s="1"/>
  <c r="N595" i="17"/>
  <c r="M595" i="17"/>
  <c r="O595" i="17" s="1"/>
  <c r="O585" i="17"/>
  <c r="P585" i="17"/>
  <c r="O891" i="17"/>
  <c r="P891" i="17" s="1"/>
  <c r="O875" i="17"/>
  <c r="P875" i="17" s="1"/>
  <c r="P869" i="17"/>
  <c r="O852" i="17"/>
  <c r="P852" i="17" s="1"/>
  <c r="L844" i="17"/>
  <c r="M825" i="17"/>
  <c r="N825" i="17" s="1"/>
  <c r="O687" i="17"/>
  <c r="N687" i="17"/>
  <c r="P687" i="17" s="1"/>
  <c r="M687" i="17"/>
  <c r="M694" i="17"/>
  <c r="N694" i="17" s="1"/>
  <c r="P698" i="17"/>
  <c r="M518" i="17"/>
  <c r="N518" i="17" s="1"/>
  <c r="O518" i="17"/>
  <c r="P518" i="17" s="1"/>
  <c r="M442" i="17"/>
  <c r="M426" i="17"/>
  <c r="N395" i="17"/>
  <c r="M395" i="17"/>
  <c r="O395" i="17" s="1"/>
  <c r="P395" i="17" s="1"/>
  <c r="M393" i="17"/>
  <c r="N393" i="17" s="1"/>
  <c r="L360" i="17"/>
  <c r="M360" i="17" s="1"/>
  <c r="L351" i="17"/>
  <c r="L133" i="17"/>
  <c r="N443" i="17"/>
  <c r="N418" i="17"/>
  <c r="O418" i="17"/>
  <c r="P418" i="17" s="1"/>
  <c r="M126" i="17"/>
  <c r="N126" i="17" s="1"/>
  <c r="N742" i="17"/>
  <c r="O742" i="17" s="1"/>
  <c r="P742" i="17" s="1"/>
  <c r="M46" i="17"/>
  <c r="L46" i="17"/>
  <c r="M1255" i="17"/>
  <c r="L1365" i="17"/>
  <c r="L1355" i="17"/>
  <c r="L1345" i="17"/>
  <c r="M1345" i="17" s="1"/>
  <c r="L1335" i="17"/>
  <c r="M1315" i="17"/>
  <c r="P1315" i="17" s="1"/>
  <c r="O1137" i="17"/>
  <c r="N1137" i="17"/>
  <c r="L1393" i="17"/>
  <c r="L1159" i="17"/>
  <c r="M1214" i="17"/>
  <c r="N1147" i="17"/>
  <c r="O1147" i="17" s="1"/>
  <c r="P1147" i="17" s="1"/>
  <c r="L1087" i="17"/>
  <c r="N1114" i="17"/>
  <c r="O1114" i="17" s="1"/>
  <c r="P1114" i="17" s="1"/>
  <c r="M1087" i="17"/>
  <c r="M1052" i="17"/>
  <c r="N1052" i="17" s="1"/>
  <c r="N1032" i="17"/>
  <c r="O1032" i="17" s="1"/>
  <c r="P1032" i="17" s="1"/>
  <c r="L995" i="17"/>
  <c r="M995" i="17" s="1"/>
  <c r="O995" i="17" s="1"/>
  <c r="O987" i="17"/>
  <c r="N987" i="17"/>
  <c r="P987" i="17" s="1"/>
  <c r="O969" i="17"/>
  <c r="P969" i="17" s="1"/>
  <c r="O961" i="17"/>
  <c r="P961" i="17"/>
  <c r="N953" i="17"/>
  <c r="O953" i="17" s="1"/>
  <c r="P953" i="17" s="1"/>
  <c r="L927" i="17"/>
  <c r="M927" i="17" s="1"/>
  <c r="O919" i="17"/>
  <c r="P919" i="17" s="1"/>
  <c r="N919" i="17"/>
  <c r="L1153" i="17"/>
  <c r="N902" i="17"/>
  <c r="M1045" i="17"/>
  <c r="N1045" i="17" s="1"/>
  <c r="N961" i="17"/>
  <c r="P1213" i="17"/>
  <c r="L1195" i="17"/>
  <c r="M650" i="17"/>
  <c r="O650" i="17" s="1"/>
  <c r="P650" i="17" s="1"/>
  <c r="N633" i="17"/>
  <c r="O613" i="17"/>
  <c r="N597" i="17"/>
  <c r="O587" i="17"/>
  <c r="N587" i="17"/>
  <c r="M587" i="17"/>
  <c r="L799" i="17"/>
  <c r="L822" i="17"/>
  <c r="M775" i="17"/>
  <c r="N713" i="17"/>
  <c r="O713" i="17" s="1"/>
  <c r="P681" i="17"/>
  <c r="N681" i="17"/>
  <c r="O681" i="17"/>
  <c r="M675" i="17"/>
  <c r="P655" i="17"/>
  <c r="M649" i="17"/>
  <c r="N649" i="17" s="1"/>
  <c r="N586" i="17"/>
  <c r="L510" i="17"/>
  <c r="M562" i="17"/>
  <c r="O562" i="17" s="1"/>
  <c r="O633" i="17"/>
  <c r="P498" i="17"/>
  <c r="M498" i="17"/>
  <c r="N498" i="17" s="1"/>
  <c r="O498" i="17"/>
  <c r="M495" i="17"/>
  <c r="L495" i="17"/>
  <c r="M259" i="17"/>
  <c r="N212" i="17"/>
  <c r="M212" i="17"/>
  <c r="N605" i="17"/>
  <c r="P605" i="17" s="1"/>
  <c r="L131" i="17"/>
  <c r="L98" i="17"/>
  <c r="M98" i="17" s="1"/>
  <c r="N149" i="17"/>
  <c r="L149" i="17"/>
  <c r="M149" i="17"/>
  <c r="O149" i="17" s="1"/>
  <c r="L72" i="17"/>
  <c r="M72" i="17"/>
  <c r="L35" i="17"/>
  <c r="M35" i="17" s="1"/>
  <c r="O714" i="17"/>
  <c r="P714" i="17" s="1"/>
  <c r="N506" i="17"/>
  <c r="O506" i="17" s="1"/>
  <c r="P506" i="17" s="1"/>
  <c r="O454" i="17"/>
  <c r="N377" i="17"/>
  <c r="O377" i="17" s="1"/>
  <c r="P377" i="17" s="1"/>
  <c r="L355" i="17"/>
  <c r="N349" i="17"/>
  <c r="O349" i="17" s="1"/>
  <c r="P349" i="17" s="1"/>
  <c r="M295" i="17"/>
  <c r="N227" i="17"/>
  <c r="O227" i="17" s="1"/>
  <c r="P227" i="17" s="1"/>
  <c r="M214" i="17"/>
  <c r="N214" i="17" s="1"/>
  <c r="N192" i="17"/>
  <c r="O192" i="17" s="1"/>
  <c r="P192" i="17" s="1"/>
  <c r="M310" i="17"/>
  <c r="P758" i="17"/>
  <c r="N447" i="17"/>
  <c r="M447" i="17"/>
  <c r="M431" i="17"/>
  <c r="L380" i="17"/>
  <c r="L366" i="17"/>
  <c r="M366" i="17" s="1"/>
  <c r="L310" i="17"/>
  <c r="L302" i="17"/>
  <c r="M565" i="17"/>
  <c r="M135" i="17"/>
  <c r="N135" i="17" s="1"/>
  <c r="O134" i="17"/>
  <c r="L69" i="17"/>
  <c r="L216" i="17"/>
  <c r="N216" i="17" s="1"/>
  <c r="M216" i="17"/>
  <c r="P87" i="17"/>
  <c r="D31" i="28"/>
  <c r="N31" i="4"/>
  <c r="F31" i="28" s="1"/>
  <c r="M1281" i="17"/>
  <c r="N1281" i="17" s="1"/>
  <c r="O1281" i="17" s="1"/>
  <c r="L1392" i="17"/>
  <c r="M1769" i="17"/>
  <c r="N1769" i="17" s="1"/>
  <c r="L1747" i="17"/>
  <c r="O1580" i="17"/>
  <c r="P1580" i="17" s="1"/>
  <c r="O1282" i="17"/>
  <c r="L1612" i="17"/>
  <c r="N1612" i="17" s="1"/>
  <c r="M1604" i="17"/>
  <c r="M1365" i="17"/>
  <c r="L1359" i="17"/>
  <c r="M1355" i="17"/>
  <c r="M1335" i="17"/>
  <c r="L1329" i="17"/>
  <c r="N1315" i="17"/>
  <c r="O1288" i="17"/>
  <c r="M1146" i="17"/>
  <c r="P1146" i="17" s="1"/>
  <c r="N1146" i="17"/>
  <c r="M1136" i="17"/>
  <c r="M1393" i="17"/>
  <c r="O1241" i="17"/>
  <c r="P1241" i="17" s="1"/>
  <c r="N1233" i="17"/>
  <c r="O1290" i="17"/>
  <c r="P1290" i="17" s="1"/>
  <c r="P1238" i="17"/>
  <c r="L1157" i="17"/>
  <c r="M1157" i="17" s="1"/>
  <c r="O1295" i="17"/>
  <c r="P1295" i="17" s="1"/>
  <c r="L1109" i="17"/>
  <c r="O1085" i="17"/>
  <c r="P1085" i="17" s="1"/>
  <c r="N1214" i="17"/>
  <c r="P1060" i="17"/>
  <c r="O1022" i="17"/>
  <c r="P1022" i="17" s="1"/>
  <c r="N1022" i="17"/>
  <c r="O1011" i="17"/>
  <c r="P1011" i="17"/>
  <c r="M1003" i="17"/>
  <c r="O994" i="17"/>
  <c r="P994" i="17" s="1"/>
  <c r="N994" i="17"/>
  <c r="L986" i="17"/>
  <c r="M986" i="17" s="1"/>
  <c r="O952" i="17"/>
  <c r="N952" i="17"/>
  <c r="P952" i="17" s="1"/>
  <c r="M934" i="17"/>
  <c r="O934" i="17" s="1"/>
  <c r="O926" i="17"/>
  <c r="P926" i="17" s="1"/>
  <c r="N918" i="17"/>
  <c r="L918" i="17"/>
  <c r="M918" i="17" s="1"/>
  <c r="O906" i="17"/>
  <c r="P906" i="17"/>
  <c r="M1158" i="17"/>
  <c r="N1158" i="17" s="1"/>
  <c r="O1315" i="17"/>
  <c r="P1237" i="17"/>
  <c r="O1105" i="17"/>
  <c r="P1105" i="17" s="1"/>
  <c r="M894" i="17"/>
  <c r="N894" i="17" s="1"/>
  <c r="L884" i="17"/>
  <c r="M884" i="17" s="1"/>
  <c r="L874" i="17"/>
  <c r="L853" i="17"/>
  <c r="L829" i="17"/>
  <c r="N1040" i="17"/>
  <c r="O1040" i="17" s="1"/>
  <c r="M789" i="17"/>
  <c r="N789" i="17"/>
  <c r="O789" i="17" s="1"/>
  <c r="L835" i="17"/>
  <c r="L818" i="17"/>
  <c r="M1195" i="17"/>
  <c r="N1176" i="17"/>
  <c r="O1176" i="17" s="1"/>
  <c r="L798" i="17"/>
  <c r="M798" i="17" s="1"/>
  <c r="O604" i="17"/>
  <c r="P604" i="17"/>
  <c r="N596" i="17"/>
  <c r="N986" i="17"/>
  <c r="O986" i="17" s="1"/>
  <c r="M897" i="17"/>
  <c r="N897" i="17" s="1"/>
  <c r="M889" i="17"/>
  <c r="M885" i="17"/>
  <c r="M848" i="17"/>
  <c r="L824" i="17"/>
  <c r="M819" i="17"/>
  <c r="L819" i="17"/>
  <c r="M795" i="17"/>
  <c r="M781" i="17"/>
  <c r="M737" i="17"/>
  <c r="O669" i="17"/>
  <c r="L796" i="17"/>
  <c r="M559" i="17"/>
  <c r="N559" i="17" s="1"/>
  <c r="N562" i="17"/>
  <c r="P562" i="17" s="1"/>
  <c r="O536" i="17"/>
  <c r="N732" i="17"/>
  <c r="P732" i="17" s="1"/>
  <c r="O732" i="17"/>
  <c r="L575" i="17"/>
  <c r="M575" i="17" s="1"/>
  <c r="N575" i="17"/>
  <c r="O521" i="17"/>
  <c r="P521" i="17" s="1"/>
  <c r="O497" i="17"/>
  <c r="P497" i="17"/>
  <c r="N650" i="17"/>
  <c r="O605" i="17"/>
  <c r="M403" i="17"/>
  <c r="N403" i="17" s="1"/>
  <c r="N386" i="17"/>
  <c r="M386" i="17"/>
  <c r="O386" i="17" s="1"/>
  <c r="M368" i="17"/>
  <c r="N368" i="17" s="1"/>
  <c r="L368" i="17"/>
  <c r="M350" i="17"/>
  <c r="N350" i="17" s="1"/>
  <c r="M333" i="17"/>
  <c r="N333" i="17" s="1"/>
  <c r="M317" i="17"/>
  <c r="N317" i="17" s="1"/>
  <c r="N299" i="17"/>
  <c r="M299" i="17"/>
  <c r="O299" i="17" s="1"/>
  <c r="M234" i="17"/>
  <c r="O762" i="17"/>
  <c r="P762" i="17" s="1"/>
  <c r="M728" i="17"/>
  <c r="M539" i="17"/>
  <c r="N529" i="17"/>
  <c r="O529" i="17" s="1"/>
  <c r="P529" i="17" s="1"/>
  <c r="N669" i="17"/>
  <c r="P587" i="17"/>
  <c r="L123" i="17"/>
  <c r="M123" i="17"/>
  <c r="P760" i="17"/>
  <c r="O526" i="17"/>
  <c r="N526" i="17"/>
  <c r="M569" i="17"/>
  <c r="N569" i="17" s="1"/>
  <c r="L549" i="17"/>
  <c r="L121" i="17"/>
  <c r="M121" i="17" s="1"/>
  <c r="N494" i="17"/>
  <c r="O494" i="17" s="1"/>
  <c r="P494" i="17" s="1"/>
  <c r="P484" i="17"/>
  <c r="N472" i="17"/>
  <c r="O472" i="17" s="1"/>
  <c r="P472" i="17" s="1"/>
  <c r="P408" i="17"/>
  <c r="O408" i="17"/>
  <c r="M402" i="17"/>
  <c r="M383" i="17"/>
  <c r="N383" i="17" s="1"/>
  <c r="N353" i="17"/>
  <c r="O353" i="17" s="1"/>
  <c r="P353" i="17" s="1"/>
  <c r="L338" i="17"/>
  <c r="M338" i="17" s="1"/>
  <c r="M332" i="17"/>
  <c r="N285" i="17"/>
  <c r="O285" i="17" s="1"/>
  <c r="O265" i="17"/>
  <c r="P265" i="17" s="1"/>
  <c r="N258" i="17"/>
  <c r="O258" i="17" s="1"/>
  <c r="L236" i="17"/>
  <c r="N199" i="17"/>
  <c r="O199" i="17" s="1"/>
  <c r="N781" i="17"/>
  <c r="M376" i="17"/>
  <c r="L145" i="17"/>
  <c r="M145" i="17"/>
  <c r="O686" i="17"/>
  <c r="N686" i="17"/>
  <c r="P686" i="17" s="1"/>
  <c r="O567" i="17"/>
  <c r="P567" i="17" s="1"/>
  <c r="L339" i="17"/>
  <c r="L266" i="17"/>
  <c r="N266" i="17" s="1"/>
  <c r="O266" i="17" s="1"/>
  <c r="M266" i="17"/>
  <c r="M92" i="17"/>
  <c r="N92" i="17"/>
  <c r="L92" i="17"/>
  <c r="M44" i="17"/>
  <c r="N44" i="17"/>
  <c r="O44" i="17" s="1"/>
  <c r="O626" i="17"/>
  <c r="P626" i="17" s="1"/>
  <c r="N207" i="17"/>
  <c r="M207" i="17"/>
  <c r="O207" i="17" s="1"/>
  <c r="P207" i="17" s="1"/>
  <c r="L172" i="17"/>
  <c r="M730" i="17"/>
  <c r="N730" i="17" s="1"/>
  <c r="P16" i="10"/>
  <c r="P1577" i="17"/>
  <c r="L1303" i="17"/>
  <c r="L1363" i="17"/>
  <c r="L1333" i="17"/>
  <c r="L1322" i="17"/>
  <c r="M1142" i="17"/>
  <c r="N1142" i="17" s="1"/>
  <c r="O1142" i="17" s="1"/>
  <c r="M1133" i="17"/>
  <c r="N1284" i="17"/>
  <c r="O1284" i="17" s="1"/>
  <c r="L1095" i="17"/>
  <c r="M1095" i="17" s="1"/>
  <c r="M1282" i="17"/>
  <c r="N1282" i="17" s="1"/>
  <c r="P1284" i="17"/>
  <c r="P1234" i="17"/>
  <c r="L1073" i="17"/>
  <c r="L1616" i="17"/>
  <c r="L1126" i="17"/>
  <c r="M1285" i="17"/>
  <c r="N1085" i="17"/>
  <c r="N927" i="17"/>
  <c r="O615" i="17"/>
  <c r="M646" i="17"/>
  <c r="M629" i="17"/>
  <c r="N629" i="17" s="1"/>
  <c r="P610" i="17"/>
  <c r="O610" i="17"/>
  <c r="M1055" i="17"/>
  <c r="O1055" i="17" s="1"/>
  <c r="L791" i="17"/>
  <c r="M779" i="17"/>
  <c r="N779" i="17" s="1"/>
  <c r="M710" i="17"/>
  <c r="N710" i="17" s="1"/>
  <c r="M644" i="17"/>
  <c r="N644" i="17" s="1"/>
  <c r="M554" i="17"/>
  <c r="N591" i="17"/>
  <c r="P613" i="17"/>
  <c r="M399" i="17"/>
  <c r="M364" i="17"/>
  <c r="M345" i="17"/>
  <c r="L329" i="17"/>
  <c r="M313" i="17"/>
  <c r="M275" i="17"/>
  <c r="M778" i="17"/>
  <c r="L154" i="17"/>
  <c r="M154" i="17" s="1"/>
  <c r="L88" i="17"/>
  <c r="L39" i="17"/>
  <c r="M39" i="17"/>
  <c r="L560" i="17"/>
  <c r="M560" i="17"/>
  <c r="L174" i="17"/>
  <c r="L60" i="17"/>
  <c r="M60" i="17" s="1"/>
  <c r="L10" i="17"/>
  <c r="N678" i="17"/>
  <c r="O678" i="17" s="1"/>
  <c r="L537" i="17"/>
  <c r="M537" i="17" s="1"/>
  <c r="N537" i="17" s="1"/>
  <c r="P452" i="17"/>
  <c r="L387" i="17"/>
  <c r="M358" i="17"/>
  <c r="N358" i="17" s="1"/>
  <c r="N342" i="17"/>
  <c r="O342" i="17" s="1"/>
  <c r="L318" i="17"/>
  <c r="M318" i="17" s="1"/>
  <c r="N289" i="17"/>
  <c r="O289" i="17"/>
  <c r="M289" i="17"/>
  <c r="N272" i="17"/>
  <c r="M250" i="17"/>
  <c r="L241" i="17"/>
  <c r="N204" i="17"/>
  <c r="M204" i="17"/>
  <c r="O204" i="17" s="1"/>
  <c r="P204" i="17" s="1"/>
  <c r="N132" i="17"/>
  <c r="N453" i="17"/>
  <c r="O453" i="17" s="1"/>
  <c r="L179" i="17"/>
  <c r="M179" i="17"/>
  <c r="N756" i="17"/>
  <c r="O756" i="17" s="1"/>
  <c r="L533" i="17"/>
  <c r="L388" i="17"/>
  <c r="L376" i="17"/>
  <c r="N362" i="17"/>
  <c r="M362" i="17"/>
  <c r="O362" i="17" s="1"/>
  <c r="P362" i="17" s="1"/>
  <c r="L335" i="17"/>
  <c r="N310" i="17"/>
  <c r="L296" i="17"/>
  <c r="L30" i="11"/>
  <c r="L119" i="17"/>
  <c r="P119" i="17" s="1"/>
  <c r="N84" i="17"/>
  <c r="L197" i="17"/>
  <c r="M197" i="17" s="1"/>
  <c r="L97" i="17"/>
  <c r="N97" i="17"/>
  <c r="O97" i="17" s="1"/>
  <c r="M97" i="17"/>
  <c r="M1193" i="17"/>
  <c r="N637" i="17"/>
  <c r="L110" i="17"/>
  <c r="O38" i="17"/>
  <c r="M534" i="17"/>
  <c r="L534" i="17"/>
  <c r="N182" i="17"/>
  <c r="L182" i="17"/>
  <c r="M182" i="17"/>
  <c r="L138" i="17"/>
  <c r="N1387" i="17"/>
  <c r="O1387" i="17" s="1"/>
  <c r="L1354" i="17"/>
  <c r="L1321" i="17"/>
  <c r="N1270" i="17"/>
  <c r="M1266" i="17"/>
  <c r="O1769" i="17"/>
  <c r="M1312" i="17"/>
  <c r="N1271" i="17"/>
  <c r="M1612" i="17"/>
  <c r="L1374" i="17"/>
  <c r="L1353" i="17"/>
  <c r="M1353" i="17"/>
  <c r="N1347" i="17"/>
  <c r="O1347" i="17" s="1"/>
  <c r="P1347" i="17" s="1"/>
  <c r="L1347" i="17"/>
  <c r="M1347" i="17" s="1"/>
  <c r="M1333" i="17"/>
  <c r="L1327" i="17"/>
  <c r="M1322" i="17"/>
  <c r="N1322" i="17" s="1"/>
  <c r="N1141" i="17"/>
  <c r="O1141" i="17" s="1"/>
  <c r="M1141" i="17"/>
  <c r="L1385" i="17"/>
  <c r="N1385" i="17" s="1"/>
  <c r="N1247" i="17"/>
  <c r="O1247" i="17" s="1"/>
  <c r="O1572" i="17"/>
  <c r="P1572" i="17" s="1"/>
  <c r="M1229" i="17"/>
  <c r="N1229" i="17"/>
  <c r="O1229" i="17"/>
  <c r="M1151" i="17"/>
  <c r="N1151" i="17" s="1"/>
  <c r="N1799" i="17"/>
  <c r="O1799" i="17" s="1"/>
  <c r="M1270" i="17"/>
  <c r="N1218" i="17"/>
  <c r="M1218" i="17"/>
  <c r="O1218" i="17" s="1"/>
  <c r="P1218" i="17" s="1"/>
  <c r="L1600" i="17"/>
  <c r="O1146" i="17"/>
  <c r="M949" i="17"/>
  <c r="N949" i="17" s="1"/>
  <c r="M915" i="17"/>
  <c r="N915" i="17" s="1"/>
  <c r="P1279" i="17"/>
  <c r="M1205" i="17"/>
  <c r="N1205" i="17"/>
  <c r="P1100" i="17"/>
  <c r="L1077" i="17"/>
  <c r="N1036" i="17"/>
  <c r="L1012" i="17"/>
  <c r="L968" i="17"/>
  <c r="M968" i="17" s="1"/>
  <c r="L948" i="17"/>
  <c r="M948" i="17" s="1"/>
  <c r="L935" i="17"/>
  <c r="L1074" i="17"/>
  <c r="P1137" i="17"/>
  <c r="N1094" i="17"/>
  <c r="L892" i="17"/>
  <c r="M892" i="17" s="1"/>
  <c r="L882" i="17"/>
  <c r="L872" i="17"/>
  <c r="N868" i="17"/>
  <c r="O868" i="17" s="1"/>
  <c r="M861" i="17"/>
  <c r="L851" i="17"/>
  <c r="N847" i="17"/>
  <c r="O847" i="17" s="1"/>
  <c r="N1239" i="17"/>
  <c r="O1239" i="17" s="1"/>
  <c r="N1004" i="17"/>
  <c r="O1004" i="17" s="1"/>
  <c r="N911" i="17"/>
  <c r="O911" i="17" s="1"/>
  <c r="L832" i="17"/>
  <c r="M832" i="17" s="1"/>
  <c r="N832" i="17" s="1"/>
  <c r="M818" i="17"/>
  <c r="L806" i="17"/>
  <c r="L785" i="17"/>
  <c r="N827" i="17"/>
  <c r="P827" i="17" s="1"/>
  <c r="M827" i="17"/>
  <c r="O827" i="17" s="1"/>
  <c r="L809" i="17"/>
  <c r="M638" i="17"/>
  <c r="O583" i="17"/>
  <c r="M1204" i="17"/>
  <c r="O897" i="17"/>
  <c r="P897" i="17" s="1"/>
  <c r="M830" i="17"/>
  <c r="O830" i="17" s="1"/>
  <c r="N830" i="17"/>
  <c r="L813" i="17"/>
  <c r="O645" i="17"/>
  <c r="P645" i="17" s="1"/>
  <c r="O609" i="17"/>
  <c r="P609" i="17" s="1"/>
  <c r="O1051" i="17"/>
  <c r="P1051" i="17" s="1"/>
  <c r="N960" i="17"/>
  <c r="O960" i="17" s="1"/>
  <c r="O841" i="17"/>
  <c r="L1093" i="17"/>
  <c r="O810" i="17"/>
  <c r="P810" i="17" s="1"/>
  <c r="M810" i="17"/>
  <c r="N810" i="17"/>
  <c r="N787" i="17"/>
  <c r="M787" i="17"/>
  <c r="P1101" i="17"/>
  <c r="M755" i="17"/>
  <c r="N755" i="17" s="1"/>
  <c r="M748" i="17"/>
  <c r="N748" i="17" s="1"/>
  <c r="O748" i="17" s="1"/>
  <c r="M741" i="17"/>
  <c r="N741" i="17" s="1"/>
  <c r="M735" i="17"/>
  <c r="O727" i="17"/>
  <c r="P727" i="17" s="1"/>
  <c r="M717" i="17"/>
  <c r="O710" i="17"/>
  <c r="O679" i="17"/>
  <c r="M659" i="17"/>
  <c r="O788" i="17"/>
  <c r="N788" i="17"/>
  <c r="P788" i="17" s="1"/>
  <c r="N576" i="17"/>
  <c r="P576" i="17" s="1"/>
  <c r="O550" i="17"/>
  <c r="M550" i="17"/>
  <c r="N550" i="17" s="1"/>
  <c r="P527" i="17"/>
  <c r="M581" i="17"/>
  <c r="N717" i="17"/>
  <c r="O517" i="17"/>
  <c r="P517" i="17" s="1"/>
  <c r="P805" i="17"/>
  <c r="M736" i="17"/>
  <c r="N602" i="17"/>
  <c r="P602" i="17" s="1"/>
  <c r="M544" i="17"/>
  <c r="L512" i="17"/>
  <c r="L492" i="17"/>
  <c r="L382" i="17"/>
  <c r="L294" i="17"/>
  <c r="N1246" i="17"/>
  <c r="O1246" i="17" s="1"/>
  <c r="M719" i="17"/>
  <c r="N719" i="17" s="1"/>
  <c r="O719" i="17" s="1"/>
  <c r="N689" i="17"/>
  <c r="P689" i="17" s="1"/>
  <c r="M745" i="17"/>
  <c r="M707" i="17"/>
  <c r="N707" i="17" s="1"/>
  <c r="N551" i="17"/>
  <c r="O551" i="17" s="1"/>
  <c r="O502" i="17"/>
  <c r="P502" i="17" s="1"/>
  <c r="N701" i="17"/>
  <c r="O701" i="17" s="1"/>
  <c r="P701" i="17" s="1"/>
  <c r="L114" i="17"/>
  <c r="L77" i="17"/>
  <c r="M77" i="17"/>
  <c r="N594" i="17"/>
  <c r="M523" i="17"/>
  <c r="N661" i="17"/>
  <c r="M520" i="17"/>
  <c r="L365" i="17"/>
  <c r="L314" i="17"/>
  <c r="L287" i="17"/>
  <c r="L137" i="17"/>
  <c r="M800" i="17"/>
  <c r="N800" i="17" s="1"/>
  <c r="N410" i="17"/>
  <c r="O410" i="17" s="1"/>
  <c r="P391" i="17"/>
  <c r="N385" i="17"/>
  <c r="O385" i="17" s="1"/>
  <c r="N340" i="17"/>
  <c r="O340" i="17" s="1"/>
  <c r="N326" i="17"/>
  <c r="O326" i="17" s="1"/>
  <c r="P326" i="17" s="1"/>
  <c r="N316" i="17"/>
  <c r="O316" i="17" s="1"/>
  <c r="P316" i="17" s="1"/>
  <c r="N268" i="17"/>
  <c r="O268" i="17" s="1"/>
  <c r="P268" i="17" s="1"/>
  <c r="N239" i="17"/>
  <c r="O239" i="17" s="1"/>
  <c r="P239" i="17" s="1"/>
  <c r="N167" i="17"/>
  <c r="O167" i="17" s="1"/>
  <c r="P167" i="17" s="1"/>
  <c r="N99" i="17"/>
  <c r="O99" i="17" s="1"/>
  <c r="P469" i="17"/>
  <c r="L168" i="17"/>
  <c r="M168" i="17" s="1"/>
  <c r="L125" i="17"/>
  <c r="M125" i="17" s="1"/>
  <c r="L90" i="17"/>
  <c r="L56" i="17"/>
  <c r="M664" i="17"/>
  <c r="N664" i="17" s="1"/>
  <c r="N641" i="17"/>
  <c r="O641" i="17" s="1"/>
  <c r="P641" i="17" s="1"/>
  <c r="N467" i="17"/>
  <c r="O467" i="17" s="1"/>
  <c r="P467" i="17"/>
  <c r="N439" i="17"/>
  <c r="O439" i="17" s="1"/>
  <c r="N357" i="17"/>
  <c r="L357" i="17"/>
  <c r="M357" i="17" s="1"/>
  <c r="N292" i="17"/>
  <c r="L292" i="17"/>
  <c r="M292" i="17" s="1"/>
  <c r="L278" i="17"/>
  <c r="M278" i="17" s="1"/>
  <c r="N278" i="17" s="1"/>
  <c r="L247" i="17"/>
  <c r="M58" i="17"/>
  <c r="L58" i="17"/>
  <c r="L52" i="17"/>
  <c r="N1193" i="17"/>
  <c r="P1179" i="17"/>
  <c r="N632" i="17"/>
  <c r="O632" i="17" s="1"/>
  <c r="N577" i="17"/>
  <c r="P577" i="17" s="1"/>
  <c r="O159" i="17"/>
  <c r="M83" i="17"/>
  <c r="N83" i="17" s="1"/>
  <c r="M525" i="17"/>
  <c r="N525" i="17" s="1"/>
  <c r="N1384" i="17"/>
  <c r="L1384" i="17"/>
  <c r="O1384" i="17" s="1"/>
  <c r="L1389" i="17"/>
  <c r="M1389" i="17"/>
  <c r="M1309" i="17"/>
  <c r="P1267" i="17"/>
  <c r="O1267" i="17"/>
  <c r="L1378" i="17"/>
  <c r="L1367" i="17"/>
  <c r="L1337" i="17"/>
  <c r="O1272" i="17"/>
  <c r="P1272" i="17" s="1"/>
  <c r="M1385" i="17"/>
  <c r="M1273" i="17"/>
  <c r="N1273" i="17" s="1"/>
  <c r="O1273" i="17" s="1"/>
  <c r="L1076" i="17"/>
  <c r="O1249" i="17"/>
  <c r="M1211" i="17"/>
  <c r="N1211" i="17" s="1"/>
  <c r="L1130" i="17"/>
  <c r="N1130" i="17" s="1"/>
  <c r="O1130" i="17" s="1"/>
  <c r="L1069" i="17"/>
  <c r="M1069" i="17" s="1"/>
  <c r="L1608" i="17"/>
  <c r="M1224" i="17"/>
  <c r="N1224" i="17" s="1"/>
  <c r="M1070" i="17"/>
  <c r="L1070" i="17"/>
  <c r="P1056" i="17"/>
  <c r="M1035" i="17"/>
  <c r="O1027" i="17"/>
  <c r="P1027" i="17" s="1"/>
  <c r="L1027" i="17"/>
  <c r="M1027" i="17" s="1"/>
  <c r="N1007" i="17"/>
  <c r="O1007" i="17" s="1"/>
  <c r="O990" i="17"/>
  <c r="P990" i="17"/>
  <c r="O980" i="17"/>
  <c r="P980" i="17"/>
  <c r="O972" i="17"/>
  <c r="P972" i="17"/>
  <c r="M964" i="17"/>
  <c r="L956" i="17"/>
  <c r="M956" i="17" s="1"/>
  <c r="O939" i="17"/>
  <c r="O930" i="17"/>
  <c r="P930" i="17"/>
  <c r="N930" i="17"/>
  <c r="N922" i="17"/>
  <c r="O901" i="17"/>
  <c r="P901" i="17" s="1"/>
  <c r="L1301" i="17"/>
  <c r="L1132" i="17"/>
  <c r="M1132" i="17" s="1"/>
  <c r="L1122" i="17"/>
  <c r="N1027" i="17"/>
  <c r="N939" i="17"/>
  <c r="P939" i="17" s="1"/>
  <c r="M872" i="17"/>
  <c r="M851" i="17"/>
  <c r="M837" i="17"/>
  <c r="O837" i="17" s="1"/>
  <c r="L837" i="17"/>
  <c r="N995" i="17"/>
  <c r="L843" i="17"/>
  <c r="M843" i="17" s="1"/>
  <c r="M594" i="17"/>
  <c r="N1204" i="17"/>
  <c r="M1190" i="17"/>
  <c r="M636" i="17"/>
  <c r="O636" i="17" s="1"/>
  <c r="P636" i="17" s="1"/>
  <c r="M627" i="17"/>
  <c r="O627" i="17" s="1"/>
  <c r="P627" i="17" s="1"/>
  <c r="M616" i="17"/>
  <c r="N616" i="17" s="1"/>
  <c r="P608" i="17"/>
  <c r="M608" i="17"/>
  <c r="N608" i="17" s="1"/>
  <c r="O608" i="17"/>
  <c r="M600" i="17"/>
  <c r="N600" i="17" s="1"/>
  <c r="O600" i="17" s="1"/>
  <c r="N1039" i="17"/>
  <c r="N944" i="17"/>
  <c r="O944" i="17" s="1"/>
  <c r="N923" i="17"/>
  <c r="O755" i="17"/>
  <c r="O741" i="17"/>
  <c r="M708" i="17"/>
  <c r="N677" i="17"/>
  <c r="O619" i="17"/>
  <c r="P619" i="17" s="1"/>
  <c r="L570" i="17"/>
  <c r="P570" i="17" s="1"/>
  <c r="L491" i="17"/>
  <c r="M491" i="17" s="1"/>
  <c r="N491" i="17" s="1"/>
  <c r="L817" i="17"/>
  <c r="M570" i="17"/>
  <c r="O570" i="17" s="1"/>
  <c r="M784" i="17"/>
  <c r="O749" i="17"/>
  <c r="P749" i="17" s="1"/>
  <c r="N711" i="17"/>
  <c r="N544" i="17"/>
  <c r="M503" i="17"/>
  <c r="N503" i="17" s="1"/>
  <c r="O503" i="17" s="1"/>
  <c r="L503" i="17"/>
  <c r="N621" i="17"/>
  <c r="O621" i="17" s="1"/>
  <c r="M193" i="17"/>
  <c r="N193" i="17" s="1"/>
  <c r="N636" i="17"/>
  <c r="L572" i="17"/>
  <c r="N627" i="17"/>
  <c r="P462" i="17"/>
  <c r="P430" i="17"/>
  <c r="L412" i="17"/>
  <c r="M107" i="17"/>
  <c r="P107" i="17" s="1"/>
  <c r="N48" i="17"/>
  <c r="L48" i="17"/>
  <c r="O48" i="17" s="1"/>
  <c r="P48" i="17" s="1"/>
  <c r="M48" i="17"/>
  <c r="N772" i="17"/>
  <c r="P772" i="17" s="1"/>
  <c r="N623" i="17"/>
  <c r="O623" i="17" s="1"/>
  <c r="M478" i="17"/>
  <c r="N468" i="17"/>
  <c r="P419" i="17"/>
  <c r="N389" i="17"/>
  <c r="P375" i="17"/>
  <c r="O375" i="17"/>
  <c r="N367" i="17"/>
  <c r="M355" i="17"/>
  <c r="M347" i="17"/>
  <c r="N347" i="17" s="1"/>
  <c r="M320" i="17"/>
  <c r="N320" i="17" s="1"/>
  <c r="P305" i="17"/>
  <c r="O305" i="17"/>
  <c r="M297" i="17"/>
  <c r="N297" i="17" s="1"/>
  <c r="L277" i="17"/>
  <c r="M277" i="17"/>
  <c r="N244" i="17"/>
  <c r="P225" i="17"/>
  <c r="O225" i="17"/>
  <c r="N217" i="17"/>
  <c r="M190" i="17"/>
  <c r="N190" i="17" s="1"/>
  <c r="M124" i="17"/>
  <c r="L124" i="17"/>
  <c r="N54" i="17"/>
  <c r="O54" i="17" s="1"/>
  <c r="P583" i="17"/>
  <c r="P485" i="17"/>
  <c r="M396" i="17"/>
  <c r="N696" i="17"/>
  <c r="P696" i="17" s="1"/>
  <c r="O664" i="17"/>
  <c r="P664" i="17" s="1"/>
  <c r="M533" i="17"/>
  <c r="O533" i="17" s="1"/>
  <c r="M479" i="17"/>
  <c r="N451" i="17"/>
  <c r="O451" i="17" s="1"/>
  <c r="P451" i="17" s="1"/>
  <c r="L409" i="17"/>
  <c r="M409" i="17"/>
  <c r="L331" i="17"/>
  <c r="M331" i="17" s="1"/>
  <c r="N98" i="17"/>
  <c r="O98" i="17" s="1"/>
  <c r="L181" i="17"/>
  <c r="N181" i="17" s="1"/>
  <c r="O181" i="17" s="1"/>
  <c r="M181" i="17"/>
  <c r="P181" i="17" s="1"/>
  <c r="O119" i="17"/>
  <c r="N119" i="17"/>
  <c r="M119" i="17"/>
  <c r="L30" i="17"/>
  <c r="P508" i="17"/>
  <c r="M148" i="17"/>
  <c r="O597" i="17"/>
  <c r="L93" i="17"/>
  <c r="M93" i="17" s="1"/>
  <c r="L1362" i="17"/>
  <c r="L1330" i="17"/>
  <c r="M1311" i="17"/>
  <c r="M1296" i="17"/>
  <c r="N1296" i="17" s="1"/>
  <c r="O1296" i="17" s="1"/>
  <c r="M1384" i="17"/>
  <c r="P1384" i="17" s="1"/>
  <c r="M1257" i="17"/>
  <c r="N1257" i="17" s="1"/>
  <c r="N1386" i="17"/>
  <c r="N1309" i="17"/>
  <c r="O1309" i="17" s="1"/>
  <c r="M1718" i="17"/>
  <c r="M1625" i="17"/>
  <c r="N1604" i="17"/>
  <c r="L1386" i="17"/>
  <c r="M1386" i="17" s="1"/>
  <c r="M1739" i="17"/>
  <c r="N1739" i="17" s="1"/>
  <c r="M1391" i="17"/>
  <c r="N1391" i="17" s="1"/>
  <c r="M1378" i="17"/>
  <c r="M1367" i="17"/>
  <c r="L1361" i="17"/>
  <c r="L1351" i="17"/>
  <c r="M1337" i="17"/>
  <c r="L1331" i="17"/>
  <c r="M1305" i="17"/>
  <c r="N1305" i="17" s="1"/>
  <c r="O1305" i="17" s="1"/>
  <c r="M1149" i="17"/>
  <c r="M1139" i="17"/>
  <c r="O1559" i="17"/>
  <c r="P1559" i="17" s="1"/>
  <c r="P1245" i="17"/>
  <c r="N1245" i="17"/>
  <c r="O1245" i="17" s="1"/>
  <c r="M1130" i="17"/>
  <c r="N1107" i="17"/>
  <c r="M1107" i="17"/>
  <c r="O1107" i="17" s="1"/>
  <c r="P1107" i="17" s="1"/>
  <c r="N1264" i="17"/>
  <c r="O1264" i="17" s="1"/>
  <c r="M1207" i="17"/>
  <c r="O1726" i="17"/>
  <c r="P1249" i="17"/>
  <c r="M1064" i="17"/>
  <c r="N1064" i="17" s="1"/>
  <c r="O1064" i="17" s="1"/>
  <c r="L1064" i="17"/>
  <c r="P1548" i="17"/>
  <c r="O1097" i="17"/>
  <c r="P1097" i="17" s="1"/>
  <c r="L1023" i="17"/>
  <c r="L999" i="17"/>
  <c r="M999" i="17" s="1"/>
  <c r="L976" i="17"/>
  <c r="L945" i="17"/>
  <c r="L922" i="17"/>
  <c r="M922" i="17" s="1"/>
  <c r="N1090" i="17"/>
  <c r="O1090" i="17" s="1"/>
  <c r="N1055" i="17"/>
  <c r="P1055" i="17" s="1"/>
  <c r="M1044" i="17"/>
  <c r="M1034" i="17"/>
  <c r="M1026" i="17"/>
  <c r="N1026" i="17" s="1"/>
  <c r="M1014" i="17"/>
  <c r="L1014" i="17"/>
  <c r="M1006" i="17"/>
  <c r="N1006" i="17" s="1"/>
  <c r="M998" i="17"/>
  <c r="O998" i="17" s="1"/>
  <c r="N998" i="17"/>
  <c r="M989" i="17"/>
  <c r="N989" i="17" s="1"/>
  <c r="O989" i="17" s="1"/>
  <c r="M979" i="17"/>
  <c r="M971" i="17"/>
  <c r="M963" i="17"/>
  <c r="N963" i="17" s="1"/>
  <c r="M955" i="17"/>
  <c r="N955" i="17" s="1"/>
  <c r="L947" i="17"/>
  <c r="M937" i="17"/>
  <c r="N937" i="17" s="1"/>
  <c r="M929" i="17"/>
  <c r="N929" i="17" s="1"/>
  <c r="O921" i="17"/>
  <c r="P921" i="17"/>
  <c r="M921" i="17"/>
  <c r="N921" i="17"/>
  <c r="M913" i="17"/>
  <c r="N913" i="17" s="1"/>
  <c r="M900" i="17"/>
  <c r="N900" i="17" s="1"/>
  <c r="M1310" i="17"/>
  <c r="N1310" i="17" s="1"/>
  <c r="M1292" i="17"/>
  <c r="N1292" i="17" s="1"/>
  <c r="O1212" i="17"/>
  <c r="P1212" i="17" s="1"/>
  <c r="M1616" i="17"/>
  <c r="M1206" i="17"/>
  <c r="N1206" i="17"/>
  <c r="O1082" i="17"/>
  <c r="P1082" i="17"/>
  <c r="N1015" i="17"/>
  <c r="O1015" i="17" s="1"/>
  <c r="N914" i="17"/>
  <c r="O914" i="17" s="1"/>
  <c r="N892" i="17"/>
  <c r="L886" i="17"/>
  <c r="L876" i="17"/>
  <c r="N872" i="17"/>
  <c r="L866" i="17"/>
  <c r="L855" i="17"/>
  <c r="M855" i="17" s="1"/>
  <c r="M849" i="17"/>
  <c r="N849" i="17" s="1"/>
  <c r="N837" i="17"/>
  <c r="M811" i="17"/>
  <c r="N1116" i="17"/>
  <c r="O1116" i="17" s="1"/>
  <c r="O1061" i="17"/>
  <c r="P1061" i="17" s="1"/>
  <c r="N977" i="17"/>
  <c r="O977" i="17" s="1"/>
  <c r="M801" i="17"/>
  <c r="N843" i="17"/>
  <c r="M612" i="17"/>
  <c r="P593" i="17"/>
  <c r="P1288" i="17"/>
  <c r="N1190" i="17"/>
  <c r="M824" i="17"/>
  <c r="N635" i="17"/>
  <c r="O635" i="17" s="1"/>
  <c r="L1103" i="17"/>
  <c r="N1031" i="17"/>
  <c r="O1031" i="17" s="1"/>
  <c r="N934" i="17"/>
  <c r="N879" i="17"/>
  <c r="O879" i="17" s="1"/>
  <c r="N867" i="17"/>
  <c r="N858" i="17"/>
  <c r="O858" i="17" s="1"/>
  <c r="N807" i="17"/>
  <c r="M1093" i="17"/>
  <c r="M828" i="17"/>
  <c r="O828" i="17" s="1"/>
  <c r="P828" i="17" s="1"/>
  <c r="N828" i="17"/>
  <c r="O803" i="17"/>
  <c r="N803" i="17"/>
  <c r="P803" i="17" s="1"/>
  <c r="M803" i="17"/>
  <c r="M783" i="17"/>
  <c r="N783" i="17" s="1"/>
  <c r="O783" i="17" s="1"/>
  <c r="L1081" i="17"/>
  <c r="N831" i="17"/>
  <c r="M777" i="17"/>
  <c r="M771" i="17"/>
  <c r="N771" i="17" s="1"/>
  <c r="M765" i="17"/>
  <c r="M759" i="17"/>
  <c r="P753" i="17"/>
  <c r="O753" i="17"/>
  <c r="M746" i="17"/>
  <c r="N746" i="17"/>
  <c r="M733" i="17"/>
  <c r="O715" i="17"/>
  <c r="P715" i="17" s="1"/>
  <c r="O695" i="17"/>
  <c r="P695" i="17" s="1"/>
  <c r="O689" i="17"/>
  <c r="M683" i="17"/>
  <c r="M677" i="17"/>
  <c r="M671" i="17"/>
  <c r="M665" i="17"/>
  <c r="P657" i="17"/>
  <c r="O657" i="17"/>
  <c r="M651" i="17"/>
  <c r="O640" i="17"/>
  <c r="P640" i="17" s="1"/>
  <c r="M796" i="17"/>
  <c r="N612" i="17"/>
  <c r="L545" i="17"/>
  <c r="L519" i="17"/>
  <c r="N570" i="17"/>
  <c r="L535" i="17"/>
  <c r="M535" i="17" s="1"/>
  <c r="O808" i="17"/>
  <c r="N582" i="17"/>
  <c r="N555" i="17"/>
  <c r="N766" i="17"/>
  <c r="M711" i="17"/>
  <c r="P536" i="17"/>
  <c r="M511" i="17"/>
  <c r="N511" i="17" s="1"/>
  <c r="N724" i="17"/>
  <c r="O724" i="17" s="1"/>
  <c r="N638" i="17"/>
  <c r="O591" i="17"/>
  <c r="P591" i="17" s="1"/>
  <c r="L280" i="17"/>
  <c r="O772" i="17"/>
  <c r="N716" i="17"/>
  <c r="N684" i="17"/>
  <c r="N657" i="17"/>
  <c r="P615" i="17"/>
  <c r="M512" i="17"/>
  <c r="N218" i="17"/>
  <c r="P218" i="17" s="1"/>
  <c r="M218" i="17"/>
  <c r="O218" i="17"/>
  <c r="N733" i="17"/>
  <c r="N584" i="17"/>
  <c r="P531" i="17"/>
  <c r="M747" i="17"/>
  <c r="N747" i="17" s="1"/>
  <c r="L139" i="17"/>
  <c r="L17" i="17"/>
  <c r="M572" i="17"/>
  <c r="O602" i="17"/>
  <c r="N560" i="17"/>
  <c r="N520" i="17"/>
  <c r="M444" i="17"/>
  <c r="M307" i="17"/>
  <c r="N307" i="17" s="1"/>
  <c r="M279" i="17"/>
  <c r="N279" i="17" s="1"/>
  <c r="L129" i="17"/>
  <c r="N728" i="17"/>
  <c r="M670" i="17"/>
  <c r="N670" i="17" s="1"/>
  <c r="M566" i="17"/>
  <c r="N566" i="17" s="1"/>
  <c r="M446" i="17"/>
  <c r="P428" i="17"/>
  <c r="O389" i="17"/>
  <c r="N373" i="17"/>
  <c r="O373" i="17" s="1"/>
  <c r="P373" i="17" s="1"/>
  <c r="O367" i="17"/>
  <c r="N355" i="17"/>
  <c r="N344" i="17"/>
  <c r="O344" i="17" s="1"/>
  <c r="P344" i="17" s="1"/>
  <c r="N303" i="17"/>
  <c r="O303" i="17" s="1"/>
  <c r="N274" i="17"/>
  <c r="O274" i="17" s="1"/>
  <c r="P274" i="17" s="1"/>
  <c r="O244" i="17"/>
  <c r="N223" i="17"/>
  <c r="O223" i="17" s="1"/>
  <c r="O217" i="17"/>
  <c r="N201" i="17"/>
  <c r="O201" i="17" s="1"/>
  <c r="N187" i="17"/>
  <c r="O187" i="17" s="1"/>
  <c r="L155" i="17"/>
  <c r="M155" i="17" s="1"/>
  <c r="M115" i="17"/>
  <c r="M41" i="17"/>
  <c r="L574" i="17"/>
  <c r="M542" i="17"/>
  <c r="N542" i="17" s="1"/>
  <c r="M335" i="17"/>
  <c r="M261" i="17"/>
  <c r="L116" i="17"/>
  <c r="O696" i="17"/>
  <c r="N662" i="17"/>
  <c r="N533" i="17"/>
  <c r="N435" i="17"/>
  <c r="O435" i="17" s="1"/>
  <c r="P435" i="17"/>
  <c r="N420" i="17"/>
  <c r="O420" i="17" s="1"/>
  <c r="N396" i="17"/>
  <c r="N319" i="17"/>
  <c r="M319" i="17"/>
  <c r="O319" i="17" s="1"/>
  <c r="N243" i="17"/>
  <c r="O243" i="17" s="1"/>
  <c r="N77" i="17"/>
  <c r="O77" i="17" s="1"/>
  <c r="O660" i="17"/>
  <c r="M660" i="17"/>
  <c r="N660" i="17" s="1"/>
  <c r="M170" i="17"/>
  <c r="L109" i="17"/>
  <c r="N109" i="17" s="1"/>
  <c r="M109" i="17"/>
  <c r="O776" i="17"/>
  <c r="M102" i="17"/>
  <c r="N102" i="17"/>
  <c r="M30" i="17"/>
  <c r="L496" i="17"/>
  <c r="L175" i="17"/>
  <c r="L94" i="17"/>
  <c r="M94" i="17" s="1"/>
  <c r="N47" i="17"/>
  <c r="O47" i="17" s="1"/>
  <c r="M47" i="17"/>
  <c r="N1174" i="17"/>
  <c r="M1174" i="17"/>
  <c r="P597" i="17"/>
  <c r="M127" i="17"/>
  <c r="N127" i="17" s="1"/>
  <c r="L515" i="17"/>
  <c r="M515" i="17"/>
  <c r="L165" i="17"/>
  <c r="N165" i="17" s="1"/>
  <c r="O165" i="17" s="1"/>
  <c r="M165" i="17"/>
  <c r="L166" i="17"/>
  <c r="L65" i="17"/>
  <c r="L86" i="17"/>
  <c r="O774" i="17"/>
  <c r="P774" i="17" s="1"/>
  <c r="P460" i="17"/>
  <c r="L404" i="17"/>
  <c r="M397" i="17"/>
  <c r="L371" i="17"/>
  <c r="N363" i="17"/>
  <c r="O363" i="17" s="1"/>
  <c r="P363" i="17" s="1"/>
  <c r="L334" i="17"/>
  <c r="N328" i="17"/>
  <c r="O328" i="17" s="1"/>
  <c r="P328" i="17" s="1"/>
  <c r="L301" i="17"/>
  <c r="N293" i="17"/>
  <c r="O293" i="17" s="1"/>
  <c r="P293" i="17" s="1"/>
  <c r="L260" i="17"/>
  <c r="M252" i="17"/>
  <c r="L220" i="17"/>
  <c r="N209" i="17"/>
  <c r="O209" i="17" s="1"/>
  <c r="P209" i="17" s="1"/>
  <c r="N141" i="17"/>
  <c r="M78" i="17"/>
  <c r="O514" i="17"/>
  <c r="P514" i="17" s="1"/>
  <c r="M327" i="17"/>
  <c r="O42" i="17"/>
  <c r="N42" i="17"/>
  <c r="P42" i="17" s="1"/>
  <c r="L42" i="17"/>
  <c r="M42" i="17" s="1"/>
  <c r="N768" i="17"/>
  <c r="N405" i="17"/>
  <c r="L392" i="17"/>
  <c r="N348" i="17"/>
  <c r="L348" i="17"/>
  <c r="M348" i="17"/>
  <c r="N283" i="17"/>
  <c r="M283" i="17"/>
  <c r="L257" i="17"/>
  <c r="N111" i="17"/>
  <c r="O111" i="17" s="1"/>
  <c r="N1167" i="17"/>
  <c r="O1167" i="17" s="1"/>
  <c r="P159" i="17"/>
  <c r="L117" i="17"/>
  <c r="K2" i="17"/>
  <c r="M4" i="17"/>
  <c r="N5" i="11"/>
  <c r="N477" i="17"/>
  <c r="O477" i="17" s="1"/>
  <c r="P461" i="17"/>
  <c r="N445" i="17"/>
  <c r="O445" i="17" s="1"/>
  <c r="P445" i="17" s="1"/>
  <c r="P429" i="17"/>
  <c r="L108" i="17"/>
  <c r="M108" i="17" s="1"/>
  <c r="M734" i="17"/>
  <c r="N734" i="17"/>
  <c r="N475" i="17"/>
  <c r="N463" i="17"/>
  <c r="O463" i="17"/>
  <c r="N427" i="17"/>
  <c r="N413" i="17"/>
  <c r="O413" i="17" s="1"/>
  <c r="L372" i="17"/>
  <c r="L306" i="17"/>
  <c r="L146" i="17"/>
  <c r="M146" i="17" s="1"/>
  <c r="N128" i="17"/>
  <c r="L12" i="17"/>
  <c r="L1186" i="17"/>
  <c r="O672" i="17"/>
  <c r="P672" i="17" s="1"/>
  <c r="L163" i="17"/>
  <c r="M163" i="17" s="1"/>
  <c r="O120" i="17"/>
  <c r="P120" i="17" s="1"/>
  <c r="N120" i="17"/>
  <c r="M103" i="17"/>
  <c r="N103" i="17" s="1"/>
  <c r="O103" i="17" s="1"/>
  <c r="N85" i="17"/>
  <c r="L85" i="17"/>
  <c r="M85" i="17" s="1"/>
  <c r="V5" i="11"/>
  <c r="D28" i="28"/>
  <c r="N28" i="4"/>
  <c r="F28" i="28" s="1"/>
  <c r="J30" i="11"/>
  <c r="T30" i="11"/>
  <c r="O153" i="17"/>
  <c r="P153" i="17" s="1"/>
  <c r="L113" i="17"/>
  <c r="M113" i="17"/>
  <c r="N113" i="17"/>
  <c r="M6" i="17"/>
  <c r="O577" i="17"/>
  <c r="P134" i="17"/>
  <c r="M57" i="17"/>
  <c r="P5" i="11"/>
  <c r="AC6" i="11"/>
  <c r="U6" i="11"/>
  <c r="M6" i="11"/>
  <c r="E6" i="11"/>
  <c r="AJ6" i="11"/>
  <c r="D6" i="11"/>
  <c r="AK7" i="11"/>
  <c r="AL7" i="11" s="1"/>
  <c r="AH6" i="11"/>
  <c r="B6" i="11"/>
  <c r="AF6" i="11"/>
  <c r="AG6" i="11"/>
  <c r="Q6" i="11"/>
  <c r="O6" i="11"/>
  <c r="AD6" i="11"/>
  <c r="AA6" i="11"/>
  <c r="K6" i="11"/>
  <c r="Y6" i="11"/>
  <c r="Z6" i="11" s="1"/>
  <c r="I6" i="11"/>
  <c r="W6" i="11"/>
  <c r="G6" i="11"/>
  <c r="F6" i="11"/>
  <c r="AI6" i="11"/>
  <c r="S6" i="11"/>
  <c r="C6" i="11"/>
  <c r="E21" i="28"/>
  <c r="N21" i="4"/>
  <c r="F21" i="28" s="1"/>
  <c r="R5" i="11"/>
  <c r="E3" i="28"/>
  <c r="N3" i="4"/>
  <c r="F3" i="28" s="1"/>
  <c r="M34" i="4"/>
  <c r="M1890" i="17"/>
  <c r="M1796" i="17"/>
  <c r="N1748" i="17"/>
  <c r="O1748" i="17" s="1"/>
  <c r="P1748" i="17" s="1"/>
  <c r="M1748" i="17"/>
  <c r="M1745" i="17"/>
  <c r="N1745" i="17" s="1"/>
  <c r="O1745" i="17" s="1"/>
  <c r="M1754" i="17"/>
  <c r="O1738" i="17"/>
  <c r="M1738" i="17"/>
  <c r="N1738" i="17" s="1"/>
  <c r="N1609" i="17"/>
  <c r="L1511" i="17"/>
  <c r="L1502" i="17"/>
  <c r="L1493" i="17"/>
  <c r="L1485" i="17"/>
  <c r="L1477" i="17"/>
  <c r="L1469" i="17"/>
  <c r="L1461" i="17"/>
  <c r="L1453" i="17"/>
  <c r="L1445" i="17"/>
  <c r="L1436" i="17"/>
  <c r="L1428" i="17"/>
  <c r="L1420" i="17"/>
  <c r="L1412" i="17"/>
  <c r="N1404" i="17"/>
  <c r="O1404" i="17" s="1"/>
  <c r="N1396" i="17"/>
  <c r="O1396" i="17" s="1"/>
  <c r="O1602" i="17"/>
  <c r="P1602" i="17" s="1"/>
  <c r="N1602" i="17"/>
  <c r="P1619" i="17"/>
  <c r="N1734" i="17"/>
  <c r="O1734" i="17" s="1"/>
  <c r="P1566" i="17"/>
  <c r="N1379" i="17"/>
  <c r="O1379" i="17" s="1"/>
  <c r="O1314" i="17"/>
  <c r="M1314" i="17"/>
  <c r="N1314" i="17" s="1"/>
  <c r="O1302" i="17"/>
  <c r="P1302" i="17" s="1"/>
  <c r="N1383" i="17"/>
  <c r="O1383" i="17" s="1"/>
  <c r="P1383" i="17"/>
  <c r="L1376" i="17"/>
  <c r="L1357" i="17"/>
  <c r="L1343" i="17"/>
  <c r="L1325" i="17"/>
  <c r="P1298" i="17"/>
  <c r="N1150" i="17"/>
  <c r="M1150" i="17"/>
  <c r="M1140" i="17"/>
  <c r="P1235" i="17"/>
  <c r="L1083" i="17"/>
  <c r="M1477" i="17"/>
  <c r="N1477" i="17" s="1"/>
  <c r="L1199" i="17"/>
  <c r="L1194" i="17"/>
  <c r="L1187" i="17"/>
  <c r="L1180" i="17"/>
  <c r="L1175" i="17"/>
  <c r="L1168" i="17"/>
  <c r="L1164" i="17"/>
  <c r="L1098" i="17"/>
  <c r="M1125" i="17"/>
  <c r="P1058" i="17"/>
  <c r="P1047" i="17"/>
  <c r="L1037" i="17"/>
  <c r="L1029" i="17"/>
  <c r="O1019" i="17"/>
  <c r="P1019" i="17"/>
  <c r="N1019" i="17"/>
  <c r="L1019" i="17"/>
  <c r="M1019" i="17" s="1"/>
  <c r="L1009" i="17"/>
  <c r="L1001" i="17"/>
  <c r="L992" i="17"/>
  <c r="L983" i="17"/>
  <c r="L974" i="17"/>
  <c r="M974" i="17" s="1"/>
  <c r="L966" i="17"/>
  <c r="L958" i="17"/>
  <c r="L950" i="17"/>
  <c r="M950" i="17" s="1"/>
  <c r="L942" i="17"/>
  <c r="L932" i="17"/>
  <c r="L924" i="17"/>
  <c r="L916" i="17"/>
  <c r="L903" i="17"/>
  <c r="M1215" i="17"/>
  <c r="L1071" i="17"/>
  <c r="O896" i="17"/>
  <c r="P896" i="17" s="1"/>
  <c r="M878" i="17"/>
  <c r="O863" i="17"/>
  <c r="P863" i="17" s="1"/>
  <c r="L820" i="17"/>
  <c r="M815" i="17"/>
  <c r="N815" i="17" s="1"/>
  <c r="M793" i="17"/>
  <c r="O793" i="17" s="1"/>
  <c r="N793" i="17"/>
  <c r="N974" i="17"/>
  <c r="O974" i="17" s="1"/>
  <c r="N1170" i="17"/>
  <c r="O790" i="17"/>
  <c r="P790" i="17" s="1"/>
  <c r="P628" i="17"/>
  <c r="P617" i="17"/>
  <c r="O601" i="17"/>
  <c r="P601" i="17" s="1"/>
  <c r="O893" i="17"/>
  <c r="P893" i="17"/>
  <c r="O877" i="17"/>
  <c r="P877" i="17"/>
  <c r="O860" i="17"/>
  <c r="P860" i="17" s="1"/>
  <c r="M836" i="17"/>
  <c r="N836" i="17" s="1"/>
  <c r="P814" i="17"/>
  <c r="O814" i="17"/>
  <c r="N769" i="17"/>
  <c r="O769" i="17"/>
  <c r="P769" i="17" s="1"/>
  <c r="M763" i="17"/>
  <c r="P750" i="17"/>
  <c r="P743" i="17"/>
  <c r="P697" i="17"/>
  <c r="O697" i="17"/>
  <c r="N691" i="17"/>
  <c r="M691" i="17"/>
  <c r="P679" i="17"/>
  <c r="P842" i="17"/>
  <c r="O576" i="17"/>
  <c r="N546" i="17"/>
  <c r="O546" i="17" s="1"/>
  <c r="N754" i="17"/>
  <c r="N673" i="17"/>
  <c r="O673" i="17" s="1"/>
  <c r="P673" i="17" s="1"/>
  <c r="N557" i="17"/>
  <c r="O557" i="17" s="1"/>
  <c r="M411" i="17"/>
  <c r="L394" i="17"/>
  <c r="N378" i="17"/>
  <c r="M378" i="17"/>
  <c r="O378" i="17" s="1"/>
  <c r="L359" i="17"/>
  <c r="M341" i="17"/>
  <c r="L325" i="17"/>
  <c r="M325" i="17" s="1"/>
  <c r="N325" i="17" s="1"/>
  <c r="M308" i="17"/>
  <c r="N308" i="17" s="1"/>
  <c r="M290" i="17"/>
  <c r="N290" i="17" s="1"/>
  <c r="L290" i="17"/>
  <c r="N271" i="17"/>
  <c r="M271" i="17"/>
  <c r="O271" i="17" s="1"/>
  <c r="P271" i="17" s="1"/>
  <c r="N249" i="17"/>
  <c r="M249" i="17"/>
  <c r="L249" i="17"/>
  <c r="M229" i="17"/>
  <c r="M205" i="17"/>
  <c r="L205" i="17"/>
  <c r="O780" i="17"/>
  <c r="P780" i="17" s="1"/>
  <c r="O564" i="17"/>
  <c r="P564" i="17" s="1"/>
  <c r="N538" i="17"/>
  <c r="O538" i="17" s="1"/>
  <c r="O482" i="17"/>
  <c r="O434" i="17"/>
  <c r="O417" i="17"/>
  <c r="L183" i="17"/>
  <c r="L112" i="17"/>
  <c r="M112" i="17" s="1"/>
  <c r="M740" i="17"/>
  <c r="M482" i="17"/>
  <c r="N482" i="17" s="1"/>
  <c r="M466" i="17"/>
  <c r="N466" i="17" s="1"/>
  <c r="M450" i="17"/>
  <c r="N450" i="17" s="1"/>
  <c r="M434" i="17"/>
  <c r="N434" i="17" s="1"/>
  <c r="M417" i="17"/>
  <c r="N417" i="17" s="1"/>
  <c r="P489" i="17"/>
  <c r="P473" i="17"/>
  <c r="P457" i="17"/>
  <c r="P441" i="17"/>
  <c r="P424" i="17"/>
  <c r="L67" i="17"/>
  <c r="L27" i="17"/>
  <c r="O617" i="17"/>
  <c r="N483" i="17"/>
  <c r="N471" i="17"/>
  <c r="N459" i="17"/>
  <c r="N424" i="17"/>
  <c r="O424" i="17" s="1"/>
  <c r="L384" i="17"/>
  <c r="M384" i="17"/>
  <c r="N343" i="17"/>
  <c r="O343" i="17" s="1"/>
  <c r="L315" i="17"/>
  <c r="N273" i="17"/>
  <c r="O273" i="17" s="1"/>
  <c r="O500" i="17"/>
  <c r="O135" i="17"/>
  <c r="L232" i="17"/>
  <c r="O180" i="17"/>
  <c r="P180" i="17" s="1"/>
  <c r="N29" i="17"/>
  <c r="O29" i="17" s="1"/>
  <c r="M147" i="17"/>
  <c r="N238" i="17"/>
  <c r="P238" i="17" s="1"/>
  <c r="O238" i="17"/>
  <c r="P38" i="17"/>
  <c r="Z5" i="11"/>
  <c r="L16" i="10"/>
  <c r="N16" i="10"/>
  <c r="E5" i="28"/>
  <c r="N5" i="4"/>
  <c r="F5" i="28" s="1"/>
  <c r="E26" i="28"/>
  <c r="N26" i="4"/>
  <c r="F26" i="28" s="1"/>
  <c r="D17" i="28"/>
  <c r="N17" i="4"/>
  <c r="F17" i="28" s="1"/>
  <c r="P15" i="9"/>
  <c r="T17" i="11"/>
  <c r="Z4" i="11"/>
  <c r="N6" i="10"/>
  <c r="AH32" i="11"/>
  <c r="B32" i="11"/>
  <c r="AF32" i="11"/>
  <c r="W32" i="11"/>
  <c r="E32" i="11"/>
  <c r="AG32" i="11"/>
  <c r="U32" i="11"/>
  <c r="K32" i="11"/>
  <c r="AD32" i="11"/>
  <c r="I32" i="11"/>
  <c r="J32" i="11" s="1"/>
  <c r="AC32" i="11"/>
  <c r="S32" i="11"/>
  <c r="T32" i="11" s="1"/>
  <c r="AK33" i="11"/>
  <c r="AL33" i="11" s="1"/>
  <c r="Q32" i="11"/>
  <c r="R32" i="11" s="1"/>
  <c r="G32" i="11"/>
  <c r="AA32" i="11"/>
  <c r="F32" i="11"/>
  <c r="Y32" i="11"/>
  <c r="Z32" i="11" s="1"/>
  <c r="O32" i="11"/>
  <c r="P32" i="11" s="1"/>
  <c r="D32" i="11"/>
  <c r="C32" i="11"/>
  <c r="M32" i="11"/>
  <c r="F7" i="10"/>
  <c r="W8" i="10"/>
  <c r="X8" i="10" s="1"/>
  <c r="T7" i="10"/>
  <c r="D7" i="10"/>
  <c r="R7" i="10"/>
  <c r="B7" i="10"/>
  <c r="I7" i="10"/>
  <c r="U7" i="10"/>
  <c r="S7" i="10"/>
  <c r="G7" i="10"/>
  <c r="Q7" i="10"/>
  <c r="E7" i="10"/>
  <c r="C7" i="10"/>
  <c r="O7" i="10"/>
  <c r="M7" i="10"/>
  <c r="K7" i="10"/>
  <c r="N22" i="4"/>
  <c r="F22" i="28" s="1"/>
  <c r="AB8" i="7"/>
  <c r="AC8" i="7" s="1"/>
  <c r="Y7" i="7"/>
  <c r="I7" i="7"/>
  <c r="X7" i="7"/>
  <c r="W7" i="7"/>
  <c r="N7" i="7"/>
  <c r="Z7" i="7"/>
  <c r="P7" i="7"/>
  <c r="G7" i="7"/>
  <c r="V7" i="7"/>
  <c r="L7" i="7"/>
  <c r="T7" i="7"/>
  <c r="U7" i="7" s="1"/>
  <c r="K7" i="7"/>
  <c r="J7" i="7"/>
  <c r="R7" i="7"/>
  <c r="S7" i="7" s="1"/>
  <c r="H7" i="7"/>
  <c r="AB6" i="9"/>
  <c r="L1514" i="17"/>
  <c r="L1505" i="17"/>
  <c r="L1496" i="17"/>
  <c r="L1488" i="17"/>
  <c r="L1480" i="17"/>
  <c r="L1472" i="17"/>
  <c r="L1464" i="17"/>
  <c r="L1456" i="17"/>
  <c r="L1448" i="17"/>
  <c r="L1439" i="17"/>
  <c r="L1431" i="17"/>
  <c r="L1423" i="17"/>
  <c r="L1415" i="17"/>
  <c r="L1407" i="17"/>
  <c r="N1407" i="17"/>
  <c r="N1399" i="17"/>
  <c r="N1610" i="17"/>
  <c r="O1610" i="17" s="1"/>
  <c r="L1377" i="17"/>
  <c r="L1373" i="17"/>
  <c r="L1368" i="17"/>
  <c r="L1364" i="17"/>
  <c r="L1360" i="17"/>
  <c r="L1356" i="17"/>
  <c r="L1352" i="17"/>
  <c r="L1348" i="17"/>
  <c r="L1344" i="17"/>
  <c r="L1340" i="17"/>
  <c r="L1336" i="17"/>
  <c r="L1332" i="17"/>
  <c r="L1328" i="17"/>
  <c r="L1324" i="17"/>
  <c r="L1319" i="17"/>
  <c r="O1300" i="17"/>
  <c r="P1300" i="17" s="1"/>
  <c r="M1472" i="17"/>
  <c r="N1472" i="17" s="1"/>
  <c r="M1407" i="17"/>
  <c r="M1143" i="17"/>
  <c r="M1134" i="17"/>
  <c r="N1134" i="17" s="1"/>
  <c r="P1096" i="17"/>
  <c r="N1096" i="17"/>
  <c r="O1096" i="17" s="1"/>
  <c r="N1154" i="17"/>
  <c r="L1117" i="17"/>
  <c r="M1256" i="17"/>
  <c r="L1196" i="17"/>
  <c r="L1191" i="17"/>
  <c r="L1185" i="17"/>
  <c r="L1177" i="17"/>
  <c r="L1172" i="17"/>
  <c r="L1166" i="17"/>
  <c r="L1161" i="17"/>
  <c r="N1155" i="17"/>
  <c r="O1155" i="17" s="1"/>
  <c r="M1119" i="17"/>
  <c r="P1057" i="17"/>
  <c r="P1046" i="17"/>
  <c r="O1036" i="17"/>
  <c r="P1036" i="17" s="1"/>
  <c r="O1017" i="17"/>
  <c r="P1017" i="17"/>
  <c r="O1008" i="17"/>
  <c r="P1008" i="17" s="1"/>
  <c r="O1000" i="17"/>
  <c r="P1000" i="17" s="1"/>
  <c r="O991" i="17"/>
  <c r="P991" i="17"/>
  <c r="O981" i="17"/>
  <c r="P981" i="17"/>
  <c r="O965" i="17"/>
  <c r="P965" i="17" s="1"/>
  <c r="O941" i="17"/>
  <c r="P941" i="17" s="1"/>
  <c r="O923" i="17"/>
  <c r="P923" i="17"/>
  <c r="P902" i="17"/>
  <c r="O902" i="17"/>
  <c r="L1067" i="17"/>
  <c r="M823" i="17"/>
  <c r="N823" i="17" s="1"/>
  <c r="P823" i="17"/>
  <c r="O823" i="17"/>
  <c r="O802" i="17"/>
  <c r="P802" i="17"/>
  <c r="O786" i="17"/>
  <c r="P786" i="17"/>
  <c r="P607" i="17"/>
  <c r="O607" i="17"/>
  <c r="P599" i="17"/>
  <c r="O599" i="17"/>
  <c r="O590" i="17"/>
  <c r="P590" i="17" s="1"/>
  <c r="N1028" i="17"/>
  <c r="O1028" i="17" s="1"/>
  <c r="P1028" i="17" s="1"/>
  <c r="N957" i="17"/>
  <c r="O957" i="17" s="1"/>
  <c r="P773" i="17"/>
  <c r="P757" i="17"/>
  <c r="P720" i="17"/>
  <c r="P669" i="17"/>
  <c r="P653" i="17"/>
  <c r="M528" i="17"/>
  <c r="O792" i="17"/>
  <c r="P792" i="17" s="1"/>
  <c r="M530" i="17"/>
  <c r="M407" i="17"/>
  <c r="N390" i="17"/>
  <c r="M390" i="17"/>
  <c r="O390" i="17" s="1"/>
  <c r="N374" i="17"/>
  <c r="P374" i="17" s="1"/>
  <c r="M374" i="17"/>
  <c r="O374" i="17" s="1"/>
  <c r="N354" i="17"/>
  <c r="P354" i="17" s="1"/>
  <c r="M354" i="17"/>
  <c r="O354" i="17" s="1"/>
  <c r="N337" i="17"/>
  <c r="M337" i="17"/>
  <c r="O337" i="17" s="1"/>
  <c r="P337" i="17" s="1"/>
  <c r="M321" i="17"/>
  <c r="M304" i="17"/>
  <c r="M286" i="17"/>
  <c r="M264" i="17"/>
  <c r="N264" i="17" s="1"/>
  <c r="N245" i="17"/>
  <c r="M245" i="17"/>
  <c r="N224" i="17"/>
  <c r="P224" i="17" s="1"/>
  <c r="M224" i="17"/>
  <c r="O224" i="17" s="1"/>
  <c r="N200" i="17"/>
  <c r="P200" i="17" s="1"/>
  <c r="M200" i="17"/>
  <c r="O200" i="17" s="1"/>
  <c r="O547" i="17"/>
  <c r="N739" i="17"/>
  <c r="O739" i="17" s="1"/>
  <c r="P739" i="17" s="1"/>
  <c r="L186" i="17"/>
  <c r="L106" i="17"/>
  <c r="P501" i="17"/>
  <c r="P486" i="17"/>
  <c r="P470" i="17"/>
  <c r="P454" i="17"/>
  <c r="P438" i="17"/>
  <c r="P421" i="17"/>
  <c r="P488" i="17"/>
  <c r="P480" i="17"/>
  <c r="P464" i="17"/>
  <c r="P456" i="17"/>
  <c r="P448" i="17"/>
  <c r="P440" i="17"/>
  <c r="P432" i="17"/>
  <c r="P423" i="17"/>
  <c r="P415" i="17"/>
  <c r="P410" i="17"/>
  <c r="P389" i="17"/>
  <c r="P385" i="17"/>
  <c r="P367" i="17"/>
  <c r="P340" i="17"/>
  <c r="P303" i="17"/>
  <c r="P289" i="17"/>
  <c r="P285" i="17"/>
  <c r="P258" i="17"/>
  <c r="P244" i="17"/>
  <c r="P233" i="17"/>
  <c r="P223" i="17"/>
  <c r="P217" i="17"/>
  <c r="P199" i="17"/>
  <c r="P187" i="17"/>
  <c r="O107" i="17"/>
  <c r="N107" i="17"/>
  <c r="P481" i="17"/>
  <c r="P465" i="17"/>
  <c r="P449" i="17"/>
  <c r="P433" i="17"/>
  <c r="P416" i="17"/>
  <c r="L156" i="17"/>
  <c r="L79" i="17"/>
  <c r="N487" i="17"/>
  <c r="N455" i="17"/>
  <c r="O455" i="17" s="1"/>
  <c r="N422" i="17"/>
  <c r="O422" i="17" s="1"/>
  <c r="O102" i="17"/>
  <c r="P102" i="17" s="1"/>
  <c r="N221" i="17"/>
  <c r="O221" i="17" s="1"/>
  <c r="O70" i="17"/>
  <c r="N70" i="17"/>
  <c r="N685" i="17"/>
  <c r="O685" i="17" s="1"/>
  <c r="N203" i="17"/>
  <c r="O203" i="17" s="1"/>
  <c r="N136" i="17"/>
  <c r="X5" i="11"/>
  <c r="E14" i="28"/>
  <c r="N14" i="4"/>
  <c r="F14" i="28" s="1"/>
  <c r="E20" i="28"/>
  <c r="N20" i="4"/>
  <c r="F20" i="28" s="1"/>
  <c r="E31" i="5"/>
  <c r="N17" i="11"/>
  <c r="AG5" i="9"/>
  <c r="C3" i="28"/>
  <c r="K34" i="4"/>
  <c r="C23" i="28" s="1"/>
  <c r="Q16" i="7"/>
  <c r="H16" i="10"/>
  <c r="S8" i="4"/>
  <c r="U6" i="7"/>
  <c r="J16" i="9"/>
  <c r="B3" i="28"/>
  <c r="J34" i="4"/>
  <c r="B23" i="28" s="1"/>
  <c r="X31" i="11"/>
  <c r="V17" i="11"/>
  <c r="P30" i="11"/>
  <c r="AE30" i="11"/>
  <c r="P17" i="11"/>
  <c r="G31" i="5"/>
  <c r="I31" i="5" s="1"/>
  <c r="S20" i="4"/>
  <c r="S7" i="4"/>
  <c r="J16" i="10"/>
  <c r="O6" i="7"/>
  <c r="N8" i="4"/>
  <c r="F8" i="28" s="1"/>
  <c r="AB17" i="11"/>
  <c r="E9" i="28"/>
  <c r="N9" i="4"/>
  <c r="F9" i="28" s="1"/>
  <c r="W19" i="11"/>
  <c r="O19" i="11"/>
  <c r="G19" i="11"/>
  <c r="AD19" i="11"/>
  <c r="F19" i="11"/>
  <c r="AC19" i="11"/>
  <c r="U19" i="11"/>
  <c r="V19" i="11" s="1"/>
  <c r="M19" i="11"/>
  <c r="E19" i="11"/>
  <c r="D19" i="11"/>
  <c r="AH19" i="11"/>
  <c r="B19" i="11"/>
  <c r="AG19" i="11"/>
  <c r="Y19" i="11"/>
  <c r="Q19" i="11"/>
  <c r="I19" i="11"/>
  <c r="K19" i="11"/>
  <c r="L19" i="11" s="1"/>
  <c r="AK20" i="11"/>
  <c r="AL20" i="11" s="1"/>
  <c r="C19" i="11"/>
  <c r="AF19" i="11"/>
  <c r="AA19" i="11"/>
  <c r="S19" i="11"/>
  <c r="S6" i="4"/>
  <c r="N7" i="4"/>
  <c r="F7" i="28" s="1"/>
  <c r="S6" i="7"/>
  <c r="J6" i="9"/>
  <c r="E4" i="28"/>
  <c r="N4" i="4"/>
  <c r="F4" i="28" s="1"/>
  <c r="N15" i="4"/>
  <c r="F15" i="28" s="1"/>
  <c r="N31" i="11"/>
  <c r="E6" i="28"/>
  <c r="N6" i="4"/>
  <c r="F6" i="28" s="1"/>
  <c r="H30" i="11"/>
  <c r="H31" i="11"/>
  <c r="AE5" i="11"/>
  <c r="O16" i="7"/>
  <c r="S5" i="4"/>
  <c r="Q6" i="7"/>
  <c r="X16" i="9"/>
  <c r="P16" i="9"/>
  <c r="T6" i="9"/>
  <c r="AH7" i="9"/>
  <c r="B7" i="9"/>
  <c r="F7" i="9"/>
  <c r="AE7" i="9"/>
  <c r="I7" i="9"/>
  <c r="AC7" i="9"/>
  <c r="S7" i="9"/>
  <c r="H7" i="9"/>
  <c r="Q7" i="9"/>
  <c r="G7" i="9"/>
  <c r="AK7" i="9"/>
  <c r="AA7" i="9"/>
  <c r="E7" i="9"/>
  <c r="AJ7" i="9"/>
  <c r="Y7" i="9"/>
  <c r="O7" i="9"/>
  <c r="D7" i="9"/>
  <c r="AI7" i="9"/>
  <c r="M7" i="9"/>
  <c r="C7" i="9"/>
  <c r="AL8" i="9"/>
  <c r="AM8" i="9" s="1"/>
  <c r="W7" i="9"/>
  <c r="AF7" i="9"/>
  <c r="U7" i="9"/>
  <c r="K7" i="9"/>
  <c r="Z30" i="11"/>
  <c r="R30" i="11"/>
  <c r="AE17" i="11"/>
  <c r="X17" i="11"/>
  <c r="R3" i="8"/>
  <c r="T3" i="8"/>
  <c r="Q3" i="8"/>
  <c r="P4" i="8" s="1"/>
  <c r="W3" i="8"/>
  <c r="X3" i="8" s="1"/>
  <c r="Z16" i="9"/>
  <c r="Z6" i="9"/>
  <c r="T1" i="4"/>
  <c r="T2" i="4" s="1"/>
  <c r="S18" i="4"/>
  <c r="S9" i="4"/>
  <c r="S16" i="4"/>
  <c r="S15" i="4"/>
  <c r="S14" i="4"/>
  <c r="S13" i="4"/>
  <c r="S12" i="4"/>
  <c r="S11" i="4"/>
  <c r="S17" i="4"/>
  <c r="S21" i="4"/>
  <c r="Y17" i="7"/>
  <c r="Y19" i="7" s="1"/>
  <c r="I17" i="7"/>
  <c r="I19" i="7" s="1"/>
  <c r="H17" i="7"/>
  <c r="H19" i="7" s="1"/>
  <c r="R17" i="7"/>
  <c r="G17" i="7"/>
  <c r="G19" i="7" s="1"/>
  <c r="P17" i="7"/>
  <c r="Q17" i="7" s="1"/>
  <c r="Z17" i="7"/>
  <c r="Z19" i="7" s="1"/>
  <c r="W17" i="7"/>
  <c r="W19" i="7" s="1"/>
  <c r="L17" i="7"/>
  <c r="X17" i="7"/>
  <c r="X19" i="7" s="1"/>
  <c r="N17" i="7"/>
  <c r="V17" i="7"/>
  <c r="V19" i="7" s="1"/>
  <c r="K17" i="7"/>
  <c r="K19" i="7" s="1"/>
  <c r="T17" i="7"/>
  <c r="U17" i="7" s="1"/>
  <c r="J17" i="7"/>
  <c r="J19" i="7" s="1"/>
  <c r="N30" i="11"/>
  <c r="F17" i="10"/>
  <c r="F19" i="10" s="1"/>
  <c r="T17" i="10"/>
  <c r="T19" i="10" s="1"/>
  <c r="D17" i="10"/>
  <c r="D19" i="10" s="1"/>
  <c r="R17" i="10"/>
  <c r="R19" i="10" s="1"/>
  <c r="B17" i="10"/>
  <c r="B19" i="10" s="1"/>
  <c r="S17" i="10"/>
  <c r="S19" i="10" s="1"/>
  <c r="G17" i="10"/>
  <c r="Q17" i="10"/>
  <c r="Q19" i="10" s="1"/>
  <c r="E17" i="10"/>
  <c r="E19" i="10" s="1"/>
  <c r="C17" i="10"/>
  <c r="C19" i="10" s="1"/>
  <c r="O17" i="10"/>
  <c r="P17" i="10" s="1"/>
  <c r="M17" i="10"/>
  <c r="K17" i="10"/>
  <c r="I17" i="10"/>
  <c r="U17" i="10"/>
  <c r="U19" i="10" s="1"/>
  <c r="S3" i="4"/>
  <c r="AI17" i="9"/>
  <c r="AI19" i="9" s="1"/>
  <c r="H17" i="9"/>
  <c r="H19" i="9" s="1"/>
  <c r="AF17" i="9"/>
  <c r="AF19" i="9" s="1"/>
  <c r="D17" i="9"/>
  <c r="D19" i="9" s="1"/>
  <c r="AC17" i="9"/>
  <c r="AC19" i="9" s="1"/>
  <c r="B17" i="9"/>
  <c r="B19" i="9" s="1"/>
  <c r="Q17" i="9"/>
  <c r="AJ17" i="9"/>
  <c r="AJ19" i="9" s="1"/>
  <c r="O17" i="9"/>
  <c r="AH17" i="9"/>
  <c r="AH19" i="9" s="1"/>
  <c r="AE17" i="9"/>
  <c r="AE19" i="9" s="1"/>
  <c r="I17" i="9"/>
  <c r="AA17" i="9"/>
  <c r="AA19" i="9" s="1"/>
  <c r="E17" i="9"/>
  <c r="E19" i="9" s="1"/>
  <c r="C17" i="9"/>
  <c r="C19" i="9" s="1"/>
  <c r="Y17" i="9"/>
  <c r="W17" i="9"/>
  <c r="L34" i="4"/>
  <c r="D23" i="28" s="1"/>
  <c r="Z17" i="11"/>
  <c r="U16" i="7"/>
  <c r="V30" i="11"/>
  <c r="L17" i="11"/>
  <c r="X4" i="11"/>
  <c r="N18" i="11"/>
  <c r="J4" i="11"/>
  <c r="E19" i="28"/>
  <c r="N19" i="4"/>
  <c r="F19" i="28" s="1"/>
  <c r="N25" i="4"/>
  <c r="F25" i="28" s="1"/>
  <c r="J17" i="11"/>
  <c r="M6" i="7"/>
  <c r="R6" i="9"/>
  <c r="V7" i="9" l="1"/>
  <c r="H32" i="11"/>
  <c r="V32" i="11"/>
  <c r="N32" i="11"/>
  <c r="AE32" i="11"/>
  <c r="T19" i="11"/>
  <c r="P19" i="11"/>
  <c r="AG7" i="9"/>
  <c r="X6" i="11"/>
  <c r="N6" i="11"/>
  <c r="J7" i="9"/>
  <c r="R7" i="9"/>
  <c r="X32" i="11"/>
  <c r="T7" i="9"/>
  <c r="O1826" i="17"/>
  <c r="P1826" i="17" s="1"/>
  <c r="N904" i="17"/>
  <c r="O904" i="17"/>
  <c r="P811" i="17"/>
  <c r="P44" i="17"/>
  <c r="P962" i="17"/>
  <c r="O1072" i="17"/>
  <c r="P101" i="17"/>
  <c r="N1410" i="17"/>
  <c r="P1410" i="17" s="1"/>
  <c r="O1655" i="17"/>
  <c r="P1655" i="17" s="1"/>
  <c r="P2331" i="17"/>
  <c r="P1358" i="17"/>
  <c r="P1866" i="17"/>
  <c r="O1866" i="17"/>
  <c r="O130" i="17"/>
  <c r="P130" i="17" s="1"/>
  <c r="N1454" i="17"/>
  <c r="P1454" i="17" s="1"/>
  <c r="O2081" i="17"/>
  <c r="P2081" i="17"/>
  <c r="O1937" i="17"/>
  <c r="P1937" i="17"/>
  <c r="O2329" i="17"/>
  <c r="P2329" i="17" s="1"/>
  <c r="P1879" i="17"/>
  <c r="P797" i="17"/>
  <c r="P1856" i="17"/>
  <c r="P2572" i="17"/>
  <c r="O929" i="17"/>
  <c r="P929" i="17" s="1"/>
  <c r="P149" i="17"/>
  <c r="O649" i="17"/>
  <c r="P649" i="17" s="1"/>
  <c r="P1005" i="17"/>
  <c r="P104" i="17"/>
  <c r="N2236" i="17"/>
  <c r="N1038" i="17"/>
  <c r="N1963" i="17"/>
  <c r="O1963" i="17" s="1"/>
  <c r="P1462" i="17"/>
  <c r="O1462" i="17"/>
  <c r="N1491" i="17"/>
  <c r="O1491" i="17" s="1"/>
  <c r="P1064" i="17"/>
  <c r="P1141" i="17"/>
  <c r="O1065" i="17"/>
  <c r="O839" i="17"/>
  <c r="P839" i="17" s="1"/>
  <c r="N1733" i="17"/>
  <c r="O1733" i="17" s="1"/>
  <c r="P493" i="17"/>
  <c r="P2203" i="17"/>
  <c r="O188" i="17"/>
  <c r="N188" i="17"/>
  <c r="O928" i="17"/>
  <c r="P928" i="17"/>
  <c r="O2648" i="17"/>
  <c r="P2648" i="17"/>
  <c r="N1438" i="17"/>
  <c r="P1438" i="17" s="1"/>
  <c r="P2091" i="17"/>
  <c r="O2282" i="17"/>
  <c r="P2282" i="17"/>
  <c r="O352" i="17"/>
  <c r="N1345" i="17"/>
  <c r="O1345" i="17"/>
  <c r="P1309" i="17"/>
  <c r="P707" i="17"/>
  <c r="O707" i="17"/>
  <c r="O915" i="17"/>
  <c r="P915" i="17"/>
  <c r="N978" i="17"/>
  <c r="O1427" i="17"/>
  <c r="P1197" i="17"/>
  <c r="N1489" i="17"/>
  <c r="P1489" i="17" s="1"/>
  <c r="O2208" i="17"/>
  <c r="P2435" i="17"/>
  <c r="O931" i="17"/>
  <c r="P931" i="17" s="1"/>
  <c r="P1788" i="17"/>
  <c r="O336" i="17"/>
  <c r="P336" i="17" s="1"/>
  <c r="O1165" i="17"/>
  <c r="P1308" i="17"/>
  <c r="P1697" i="17"/>
  <c r="N1599" i="17"/>
  <c r="O1599" i="17" s="1"/>
  <c r="O1662" i="17"/>
  <c r="P1662" i="17" s="1"/>
  <c r="O890" i="17"/>
  <c r="N890" i="17"/>
  <c r="P890" i="17" s="1"/>
  <c r="P1841" i="17"/>
  <c r="N2460" i="17"/>
  <c r="O2460" i="17"/>
  <c r="P378" i="17"/>
  <c r="O511" i="17"/>
  <c r="P511" i="17" s="1"/>
  <c r="O1718" i="17"/>
  <c r="P1718" i="17" s="1"/>
  <c r="P1224" i="17"/>
  <c r="O1224" i="17"/>
  <c r="O949" i="17"/>
  <c r="P949" i="17" s="1"/>
  <c r="O1226" i="17"/>
  <c r="P1226" i="17" s="1"/>
  <c r="O516" i="17"/>
  <c r="P516" i="17"/>
  <c r="N1449" i="17"/>
  <c r="O1449" i="17"/>
  <c r="O1825" i="17"/>
  <c r="P1825" i="17" s="1"/>
  <c r="O2078" i="17"/>
  <c r="P2078" i="17"/>
  <c r="N2390" i="17"/>
  <c r="O2390" i="17"/>
  <c r="O1637" i="17"/>
  <c r="P1637" i="17"/>
  <c r="N857" i="17"/>
  <c r="P857" i="17" s="1"/>
  <c r="O857" i="17"/>
  <c r="P1863" i="17"/>
  <c r="O2197" i="17"/>
  <c r="P2197" i="17"/>
  <c r="N2197" i="17"/>
  <c r="O2538" i="17"/>
  <c r="P2538" i="17" s="1"/>
  <c r="P2244" i="17"/>
  <c r="N1991" i="17"/>
  <c r="O1991" i="17" s="1"/>
  <c r="P297" i="17"/>
  <c r="O297" i="17"/>
  <c r="P77" i="17"/>
  <c r="O818" i="17"/>
  <c r="O393" i="17"/>
  <c r="P393" i="17"/>
  <c r="P694" i="17"/>
  <c r="O694" i="17"/>
  <c r="O973" i="17"/>
  <c r="P973" i="17" s="1"/>
  <c r="P1349" i="17"/>
  <c r="O1349" i="17"/>
  <c r="N1506" i="17"/>
  <c r="P1506" i="17" s="1"/>
  <c r="N66" i="17"/>
  <c r="O66" i="17" s="1"/>
  <c r="P66" i="17" s="1"/>
  <c r="P1966" i="17"/>
  <c r="O2318" i="17"/>
  <c r="P2318" i="17" s="1"/>
  <c r="O779" i="17"/>
  <c r="P779" i="17"/>
  <c r="O499" i="17"/>
  <c r="N499" i="17"/>
  <c r="N2363" i="17"/>
  <c r="O2363" i="17" s="1"/>
  <c r="P2363" i="17" s="1"/>
  <c r="P245" i="17"/>
  <c r="P837" i="17"/>
  <c r="P383" i="17"/>
  <c r="P880" i="17"/>
  <c r="O880" i="17"/>
  <c r="P912" i="17"/>
  <c r="O240" i="17"/>
  <c r="P240" i="17" s="1"/>
  <c r="N1638" i="17"/>
  <c r="O1979" i="17"/>
  <c r="P1979" i="17" s="1"/>
  <c r="N1978" i="17"/>
  <c r="P1978" i="17" s="1"/>
  <c r="P1926" i="17"/>
  <c r="N256" i="17"/>
  <c r="O256" i="17" s="1"/>
  <c r="P256" i="17" s="1"/>
  <c r="P967" i="17"/>
  <c r="O1021" i="17"/>
  <c r="P1021" i="17"/>
  <c r="P1862" i="17"/>
  <c r="P2100" i="17"/>
  <c r="P1138" i="17"/>
  <c r="O1138" i="17"/>
  <c r="N1658" i="17"/>
  <c r="O1658" i="17" s="1"/>
  <c r="P1658" i="17" s="1"/>
  <c r="O1762" i="17"/>
  <c r="O2195" i="17"/>
  <c r="P2195" i="17" s="1"/>
  <c r="P2493" i="17"/>
  <c r="P1816" i="17"/>
  <c r="O474" i="17"/>
  <c r="P474" i="17" s="1"/>
  <c r="J17" i="9"/>
  <c r="I19" i="9"/>
  <c r="J19" i="9" s="1"/>
  <c r="X17" i="9"/>
  <c r="W19" i="9"/>
  <c r="X19" i="9" s="1"/>
  <c r="P17" i="9"/>
  <c r="T19" i="7"/>
  <c r="U19" i="7" s="1"/>
  <c r="Z17" i="9"/>
  <c r="L17" i="10"/>
  <c r="K19" i="10"/>
  <c r="L19" i="10" s="1"/>
  <c r="Y19" i="9"/>
  <c r="Z19" i="9" s="1"/>
  <c r="AB7" i="9"/>
  <c r="J19" i="11"/>
  <c r="N19" i="11"/>
  <c r="P70" i="17"/>
  <c r="N186" i="17"/>
  <c r="M186" i="17"/>
  <c r="N321" i="17"/>
  <c r="O321" i="17" s="1"/>
  <c r="P685" i="17"/>
  <c r="N1161" i="17"/>
  <c r="M1161" i="17"/>
  <c r="M1185" i="17"/>
  <c r="M1117" i="17"/>
  <c r="N1117" i="17" s="1"/>
  <c r="O1407" i="17"/>
  <c r="P1407" i="17" s="1"/>
  <c r="O1439" i="17"/>
  <c r="P1439" i="17" s="1"/>
  <c r="M1439" i="17"/>
  <c r="N1439" i="17" s="1"/>
  <c r="O1472" i="17"/>
  <c r="P1472" i="17" s="1"/>
  <c r="M7" i="7"/>
  <c r="O471" i="17"/>
  <c r="P471" i="17" s="1"/>
  <c r="N112" i="17"/>
  <c r="O450" i="17"/>
  <c r="P450" i="17" s="1"/>
  <c r="O249" i="17"/>
  <c r="P249" i="17" s="1"/>
  <c r="O815" i="17"/>
  <c r="P815" i="17" s="1"/>
  <c r="N932" i="17"/>
  <c r="M932" i="17"/>
  <c r="N1164" i="17"/>
  <c r="M1164" i="17"/>
  <c r="M1187" i="17"/>
  <c r="H6" i="11"/>
  <c r="R6" i="11"/>
  <c r="N57" i="17"/>
  <c r="M306" i="17"/>
  <c r="P306" i="17" s="1"/>
  <c r="P768" i="17"/>
  <c r="O768" i="17"/>
  <c r="M404" i="17"/>
  <c r="N404" i="17" s="1"/>
  <c r="M1330" i="17"/>
  <c r="O1330" i="17"/>
  <c r="O747" i="17"/>
  <c r="P1015" i="17"/>
  <c r="N1367" i="17"/>
  <c r="O1367" i="17" s="1"/>
  <c r="P1367" i="17" s="1"/>
  <c r="O1292" i="17"/>
  <c r="P1292" i="17" s="1"/>
  <c r="P533" i="17"/>
  <c r="O560" i="17"/>
  <c r="P560" i="17" s="1"/>
  <c r="O831" i="17"/>
  <c r="P831" i="17" s="1"/>
  <c r="N1616" i="17"/>
  <c r="O1616" i="17" s="1"/>
  <c r="M1600" i="17"/>
  <c r="O1600" i="17" s="1"/>
  <c r="M1374" i="17"/>
  <c r="O1374" i="17" s="1"/>
  <c r="M110" i="17"/>
  <c r="M388" i="17"/>
  <c r="O388" i="17" s="1"/>
  <c r="P388" i="17" s="1"/>
  <c r="O594" i="17"/>
  <c r="P594" i="17" s="1"/>
  <c r="N736" i="17"/>
  <c r="O736" i="17" s="1"/>
  <c r="P748" i="17"/>
  <c r="N1285" i="17"/>
  <c r="O1285" i="17"/>
  <c r="M280" i="17"/>
  <c r="N280" i="17" s="1"/>
  <c r="N581" i="17"/>
  <c r="P581" i="17" s="1"/>
  <c r="P621" i="17"/>
  <c r="P986" i="17"/>
  <c r="O1039" i="17"/>
  <c r="P1039" i="17" s="1"/>
  <c r="O1739" i="17"/>
  <c r="M365" i="17"/>
  <c r="N365" i="17" s="1"/>
  <c r="P538" i="17"/>
  <c r="P911" i="17"/>
  <c r="P1305" i="17"/>
  <c r="N318" i="17"/>
  <c r="P318" i="17" s="1"/>
  <c r="P99" i="17"/>
  <c r="O2076" i="17"/>
  <c r="P2076" i="17" s="1"/>
  <c r="M2444" i="17"/>
  <c r="P54" i="17"/>
  <c r="N971" i="17"/>
  <c r="N1667" i="17"/>
  <c r="O1912" i="17"/>
  <c r="P1912" i="17" s="1"/>
  <c r="O1824" i="17"/>
  <c r="P1889" i="17"/>
  <c r="P2593" i="17"/>
  <c r="N250" i="17"/>
  <c r="O250" i="17" s="1"/>
  <c r="P1116" i="17"/>
  <c r="P1072" i="17"/>
  <c r="M2356" i="17"/>
  <c r="N2505" i="17"/>
  <c r="O2505" i="17" s="1"/>
  <c r="P2505" i="17" s="1"/>
  <c r="M76" i="17"/>
  <c r="N76" i="17" s="1"/>
  <c r="P1239" i="17"/>
  <c r="M1467" i="17"/>
  <c r="N1947" i="17"/>
  <c r="O1947" i="17" s="1"/>
  <c r="O2430" i="17"/>
  <c r="O2450" i="17"/>
  <c r="M251" i="17"/>
  <c r="N251" i="17" s="1"/>
  <c r="O666" i="17"/>
  <c r="P666" i="17" s="1"/>
  <c r="O1313" i="17"/>
  <c r="N1621" i="17"/>
  <c r="O1621" i="17" s="1"/>
  <c r="P1621" i="17" s="1"/>
  <c r="O1435" i="17"/>
  <c r="P1435" i="17" s="1"/>
  <c r="O1452" i="17"/>
  <c r="P1452" i="17" s="1"/>
  <c r="M1740" i="17"/>
  <c r="P1740" i="17" s="1"/>
  <c r="M1835" i="17"/>
  <c r="O1835" i="17" s="1"/>
  <c r="P1835" i="17" s="1"/>
  <c r="M175" i="17"/>
  <c r="N975" i="17"/>
  <c r="O975" i="17" s="1"/>
  <c r="P975" i="17" s="1"/>
  <c r="O644" i="17"/>
  <c r="P644" i="17" s="1"/>
  <c r="M943" i="17"/>
  <c r="M959" i="17"/>
  <c r="N959" i="17" s="1"/>
  <c r="O1751" i="17"/>
  <c r="P1751" i="17" s="1"/>
  <c r="P2010" i="17"/>
  <c r="M2136" i="17"/>
  <c r="N2136" i="17" s="1"/>
  <c r="O185" i="17"/>
  <c r="P185" i="17" s="1"/>
  <c r="M130" i="17"/>
  <c r="N561" i="17"/>
  <c r="O561" i="17" s="1"/>
  <c r="P561" i="17" s="1"/>
  <c r="N1718" i="17"/>
  <c r="M1694" i="17"/>
  <c r="P1694" i="17" s="1"/>
  <c r="P1379" i="17"/>
  <c r="O1729" i="17"/>
  <c r="P1729" i="17" s="1"/>
  <c r="N1446" i="17"/>
  <c r="P1446" i="17" s="1"/>
  <c r="M1470" i="17"/>
  <c r="O1486" i="17"/>
  <c r="M1503" i="17"/>
  <c r="O1875" i="17"/>
  <c r="P1875" i="17" s="1"/>
  <c r="P2030" i="17"/>
  <c r="P2186" i="17"/>
  <c r="N2417" i="17"/>
  <c r="O2417" i="17" s="1"/>
  <c r="P2417" i="17"/>
  <c r="O2539" i="17"/>
  <c r="P2539" i="17" s="1"/>
  <c r="O2479" i="17"/>
  <c r="P2479" i="17" s="1"/>
  <c r="M2499" i="17"/>
  <c r="P2499" i="17" s="1"/>
  <c r="O333" i="17"/>
  <c r="P333" i="17" s="1"/>
  <c r="N1670" i="17"/>
  <c r="O1670" i="17" s="1"/>
  <c r="O1873" i="17"/>
  <c r="N2456" i="17"/>
  <c r="P2450" i="17"/>
  <c r="P2449" i="17"/>
  <c r="P1810" i="17"/>
  <c r="M2177" i="17"/>
  <c r="N2177" i="17" s="1"/>
  <c r="M291" i="17"/>
  <c r="O2143" i="17"/>
  <c r="P2143" i="17" s="1"/>
  <c r="P2380" i="17"/>
  <c r="O2379" i="17"/>
  <c r="P2379" i="17" s="1"/>
  <c r="M2542" i="17"/>
  <c r="N2542" i="17" s="1"/>
  <c r="O1408" i="17"/>
  <c r="P1408" i="17" s="1"/>
  <c r="O1506" i="17"/>
  <c r="P1896" i="17"/>
  <c r="O2127" i="17"/>
  <c r="O2046" i="17"/>
  <c r="P2046" i="17" s="1"/>
  <c r="N2347" i="17"/>
  <c r="M2393" i="17"/>
  <c r="P2393" i="17" s="1"/>
  <c r="O2447" i="17"/>
  <c r="P2447" i="17" s="1"/>
  <c r="M2443" i="17"/>
  <c r="O2443" i="17" s="1"/>
  <c r="P2443" i="17" s="1"/>
  <c r="N964" i="17"/>
  <c r="O964" i="17" s="1"/>
  <c r="O1627" i="17"/>
  <c r="P1627" i="17" s="1"/>
  <c r="O1466" i="17"/>
  <c r="O1919" i="17"/>
  <c r="P2096" i="17"/>
  <c r="P2389" i="17"/>
  <c r="O2486" i="17"/>
  <c r="N2526" i="17"/>
  <c r="O2526" i="17" s="1"/>
  <c r="O272" i="17"/>
  <c r="P272" i="17" s="1"/>
  <c r="P1777" i="17"/>
  <c r="O1856" i="17"/>
  <c r="O2495" i="17"/>
  <c r="P2495" i="17" s="1"/>
  <c r="O825" i="17"/>
  <c r="P825" i="17" s="1"/>
  <c r="O1639" i="17"/>
  <c r="P1639" i="17" s="1"/>
  <c r="M1830" i="17"/>
  <c r="O1830" i="17" s="1"/>
  <c r="P1830" i="17" s="1"/>
  <c r="N2296" i="17"/>
  <c r="P2296" i="17" s="1"/>
  <c r="N2335" i="17"/>
  <c r="O2335" i="17" s="1"/>
  <c r="R19" i="11"/>
  <c r="M79" i="17"/>
  <c r="M1328" i="17"/>
  <c r="P1328" i="17" s="1"/>
  <c r="O1328" i="17"/>
  <c r="M1344" i="17"/>
  <c r="O1344" i="17" s="1"/>
  <c r="M1360" i="17"/>
  <c r="M1377" i="17"/>
  <c r="M1496" i="17"/>
  <c r="O1496" i="17" s="1"/>
  <c r="O483" i="17"/>
  <c r="P483" i="17"/>
  <c r="M183" i="17"/>
  <c r="N183" i="17" s="1"/>
  <c r="P974" i="17"/>
  <c r="M1001" i="17"/>
  <c r="N1001" i="17" s="1"/>
  <c r="M1485" i="17"/>
  <c r="M1420" i="17"/>
  <c r="N1420" i="17" s="1"/>
  <c r="O1420" i="17" s="1"/>
  <c r="M1453" i="17"/>
  <c r="N1186" i="17"/>
  <c r="O1186" i="17" s="1"/>
  <c r="M1186" i="17"/>
  <c r="N306" i="17"/>
  <c r="N334" i="17"/>
  <c r="M334" i="17"/>
  <c r="O334" i="17" s="1"/>
  <c r="P334" i="17" s="1"/>
  <c r="N175" i="17"/>
  <c r="O175" i="17" s="1"/>
  <c r="P175" i="17" s="1"/>
  <c r="N170" i="17"/>
  <c r="O170" i="17" s="1"/>
  <c r="P273" i="17"/>
  <c r="N41" i="17"/>
  <c r="P41" i="17" s="1"/>
  <c r="M139" i="17"/>
  <c r="N139" i="17" s="1"/>
  <c r="N651" i="17"/>
  <c r="O651" i="17" s="1"/>
  <c r="P651" i="17" s="1"/>
  <c r="O746" i="17"/>
  <c r="N801" i="17"/>
  <c r="O801" i="17" s="1"/>
  <c r="O900" i="17"/>
  <c r="M947" i="17"/>
  <c r="M1331" i="17"/>
  <c r="M1361" i="17"/>
  <c r="P1296" i="17"/>
  <c r="N1330" i="17"/>
  <c r="M1122" i="17"/>
  <c r="M1608" i="17"/>
  <c r="N1608" i="17" s="1"/>
  <c r="O1211" i="17"/>
  <c r="P1211" i="17" s="1"/>
  <c r="N659" i="17"/>
  <c r="O659" i="17" s="1"/>
  <c r="P659" i="17" s="1"/>
  <c r="O1204" i="17"/>
  <c r="N1374" i="17"/>
  <c r="P1374" i="17" s="1"/>
  <c r="N1312" i="17"/>
  <c r="O1312" i="17" s="1"/>
  <c r="O182" i="17"/>
  <c r="P182" i="17" s="1"/>
  <c r="O84" i="17"/>
  <c r="P84" i="17" s="1"/>
  <c r="N388" i="17"/>
  <c r="N179" i="17"/>
  <c r="P179" i="17" s="1"/>
  <c r="O132" i="17"/>
  <c r="P132" i="17" s="1"/>
  <c r="N275" i="17"/>
  <c r="O275" i="17" s="1"/>
  <c r="P275" i="17" s="1"/>
  <c r="N364" i="17"/>
  <c r="P364" i="17" s="1"/>
  <c r="P635" i="17"/>
  <c r="P755" i="17"/>
  <c r="N1093" i="17"/>
  <c r="O1093" i="17" s="1"/>
  <c r="N646" i="17"/>
  <c r="O646" i="17" s="1"/>
  <c r="P646" i="17" s="1"/>
  <c r="M806" i="17"/>
  <c r="N851" i="17"/>
  <c r="M1126" i="17"/>
  <c r="N1126" i="17" s="1"/>
  <c r="O1322" i="17"/>
  <c r="P420" i="17"/>
  <c r="P623" i="17"/>
  <c r="O581" i="17"/>
  <c r="N737" i="17"/>
  <c r="P632" i="17"/>
  <c r="P960" i="17"/>
  <c r="O1604" i="17"/>
  <c r="M69" i="17"/>
  <c r="N69" i="17" s="1"/>
  <c r="P135" i="17"/>
  <c r="O310" i="17"/>
  <c r="N115" i="17"/>
  <c r="O115" i="17" s="1"/>
  <c r="O569" i="17"/>
  <c r="P569" i="17" s="1"/>
  <c r="N530" i="17"/>
  <c r="O530" i="17" s="1"/>
  <c r="N818" i="17"/>
  <c r="O1052" i="17"/>
  <c r="N1087" i="17"/>
  <c r="O1087" i="17" s="1"/>
  <c r="P1087" i="17" s="1"/>
  <c r="P1393" i="17"/>
  <c r="P1285" i="17"/>
  <c r="P111" i="17"/>
  <c r="M351" i="17"/>
  <c r="P351" i="17" s="1"/>
  <c r="O603" i="17"/>
  <c r="N936" i="17"/>
  <c r="O936" i="17" s="1"/>
  <c r="M978" i="17"/>
  <c r="N996" i="17"/>
  <c r="O996" i="17" s="1"/>
  <c r="P996" i="17" s="1"/>
  <c r="P1604" i="17"/>
  <c r="N1864" i="17"/>
  <c r="O1864" i="17" s="1"/>
  <c r="P1864" i="17" s="1"/>
  <c r="N2444" i="17"/>
  <c r="O2444" i="17" s="1"/>
  <c r="P2444" i="17" s="1"/>
  <c r="P2632" i="17"/>
  <c r="P546" i="17"/>
  <c r="N979" i="17"/>
  <c r="O979" i="17" s="1"/>
  <c r="P1350" i="17"/>
  <c r="O1606" i="17"/>
  <c r="P1606" i="17" s="1"/>
  <c r="M1737" i="17"/>
  <c r="N1824" i="17"/>
  <c r="O2004" i="17"/>
  <c r="P2004" i="17" s="1"/>
  <c r="N2004" i="17"/>
  <c r="N2387" i="17"/>
  <c r="P2387" i="17" s="1"/>
  <c r="O2435" i="17"/>
  <c r="O2490" i="17"/>
  <c r="P2490" i="17" s="1"/>
  <c r="O2519" i="17"/>
  <c r="O766" i="17"/>
  <c r="P766" i="17" s="1"/>
  <c r="P499" i="17"/>
  <c r="N1156" i="17"/>
  <c r="P1156" i="17" s="1"/>
  <c r="M1262" i="17"/>
  <c r="N1262" i="17" s="1"/>
  <c r="P1299" i="17"/>
  <c r="O1763" i="17"/>
  <c r="P1763" i="17" s="1"/>
  <c r="N1401" i="17"/>
  <c r="M1450" i="17"/>
  <c r="M1490" i="17"/>
  <c r="M1507" i="17"/>
  <c r="P1507" i="17" s="1"/>
  <c r="O1701" i="17"/>
  <c r="P1701" i="17" s="1"/>
  <c r="P1749" i="17"/>
  <c r="O1736" i="17"/>
  <c r="N1788" i="17"/>
  <c r="O1841" i="17"/>
  <c r="P1968" i="17"/>
  <c r="O2236" i="17"/>
  <c r="P2236" i="17" s="1"/>
  <c r="M2371" i="17"/>
  <c r="O2371" i="17" s="1"/>
  <c r="P2371" i="17" s="1"/>
  <c r="M100" i="17"/>
  <c r="O231" i="17"/>
  <c r="P231" i="17" s="1"/>
  <c r="N444" i="17"/>
  <c r="O444" i="17" s="1"/>
  <c r="M548" i="17"/>
  <c r="O548" i="17" s="1"/>
  <c r="N777" i="17"/>
  <c r="O777" i="17" s="1"/>
  <c r="P598" i="17"/>
  <c r="N642" i="17"/>
  <c r="P642" i="17" s="1"/>
  <c r="N1078" i="17"/>
  <c r="P1078" i="17" s="1"/>
  <c r="P1142" i="17"/>
  <c r="P1739" i="17"/>
  <c r="P1314" i="17"/>
  <c r="M1426" i="17"/>
  <c r="P1483" i="17"/>
  <c r="N1641" i="17"/>
  <c r="O1641" i="17" s="1"/>
  <c r="O1932" i="17"/>
  <c r="P1932" i="17" s="1"/>
  <c r="N1961" i="17"/>
  <c r="P1961" i="17" s="1"/>
  <c r="P2208" i="17"/>
  <c r="M2191" i="17"/>
  <c r="M2420" i="17"/>
  <c r="N2420" i="17" s="1"/>
  <c r="O2455" i="17"/>
  <c r="P2455" i="17" s="1"/>
  <c r="O383" i="17"/>
  <c r="P1313" i="17"/>
  <c r="N1710" i="17"/>
  <c r="O1710" i="17" s="1"/>
  <c r="M1403" i="17"/>
  <c r="M1741" i="17"/>
  <c r="O1741" i="17" s="1"/>
  <c r="N1740" i="17"/>
  <c r="N1835" i="17"/>
  <c r="P1992" i="17"/>
  <c r="O2289" i="17"/>
  <c r="P2289" i="17" s="1"/>
  <c r="P164" i="17"/>
  <c r="O317" i="17"/>
  <c r="P317" i="17" s="1"/>
  <c r="N665" i="17"/>
  <c r="N759" i="17"/>
  <c r="P759" i="17" s="1"/>
  <c r="P1204" i="17"/>
  <c r="M993" i="17"/>
  <c r="N1928" i="17"/>
  <c r="O1928" i="17"/>
  <c r="N130" i="17"/>
  <c r="O350" i="17"/>
  <c r="M859" i="17"/>
  <c r="O859" i="17" s="1"/>
  <c r="O1257" i="17"/>
  <c r="P1257" i="17" s="1"/>
  <c r="O1716" i="17"/>
  <c r="P1716" i="17" s="1"/>
  <c r="N1709" i="17"/>
  <c r="M1709" i="17"/>
  <c r="O1930" i="17"/>
  <c r="P1930" i="17" s="1"/>
  <c r="N1906" i="17"/>
  <c r="O1906" i="17" s="1"/>
  <c r="P1906" i="17" s="1"/>
  <c r="O2334" i="17"/>
  <c r="N2401" i="17"/>
  <c r="O2401" i="17" s="1"/>
  <c r="P2401" i="17" s="1"/>
  <c r="N2499" i="17"/>
  <c r="P1687" i="17"/>
  <c r="O2100" i="17"/>
  <c r="O2365" i="17"/>
  <c r="P2365" i="17" s="1"/>
  <c r="N2400" i="17"/>
  <c r="O2400" i="17" s="1"/>
  <c r="P2400" i="17" s="1"/>
  <c r="O2456" i="17"/>
  <c r="P2456" i="17" s="1"/>
  <c r="P2448" i="17"/>
  <c r="N2596" i="17"/>
  <c r="O2596" i="17" s="1"/>
  <c r="P2596" i="17" s="1"/>
  <c r="O2445" i="17"/>
  <c r="O2620" i="17"/>
  <c r="P2620" i="17" s="1"/>
  <c r="O324" i="17"/>
  <c r="P324" i="17" s="1"/>
  <c r="N1148" i="17"/>
  <c r="N1677" i="17"/>
  <c r="O1677" i="17" s="1"/>
  <c r="M1406" i="17"/>
  <c r="O1422" i="17"/>
  <c r="N1463" i="17"/>
  <c r="N1479" i="17"/>
  <c r="P1479" i="17" s="1"/>
  <c r="M1495" i="17"/>
  <c r="P1504" i="17"/>
  <c r="O1643" i="17"/>
  <c r="O1921" i="17"/>
  <c r="P1921" i="17" s="1"/>
  <c r="O2154" i="17"/>
  <c r="P2154" i="17" s="1"/>
  <c r="P2333" i="17"/>
  <c r="P2550" i="17"/>
  <c r="N2443" i="17"/>
  <c r="N1642" i="17"/>
  <c r="N1857" i="17"/>
  <c r="O1857" i="17" s="1"/>
  <c r="P1857" i="17" s="1"/>
  <c r="O2347" i="17"/>
  <c r="P2347" i="17" s="1"/>
  <c r="N2404" i="17"/>
  <c r="O2404" i="17" s="1"/>
  <c r="P2404" i="17" s="1"/>
  <c r="P2220" i="17"/>
  <c r="N2356" i="17"/>
  <c r="O2356" i="17" s="1"/>
  <c r="P2356" i="17" s="1"/>
  <c r="N2393" i="17"/>
  <c r="O2603" i="17"/>
  <c r="M2386" i="17"/>
  <c r="P1964" i="17"/>
  <c r="P2147" i="17"/>
  <c r="N2230" i="17"/>
  <c r="O2230" i="17" s="1"/>
  <c r="P2230" i="17" s="1"/>
  <c r="N2464" i="17"/>
  <c r="O2464" i="17" s="1"/>
  <c r="N2475" i="17"/>
  <c r="N2466" i="17"/>
  <c r="P2466" i="17" s="1"/>
  <c r="O2535" i="17"/>
  <c r="O2546" i="17"/>
  <c r="P2546" i="17" s="1"/>
  <c r="P2610" i="17"/>
  <c r="N1646" i="17"/>
  <c r="P1646" i="17" s="1"/>
  <c r="P1957" i="17"/>
  <c r="M2082" i="17"/>
  <c r="P2082" i="17" s="1"/>
  <c r="P2025" i="17"/>
  <c r="O2049" i="17"/>
  <c r="P2049" i="17" s="1"/>
  <c r="N2183" i="17"/>
  <c r="P2183" i="17" s="1"/>
  <c r="O2482" i="17"/>
  <c r="P2482" i="17" s="1"/>
  <c r="P2565" i="17"/>
  <c r="N442" i="17"/>
  <c r="P442" i="17" s="1"/>
  <c r="O1671" i="17"/>
  <c r="P1671" i="17" s="1"/>
  <c r="N1830" i="17"/>
  <c r="O2120" i="17"/>
  <c r="P2533" i="17"/>
  <c r="P2506" i="17"/>
  <c r="M17" i="7"/>
  <c r="L19" i="7"/>
  <c r="M19" i="7" s="1"/>
  <c r="Z19" i="11"/>
  <c r="P19" i="7"/>
  <c r="Q19" i="7" s="1"/>
  <c r="N286" i="17"/>
  <c r="O286" i="17" s="1"/>
  <c r="P390" i="17"/>
  <c r="N1166" i="17"/>
  <c r="M1166" i="17"/>
  <c r="M1191" i="17"/>
  <c r="N1328" i="17"/>
  <c r="N1344" i="17"/>
  <c r="P1344" i="17" s="1"/>
  <c r="N1360" i="17"/>
  <c r="M1415" i="17"/>
  <c r="N1415" i="17" s="1"/>
  <c r="M1448" i="17"/>
  <c r="N1448" i="17" s="1"/>
  <c r="O1448" i="17"/>
  <c r="K8" i="7"/>
  <c r="L8" i="7"/>
  <c r="T8" i="7"/>
  <c r="J8" i="7"/>
  <c r="AB9" i="7"/>
  <c r="AC9" i="7" s="1"/>
  <c r="V8" i="7"/>
  <c r="R8" i="7"/>
  <c r="I8" i="7"/>
  <c r="Z8" i="7"/>
  <c r="H8" i="7"/>
  <c r="Y8" i="7"/>
  <c r="P8" i="7"/>
  <c r="G8" i="7"/>
  <c r="X8" i="7"/>
  <c r="W8" i="7"/>
  <c r="N8" i="7"/>
  <c r="H7" i="10"/>
  <c r="F8" i="10"/>
  <c r="W9" i="10"/>
  <c r="X9" i="10" s="1"/>
  <c r="T8" i="10"/>
  <c r="D8" i="10"/>
  <c r="M8" i="10"/>
  <c r="N8" i="10" s="1"/>
  <c r="K8" i="10"/>
  <c r="U8" i="10"/>
  <c r="I8" i="10"/>
  <c r="S8" i="10"/>
  <c r="G8" i="10"/>
  <c r="R8" i="10"/>
  <c r="E8" i="10"/>
  <c r="Q8" i="10"/>
  <c r="C8" i="10"/>
  <c r="O8" i="10"/>
  <c r="P8" i="10" s="1"/>
  <c r="B8" i="10"/>
  <c r="AB32" i="11"/>
  <c r="L32" i="11"/>
  <c r="O232" i="17"/>
  <c r="P232" i="17" s="1"/>
  <c r="M232" i="17"/>
  <c r="N232" i="17" s="1"/>
  <c r="O183" i="17"/>
  <c r="P183" i="17" s="1"/>
  <c r="O466" i="17"/>
  <c r="P466" i="17" s="1"/>
  <c r="N411" i="17"/>
  <c r="O411" i="17" s="1"/>
  <c r="M1071" i="17"/>
  <c r="N1071" i="17" s="1"/>
  <c r="M916" i="17"/>
  <c r="N916" i="17"/>
  <c r="M958" i="17"/>
  <c r="N958" i="17"/>
  <c r="M1168" i="17"/>
  <c r="N1194" i="17"/>
  <c r="M1194" i="17"/>
  <c r="N1083" i="17"/>
  <c r="M1083" i="17"/>
  <c r="M1325" i="17"/>
  <c r="N1325" i="17" s="1"/>
  <c r="M1376" i="17"/>
  <c r="N1754" i="17"/>
  <c r="O1754" i="17" s="1"/>
  <c r="P1754" i="17"/>
  <c r="J6" i="11"/>
  <c r="V6" i="11"/>
  <c r="N327" i="17"/>
  <c r="O327" i="17" s="1"/>
  <c r="P327" i="17" s="1"/>
  <c r="P463" i="17"/>
  <c r="N4" i="17"/>
  <c r="O348" i="17"/>
  <c r="P348" i="17"/>
  <c r="N78" i="17"/>
  <c r="O78" i="17" s="1"/>
  <c r="N252" i="17"/>
  <c r="M166" i="17"/>
  <c r="N166" i="17" s="1"/>
  <c r="N515" i="17"/>
  <c r="O515" i="17" s="1"/>
  <c r="P660" i="17"/>
  <c r="O41" i="17"/>
  <c r="O320" i="17"/>
  <c r="P320" i="17" s="1"/>
  <c r="M129" i="17"/>
  <c r="O139" i="17"/>
  <c r="P139" i="17" s="1"/>
  <c r="M519" i="17"/>
  <c r="N519" i="17" s="1"/>
  <c r="P746" i="17"/>
  <c r="O849" i="17"/>
  <c r="P849" i="17" s="1"/>
  <c r="O1206" i="17"/>
  <c r="P1206" i="17" s="1"/>
  <c r="P900" i="17"/>
  <c r="N947" i="17"/>
  <c r="O963" i="17"/>
  <c r="P963" i="17" s="1"/>
  <c r="P989" i="17"/>
  <c r="O1006" i="17"/>
  <c r="P1006" i="17" s="1"/>
  <c r="O1026" i="17"/>
  <c r="P1026" i="17" s="1"/>
  <c r="N1331" i="17"/>
  <c r="N1361" i="17"/>
  <c r="O1361" i="17" s="1"/>
  <c r="N261" i="17"/>
  <c r="O261" i="17" s="1"/>
  <c r="P261" i="17" s="1"/>
  <c r="N409" i="17"/>
  <c r="O193" i="17"/>
  <c r="P193" i="17" s="1"/>
  <c r="P503" i="17"/>
  <c r="O843" i="17"/>
  <c r="P843" i="17" s="1"/>
  <c r="P914" i="17"/>
  <c r="N999" i="17"/>
  <c r="P999" i="17" s="1"/>
  <c r="N1378" i="17"/>
  <c r="O1378" i="17" s="1"/>
  <c r="P1378" i="17" s="1"/>
  <c r="P103" i="17"/>
  <c r="O357" i="17"/>
  <c r="P357" i="17" s="1"/>
  <c r="N168" i="17"/>
  <c r="O168" i="17" s="1"/>
  <c r="M287" i="17"/>
  <c r="N287" i="17" s="1"/>
  <c r="M114" i="17"/>
  <c r="O1205" i="17"/>
  <c r="P1205" i="17" s="1"/>
  <c r="P1229" i="17"/>
  <c r="M1321" i="17"/>
  <c r="P203" i="17"/>
  <c r="O525" i="17"/>
  <c r="P525" i="17" s="1"/>
  <c r="P97" i="17"/>
  <c r="N335" i="17"/>
  <c r="O335" i="17" s="1"/>
  <c r="P342" i="17"/>
  <c r="O612" i="17"/>
  <c r="P612" i="17" s="1"/>
  <c r="M329" i="17"/>
  <c r="P719" i="17"/>
  <c r="P710" i="17"/>
  <c r="O832" i="17"/>
  <c r="P832" i="17" s="1"/>
  <c r="O851" i="17"/>
  <c r="P851" i="17" s="1"/>
  <c r="M1076" i="17"/>
  <c r="O1385" i="17"/>
  <c r="P1322" i="17"/>
  <c r="M1303" i="17"/>
  <c r="O1303" i="17"/>
  <c r="M172" i="17"/>
  <c r="P266" i="17"/>
  <c r="P526" i="17"/>
  <c r="P299" i="17"/>
  <c r="P386" i="17"/>
  <c r="P756" i="17"/>
  <c r="O575" i="17"/>
  <c r="P847" i="17"/>
  <c r="O781" i="17"/>
  <c r="P781" i="17" s="1"/>
  <c r="O596" i="17"/>
  <c r="P596" i="17" s="1"/>
  <c r="O894" i="17"/>
  <c r="P934" i="17"/>
  <c r="N1157" i="17"/>
  <c r="O1233" i="17"/>
  <c r="P1233" i="17" s="1"/>
  <c r="M1747" i="17"/>
  <c r="N1747" i="17" s="1"/>
  <c r="O69" i="17"/>
  <c r="N431" i="17"/>
  <c r="O431" i="17" s="1"/>
  <c r="M387" i="17"/>
  <c r="N387" i="17" s="1"/>
  <c r="O387" i="17" s="1"/>
  <c r="P98" i="17"/>
  <c r="O728" i="17"/>
  <c r="P728" i="17" s="1"/>
  <c r="N259" i="17"/>
  <c r="O259" i="17" s="1"/>
  <c r="P713" i="17"/>
  <c r="M799" i="17"/>
  <c r="P818" i="17"/>
  <c r="M829" i="17"/>
  <c r="N829" i="17" s="1"/>
  <c r="M1153" i="17"/>
  <c r="M945" i="17"/>
  <c r="N945" i="17" s="1"/>
  <c r="P995" i="17"/>
  <c r="P1052" i="17"/>
  <c r="N1393" i="17"/>
  <c r="O1393" i="17" s="1"/>
  <c r="N1335" i="17"/>
  <c r="N1365" i="17"/>
  <c r="O1365" i="17" s="1"/>
  <c r="O396" i="17"/>
  <c r="P396" i="17" s="1"/>
  <c r="M133" i="17"/>
  <c r="N351" i="17"/>
  <c r="O442" i="17"/>
  <c r="M844" i="17"/>
  <c r="N844" i="17" s="1"/>
  <c r="P603" i="17"/>
  <c r="P630" i="17"/>
  <c r="N870" i="17"/>
  <c r="N1884" i="17"/>
  <c r="M1013" i="17"/>
  <c r="P1065" i="17"/>
  <c r="N1388" i="17"/>
  <c r="O1388" i="17" s="1"/>
  <c r="P1281" i="17"/>
  <c r="N1370" i="17"/>
  <c r="N1686" i="17"/>
  <c r="O1686" i="17" s="1"/>
  <c r="P1686" i="17" s="1"/>
  <c r="M1795" i="17"/>
  <c r="M1783" i="17"/>
  <c r="N1783" i="17" s="1"/>
  <c r="P1938" i="17"/>
  <c r="P1919" i="17"/>
  <c r="P2281" i="17"/>
  <c r="O2497" i="17"/>
  <c r="P2497" i="17" s="1"/>
  <c r="P2624" i="17"/>
  <c r="O248" i="17"/>
  <c r="P248" i="17" s="1"/>
  <c r="M379" i="17"/>
  <c r="N532" i="17"/>
  <c r="O532" i="17" s="1"/>
  <c r="P532" i="17" s="1"/>
  <c r="P1230" i="17"/>
  <c r="P1769" i="17"/>
  <c r="P1433" i="17"/>
  <c r="N1400" i="17"/>
  <c r="O1400" i="17" s="1"/>
  <c r="N1424" i="17"/>
  <c r="O1424" i="17" s="1"/>
  <c r="N1465" i="17"/>
  <c r="N1613" i="17"/>
  <c r="O1613" i="17" s="1"/>
  <c r="N1682" i="17"/>
  <c r="O1682" i="17" s="1"/>
  <c r="M1750" i="17"/>
  <c r="N1737" i="17"/>
  <c r="M1772" i="17"/>
  <c r="P1894" i="17"/>
  <c r="O1156" i="17"/>
  <c r="N948" i="17"/>
  <c r="O1380" i="17"/>
  <c r="P1380" i="17" s="1"/>
  <c r="O1369" i="17"/>
  <c r="P1369" i="17" s="1"/>
  <c r="P1790" i="17"/>
  <c r="M1409" i="17"/>
  <c r="O1425" i="17"/>
  <c r="N1450" i="17"/>
  <c r="M1474" i="17"/>
  <c r="N1474" i="17" s="1"/>
  <c r="O1474" i="17" s="1"/>
  <c r="N1490" i="17"/>
  <c r="N1507" i="17"/>
  <c r="P1738" i="17"/>
  <c r="P1736" i="17"/>
  <c r="O1788" i="17"/>
  <c r="N1936" i="17"/>
  <c r="O1936" i="17"/>
  <c r="M2219" i="17"/>
  <c r="N2219" i="17" s="1"/>
  <c r="M2408" i="17"/>
  <c r="M2407" i="17"/>
  <c r="M2423" i="17"/>
  <c r="N2562" i="17"/>
  <c r="N2604" i="17"/>
  <c r="M2428" i="17"/>
  <c r="M31" i="17"/>
  <c r="N31" i="17" s="1"/>
  <c r="M323" i="17"/>
  <c r="N323" i="17" s="1"/>
  <c r="O323" i="17" s="1"/>
  <c r="O476" i="17"/>
  <c r="P476" i="17" s="1"/>
  <c r="P688" i="17"/>
  <c r="N548" i="17"/>
  <c r="N540" i="17"/>
  <c r="O540" i="17" s="1"/>
  <c r="P540" i="17" s="1"/>
  <c r="M816" i="17"/>
  <c r="O606" i="17"/>
  <c r="P606" i="17" s="1"/>
  <c r="O642" i="17"/>
  <c r="P1165" i="17"/>
  <c r="O1078" i="17"/>
  <c r="M1124" i="17"/>
  <c r="N1124" i="17" s="1"/>
  <c r="O1124" i="17" s="1"/>
  <c r="O1320" i="17"/>
  <c r="P1320" i="17" s="1"/>
  <c r="O1334" i="17"/>
  <c r="N1755" i="17"/>
  <c r="P1404" i="17"/>
  <c r="N1793" i="17"/>
  <c r="O1793" i="17" s="1"/>
  <c r="P1793" i="17" s="1"/>
  <c r="N1685" i="17"/>
  <c r="M1451" i="17"/>
  <c r="M1508" i="17"/>
  <c r="O1605" i="17"/>
  <c r="P1792" i="17"/>
  <c r="N1792" i="17"/>
  <c r="O1792" i="17" s="1"/>
  <c r="P1821" i="17"/>
  <c r="O1821" i="17"/>
  <c r="N1990" i="17"/>
  <c r="O2188" i="17"/>
  <c r="O2064" i="17"/>
  <c r="P2064" i="17" s="1"/>
  <c r="O2029" i="17"/>
  <c r="P2029" i="17" s="1"/>
  <c r="P2469" i="17"/>
  <c r="N2473" i="17"/>
  <c r="O2473" i="17" s="1"/>
  <c r="P2473" i="17" s="1"/>
  <c r="O2485" i="17"/>
  <c r="P2485" i="17" s="1"/>
  <c r="M330" i="17"/>
  <c r="P330" i="17" s="1"/>
  <c r="M176" i="17"/>
  <c r="N539" i="17"/>
  <c r="P539" i="17" s="1"/>
  <c r="O729" i="17"/>
  <c r="P729" i="17" s="1"/>
  <c r="M1685" i="17"/>
  <c r="P1685" i="17" s="1"/>
  <c r="N1403" i="17"/>
  <c r="M1468" i="17"/>
  <c r="N1484" i="17"/>
  <c r="N1501" i="17"/>
  <c r="O1501" i="17" s="1"/>
  <c r="P1501" i="17" s="1"/>
  <c r="N1741" i="17"/>
  <c r="O1740" i="17"/>
  <c r="O2174" i="17"/>
  <c r="P2174" i="17" s="1"/>
  <c r="O2564" i="17"/>
  <c r="P2564" i="17" s="1"/>
  <c r="P455" i="17"/>
  <c r="N89" i="17"/>
  <c r="P678" i="17"/>
  <c r="P793" i="17"/>
  <c r="N1390" i="17"/>
  <c r="O1390" i="17" s="1"/>
  <c r="P1390" i="17" s="1"/>
  <c r="P904" i="17"/>
  <c r="O925" i="17"/>
  <c r="P925" i="17" s="1"/>
  <c r="N943" i="17"/>
  <c r="N1030" i="17"/>
  <c r="O1038" i="17"/>
  <c r="P1038" i="17" s="1"/>
  <c r="O1089" i="17"/>
  <c r="P1089" i="17" s="1"/>
  <c r="O1753" i="17"/>
  <c r="P1753" i="17" s="1"/>
  <c r="P1742" i="17"/>
  <c r="O1813" i="17"/>
  <c r="P1813" i="17" s="1"/>
  <c r="P1928" i="17"/>
  <c r="O2296" i="17"/>
  <c r="P490" i="17"/>
  <c r="P557" i="17"/>
  <c r="O264" i="17"/>
  <c r="N528" i="17"/>
  <c r="O528" i="17" s="1"/>
  <c r="N761" i="17"/>
  <c r="P761" i="17" s="1"/>
  <c r="N859" i="17"/>
  <c r="P859" i="17" s="1"/>
  <c r="M1062" i="17"/>
  <c r="P1429" i="17"/>
  <c r="N1405" i="17"/>
  <c r="P1486" i="17"/>
  <c r="O1693" i="17"/>
  <c r="P1693" i="17" s="1"/>
  <c r="O1787" i="17"/>
  <c r="P1787" i="17" s="1"/>
  <c r="N1794" i="17"/>
  <c r="O1794" i="17" s="1"/>
  <c r="O1780" i="17"/>
  <c r="P1780" i="17" s="1"/>
  <c r="O1837" i="17"/>
  <c r="P1837" i="17" s="1"/>
  <c r="N2155" i="17"/>
  <c r="O2155" i="17" s="1"/>
  <c r="P2155" i="17" s="1"/>
  <c r="O2322" i="17"/>
  <c r="P2322" i="17" s="1"/>
  <c r="M2388" i="17"/>
  <c r="M2436" i="17"/>
  <c r="N2436" i="17" s="1"/>
  <c r="N2405" i="17"/>
  <c r="O2405" i="17" s="1"/>
  <c r="P2405" i="17"/>
  <c r="N2421" i="17"/>
  <c r="O2421" i="17" s="1"/>
  <c r="P2421" i="17"/>
  <c r="O2483" i="17"/>
  <c r="P2483" i="17" s="1"/>
  <c r="P2523" i="17"/>
  <c r="O754" i="17"/>
  <c r="P754" i="17" s="1"/>
  <c r="N1044" i="17"/>
  <c r="O1044" i="17" s="1"/>
  <c r="N1918" i="17"/>
  <c r="O1918" i="17" s="1"/>
  <c r="P1900" i="17"/>
  <c r="M1967" i="17"/>
  <c r="O2007" i="17"/>
  <c r="P2007" i="17" s="1"/>
  <c r="M2187" i="17"/>
  <c r="N2187" i="17" s="1"/>
  <c r="O2187" i="17" s="1"/>
  <c r="O2585" i="17"/>
  <c r="P2585" i="17" s="1"/>
  <c r="P2502" i="17"/>
  <c r="P2445" i="17"/>
  <c r="O1148" i="17"/>
  <c r="P1148" i="17" s="1"/>
  <c r="O1708" i="17"/>
  <c r="P1708" i="17" s="1"/>
  <c r="P1398" i="17"/>
  <c r="N1406" i="17"/>
  <c r="P1422" i="17"/>
  <c r="O1438" i="17"/>
  <c r="P1643" i="17"/>
  <c r="O1819" i="17"/>
  <c r="N1982" i="17"/>
  <c r="O1982" i="17" s="1"/>
  <c r="P1982" i="17" s="1"/>
  <c r="P1944" i="17"/>
  <c r="M2340" i="17"/>
  <c r="N2394" i="17"/>
  <c r="P2465" i="17"/>
  <c r="M96" i="17"/>
  <c r="N1084" i="17"/>
  <c r="O1084" i="17" s="1"/>
  <c r="O1697" i="17"/>
  <c r="N1812" i="17"/>
  <c r="P1888" i="17"/>
  <c r="N1917" i="17"/>
  <c r="O2377" i="17"/>
  <c r="P2377" i="17" s="1"/>
  <c r="O2433" i="17"/>
  <c r="P2433" i="17" s="1"/>
  <c r="O2462" i="17"/>
  <c r="P2462" i="17" s="1"/>
  <c r="N191" i="17"/>
  <c r="P191" i="17" s="1"/>
  <c r="N861" i="17"/>
  <c r="O861" i="17" s="1"/>
  <c r="P861" i="17" s="1"/>
  <c r="O1440" i="17"/>
  <c r="P1440" i="17" s="1"/>
  <c r="P1647" i="17"/>
  <c r="N1974" i="17"/>
  <c r="O1974" i="17" s="1"/>
  <c r="P1974" i="17" s="1"/>
  <c r="M2095" i="17"/>
  <c r="M2344" i="17"/>
  <c r="P2012" i="17"/>
  <c r="O2128" i="17"/>
  <c r="M2190" i="17"/>
  <c r="O2393" i="17"/>
  <c r="N2603" i="17"/>
  <c r="P2603" i="17" s="1"/>
  <c r="P352" i="17"/>
  <c r="O1891" i="17"/>
  <c r="N1657" i="17"/>
  <c r="N1844" i="17"/>
  <c r="O1844" i="17" s="1"/>
  <c r="P1844" i="17" s="1"/>
  <c r="P2127" i="17"/>
  <c r="N2179" i="17"/>
  <c r="O2179" i="17" s="1"/>
  <c r="N2175" i="17"/>
  <c r="O2175" i="17" s="1"/>
  <c r="O2084" i="17"/>
  <c r="P2084" i="17" s="1"/>
  <c r="O2352" i="17"/>
  <c r="P2352" i="17" s="1"/>
  <c r="O2475" i="17"/>
  <c r="P2475" i="17" s="1"/>
  <c r="O2466" i="17"/>
  <c r="P2535" i="17"/>
  <c r="M898" i="17"/>
  <c r="N898" i="17" s="1"/>
  <c r="O1646" i="17"/>
  <c r="M1395" i="17"/>
  <c r="N1395" i="17" s="1"/>
  <c r="N1970" i="17"/>
  <c r="N2082" i="17"/>
  <c r="N2129" i="17"/>
  <c r="P2129" i="17" s="1"/>
  <c r="O2487" i="17"/>
  <c r="P2487" i="17" s="1"/>
  <c r="O2638" i="17"/>
  <c r="O1274" i="17"/>
  <c r="P1274" i="17" s="1"/>
  <c r="N1782" i="17"/>
  <c r="O1782" i="17" s="1"/>
  <c r="P2606" i="17"/>
  <c r="N7" i="9"/>
  <c r="L7" i="9"/>
  <c r="AB19" i="11"/>
  <c r="O245" i="17"/>
  <c r="N1256" i="17"/>
  <c r="P1256" i="17" s="1"/>
  <c r="M1332" i="17"/>
  <c r="N1332" i="17" s="1"/>
  <c r="P1332" i="17"/>
  <c r="O1332" i="17"/>
  <c r="M1348" i="17"/>
  <c r="N1348" i="17" s="1"/>
  <c r="M1364" i="17"/>
  <c r="N1364" i="17" s="1"/>
  <c r="P1610" i="17"/>
  <c r="M1480" i="17"/>
  <c r="N1480" i="17" s="1"/>
  <c r="Q7" i="7"/>
  <c r="N820" i="17"/>
  <c r="O820" i="17"/>
  <c r="P820" i="17" s="1"/>
  <c r="M942" i="17"/>
  <c r="M983" i="17"/>
  <c r="N983" i="17"/>
  <c r="P983" i="17" s="1"/>
  <c r="M1029" i="17"/>
  <c r="N1029" i="17" s="1"/>
  <c r="O1029" i="17" s="1"/>
  <c r="M1428" i="17"/>
  <c r="M1461" i="17"/>
  <c r="N6" i="17"/>
  <c r="M12" i="17"/>
  <c r="N12" i="17" s="1"/>
  <c r="O475" i="17"/>
  <c r="P475" i="17"/>
  <c r="M260" i="17"/>
  <c r="P47" i="17"/>
  <c r="O446" i="17"/>
  <c r="N446" i="17"/>
  <c r="N545" i="17"/>
  <c r="N855" i="17"/>
  <c r="O855" i="17" s="1"/>
  <c r="P1090" i="17"/>
  <c r="M976" i="17"/>
  <c r="N976" i="17" s="1"/>
  <c r="N1139" i="17"/>
  <c r="O1139" i="17" s="1"/>
  <c r="M1362" i="17"/>
  <c r="N1362" i="17" s="1"/>
  <c r="O1362" i="17"/>
  <c r="O306" i="17"/>
  <c r="N708" i="17"/>
  <c r="O708" i="17" s="1"/>
  <c r="M886" i="17"/>
  <c r="N1069" i="17"/>
  <c r="P1069" i="17" s="1"/>
  <c r="N58" i="17"/>
  <c r="O278" i="17"/>
  <c r="P278" i="17" s="1"/>
  <c r="N745" i="17"/>
  <c r="N314" i="17"/>
  <c r="O314" i="17" s="1"/>
  <c r="N523" i="17"/>
  <c r="O523" i="17" s="1"/>
  <c r="N512" i="17"/>
  <c r="O512" i="17" s="1"/>
  <c r="P512" i="17" s="1"/>
  <c r="M813" i="17"/>
  <c r="O813" i="17"/>
  <c r="O638" i="17"/>
  <c r="N534" i="17"/>
  <c r="O534" i="17" s="1"/>
  <c r="O179" i="17"/>
  <c r="O358" i="17"/>
  <c r="P358" i="17" s="1"/>
  <c r="M294" i="17"/>
  <c r="O294" i="17" s="1"/>
  <c r="N329" i="17"/>
  <c r="M382" i="17"/>
  <c r="M492" i="17"/>
  <c r="N554" i="17"/>
  <c r="O554" i="17" s="1"/>
  <c r="P554" i="17" s="1"/>
  <c r="N735" i="17"/>
  <c r="P735" i="17" s="1"/>
  <c r="N968" i="17"/>
  <c r="N813" i="17"/>
  <c r="P813" i="17" s="1"/>
  <c r="O872" i="17"/>
  <c r="P872" i="17" s="1"/>
  <c r="M1073" i="17"/>
  <c r="N1073" i="17" s="1"/>
  <c r="M314" i="17"/>
  <c r="P350" i="17"/>
  <c r="P868" i="17"/>
  <c r="P575" i="17"/>
  <c r="N796" i="17"/>
  <c r="O796" i="17" s="1"/>
  <c r="P796" i="17" s="1"/>
  <c r="P789" i="17"/>
  <c r="N853" i="17"/>
  <c r="P853" i="17" s="1"/>
  <c r="P968" i="17"/>
  <c r="O1612" i="17"/>
  <c r="P1612" i="17" s="1"/>
  <c r="O447" i="17"/>
  <c r="P447" i="17" s="1"/>
  <c r="N35" i="17"/>
  <c r="N495" i="17"/>
  <c r="O495" i="17" s="1"/>
  <c r="N799" i="17"/>
  <c r="M853" i="17"/>
  <c r="O1214" i="17"/>
  <c r="P1214" i="17" s="1"/>
  <c r="P1345" i="17"/>
  <c r="N1303" i="17"/>
  <c r="P1303" i="17" s="1"/>
  <c r="O351" i="17"/>
  <c r="N920" i="17"/>
  <c r="O978" i="17"/>
  <c r="P978" i="17" s="1"/>
  <c r="O1653" i="17"/>
  <c r="M2412" i="17"/>
  <c r="P894" i="17"/>
  <c r="M556" i="17"/>
  <c r="N556" i="17" s="1"/>
  <c r="N956" i="17"/>
  <c r="O956" i="17" s="1"/>
  <c r="N1664" i="17"/>
  <c r="O1664" i="17" s="1"/>
  <c r="P1664" i="17" s="1"/>
  <c r="N1767" i="17"/>
  <c r="O1811" i="17"/>
  <c r="P1811" i="17" s="1"/>
  <c r="N1898" i="17"/>
  <c r="O1898" i="17" s="1"/>
  <c r="M2424" i="17"/>
  <c r="N2424" i="17" s="1"/>
  <c r="N2411" i="17"/>
  <c r="O2411" i="17" s="1"/>
  <c r="P2411" i="17" s="1"/>
  <c r="N2427" i="17"/>
  <c r="O2427" i="17" s="1"/>
  <c r="P2427" i="17" s="1"/>
  <c r="O2503" i="17"/>
  <c r="P2503" i="17" s="1"/>
  <c r="O2607" i="17"/>
  <c r="O381" i="17"/>
  <c r="P381" i="17" s="1"/>
  <c r="O368" i="17"/>
  <c r="P368" i="17" s="1"/>
  <c r="P1334" i="17"/>
  <c r="N1605" i="17"/>
  <c r="P1605" i="17" s="1"/>
  <c r="O1978" i="17"/>
  <c r="O1955" i="17"/>
  <c r="O1910" i="17"/>
  <c r="P1910" i="17" s="1"/>
  <c r="O2192" i="17"/>
  <c r="P2192" i="17" s="1"/>
  <c r="O2463" i="17"/>
  <c r="P2463" i="17" s="1"/>
  <c r="N2607" i="17"/>
  <c r="N330" i="17"/>
  <c r="O693" i="17"/>
  <c r="P693" i="17" s="1"/>
  <c r="O1069" i="17"/>
  <c r="P1283" i="17"/>
  <c r="M1785" i="17"/>
  <c r="P1427" i="17"/>
  <c r="P1444" i="17"/>
  <c r="N1617" i="17"/>
  <c r="M1776" i="17"/>
  <c r="N1776" i="17" s="1"/>
  <c r="O89" i="17"/>
  <c r="P89" i="17" s="1"/>
  <c r="O706" i="17"/>
  <c r="P706" i="17" s="1"/>
  <c r="N811" i="17"/>
  <c r="O811" i="17" s="1"/>
  <c r="M933" i="17"/>
  <c r="O933" i="17" s="1"/>
  <c r="P1010" i="17"/>
  <c r="O1050" i="17"/>
  <c r="P1050" i="17" s="1"/>
  <c r="O1633" i="17"/>
  <c r="P1633" i="17" s="1"/>
  <c r="N1752" i="17"/>
  <c r="P1752" i="17" s="1"/>
  <c r="P1952" i="17"/>
  <c r="O2085" i="17"/>
  <c r="O2312" i="17"/>
  <c r="P2312" i="17" s="1"/>
  <c r="N702" i="17"/>
  <c r="O702" i="17" s="1"/>
  <c r="O684" i="17"/>
  <c r="P684" i="17" s="1"/>
  <c r="N1381" i="17"/>
  <c r="M1342" i="17"/>
  <c r="P1342" i="17" s="1"/>
  <c r="O1342" i="17"/>
  <c r="O1823" i="17"/>
  <c r="P1823" i="17" s="1"/>
  <c r="P2015" i="17"/>
  <c r="N2351" i="17"/>
  <c r="M2383" i="17"/>
  <c r="N2383" i="17" s="1"/>
  <c r="O2383" i="17" s="1"/>
  <c r="N2534" i="17"/>
  <c r="O2534" i="17" s="1"/>
  <c r="M288" i="17"/>
  <c r="O1398" i="17"/>
  <c r="O1414" i="17"/>
  <c r="P1414" i="17" s="1"/>
  <c r="P1455" i="17"/>
  <c r="O1479" i="17"/>
  <c r="N1765" i="17"/>
  <c r="O1765" i="17" s="1"/>
  <c r="P1765" i="17" s="1"/>
  <c r="P1819" i="17"/>
  <c r="O2119" i="17"/>
  <c r="P2119" i="17" s="1"/>
  <c r="N2371" i="17"/>
  <c r="O2591" i="17"/>
  <c r="P2591" i="17" s="1"/>
  <c r="O571" i="17"/>
  <c r="P571" i="17" s="1"/>
  <c r="P2146" i="17"/>
  <c r="N2181" i="17"/>
  <c r="M2196" i="17"/>
  <c r="O190" i="17"/>
  <c r="P190" i="17" s="1"/>
  <c r="P1799" i="17"/>
  <c r="P1680" i="17"/>
  <c r="P1996" i="17"/>
  <c r="M2213" i="17"/>
  <c r="M2381" i="17"/>
  <c r="O2395" i="17"/>
  <c r="P2395" i="17" s="1"/>
  <c r="O2489" i="17"/>
  <c r="P2489" i="17" s="1"/>
  <c r="O2031" i="17"/>
  <c r="P2031" i="17" s="1"/>
  <c r="P2128" i="17"/>
  <c r="N1891" i="17"/>
  <c r="P1891" i="17" s="1"/>
  <c r="N1746" i="17"/>
  <c r="N1269" i="17"/>
  <c r="O1269" i="17" s="1"/>
  <c r="P1269" i="17" s="1"/>
  <c r="O1434" i="17"/>
  <c r="P1434" i="17" s="1"/>
  <c r="M1757" i="17"/>
  <c r="N1757" i="17" s="1"/>
  <c r="O1757" i="17" s="1"/>
  <c r="P2032" i="17"/>
  <c r="P2480" i="17"/>
  <c r="O2360" i="17"/>
  <c r="P2360" i="17" s="1"/>
  <c r="M1411" i="17"/>
  <c r="O1961" i="17"/>
  <c r="O2082" i="17"/>
  <c r="N2277" i="17"/>
  <c r="O2277" i="17" s="1"/>
  <c r="P2277" i="17" s="1"/>
  <c r="P2638" i="17"/>
  <c r="O1652" i="17"/>
  <c r="P1652" i="17" s="1"/>
  <c r="R17" i="9"/>
  <c r="Q19" i="9"/>
  <c r="R19" i="9" s="1"/>
  <c r="P7" i="9"/>
  <c r="AE19" i="11"/>
  <c r="M156" i="17"/>
  <c r="N156" i="17" s="1"/>
  <c r="N1172" i="17"/>
  <c r="P1172" i="17" s="1"/>
  <c r="M1172" i="17"/>
  <c r="M1196" i="17"/>
  <c r="M1423" i="17"/>
  <c r="N1423" i="17" s="1"/>
  <c r="M1456" i="17"/>
  <c r="N1456" i="17" s="1"/>
  <c r="M1505" i="17"/>
  <c r="L7" i="10"/>
  <c r="M27" i="17"/>
  <c r="N27" i="17" s="1"/>
  <c r="N740" i="17"/>
  <c r="O740" i="17" s="1"/>
  <c r="P740" i="17" s="1"/>
  <c r="N205" i="17"/>
  <c r="O205" i="17" s="1"/>
  <c r="P205" i="17" s="1"/>
  <c r="N341" i="17"/>
  <c r="N763" i="17"/>
  <c r="O763" i="17"/>
  <c r="M820" i="17"/>
  <c r="M1009" i="17"/>
  <c r="N1009" i="17"/>
  <c r="N1125" i="17"/>
  <c r="O1125" i="17" s="1"/>
  <c r="N1175" i="17"/>
  <c r="M1175" i="17"/>
  <c r="P1175" i="17" s="1"/>
  <c r="M1199" i="17"/>
  <c r="L6" i="11"/>
  <c r="B8" i="3"/>
  <c r="M257" i="17"/>
  <c r="O257" i="17" s="1"/>
  <c r="M371" i="17"/>
  <c r="N371" i="17" s="1"/>
  <c r="M86" i="17"/>
  <c r="M1081" i="17"/>
  <c r="N1081" i="17" s="1"/>
  <c r="N572" i="17"/>
  <c r="O572" i="17" s="1"/>
  <c r="P572" i="17" s="1"/>
  <c r="M817" i="17"/>
  <c r="N765" i="17"/>
  <c r="P765" i="17" s="1"/>
  <c r="O999" i="17"/>
  <c r="L2" i="17"/>
  <c r="B4" i="3" s="1"/>
  <c r="O6" i="17"/>
  <c r="P6" i="17" s="1"/>
  <c r="O662" i="17"/>
  <c r="P662" i="17" s="1"/>
  <c r="P858" i="17"/>
  <c r="N809" i="17"/>
  <c r="M809" i="17"/>
  <c r="N1625" i="17"/>
  <c r="O1625" i="17" s="1"/>
  <c r="P1625" i="17" s="1"/>
  <c r="M138" i="17"/>
  <c r="N138" i="17" s="1"/>
  <c r="N294" i="17"/>
  <c r="O735" i="17"/>
  <c r="M882" i="17"/>
  <c r="N882" i="17" s="1"/>
  <c r="O19" i="10"/>
  <c r="P19" i="10" s="1"/>
  <c r="O716" i="17"/>
  <c r="P716" i="17" s="1"/>
  <c r="N848" i="17"/>
  <c r="P848" i="17" s="1"/>
  <c r="N798" i="17"/>
  <c r="P944" i="17"/>
  <c r="O968" i="17"/>
  <c r="M1392" i="17"/>
  <c r="O1392" i="17" s="1"/>
  <c r="P201" i="17"/>
  <c r="O775" i="17"/>
  <c r="N775" i="17"/>
  <c r="M835" i="17"/>
  <c r="N835" i="17" s="1"/>
  <c r="O853" i="17"/>
  <c r="P977" i="17"/>
  <c r="P1004" i="17"/>
  <c r="O537" i="17"/>
  <c r="P537" i="17" s="1"/>
  <c r="M988" i="17"/>
  <c r="N988" i="17" s="1"/>
  <c r="N1034" i="17"/>
  <c r="N1626" i="17"/>
  <c r="O1626" i="17" s="1"/>
  <c r="N1635" i="17"/>
  <c r="O1635" i="17" s="1"/>
  <c r="P1635" i="17" s="1"/>
  <c r="M1786" i="17"/>
  <c r="O1786" i="17" s="1"/>
  <c r="P1786" i="17" s="1"/>
  <c r="N1989" i="17"/>
  <c r="O1989" i="17" s="1"/>
  <c r="O637" i="17"/>
  <c r="P637" i="17" s="1"/>
  <c r="N917" i="17"/>
  <c r="O1433" i="17"/>
  <c r="O1507" i="17"/>
  <c r="P1631" i="17"/>
  <c r="P1663" i="17"/>
  <c r="O1803" i="17"/>
  <c r="P1803" i="17" s="1"/>
  <c r="M1999" i="17"/>
  <c r="N1999" i="17" s="1"/>
  <c r="P2577" i="17"/>
  <c r="N2595" i="17"/>
  <c r="O2595" i="17" s="1"/>
  <c r="P2595" i="17" s="1"/>
  <c r="N1603" i="17"/>
  <c r="O1603" i="17" s="1"/>
  <c r="P1603" i="17" s="1"/>
  <c r="N1659" i="17"/>
  <c r="O1659" i="17" s="1"/>
  <c r="P1955" i="17"/>
  <c r="N2087" i="17"/>
  <c r="N2111" i="17"/>
  <c r="O2111" i="17" s="1"/>
  <c r="P2111" i="17" s="1"/>
  <c r="M2391" i="17"/>
  <c r="O2391" i="17" s="1"/>
  <c r="O2467" i="17"/>
  <c r="P2467" i="17" s="1"/>
  <c r="O2655" i="17"/>
  <c r="P2607" i="17"/>
  <c r="O308" i="17"/>
  <c r="P308" i="17" s="1"/>
  <c r="M545" i="17"/>
  <c r="O1634" i="17"/>
  <c r="P1634" i="17" s="1"/>
  <c r="O1776" i="17"/>
  <c r="P1776" i="17" s="1"/>
  <c r="M1802" i="17"/>
  <c r="O1802" i="17" s="1"/>
  <c r="P1802" i="17" s="1"/>
  <c r="N295" i="17"/>
  <c r="O295" i="17" s="1"/>
  <c r="O403" i="17"/>
  <c r="P403" i="17" s="1"/>
  <c r="O1286" i="17"/>
  <c r="P1286" i="17" s="1"/>
  <c r="N1828" i="17"/>
  <c r="O1828" i="17" s="1"/>
  <c r="P1828" i="17" s="1"/>
  <c r="P1972" i="17"/>
  <c r="M59" i="17"/>
  <c r="O59" i="17" s="1"/>
  <c r="P59" i="17" s="1"/>
  <c r="P310" i="17"/>
  <c r="M88" i="17"/>
  <c r="N88" i="17" s="1"/>
  <c r="O88" i="17" s="1"/>
  <c r="O761" i="17"/>
  <c r="N1003" i="17"/>
  <c r="O1003" i="17" s="1"/>
  <c r="P1003" i="17" s="1"/>
  <c r="N1342" i="17"/>
  <c r="N1656" i="17"/>
  <c r="M1656" i="17"/>
  <c r="O1656" i="17" s="1"/>
  <c r="P1656" i="17" s="1"/>
  <c r="O1454" i="17"/>
  <c r="M1717" i="17"/>
  <c r="M1779" i="17"/>
  <c r="N1867" i="17"/>
  <c r="O1867" i="17" s="1"/>
  <c r="P2314" i="17"/>
  <c r="N2359" i="17"/>
  <c r="O2359" i="17" s="1"/>
  <c r="N2320" i="17"/>
  <c r="O2320" i="17" s="1"/>
  <c r="P2320" i="17" s="1"/>
  <c r="O2397" i="17"/>
  <c r="P2397" i="17" s="1"/>
  <c r="O2527" i="17"/>
  <c r="P2527" i="17" s="1"/>
  <c r="N2481" i="17"/>
  <c r="O2481" i="17" s="1"/>
  <c r="O1663" i="17"/>
  <c r="O2605" i="17"/>
  <c r="P2605" i="17" s="1"/>
  <c r="P1945" i="17"/>
  <c r="P2592" i="17"/>
  <c r="P1653" i="17"/>
  <c r="O2009" i="17"/>
  <c r="P2009" i="17" s="1"/>
  <c r="O1346" i="17"/>
  <c r="O1709" i="17"/>
  <c r="P1886" i="17"/>
  <c r="O1959" i="17"/>
  <c r="P1959" i="17" s="1"/>
  <c r="N2339" i="17"/>
  <c r="O2339" i="17" s="1"/>
  <c r="P2047" i="17"/>
  <c r="O1475" i="17"/>
  <c r="P1475" i="17" s="1"/>
  <c r="P2040" i="17"/>
  <c r="N2332" i="17"/>
  <c r="M2396" i="17"/>
  <c r="O2396" i="17" s="1"/>
  <c r="O1848" i="17"/>
  <c r="P1848" i="17" s="1"/>
  <c r="O1789" i="17"/>
  <c r="N2135" i="17"/>
  <c r="P2135" i="17" s="1"/>
  <c r="O2454" i="17"/>
  <c r="P2454" i="17" s="1"/>
  <c r="O2331" i="17"/>
  <c r="P2265" i="17"/>
  <c r="N558" i="17"/>
  <c r="O558" i="17" s="1"/>
  <c r="P558" i="17" s="1"/>
  <c r="M1043" i="17"/>
  <c r="M1326" i="17"/>
  <c r="N1668" i="17"/>
  <c r="P1668" i="17" s="1"/>
  <c r="M1838" i="17"/>
  <c r="O1838" i="17" s="1"/>
  <c r="T10" i="4"/>
  <c r="U1" i="4"/>
  <c r="U2" i="4" s="1"/>
  <c r="T9" i="4"/>
  <c r="T4" i="4"/>
  <c r="T11" i="4"/>
  <c r="T19" i="4"/>
  <c r="T5" i="4"/>
  <c r="T8" i="4"/>
  <c r="T3" i="4"/>
  <c r="T18" i="4"/>
  <c r="T16" i="4"/>
  <c r="T20" i="4"/>
  <c r="T7" i="4"/>
  <c r="T21" i="4"/>
  <c r="T17" i="4"/>
  <c r="T14" i="4"/>
  <c r="T6" i="4"/>
  <c r="T15" i="4"/>
  <c r="T13" i="4"/>
  <c r="T12" i="4"/>
  <c r="Q4" i="8"/>
  <c r="P5" i="8" s="1"/>
  <c r="R4" i="8"/>
  <c r="T4" i="8"/>
  <c r="Z7" i="9"/>
  <c r="H19" i="11"/>
  <c r="O136" i="17"/>
  <c r="P136" i="17" s="1"/>
  <c r="P264" i="17"/>
  <c r="N304" i="17"/>
  <c r="N1119" i="17"/>
  <c r="O1119" i="17" s="1"/>
  <c r="P1119" i="17" s="1"/>
  <c r="O1172" i="17"/>
  <c r="O1134" i="17"/>
  <c r="P1134" i="17" s="1"/>
  <c r="O1319" i="17"/>
  <c r="M1319" i="17"/>
  <c r="N1319" i="17" s="1"/>
  <c r="P1319" i="17"/>
  <c r="M1336" i="17"/>
  <c r="N1336" i="17" s="1"/>
  <c r="O1352" i="17"/>
  <c r="P1352" i="17" s="1"/>
  <c r="M1352" i="17"/>
  <c r="N1352" i="17" s="1"/>
  <c r="M1368" i="17"/>
  <c r="N1368" i="17" s="1"/>
  <c r="O1368" i="17"/>
  <c r="P1368" i="17" s="1"/>
  <c r="O7" i="7"/>
  <c r="N7" i="10"/>
  <c r="J7" i="10"/>
  <c r="W33" i="11"/>
  <c r="O33" i="11"/>
  <c r="G33" i="11"/>
  <c r="AK34" i="11"/>
  <c r="AL34" i="11" s="1"/>
  <c r="AH33" i="11"/>
  <c r="Y33" i="11"/>
  <c r="F33" i="11"/>
  <c r="AC33" i="11"/>
  <c r="S33" i="11"/>
  <c r="I33" i="11"/>
  <c r="AA33" i="11"/>
  <c r="Q33" i="11"/>
  <c r="E33" i="11"/>
  <c r="D33" i="11"/>
  <c r="M33" i="11"/>
  <c r="C33" i="11"/>
  <c r="AG33" i="11"/>
  <c r="B33" i="11"/>
  <c r="AF33" i="11"/>
  <c r="U33" i="11"/>
  <c r="K33" i="11"/>
  <c r="AD33" i="11"/>
  <c r="N384" i="17"/>
  <c r="O27" i="17"/>
  <c r="P27" i="17" s="1"/>
  <c r="P417" i="17"/>
  <c r="P482" i="17"/>
  <c r="O691" i="17"/>
  <c r="P763" i="17"/>
  <c r="O836" i="17"/>
  <c r="P836" i="17" s="1"/>
  <c r="N1215" i="17"/>
  <c r="M924" i="17"/>
  <c r="N924" i="17"/>
  <c r="O924" i="17" s="1"/>
  <c r="N966" i="17"/>
  <c r="M966" i="17"/>
  <c r="O983" i="17"/>
  <c r="O1175" i="17"/>
  <c r="M1343" i="17"/>
  <c r="O1477" i="17"/>
  <c r="P1477" i="17" s="1"/>
  <c r="M1436" i="17"/>
  <c r="N1436" i="17" s="1"/>
  <c r="M1469" i="17"/>
  <c r="N1469" i="17" s="1"/>
  <c r="P1469" i="17"/>
  <c r="O1469" i="17"/>
  <c r="M1511" i="17"/>
  <c r="P1745" i="17"/>
  <c r="N1796" i="17"/>
  <c r="E23" i="28"/>
  <c r="N34" i="4"/>
  <c r="F23" i="28" s="1"/>
  <c r="T6" i="11"/>
  <c r="AB6" i="11"/>
  <c r="AF7" i="11"/>
  <c r="W7" i="11"/>
  <c r="O7" i="11"/>
  <c r="G7" i="11"/>
  <c r="AC7" i="11"/>
  <c r="U7" i="11"/>
  <c r="M7" i="11"/>
  <c r="E7" i="11"/>
  <c r="AI7" i="11"/>
  <c r="AA7" i="11"/>
  <c r="S7" i="11"/>
  <c r="K7" i="11"/>
  <c r="C7" i="11"/>
  <c r="AK8" i="11"/>
  <c r="AL8" i="11" s="1"/>
  <c r="AH7" i="11"/>
  <c r="AD7" i="11"/>
  <c r="Y7" i="11"/>
  <c r="I7" i="11"/>
  <c r="F7" i="11"/>
  <c r="D7" i="11"/>
  <c r="B7" i="11"/>
  <c r="AJ7" i="11"/>
  <c r="Q7" i="11"/>
  <c r="AG7" i="11"/>
  <c r="O85" i="17"/>
  <c r="P85" i="17" s="1"/>
  <c r="N163" i="17"/>
  <c r="O163" i="17" s="1"/>
  <c r="O128" i="17"/>
  <c r="P128" i="17" s="1"/>
  <c r="P413" i="17"/>
  <c r="O734" i="17"/>
  <c r="P734" i="17" s="1"/>
  <c r="N257" i="17"/>
  <c r="M392" i="17"/>
  <c r="N392" i="17" s="1"/>
  <c r="O141" i="17"/>
  <c r="P141" i="17" s="1"/>
  <c r="M574" i="17"/>
  <c r="N574" i="17" s="1"/>
  <c r="O759" i="17"/>
  <c r="O913" i="17"/>
  <c r="P913" i="17" s="1"/>
  <c r="N1014" i="17"/>
  <c r="O1014" i="17" s="1"/>
  <c r="P1014" i="17" s="1"/>
  <c r="M1023" i="17"/>
  <c r="N1023" i="17"/>
  <c r="O1149" i="17"/>
  <c r="P1391" i="17"/>
  <c r="O1391" i="17"/>
  <c r="N1311" i="17"/>
  <c r="N124" i="17"/>
  <c r="O124" i="17" s="1"/>
  <c r="P446" i="17"/>
  <c r="N817" i="17"/>
  <c r="O817" i="17" s="1"/>
  <c r="P817" i="17" s="1"/>
  <c r="O665" i="17"/>
  <c r="P665" i="17" s="1"/>
  <c r="O616" i="17"/>
  <c r="M1301" i="17"/>
  <c r="N1070" i="17"/>
  <c r="N1337" i="17"/>
  <c r="O1337" i="17" s="1"/>
  <c r="P1337" i="17" s="1"/>
  <c r="M52" i="17"/>
  <c r="M56" i="17"/>
  <c r="N56" i="17" s="1"/>
  <c r="N125" i="17"/>
  <c r="P125" i="17" s="1"/>
  <c r="P550" i="17"/>
  <c r="O787" i="17"/>
  <c r="P787" i="17" s="1"/>
  <c r="O867" i="17"/>
  <c r="P867" i="17" s="1"/>
  <c r="P830" i="17"/>
  <c r="P809" i="17"/>
  <c r="O785" i="17"/>
  <c r="O892" i="17"/>
  <c r="P892" i="17" s="1"/>
  <c r="M1074" i="17"/>
  <c r="M1077" i="17"/>
  <c r="O1270" i="17"/>
  <c r="P1270" i="17" s="1"/>
  <c r="P1247" i="17"/>
  <c r="M1327" i="17"/>
  <c r="N1327" i="17" s="1"/>
  <c r="N1266" i="17"/>
  <c r="O1266" i="17" s="1"/>
  <c r="P1266" i="17" s="1"/>
  <c r="M1354" i="17"/>
  <c r="P534" i="17"/>
  <c r="P1167" i="17"/>
  <c r="M296" i="17"/>
  <c r="O296" i="17"/>
  <c r="P453" i="17"/>
  <c r="O345" i="17"/>
  <c r="O629" i="17"/>
  <c r="N1132" i="17"/>
  <c r="N1133" i="17"/>
  <c r="O1133" i="17" s="1"/>
  <c r="M236" i="17"/>
  <c r="N236" i="17" s="1"/>
  <c r="O236" i="17" s="1"/>
  <c r="O332" i="17"/>
  <c r="N795" i="17"/>
  <c r="O795" i="17" s="1"/>
  <c r="N885" i="17"/>
  <c r="P885" i="17" s="1"/>
  <c r="N874" i="17"/>
  <c r="O874" i="17" s="1"/>
  <c r="P1031" i="17"/>
  <c r="M1359" i="17"/>
  <c r="P1282" i="17"/>
  <c r="O216" i="17"/>
  <c r="P216" i="17" s="1"/>
  <c r="N675" i="17"/>
  <c r="O675" i="17" s="1"/>
  <c r="P675" i="17" s="1"/>
  <c r="N565" i="17"/>
  <c r="O565" i="17" s="1"/>
  <c r="N366" i="17"/>
  <c r="O214" i="17"/>
  <c r="P214" i="17" s="1"/>
  <c r="O586" i="17"/>
  <c r="P586" i="17" s="1"/>
  <c r="O212" i="17"/>
  <c r="P212" i="17" s="1"/>
  <c r="M510" i="17"/>
  <c r="N510" i="17" s="1"/>
  <c r="P775" i="17"/>
  <c r="N824" i="17"/>
  <c r="O798" i="17"/>
  <c r="P798" i="17" s="1"/>
  <c r="N884" i="17"/>
  <c r="P1264" i="17"/>
  <c r="N1255" i="17"/>
  <c r="O1255" i="17" s="1"/>
  <c r="N46" i="17"/>
  <c r="P595" i="17"/>
  <c r="P970" i="17"/>
  <c r="O1685" i="17"/>
  <c r="N1768" i="17"/>
  <c r="P1768" i="17" s="1"/>
  <c r="P1789" i="17"/>
  <c r="M1986" i="17"/>
  <c r="M1831" i="17"/>
  <c r="N2515" i="17"/>
  <c r="O2515" i="17" s="1"/>
  <c r="P2515" i="17" s="1"/>
  <c r="N281" i="17"/>
  <c r="O281" i="17" s="1"/>
  <c r="M1632" i="17"/>
  <c r="N1632" i="17"/>
  <c r="O1632" i="17" s="1"/>
  <c r="P1632" i="17" s="1"/>
  <c r="P1719" i="17"/>
  <c r="P1449" i="17"/>
  <c r="O1489" i="17"/>
  <c r="P1649" i="17"/>
  <c r="O1768" i="17"/>
  <c r="N1786" i="17"/>
  <c r="M1815" i="17"/>
  <c r="P1824" i="17"/>
  <c r="O1923" i="17"/>
  <c r="P1923" i="17" s="1"/>
  <c r="N1840" i="17"/>
  <c r="P1840" i="17" s="1"/>
  <c r="M1850" i="17"/>
  <c r="N1971" i="17"/>
  <c r="P2141" i="17"/>
  <c r="N2504" i="17"/>
  <c r="P2625" i="17"/>
  <c r="N535" i="17"/>
  <c r="O535" i="17" s="1"/>
  <c r="P1466" i="17"/>
  <c r="N1681" i="17"/>
  <c r="P1681" i="17" s="1"/>
  <c r="N1759" i="17"/>
  <c r="O1759" i="17" s="1"/>
  <c r="P1759" i="17" s="1"/>
  <c r="O1458" i="17"/>
  <c r="M1482" i="17"/>
  <c r="M1498" i="17"/>
  <c r="O1498" i="17" s="1"/>
  <c r="M1516" i="17"/>
  <c r="N1720" i="17"/>
  <c r="O1761" i="17"/>
  <c r="P1761" i="17" s="1"/>
  <c r="M1760" i="17"/>
  <c r="N1760" i="17" s="1"/>
  <c r="P1893" i="17"/>
  <c r="O1915" i="17"/>
  <c r="P1915" i="17"/>
  <c r="N1833" i="17"/>
  <c r="M2346" i="17"/>
  <c r="N2346" i="17" s="1"/>
  <c r="O2346" i="17" s="1"/>
  <c r="P2346" i="17" s="1"/>
  <c r="M2398" i="17"/>
  <c r="N2399" i="17"/>
  <c r="O2399" i="17" s="1"/>
  <c r="N2415" i="17"/>
  <c r="O2415" i="17" s="1"/>
  <c r="P2415" i="17" s="1"/>
  <c r="N2431" i="17"/>
  <c r="O2431" i="17" s="1"/>
  <c r="P2431" i="17" s="1"/>
  <c r="P2496" i="17"/>
  <c r="P2491" i="17"/>
  <c r="P2641" i="17"/>
  <c r="P2382" i="17"/>
  <c r="O311" i="17"/>
  <c r="P311" i="17" s="1"/>
  <c r="O807" i="17"/>
  <c r="P807" i="17" s="1"/>
  <c r="P1278" i="17"/>
  <c r="M1615" i="17"/>
  <c r="O1410" i="17"/>
  <c r="N1973" i="17"/>
  <c r="O1973" i="17" s="1"/>
  <c r="P1980" i="17"/>
  <c r="N1958" i="17"/>
  <c r="O1958" i="17" s="1"/>
  <c r="P1958" i="17" s="1"/>
  <c r="N2144" i="17"/>
  <c r="O2144" i="17" s="1"/>
  <c r="P2144" i="17" s="1"/>
  <c r="P2373" i="17"/>
  <c r="O2418" i="17"/>
  <c r="P2418" i="17" s="1"/>
  <c r="N2391" i="17"/>
  <c r="P2391" i="17" s="1"/>
  <c r="O2472" i="17"/>
  <c r="P2472" i="17" s="1"/>
  <c r="P2611" i="17"/>
  <c r="N2602" i="17"/>
  <c r="N2507" i="17"/>
  <c r="O330" i="17"/>
  <c r="O400" i="17"/>
  <c r="P400" i="17" s="1"/>
  <c r="O468" i="17"/>
  <c r="P468" i="17" s="1"/>
  <c r="P783" i="17"/>
  <c r="M1106" i="17"/>
  <c r="P1346" i="17"/>
  <c r="N1598" i="17"/>
  <c r="O1598" i="17" s="1"/>
  <c r="O1460" i="17"/>
  <c r="P1460" i="17" s="1"/>
  <c r="M1778" i="17"/>
  <c r="N1802" i="17"/>
  <c r="P1843" i="17"/>
  <c r="P2257" i="17"/>
  <c r="O2589" i="17"/>
  <c r="O347" i="17"/>
  <c r="M1103" i="17"/>
  <c r="O917" i="17"/>
  <c r="P917" i="17" s="1"/>
  <c r="N933" i="17"/>
  <c r="P933" i="17" s="1"/>
  <c r="M1002" i="17"/>
  <c r="N1059" i="17"/>
  <c r="O1752" i="17"/>
  <c r="M1836" i="17"/>
  <c r="O1836" i="17" s="1"/>
  <c r="P1836" i="17" s="1"/>
  <c r="O1995" i="17"/>
  <c r="P1995" i="17" s="1"/>
  <c r="N1995" i="17"/>
  <c r="N2227" i="17"/>
  <c r="O2181" i="17"/>
  <c r="M160" i="17"/>
  <c r="P682" i="17"/>
  <c r="O667" i="17"/>
  <c r="P1221" i="17"/>
  <c r="N1123" i="17"/>
  <c r="O1123" i="17" s="1"/>
  <c r="N1694" i="17"/>
  <c r="O1446" i="17"/>
  <c r="O1668" i="17"/>
  <c r="O1413" i="17"/>
  <c r="P1413" i="17" s="1"/>
  <c r="P1478" i="17"/>
  <c r="N1494" i="17"/>
  <c r="O1494" i="17" s="1"/>
  <c r="N1512" i="17"/>
  <c r="N1623" i="17"/>
  <c r="M1770" i="17"/>
  <c r="M1809" i="17"/>
  <c r="M2426" i="17"/>
  <c r="M2409" i="17"/>
  <c r="N2409" i="17" s="1"/>
  <c r="M2425" i="17"/>
  <c r="O2511" i="17"/>
  <c r="P2511" i="17" s="1"/>
  <c r="P2529" i="17"/>
  <c r="P439" i="17"/>
  <c r="M794" i="17"/>
  <c r="N794" i="17" s="1"/>
  <c r="O1720" i="17"/>
  <c r="P1720" i="17" s="1"/>
  <c r="O1911" i="17"/>
  <c r="P1911" i="17" s="1"/>
  <c r="P2284" i="17"/>
  <c r="O2375" i="17"/>
  <c r="P2375" i="17" s="1"/>
  <c r="O2562" i="17"/>
  <c r="P2562" i="17" s="1"/>
  <c r="M2336" i="17"/>
  <c r="N2599" i="17"/>
  <c r="O2599" i="17" s="1"/>
  <c r="N2416" i="17"/>
  <c r="O2416" i="17" s="1"/>
  <c r="M1430" i="17"/>
  <c r="N1430" i="17" s="1"/>
  <c r="O1471" i="17"/>
  <c r="P1471" i="17" s="1"/>
  <c r="M1487" i="17"/>
  <c r="N1513" i="17"/>
  <c r="O1676" i="17"/>
  <c r="P1676" i="17" s="1"/>
  <c r="N1939" i="17"/>
  <c r="O2303" i="17"/>
  <c r="P2303" i="17" s="1"/>
  <c r="N2412" i="17"/>
  <c r="O2412" i="17" s="1"/>
  <c r="M2512" i="17"/>
  <c r="N2512" i="17" s="1"/>
  <c r="P2276" i="17"/>
  <c r="M1128" i="17"/>
  <c r="N1128" i="17" s="1"/>
  <c r="P1822" i="17"/>
  <c r="M1860" i="17"/>
  <c r="O2013" i="17"/>
  <c r="P2013" i="17" s="1"/>
  <c r="M2200" i="17"/>
  <c r="N2204" i="17"/>
  <c r="P2252" i="17"/>
  <c r="M2437" i="17"/>
  <c r="M2471" i="17"/>
  <c r="N2471" i="17" s="1"/>
  <c r="O2646" i="17"/>
  <c r="P2646" i="17" s="1"/>
  <c r="O1679" i="17"/>
  <c r="P1679" i="17" s="1"/>
  <c r="N1941" i="17"/>
  <c r="O1941" i="17" s="1"/>
  <c r="N2213" i="17"/>
  <c r="O2213" i="17" s="1"/>
  <c r="N2355" i="17"/>
  <c r="P2355" i="17" s="1"/>
  <c r="P2537" i="17"/>
  <c r="P2461" i="17"/>
  <c r="P1425" i="17"/>
  <c r="P1901" i="17"/>
  <c r="N1977" i="17"/>
  <c r="O1977" i="17" s="1"/>
  <c r="P1977" i="17" s="1"/>
  <c r="N21" i="17"/>
  <c r="P1734" i="17"/>
  <c r="P2048" i="17"/>
  <c r="M2250" i="17"/>
  <c r="P2327" i="17"/>
  <c r="P2330" i="17"/>
  <c r="O2582" i="17"/>
  <c r="P2582" i="17" s="1"/>
  <c r="O364" i="17"/>
  <c r="M1492" i="17"/>
  <c r="P1924" i="17"/>
  <c r="M1858" i="17"/>
  <c r="O2135" i="17"/>
  <c r="O1882" i="17"/>
  <c r="P1882" i="17" s="1"/>
  <c r="N1838" i="17"/>
  <c r="H17" i="10"/>
  <c r="G19" i="10"/>
  <c r="H19" i="10" s="1"/>
  <c r="S17" i="7"/>
  <c r="R19" i="7"/>
  <c r="S19" i="7" s="1"/>
  <c r="X7" i="9"/>
  <c r="AD7" i="9"/>
  <c r="AH20" i="11"/>
  <c r="AD20" i="11"/>
  <c r="U20" i="11"/>
  <c r="D20" i="11"/>
  <c r="AC20" i="11"/>
  <c r="K20" i="11"/>
  <c r="C20" i="11"/>
  <c r="S20" i="11"/>
  <c r="T20" i="11" s="1"/>
  <c r="B20" i="11"/>
  <c r="AA20" i="11"/>
  <c r="Q20" i="11"/>
  <c r="I20" i="11"/>
  <c r="AK21" i="11"/>
  <c r="AL21" i="11" s="1"/>
  <c r="AG20" i="11"/>
  <c r="O20" i="11"/>
  <c r="P20" i="11" s="1"/>
  <c r="G20" i="11"/>
  <c r="AF20" i="11"/>
  <c r="W20" i="11"/>
  <c r="F20" i="11"/>
  <c r="M20" i="11"/>
  <c r="E20" i="11"/>
  <c r="Y20" i="11"/>
  <c r="M106" i="17"/>
  <c r="P957" i="17"/>
  <c r="M1177" i="17"/>
  <c r="O1256" i="17"/>
  <c r="P1143" i="17"/>
  <c r="N1143" i="17"/>
  <c r="O1399" i="17"/>
  <c r="P1399" i="17"/>
  <c r="M1431" i="17"/>
  <c r="N1431" i="17" s="1"/>
  <c r="M1464" i="17"/>
  <c r="N1464" i="17" s="1"/>
  <c r="M1488" i="17"/>
  <c r="N1488" i="17" s="1"/>
  <c r="O1488" i="17" s="1"/>
  <c r="P7" i="10"/>
  <c r="N147" i="17"/>
  <c r="P147" i="17" s="1"/>
  <c r="M67" i="17"/>
  <c r="O67" i="17" s="1"/>
  <c r="P112" i="17"/>
  <c r="O229" i="17"/>
  <c r="O325" i="17"/>
  <c r="P325" i="17" s="1"/>
  <c r="M394" i="17"/>
  <c r="N394" i="17" s="1"/>
  <c r="M992" i="17"/>
  <c r="O992" i="17" s="1"/>
  <c r="P992" i="17" s="1"/>
  <c r="N992" i="17"/>
  <c r="O1009" i="17"/>
  <c r="P1009" i="17" s="1"/>
  <c r="M1037" i="17"/>
  <c r="O1037" i="17" s="1"/>
  <c r="P1037" i="17" s="1"/>
  <c r="N1037" i="17"/>
  <c r="M1098" i="17"/>
  <c r="M1180" i="17"/>
  <c r="N1140" i="17"/>
  <c r="O1140" i="17" s="1"/>
  <c r="P1140" i="17" s="1"/>
  <c r="P1396" i="17"/>
  <c r="M1493" i="17"/>
  <c r="N1493" i="17" s="1"/>
  <c r="O1493" i="17"/>
  <c r="O1796" i="17"/>
  <c r="P1796" i="17" s="1"/>
  <c r="AE6" i="11"/>
  <c r="O127" i="17"/>
  <c r="P127" i="17" s="1"/>
  <c r="M117" i="17"/>
  <c r="M372" i="17"/>
  <c r="N372" i="17" s="1"/>
  <c r="M301" i="17"/>
  <c r="N301" i="17"/>
  <c r="O301" i="17" s="1"/>
  <c r="O397" i="17"/>
  <c r="N86" i="17"/>
  <c r="P243" i="17"/>
  <c r="M116" i="17"/>
  <c r="N116" i="17" s="1"/>
  <c r="N155" i="17"/>
  <c r="O155" i="17" s="1"/>
  <c r="O670" i="17"/>
  <c r="P670" i="17" s="1"/>
  <c r="O279" i="17"/>
  <c r="P279" i="17" s="1"/>
  <c r="M17" i="17"/>
  <c r="N17" i="17" s="1"/>
  <c r="O17" i="17" s="1"/>
  <c r="P724" i="17"/>
  <c r="O765" i="17"/>
  <c r="M876" i="17"/>
  <c r="N876" i="17" s="1"/>
  <c r="P998" i="17"/>
  <c r="N1149" i="17"/>
  <c r="M1351" i="17"/>
  <c r="O1311" i="17"/>
  <c r="P1311" i="17" s="1"/>
  <c r="N148" i="17"/>
  <c r="O148" i="17" s="1"/>
  <c r="P148" i="17" s="1"/>
  <c r="N331" i="17"/>
  <c r="N479" i="17"/>
  <c r="O479" i="17" s="1"/>
  <c r="P479" i="17" s="1"/>
  <c r="N277" i="17"/>
  <c r="O277" i="17" s="1"/>
  <c r="P277" i="17" s="1"/>
  <c r="N683" i="17"/>
  <c r="O683" i="17" s="1"/>
  <c r="O491" i="17"/>
  <c r="P491" i="17" s="1"/>
  <c r="O733" i="17"/>
  <c r="P733" i="17" s="1"/>
  <c r="P616" i="17"/>
  <c r="M866" i="17"/>
  <c r="N866" i="17" s="1"/>
  <c r="O922" i="17"/>
  <c r="P922" i="17" s="1"/>
  <c r="P1007" i="17"/>
  <c r="P1130" i="17"/>
  <c r="N1389" i="17"/>
  <c r="O1389" i="17" s="1"/>
  <c r="P1389" i="17" s="1"/>
  <c r="O83" i="17"/>
  <c r="P83" i="17" s="1"/>
  <c r="O292" i="17"/>
  <c r="O125" i="17"/>
  <c r="O520" i="17"/>
  <c r="P520" i="17" s="1"/>
  <c r="P551" i="17"/>
  <c r="O544" i="17"/>
  <c r="P544" i="17" s="1"/>
  <c r="O555" i="17"/>
  <c r="P555" i="17" s="1"/>
  <c r="P879" i="17"/>
  <c r="O809" i="17"/>
  <c r="M785" i="17"/>
  <c r="N785" i="17" s="1"/>
  <c r="O1094" i="17"/>
  <c r="P1094" i="17" s="1"/>
  <c r="N1074" i="17"/>
  <c r="N1077" i="17"/>
  <c r="O1077" i="17" s="1"/>
  <c r="P1385" i="17"/>
  <c r="N1353" i="17"/>
  <c r="O1271" i="17"/>
  <c r="P1271" i="17" s="1"/>
  <c r="N1354" i="17"/>
  <c r="O1193" i="17"/>
  <c r="N197" i="17"/>
  <c r="N296" i="17"/>
  <c r="O376" i="17"/>
  <c r="P376" i="17" s="1"/>
  <c r="N60" i="17"/>
  <c r="O60" i="17" s="1"/>
  <c r="N39" i="17"/>
  <c r="O39" i="17" s="1"/>
  <c r="N154" i="17"/>
  <c r="O154" i="17" s="1"/>
  <c r="P154" i="17" s="1"/>
  <c r="N778" i="17"/>
  <c r="O778" i="17" s="1"/>
  <c r="N345" i="17"/>
  <c r="P741" i="17"/>
  <c r="M791" i="17"/>
  <c r="O584" i="17"/>
  <c r="P584" i="17" s="1"/>
  <c r="P629" i="17"/>
  <c r="O1154" i="17"/>
  <c r="P1154" i="17" s="1"/>
  <c r="N1333" i="17"/>
  <c r="O1333" i="17" s="1"/>
  <c r="N145" i="17"/>
  <c r="O145" i="17" s="1"/>
  <c r="N332" i="17"/>
  <c r="N402" i="17"/>
  <c r="O402" i="17" s="1"/>
  <c r="O539" i="17"/>
  <c r="N234" i="17"/>
  <c r="O234" i="17" s="1"/>
  <c r="O559" i="17"/>
  <c r="O889" i="17"/>
  <c r="P889" i="17" s="1"/>
  <c r="N889" i="17"/>
  <c r="P1176" i="17"/>
  <c r="M874" i="17"/>
  <c r="O918" i="17"/>
  <c r="P918" i="17" s="1"/>
  <c r="M1109" i="17"/>
  <c r="N1136" i="17"/>
  <c r="P1136" i="17" s="1"/>
  <c r="N1359" i="17"/>
  <c r="N30" i="17"/>
  <c r="M380" i="17"/>
  <c r="N380" i="17" s="1"/>
  <c r="O355" i="17"/>
  <c r="O72" i="17"/>
  <c r="P72" i="17" s="1"/>
  <c r="M549" i="17"/>
  <c r="N549" i="17" s="1"/>
  <c r="M131" i="17"/>
  <c r="N822" i="17"/>
  <c r="M822" i="17"/>
  <c r="O848" i="17"/>
  <c r="O1195" i="17"/>
  <c r="M1012" i="17"/>
  <c r="P1040" i="17"/>
  <c r="M1159" i="17"/>
  <c r="N1159" i="17" s="1"/>
  <c r="P1159" i="17"/>
  <c r="O126" i="17"/>
  <c r="P126" i="17" s="1"/>
  <c r="O443" i="17"/>
  <c r="P443" i="17" s="1"/>
  <c r="N360" i="17"/>
  <c r="M412" i="17"/>
  <c r="P639" i="17"/>
  <c r="O1068" i="17"/>
  <c r="P1068" i="17" s="1"/>
  <c r="N946" i="17"/>
  <c r="O946" i="17" s="1"/>
  <c r="N1024" i="17"/>
  <c r="O1024" i="17" s="1"/>
  <c r="N1063" i="17"/>
  <c r="O1063" i="17" s="1"/>
  <c r="P1063" i="17" s="1"/>
  <c r="M1306" i="17"/>
  <c r="O1630" i="17"/>
  <c r="O1667" i="17"/>
  <c r="P1667" i="17" s="1"/>
  <c r="N1756" i="17"/>
  <c r="O1756" i="17" s="1"/>
  <c r="O2003" i="17"/>
  <c r="P2003" i="17" s="1"/>
  <c r="N1831" i="17"/>
  <c r="P2240" i="17"/>
  <c r="O2392" i="17"/>
  <c r="P2392" i="17" s="1"/>
  <c r="P2601" i="17"/>
  <c r="N2556" i="17"/>
  <c r="O2556" i="17" s="1"/>
  <c r="P2556" i="17" s="1"/>
  <c r="P296" i="17"/>
  <c r="P343" i="17"/>
  <c r="M309" i="17"/>
  <c r="O246" i="17"/>
  <c r="P246" i="17" s="1"/>
  <c r="P1155" i="17"/>
  <c r="N1366" i="17"/>
  <c r="O1366" i="17" s="1"/>
  <c r="N1722" i="17"/>
  <c r="O1722" i="17" s="1"/>
  <c r="P1722" i="17" s="1"/>
  <c r="M1416" i="17"/>
  <c r="M1457" i="17"/>
  <c r="P1473" i="17"/>
  <c r="M1497" i="17"/>
  <c r="N1649" i="17"/>
  <c r="O1649" i="17" s="1"/>
  <c r="M1771" i="17"/>
  <c r="O1771" i="17" s="1"/>
  <c r="P1771" i="17" s="1"/>
  <c r="M1808" i="17"/>
  <c r="O1840" i="17"/>
  <c r="N1850" i="17"/>
  <c r="O1850" i="17" s="1"/>
  <c r="P2120" i="17"/>
  <c r="O2232" i="17"/>
  <c r="P2232" i="17" s="1"/>
  <c r="M195" i="17"/>
  <c r="P206" i="17"/>
  <c r="O661" i="17"/>
  <c r="P661" i="17" s="1"/>
  <c r="N1035" i="17"/>
  <c r="O1035" i="17" s="1"/>
  <c r="P1035" i="17" s="1"/>
  <c r="M1339" i="17"/>
  <c r="N1339" i="17" s="1"/>
  <c r="O1755" i="17"/>
  <c r="P1755" i="17" s="1"/>
  <c r="M1442" i="17"/>
  <c r="N1442" i="17" s="1"/>
  <c r="N1482" i="17"/>
  <c r="N1498" i="17"/>
  <c r="O1760" i="17"/>
  <c r="M2102" i="17"/>
  <c r="P2180" i="17"/>
  <c r="M2399" i="17"/>
  <c r="M2415" i="17"/>
  <c r="N177" i="17"/>
  <c r="O177" i="17" s="1"/>
  <c r="M53" i="17"/>
  <c r="N53" i="17" s="1"/>
  <c r="O614" i="17"/>
  <c r="P614" i="17" s="1"/>
  <c r="M951" i="17"/>
  <c r="N951" i="17" s="1"/>
  <c r="M1418" i="17"/>
  <c r="M1443" i="17"/>
  <c r="N1443" i="17" s="1"/>
  <c r="M1499" i="17"/>
  <c r="N2132" i="17"/>
  <c r="O2132" i="17" s="1"/>
  <c r="P2132" i="17" s="1"/>
  <c r="P2225" i="17"/>
  <c r="P2173" i="17"/>
  <c r="M2410" i="17"/>
  <c r="N2410" i="17" s="1"/>
  <c r="P2390" i="17"/>
  <c r="P2655" i="17"/>
  <c r="N2622" i="17"/>
  <c r="P2622" i="17" s="1"/>
  <c r="M226" i="17"/>
  <c r="M173" i="17"/>
  <c r="N173" i="17" s="1"/>
  <c r="N709" i="17"/>
  <c r="O709" i="17" s="1"/>
  <c r="M255" i="17"/>
  <c r="N255" i="17" s="1"/>
  <c r="O703" i="17"/>
  <c r="P703" i="17" s="1"/>
  <c r="N1106" i="17"/>
  <c r="N1476" i="17"/>
  <c r="N1510" i="17"/>
  <c r="O1510" i="17" s="1"/>
  <c r="M1814" i="17"/>
  <c r="M1827" i="17"/>
  <c r="N1827" i="17" s="1"/>
  <c r="P2589" i="17"/>
  <c r="O563" i="17"/>
  <c r="P563" i="17" s="1"/>
  <c r="O731" i="17"/>
  <c r="P731" i="17" s="1"/>
  <c r="P600" i="17"/>
  <c r="N1002" i="17"/>
  <c r="N1836" i="17"/>
  <c r="P2054" i="17"/>
  <c r="N2178" i="17"/>
  <c r="N59" i="17"/>
  <c r="O322" i="17"/>
  <c r="P322" i="17" s="1"/>
  <c r="P188" i="17"/>
  <c r="O738" i="17"/>
  <c r="P738" i="17" s="1"/>
  <c r="N667" i="17"/>
  <c r="P667" i="17" s="1"/>
  <c r="O1190" i="17"/>
  <c r="P1190" i="17" s="1"/>
  <c r="N878" i="17"/>
  <c r="O878" i="17" s="1"/>
  <c r="O1694" i="17"/>
  <c r="M1375" i="17"/>
  <c r="M1672" i="17"/>
  <c r="O1421" i="17"/>
  <c r="P1421" i="17" s="1"/>
  <c r="P1437" i="17"/>
  <c r="P1620" i="17"/>
  <c r="N1770" i="17"/>
  <c r="N1809" i="17"/>
  <c r="P1994" i="17"/>
  <c r="N2396" i="17"/>
  <c r="O2499" i="17"/>
  <c r="N2619" i="17"/>
  <c r="O2619" i="17" s="1"/>
  <c r="P2619" i="17" s="1"/>
  <c r="M2000" i="17"/>
  <c r="N2341" i="17"/>
  <c r="O2341" i="17" s="1"/>
  <c r="O2573" i="17"/>
  <c r="P2573" i="17" s="1"/>
  <c r="P2460" i="17"/>
  <c r="M2599" i="17"/>
  <c r="P2599" i="17" s="1"/>
  <c r="M2590" i="17"/>
  <c r="N2590" i="17" s="1"/>
  <c r="O1370" i="17"/>
  <c r="N1743" i="17"/>
  <c r="O1801" i="17"/>
  <c r="P1801" i="17" s="1"/>
  <c r="N1744" i="17"/>
  <c r="O1744" i="17" s="1"/>
  <c r="N2191" i="17"/>
  <c r="O2191" i="17" s="1"/>
  <c r="P1762" i="17"/>
  <c r="P1993" i="17"/>
  <c r="O2274" i="17"/>
  <c r="P2274" i="17" s="1"/>
  <c r="M2194" i="17"/>
  <c r="P2558" i="17"/>
  <c r="O191" i="17"/>
  <c r="M1481" i="17"/>
  <c r="N1916" i="17"/>
  <c r="P2216" i="17"/>
  <c r="P2211" i="17"/>
  <c r="O2355" i="17"/>
  <c r="P2637" i="17"/>
  <c r="P2498" i="17"/>
  <c r="M1983" i="17"/>
  <c r="O2189" i="17"/>
  <c r="P2189" i="17" s="1"/>
  <c r="P2273" i="17"/>
  <c r="M985" i="17"/>
  <c r="P1683" i="17"/>
  <c r="P2242" i="17"/>
  <c r="P2334" i="17"/>
  <c r="O2580" i="17"/>
  <c r="P2580" i="17" s="1"/>
  <c r="O331" i="17"/>
  <c r="O1629" i="17"/>
  <c r="P1629" i="17" s="1"/>
  <c r="N1804" i="17"/>
  <c r="O2041" i="17"/>
  <c r="P2041" i="17" s="1"/>
  <c r="O2183" i="17"/>
  <c r="P2486" i="17"/>
  <c r="P1273" i="17"/>
  <c r="O1703" i="17"/>
  <c r="P1703" i="17" s="1"/>
  <c r="N17" i="10"/>
  <c r="M19" i="10"/>
  <c r="N19" i="10" s="1"/>
  <c r="J17" i="10"/>
  <c r="I19" i="10"/>
  <c r="J19" i="10" s="1"/>
  <c r="O17" i="7"/>
  <c r="N19" i="7"/>
  <c r="O19" i="7" s="1"/>
  <c r="AL9" i="9"/>
  <c r="AM9" i="9" s="1"/>
  <c r="AJ8" i="9"/>
  <c r="D8" i="9"/>
  <c r="AF8" i="9"/>
  <c r="H8" i="9"/>
  <c r="AI8" i="9"/>
  <c r="Y8" i="9"/>
  <c r="C8" i="9"/>
  <c r="AH8" i="9"/>
  <c r="W8" i="9"/>
  <c r="M8" i="9"/>
  <c r="B8" i="9"/>
  <c r="K8" i="9"/>
  <c r="AE8" i="9"/>
  <c r="U8" i="9"/>
  <c r="S8" i="9"/>
  <c r="T8" i="9" s="1"/>
  <c r="I8" i="9"/>
  <c r="AC8" i="9"/>
  <c r="G8" i="9"/>
  <c r="AA8" i="9"/>
  <c r="Q8" i="9"/>
  <c r="F8" i="9"/>
  <c r="AK8" i="9"/>
  <c r="O8" i="9"/>
  <c r="E8" i="9"/>
  <c r="O19" i="9"/>
  <c r="P19" i="9" s="1"/>
  <c r="X19" i="11"/>
  <c r="O487" i="17"/>
  <c r="P487" i="17"/>
  <c r="N407" i="17"/>
  <c r="M1067" i="17"/>
  <c r="O1143" i="17"/>
  <c r="M1324" i="17"/>
  <c r="N1324" i="17" s="1"/>
  <c r="M1340" i="17"/>
  <c r="N1340" i="17" s="1"/>
  <c r="M1356" i="17"/>
  <c r="M1373" i="17"/>
  <c r="N1496" i="17"/>
  <c r="M1514" i="17"/>
  <c r="N1514" i="17" s="1"/>
  <c r="O147" i="17"/>
  <c r="M315" i="17"/>
  <c r="N315" i="17" s="1"/>
  <c r="O459" i="17"/>
  <c r="P459" i="17"/>
  <c r="N67" i="17"/>
  <c r="P67" i="17" s="1"/>
  <c r="O112" i="17"/>
  <c r="P434" i="17"/>
  <c r="N229" i="17"/>
  <c r="P229" i="17" s="1"/>
  <c r="O290" i="17"/>
  <c r="P290" i="17" s="1"/>
  <c r="M359" i="17"/>
  <c r="P691" i="17"/>
  <c r="M903" i="17"/>
  <c r="N903" i="17" s="1"/>
  <c r="N950" i="17"/>
  <c r="O950" i="17" s="1"/>
  <c r="O966" i="17"/>
  <c r="N1098" i="17"/>
  <c r="O1098" i="17" s="1"/>
  <c r="O1609" i="17"/>
  <c r="P1609" i="17" s="1"/>
  <c r="O1150" i="17"/>
  <c r="P1150" i="17" s="1"/>
  <c r="M1357" i="17"/>
  <c r="N1357" i="17" s="1"/>
  <c r="O1357" i="17"/>
  <c r="P1357" i="17" s="1"/>
  <c r="M1412" i="17"/>
  <c r="M1445" i="17"/>
  <c r="N1445" i="17" s="1"/>
  <c r="O1445" i="17"/>
  <c r="M1502" i="17"/>
  <c r="N1890" i="17"/>
  <c r="P6" i="11"/>
  <c r="O57" i="17"/>
  <c r="P57" i="17" s="1"/>
  <c r="O113" i="17"/>
  <c r="P113" i="17" s="1"/>
  <c r="N146" i="17"/>
  <c r="P146" i="17" s="1"/>
  <c r="O146" i="17"/>
  <c r="O427" i="17"/>
  <c r="P427" i="17" s="1"/>
  <c r="N108" i="17"/>
  <c r="O108" i="17" s="1"/>
  <c r="P477" i="17"/>
  <c r="O283" i="17"/>
  <c r="P283" i="17" s="1"/>
  <c r="O405" i="17"/>
  <c r="P405" i="17"/>
  <c r="M220" i="17"/>
  <c r="O220" i="17" s="1"/>
  <c r="N220" i="17"/>
  <c r="N397" i="17"/>
  <c r="M65" i="17"/>
  <c r="N65" i="17"/>
  <c r="P165" i="17"/>
  <c r="O1174" i="17"/>
  <c r="P1174" i="17" s="1"/>
  <c r="N94" i="17"/>
  <c r="O94" i="17" s="1"/>
  <c r="M496" i="17"/>
  <c r="N496" i="17" s="1"/>
  <c r="O109" i="17"/>
  <c r="P109" i="17" s="1"/>
  <c r="O307" i="17"/>
  <c r="P307" i="17" s="1"/>
  <c r="N671" i="17"/>
  <c r="O671" i="17" s="1"/>
  <c r="O711" i="17"/>
  <c r="P711" i="17" s="1"/>
  <c r="O677" i="17"/>
  <c r="P677" i="17" s="1"/>
  <c r="O771" i="17"/>
  <c r="O1310" i="17"/>
  <c r="O937" i="17"/>
  <c r="P937" i="17" s="1"/>
  <c r="O955" i="17"/>
  <c r="P955" i="17" s="1"/>
  <c r="N1207" i="17"/>
  <c r="P1330" i="17"/>
  <c r="N93" i="17"/>
  <c r="O93" i="17" s="1"/>
  <c r="O372" i="17"/>
  <c r="P542" i="17"/>
  <c r="P347" i="17"/>
  <c r="N478" i="17"/>
  <c r="O478" i="17" s="1"/>
  <c r="P747" i="17"/>
  <c r="P771" i="17"/>
  <c r="P1310" i="17"/>
  <c r="P956" i="17"/>
  <c r="M247" i="17"/>
  <c r="P292" i="17"/>
  <c r="M90" i="17"/>
  <c r="M137" i="17"/>
  <c r="O582" i="17"/>
  <c r="P582" i="17" s="1"/>
  <c r="O717" i="17"/>
  <c r="P717" i="17" s="1"/>
  <c r="O1170" i="17"/>
  <c r="P1170" i="17" s="1"/>
  <c r="M935" i="17"/>
  <c r="N935" i="17" s="1"/>
  <c r="O1151" i="17"/>
  <c r="P1151" i="17" s="1"/>
  <c r="M1363" i="17"/>
  <c r="P221" i="17"/>
  <c r="N376" i="17"/>
  <c r="O318" i="17"/>
  <c r="M10" i="17"/>
  <c r="M2" i="17" s="1"/>
  <c r="M174" i="17"/>
  <c r="N313" i="17"/>
  <c r="N399" i="17"/>
  <c r="O399" i="17" s="1"/>
  <c r="P638" i="17"/>
  <c r="N1095" i="17"/>
  <c r="O1132" i="17"/>
  <c r="P1132" i="17" s="1"/>
  <c r="O730" i="17"/>
  <c r="P730" i="17" s="1"/>
  <c r="O92" i="17"/>
  <c r="P92" i="17" s="1"/>
  <c r="M339" i="17"/>
  <c r="N339" i="17" s="1"/>
  <c r="O339" i="17" s="1"/>
  <c r="N121" i="17"/>
  <c r="O121" i="17" s="1"/>
  <c r="N123" i="17"/>
  <c r="P559" i="17"/>
  <c r="N819" i="17"/>
  <c r="O819" i="17" s="1"/>
  <c r="O1158" i="17"/>
  <c r="P1158" i="17" s="1"/>
  <c r="N1600" i="17"/>
  <c r="P1600" i="17" s="1"/>
  <c r="O1136" i="17"/>
  <c r="M1329" i="17"/>
  <c r="M302" i="17"/>
  <c r="P108" i="17"/>
  <c r="M241" i="17"/>
  <c r="P355" i="17"/>
  <c r="O800" i="17"/>
  <c r="P800" i="17" s="1"/>
  <c r="N72" i="17"/>
  <c r="O822" i="17"/>
  <c r="O885" i="17"/>
  <c r="P633" i="17"/>
  <c r="N1195" i="17"/>
  <c r="P1195" i="17" s="1"/>
  <c r="O884" i="17"/>
  <c r="P884" i="17" s="1"/>
  <c r="O927" i="17"/>
  <c r="P927" i="17" s="1"/>
  <c r="O1159" i="17"/>
  <c r="N1355" i="17"/>
  <c r="O1355" i="17" s="1"/>
  <c r="P1355" i="17" s="1"/>
  <c r="N1392" i="17"/>
  <c r="P1392" i="17" s="1"/>
  <c r="P1193" i="17"/>
  <c r="P422" i="17"/>
  <c r="N426" i="17"/>
  <c r="O426" i="17" s="1"/>
  <c r="P1726" i="17"/>
  <c r="P1149" i="17"/>
  <c r="P1630" i="17"/>
  <c r="O1628" i="17"/>
  <c r="P1628" i="17" s="1"/>
  <c r="O1784" i="17"/>
  <c r="P1784" i="17" s="1"/>
  <c r="M2113" i="17"/>
  <c r="M2392" i="17"/>
  <c r="N2392" i="17" s="1"/>
  <c r="O2528" i="17"/>
  <c r="P2528" i="17" s="1"/>
  <c r="O2601" i="17"/>
  <c r="P319" i="17"/>
  <c r="O542" i="17"/>
  <c r="O566" i="17"/>
  <c r="P566" i="17" s="1"/>
  <c r="P1246" i="17"/>
  <c r="N1338" i="17"/>
  <c r="O1338" i="17" s="1"/>
  <c r="M1648" i="17"/>
  <c r="N1648" i="17"/>
  <c r="O1432" i="17"/>
  <c r="P1432" i="17" s="1"/>
  <c r="N1497" i="17"/>
  <c r="O1497" i="17" s="1"/>
  <c r="N1771" i="17"/>
  <c r="N1987" i="17"/>
  <c r="O2387" i="17"/>
  <c r="N2500" i="17"/>
  <c r="O1045" i="17"/>
  <c r="P1045" i="17" s="1"/>
  <c r="P1108" i="17"/>
  <c r="O1386" i="17"/>
  <c r="P1386" i="17" s="1"/>
  <c r="O1681" i="17"/>
  <c r="P1417" i="17"/>
  <c r="P1458" i="17"/>
  <c r="P1645" i="17"/>
  <c r="O1645" i="17"/>
  <c r="O1678" i="17"/>
  <c r="P1678" i="17" s="1"/>
  <c r="P1873" i="17"/>
  <c r="O1885" i="17"/>
  <c r="P1885" i="17" s="1"/>
  <c r="P2188" i="17"/>
  <c r="O2376" i="17"/>
  <c r="P2376" i="17" s="1"/>
  <c r="P2430" i="17"/>
  <c r="N2403" i="17"/>
  <c r="O2403" i="17" s="1"/>
  <c r="P2403" i="17" s="1"/>
  <c r="N2419" i="17"/>
  <c r="O2419" i="17"/>
  <c r="P2419" i="17" s="1"/>
  <c r="N2581" i="17"/>
  <c r="N2614" i="17"/>
  <c r="M2384" i="17"/>
  <c r="O2500" i="17"/>
  <c r="P2500" i="17" s="1"/>
  <c r="N784" i="17"/>
  <c r="O784" i="17" s="1"/>
  <c r="M1382" i="17"/>
  <c r="N1382" i="17" s="1"/>
  <c r="N1644" i="17"/>
  <c r="O1644" i="17" s="1"/>
  <c r="P1700" i="17"/>
  <c r="O1394" i="17"/>
  <c r="P1394" i="17" s="1"/>
  <c r="P1459" i="17"/>
  <c r="P1673" i="17"/>
  <c r="M1818" i="17"/>
  <c r="N1818" i="17" s="1"/>
  <c r="O1807" i="17"/>
  <c r="P1807" i="17" s="1"/>
  <c r="P1887" i="17"/>
  <c r="O1934" i="17"/>
  <c r="P1934" i="17" s="1"/>
  <c r="N1975" i="17"/>
  <c r="O1975" i="17" s="1"/>
  <c r="P2085" i="17"/>
  <c r="N2426" i="17"/>
  <c r="O2446" i="17"/>
  <c r="P2446" i="17" s="1"/>
  <c r="O2622" i="17"/>
  <c r="N338" i="17"/>
  <c r="P1419" i="17"/>
  <c r="M1817" i="17"/>
  <c r="N1817" i="17" s="1"/>
  <c r="P2432" i="17"/>
  <c r="N1665" i="17"/>
  <c r="O1665" i="17" s="1"/>
  <c r="N1375" i="17"/>
  <c r="O1375" i="17" s="1"/>
  <c r="N1397" i="17"/>
  <c r="O1397" i="17" s="1"/>
  <c r="P1397" i="17" s="1"/>
  <c r="P1661" i="17"/>
  <c r="O1661" i="17"/>
  <c r="P1699" i="17"/>
  <c r="N1820" i="17"/>
  <c r="O1820" i="17" s="1"/>
  <c r="M1829" i="17"/>
  <c r="P2182" i="17"/>
  <c r="M2413" i="17"/>
  <c r="M2429" i="17"/>
  <c r="N2429" i="17" s="1"/>
  <c r="N2548" i="17"/>
  <c r="O2548" i="17" s="1"/>
  <c r="P1387" i="17"/>
  <c r="M1447" i="17"/>
  <c r="N1447" i="17" s="1"/>
  <c r="M2210" i="17"/>
  <c r="M2442" i="17"/>
  <c r="N2442" i="17" s="1"/>
  <c r="M2609" i="17"/>
  <c r="N2362" i="17"/>
  <c r="O2362" i="17" s="1"/>
  <c r="P2362" i="17" s="1"/>
  <c r="N2102" i="17"/>
  <c r="P2359" i="17"/>
  <c r="O2558" i="17"/>
  <c r="O2441" i="17"/>
  <c r="P2441" i="17" s="1"/>
  <c r="P2519" i="17"/>
  <c r="P2080" i="17"/>
  <c r="M2357" i="17"/>
  <c r="N1806" i="17"/>
  <c r="O1806" i="17" s="1"/>
  <c r="M1774" i="17"/>
  <c r="N1774" i="17" s="1"/>
  <c r="P1781" i="17"/>
  <c r="N2124" i="17"/>
  <c r="O2124" i="17" s="1"/>
  <c r="P2124" i="17" s="1"/>
  <c r="O2367" i="17"/>
  <c r="P2367" i="17" s="1"/>
  <c r="O2129" i="17"/>
  <c r="O2118" i="17"/>
  <c r="P2118" i="17" s="1"/>
  <c r="M2227" i="17"/>
  <c r="O2227" i="17" s="1"/>
  <c r="N2408" i="17"/>
  <c r="O2408" i="17" s="1"/>
  <c r="O2094" i="17"/>
  <c r="P2094" i="17" s="1"/>
  <c r="P2245" i="17"/>
  <c r="N2247" i="17"/>
  <c r="O2247" i="17" s="1"/>
  <c r="P2247" i="17" s="1"/>
  <c r="AE7" i="11" l="1"/>
  <c r="AB7" i="11"/>
  <c r="AB8" i="9"/>
  <c r="T33" i="11"/>
  <c r="X20" i="11"/>
  <c r="X8" i="9"/>
  <c r="Z7" i="11"/>
  <c r="L33" i="11"/>
  <c r="AB20" i="11"/>
  <c r="AE33" i="11"/>
  <c r="J8" i="9"/>
  <c r="P8" i="9"/>
  <c r="P7" i="11"/>
  <c r="AB33" i="11"/>
  <c r="V7" i="11"/>
  <c r="AD8" i="9"/>
  <c r="L7" i="11"/>
  <c r="H7" i="11"/>
  <c r="O866" i="17"/>
  <c r="P866" i="17" s="1"/>
  <c r="O1081" i="17"/>
  <c r="P1081" i="17" s="1"/>
  <c r="O280" i="17"/>
  <c r="P280" i="17"/>
  <c r="P301" i="17"/>
  <c r="O988" i="17"/>
  <c r="P988" i="17"/>
  <c r="O2424" i="17"/>
  <c r="P2424" i="17" s="1"/>
  <c r="P2412" i="17"/>
  <c r="O1783" i="17"/>
  <c r="P1783" i="17" s="1"/>
  <c r="O2420" i="17"/>
  <c r="P2420" i="17" s="1"/>
  <c r="P2542" i="17"/>
  <c r="O2542" i="17"/>
  <c r="B7" i="3"/>
  <c r="O1818" i="17"/>
  <c r="P1818" i="17"/>
  <c r="O496" i="17"/>
  <c r="P496" i="17" s="1"/>
  <c r="P156" i="17"/>
  <c r="O156" i="17"/>
  <c r="O1262" i="17"/>
  <c r="P1262" i="17" s="1"/>
  <c r="O365" i="17"/>
  <c r="P365" i="17" s="1"/>
  <c r="O1324" i="17"/>
  <c r="P1324" i="17" s="1"/>
  <c r="O1431" i="17"/>
  <c r="P1431" i="17" s="1"/>
  <c r="P2408" i="17"/>
  <c r="P1375" i="17"/>
  <c r="O1442" i="17"/>
  <c r="P1442" i="17"/>
  <c r="P1098" i="17"/>
  <c r="P976" i="17"/>
  <c r="O976" i="17"/>
  <c r="O959" i="17"/>
  <c r="P959" i="17" s="1"/>
  <c r="P1827" i="17"/>
  <c r="O1827" i="17"/>
  <c r="P1512" i="17"/>
  <c r="P1456" i="17"/>
  <c r="O1456" i="17"/>
  <c r="O1395" i="17"/>
  <c r="P1395" i="17"/>
  <c r="P1850" i="17"/>
  <c r="O574" i="17"/>
  <c r="P574" i="17"/>
  <c r="O835" i="17"/>
  <c r="P835" i="17"/>
  <c r="O1423" i="17"/>
  <c r="P1423" i="17" s="1"/>
  <c r="O2177" i="17"/>
  <c r="P2177" i="17"/>
  <c r="O76" i="17"/>
  <c r="P76" i="17" s="1"/>
  <c r="O556" i="17"/>
  <c r="P556" i="17" s="1"/>
  <c r="P123" i="17"/>
  <c r="O123" i="17"/>
  <c r="AG8" i="9"/>
  <c r="O1430" i="17"/>
  <c r="P1806" i="17"/>
  <c r="N1492" i="17"/>
  <c r="O1774" i="17"/>
  <c r="P1774" i="17" s="1"/>
  <c r="O1987" i="17"/>
  <c r="P1987" i="17" s="1"/>
  <c r="P1497" i="17"/>
  <c r="P332" i="17"/>
  <c r="P1133" i="17"/>
  <c r="P345" i="17"/>
  <c r="P331" i="17"/>
  <c r="P17" i="17"/>
  <c r="P94" i="17"/>
  <c r="N1180" i="17"/>
  <c r="O1180" i="17" s="1"/>
  <c r="N20" i="11"/>
  <c r="J20" i="11"/>
  <c r="P1059" i="17"/>
  <c r="O1492" i="17"/>
  <c r="P1492" i="17" s="1"/>
  <c r="P2399" i="17"/>
  <c r="O1482" i="17"/>
  <c r="P145" i="17"/>
  <c r="N1306" i="17"/>
  <c r="O1353" i="17"/>
  <c r="P1353" i="17" s="1"/>
  <c r="O1074" i="17"/>
  <c r="O86" i="17"/>
  <c r="P86" i="17" s="1"/>
  <c r="O1436" i="17"/>
  <c r="X33" i="11"/>
  <c r="O1512" i="17"/>
  <c r="O2384" i="17"/>
  <c r="N2384" i="17"/>
  <c r="O1648" i="17"/>
  <c r="O360" i="17"/>
  <c r="P360" i="17" s="1"/>
  <c r="O30" i="17"/>
  <c r="P30" i="17" s="1"/>
  <c r="N1351" i="17"/>
  <c r="P1351" i="17" s="1"/>
  <c r="N1412" i="17"/>
  <c r="O1412" i="17" s="1"/>
  <c r="O1514" i="17"/>
  <c r="O1340" i="17"/>
  <c r="P1340" i="17" s="1"/>
  <c r="N8" i="9"/>
  <c r="N1858" i="17"/>
  <c r="N1516" i="17"/>
  <c r="O1516" i="17" s="1"/>
  <c r="P1516" i="17" s="1"/>
  <c r="N309" i="17"/>
  <c r="P309" i="17" s="1"/>
  <c r="N131" i="17"/>
  <c r="O131" i="17" s="1"/>
  <c r="P131" i="17" s="1"/>
  <c r="P236" i="17"/>
  <c r="N1012" i="17"/>
  <c r="O313" i="17"/>
  <c r="P313" i="17" s="1"/>
  <c r="O1464" i="17"/>
  <c r="P1464" i="17" s="1"/>
  <c r="O407" i="17"/>
  <c r="P407" i="17" s="1"/>
  <c r="R20" i="11"/>
  <c r="V20" i="11"/>
  <c r="O1476" i="17"/>
  <c r="P1476" i="17" s="1"/>
  <c r="T7" i="11"/>
  <c r="P1436" i="17"/>
  <c r="O1215" i="17"/>
  <c r="P1215" i="17" s="1"/>
  <c r="Q5" i="8"/>
  <c r="P6" i="8" s="1"/>
  <c r="W5" i="8"/>
  <c r="X5" i="8" s="1"/>
  <c r="T5" i="8"/>
  <c r="P1782" i="17"/>
  <c r="O1770" i="17"/>
  <c r="P1770" i="17" s="1"/>
  <c r="O2507" i="17"/>
  <c r="P2507" i="17" s="1"/>
  <c r="O2504" i="17"/>
  <c r="P2504" i="17" s="1"/>
  <c r="O1831" i="17"/>
  <c r="P1831" i="17" s="1"/>
  <c r="O945" i="17"/>
  <c r="P945" i="17" s="1"/>
  <c r="O197" i="17"/>
  <c r="P197" i="17" s="1"/>
  <c r="O371" i="17"/>
  <c r="P371" i="17" s="1"/>
  <c r="P1029" i="17"/>
  <c r="O384" i="17"/>
  <c r="P384" i="17" s="1"/>
  <c r="N1196" i="17"/>
  <c r="O1196" i="17" s="1"/>
  <c r="O1812" i="17"/>
  <c r="P1812" i="17" s="1"/>
  <c r="P2481" i="17"/>
  <c r="P1626" i="17"/>
  <c r="O824" i="17"/>
  <c r="P824" i="17" s="1"/>
  <c r="P855" i="17"/>
  <c r="P1139" i="17"/>
  <c r="O12" i="17"/>
  <c r="P12" i="17" s="1"/>
  <c r="N942" i="17"/>
  <c r="O942" i="17" s="1"/>
  <c r="O1480" i="17"/>
  <c r="P1838" i="17"/>
  <c r="N2190" i="17"/>
  <c r="O2332" i="17"/>
  <c r="P2332" i="17" s="1"/>
  <c r="O2436" i="17"/>
  <c r="P683" i="17"/>
  <c r="O1194" i="17"/>
  <c r="O958" i="17"/>
  <c r="P958" i="17" s="1"/>
  <c r="J8" i="10"/>
  <c r="M8" i="7"/>
  <c r="P2548" i="17"/>
  <c r="P1794" i="17"/>
  <c r="N2381" i="17"/>
  <c r="O2381" i="17" s="1"/>
  <c r="P2381" i="17" s="1"/>
  <c r="P1682" i="17"/>
  <c r="N1615" i="17"/>
  <c r="O1615" i="17" s="1"/>
  <c r="O1747" i="17"/>
  <c r="P1747" i="17" s="1"/>
  <c r="N1363" i="17"/>
  <c r="O1363" i="17" s="1"/>
  <c r="P1363" i="17" s="1"/>
  <c r="O745" i="17"/>
  <c r="P745" i="17" s="1"/>
  <c r="O947" i="17"/>
  <c r="P1973" i="17"/>
  <c r="N1808" i="17"/>
  <c r="O329" i="17"/>
  <c r="P329" i="17" s="1"/>
  <c r="P411" i="17"/>
  <c r="O315" i="17"/>
  <c r="O2394" i="17"/>
  <c r="P2394" i="17" s="1"/>
  <c r="O31" i="17"/>
  <c r="P31" i="17" s="1"/>
  <c r="P257" i="17"/>
  <c r="P1613" i="17"/>
  <c r="N1967" i="17"/>
  <c r="O1967" i="17" s="1"/>
  <c r="P1967" i="17" s="1"/>
  <c r="O1335" i="17"/>
  <c r="P1335" i="17" s="1"/>
  <c r="O882" i="17"/>
  <c r="P882" i="17" s="1"/>
  <c r="O1746" i="17"/>
  <c r="P1746" i="17" s="1"/>
  <c r="O943" i="17"/>
  <c r="P943" i="17" s="1"/>
  <c r="O1767" i="17"/>
  <c r="P1767" i="17" s="1"/>
  <c r="N52" i="17"/>
  <c r="O52" i="17" s="1"/>
  <c r="O1059" i="17"/>
  <c r="O304" i="17"/>
  <c r="P304" i="17" s="1"/>
  <c r="P2213" i="17"/>
  <c r="O2602" i="17"/>
  <c r="P2602" i="17" s="1"/>
  <c r="O935" i="17"/>
  <c r="P935" i="17" s="1"/>
  <c r="O2471" i="17"/>
  <c r="P1710" i="17"/>
  <c r="O951" i="17"/>
  <c r="P951" i="17" s="1"/>
  <c r="P39" i="17"/>
  <c r="O1917" i="17"/>
  <c r="P1917" i="17" s="1"/>
  <c r="X7" i="11"/>
  <c r="N33" i="11"/>
  <c r="P1598" i="17"/>
  <c r="O366" i="17"/>
  <c r="P366" i="17" s="1"/>
  <c r="P535" i="17"/>
  <c r="O394" i="17"/>
  <c r="P2396" i="17"/>
  <c r="P1125" i="17"/>
  <c r="N1779" i="17"/>
  <c r="N2200" i="17"/>
  <c r="P2436" i="17"/>
  <c r="N379" i="17"/>
  <c r="O799" i="17"/>
  <c r="P784" i="17"/>
  <c r="N1376" i="17"/>
  <c r="P1376" i="17" s="1"/>
  <c r="O1376" i="17"/>
  <c r="O1166" i="17"/>
  <c r="P1166" i="17" s="1"/>
  <c r="O2351" i="17"/>
  <c r="P2351" i="17" s="1"/>
  <c r="N2340" i="17"/>
  <c r="P1709" i="17"/>
  <c r="P2227" i="17"/>
  <c r="P2191" i="17"/>
  <c r="P1124" i="17"/>
  <c r="P2534" i="17"/>
  <c r="O737" i="17"/>
  <c r="P737" i="17" s="1"/>
  <c r="N412" i="17"/>
  <c r="N90" i="17"/>
  <c r="O90" i="17" s="1"/>
  <c r="P90" i="17" s="1"/>
  <c r="P1361" i="17"/>
  <c r="P1186" i="17"/>
  <c r="O1377" i="17"/>
  <c r="P2471" i="17"/>
  <c r="O1971" i="17"/>
  <c r="P1971" i="17" s="1"/>
  <c r="N1503" i="17"/>
  <c r="O1503" i="17" s="1"/>
  <c r="P1503" i="17" s="1"/>
  <c r="O1403" i="17"/>
  <c r="P1403" i="17" s="1"/>
  <c r="P170" i="17"/>
  <c r="P281" i="17"/>
  <c r="N1076" i="17"/>
  <c r="O1076" i="17" s="1"/>
  <c r="P1076" i="17" s="1"/>
  <c r="N110" i="17"/>
  <c r="O404" i="17"/>
  <c r="P404" i="17" s="1"/>
  <c r="O1164" i="17"/>
  <c r="O1161" i="17"/>
  <c r="O1638" i="17"/>
  <c r="P1638" i="17" s="1"/>
  <c r="P964" i="17"/>
  <c r="P819" i="17"/>
  <c r="O1833" i="17"/>
  <c r="P1833" i="17" s="1"/>
  <c r="O1939" i="17"/>
  <c r="P1939" i="17" s="1"/>
  <c r="P528" i="17"/>
  <c r="P1482" i="17"/>
  <c r="N1453" i="17"/>
  <c r="O1453" i="17" s="1"/>
  <c r="P1453" i="17" s="1"/>
  <c r="N1062" i="17"/>
  <c r="N1785" i="17"/>
  <c r="O1785" i="17" s="1"/>
  <c r="P1785" i="17" s="1"/>
  <c r="O1737" i="17"/>
  <c r="P1737" i="17" s="1"/>
  <c r="P946" i="17"/>
  <c r="P1255" i="17"/>
  <c r="P1491" i="17"/>
  <c r="P1963" i="17"/>
  <c r="O1817" i="17"/>
  <c r="P1817" i="17" s="1"/>
  <c r="N1409" i="17"/>
  <c r="N2113" i="17"/>
  <c r="O2113" i="17" s="1"/>
  <c r="O1128" i="17"/>
  <c r="P1128" i="17"/>
  <c r="N2336" i="17"/>
  <c r="O2426" i="17"/>
  <c r="P2426" i="17" s="1"/>
  <c r="N1986" i="17"/>
  <c r="O1986" i="17" s="1"/>
  <c r="P1986" i="17" s="1"/>
  <c r="O1327" i="17"/>
  <c r="P1327" i="17" s="1"/>
  <c r="P155" i="17"/>
  <c r="P966" i="17"/>
  <c r="Z33" i="11"/>
  <c r="O1336" i="17"/>
  <c r="N1717" i="17"/>
  <c r="O1717" i="17"/>
  <c r="O1916" i="17"/>
  <c r="P1916" i="17" s="1"/>
  <c r="N2194" i="17"/>
  <c r="O2194" i="17" s="1"/>
  <c r="N1750" i="17"/>
  <c r="N382" i="17"/>
  <c r="O138" i="17"/>
  <c r="N1199" i="17"/>
  <c r="O1199" i="17" s="1"/>
  <c r="N2388" i="17"/>
  <c r="O2388" i="17" s="1"/>
  <c r="P2388" i="17" s="1"/>
  <c r="O1364" i="17"/>
  <c r="P1364" i="17" s="1"/>
  <c r="P2416" i="17"/>
  <c r="O1617" i="17"/>
  <c r="P1617" i="17" s="1"/>
  <c r="N2196" i="17"/>
  <c r="P2196" i="17" s="1"/>
  <c r="P124" i="17"/>
  <c r="O2200" i="17"/>
  <c r="P2200" i="17" s="1"/>
  <c r="P294" i="17"/>
  <c r="N114" i="17"/>
  <c r="O114" i="17" s="1"/>
  <c r="P1194" i="17"/>
  <c r="O916" i="17"/>
  <c r="P916" i="17" s="1"/>
  <c r="L8" i="10"/>
  <c r="O8" i="7"/>
  <c r="N1377" i="17"/>
  <c r="P1377" i="17" s="1"/>
  <c r="P1757" i="17"/>
  <c r="N2000" i="17"/>
  <c r="O2000" i="17" s="1"/>
  <c r="N176" i="17"/>
  <c r="O176" i="17" s="1"/>
  <c r="P176" i="17" s="1"/>
  <c r="O1490" i="17"/>
  <c r="O876" i="17"/>
  <c r="P876" i="17" s="1"/>
  <c r="N886" i="17"/>
  <c r="O886" i="17" s="1"/>
  <c r="P886" i="17" s="1"/>
  <c r="O1002" i="17"/>
  <c r="P1002" i="17" s="1"/>
  <c r="N1301" i="17"/>
  <c r="O1301" i="17" s="1"/>
  <c r="P1301" i="17" s="1"/>
  <c r="P1312" i="17"/>
  <c r="N1103" i="17"/>
  <c r="P1947" i="17"/>
  <c r="N1468" i="17"/>
  <c r="P1490" i="17"/>
  <c r="P1496" i="17"/>
  <c r="P1494" i="17"/>
  <c r="P1918" i="17"/>
  <c r="N1815" i="17"/>
  <c r="O1815" i="17" s="1"/>
  <c r="P1815" i="17" s="1"/>
  <c r="N1829" i="17"/>
  <c r="P1616" i="17"/>
  <c r="N288" i="17"/>
  <c r="O288" i="17" s="1"/>
  <c r="O1990" i="17"/>
  <c r="P1990" i="17" s="1"/>
  <c r="N1795" i="17"/>
  <c r="P286" i="17"/>
  <c r="N117" i="17"/>
  <c r="O117" i="17" s="1"/>
  <c r="O2204" i="17"/>
  <c r="P2204" i="17" s="1"/>
  <c r="O1023" i="17"/>
  <c r="P1023" i="17" s="1"/>
  <c r="P2187" i="17"/>
  <c r="P1741" i="17"/>
  <c r="O1339" i="17"/>
  <c r="P1339" i="17" s="1"/>
  <c r="N1511" i="17"/>
  <c r="O1511" i="17" s="1"/>
  <c r="P1511" i="17" s="1"/>
  <c r="P1336" i="17"/>
  <c r="U13" i="4"/>
  <c r="U15" i="4"/>
  <c r="U11" i="4"/>
  <c r="U10" i="4"/>
  <c r="U12" i="4"/>
  <c r="U14" i="4"/>
  <c r="U4" i="4"/>
  <c r="U20" i="4"/>
  <c r="U8" i="4"/>
  <c r="U18" i="4"/>
  <c r="U9" i="4"/>
  <c r="U21" i="4"/>
  <c r="U19" i="4"/>
  <c r="U3" i="4"/>
  <c r="U7" i="4"/>
  <c r="U5" i="4"/>
  <c r="U6" i="4"/>
  <c r="U17" i="4"/>
  <c r="U16" i="4"/>
  <c r="O1409" i="17"/>
  <c r="P1409" i="17" s="1"/>
  <c r="O1623" i="17"/>
  <c r="P1623" i="17" s="1"/>
  <c r="O545" i="17"/>
  <c r="P545" i="17" s="1"/>
  <c r="O1808" i="17"/>
  <c r="P1808" i="17" s="1"/>
  <c r="P314" i="17"/>
  <c r="O1513" i="17"/>
  <c r="P1513" i="17" s="1"/>
  <c r="O2590" i="17"/>
  <c r="P2590" i="17" s="1"/>
  <c r="P495" i="17"/>
  <c r="O412" i="17"/>
  <c r="P412" i="17" s="1"/>
  <c r="P2175" i="17"/>
  <c r="P1657" i="17"/>
  <c r="N816" i="17"/>
  <c r="O948" i="17"/>
  <c r="P948" i="17"/>
  <c r="P259" i="17"/>
  <c r="P163" i="17"/>
  <c r="O1168" i="17"/>
  <c r="S8" i="7"/>
  <c r="N1505" i="17"/>
  <c r="P1424" i="17"/>
  <c r="O1484" i="17"/>
  <c r="P1484" i="17" s="1"/>
  <c r="P323" i="17"/>
  <c r="N2423" i="17"/>
  <c r="O2423" i="17" s="1"/>
  <c r="O1450" i="17"/>
  <c r="P1450" i="17" s="1"/>
  <c r="P431" i="17"/>
  <c r="O1073" i="17"/>
  <c r="P1073" i="17" s="1"/>
  <c r="O1331" i="17"/>
  <c r="P1331" i="17" s="1"/>
  <c r="N1485" i="17"/>
  <c r="O1485" i="17" s="1"/>
  <c r="P1485" i="17" s="1"/>
  <c r="O1360" i="17"/>
  <c r="P1360" i="17" s="1"/>
  <c r="N2609" i="17"/>
  <c r="N993" i="17"/>
  <c r="O993" i="17" s="1"/>
  <c r="P1641" i="17"/>
  <c r="N1122" i="17"/>
  <c r="O1103" i="17"/>
  <c r="P1103" i="17" s="1"/>
  <c r="P1164" i="17"/>
  <c r="O1117" i="17"/>
  <c r="P1117" i="17" s="1"/>
  <c r="P1161" i="17"/>
  <c r="N2437" i="17"/>
  <c r="O1463" i="17"/>
  <c r="P1463" i="17" s="1"/>
  <c r="N1451" i="17"/>
  <c r="O1999" i="17"/>
  <c r="P1999" i="17" s="1"/>
  <c r="P1493" i="17"/>
  <c r="P1867" i="17"/>
  <c r="O870" i="17"/>
  <c r="P870" i="17" s="1"/>
  <c r="P93" i="17"/>
  <c r="N1373" i="17"/>
  <c r="O1373" i="17" s="1"/>
  <c r="N100" i="17"/>
  <c r="P708" i="17"/>
  <c r="N1502" i="17"/>
  <c r="P1502" i="17" s="1"/>
  <c r="O2190" i="17"/>
  <c r="P2190" i="17" s="1"/>
  <c r="P523" i="17"/>
  <c r="P1480" i="17"/>
  <c r="O1779" i="17"/>
  <c r="P1779" i="17" s="1"/>
  <c r="P2335" i="17"/>
  <c r="O1126" i="17"/>
  <c r="P1126" i="17" s="1"/>
  <c r="N1461" i="17"/>
  <c r="O1461" i="17" s="1"/>
  <c r="O341" i="17"/>
  <c r="P341" i="17" s="1"/>
  <c r="O2604" i="17"/>
  <c r="P2604" i="17" s="1"/>
  <c r="O1306" i="17"/>
  <c r="P1306" i="17" s="1"/>
  <c r="N129" i="17"/>
  <c r="O129" i="17" s="1"/>
  <c r="P129" i="17" s="1"/>
  <c r="O1657" i="17"/>
  <c r="P565" i="17"/>
  <c r="P1093" i="17"/>
  <c r="V8" i="9"/>
  <c r="Z8" i="9"/>
  <c r="N985" i="17"/>
  <c r="O985" i="17" s="1"/>
  <c r="P985" i="17" s="1"/>
  <c r="N1672" i="17"/>
  <c r="P1756" i="17"/>
  <c r="P822" i="17"/>
  <c r="O380" i="17"/>
  <c r="P380" i="17" s="1"/>
  <c r="N1177" i="17"/>
  <c r="O1177" i="17" s="1"/>
  <c r="P1177" i="17" s="1"/>
  <c r="N2210" i="17"/>
  <c r="O2210" i="17" s="1"/>
  <c r="P2210" i="17" s="1"/>
  <c r="N1814" i="17"/>
  <c r="O1814" i="17" s="1"/>
  <c r="P1814" i="17" s="1"/>
  <c r="P874" i="17"/>
  <c r="O392" i="17"/>
  <c r="P392" i="17" s="1"/>
  <c r="R7" i="11"/>
  <c r="N7" i="11"/>
  <c r="N1343" i="17"/>
  <c r="O1343" i="17" s="1"/>
  <c r="P394" i="17"/>
  <c r="V33" i="11"/>
  <c r="R33" i="11"/>
  <c r="D34" i="11"/>
  <c r="D36" i="11" s="1"/>
  <c r="Q34" i="11"/>
  <c r="Y34" i="11"/>
  <c r="O34" i="11"/>
  <c r="E34" i="11"/>
  <c r="E36" i="11" s="1"/>
  <c r="AH34" i="11"/>
  <c r="AH36" i="11" s="1"/>
  <c r="C34" i="11"/>
  <c r="C36" i="11" s="1"/>
  <c r="AG34" i="11"/>
  <c r="AG36" i="11" s="1"/>
  <c r="W34" i="11"/>
  <c r="W36" i="11" s="1"/>
  <c r="M34" i="11"/>
  <c r="B34" i="11"/>
  <c r="B36" i="11" s="1"/>
  <c r="AF34" i="11"/>
  <c r="AF36" i="11" s="1"/>
  <c r="K34" i="11"/>
  <c r="U34" i="11"/>
  <c r="AD34" i="11"/>
  <c r="AD36" i="11" s="1"/>
  <c r="S34" i="11"/>
  <c r="I34" i="11"/>
  <c r="AC34" i="11"/>
  <c r="AC36" i="11" s="1"/>
  <c r="G34" i="11"/>
  <c r="F34" i="11"/>
  <c r="F36" i="11" s="1"/>
  <c r="AA34" i="11"/>
  <c r="AA36" i="11" s="1"/>
  <c r="P295" i="17"/>
  <c r="P1659" i="17"/>
  <c r="N2398" i="17"/>
  <c r="O2398" i="17" s="1"/>
  <c r="P2398" i="17" s="1"/>
  <c r="P1989" i="17"/>
  <c r="P795" i="17"/>
  <c r="P88" i="17"/>
  <c r="O2512" i="17"/>
  <c r="P2512" i="17" s="1"/>
  <c r="P2383" i="17"/>
  <c r="O1381" i="17"/>
  <c r="P1381" i="17" s="1"/>
  <c r="N260" i="17"/>
  <c r="P2179" i="17"/>
  <c r="O816" i="17"/>
  <c r="P816" i="17" s="1"/>
  <c r="P1936" i="17"/>
  <c r="P1474" i="17"/>
  <c r="P1400" i="17"/>
  <c r="P138" i="17"/>
  <c r="O287" i="17"/>
  <c r="O519" i="17"/>
  <c r="P519" i="17" s="1"/>
  <c r="P515" i="17"/>
  <c r="O1325" i="17"/>
  <c r="P1325" i="17" s="1"/>
  <c r="N1168" i="17"/>
  <c r="P1448" i="17"/>
  <c r="O1970" i="17"/>
  <c r="P1970" i="17" s="1"/>
  <c r="O1447" i="17"/>
  <c r="P1447" i="17" s="1"/>
  <c r="O409" i="17"/>
  <c r="P409" i="17" s="1"/>
  <c r="O1468" i="17"/>
  <c r="P1468" i="17" s="1"/>
  <c r="O829" i="17"/>
  <c r="P444" i="17"/>
  <c r="P801" i="17"/>
  <c r="O1001" i="17"/>
  <c r="P1001" i="17" s="1"/>
  <c r="O2442" i="17"/>
  <c r="P2442" i="17" s="1"/>
  <c r="P250" i="17"/>
  <c r="P777" i="17"/>
  <c r="P950" i="17"/>
  <c r="N1860" i="17"/>
  <c r="O1860" i="17" s="1"/>
  <c r="P1388" i="17"/>
  <c r="O971" i="17"/>
  <c r="P971" i="17" s="1"/>
  <c r="N1428" i="17"/>
  <c r="O1428" i="17" s="1"/>
  <c r="P702" i="17"/>
  <c r="P709" i="17"/>
  <c r="P1670" i="17"/>
  <c r="O309" i="17"/>
  <c r="P1123" i="17"/>
  <c r="N79" i="17"/>
  <c r="O79" i="17" s="1"/>
  <c r="N2344" i="17"/>
  <c r="O2344" i="17" s="1"/>
  <c r="P2344" i="17" s="1"/>
  <c r="O46" i="17"/>
  <c r="P46" i="17" s="1"/>
  <c r="N1067" i="17"/>
  <c r="O1067" i="17" s="1"/>
  <c r="O1401" i="17"/>
  <c r="P1401" i="17" s="1"/>
  <c r="P1510" i="17"/>
  <c r="P1733" i="17"/>
  <c r="P1084" i="17"/>
  <c r="N1778" i="17"/>
  <c r="O58" i="17"/>
  <c r="P58" i="17" s="1"/>
  <c r="P1338" i="17"/>
  <c r="N1329" i="17"/>
  <c r="O2178" i="17"/>
  <c r="P2178" i="17" s="1"/>
  <c r="N1457" i="17"/>
  <c r="O1457" i="17" s="1"/>
  <c r="P1457" i="17" s="1"/>
  <c r="N137" i="17"/>
  <c r="O137" i="17"/>
  <c r="O2102" i="17"/>
  <c r="P2102" i="17" s="1"/>
  <c r="P234" i="17"/>
  <c r="N106" i="17"/>
  <c r="P106" i="17" s="1"/>
  <c r="H20" i="11"/>
  <c r="P177" i="17"/>
  <c r="P1333" i="17"/>
  <c r="P778" i="17"/>
  <c r="O2429" i="17"/>
  <c r="P2429" i="17" s="1"/>
  <c r="P1665" i="17"/>
  <c r="P1644" i="17"/>
  <c r="N2357" i="17"/>
  <c r="O2357" i="17" s="1"/>
  <c r="P137" i="17"/>
  <c r="P121" i="17"/>
  <c r="O1382" i="17"/>
  <c r="P1382" i="17" s="1"/>
  <c r="N1416" i="17"/>
  <c r="N1109" i="17"/>
  <c r="P1109" i="17" s="1"/>
  <c r="O338" i="17"/>
  <c r="P338" i="17" s="1"/>
  <c r="P671" i="17"/>
  <c r="O65" i="17"/>
  <c r="Z20" i="11"/>
  <c r="H33" i="11"/>
  <c r="P1430" i="17"/>
  <c r="P60" i="17"/>
  <c r="O2196" i="17"/>
  <c r="O255" i="17"/>
  <c r="P255" i="17" s="1"/>
  <c r="O1070" i="17"/>
  <c r="P1070" i="17" s="1"/>
  <c r="N2095" i="17"/>
  <c r="O173" i="17"/>
  <c r="P1508" i="17"/>
  <c r="N1508" i="17"/>
  <c r="O1508" i="17" s="1"/>
  <c r="N133" i="17"/>
  <c r="O133" i="17" s="1"/>
  <c r="P133" i="17" s="1"/>
  <c r="N174" i="17"/>
  <c r="O174" i="17" s="1"/>
  <c r="O4" i="17"/>
  <c r="O1083" i="17"/>
  <c r="Z9" i="7"/>
  <c r="Z11" i="7" s="1"/>
  <c r="H9" i="7"/>
  <c r="H11" i="7" s="1"/>
  <c r="Y9" i="7"/>
  <c r="Y11" i="7" s="1"/>
  <c r="P9" i="7"/>
  <c r="Q9" i="7" s="1"/>
  <c r="G9" i="7"/>
  <c r="G11" i="7" s="1"/>
  <c r="R9" i="7"/>
  <c r="I9" i="7"/>
  <c r="I11" i="7" s="1"/>
  <c r="X9" i="7"/>
  <c r="X11" i="7" s="1"/>
  <c r="W9" i="7"/>
  <c r="W11" i="7" s="1"/>
  <c r="N9" i="7"/>
  <c r="O9" i="7" s="1"/>
  <c r="V9" i="7"/>
  <c r="V11" i="7" s="1"/>
  <c r="L9" i="7"/>
  <c r="M9" i="7" s="1"/>
  <c r="T9" i="7"/>
  <c r="U9" i="7" s="1"/>
  <c r="K9" i="7"/>
  <c r="K11" i="7" s="1"/>
  <c r="J9" i="7"/>
  <c r="N1983" i="17"/>
  <c r="O1983" i="17" s="1"/>
  <c r="P1983" i="17" s="1"/>
  <c r="O2614" i="17"/>
  <c r="P2614" i="17" s="1"/>
  <c r="N2407" i="17"/>
  <c r="P829" i="17"/>
  <c r="P335" i="17"/>
  <c r="O116" i="17"/>
  <c r="P116" i="17" s="1"/>
  <c r="P2526" i="17"/>
  <c r="O1405" i="17"/>
  <c r="P1405" i="17" s="1"/>
  <c r="O1443" i="17"/>
  <c r="P1443" i="17" s="1"/>
  <c r="P69" i="17"/>
  <c r="O932" i="17"/>
  <c r="P932" i="17"/>
  <c r="P530" i="17"/>
  <c r="P1498" i="17"/>
  <c r="O2087" i="17"/>
  <c r="P2087" i="17" s="1"/>
  <c r="O1642" i="17"/>
  <c r="P1642" i="17" s="1"/>
  <c r="P1991" i="17"/>
  <c r="O1804" i="17"/>
  <c r="P1804" i="17" s="1"/>
  <c r="N1411" i="17"/>
  <c r="O1411" i="17" s="1"/>
  <c r="N1326" i="17"/>
  <c r="P1599" i="17"/>
  <c r="N1470" i="17"/>
  <c r="O1465" i="17"/>
  <c r="P1465" i="17" s="1"/>
  <c r="P1760" i="17"/>
  <c r="N1481" i="17"/>
  <c r="O1481" i="17" s="1"/>
  <c r="N359" i="17"/>
  <c r="N1356" i="17"/>
  <c r="O1356" i="17" s="1"/>
  <c r="P936" i="17"/>
  <c r="O1030" i="17"/>
  <c r="P1030" i="17" s="1"/>
  <c r="O251" i="17"/>
  <c r="P251" i="17" s="1"/>
  <c r="P168" i="17"/>
  <c r="AE20" i="11"/>
  <c r="O2250" i="17"/>
  <c r="P2250" i="17" s="1"/>
  <c r="O2409" i="17"/>
  <c r="J7" i="11"/>
  <c r="O1329" i="17"/>
  <c r="P1329" i="17" s="1"/>
  <c r="O1207" i="17"/>
  <c r="P1207" i="17" s="1"/>
  <c r="P220" i="17"/>
  <c r="O1890" i="17"/>
  <c r="P1890" i="17" s="1"/>
  <c r="O106" i="17"/>
  <c r="L20" i="11"/>
  <c r="O1106" i="17"/>
  <c r="P1106" i="17" s="1"/>
  <c r="O1095" i="17"/>
  <c r="P1095" i="17" s="1"/>
  <c r="O1354" i="17"/>
  <c r="P1354" i="17" s="1"/>
  <c r="AI8" i="11"/>
  <c r="AI10" i="11" s="1"/>
  <c r="AA8" i="11"/>
  <c r="AA10" i="11" s="1"/>
  <c r="S8" i="11"/>
  <c r="S10" i="11" s="1"/>
  <c r="K8" i="11"/>
  <c r="K10" i="11" s="1"/>
  <c r="C8" i="11"/>
  <c r="C10" i="11" s="1"/>
  <c r="AH8" i="11"/>
  <c r="AH10" i="11" s="1"/>
  <c r="B8" i="11"/>
  <c r="B10" i="11" s="1"/>
  <c r="AF8" i="11"/>
  <c r="AF10" i="11" s="1"/>
  <c r="AD8" i="11"/>
  <c r="AD10" i="11" s="1"/>
  <c r="F8" i="11"/>
  <c r="F10" i="11" s="1"/>
  <c r="AC8" i="11"/>
  <c r="AC10" i="11" s="1"/>
  <c r="U8" i="11"/>
  <c r="M8" i="11"/>
  <c r="E8" i="11"/>
  <c r="E10" i="11" s="1"/>
  <c r="AJ8" i="11"/>
  <c r="AJ10" i="11" s="1"/>
  <c r="O8" i="11"/>
  <c r="P8" i="11" s="1"/>
  <c r="AG8" i="11"/>
  <c r="AG10" i="11" s="1"/>
  <c r="I8" i="11"/>
  <c r="G8" i="11"/>
  <c r="G10" i="11" s="1"/>
  <c r="Y8" i="11"/>
  <c r="D8" i="11"/>
  <c r="D10" i="11" s="1"/>
  <c r="W8" i="11"/>
  <c r="Q8" i="11"/>
  <c r="P1975" i="17"/>
  <c r="N1499" i="17"/>
  <c r="O1499" i="17" s="1"/>
  <c r="N302" i="17"/>
  <c r="O302" i="17" s="1"/>
  <c r="P339" i="17"/>
  <c r="N791" i="17"/>
  <c r="O791" i="17" s="1"/>
  <c r="P791" i="17" s="1"/>
  <c r="P65" i="17"/>
  <c r="P1445" i="17"/>
  <c r="R8" i="9"/>
  <c r="L8" i="9"/>
  <c r="N2250" i="17"/>
  <c r="N2413" i="17"/>
  <c r="O2581" i="17"/>
  <c r="P2581" i="17" s="1"/>
  <c r="O510" i="17"/>
  <c r="P402" i="17"/>
  <c r="W21" i="11"/>
  <c r="W23" i="11" s="1"/>
  <c r="O21" i="11"/>
  <c r="G21" i="11"/>
  <c r="AF21" i="11"/>
  <c r="AF23" i="11" s="1"/>
  <c r="M21" i="11"/>
  <c r="D21" i="11"/>
  <c r="D23" i="11" s="1"/>
  <c r="AD21" i="11"/>
  <c r="AD23" i="11" s="1"/>
  <c r="U21" i="11"/>
  <c r="C21" i="11"/>
  <c r="C23" i="11" s="1"/>
  <c r="AC21" i="11"/>
  <c r="AC23" i="11" s="1"/>
  <c r="K21" i="11"/>
  <c r="B21" i="11"/>
  <c r="B23" i="11" s="1"/>
  <c r="S21" i="11"/>
  <c r="Q21" i="11"/>
  <c r="Q23" i="11" s="1"/>
  <c r="AH21" i="11"/>
  <c r="AH23" i="11" s="1"/>
  <c r="Y21" i="11"/>
  <c r="Y23" i="11" s="1"/>
  <c r="F21" i="11"/>
  <c r="F23" i="11" s="1"/>
  <c r="I21" i="11"/>
  <c r="E21" i="11"/>
  <c r="E23" i="11" s="1"/>
  <c r="AG21" i="11"/>
  <c r="AG23" i="11" s="1"/>
  <c r="AA21" i="11"/>
  <c r="AA23" i="11" s="1"/>
  <c r="P1941" i="17"/>
  <c r="P2341" i="17"/>
  <c r="O1809" i="17"/>
  <c r="N160" i="17"/>
  <c r="O160" i="17"/>
  <c r="P160" i="17" s="1"/>
  <c r="O1359" i="17"/>
  <c r="P1359" i="17" s="1"/>
  <c r="P1077" i="17"/>
  <c r="P924" i="17"/>
  <c r="J33" i="11"/>
  <c r="P33" i="11"/>
  <c r="W4" i="8"/>
  <c r="X4" i="8" s="1"/>
  <c r="N2428" i="17"/>
  <c r="N2425" i="17"/>
  <c r="O2425" i="17" s="1"/>
  <c r="O1505" i="17"/>
  <c r="P1505" i="17" s="1"/>
  <c r="O898" i="17"/>
  <c r="P898" i="17" s="1"/>
  <c r="P2181" i="17"/>
  <c r="P35" i="17"/>
  <c r="P1074" i="17"/>
  <c r="O1348" i="17"/>
  <c r="P1348" i="17" s="1"/>
  <c r="N226" i="17"/>
  <c r="O1451" i="17"/>
  <c r="P1451" i="17" s="1"/>
  <c r="P1370" i="17"/>
  <c r="O1884" i="17"/>
  <c r="P1884" i="17" s="1"/>
  <c r="N1153" i="17"/>
  <c r="O1153" i="17" s="1"/>
  <c r="O35" i="17"/>
  <c r="O1157" i="17"/>
  <c r="P1157" i="17" s="1"/>
  <c r="N10" i="17"/>
  <c r="N2" i="17" s="1"/>
  <c r="N1321" i="17"/>
  <c r="O1321" i="17" s="1"/>
  <c r="P1321" i="17"/>
  <c r="P4" i="17"/>
  <c r="P1083" i="17"/>
  <c r="H8" i="10"/>
  <c r="R9" i="10"/>
  <c r="R11" i="10" s="1"/>
  <c r="B9" i="10"/>
  <c r="B11" i="10" s="1"/>
  <c r="F9" i="10"/>
  <c r="F11" i="10" s="1"/>
  <c r="Q9" i="10"/>
  <c r="Q11" i="10" s="1"/>
  <c r="D9" i="10"/>
  <c r="D11" i="10" s="1"/>
  <c r="O9" i="10"/>
  <c r="C9" i="10"/>
  <c r="C11" i="10" s="1"/>
  <c r="M9" i="10"/>
  <c r="M11" i="10" s="1"/>
  <c r="N11" i="10" s="1"/>
  <c r="K9" i="10"/>
  <c r="U9" i="10"/>
  <c r="U11" i="10" s="1"/>
  <c r="I9" i="10"/>
  <c r="T9" i="10"/>
  <c r="T11" i="10" s="1"/>
  <c r="G9" i="10"/>
  <c r="S9" i="10"/>
  <c r="S11" i="10" s="1"/>
  <c r="E9" i="10"/>
  <c r="E11" i="10" s="1"/>
  <c r="Q8" i="7"/>
  <c r="P11" i="7"/>
  <c r="J11" i="7"/>
  <c r="P1744" i="17"/>
  <c r="O1406" i="17"/>
  <c r="P1406" i="17" s="1"/>
  <c r="P1365" i="17"/>
  <c r="N806" i="17"/>
  <c r="O252" i="17"/>
  <c r="P252" i="17" s="1"/>
  <c r="O1071" i="17"/>
  <c r="P1071" i="17" s="1"/>
  <c r="N291" i="17"/>
  <c r="O291" i="17" s="1"/>
  <c r="O2136" i="17"/>
  <c r="P2136" i="17" s="1"/>
  <c r="O226" i="17"/>
  <c r="P226" i="17" s="1"/>
  <c r="O549" i="17"/>
  <c r="P478" i="17"/>
  <c r="M10" i="11"/>
  <c r="P321" i="17"/>
  <c r="N1772" i="17"/>
  <c r="O1772" i="17" s="1"/>
  <c r="N1043" i="17"/>
  <c r="O1043" i="17" s="1"/>
  <c r="P736" i="17"/>
  <c r="O21" i="17"/>
  <c r="P21" i="17" s="1"/>
  <c r="P173" i="17"/>
  <c r="N96" i="17"/>
  <c r="O96" i="17" s="1"/>
  <c r="P96" i="17" s="1"/>
  <c r="P1488" i="17"/>
  <c r="P1024" i="17"/>
  <c r="N1013" i="17"/>
  <c r="O1013" i="17" s="1"/>
  <c r="P2464" i="17"/>
  <c r="N1467" i="17"/>
  <c r="O1467" i="17" s="1"/>
  <c r="F9" i="9"/>
  <c r="F11" i="9" s="1"/>
  <c r="AH9" i="9"/>
  <c r="AH11" i="9" s="1"/>
  <c r="B9" i="9"/>
  <c r="B11" i="9" s="1"/>
  <c r="AC9" i="9"/>
  <c r="S9" i="9"/>
  <c r="H9" i="9"/>
  <c r="H11" i="9" s="1"/>
  <c r="Q9" i="9"/>
  <c r="Q11" i="9" s="1"/>
  <c r="G9" i="9"/>
  <c r="G11" i="9" s="1"/>
  <c r="AK9" i="9"/>
  <c r="AK11" i="9" s="1"/>
  <c r="AA9" i="9"/>
  <c r="AA11" i="9" s="1"/>
  <c r="E9" i="9"/>
  <c r="E11" i="9" s="1"/>
  <c r="AJ9" i="9"/>
  <c r="Y9" i="9"/>
  <c r="O9" i="9"/>
  <c r="D9" i="9"/>
  <c r="D11" i="9" s="1"/>
  <c r="AI9" i="9"/>
  <c r="AI11" i="9" s="1"/>
  <c r="M9" i="9"/>
  <c r="M11" i="9" s="1"/>
  <c r="C9" i="9"/>
  <c r="C11" i="9" s="1"/>
  <c r="W9" i="9"/>
  <c r="AF9" i="9"/>
  <c r="U9" i="9"/>
  <c r="K9" i="9"/>
  <c r="K11" i="9" s="1"/>
  <c r="AE9" i="9"/>
  <c r="AE11" i="9" s="1"/>
  <c r="I9" i="9"/>
  <c r="I11" i="9" s="1"/>
  <c r="P878" i="17"/>
  <c r="O2410" i="17"/>
  <c r="P2410" i="17" s="1"/>
  <c r="O1416" i="17"/>
  <c r="P1416" i="17" s="1"/>
  <c r="O1109" i="17"/>
  <c r="O1351" i="17"/>
  <c r="N1487" i="17"/>
  <c r="O1487" i="17" s="1"/>
  <c r="P1487" i="17" s="1"/>
  <c r="P1366" i="17"/>
  <c r="O56" i="17"/>
  <c r="P56" i="17" s="1"/>
  <c r="N241" i="17"/>
  <c r="O241" i="17" s="1"/>
  <c r="P426" i="17"/>
  <c r="P549" i="17"/>
  <c r="P399" i="17"/>
  <c r="N247" i="17"/>
  <c r="O247" i="17" s="1"/>
  <c r="P397" i="17"/>
  <c r="O903" i="17"/>
  <c r="P903" i="17" s="1"/>
  <c r="P1514" i="17"/>
  <c r="P2409" i="17"/>
  <c r="P1809" i="17"/>
  <c r="P510" i="17"/>
  <c r="K36" i="11"/>
  <c r="P1898" i="17"/>
  <c r="N492" i="17"/>
  <c r="O492" i="17" s="1"/>
  <c r="P785" i="17"/>
  <c r="P372" i="17"/>
  <c r="O53" i="17"/>
  <c r="P53" i="17" s="1"/>
  <c r="O2219" i="17"/>
  <c r="P2219" i="17" s="1"/>
  <c r="P387" i="17"/>
  <c r="O166" i="17"/>
  <c r="P166" i="17" s="1"/>
  <c r="O1502" i="17"/>
  <c r="U8" i="7"/>
  <c r="T11" i="7"/>
  <c r="O1415" i="17"/>
  <c r="P1415" i="17" s="1"/>
  <c r="N1191" i="17"/>
  <c r="O1191" i="17" s="1"/>
  <c r="O2386" i="17"/>
  <c r="P2386" i="17"/>
  <c r="P1677" i="17"/>
  <c r="O794" i="17"/>
  <c r="P794" i="17" s="1"/>
  <c r="P548" i="17"/>
  <c r="P799" i="17"/>
  <c r="N172" i="17"/>
  <c r="O172" i="17" s="1"/>
  <c r="P172" i="17" s="1"/>
  <c r="O1608" i="17"/>
  <c r="P1608" i="17" s="1"/>
  <c r="P78" i="17"/>
  <c r="P1420" i="17"/>
  <c r="P115" i="17"/>
  <c r="P1820" i="17"/>
  <c r="O1012" i="17"/>
  <c r="P1012" i="17" s="1"/>
  <c r="N1187" i="17"/>
  <c r="O1187" i="17" s="1"/>
  <c r="P315" i="17"/>
  <c r="N1185" i="17"/>
  <c r="O1185" i="17" s="1"/>
  <c r="O186" i="17"/>
  <c r="P186" i="17" s="1"/>
  <c r="P1648" i="17"/>
  <c r="P287" i="17"/>
  <c r="O920" i="17"/>
  <c r="P920" i="17" s="1"/>
  <c r="O1034" i="17"/>
  <c r="P1034" i="17" s="1"/>
  <c r="N2386" i="17"/>
  <c r="N1495" i="17"/>
  <c r="O1495" i="17" s="1"/>
  <c r="P1362" i="17"/>
  <c r="N195" i="17"/>
  <c r="P947" i="17"/>
  <c r="N1426" i="17"/>
  <c r="O1426" i="17" s="1"/>
  <c r="O844" i="17"/>
  <c r="P844" i="17" s="1"/>
  <c r="P979" i="17"/>
  <c r="O1743" i="17"/>
  <c r="P1743" i="17" s="1"/>
  <c r="N1418" i="17"/>
  <c r="O1418" i="17" s="1"/>
  <c r="P1418" i="17" s="1"/>
  <c r="P2339" i="17"/>
  <c r="P1044" i="17"/>
  <c r="R8" i="11" l="1"/>
  <c r="H10" i="11"/>
  <c r="T10" i="11"/>
  <c r="X36" i="11"/>
  <c r="AE36" i="11"/>
  <c r="AB36" i="11"/>
  <c r="H34" i="11"/>
  <c r="AB11" i="9"/>
  <c r="P9" i="9"/>
  <c r="Z9" i="9"/>
  <c r="AD9" i="9"/>
  <c r="AB10" i="11"/>
  <c r="T34" i="11"/>
  <c r="J11" i="9"/>
  <c r="L21" i="11"/>
  <c r="H21" i="11"/>
  <c r="AE10" i="11"/>
  <c r="J21" i="11"/>
  <c r="V34" i="11"/>
  <c r="N11" i="9"/>
  <c r="V9" i="9"/>
  <c r="X8" i="11"/>
  <c r="T9" i="9"/>
  <c r="X9" i="9"/>
  <c r="R21" i="11"/>
  <c r="R34" i="11"/>
  <c r="B5" i="3"/>
  <c r="R11" i="9"/>
  <c r="P100" i="17"/>
  <c r="L11" i="9"/>
  <c r="P382" i="17"/>
  <c r="AE23" i="11"/>
  <c r="Z23" i="11"/>
  <c r="P1778" i="17"/>
  <c r="P9" i="10"/>
  <c r="O11" i="10"/>
  <c r="P11" i="10" s="1"/>
  <c r="P1153" i="17"/>
  <c r="AB21" i="11"/>
  <c r="T21" i="11"/>
  <c r="S23" i="11"/>
  <c r="T23" i="11" s="1"/>
  <c r="N21" i="11"/>
  <c r="O359" i="17"/>
  <c r="P359" i="17" s="1"/>
  <c r="O2413" i="17"/>
  <c r="P2413" i="17" s="1"/>
  <c r="P1467" i="17"/>
  <c r="Z34" i="11"/>
  <c r="U11" i="9"/>
  <c r="V11" i="9" s="1"/>
  <c r="O1470" i="17"/>
  <c r="P1470" i="17" s="1"/>
  <c r="O100" i="17"/>
  <c r="O10" i="11"/>
  <c r="P10" i="11" s="1"/>
  <c r="O10" i="17"/>
  <c r="P2113" i="17"/>
  <c r="P241" i="17"/>
  <c r="H9" i="10"/>
  <c r="G11" i="10"/>
  <c r="H11" i="10" s="1"/>
  <c r="G36" i="11"/>
  <c r="H36" i="11" s="1"/>
  <c r="N34" i="11"/>
  <c r="P1343" i="17"/>
  <c r="O195" i="17"/>
  <c r="P195" i="17" s="1"/>
  <c r="P2423" i="17"/>
  <c r="P174" i="17"/>
  <c r="O2340" i="17"/>
  <c r="P2340" i="17" s="1"/>
  <c r="P1860" i="17"/>
  <c r="P1196" i="17"/>
  <c r="P1615" i="17"/>
  <c r="P942" i="17"/>
  <c r="P247" i="17"/>
  <c r="P1180" i="17"/>
  <c r="O2095" i="17"/>
  <c r="P2095" i="17" s="1"/>
  <c r="AG9" i="9"/>
  <c r="AF11" i="9"/>
  <c r="AG11" i="9" s="1"/>
  <c r="J34" i="11"/>
  <c r="I36" i="11"/>
  <c r="J36" i="11" s="1"/>
  <c r="X34" i="11"/>
  <c r="P1461" i="17"/>
  <c r="AJ11" i="9"/>
  <c r="P2000" i="17"/>
  <c r="P1717" i="17"/>
  <c r="O2336" i="17"/>
  <c r="P2336" i="17" s="1"/>
  <c r="P1495" i="17"/>
  <c r="O379" i="17"/>
  <c r="P379" i="17" s="1"/>
  <c r="P288" i="17"/>
  <c r="O1858" i="17"/>
  <c r="P1858" i="17" s="1"/>
  <c r="P1067" i="17"/>
  <c r="O382" i="17"/>
  <c r="O1829" i="17"/>
  <c r="P1829" i="17" s="1"/>
  <c r="P117" i="17"/>
  <c r="O806" i="17"/>
  <c r="P806" i="17" s="1"/>
  <c r="P1428" i="17"/>
  <c r="P1185" i="17"/>
  <c r="N10" i="11"/>
  <c r="P291" i="17"/>
  <c r="J9" i="10"/>
  <c r="I11" i="10"/>
  <c r="J11" i="10" s="1"/>
  <c r="P21" i="11"/>
  <c r="N8" i="11"/>
  <c r="P1499" i="17"/>
  <c r="O23" i="11"/>
  <c r="P23" i="11" s="1"/>
  <c r="Q36" i="11"/>
  <c r="R36" i="11" s="1"/>
  <c r="Q10" i="11"/>
  <c r="R10" i="11" s="1"/>
  <c r="P1122" i="17"/>
  <c r="S11" i="9"/>
  <c r="T11" i="9" s="1"/>
  <c r="O1326" i="17"/>
  <c r="P1326" i="17" s="1"/>
  <c r="O11" i="9"/>
  <c r="P11" i="9" s="1"/>
  <c r="I23" i="11"/>
  <c r="J23" i="11" s="1"/>
  <c r="P52" i="17"/>
  <c r="P79" i="17"/>
  <c r="O2609" i="17"/>
  <c r="P2609" i="17" s="1"/>
  <c r="O260" i="17"/>
  <c r="P260" i="17" s="1"/>
  <c r="P1356" i="17"/>
  <c r="P1187" i="17"/>
  <c r="P1191" i="17"/>
  <c r="X21" i="11"/>
  <c r="Z8" i="11"/>
  <c r="V8" i="11"/>
  <c r="U10" i="11"/>
  <c r="V10" i="11" s="1"/>
  <c r="L8" i="11"/>
  <c r="P1411" i="17"/>
  <c r="P2357" i="17"/>
  <c r="AC11" i="9"/>
  <c r="AD11" i="9" s="1"/>
  <c r="AE34" i="11"/>
  <c r="P10" i="17"/>
  <c r="Y10" i="11"/>
  <c r="Z10" i="11" s="1"/>
  <c r="M36" i="11"/>
  <c r="N36" i="11" s="1"/>
  <c r="L11" i="7"/>
  <c r="M11" i="7" s="1"/>
  <c r="O110" i="17"/>
  <c r="P110" i="17" s="1"/>
  <c r="P2" i="17" s="1"/>
  <c r="O1672" i="17"/>
  <c r="P1672" i="17" s="1"/>
  <c r="O1778" i="17"/>
  <c r="P492" i="17"/>
  <c r="L36" i="11"/>
  <c r="Q11" i="7"/>
  <c r="L9" i="10"/>
  <c r="K11" i="10"/>
  <c r="L11" i="10" s="1"/>
  <c r="Z21" i="11"/>
  <c r="V21" i="11"/>
  <c r="P302" i="17"/>
  <c r="H8" i="11"/>
  <c r="T8" i="11"/>
  <c r="O2" i="17"/>
  <c r="B6" i="3" s="1"/>
  <c r="G23" i="11"/>
  <c r="H23" i="11" s="1"/>
  <c r="U36" i="11"/>
  <c r="V36" i="11" s="1"/>
  <c r="U23" i="11"/>
  <c r="V23" i="11" s="1"/>
  <c r="R5" i="8"/>
  <c r="P1481" i="17"/>
  <c r="M23" i="11"/>
  <c r="N23" i="11" s="1"/>
  <c r="P2194" i="17"/>
  <c r="O1795" i="17"/>
  <c r="P1795" i="17" s="1"/>
  <c r="AB9" i="9"/>
  <c r="U11" i="7"/>
  <c r="N9" i="9"/>
  <c r="R9" i="9"/>
  <c r="N9" i="10"/>
  <c r="L10" i="11"/>
  <c r="AE21" i="11"/>
  <c r="J8" i="11"/>
  <c r="AB8" i="11"/>
  <c r="W11" i="9"/>
  <c r="X11" i="9" s="1"/>
  <c r="I10" i="11"/>
  <c r="J10" i="11" s="1"/>
  <c r="S9" i="7"/>
  <c r="R11" i="7"/>
  <c r="S11" i="7" s="1"/>
  <c r="AB34" i="11"/>
  <c r="L34" i="11"/>
  <c r="Y11" i="9"/>
  <c r="Z11" i="9" s="1"/>
  <c r="P993" i="17"/>
  <c r="P1043" i="17"/>
  <c r="S36" i="11"/>
  <c r="T36" i="11" s="1"/>
  <c r="O2437" i="17"/>
  <c r="P2437" i="17" s="1"/>
  <c r="O1122" i="17"/>
  <c r="W10" i="11"/>
  <c r="X10" i="11" s="1"/>
  <c r="Q6" i="8"/>
  <c r="P7" i="8" s="1"/>
  <c r="P2384" i="17"/>
  <c r="O2428" i="17"/>
  <c r="P2428" i="17" s="1"/>
  <c r="P1199" i="17"/>
  <c r="O2407" i="17"/>
  <c r="P2407" i="17" s="1"/>
  <c r="P1373" i="17"/>
  <c r="P1426" i="17"/>
  <c r="AB23" i="11"/>
  <c r="J9" i="9"/>
  <c r="A1" i="12" s="1" a="1"/>
  <c r="R23" i="11"/>
  <c r="L9" i="9"/>
  <c r="P1013" i="17"/>
  <c r="P1772" i="17"/>
  <c r="X23" i="11"/>
  <c r="AE8" i="11"/>
  <c r="K23" i="11"/>
  <c r="L23" i="11" s="1"/>
  <c r="P2425" i="17"/>
  <c r="P1168" i="17"/>
  <c r="P34" i="11"/>
  <c r="O36" i="11"/>
  <c r="P36" i="11" s="1"/>
  <c r="N11" i="7"/>
  <c r="O11" i="7" s="1"/>
  <c r="P114" i="17"/>
  <c r="Y36" i="11"/>
  <c r="Z36" i="11" s="1"/>
  <c r="P1412" i="17"/>
  <c r="O1062" i="17"/>
  <c r="P1062" i="17" s="1"/>
  <c r="O1750" i="17"/>
  <c r="P1750" i="17" s="1"/>
  <c r="B9" i="3" l="1"/>
  <c r="E3" i="3" s="1"/>
  <c r="E4" i="3" s="1"/>
  <c r="I2" i="17"/>
  <c r="C36" i="12"/>
  <c r="A35" i="12"/>
  <c r="E33" i="12"/>
  <c r="C32" i="12"/>
  <c r="A31" i="12"/>
  <c r="E29" i="12"/>
  <c r="C28" i="12"/>
  <c r="A27" i="12"/>
  <c r="E25" i="12"/>
  <c r="C24" i="12"/>
  <c r="A23" i="12"/>
  <c r="E21" i="12"/>
  <c r="C20" i="12"/>
  <c r="A19" i="12"/>
  <c r="E17" i="12"/>
  <c r="C16" i="12"/>
  <c r="A15" i="12"/>
  <c r="E13" i="12"/>
  <c r="C12" i="12"/>
  <c r="A11" i="12"/>
  <c r="E9" i="12"/>
  <c r="C8" i="12"/>
  <c r="A7" i="12"/>
  <c r="E5" i="12"/>
  <c r="C4" i="12"/>
  <c r="A3" i="12"/>
  <c r="E1" i="12"/>
  <c r="E35" i="12"/>
  <c r="C34" i="12"/>
  <c r="A33" i="12"/>
  <c r="E31" i="12"/>
  <c r="C30" i="12"/>
  <c r="A29" i="12"/>
  <c r="E27" i="12"/>
  <c r="C26" i="12"/>
  <c r="A25" i="12"/>
  <c r="E23" i="12"/>
  <c r="C22" i="12"/>
  <c r="A21" i="12"/>
  <c r="E19" i="12"/>
  <c r="C18" i="12"/>
  <c r="A17" i="12"/>
  <c r="E15" i="12"/>
  <c r="C14" i="12"/>
  <c r="A13" i="12"/>
  <c r="E11" i="12"/>
  <c r="C10" i="12"/>
  <c r="A9" i="12"/>
  <c r="E7" i="12"/>
  <c r="C6" i="12"/>
  <c r="A5" i="12"/>
  <c r="E3" i="12"/>
  <c r="C2" i="12"/>
  <c r="E36" i="12"/>
  <c r="F34" i="12"/>
  <c r="B33" i="12"/>
  <c r="C31" i="12"/>
  <c r="D29" i="12"/>
  <c r="F27" i="12"/>
  <c r="A26" i="12"/>
  <c r="B24" i="12"/>
  <c r="D22" i="12"/>
  <c r="E20" i="12"/>
  <c r="F18" i="12"/>
  <c r="B17" i="12"/>
  <c r="C15" i="12"/>
  <c r="D13" i="12"/>
  <c r="F11" i="12"/>
  <c r="A10" i="12"/>
  <c r="B8" i="12"/>
  <c r="D6" i="12"/>
  <c r="E4" i="12"/>
  <c r="F2" i="12"/>
  <c r="B1" i="12"/>
  <c r="F36" i="12"/>
  <c r="E34" i="12"/>
  <c r="E32" i="12"/>
  <c r="E30" i="12"/>
  <c r="E28" i="12"/>
  <c r="E26" i="12"/>
  <c r="E24" i="12"/>
  <c r="E22" i="12"/>
  <c r="D20" i="12"/>
  <c r="D18" i="12"/>
  <c r="D16" i="12"/>
  <c r="D14" i="12"/>
  <c r="D12" i="12"/>
  <c r="D10" i="12"/>
  <c r="D8" i="12"/>
  <c r="B6" i="12"/>
  <c r="B4" i="12"/>
  <c r="B2" i="12"/>
  <c r="D36" i="12"/>
  <c r="D34" i="12"/>
  <c r="D32" i="12"/>
  <c r="D30" i="12"/>
  <c r="D28" i="12"/>
  <c r="D26" i="12"/>
  <c r="D24" i="12"/>
  <c r="B22" i="12"/>
  <c r="B20" i="12"/>
  <c r="B18" i="12"/>
  <c r="B16" i="12"/>
  <c r="B14" i="12"/>
  <c r="B12" i="12"/>
  <c r="B10" i="12"/>
  <c r="A8" i="12"/>
  <c r="A6" i="12"/>
  <c r="A4" i="12"/>
  <c r="A2" i="12"/>
  <c r="B36" i="12"/>
  <c r="B34" i="12"/>
  <c r="B32" i="12"/>
  <c r="B30" i="12"/>
  <c r="B28" i="12"/>
  <c r="B26" i="12"/>
  <c r="A24" i="12"/>
  <c r="A22" i="12"/>
  <c r="A20" i="12"/>
  <c r="A18" i="12"/>
  <c r="A16" i="12"/>
  <c r="A14" i="12"/>
  <c r="A12" i="12"/>
  <c r="F9" i="12"/>
  <c r="F7" i="12"/>
  <c r="F5" i="12"/>
  <c r="F3" i="12"/>
  <c r="F1" i="12"/>
  <c r="A36" i="12"/>
  <c r="A34" i="12"/>
  <c r="A32" i="12"/>
  <c r="A30" i="12"/>
  <c r="A28" i="12"/>
  <c r="F25" i="12"/>
  <c r="F23" i="12"/>
  <c r="F21" i="12"/>
  <c r="F19" i="12"/>
  <c r="F17" i="12"/>
  <c r="F15" i="12"/>
  <c r="F13" i="12"/>
  <c r="D11" i="12"/>
  <c r="D9" i="12"/>
  <c r="D7" i="12"/>
  <c r="D5" i="12"/>
  <c r="D3" i="12"/>
  <c r="D1" i="12"/>
  <c r="F35" i="12"/>
  <c r="F33" i="12"/>
  <c r="F31" i="12"/>
  <c r="F29" i="12"/>
  <c r="D27" i="12"/>
  <c r="D25" i="12"/>
  <c r="D23" i="12"/>
  <c r="D21" i="12"/>
  <c r="D19" i="12"/>
  <c r="D17" i="12"/>
  <c r="D15" i="12"/>
  <c r="C13" i="12"/>
  <c r="C11" i="12"/>
  <c r="C9" i="12"/>
  <c r="C7" i="12"/>
  <c r="C5" i="12"/>
  <c r="C3" i="12"/>
  <c r="C1" i="12"/>
  <c r="D35" i="12"/>
  <c r="D33" i="12"/>
  <c r="D31" i="12"/>
  <c r="C29" i="12"/>
  <c r="C27" i="12"/>
  <c r="C25" i="12"/>
  <c r="C23" i="12"/>
  <c r="C21" i="12"/>
  <c r="C19" i="12"/>
  <c r="C17" i="12"/>
  <c r="B15" i="12"/>
  <c r="B13" i="12"/>
  <c r="B11" i="12"/>
  <c r="B9" i="12"/>
  <c r="B7" i="12"/>
  <c r="B5" i="12"/>
  <c r="B3" i="12"/>
  <c r="A1" i="12"/>
  <c r="C35" i="12"/>
  <c r="C33" i="12"/>
  <c r="B31" i="12"/>
  <c r="B29" i="12"/>
  <c r="B27" i="12"/>
  <c r="B25" i="12"/>
  <c r="B23" i="12"/>
  <c r="B21" i="12"/>
  <c r="B19" i="12"/>
  <c r="F16" i="12"/>
  <c r="F14" i="12"/>
  <c r="F12" i="12"/>
  <c r="F10" i="12"/>
  <c r="F8" i="12"/>
  <c r="F6" i="12"/>
  <c r="F4" i="12"/>
  <c r="E2" i="12"/>
  <c r="F20" i="12"/>
  <c r="D4" i="12"/>
  <c r="B35" i="12"/>
  <c r="E18" i="12"/>
  <c r="D2" i="12"/>
  <c r="F32" i="12"/>
  <c r="E16" i="12"/>
  <c r="F30" i="12"/>
  <c r="E14" i="12"/>
  <c r="F28" i="12"/>
  <c r="E12" i="12"/>
  <c r="F26" i="12"/>
  <c r="E10" i="12"/>
  <c r="F24" i="12"/>
  <c r="E8" i="12"/>
  <c r="F22" i="12"/>
  <c r="E6" i="12"/>
  <c r="Q7" i="8"/>
  <c r="P8" i="8" s="1"/>
  <c r="R7" i="8"/>
  <c r="E5" i="3"/>
  <c r="R6" i="8"/>
  <c r="T6" i="8"/>
  <c r="W6" i="8"/>
  <c r="X6" i="8" s="1"/>
  <c r="G23" i="12" l="1"/>
  <c r="G21" i="12"/>
  <c r="G27" i="12"/>
  <c r="G7" i="12"/>
  <c r="G3" i="12"/>
  <c r="G25" i="12"/>
  <c r="G2" i="12"/>
  <c r="T7" i="8"/>
  <c r="G4" i="12"/>
  <c r="G5" i="12"/>
  <c r="W7" i="8"/>
  <c r="X7" i="8" s="1"/>
  <c r="G29" i="12"/>
  <c r="G9" i="12"/>
  <c r="G30" i="12"/>
  <c r="G6" i="12"/>
  <c r="Q8" i="8"/>
  <c r="P9" i="8" s="1"/>
  <c r="W8" i="8"/>
  <c r="X8" i="8" s="1"/>
  <c r="T8" i="8"/>
  <c r="R8" i="8"/>
  <c r="G11" i="12"/>
  <c r="G32" i="12"/>
  <c r="G17" i="12"/>
  <c r="G13" i="12"/>
  <c r="G34" i="12"/>
  <c r="G33" i="12"/>
  <c r="G19" i="12"/>
  <c r="G15" i="12"/>
  <c r="E6" i="3"/>
  <c r="E8" i="3" s="1"/>
  <c r="E10" i="3" s="1"/>
  <c r="Q9" i="8" l="1"/>
  <c r="P10" i="8" s="1"/>
  <c r="R10" i="8" l="1"/>
  <c r="Q10" i="8"/>
  <c r="W10" i="8" s="1"/>
  <c r="X10" i="8" s="1"/>
  <c r="W9" i="8"/>
  <c r="X9" i="8" s="1"/>
  <c r="T9" i="8"/>
  <c r="R9" i="8"/>
  <c r="T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I2" authorId="0" shapeId="0" xr:uid="{00000000-0006-0000-0300-000001000000}">
      <text>
        <r>
          <rPr>
            <sz val="10"/>
            <color rgb="FF000000"/>
            <rFont val="Arial"/>
          </rPr>
          <t>The list repeats if something is misspelled, or has an extra space, etc.
	-David Manheim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V4" authorId="0" shapeId="0" xr:uid="{00000000-0006-0000-0600-000002000000}">
      <text>
        <r>
          <rPr>
            <sz val="10"/>
            <color rgb="FF000000"/>
            <rFont val="Arial"/>
          </rPr>
          <t>Specifically, these are studies that don't define AEs that also do not mention SAEs
	-Jupiter Adams-Phipps</t>
        </r>
      </text>
    </comment>
    <comment ref="W4" authorId="0" shapeId="0" xr:uid="{00000000-0006-0000-0600-000001000000}">
      <text>
        <r>
          <rPr>
            <sz val="10"/>
            <color rgb="FF000000"/>
            <rFont val="Arial"/>
          </rPr>
          <t>These are studies that DO define AEs, but don't report AE data
	-Jupiter Adams-Phipps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<sst xmlns="http://schemas.openxmlformats.org/spreadsheetml/2006/main" count="61924" uniqueCount="19505">
  <si>
    <t>Sheet Links</t>
  </si>
  <si>
    <t>Summary of Contents</t>
  </si>
  <si>
    <t>Study Category Filter</t>
  </si>
  <si>
    <t>TAB 1</t>
  </si>
  <si>
    <t>Supplementary Tables, Table 1</t>
  </si>
  <si>
    <t>Exclusions</t>
  </si>
  <si>
    <t>Excluded</t>
  </si>
  <si>
    <t>TAB 2</t>
  </si>
  <si>
    <t>Table 2</t>
  </si>
  <si>
    <t>Challenge</t>
  </si>
  <si>
    <t>Graphic 1</t>
  </si>
  <si>
    <t>Figure 1</t>
  </si>
  <si>
    <t>Prechallenge</t>
  </si>
  <si>
    <t>Graphic 2</t>
  </si>
  <si>
    <t>Figure 2</t>
  </si>
  <si>
    <t>Rechallenge</t>
  </si>
  <si>
    <t>Table 3c</t>
  </si>
  <si>
    <t>Participant statistics by decade</t>
  </si>
  <si>
    <t>Attenuated</t>
  </si>
  <si>
    <t>Table 3c (AE)</t>
  </si>
  <si>
    <t>AEs/SAEs by decade, excluding studies that don't report AEs/SAEs</t>
  </si>
  <si>
    <t>Vaccine</t>
  </si>
  <si>
    <t>TAB 3</t>
  </si>
  <si>
    <t>Draft Table 2a-e</t>
  </si>
  <si>
    <t>NAE</t>
  </si>
  <si>
    <t>NSAE</t>
  </si>
  <si>
    <t>Systematic Review Data</t>
  </si>
  <si>
    <t>Included</t>
  </si>
  <si>
    <t>All data from studies included in the full text review</t>
  </si>
  <si>
    <t>Review</t>
  </si>
  <si>
    <t>Full-text Review</t>
  </si>
  <si>
    <t>Worksheet with reviewer, whether study is included/excluded, reasons for exclusion, and notes on the study</t>
  </si>
  <si>
    <t>Reasons for Exclusion</t>
  </si>
  <si>
    <t>Reasons for Exclusion - Full-text Review</t>
  </si>
  <si>
    <t>Reasons for excluding studies that were identified during the full-text review process</t>
  </si>
  <si>
    <t>Reasons for Exclusion - Screening</t>
  </si>
  <si>
    <t>Reasons for excluding studies that were identified during the screening process</t>
  </si>
  <si>
    <t>Screening Results</t>
  </si>
  <si>
    <t>Screening - 10.7.21 Results</t>
  </si>
  <si>
    <t>Screening 118 results that weren't captured in original 4.14.21 screening</t>
  </si>
  <si>
    <t>Screening - 7.1.21 Results</t>
  </si>
  <si>
    <t>Screening - 4.20.21 Results</t>
  </si>
  <si>
    <t>Screening - 4.14.21 Results</t>
  </si>
  <si>
    <t>PubMed Search Results</t>
  </si>
  <si>
    <t>PubMed - 10.7.21 Results</t>
  </si>
  <si>
    <t>PubMed - 7.1.21 Results</t>
  </si>
  <si>
    <t>PMC 4.20.21 Results</t>
  </si>
  <si>
    <t>Miscellaneous</t>
  </si>
  <si>
    <t>Additional Studies</t>
  </si>
  <si>
    <t>Additional studies not identified through searches, and therefore not included in the review</t>
  </si>
  <si>
    <t>Data Validation and Code to Generate Tables</t>
  </si>
  <si>
    <t>CatTag</t>
  </si>
  <si>
    <t>Study category possible combinations</t>
  </si>
  <si>
    <t>Scratchpad for Graphs</t>
  </si>
  <si>
    <t>Reasons for Exclusion during Full Text Review (By Method of Identification)</t>
  </si>
  <si>
    <t>Reasons for exclusion during screening</t>
  </si>
  <si>
    <t>Number excluded, n</t>
  </si>
  <si>
    <t>Reasons for exclusion (search results)</t>
  </si>
  <si>
    <t>Not challenge trials</t>
  </si>
  <si>
    <t>Insufficient data</t>
  </si>
  <si>
    <t>Review, guidelines, editorials, or comments</t>
  </si>
  <si>
    <t>Animal studies</t>
  </si>
  <si>
    <t>Uses previously published data</t>
  </si>
  <si>
    <t>Not in English</t>
  </si>
  <si>
    <t>Duplicates</t>
  </si>
  <si>
    <t>Case report</t>
  </si>
  <si>
    <t>Case reports</t>
  </si>
  <si>
    <t>Duplicate</t>
  </si>
  <si>
    <t>Pre-1980s</t>
  </si>
  <si>
    <t>Total:</t>
  </si>
  <si>
    <t>Describes protocol for future study</t>
  </si>
  <si>
    <t>Reasons for exclusion during full text review</t>
  </si>
  <si>
    <t>Unable to locate/access (no full text available)</t>
  </si>
  <si>
    <t>Reviews</t>
  </si>
  <si>
    <t>Unpublished data</t>
  </si>
  <si>
    <t>Reasons for exclusion (reference checking)</t>
  </si>
  <si>
    <t>Unable to locate or access (full text not available)</t>
  </si>
  <si>
    <t>Describes protocol for a future study</t>
  </si>
  <si>
    <t>Reasons for exclusion (Zeb's Book)</t>
  </si>
  <si>
    <t>Reasons for exclusion (Meta's Review)</t>
  </si>
  <si>
    <t>Reasons for exclusion (Other Reports)</t>
  </si>
  <si>
    <t>TABLE 1 - Reasons for Exclusion</t>
  </si>
  <si>
    <t>PRISMA flowchart</t>
  </si>
  <si>
    <t>Reasons for exclusion based on title and abstract</t>
  </si>
  <si>
    <t>Number excluded</t>
  </si>
  <si>
    <t>total n results:</t>
  </si>
  <si>
    <t>n duplicates:</t>
  </si>
  <si>
    <t>Animal challenge model</t>
  </si>
  <si>
    <t>n unique results:</t>
  </si>
  <si>
    <t>Challenge model with no adverse event data</t>
  </si>
  <si>
    <t>n excluded during screening:</t>
  </si>
  <si>
    <t>Non-challenge model study</t>
  </si>
  <si>
    <t>n eligble for full-text review:</t>
  </si>
  <si>
    <t>Not in english</t>
  </si>
  <si>
    <t>n excluded during full-text review:</t>
  </si>
  <si>
    <t>n included:</t>
  </si>
  <si>
    <t>n without good AE data</t>
  </si>
  <si>
    <t>Reasons for exclusion after full-text review</t>
  </si>
  <si>
    <t>n included for AE totals</t>
  </si>
  <si>
    <t>Study met inclusion criteria but did not have enough data to determine frequency or severity of AE's</t>
  </si>
  <si>
    <t>&lt;- Note - These are excluded only for counting SAEs, and should be included in counts of studies</t>
  </si>
  <si>
    <t>Challenge trial did not expose human subjects to virulent pathogen</t>
  </si>
  <si>
    <t>Study reports results using samples obtained from a challenge study</t>
  </si>
  <si>
    <t>TABLE 2 - Serious Adverse Events by Pathogen</t>
  </si>
  <si>
    <t>Year Minimum</t>
  </si>
  <si>
    <t>Pathogen</t>
  </si>
  <si>
    <t xml:space="preserve">Number of sudies </t>
  </si>
  <si>
    <t>Number challenged across all studies</t>
  </si>
  <si>
    <t>Number diagnosed with infection across all studies</t>
  </si>
  <si>
    <t>Number with serious or severe adverse events across all studies
(if serious AE not defined)</t>
  </si>
  <si>
    <t>Add: # with AEs/SAEs not reported</t>
  </si>
  <si>
    <t>Year Maximum</t>
  </si>
  <si>
    <t>Total</t>
  </si>
  <si>
    <t>Pathogen category</t>
  </si>
  <si>
    <t>Studies, n</t>
  </si>
  <si>
    <t>Participants challenged across all studies, n</t>
  </si>
  <si>
    <t>Challenged participants diagnosed with infection across all studies, n (%)</t>
  </si>
  <si>
    <t>Studies that reported SAEs, n</t>
  </si>
  <si>
    <t>Participants challenged across studies that reported SAEs, n</t>
  </si>
  <si>
    <t>Challenged participants with SAEs across studies that reported SAEs, n (%)</t>
  </si>
  <si>
    <t>Start Year</t>
  </si>
  <si>
    <t>End Year</t>
  </si>
  <si>
    <t>2020 and later</t>
  </si>
  <si>
    <t>Sum</t>
  </si>
  <si>
    <r>
      <rPr>
        <b/>
        <sz val="10"/>
        <color theme="1"/>
        <rFont val="Arial"/>
      </rPr>
      <t xml:space="preserve">TABLE 3 - </t>
    </r>
    <r>
      <rPr>
        <sz val="10"/>
        <color theme="1"/>
        <rFont val="Arial"/>
      </rPr>
      <t>Serious Adverse Events over Time</t>
    </r>
  </si>
  <si>
    <t>We only have two studies published before 2010, so we'll have to find some older studies before we make this table</t>
  </si>
  <si>
    <t>Potential terms to add to alogrithm to catch older studies:</t>
  </si>
  <si>
    <t>Autogenerated Table</t>
  </si>
  <si>
    <t>Language used to indicate that study was challenge trial</t>
  </si>
  <si>
    <t>Study</t>
  </si>
  <si>
    <t>Decade</t>
  </si>
  <si>
    <t>Number of non-challenged participants across all studies</t>
  </si>
  <si>
    <t>Number diagnosed with infection across all studies (among challenged participants)</t>
  </si>
  <si>
    <t>Number diagnosed with infection across all studies (among non-challenged participants)</t>
  </si>
  <si>
    <t>Number with adverse events across all studies (challenged participants)</t>
  </si>
  <si>
    <t>Number with adverse events across all studies (non-challenged participants)</t>
  </si>
  <si>
    <t>Number with severe or very severe (grade 3 or higher) adverse events across all studies</t>
  </si>
  <si>
    <t>Number with serious adverse events across all studies</t>
  </si>
  <si>
    <t>Number of studies that don't define adverse events</t>
  </si>
  <si>
    <t>Number of studies that don't mention SAEs (manually applied definition)</t>
  </si>
  <si>
    <t>Number of studies with no SAE data</t>
  </si>
  <si>
    <t>Number of studies with unclear SAE data</t>
  </si>
  <si>
    <t>Number of studies with no AE data</t>
  </si>
  <si>
    <t>Number of studies with unclear AE data</t>
  </si>
  <si>
    <t>1980s or ealier -</t>
  </si>
  <si>
    <t>"live virus vaccinees"</t>
  </si>
  <si>
    <t>Clemens 1984 (challenge study)</t>
  </si>
  <si>
    <t>1980s</t>
  </si>
  <si>
    <t>"Experimental Parvoviral Infection in Humans"</t>
  </si>
  <si>
    <t>Anderson 1985 (challenge study)</t>
  </si>
  <si>
    <t>1990s</t>
  </si>
  <si>
    <t>"Challenge of aerogenic vaccines with virulent F. Tularensis"</t>
  </si>
  <si>
    <t>Hornick 1966 (challenge study)</t>
  </si>
  <si>
    <t>2000s</t>
  </si>
  <si>
    <t>1990s -</t>
  </si>
  <si>
    <t>experimentally inoculated volunteer</t>
  </si>
  <si>
    <t>Gottstein 1991 (study that incorporated a challenge element</t>
  </si>
  <si>
    <t>2010s</t>
  </si>
  <si>
    <t>volunteer inoculation</t>
  </si>
  <si>
    <t>Nash 1990 (challenge study)</t>
  </si>
  <si>
    <t>2020s</t>
  </si>
  <si>
    <t>"Homotypic Challenge"</t>
  </si>
  <si>
    <t>Keitel 1990 (challenge study)</t>
  </si>
  <si>
    <t>"Infection of Volunteers"</t>
  </si>
  <si>
    <t>Graham 1994 (challenge study)</t>
  </si>
  <si>
    <t>Total (1980s - present)</t>
  </si>
  <si>
    <t>"volunteer challenge model"</t>
  </si>
  <si>
    <t>Kotloff 1995 (challenge study)</t>
  </si>
  <si>
    <t>2000s -</t>
  </si>
  <si>
    <t>"Evaluation of Campylobacter Vaccines in Human Subjects"</t>
  </si>
  <si>
    <t>Tribble 2009 (challenge study)</t>
  </si>
  <si>
    <t>Alternatively, grouped;</t>
  </si>
  <si>
    <t>"EXPERIMENTAL CHALLENGE OF HEALTHY ADULTS"</t>
  </si>
  <si>
    <t>Chappell 2006 (challenge study)</t>
  </si>
  <si>
    <t>Number with adverse events across all studies</t>
  </si>
  <si>
    <t>Number of studies that don't mention SAEs (treated as 0)</t>
  </si>
  <si>
    <t>"Experimental Gonococcal Urethritis"</t>
  </si>
  <si>
    <t>Schmidt 2001 (challenge study)</t>
  </si>
  <si>
    <t>"Challenge model"</t>
  </si>
  <si>
    <t>Graham 2004 (challenge study)</t>
  </si>
  <si>
    <t>1990s &amp; 2000s</t>
  </si>
  <si>
    <t>"human challenge model"</t>
  </si>
  <si>
    <t>Lindesmith 2003 (challenge study)</t>
  </si>
  <si>
    <t>2010s and 2020s</t>
  </si>
  <si>
    <t>"clinical challenge"</t>
  </si>
  <si>
    <t>Hutson 2002 (challenge study)</t>
  </si>
  <si>
    <t>"experimental infection"</t>
  </si>
  <si>
    <t>Parry 2000 (challenge study)</t>
  </si>
  <si>
    <t>"Virus Challenge"</t>
  </si>
  <si>
    <t>Lindesmith 2005 (challenge study)</t>
  </si>
  <si>
    <t>Graph of Number of Studies versus number of AEs per year</t>
  </si>
  <si>
    <t>Year</t>
  </si>
  <si>
    <t>Number of Studies</t>
  </si>
  <si>
    <t>Number of AEs</t>
  </si>
  <si>
    <t>Registered</t>
  </si>
  <si>
    <t>Unregistered</t>
  </si>
  <si>
    <t>Begin</t>
  </si>
  <si>
    <t>End</t>
  </si>
  <si>
    <t>Era</t>
  </si>
  <si>
    <t>Total Participants</t>
  </si>
  <si>
    <t>Average Participation</t>
  </si>
  <si>
    <r>
      <rPr>
        <b/>
        <sz val="10"/>
        <color theme="1"/>
        <rFont val="Arial"/>
      </rPr>
      <t xml:space="preserve">TABLE 3 - </t>
    </r>
    <r>
      <rPr>
        <sz val="10"/>
        <color theme="1"/>
        <rFont val="Arial"/>
      </rPr>
      <t>Adverse Events over Time</t>
    </r>
  </si>
  <si>
    <t>Number of studies, n</t>
  </si>
  <si>
    <t>Number of challenged participants, n</t>
  </si>
  <si>
    <t>Number of non-challenged participants, n</t>
  </si>
  <si>
    <t>Number of challenged participants diagnosed with infection, n</t>
  </si>
  <si>
    <t>Number of challenged participants diagnosed with infection (minimum), n</t>
  </si>
  <si>
    <t>Number of challenged participants diagnosed with infection (maximum), n</t>
  </si>
  <si>
    <t>Number of non-challenged participants diagnosed with infection, n</t>
  </si>
  <si>
    <t>Number of challenged participants with AEs, n (%)</t>
  </si>
  <si>
    <t>Number of challenged participants with AEs (Minimum), n (%)</t>
  </si>
  <si>
    <t>Number of challenged participants with AEs (Maximum), n (%)</t>
  </si>
  <si>
    <t>Number of non-challenged participants with AEs, n (%)</t>
  </si>
  <si>
    <t>Number of participants with severe or very severe (&gt;=grade 3) AEs, n (%)</t>
  </si>
  <si>
    <t>Number of challenged participants with severe  or very severe (&gt;=grade 3) AEs (Minimum), n (%)</t>
  </si>
  <si>
    <t>Number of challenged participants with severe or very severe (&gt;=grade 3) AEs (Maximum), n (%)</t>
  </si>
  <si>
    <t>Number of participants with SAEs, n (%)</t>
  </si>
  <si>
    <t>Number of studies that don't define AEs, n (%)</t>
  </si>
  <si>
    <t>Number of studies that don't mention SAEs (manually applied definition), n (%)</t>
  </si>
  <si>
    <t>Number of studies with no SAE data, n (%)</t>
  </si>
  <si>
    <t>Number of studies with unclear SAE data, n</t>
  </si>
  <si>
    <t>Number of studies with no AE data, n (%)</t>
  </si>
  <si>
    <t>Number of studies with unclear AE data, n</t>
  </si>
  <si>
    <t>Number of studies registered in a database, n</t>
  </si>
  <si>
    <t>Number of studies not registered in a database, n</t>
  </si>
  <si>
    <t>Number of studies not reporting risk mitigation measures, n</t>
  </si>
  <si>
    <t xml:space="preserve">Number of studies </t>
  </si>
  <si>
    <t>Number of studies registered in a database, N</t>
  </si>
  <si>
    <t>Number of studies not registered in a database, N</t>
  </si>
  <si>
    <r>
      <rPr>
        <b/>
        <sz val="10"/>
        <color theme="1"/>
        <rFont val="Arial"/>
      </rPr>
      <t xml:space="preserve">TABLE 3 - </t>
    </r>
    <r>
      <rPr>
        <sz val="10"/>
        <color theme="1"/>
        <rFont val="Arial"/>
      </rPr>
      <t>Serious Adverse Events over Time</t>
    </r>
  </si>
  <si>
    <t>Category Tags</t>
  </si>
  <si>
    <t>True/False</t>
  </si>
  <si>
    <r>
      <rPr>
        <b/>
        <sz val="10"/>
        <color theme="1"/>
        <rFont val="Arial"/>
      </rPr>
      <t xml:space="preserve">TABLE 3 AE - </t>
    </r>
    <r>
      <rPr>
        <sz val="10"/>
        <color theme="1"/>
        <rFont val="Arial"/>
      </rPr>
      <t>Adverse Events over Time</t>
    </r>
  </si>
  <si>
    <t>(Studies reporting AEs)</t>
  </si>
  <si>
    <t>Number of challenged participants diagnosed with infection (Minimum), n</t>
  </si>
  <si>
    <t>Number of challenged participants diagnosed with infection (Maximum), n</t>
  </si>
  <si>
    <r>
      <rPr>
        <b/>
        <sz val="10"/>
        <color theme="1"/>
        <rFont val="Arial"/>
      </rPr>
      <t xml:space="preserve">TABLE 3 SAE - </t>
    </r>
    <r>
      <rPr>
        <sz val="10"/>
        <color theme="1"/>
        <rFont val="Arial"/>
      </rPr>
      <t>SAEs over Time</t>
    </r>
  </si>
  <si>
    <t>(Studies reporting SAEs)</t>
  </si>
  <si>
    <r>
      <rPr>
        <b/>
        <sz val="10"/>
        <color theme="1"/>
        <rFont val="Arial"/>
      </rPr>
      <t>TABLE 3 Severe AEs</t>
    </r>
    <r>
      <rPr>
        <sz val="10"/>
        <color theme="1"/>
        <rFont val="Arial"/>
      </rPr>
      <t xml:space="preserve"> - Severes AEs over Time</t>
    </r>
  </si>
  <si>
    <t>(Studies reporting severe AEs)</t>
  </si>
  <si>
    <t>All</t>
  </si>
  <si>
    <t>Number of participants</t>
  </si>
  <si>
    <t>Adverse events</t>
  </si>
  <si>
    <t>Severe adverse events</t>
  </si>
  <si>
    <t>Serious adverse events</t>
  </si>
  <si>
    <t>Data reporting</t>
  </si>
  <si>
    <t>Database registration</t>
  </si>
  <si>
    <t>First Author</t>
  </si>
  <si>
    <t>Publication
Date</t>
  </si>
  <si>
    <t>Pathogen details</t>
  </si>
  <si>
    <t>PMCID/
PMID</t>
  </si>
  <si>
    <t>URL</t>
  </si>
  <si>
    <t>File name</t>
  </si>
  <si>
    <t>Year of study
completion</t>
  </si>
  <si>
    <t>Clinical trial
number</t>
  </si>
  <si>
    <r>
      <rPr>
        <b/>
        <u/>
        <sz val="10"/>
        <color rgb="FF1155CC"/>
        <rFont val="Arial"/>
      </rPr>
      <t xml:space="preserve">clinicaltrials.gov
</t>
    </r>
    <r>
      <rPr>
        <b/>
        <sz val="10"/>
        <rFont val="Arial"/>
      </rPr>
      <t>URL</t>
    </r>
  </si>
  <si>
    <t>Cohort
Size</t>
  </si>
  <si>
    <t>Notes</t>
  </si>
  <si>
    <t xml:space="preserve"># M </t>
  </si>
  <si>
    <t># F</t>
  </si>
  <si>
    <t>Median age</t>
  </si>
  <si>
    <t>Age range
(min)</t>
  </si>
  <si>
    <t>Age range
(max)</t>
  </si>
  <si>
    <t>Inclusion
age range
(min)</t>
  </si>
  <si>
    <t>Inclusion
age range
(max)</t>
  </si>
  <si>
    <t>Mean age</t>
  </si>
  <si>
    <t>Age standard
deviation</t>
  </si>
  <si>
    <t>Definition
of infection</t>
  </si>
  <si>
    <t># participants
challenge group</t>
  </si>
  <si>
    <t># in challenge group
with pathogen
(met definition of infection)</t>
  </si>
  <si>
    <t># participants
control group</t>
  </si>
  <si>
    <t># in control group
with pathogen</t>
  </si>
  <si>
    <t>Definition of adverse events</t>
  </si>
  <si>
    <t># challenge group
with any adverse events
(solicited or unsolicited)</t>
  </si>
  <si>
    <t>Study grades
adverse events?</t>
  </si>
  <si>
    <t># with &gt;=1
serious adverse event</t>
  </si>
  <si>
    <t># with &gt;=1
severe adverse event
(grade 3 or higher,
depending on study definition)</t>
  </si>
  <si>
    <t># control group
with adverse events</t>
  </si>
  <si>
    <t>Drug or
vaccine given</t>
  </si>
  <si>
    <t>Risk
Mitigations</t>
  </si>
  <si>
    <t>Ethics/
Approvals/
Compensation</t>
  </si>
  <si>
    <t>Study Design</t>
  </si>
  <si>
    <t>Method of
Identification</t>
  </si>
  <si>
    <t>StudyLocalCopy</t>
  </si>
  <si>
    <t>FileName</t>
  </si>
  <si>
    <t>Category Tag</t>
  </si>
  <si>
    <t>Included2</t>
  </si>
  <si>
    <t>Unclear # in
challenge group
infected
(min)</t>
  </si>
  <si>
    <t>Unclear # in
challenge group
infected
(max)</t>
  </si>
  <si>
    <t>Unclear AEs
(min)</t>
  </si>
  <si>
    <t>Unclear AEs
(max)</t>
  </si>
  <si>
    <t>Unclear
Severe AEs
(min)</t>
  </si>
  <si>
    <t>Unclear
Severe AEs
(max)</t>
  </si>
  <si>
    <t>AEs
Observed</t>
  </si>
  <si>
    <t>SAEs
Observed</t>
  </si>
  <si>
    <t>Severe AEs
Observed</t>
  </si>
  <si>
    <t>Chen WH</t>
  </si>
  <si>
    <t>Vibrio cholerae</t>
  </si>
  <si>
    <t>PXVX0200 vaccine (based on live attenuated Vibrio cholerae O1 classical Inaba vaccine strain CVD 103-HgR)</t>
  </si>
  <si>
    <t>NCT01895855</t>
  </si>
  <si>
    <t>https://clinicaltrials.gov/ct2/show/NCT01895855?term=NCT01895855&amp;draw=2&amp;rank=1</t>
  </si>
  <si>
    <t>Vaccination phase</t>
  </si>
  <si>
    <t>Mean given for each of 6 groups, but not overall</t>
  </si>
  <si>
    <t>SD given for each of 6 groups, but not overall</t>
  </si>
  <si>
    <t>"Serum specimens were tested for classical Inaba vibriocidal antibody [12, 13], with seroconversion defined as ≥4-fold rise in titer over baseline."</t>
  </si>
  <si>
    <t>Received vaccine</t>
  </si>
  <si>
    <t>Received placebo</t>
  </si>
  <si>
    <t>"Following vaccination, daily oral temperatures and solicited adverse events (AEs) were recorded over 7 days, including diarrhea, abdominal pain, nausea/vomiting, anorexia, headache, and tiredness. The occurrence of unsolicited AEs was recorded through 28 days after vaccination or challenge, whichever was later, and serious AEs through day 180."</t>
  </si>
  <si>
    <t>Yes</t>
  </si>
  <si>
    <t>Unclear</t>
  </si>
  <si>
    <t>"All serious AEs were self-limited and resolved within several days, and none were deemed to be vaccine-related."</t>
  </si>
  <si>
    <t>PXVX0200 vaccine</t>
  </si>
  <si>
    <t>"healthy adults 18–45 years of age screened for eligibility"</t>
  </si>
  <si>
    <r>
      <t>"This study was approved by institutional review boards at the 3 centers (Baltimore, Maryland; Cincinnati, Ohio; and Burlington, Vermont). Written informed consent was obtained from healthy adults 18–45 years of age screened for eligibility (shown in</t>
    </r>
    <r>
      <rPr>
        <u/>
        <sz val="10"/>
        <color rgb="FF1155CC"/>
        <rFont val="Arial"/>
      </rPr>
      <t>http://clinicaltrials.gov/show/NCT01895855).</t>
    </r>
    <r>
      <rPr>
        <sz val="10"/>
        <color rgb="FF000000"/>
        <rFont val="Arial"/>
      </rPr>
      <t>."</t>
    </r>
  </si>
  <si>
    <t>randomized, placebo-controlled, double-blind</t>
  </si>
  <si>
    <t>4.14.21 Search</t>
  </si>
  <si>
    <t>No</t>
  </si>
  <si>
    <t>Chen 2016</t>
  </si>
  <si>
    <t>Prechallenge, Excluded</t>
  </si>
  <si>
    <t>V. cholerae O1 El Tor Inaba strain N16961</t>
  </si>
  <si>
    <t>Challenge phase (10 days after vaccination)</t>
  </si>
  <si>
    <t>"For evaluating reactogenicity following vaccination, diarrhea was defined as ≥4 loose stools within a 24-hour period; following challenge, diarrhea, as an efficacy endpoint, was defined as the passage of ≥2 loose stools (grade 3–5) over a 48-hour period ≥200 mL or a single loose stool ≥300 mL. Moderate or severe diarrhea was defined as the passage of at least 3.0 L or 5.0 L of loose stool, respectively." and "Following challenge, volunteers were closely monitored for illness and every stool was graded: grade 1, firm; grade 2, soft; grade 3, thick liquid; grade 4, opaque watery; and grade 5, rice water."</t>
  </si>
  <si>
    <t>N/A</t>
  </si>
  <si>
    <t>No AEs reported for challenge phase</t>
  </si>
  <si>
    <t>ND</t>
  </si>
  <si>
    <r>
      <t>"This study was approved by institutional review boards at the 3 centers (Baltimore, Maryland; Cincinnati, Ohio; and Burlington, Vermont). Written informed consent was obtained from healthy adults 18–45 years of age screened for eligibility (shown in</t>
    </r>
    <r>
      <rPr>
        <u/>
        <sz val="10"/>
        <color rgb="FF1155CC"/>
        <rFont val="Arial"/>
      </rPr>
      <t>http://clinicaltrials.gov/show/NCT01895855).</t>
    </r>
    <r>
      <rPr>
        <sz val="10"/>
        <color rgb="FF000000"/>
        <rFont val="Arial"/>
      </rPr>
      <t>."</t>
    </r>
  </si>
  <si>
    <t>Challenge, Excluded</t>
  </si>
  <si>
    <t>Challenge phase (3 months after vaccination)</t>
  </si>
  <si>
    <r>
      <t>"This study was approved by institutional review boards at the 3 centers (Baltimore, Maryland; Cincinnati, Ohio; and Burlington, Vermont). Written informed consent was obtained from healthy adults 18–45 years of age screened for eligibility (shown in</t>
    </r>
    <r>
      <rPr>
        <u/>
        <sz val="10"/>
        <color rgb="FF1155CC"/>
        <rFont val="Arial"/>
      </rPr>
      <t>http://clinicaltrials.gov/show/NCT01895855).</t>
    </r>
    <r>
      <rPr>
        <sz val="10"/>
        <color rgb="FF000000"/>
        <rFont val="Arial"/>
      </rPr>
      <t>."</t>
    </r>
  </si>
  <si>
    <t>Challenge phase (subjects who weren't vaccinated)</t>
  </si>
  <si>
    <t>Mean given for each of 2 groups (31.6 and 30.3), but not overall</t>
  </si>
  <si>
    <t>SD given for each of 2 groups, but not overall</t>
  </si>
  <si>
    <t>None given</t>
  </si>
  <si>
    <r>
      <t>"This study was approved by institutional review boards at the 3 centers (Baltimore, Maryland; Cincinnati, Ohio; and Burlington, Vermont). Written informed consent was obtained from healthy adults 18–45 years of age screened for eligibility (shown in</t>
    </r>
    <r>
      <rPr>
        <u/>
        <sz val="10"/>
        <color rgb="FF1155CC"/>
        <rFont val="Arial"/>
      </rPr>
      <t>http://clinicaltrials.gov/show/NCT01895855).</t>
    </r>
    <r>
      <rPr>
        <sz val="10"/>
        <color rgb="FF000000"/>
        <rFont val="Arial"/>
      </rPr>
      <t>."</t>
    </r>
  </si>
  <si>
    <t>Sum of all challenge data</t>
  </si>
  <si>
    <t>No AE data reported for challenge phase</t>
  </si>
  <si>
    <r>
      <t>"This study was approved by institutional review boards at the 3 centers (Baltimore, Maryland; Cincinnati, Ohio; and Burlington, Vermont). Written informed consent was obtained from healthy adults 18–45 years of age screened for eligibility (shown in</t>
    </r>
    <r>
      <rPr>
        <u/>
        <sz val="10"/>
        <color rgb="FF1155CC"/>
        <rFont val="Arial"/>
      </rPr>
      <t>http://clinicaltrials.gov/show/NCT01895855).</t>
    </r>
    <r>
      <rPr>
        <sz val="10"/>
        <color rgb="FF000000"/>
        <rFont val="Arial"/>
      </rPr>
      <t>."</t>
    </r>
  </si>
  <si>
    <t>Challenge, Summed</t>
  </si>
  <si>
    <t>Chuang I</t>
  </si>
  <si>
    <t>Plasmodium spp.</t>
  </si>
  <si>
    <t>DNA plasmids (DNA) and non-replicating human serotype 5 adenovirus vectors (Ad)</t>
  </si>
  <si>
    <t>NCT00870987</t>
  </si>
  <si>
    <t>https://clinicaltrials.gov/ct2/show/NCT00870987?term=NCT00870987&amp;draw=2&amp;rank=1</t>
  </si>
  <si>
    <t>Immunization phase</t>
  </si>
  <si>
    <t>"Adverse events (AEs) were recorded after each immunization to evaluate safety, tolerability and reactogenicity. Solicited AEs were recorded on days 0, 1, 2 and 7, unsolicited AEs on days 0, 1, 2, 7, 14 and 28 and laboratory tests (complete blood count, aspartate aminotransferase (AST), alanine aminotransferase (ALT), creatinine and total bilirubin) on days 0, 2, 7 and 28 following each immunization. Monitoring for serious AEs (SAEs) was performed until the week 40 termination of the study."</t>
  </si>
  <si>
    <t>Unclear (&gt;=1)</t>
  </si>
  <si>
    <t>"one serious and unexpected AE was reported six days after the third DNA immunization, a saphenous venous thrombosis leading to pulmonary embolism."</t>
  </si>
  <si>
    <t>"The vaccine regimen was three monthly doses of two DNA plasmids (DNA) followed four months later by a single boost with two non-replicating human serotype 5 adenovirus vectors (Ad)."</t>
  </si>
  <si>
    <t>"Enrollment was limited to healthy adults age 18–50 years who passed screening by medical history, physical examination, electrocardiogram and laboratory testing (criteria in the supplement). Cardiac risk screening was conducted to identify and exclude individuals at moderate or high risk of developing symptomatic coronary artery disease during the next 5 years, based on gender, blood pressure, body mass index, smoking history and presence or absence of diabetes [29]. This was done to avoid the physiologic stress of malaria infection in individuals with occult coronary artery disease. Pre-existing anti-adenovirus serotype 5 neutralizing antibodies [30] (NAb) (90% neutralization titer) were measured during screening and also prior to Ad immunization to assess potential effects on vaccine potency."</t>
  </si>
  <si>
    <t>"The study protocol for the clinical trial was approved by the Institutional Review Boards at the Walter Reed Army Institute of Research (WRAIR) and the Naval Medical Research Center (NMRC). The study was conducted at the WRAIR Clinical Trials Center in accordance with: the principles described in the Nuremberg Code and the Belmont Report; all federal regulations regarding the protection of human participants as described in 32 CFR 219 (The Common Rule) and instructions from the Department of Defense, the Department of the Army, the Department of the Navy and the Bureau of Medicine and Surgery of the United States Navy; and the internal policies for human subject protections and the standards for the responsible conduct of research of the US Army Medical Research and Materiel Command (USAMRMC) and the Naval Medical Research Center (NMRC). WRAIR holds a Federal Wide Assurance from the Office of Human Research Protections (OHRP) under the Department of Health and Human Services as does NMRC. NMRC also holds a Department of Defense/Department of the Navy Federal Wide Assurance for human subject protections. All key personnel were certified as having completed mandatory human research ethics education curricula and training under the direction of the WRAIR IRB or the NMRC Office of Research Administration (ORA) and Human Subjects Protections Program (HSPP). All potential study subjects provided written, informed consent before screening and enrollment and had to pass an assessment of understanding."</t>
  </si>
  <si>
    <t>open-label, Phase 1 trial, with controlled human malaria infection (CHMI)</t>
  </si>
  <si>
    <t>Chuang 2013</t>
  </si>
  <si>
    <t>P. falciparum (strain 3D7)</t>
  </si>
  <si>
    <t>Challenge phase</t>
  </si>
  <si>
    <t>"parasitemia detected by qPCR" and/or "by blood smear"</t>
  </si>
  <si>
    <t>15 volunteers previously immunized</t>
  </si>
  <si>
    <t>11/15 volunteers previously immunized became infected</t>
  </si>
  <si>
    <t>Describes one SAE prior to challenge in detail; I think it's unlikely that additional SAEs occurred that were not described</t>
  </si>
  <si>
    <t>DeVincenzo JP</t>
  </si>
  <si>
    <t>Respiratory syncytial virus</t>
  </si>
  <si>
    <t>RSV-A Memphis 37b</t>
  </si>
  <si>
    <t>NCT01756482</t>
  </si>
  <si>
    <t>https://clinicaltrials.gov/ct2/show/NCT01756482?term=NCT01756482&amp;draw=2&amp;rank=1</t>
  </si>
  <si>
    <t>Demographic data only provided for 140 randomized to treatment</t>
  </si>
  <si>
    <t>Mean given for each of two groups, but not overall</t>
  </si>
  <si>
    <t>SD given for each of two groups, but not overall</t>
  </si>
  <si>
    <t>"Starting on day 2 (approximately 36 to 48 hours after inoculation), nasal-wash samples were tested twice daily for the presence of RSV with the use of a qualitative reverse-transcriptase–polymerase-chain-reaction (RT-PCR) assay (Simplexa Flu A/B &amp; RSV Assay,23 Focus Diagnostics) and the 3M Integrated Cycler (Focus Diagnostics)."</t>
  </si>
  <si>
    <t>87 participants treated with GS-5806 after challenge
53 participants treated with placebo after challenge
3 excluded for influenza infection after challenge</t>
  </si>
  <si>
    <t>Reports number positive within 5 days of inoculation</t>
  </si>
  <si>
    <t>"Adverse events were recorded throughout the study. Symptoms recorded on diary cards were documented as adverse events only if the investigator considered them to be serious events. Safety assessments were conducted for all treated participants. The study investigator categorized all adverse events as related or not related to the study drug and specified adverse events that were attributable to the experimentally induced RSV infection."</t>
  </si>
  <si>
    <t>Doesn't clearly differentiate between treatment related AEs and challenge related AEs</t>
  </si>
  <si>
    <t>Unclear (&gt;=33)</t>
  </si>
  <si>
    <t>"No participant had a serious adverse event."</t>
  </si>
  <si>
    <t>Paracetamol (symptom relief), GS-5806 (treatment)</t>
  </si>
  <si>
    <t>"Study participants were healthy adults 18 to 45 years of age with low serum titers of neutralizing antibodies against RSV Memphis-37b, the viral strain used in this study. The inclusion and exclusion criteria are provided in the protocol, which is available at NEJM.org." and "Complete physical examinations were performed at screening, enrollment (1 or 2 days before inoculation), discharge from the quarantine unit on day 12, and study end, with directed examinations (of the head and neck, with chest auscultation) performed from 1 day before drug administration through day 11. Electrocardiograms (ECGs) were obtained at screening, 1 or 2 days before inoculation, directly before administration of the first dose, 3 hours after administration of each dose, daily through day 11, and at the end of the study. Spirometry was performed at screening, at enrollment, on days 0 (after viral inoculation) to 11, and at the end of the study. Laboratory assessments and urinalysis were performed at screening, at enrollment, on days 4 and 11, and at the end of the study, and laboratory assessment without urinalysis was performed on day 7."</t>
  </si>
  <si>
    <t>"The study was approved by the National Research Ethics Service London — City and East (Bristol, United Kingdom) and conducted in accordance with International Conference on Harmonisation Good Clinical Practice guidelines, applicable regional and local regulations, the Declaration of Helsinki (1996), and the study protocol. Participants provided written informed consent before study-specific procedures were performed."</t>
  </si>
  <si>
    <t>double-blind, placebo-controlled study</t>
  </si>
  <si>
    <t>DeVincenzo 2014</t>
  </si>
  <si>
    <t>NCT02094365</t>
  </si>
  <si>
    <t>https://clinicaltrials.gov/ct2/show/NCT02094365?term=NCT02094365&amp;draw=2&amp;rank=1</t>
  </si>
  <si>
    <t>Demographic data only provided for 62 in intention to treat population</t>
  </si>
  <si>
    <t>"we monitored participants twice daily for RSV infection, using a Simplexa (Focus Diagnostics) qualitative reverse-transcriptase–polymerase-chain-reaction (RT-PCR) assay."</t>
  </si>
  <si>
    <t>44 participants treated with ALS-008176 after challenge
18 participants treated with placebo after challenge
2 participants did not receive a dose (excluded from ITT population)</t>
  </si>
  <si>
    <t>"The principal investigator, who was unaware of the treatment assignments, regularly assessed adverse events for the possibility of a relationship between an event and the study medication. Symptoms recorded on diary cards by participants were documented as adverse events only if the investigator considered them to be substantial."</t>
  </si>
  <si>
    <t>Unclear (&gt;=22)</t>
  </si>
  <si>
    <t>"No serious adverse events, premature discontinuations of the study drug, or clinically significant, treatment-related adverse events were observed in any participants in the ITT population."</t>
  </si>
  <si>
    <t>ALS-008176 (treatment)</t>
  </si>
  <si>
    <t>From protocol: age 18 to 45 years, "In good health with no history of major medical conditions from the medical history,
physical examination, and routine laboratory tests as determined by the Investigator", "A total body weight ≥50 kg and a BMI of &gt;18. If the BMI is above 30 the subject may be
included if the waist measurement is less than 102 cm (male), or less than 88 cm
(female).", "negative blood pregnancy test", "Health care workers (e.g. doctors, nurses, medical students and allied healthcare
professionals) who work in units with severely immuno-compromised patients (e.g. bone
marrow transplant units)." (listed under exclusion criteria)</t>
  </si>
  <si>
    <t>"The study was conducted in accordance with the Declaration of Helsinki (1996 version), the International Conference on Harmonisation Good Clinical Practice guidelines, applicable regional and local regulations, and the study protocol. The protocol was approved by the Medicines and Healthcare Products Regulatory Agency and the Cambridge East Regional Ethics Committee of the National Research Ethics Service, all in the United Kingdom. All participants provided written informed consent."</t>
  </si>
  <si>
    <t>randomized, double-blind, clinical trial</t>
  </si>
  <si>
    <t>DeVincenzo 2015</t>
  </si>
  <si>
    <t>Hickey BW</t>
  </si>
  <si>
    <t>P. falciparum radiation-attenuated sporozoites (strain NF54)</t>
  </si>
  <si>
    <t>ISRCTN ID 17372582</t>
  </si>
  <si>
    <t>Unclear (&gt;=0)</t>
  </si>
  <si>
    <t>"Local AEs were subjectively graded as follows:
Mild: Minimally apparent symptoms noticed by the study subject (pain, tenderness, pruritus) or signs noticed by the examiner (erythaema, induration, swelling, lymphadenitis) but not requiring treatment.
Moderate: Symptoms or signs quite evident to the study subject (pain, tenderness, pruritus) or the examiner (erythaema, induration, swelling, lymphadenitis), potentially interfering with the activities of daily living (ADLs); treatment offered (i.e., study subject provided with topical corticosteroid cream to apply as needed).
Severe: Clinically significant findings interfering with daily activities; study subject requested or examiner recommended immediate local and/or systemic treatment with topical corticosteroids and/or oral antihistamines/corticosteroids/non-steroidal anti-inflammatory drugs.
Systemic AEs were subjectively graded as follows:
Mild: No treatment required; ADLs not compromised (subject able to work, or attend school).
Moderate: Outpatient treatment required, ADLs only minimally compromised (subject able to work, or attend school).
Severe: Outpatient treatment required, ADLs compromised (subject not able to work or attend school).
Serious: AEs resulting in death; AEs that were life-threatening, meaning that failure to intervene could result in hospitalization or death (example: bronchospasm requiring parenteral medication in the emergency room, or grand mal seizure evaluated in the emergency room but not resulting in hospitalization); AEs leading to or prolonging inpatient hospitalization; AEs resulting in persistent or significant disability or incapacity, including addiction; congenital anomaly or birth defect in an infant conceived by a subject."</t>
  </si>
  <si>
    <t>Some original records of AEs were lost in flooding incident; some AEs reported but very difficult/confusing to parse</t>
  </si>
  <si>
    <t>Unclear (&gt;=3)</t>
  </si>
  <si>
    <t>chloroquine phosphate (anti-malarial treatment)</t>
  </si>
  <si>
    <t>"Healthy, malaria-naïve, non-pregnant adults between the ages of 18 and 50 were included in this study. Malaria-naïve status was confirmed by travel history, medical history and P. falciparum CSP ELISA screening."</t>
  </si>
  <si>
    <t>"This trial was retrospectively registered at ISRCTN ID 17372582. The study protocol was reviewed and approved by the NMRC Institutional Review Board in compliance with all federal regulations governing the protection of human subjects. Walter Reed Army Institute of Research (WRAIR) holds a Federal-wide Assurance from the Office of Human Research Protections (OHRP) under the Department of Health and Human Services as does NMRC. NMRC also holds a Department of Defense/Department of the Navy Federal-wide Assurance for human subject protections. All key personnel were certified as having completed mandatory human research ethics education curricula and training under the direction of the WRAIR Institutional Research Board or the NMRC Office of Research Administration (ORA) and Human Subjects Protections Program (HSPP). All potential study subjects provided written, informed consent before screening and enrolment and had to pass an assessment of understanding."</t>
  </si>
  <si>
    <t>phase 1 clinical trial</t>
  </si>
  <si>
    <t>Hickey 2016</t>
  </si>
  <si>
    <t>P. falciparum (strain NF54)</t>
  </si>
  <si>
    <t>"thick blood smears were made for microscopic examination, and sufficient passes over the slide were made using the high-power objective, such that approximately 40 μL of blood were examined. The presence of two parasites was required for a positive diagnosis, leading to immediate anti-malarial treatment with chloroquine phosphate." and "Subjects who were positive were monitored daily by symptom checks and blood smears until three consecutive negative smears were documented and subjects remaining negative were similarly monitored until day 21 post CHMI, then approximately every other day until day 28. Those remaining negative on day 28 were considered fully protected."</t>
  </si>
  <si>
    <t>10 previously immunized</t>
  </si>
  <si>
    <t>5/10 previously immunized became infected</t>
  </si>
  <si>
    <t>Unclear (&gt;=2)</t>
  </si>
  <si>
    <t>Hoogerwerf MA</t>
  </si>
  <si>
    <t>Necator americanus</t>
  </si>
  <si>
    <t>N. americanus L3</t>
  </si>
  <si>
    <t>NCT03257072</t>
  </si>
  <si>
    <t>https://clinicaltrials.gov/ct2/show/NCT03257072?term=NCT03257072&amp;draw=2&amp;rank=1</t>
  </si>
  <si>
    <t>"The method for detecting N. americanus DNA in stool with PCR is described in Supplement C."</t>
  </si>
  <si>
    <t>Unable to access Supplement C for precise definition</t>
  </si>
  <si>
    <t>"Skin-related AEs, cough, sore throat, fever, and abdominal AEs were solicited at each visit. For every AE, timing, severity, and causality were recorded. AEs were scored as unrelated, unlikely, possibly, probably, or definitely related to hookworm infection and as mild (no interference with daily life), moderate (discomfort interfering with daily life), or severe (causing inability to perform usual daily activity)."</t>
  </si>
  <si>
    <t>Focuses on abdominal AEs</t>
  </si>
  <si>
    <t>"No serious AEs occurred."</t>
  </si>
  <si>
    <t>albendazole (treatment)</t>
  </si>
  <si>
    <t>"Healthy male and female volunteers aged 18–45" and "Participants were all confirmed hookworm negative by polymerase chain reaction (PCR) before inclusion."</t>
  </si>
  <si>
    <t>"The trial was approved by the Leiden University Medical Center institutional review board (no. NL59186.058.17) and registered at clinicaltrials.gov (NCT03257072)." and "All volunteers provided written informed consent before inclusion."</t>
  </si>
  <si>
    <t>randomized, double-blind, placebo-controlled trial</t>
  </si>
  <si>
    <t>Hoogerwerf 2021</t>
  </si>
  <si>
    <t>Langenberg MCC</t>
  </si>
  <si>
    <t>Schistosoma mansoni</t>
  </si>
  <si>
    <t>Schistosoma mansoni cercariae</t>
  </si>
  <si>
    <t>NCT02755324</t>
  </si>
  <si>
    <t>https://clinicaltrials.gov/ct2/show/NCT02755324?term=NCT02755324&amp;draw=2&amp;rank=1</t>
  </si>
  <si>
    <t>Demographic data from Supplementary table 1</t>
  </si>
  <si>
    <t>"Both worm-excreted circulating anodic antigen (CAA) and circulating cathodic antigen (CCA) were measured to determine the presence and degree of infection."</t>
  </si>
  <si>
    <t>Seems to define infection as serum CAA higher than 1pgml−1</t>
  </si>
  <si>
    <t>In two of three volunteers exposed to 10 cercariae the serum CAA was higher than 1pgml−1. In the higher dose groups, 9 out of 11 (82%) volunteers exposed to 20 cercariae and all volunteers exposed to 30 cercariae crossed this threshold.</t>
  </si>
  <si>
    <t>"Adverse events. Grading.
• Mild (grade 1): awareness of symptoms that are easily tolerated and do not interfere with usual daily activity
• Moderate (grade 2): discomfort that interferes with or limits usual daily activity
• Severe (grade 3): disabling, with subsequent inability to perform usual daily activity, resulting in absence or required bed rest
• Serious AE: any untoward medical occurrence in a patient or trial participant, which does not have a causal relationship with the treatment, and:
• is fatal, and/or
• is life-threatening for the volunteer, and/or
• makes hospital admission or an extension of the admission necessary, and/or
• causes persistent or signifcant invalidity or work disability, and/or
• manifests itself in a congenital abnormality or malformation, and/or
• could, according to the person that carries out the research, have developed to a serious undesired medical event, but was, however, prevented due to premature interference.
Causality.
Unrelated.
• Not related: a relationship to the administration of the S. mansoni male cercariae cannot be reasonably established; another etiology is known to have caused the AE or is highly likely to have caused it.
• Unlikely related: a relationship to the administration of S. mansoni male cercariae is unlikely; however, it cannot be ruled out.
Related.
• Possibly related: there is a potential association between the event and administration of the S. mansoni male cercariae; however, there is an alternative etiology that is more likely.
• Probably related: administration of the S. mansoni male cercariae is the most likely cause; however, there are alternative reasonable explanations, even though less likely.
• Defnitely related: administration of the S. mansoni male cercariae is the cause; another etiology causing the adverse event is not known."</t>
  </si>
  <si>
    <t>Unclear (&gt;=16)</t>
  </si>
  <si>
    <t>"There were no serious adverse events"</t>
  </si>
  <si>
    <t>Praziquantel (treatment)</t>
  </si>
  <si>
    <t>"Inclusion and exclusion criteria.
Inclusion criteria.
• Volunteer is aged ≥18 and ≤45 years and is in good health.
• Volunteer has adequate understanding of the procedures of the study and agrees to abide strictly thereby.
• Volunteer is able to communicate well with the investigator and is available to attend all study visits.
• Volunteer will remain within Europe (excluding Corsica) during the study period and is reachable by mobile telephone from week 3 to week 12 of the study period.
• Volunteer agrees to refrain from blood donation to Sanquin or for other purposes throughout the study period.
• For females: volunteer agrees to use adequate contraception and not to breastfeed for the duration of study.
• Volunteer has signed informed consent form.
Exclusion criteria.
• Any history, or evidence at screening, of clinically signifcant symptoms, physical signs or abnormal laboratory values suggestive of systemic conditions, such as cardiovascular, pulmonary, renal, hepatic, neurological, dermatological, endocrine, malignant, hematological, infectious, immune-defcient, psychiatric and other disorders, which could compromise the health of the volunteer during the study or interfere with the interpretation of the study results. These include, but are not limited to, any of the following:
• body weight &lt;50 kg or body mass index &lt;18 or &gt;30 kgm−2 at screening;
• positive HIV, HBV or HCV screening tests;
• the use of immune-modifying drugs within 3 months before study onset (inhaled and topical corticosteroids and oral anti-histamines exempted) or expected use of such during the study period;
• history of malignancy of any organ system (other than localized basal cell carcinoma of the skin), treated or untreated, within the past 5 years;
• any history of treatment for severe psychiatric disease by a psychiatrist in the past year;
• history of drug or alcohol abuse interfering with normal social function in the period of 1 year before study onset;
• any clinically signifcant abnormalities (including extended QT interval) on electrocardiogram.
• The chronic use of any drug known to interact with praziquantel, artesunate or lumefantrine (artesunate combined with lumefantrine served as alterna- tive treatment of schistosomiasis in an earlier phase of infection) metabolism (for example, phenytoin, carbamazepine, phenobarbital, primidone, dexamethasone, rifampicin, cimetidine, fecainide, metoprolol, imipramine, amitriptyline, clomipramine, class IA and III anti-arrythmics, antipsychotics, antidepressants, macrolides, fuorquinolones, imidazole- and triazole antimycotics and anti-histamines). Because lumefantrine may cause extension of QT-time, chronic use of drugs with efect on QT interval are excluded from the study.
• For female volunteers: positive urine pregnancy test at screening
• Any history of schistosomiasis or treatment for schistosomiasis
• Positive serology for schistosomiasis or elevated serum or urine CAA at baseline
• Known hypersensitivity to or contraindications (including co-medication) for use of praziquantel, artesunate or lumefantrine
• Being an employee or student of the Department of Parasitology or Infectious Diseases of the LUMC</t>
  </si>
  <si>
    <t>"The study was approved by the LUMC Institutional Medical Ethical Research Committee (Institutional Review Board P16.111). It was performed according to the European Clinical Trial Directive 2001/20/EC, in accordance with ICH-GCP guidelines and the Declaration of Helsinki36,37." and "Informed consent was obtained from all volunteers."</t>
  </si>
  <si>
    <t>phase 1 trial, open-label dose-escalation study</t>
  </si>
  <si>
    <t>Langenberg 2020</t>
  </si>
  <si>
    <t>Malcolm BA</t>
  </si>
  <si>
    <t>Rhinovirus</t>
  </si>
  <si>
    <t>HRV-A16 (Wild-Type HRV-16 Challenge Virus)</t>
  </si>
  <si>
    <t>EudraCT Number 2012-005579-14</t>
  </si>
  <si>
    <t>Rhinovirus challenge study</t>
  </si>
  <si>
    <t>"a laboratory-confirmed presence of HRV-A16 (i.e. positive cell culture assay at least once or at least 2 positive detections by PCR assay between Day 1 and day of discharge; or seroconversion)"</t>
  </si>
  <si>
    <t>Extracted number with observed seroconversion</t>
  </si>
  <si>
    <t>22 previously treated with PrEP-001 prophylaxis</t>
  </si>
  <si>
    <t>17/22 previously treated with PrEP-001 became infected</t>
  </si>
  <si>
    <t>"Safety was assessed throughout the study by the incidence of treatment emergent adverse events (TEAEs) and changes from baseline in routine clinical laboratory parameters, vital signs, physical examination, and 12-lead electrocardiogram (ECG)." and lists some common AEs in table 3</t>
  </si>
  <si>
    <t>Reports treatment emergent AEs, unable to distinguish challenge related AEs</t>
  </si>
  <si>
    <t>"No deaths, serious adverse events (SAEs), or adverse events (AEs) considered to be of severe intensity were reported in either study."</t>
  </si>
  <si>
    <t>PrEP-001</t>
  </si>
  <si>
    <t>"In Study 1, eligible subjects comprised healthy males or females aged 18–45 years (inclusive), with a body mass index (BMI) between 18 and 28 kg/m2 (inclusive) and body weight ≥50 kg. Study inclusion criteria were similar in Study 2, although subjects up to 55 years were eligible to participate. All subjects were screened for the absence of antibodies to the relevant challenge virus. Subjects were excluded if they had any significant acute or chronic uncontrolled medical illness or had any condition, including a history of abnormal pulmonary function, associated with increased risk of complications of respiratory viral illness or that would make the subject unsuitable for a quarantine challenge study. All subjects were non-smokers and non-atopic. The use of any medication other than the study drug was prohibited, except for hormone replacement therapy (HRT) and contraceptive therapy during the entire quarantine phase of the study."</t>
  </si>
  <si>
    <t>"Before study initiation, independent ethics committee approval was obtained (Study 1 - NRES Committee London - City &amp; East; Study 2 - North East - Newcastle &amp; North Tyneside 2 Research Ethics Committee) and all subjects provided written informed consent prior to their participation."</t>
  </si>
  <si>
    <t>phase Ib/II, double-blind, placebo-controlled trials</t>
  </si>
  <si>
    <t>Malcolm 2018</t>
  </si>
  <si>
    <t>Influenza viruses</t>
  </si>
  <si>
    <t>H3N2-IAV (Wild-Type Influenza A/Perth/16/2009 Challenge Virus)</t>
  </si>
  <si>
    <t>NCT03220048</t>
  </si>
  <si>
    <t>https://clinicaltrials.gov/ct2/show/NCT03220048?term=NCT03220048.&amp;draw=2&amp;rank=1</t>
  </si>
  <si>
    <t>Influenza challenge study</t>
  </si>
  <si>
    <t>25 previously treated with PrEP-001 prophylaxis</t>
  </si>
  <si>
    <t>12/25 previously treated with PrEP-001 became infected</t>
  </si>
  <si>
    <t>Stevens M</t>
  </si>
  <si>
    <t>NCT02387606</t>
  </si>
  <si>
    <t>https://clinicaltrials.gov/ct2/show/NCT02387606?term=NCT02387606&amp;draw=2&amp;rank=1</t>
  </si>
  <si>
    <t>Demographic data only provided for 66 in ITT group (Supplementary Table 1)</t>
  </si>
  <si>
    <t>Mean given for each of four groups, but not overall</t>
  </si>
  <si>
    <t>SD given for each of four groups, but not overall</t>
  </si>
  <si>
    <t>"Efficacy analyses were performed in the intent-to-treat-infected (ITT-I) population, defined as all participants with virus inoculation and with a positive qRT-PCR VL value either immediately before first dosing or with &gt;2 positive VL values after the first administration of study medication, and who received at least 1 dose of study drug."</t>
  </si>
  <si>
    <t>Number of participants in ITT-I population</t>
  </si>
  <si>
    <t>"Safety assessments included the recording of treatment-emergent adverse events (TEAEs), clinical laboratory tests, electrocardiograms (ECGs), and vital sign assessments. Events of interest included the coagulation system (prothrombin and activated partial thromboplastin time) as well as hepatobiliary toxicities (alanine aminotransferase, aspartate aminotransferase, bilirubin). Grading of laboratory abnormalities was done according to the Division of Microbiology and Infectious Diseases toxicity grading list"</t>
  </si>
  <si>
    <t>Reports treatment emergent AEs (Supplementary Table 4)</t>
  </si>
  <si>
    <t>"No grade 4 (severe) or serious AEs and deaths were reported during the study." but "Three participants discontinued the study due to TEAE"</t>
  </si>
  <si>
    <t>JNJ-53718678</t>
  </si>
  <si>
    <t>"Healthy volunteers were eligible if they were 18–45 years old with a body mass index of &gt;18 kg/m2, serosuitable for RSV within 57 days before inoculation (cut-off RSV antibody level &lt; 1403), and adhered to contraceptive measures. Participants with previous experimental inoculation with a Paramyxoviridae were excluded. Participants symptomatic with an acute respiratory infection at admission (Study day −1 or −2) were also excluded."</t>
  </si>
  <si>
    <t>"The study was conducted under the ethical principles that have their origin in the Declaration of Helsinki, the International Conference on Harmonization Good Clinical Practices, and applicable regulatory requirements. All participants provided written informed consent to participate in the study."</t>
  </si>
  <si>
    <t>phase 2a, randomized, double-blind, placebo-controlled, single-center study</t>
  </si>
  <si>
    <t>Stevens 2018</t>
  </si>
  <si>
    <t>Walk J</t>
  </si>
  <si>
    <t>BCG</t>
  </si>
  <si>
    <t>BCG vaccine</t>
  </si>
  <si>
    <t>NCT02692963</t>
  </si>
  <si>
    <t>https://clinicaltrials.gov/ct2/show/NCT02692963?term=NCT02692963&amp;draw=2&amp;rank=1</t>
  </si>
  <si>
    <t>"Subjects recorded clinical symptoms in a diary, from the time of BCG vaccination until 37 days after the CHMI. Both solicited and unsolicited adverse events were recorded after questioning by the investigators at set time points: prior to BCG vaccination, prior to the CHMI, daily from day 6 after infection until 3 days after antimalarial treatment, and on day 37 post CHMI21,40. Adverse events were graded according to criteria defined in the Clinical Trial Protocol: mild (grade 1): awareness of symptoms that are easily tolerated and do not interfere with usual daily activity; moderate (grade 2): discomfort that interferes with or limits usual daily activity; severe (grade 3): disabling, with subsequent inability to perform usual daily activity, resulting in absence or required bed rest. Relatedness was assessed by the investigator, also on the bases of pre-defined criteria: probable: an adverse event that follows a reasonable temporal sequence from the challenge procedure and cannot be reasonably explained by the known characteristics of the subject’s clinical state; possible: an adverse event for which insufficient information exists to exclude that the event is related to the study procedure; not related: an event for which sufficient information exists to indicate that the aetiology is unrelated either because of the temporal sequence of events or because of the subject’s clinical state or other therapies."</t>
  </si>
  <si>
    <t>No AEs reported specifically for vaccination phase</t>
  </si>
  <si>
    <t>"Prior to inclusion, study volunteers were medically screened as described previously37" and "Twenty healthy, BCG-naive volunteers (age 18–35 years) without a history of malaria or residence in a malaria-endemic area in the 6 months before study entry were included and randomly assigned to two groups."</t>
  </si>
  <si>
    <t>Volunteers "provided written informed consent. The trial was approved by the Central Committee on Research Involving Human Subjects (CCMO NL56222.091.15) of the Netherlands, performed according to the Declaration of Helsinki and Good Clinical Practice and prospectively registered at ClinicalTrials.gov (NCT02692963)."</t>
  </si>
  <si>
    <t>single-centre, single-blinded randomised controlled trial</t>
  </si>
  <si>
    <t>Walk 2019</t>
  </si>
  <si>
    <t>P. falciparum (strain NF54) (infected mosquito bites)</t>
  </si>
  <si>
    <t>ND (6 or 7)</t>
  </si>
  <si>
    <t>ND (12 or 13)</t>
  </si>
  <si>
    <t>"developed parasitemia as detected by qPCR"</t>
  </si>
  <si>
    <t>9 previously vaccinated with BCG</t>
  </si>
  <si>
    <t>9/9 previously vaccinated became infected</t>
  </si>
  <si>
    <t>Distinguishes between AEs pre- and post-treatment</t>
  </si>
  <si>
    <t>Unclear (&gt;=12)</t>
  </si>
  <si>
    <t>No SAEs mentioned in text</t>
  </si>
  <si>
    <t>BCG vaccine, atovaquone/proguanil (antimalarial drug treatment)</t>
  </si>
  <si>
    <t>Challenge, NSAE</t>
  </si>
  <si>
    <t>Achan J</t>
  </si>
  <si>
    <t>P. falciparum sporozoites (PfSPZ, Sanaria PfSPZ Challenge)</t>
  </si>
  <si>
    <t>NCT03496454</t>
  </si>
  <si>
    <t>https://clinicaltrials.gov/ct2/show/NCT03496454?term=NCT03496454&amp;draw=2&amp;rank=1</t>
  </si>
  <si>
    <t>Mean given for each of two groups</t>
  </si>
  <si>
    <t>SD given for each of two groups</t>
  </si>
  <si>
    <t>"The following signs and symptoms were solicited at all visits: fever, headache, malaise, fatigue, dizziness, myalgia, arthralgia, nausea, vomiting, chills, diarrhea, abdominal pain, chest pain, palpitations, and shortness of breath"</t>
  </si>
  <si>
    <t>High and low exposure groups are not indiciative of challenge and control groups. All participants received challenge</t>
  </si>
  <si>
    <t>"The following signs and symptoms were solicited at all visits: fever, headache, malaise, fatigue, dizziness, myalgia, arthralgia, nausea, vomiting, chills, diarrhea, abdominal pain, chest pain, palpitations, and shortness of breath [26]. AEs were reported as mild (grade 1, easily tolerated), moderate (grade 2, interfered with normal activity), or severe (grade 3, prevented normal activity); for fever, as grade 1 (&gt;37.5°C–38.0°C), grade 2 (38.1°C–39.0°C), or grade 3 (≥39.1°C)."</t>
  </si>
  <si>
    <t>yes</t>
  </si>
  <si>
    <t>Only 10 experienced grade 2 or higher AEs (3 was highest)</t>
  </si>
  <si>
    <t>No drug or vaccine given</t>
  </si>
  <si>
    <t>"Healthy male participants aged 18–35 years were recruited between 13 and 23 March 2018. Volunteers were preferentially recruited from tertiary learning institutions and provided written informed consent before screening. Eligible volunteers had normal hematological and biochemical tests and no abnormalities by electrocardiography. Participants had to be P. falciparum negative by molecular methods on 2 occasions, at recruitment and just before DVI."</t>
  </si>
  <si>
    <t>"The study received approval from the Scientific Coordinating Committee of MRCG, The Gambia Government/MRCG Joint Ethics Committee, and the London School of Hygiene and Tropical Medicine Research and Ethics Committee and was conducted according to the International Conference on Harmonisation Good Clinical Practice guidelines and registered with ClinicalTrials.gov (identifier NCT03496454)."</t>
  </si>
  <si>
    <t>open-label, nonrandomized clinical trial</t>
  </si>
  <si>
    <t>4.20.21 Search</t>
  </si>
  <si>
    <t>Achan 2020</t>
  </si>
  <si>
    <t>Adler H</t>
  </si>
  <si>
    <t>Streptococcus pneumoniae</t>
  </si>
  <si>
    <t>ISRCTN ID 10948363</t>
  </si>
  <si>
    <t>61 if excluding 3 natural carriers of non-6B pneumococci</t>
  </si>
  <si>
    <t>"Experimental colonization was
defined as the growth of serogroup 6
pneumococcus at any time point during the
29 days after inoculation and was identified
using standard microbiological criteria" (defined on basis of culture positive nasal wash samples)</t>
  </si>
  <si>
    <t>23 if excluding baseline natural carriers of non-6B pneumococci</t>
  </si>
  <si>
    <t>all participants were challenged with pathogen</t>
  </si>
  <si>
    <t>N/A (no designated young control group; results were compared with 225 young adults taking part in other concurrent studies with the same inoculation protocol)</t>
  </si>
  <si>
    <t>no</t>
  </si>
  <si>
    <t>"seven participants developed symptoms that, when reviewed clinically, were deemed unrelated to study procedures"</t>
  </si>
  <si>
    <t>"Healthy adults aged 50–84 years were approached using advertisements, research volunteer databases, and primary care patient lists. All participants provided written informed consent and underwent safety screening, including review of primary care records, physical examination, electrocardiography, spirometry, complete blood count, and biochemical profile, before participation" and "The study was overseen by an independent
data monitoring and safety committee."</t>
  </si>
  <si>
    <t>"This study was approved by the National Health Service Research Ethics Committee (16/NW/0031) and its registered International Standard Randomised Controlled Trial Number is 10948363."</t>
  </si>
  <si>
    <t>CHMI</t>
  </si>
  <si>
    <t>Adler 2021</t>
  </si>
  <si>
    <t>Bastiaens GJH</t>
  </si>
  <si>
    <t>Plasmodium falciparum (PfSPZ-CVac (PfSPZ-chemoprophylaxis vaccine))</t>
  </si>
  <si>
    <t>NCT01728701</t>
  </si>
  <si>
    <t>https://clinicaltrials.gov/ct2/show/NCT01728701?term=NCT01728701&amp;draw=2&amp;rank=1</t>
  </si>
  <si>
    <t>Median age and range given for screened subjects, but not for included subjects</t>
  </si>
  <si>
    <t>"Retrospective parasitemia measurement by qPCR"</t>
  </si>
  <si>
    <t>Parasitemia detected by thick blood smears was also used, but only in 2 of 4 groups</t>
  </si>
  <si>
    <t>Fever, headache, malaise, fatigue, dizziness, myalgia, arthralgia, nausea, vomiting, chills, diarrhea, abdominal pain, chest pain, palpitations, and shortness of breath</t>
  </si>
  <si>
    <t>Chloroquine Chemoprophylaxis, PfSPZ-CVac (PfSPZ-chemoprophylaxis vaccine)</t>
  </si>
  <si>
    <t>"We recruited healthy male and female subjects aged 18 to 35 years without a history of malaria, adhering to inclusion and exclusion criteria as described previously.7 All subjects had an estimated 10-year risk of developing a cardiac event of less than 5% as estimated by the systematic coronary evaluation system.14 Baseline ophthalmologic examination revealed no abnormalities on fundoscopy that might preclude treatment with chloroquine."</t>
  </si>
  <si>
    <t>"The trial was conducted in accordance with Good Clinical Practice and approved by the Central Committee for Research Involving Human Subjects of The Netherlands (CCMO NL39541.091.12). An Investigational New Drug application was filed with the U.S. Food and Drug Administration; Clinicaltrials.gov identifier: NCT01728701."</t>
  </si>
  <si>
    <t>prospective, single center, double-blind, randomized, placebo-controlled clinical trial</t>
  </si>
  <si>
    <t>Bastiaens 2016</t>
  </si>
  <si>
    <t>P. falciparum (strain NF54 SPZ.15) (infected mosquito bites)</t>
  </si>
  <si>
    <t>14 previously immunized</t>
  </si>
  <si>
    <t>14/14 previously immunized became infected</t>
  </si>
  <si>
    <t>All participants were challenged with pathogen</t>
  </si>
  <si>
    <t>"one subject in vaccine group 1 was unblinded due to a cardiac serious AE"</t>
  </si>
  <si>
    <t>Bernstein DI</t>
  </si>
  <si>
    <t>Norovirus</t>
  </si>
  <si>
    <t>Norovirus vaccine</t>
  </si>
  <si>
    <t>NCT01609257</t>
  </si>
  <si>
    <t>https://clinicaltrials.gov/ct2/show/NCT01609257?term=NCT01609257&amp;draw=2&amp;rank=1</t>
  </si>
  <si>
    <t>"Norovirus GII.4 infection was to be confirmed by seroresponse (≥4-fold rise in anti-GII.4 norovirus P particle antibody titer from prechallenge to postchallenge) or fecal virus excretion detected by quantitative RT-PCR (qRT-PCR) on any day postchallenge"</t>
  </si>
  <si>
    <t>Severe acute gastroenteritis (due to challenge virus), injection site reactions (tenderness), systemic reactions, fever, clinical laboratory abnormalities</t>
  </si>
  <si>
    <t>Unclear (&gt;=21)</t>
  </si>
  <si>
    <t>"There were no SAEs reported throughout the study period (excluding severe acute gastroenteritis due to challenge virus)."</t>
  </si>
  <si>
    <t>Unclear (&gt;=18)</t>
  </si>
  <si>
    <t>100 μg of norovirus vaccine-like particles</t>
  </si>
  <si>
    <t>"Eligible subjects were healthy adults 18–50 years of age of either sex, able to provide written informed consent, and available for the study follow-up visits. Exclusion criteria included working in healthcare, food services, or childcare; being pregnant or nursing; close contact with persons at risk of complications from norovirus infection; abnormal results of physical and common laboratory evaluations; positive test results for human immunodeficiency virus, hepatitis B virus, hepatitis C virus, or bacterial and parasitic stool infections."</t>
  </si>
  <si>
    <t>"We conducted a randomized, double-blind, placebo-controlled trial at 5 sites in the United States from May 2012 to July 2013. The study protocol was approved by the institutional review board of each site, registered at ClinicalTrials.gov (NCT01609257), and performed according to current Good Clinical Practices and Declaration of Helsinki guidelines."</t>
  </si>
  <si>
    <t>Bernstein 2015</t>
  </si>
  <si>
    <t>GII.4 norovirus strain (GII.4 Farmington Hill variant)</t>
  </si>
  <si>
    <t>Challenge phase; 109 challenged, but only 98 eligible for analysis</t>
  </si>
  <si>
    <t>50 previously vaccinated</t>
  </si>
  <si>
    <t>27/50 previously vaccinated became infected</t>
  </si>
  <si>
    <t>No AE data for challenge, reports number with vomiting or diarrhea</t>
  </si>
  <si>
    <t>"There were no SAEs reported throughout the study period (excluding severe acute gastroenteritis due to challenge virus)."
We count 4 instances of severe vomiting and/or diarrhea as SAEs based on this quote</t>
  </si>
  <si>
    <t>Challenge, NAE, NSAE</t>
  </si>
  <si>
    <t>Bijker EM</t>
  </si>
  <si>
    <t>Plasmodium falciparum (mosquitoes infected with NF54 strain or 3D7 clone)</t>
  </si>
  <si>
    <t>NCT01236612</t>
  </si>
  <si>
    <t>https://clinicaltrials.gov/ct2/show/NCT01236612?term=NCT01236612&amp;draw=2&amp;rank=1</t>
  </si>
  <si>
    <t>Parasitemia detected by thick smear or quantitative real time PCR</t>
  </si>
  <si>
    <t>Unclear (&gt;=14)</t>
  </si>
  <si>
    <t>Abdominal pain, arthralgia, chills, fatigue, fever, headache, malaise, myalgia, nausea, vomiting</t>
  </si>
  <si>
    <t>"No serious AEs occurred during the trial" but "Four subjects experienced a grade 3 AE"</t>
  </si>
  <si>
    <t>Chloroquine prophylaxis, sporozoites [CPS] immunization</t>
  </si>
  <si>
    <t>"Twenty-five healthy subjects (age 18–35 y) without a history of malaria or residence in a malaria-endemic area in the 6 mo before study entry were included"</t>
  </si>
  <si>
    <t>"We conducted this single-center, open-label study at the Radboud University Nijmegen Medical Centre (Nijmegen, The Netherlands) from April 2011 until March 2012 following approval by the Central Committee for Research Involving Human Subjects of The Netherlands (CCMO NL34273.091.10). The study team complied with the Declaration of Helsinki and Good Clinical Practice, including monitoring of data. The trial is registered at ClinicalTrials.gov (NCT01236612)."</t>
  </si>
  <si>
    <t>single-center, open-label study</t>
  </si>
  <si>
    <t>Bijker 2013</t>
  </si>
  <si>
    <t>P. falciparum (strain 3D7) (blood-stage challenge by i.v. administration of 3D7 asexual parasites or mosquitoes infected with 3D7 sporozoites)</t>
  </si>
  <si>
    <t>9/14 previously immunized became infected; 1 additional subject became PCR positive on day 21 after challenge, but not counted in analysis</t>
  </si>
  <si>
    <t>"No serious AEs occurred during the trial" but 14 subjects experienced an AE of grade 3</t>
  </si>
  <si>
    <t>Plasmodium falciparum (mosquitoes infected with NF54 strain)</t>
  </si>
  <si>
    <t>NCT01218893</t>
  </si>
  <si>
    <t>https://clinicaltrials.gov/ct2/show/NCT01218893?term=NCT01218893&amp;draw=2&amp;rank=1</t>
  </si>
  <si>
    <t>"events during challenge infection consistent with uncomplicated malaria"</t>
  </si>
  <si>
    <t>Number of infected mosquitoes varied per group</t>
  </si>
  <si>
    <t>None given, not collected during immunization phase</t>
  </si>
  <si>
    <t>chemoprophylaxis and sporozoites [CPS] immunization</t>
  </si>
  <si>
    <t>"Healthy subjects aged 18–35 years with no history of malaria were screened as described previously [11]." From Bijker 2013: "without a history of malaria or residence in a malaria-endemic area in the 6 mo before study entry were included"</t>
  </si>
  <si>
    <t>"The study was approved by the Central Committee for Research Involving Human Subjects of the Netherlands (NL33904.091.10) and complied with the Declaration of Helsinki and good clinical practice, including monitoring of data."</t>
  </si>
  <si>
    <t>single-center, double-blind study</t>
  </si>
  <si>
    <t>Bijker 2014a</t>
  </si>
  <si>
    <t>24 previously immunized</t>
  </si>
  <si>
    <t>7/24 previously immunized became infected</t>
  </si>
  <si>
    <t>None given, but were solicited during challenge phase</t>
  </si>
  <si>
    <t>Unclear (27?)</t>
  </si>
  <si>
    <t>"One subject from group 2 was preliminarily treated with atovaquone/proguanil on day 10.5 after challenge because of unrelated exertional rhabdomyolysis after extensive sports activity (weightlifting) followed by sauna visits. No other severe AEs occurred."</t>
  </si>
  <si>
    <t>Bodhidatta L</t>
  </si>
  <si>
    <t>Shigella spp.</t>
  </si>
  <si>
    <t>S. sonnei strain 53G</t>
  </si>
  <si>
    <t>3 groups of 12</t>
  </si>
  <si>
    <t>Mean given for each of three groups</t>
  </si>
  <si>
    <t>SD given for each of three groups</t>
  </si>
  <si>
    <t>"The clinical disease endpoint was defined as diarrhea, dysentery, and/or fever"</t>
  </si>
  <si>
    <t>"Severity of symptoms was graded as mild with symptoms present but subject activity levels unchanged; moderate with activity reduced but subjects able to function; and severe with markedly reduced activity and subjects bedridden."</t>
  </si>
  <si>
    <t>Unclear (&gt;=5)</t>
  </si>
  <si>
    <t>"one subject in Group 1 and one in Group 3 experienced a single elevation of total bilirubin of 2.65 and 1.79 mg/dL, respectively, a serious adverse event classified as grade IV according to the Center for Biologics Evaluation and Research (CBER) guidelines."</t>
  </si>
  <si>
    <t>"Healthy Thai adults aged 20–40 years were recruited from the Bangkok Metropolitan region. Written informed consent and assessment of understanding were required before enrollment. Subjects were screened for significantillnesses or pregnancy by history, physical examination and laboratory results."</t>
  </si>
  <si>
    <t>"The study was approved by the U.S. Army Medical Research and Materiel Command’s Human Subjects Research Review Board; the Ethical Review Committee for Research in Human Subjects, Ministry of Public Health, Thailand; and the Ethics Committee, Faculty of Tropical Medicine, Mahidol University."</t>
  </si>
  <si>
    <t>study establishing a human challenge model in Thailand</t>
  </si>
  <si>
    <t>Bodhidatta 2012</t>
  </si>
  <si>
    <t>Chakraborty S</t>
  </si>
  <si>
    <t>Escherichia coli</t>
  </si>
  <si>
    <t>ETEC strain H10407</t>
  </si>
  <si>
    <t>NCT00844493</t>
  </si>
  <si>
    <t>https://clinicaltrials.gov/ct2/show/NCT00844493?term=NCT00844493&amp;draw=2&amp;rank=1</t>
  </si>
  <si>
    <t>2 groups of 15</t>
  </si>
  <si>
    <t>Shedding of challenge strain in fecal samples</t>
  </si>
  <si>
    <t>"Active solicitation regarding the following symptoms took place during the medical interview: fever, vomiting, nausea, abdominal pain, abdominal cramping, myalgia, malaise, bloating, flatulence, headache, lightheadedness, chills, constipation, and anorexia."</t>
  </si>
  <si>
    <t>"Following the challenge, there were no serious unexpected adverse events"</t>
  </si>
  <si>
    <t>USP-grade sodium bicarbonate buffer</t>
  </si>
  <si>
    <t>"Healthy, 18- to 45-year-old, male or female subjects were recruited for the study. The study was explained to subjects in detail and signed, witnessed consent was obtained. The pre-challenge health status of subjects was assessed by written and oral medical history, physical examination, complete blood count (CBC), urinalysis, urine toxicology, blood chemistries, and tests for liver and kidney function, HIV-1, hepatitis B, and hepatitis C. Subjects were excluded if they had significant medical problems detected by history, physical examination, or screening laboratory tests; if an HIV-1, hepatitis B, or hepatitis C test was positive; or if they had traveled to countries where ETEC or cholera infection is endemic within two years prior to receipt of investigational agent."</t>
  </si>
  <si>
    <t>"The protocol was conducted under BB-IND 12,243 at the Center for Immunization Research (CIR), Johns Hopkins Bloomberg School of Public Health (JHBSPH). Approval to conduct the study was provided by the Western Institutional Review Board (Olympia, WA) for JHBSPH and PATH and by the Institutional Biosafety Committee of the Johns Hopkins Institutions. The study was registered in clinicalTrials.gov under NCT00844493"</t>
  </si>
  <si>
    <t>challenge model refinement</t>
  </si>
  <si>
    <t>Chakraborty 2018</t>
  </si>
  <si>
    <t>Collins KA</t>
  </si>
  <si>
    <t>P. falciparum (intravenous administration of parasitized red blood cells)</t>
  </si>
  <si>
    <t>NCT02431637</t>
  </si>
  <si>
    <t>https://clinicaltrials.gov/ct2/show/NCT02431637?term=NCT02431637&amp;draw=2&amp;rank=1</t>
  </si>
  <si>
    <t>EFITA Study</t>
  </si>
  <si>
    <t>ND (IQR 20.2)</t>
  </si>
  <si>
    <t>ND (IQR 28.7)</t>
  </si>
  <si>
    <t>"Development of gametocytemia was monitored in all participants" and "P. falciparum parasites were detected by 18S rDNA qPCR"</t>
  </si>
  <si>
    <t>"An AE is any adverse change, i.e., any unfavorable and unintended sign, including an abnormal laboratory finding, symptom or disease that occurs in a Participant during the course of the study, whether or not considered by the investigator as related to study treatment. For guidance for assigning severity of the AE, the purpose-designed AE scale will be used (see Appendix 4) Adverse events include:  Exacerbation of a pre-existing disease.  Increase in frequency or intensity of a pre-existing episodic disease or medical condition.  Disease or medical condition detected or diagnosed during the course of the study even though it may have been present prior to the start of the study.  Continuous persistent disease or symptoms present at study start that worsen following the start of the study.  Abnormal assessments, e.g., change on physical examination, ECG findings, if they represent a clinically significant finding that was not present at study start or worsened during the course of the study.  Laboratory test abnormalities if they represent a clinically significant finding, symptomatic or not, which was not present at study start or worsened during the course of the study or led to dose reduction, interruption or permanent discontinuation of study treatment. Overdose, misuse, and abuse of the study treatment should be reported as an AE and, in addition, study treatment errors must be documented in the study drug log of the CRF. All AEs occurring after study start (Day0 inoculum) and up to 30 days after study treatment discontinuation must be recorded on specific AE pages of the CRF. All malaria-specific AEs will be tabulated according to a purpose designed table, and results graded according to the score sheet designed for this purpose."</t>
  </si>
  <si>
    <t>Page 49 of supplementary materials</t>
  </si>
  <si>
    <t>Unclear (1-2)</t>
  </si>
  <si>
    <t>Piperaquine, artemether/lumefantrine</t>
  </si>
  <si>
    <t>"Participants were healthy, malaria-naive adults with normal vital signs and ECG results at baseline, aged between 18 and
55 years, not living alone, and available for the duration of the study. Female participants were included in cohort 1, but were excluded from subsequent cohorts due to a change in the safety requirements related to artefenomel."</t>
  </si>
  <si>
    <t>"The clinical trials presented here were reviewed and approved by the QIMR Berghofer Medical Research Institute Human Research Ethics Committee, and all participants gave written informed consent before inclusion in the study. The clinical trials are registered with ClinicalTrials.gov (EFITA: NCT02431637; OZGAM: NCT02431650) (38, 39)."</t>
  </si>
  <si>
    <t>single-center, open-label clinical trials run concurrently</t>
  </si>
  <si>
    <t>Collins 2018</t>
  </si>
  <si>
    <t>NCT02431650</t>
  </si>
  <si>
    <t>https://clinicaltrials.gov/ct2/show/NCT02431650?term=NCT02431650&amp;draw=2&amp;rank=1</t>
  </si>
  <si>
    <t>OZGAM Study</t>
  </si>
  <si>
    <t>Median age given for each of two groups (25 and 26)</t>
  </si>
  <si>
    <t>Piperaquine, primaquine, artefenomel, artemether/lumefantrine</t>
  </si>
  <si>
    <t>Darsley MJ</t>
  </si>
  <si>
    <t>ETEC ACE527 vaccine</t>
  </si>
  <si>
    <t>"The primary endpoint of the trial was the incidence of moderate to severe diarrhea"</t>
  </si>
  <si>
    <t>"Active solicitation regarding the following symptoms took place during the medical interview: fever, vomiting, nausea, abdominal pain, abdominal cramping, myalgias, malaise, bloating, headache, lightheadedness, chills, constipation, and anorexia."</t>
  </si>
  <si>
    <t>"There were no serious AEs following vaccination, but one occurred in a placebo recipient during long-term follow-up postchallenge."</t>
  </si>
  <si>
    <t>USP sodium bicarbonate solution, ACE527 vaccine</t>
  </si>
  <si>
    <t>"Subjects were healthy male and nonpregnant female volunteers age 18 to 50 with a body mass index (BMI) of 19.0 to 34.0 kg/m2, as for the previous phase 1 study (17). All volunteers were fully informed about the content of the trial and provided signed informed consent following demonstration of understanding via a written test. Major exclusion criteria were significant medical conditions, including chronic, immunosuppressive, malignant, or gastrointestinal diseases or abnormalities. Subjects who were food handlers or who had household or professional contact with potentially immunocompromised individuals were also excluded."</t>
  </si>
  <si>
    <t>"The clinical protocol was performed under BB-IND13,982 and was approved by the Institutional Review Board of JHBSPH, the Western Institutional Review Board (Olympia, WA), and the Johns Hopkins Institutional Biosafety Committee. The use of the challenge strain was approved under BB-IND12,234."</t>
  </si>
  <si>
    <t>randomized, placebo-controlled, double-blind evaluation</t>
  </si>
  <si>
    <t>Darsley 2012</t>
  </si>
  <si>
    <t>29 previously vaccinated</t>
  </si>
  <si>
    <t>15/29 previously vaccinated became infected</t>
  </si>
  <si>
    <t>"There were no serious AEs following vaccination, but one occurred in a placebo recipient during long-term follow-up postchallenge." (detailed in supplementary)</t>
  </si>
  <si>
    <t>Adverse events reported before challenge; symptoms of ETEC disease after challenge reported, but not referred to as adverse events</t>
  </si>
  <si>
    <t>Darton TC</t>
  </si>
  <si>
    <t>Salmonella spp.</t>
  </si>
  <si>
    <t>M01ZH09 (live attenuated S. Typhi vaccine)</t>
  </si>
  <si>
    <t>NCT01405521</t>
  </si>
  <si>
    <t>https://clinicaltrials.gov/ct2/show/NCT01405521?term=NCT01405521&amp;draw=2&amp;rank=1</t>
  </si>
  <si>
    <t>Median age and IQR given for each group, but not for the group as a whole</t>
  </si>
  <si>
    <t>fever or positive blood culture sampling</t>
  </si>
  <si>
    <t>33 received novel vaccine candidate, 30 received established vaccine</t>
  </si>
  <si>
    <t>Fever, headache, generally unwell, loss of appetite, abdominal pain, nausea/vomiting, myalgia, arthralgia, cough, diarrhoea, constipation</t>
  </si>
  <si>
    <t>S3 table reports frequency per symptom, but total participants with any AE not reported</t>
  </si>
  <si>
    <t>"no Serious Adverse Events were identified related to vaccine receipt."</t>
  </si>
  <si>
    <t>M01ZH09 (oral typhi vaccine candidate), Ty21a (established vaccine)</t>
  </si>
  <si>
    <t>"Eligible participants were healthy men and non-pregnant women, aged 18 to 60 years with no previous history of typhoid vaccination, infection or likely exposure to S. Typhi. All eligible volunteers were provided with detailed pre-study counselling and provided written informed consent. Following consent, participants were thoroughly evaluated for health problems by history, physical examination, blood screening and ultrasound examination of the gall bladder."</t>
  </si>
  <si>
    <t>"This phase 2b trial was sponsored and monitored by the Oxford University Clinical Trials and Research Governance Department, approved by NRES South Central–Oxford A (11/SC/0302) and conducted in accordance with the principles of the International Conference of Harmonisation, Good Clinical Practice guidelines. After study initiation (November 2011), an independent Data and Safety Monitoring Committee reviewed clinical and laboratory data relating to patient safety (months 1, 5 and 8) and interim unblinded analyses of VE (months 5 and 8). No changes to the study protocol or participant eligibility were recommended." and "The UK National Research Ethics Service provided ethical approval for the trial (Oxfordshire Research Ethics Committee A, 11/SC/0302), which was performed in accordance with the principles of the ICH-Good Clinical Practice guidelines and amendments. All trial participants provided written informed consent in accordance with the Declaration of Helsinki (S1 Checklist). The study was registered at Clinicaltrials.gov (NCT01405521) and with the European Clinical Trials database (EudraCT 2011-000381-35)."</t>
  </si>
  <si>
    <t>randomised, double-blind, placebo-controlled trial</t>
  </si>
  <si>
    <t>Darton 2016</t>
  </si>
  <si>
    <t>S. Typhi (Quailes strain)</t>
  </si>
  <si>
    <t>62 previously vaccinated</t>
  </si>
  <si>
    <t>31/62 previously vaccinated became infected</t>
  </si>
  <si>
    <t>de Graaf H</t>
  </si>
  <si>
    <t>Bordetella pertussis</t>
  </si>
  <si>
    <t>Bordetella pertussis strain B1917</t>
  </si>
  <si>
    <t>NCT03751514</t>
  </si>
  <si>
    <t>https://clinicaltrials.gov/ct2/show/NCT03751514?term=NCT03751514&amp;draw=2&amp;rank=1</t>
  </si>
  <si>
    <t>dose-escalation study design</t>
  </si>
  <si>
    <t>ND (IQR 21)</t>
  </si>
  <si>
    <t>ND (IQR 35)</t>
  </si>
  <si>
    <t>"cough, sore throat, nasal congestion, rhinorrhoea, sneezing, and feeling generally unwell."
Detection of Bp colonization via nasal wash</t>
  </si>
  <si>
    <t>n/a</t>
  </si>
  <si>
    <t>"There were no serious adverse events during the course of the study, no participants received rescue-eradication therapy, and no subjects withdrew due to study-related adverse events. Solicited adverse events occurred equally frequently in the colonized group and the uncolonized group. Mild symptoms of cough, rhinorrhea, and nasal congestion were reported more frequently in the groups receiving higher inoculum doses (Supplementary Figures S1 and S2)."</t>
  </si>
  <si>
    <t>From Sup Figure S2</t>
  </si>
  <si>
    <t xml:space="preserve"> </t>
  </si>
  <si>
    <t>none</t>
  </si>
  <si>
    <t>"Eligible participants were healthy males and females aged 18–45 years, who were available for the admission period and all scheduled visits, had a history of being vaccinated against Bp no less than 5 years before enrollment, were nonsmokers, had no use of antibiotics within 4 weeks of enrollment, and had not had contact with people vulnerable to Bp disease. Participants with a serum antipertussis toxin immunoglobulin G (IgG) level &gt;20 international units/liter or a positive Bp culture from a pernasal swab, pregnant women, nursing mothers, females of childbearing age who did not use acceptable birth control, people with impairments/alterations of the immune system (including immunosuppressive therapy), and people with a contraindication to azithromycin were excluded."</t>
  </si>
  <si>
    <t>"This was a first-in-human study conducted in accordance with the provisions of the Declaration of Helsinki (1996) and the International Conference on Harmonization Guidelines for Good Clinical Practice. This study is registered with ClinicalTrials.gov (NCT03751514; ethical committee reference 17/SC/0006)."</t>
  </si>
  <si>
    <t>first-in-human study</t>
  </si>
  <si>
    <t>de Graaf 2020</t>
  </si>
  <si>
    <t>DeVincenzo J</t>
  </si>
  <si>
    <t>NCT03258502</t>
  </si>
  <si>
    <t>https://clinicaltrials.gov/ct2/show/NCT03258502?term=NCT03258502&amp;draw=2&amp;rank=1</t>
  </si>
  <si>
    <t>randomized, double-blind, placebo- controlled trial</t>
  </si>
  <si>
    <t>Presence of viral shedding</t>
  </si>
  <si>
    <t>None given, but treatment emergent adverse events listed as abdominal pain, diarrhea, nausea, vomiting, rhinitis, URTI, viral URTI, headache, and rash</t>
  </si>
  <si>
    <t>"One SAE (acute myocarditis) was reported."</t>
  </si>
  <si>
    <t>RV521 (a small-molecule antiviral inhibitor of the RSV-F protein)</t>
  </si>
  <si>
    <t>"The study was conducted outside the natural RSV season in healthy male or female adult volunteers aged 18 to 45 years." and "Exclusion criteria included a smoking history of 10 pack-years; reduced lung function (FEV1, 80% of predicted normal); significant nose or nasopharynx abnormalities; symptoms of upper respiratory tract infection or LRTI within the previous 6 weeks; rhinitis (including hay fever); and receipt of medication for hay fever, nasal congestion, or respiratory tract infections within the 7 days before viral challenge."</t>
  </si>
  <si>
    <t>"This randomized, double-blind, placebo-controlled trial (ClinicalTrials.gov identifier NCT03258502; EudraCT number 2017-001282-24) was conducted in a purpose-built, specialist viral challenge quarantine unit (hVIVO, London, UK). The study was approved by the North East–Tyne &amp; Wear South Research Ethics Committee, United Kingdom, and was conducted according to Declaration of Helsinki and International Conference on Harmonisation Good Clinical Practice guidelines."</t>
  </si>
  <si>
    <t>DeVincenzo 2020</t>
  </si>
  <si>
    <t>Ducarmon QR</t>
  </si>
  <si>
    <t>Necator americanus larvae (dermal exposure)</t>
  </si>
  <si>
    <t>randomized dose ranging study</t>
  </si>
  <si>
    <t>"hookworm infection as shown by positive microscopy for hookworm eggs"</t>
  </si>
  <si>
    <t>Depending on dose group, some volunteers were technically rechallenged</t>
  </si>
  <si>
    <t>6 in dose group A, 7 in dose group B, 7 in dose group C</t>
  </si>
  <si>
    <t>"Abdominal adverse events consisted of bloating, nausea, vomiting, diarrhea or abdominal cramping"</t>
  </si>
  <si>
    <t>AE's were divided into 'lo' and 'hi' and 'hi' appears to be the group of relevance here</t>
  </si>
  <si>
    <t>"Twenty-four healthy male and female volunteers aged 18–45 years were included in a randomized controlled clinical trial investigating the effect of repeated infectious dosages on hookworm egg excretion and variability as previously described.19"</t>
  </si>
  <si>
    <t>"The trial was approved by the LUMC IRB (P17.224) and was registered at clinicaltrials.gov under NCT03257072."</t>
  </si>
  <si>
    <t>randomized controlled clinical trial</t>
  </si>
  <si>
    <t>Ducarmon 2020</t>
  </si>
  <si>
    <t>Eiden J</t>
  </si>
  <si>
    <t>H3N2 A/Belgium/4217/2015</t>
  </si>
  <si>
    <t>PMC6810285</t>
  </si>
  <si>
    <t>EudraCT #: 2017-004971-30</t>
  </si>
  <si>
    <t>48 received M2SR vaccine prior to challenge;
51 received placebo prior to challenge</t>
  </si>
  <si>
    <t>26/48 vaccinated became infected
36/51 placebo recipients became infected</t>
  </si>
  <si>
    <t>None given (does mention adverse events)</t>
  </si>
  <si>
    <t>No AE data; reports number with infection and illness</t>
  </si>
  <si>
    <t>M2SR H3N2 vaccine</t>
  </si>
  <si>
    <t>blinded, randomized, placebo-controlled human challenge study</t>
  </si>
  <si>
    <t>Eiden 2019</t>
  </si>
  <si>
    <t>Challenge, NAE</t>
  </si>
  <si>
    <t>Ferreira DM</t>
  </si>
  <si>
    <t>Streptococcus pneumoniae (type 6B)</t>
  </si>
  <si>
    <t>randomized dose ranging study; 10 subjects were rechallenged, but no data extracted from rechallenge</t>
  </si>
  <si>
    <t>Mean given for each of 7 cohorts, but not overall</t>
  </si>
  <si>
    <t>SD given for each of 7 cohorts</t>
  </si>
  <si>
    <t>pneumococcal colonization</t>
  </si>
  <si>
    <t>"no adverse event was reported."</t>
  </si>
  <si>
    <t>"We recruited healthy adults (18 and 60 yr) with no respiratory disease. Individuals naturally colonized with pneumococcus or in regular contact with at-risk individuals were excluded."</t>
  </si>
  <si>
    <t>"Ethical approvals were obtained from the National Health Service Research Ethics Committee (08/H1001/52 and 11/NW/0592)."</t>
  </si>
  <si>
    <t>experimental human pneumococcal carriage model</t>
  </si>
  <si>
    <t>Ferreira 2013</t>
  </si>
  <si>
    <t>Fullen DJ</t>
  </si>
  <si>
    <t>Influenza A/Perth/16/2009 (H3N2)</t>
  </si>
  <si>
    <t>NCT02525055</t>
  </si>
  <si>
    <t>https://clinicaltrials.gov/ct2/show/NCT02525055?term=NCT02525055&amp;draw=2&amp;rank=1</t>
  </si>
  <si>
    <t>"at least one positive cell culture assay from a nasopharyngeal swab and/or at least two positive detections qPCR within a 24 hour period post-Influenza inoculation to day of discharge from quarantine"</t>
  </si>
  <si>
    <t>4 different dosages at 6 participants per dosage</t>
  </si>
  <si>
    <t>A Virus Expected Event (VEE) is that which would be recorded in a symptom diary card or is consistent with Influenza like illness (ILI) and were not considered to be adverse events (AEs). There were 13 VEEs. Six AEs were procedure related, but were not of serious concern, the volunteers recovered quickly.</t>
  </si>
  <si>
    <t>"There were no SAEs."</t>
  </si>
  <si>
    <t>"Healthy adult volunteers (subjects) who were serosuitable (HAI &lt; 10) for the challenge virus underwent eligibility assessments which included physical examination, medical history, vital signs, electrocardiogram (ECG), spirometry, clinical chemistry, haematology, and coagulation. The quarantine and challenge phase was conducted at our facility in London. Subjects were screened for serosuitablilty from 56 days to 3 days before inoculation day. Subjects were admitted to the quarantine unit 48 hours before inoculation and absence of a concurrent respiratory illness was confirmed by clinical observation and a negative Direct Fluorescence Antibody Assay (DFA)"</t>
  </si>
  <si>
    <t>"The study was approved by City and East London NRES and the study conducted in accordance with Good Clinical Practice and the Declaration of Helsinki 1996."</t>
  </si>
  <si>
    <t>randomised double-blind study</t>
  </si>
  <si>
    <t>Fullen 2016a</t>
  </si>
  <si>
    <t>HRV-16</t>
  </si>
  <si>
    <t>NCT02522832</t>
  </si>
  <si>
    <t>https://clinicaltrials.gov/ct2/show/NCT02522832?term=NCT02522832&amp;draw=2&amp;rank=1</t>
  </si>
  <si>
    <t>"Laboratory-confirmed HRV-16 infection was defined as the presence of viral shedding or seroconversion. Viral shedding was defined as at least one positive cell culture assay in any sample type (nasal wash, nasopharyngeal swab or throat swab), and/or at least two positive detections by qualitative polymerase chain reaction (qPCR) in any sample type (nasal wash, nasopharyngeal swab or throat swab) during the post-Viral Challenge quarantine period to the day of discharge. Seroconversion, as measured by serial dilution using a standard neutralisation assay, was defined as a four-fold or greater increase in serum neutralising antibody titre from baseline (between day -2 and day 28)."</t>
  </si>
  <si>
    <t>3 viral titre groups:
1 TCID50: 6
10 TCID50: 6
100 TCID50: 5</t>
  </si>
  <si>
    <t>"A Virus Expected Event (VEE) is that which would be recorded in a symptom diary card or is consistent with a common cold-like illness. Sixteen subjects developed VEEs (Table 4). VEEs not consistent with a mild to moderate HRV-16 infection were reported by only one subject, and were considered to be related to the study procedures, the quarantine environment, and subject’s activities following the quarantine phase of the study." (VEEs were not considered to be adverse events; no definition given for adverse events)</t>
  </si>
  <si>
    <t>3 subjects had abnormal spirometry, which resolved and no action was required. One "SAE was a Grade 4 self-limiting raised creatine phosphokinase considered to be of medical importance, but not considered to be related to the Challenge Virus, study procedures, concomitant medications or study assessments. No action was taken and the SAE resolved."</t>
  </si>
  <si>
    <t>"Healthy adult volunteers who were serosuitable for HRV-16 infection underwent study specific eligibility assessments which included physical examination, medical history, vital signs, electrocardiogram (ECG), spirometry, clinical chemistry, haematology, and coagulation. The viral challenge phase was conducted at the hVIVO quarantine facility in Whitechapel, London." and "Subjects were admitted 48 hours before inoculation for repeat baseline eligibility assessments. Absence of a concurrent respiratory illness was confirmed by a negative Direct Fluorescence Antibody (DFA) assay"</t>
  </si>
  <si>
    <t>"The study was approved by Fulham National Research Ethics Service, London and the study was conducted in accordance with Good Clinical Practice and the Declaration of Helsinki 1996."</t>
  </si>
  <si>
    <t>randomized single blind study</t>
  </si>
  <si>
    <t>Fullen 2016b</t>
  </si>
  <si>
    <t>Gibani MM</t>
  </si>
  <si>
    <t>S. Typhi (wild-type Quailes strain or Quailes strain SB6000)</t>
  </si>
  <si>
    <t>says 40 completed the challenge but symptoms data indicate that the number challenged was 30 (?)</t>
  </si>
  <si>
    <t>"fever ≥38 °C for ≥12 h and/or S. Typhi bacteremia"</t>
  </si>
  <si>
    <t>Two different strains used for challenge</t>
  </si>
  <si>
    <t>maybe this is where the 30 in the symptoms data came from</t>
  </si>
  <si>
    <t>hospital visit required (from supplementary information)</t>
  </si>
  <si>
    <t>"Two serious adverse events were reported, neither of which was assessed as being related to S. Typhi challenge" (mentioned in our appendix)</t>
  </si>
  <si>
    <t>"Healthy adults aged 18–60 years, without prior residency in an enteric fever endemic country for ≥6 months, were considered eligible for enrollment. Key exclusion criteria included significant medical, surgical or psychiatric history and gallbladder disease."</t>
  </si>
  <si>
    <r>
      <t xml:space="preserve">"The OVG2016/03 study was sponsored by the University of Oxford (Clinical Trials &amp; Research Governance). Ethical approvals for the primary protocol, and any study amendments, were obtained from the South Central-Oxford A Research Ethics Committee (16/SC/0358). In the UK, legislation governing the deliberate release of genetically modified organisms is currently provided by the Environmental Protection Act 1990, sections 111 and 112 (ref. 37), and the Genetically Modified Organisms (Deliberate Release) Regulations 2002 (ref. 38). Approvals for deliberate release of the genetically modified strain of S. Typhi were obtained from the United Kingdom Department for Environment, Food &amp; Rural Affairs (16/R48/01) (ref. 39). The study was registered with </t>
    </r>
    <r>
      <rPr>
        <u/>
        <sz val="10"/>
        <color rgb="FF1155CC"/>
        <rFont val="Arial"/>
      </rPr>
      <t>clinicaltrials.gov</t>
    </r>
    <r>
      <rPr>
        <sz val="10"/>
        <color rgb="FF000000"/>
        <rFont val="Arial"/>
      </rPr>
      <t xml:space="preserve"> (NCT03067961) and was performed according to the provisions of the Declaration of Helsinki (2013) and Good Clinical Practice guidelines."</t>
    </r>
  </si>
  <si>
    <t>randomized, double-blind, human challenge study</t>
  </si>
  <si>
    <t>Gibani 2019</t>
  </si>
  <si>
    <t>S. Typhi (Quailes strain) or S. Paratyphi A (NVGH308 strain)</t>
  </si>
  <si>
    <t>NCT02192008</t>
  </si>
  <si>
    <t>https://clinicaltrials.gov/ct2/show/NCT02192008?term=NCT02192008&amp;draw=2&amp;rank=1</t>
  </si>
  <si>
    <t>Naive cohort</t>
  </si>
  <si>
    <t>Enteric fever: "The composite diagnostic endpoint for enteric fever was defined as a temperature of &gt;=38 ̊C persisting for &gt;=12 hours and/or S. Typhi/Paratyphi bacteraemia collected &gt;=72hours after oral challenge."</t>
  </si>
  <si>
    <t>None given; SAE descriptions listed: collapse, hospital admission for IV fluids, renal colic, raised ALT</t>
  </si>
  <si>
    <t>From supplementary information</t>
  </si>
  <si>
    <t>2 additional non-challenge-related SAEs discussed in our appendix</t>
  </si>
  <si>
    <t>Sodium bicarbonate solution</t>
  </si>
  <si>
    <t>"Healthy adults aged 18–60 years, without prior residency for &gt;=6 months in an enteric fever endemic country, were considered eligible for enrolment. Participants with a known and documented history of typhoid vaccination with either Vi-polysaccharide or Ty21a were excluded from the naïve cohort. Key exclusion criteria included significant medical, surgical or psychiatric history, gallbladder disease and high-risk occupations as defined by National guidelines[34]. A full description of inclusion and exclusion criteria is provided in the S1 Methods. We enrolled naïve volunteers with no known exposure to typhoidal Salmonella or previous vaccination into the naïve challenge cohort, consistent with earlier challenge studies conducted at the Oxford site [19–22]. The re-challenge cohort was comprised of volunteers who had previously participated in earlier S. Typhi or S. Paratyphi challenge studies conducted at the Oxford site[19–22]."</t>
  </si>
  <si>
    <t>"Written informed consent was obtained from all volunteers prior to enrolment. Ethical approvals for the primary protocol, and any study amendments, were obtained from the South-Central Oxford A research ethics committee (14/SC/1204). The study was registered with clinicaltrials.gov (NCT02192008) and was performed according to the provisions of the Declaration of Helsinki and Good Clinical Practice guidelines."</t>
  </si>
  <si>
    <t>participant-blinded, randomised, out-patient human challenge/re-challenge study</t>
  </si>
  <si>
    <t>Gibani 2020</t>
  </si>
  <si>
    <t>Re-challenged cohort</t>
  </si>
  <si>
    <t>Two non-challenge related: 1 prior to challenge (participant was withdrawn from study) and 1 occurred 12 months after challenge
Two challenge related: "Hospital admission for IV fluids" and "Raised ALT"</t>
  </si>
  <si>
    <t>Challenge, Rechallenge, Summed, Excluded</t>
  </si>
  <si>
    <t>Gómez-Pérez GP</t>
  </si>
  <si>
    <t>P. falciparum sporozoites (PfSPZ Challenge)</t>
  </si>
  <si>
    <t>NCT01771848</t>
  </si>
  <si>
    <t>https://clinicaltrials.gov/ct2/show/NCT01771848?term=NCT01771848&amp;draw=2&amp;rank=1</t>
  </si>
  <si>
    <t>dose ranging study</t>
  </si>
  <si>
    <t>parasitemia</t>
  </si>
  <si>
    <t>Abdominal pain, Atopic dermatitis lesions, Common cold, Diarrhoea, Dysmenorrhoea, Dyspepsia, Headache, Muscle spasm</t>
  </si>
  <si>
    <t>Unclear (1-25)</t>
  </si>
  <si>
    <t>no serious adverse events occurred</t>
  </si>
  <si>
    <t>"Eligibility was assessed by medical history, physical examination, standard haematological and biochemical tests, measurement of antibodies to asexual, erythrocytic P. falciparum parasites by indirect immunofluorescence test [IIFT, EUROINMUNO Medizinische Labordiagnostika AG; EUROPLUS: Plasmodium falciparum/Plasmodium vivax (IgG-IgM)], human immunodeficiency virus (HIV), hepatitis B, and hepatitis C serology, urine pregnancy test, electrocardiogram and risk assessment of cardiovascular disease. Main exclusion criteria were residence in a malaria-endemic region within the previous 6 months, history of receiving an investigational malaria vaccine, positive P. falciparum serology, pregnancy, any finding that suggested a chronic condition, or that in the opinion of the study physician, could significantly increase the risk to the volunteer of developing severe malaria infection. Before any intervention (medical history, screening tests) all volunteers gave written informed consent and answered correctly a questionnaire aimed to test their understanding of the study. They were requested to give three close contact phone numbers and social security numbers, to be able to search for them in case of missing follow-up visits."</t>
  </si>
  <si>
    <t>"The study received approval by the ethics committees of Hospital Clínic and Hospital de la Santa Creu i Sant Pau together with the administrative clearance provided by the Health Department of Generalitat de Catalunya. The study followed the principles of the Declaration of Helsinki in its 6th revision (2008) as well as International Conference on Harmonization—Good Clinical Practice (ICH-GCP) guidelines. The study is registered with ClinicalTrials.gov number NCT01771848."</t>
  </si>
  <si>
    <t>open-label, non-randomized, controlled study</t>
  </si>
  <si>
    <t>Gomez-Perez 2015</t>
  </si>
  <si>
    <t>Hales C</t>
  </si>
  <si>
    <t>Streptococcus pneumoniae (nasal challenge)</t>
  </si>
  <si>
    <t xml:space="preserve">Registered with EudraCT (2014-004634-26), no NCT # </t>
  </si>
  <si>
    <t>Antecedent study</t>
  </si>
  <si>
    <t>Pneumoniae colonization as determined by experimental culture</t>
  </si>
  <si>
    <t>Participants received one of two vaccines</t>
  </si>
  <si>
    <t>"Adverse events (including symptoms judged to be severe by the clinician), and use of standby antibiotics were universally recorded."</t>
  </si>
  <si>
    <t>"No serious adverse events were reported however, 18 participants (antecendent study n = 8; concurrent study n = 10) were reviewed by a clinician for symptoms requiring clinical investigation at any time point in the study. Of the 18 triggered clinical examinations, 6 occurred during the timeframe of daily symptom reporting (see Suppl Table 1)."</t>
  </si>
  <si>
    <t>A standard Influenza vaccine was administered as part of the study, but it was not being tested</t>
  </si>
  <si>
    <t>"We recruited healthy, non-smoking adults, aged 18–50 years old. Exclusion criteria were: Influenza or pneumococcal vaccination; clinically confirmed pneumococcal disease in the preceding two years; close contact with ‘high-risk’ individuals (children under 5 years, immunosuppressed, elderly); current febrile illness; recent or current use of antibiotics or immune-modulating medication; pregnancy."</t>
  </si>
  <si>
    <t>"The study was approved by the Liverpool East NHS Research Committee (14-NW-1460) and the Medicines and Healthcare products Regulatory Agency (EudraCT; Protocol 2014-00446334-26). All participants gave informed written consent."</t>
  </si>
  <si>
    <t>This single-centred, double-blinded, randomised, controlled trial involved two sequentially recruited cohorts.</t>
  </si>
  <si>
    <t>Hales 2020</t>
  </si>
  <si>
    <t>Concurrent study</t>
  </si>
  <si>
    <t>Challenge, Summed, Excluded</t>
  </si>
  <si>
    <t>Rylance J</t>
  </si>
  <si>
    <t>S. pneumoniae serotype 6B strain BHN418 sequence</t>
  </si>
  <si>
    <t>EudraCT 2014-004634-26</t>
  </si>
  <si>
    <t>https://clinicaltrials.gov/ct2/show/NCT03502291?term=rylance&amp;cond=Streptococcus+Pneumonia&amp;draw=2&amp;rank=1</t>
  </si>
  <si>
    <t>Immunization first cohort</t>
  </si>
  <si>
    <t>"“Colonization positivity” was determined by serial nasal washes and defined by detection of serotype 6B by culture at a programmed time point from 2 to 29 days (7, 8). In parallel, PCR detection of pneumococcal lytA was performed. In the “immunization first” study, LAIV vaccination preceded pneumococcal inoculation by 3 days (primary endpoint: colonization rate).</t>
  </si>
  <si>
    <t>55 previously vaccinated</t>
  </si>
  <si>
    <t>25/55 previously vaccinated became infected</t>
  </si>
  <si>
    <t>"There were no serious adverse events related to the intervention in either study" but no SAE data for challenge</t>
  </si>
  <si>
    <t>Live attenuated Influenza vaccine (for secondary effects on strep)</t>
  </si>
  <si>
    <t>"Healthy nonsmoking volunteers, 18–50 years old"</t>
  </si>
  <si>
    <t>"All of the participants gave written informed consent, with approval from the North West NHS Research Ethics Committee (14/NW/1460)."</t>
  </si>
  <si>
    <t>double-blinded, randomized, placebo-controlled trials</t>
  </si>
  <si>
    <t>Rylance 2019</t>
  </si>
  <si>
    <t>Colonization first cohort</t>
  </si>
  <si>
    <t>73 vaccinated 3 days after challenge</t>
  </si>
  <si>
    <t>36/73 subsequently vaccinated became infected</t>
  </si>
  <si>
    <t>Summed data for both cohorts</t>
  </si>
  <si>
    <t>Mean age given for each of two groups, but not overall</t>
  </si>
  <si>
    <t>Hales C and Rylance J</t>
  </si>
  <si>
    <t>32035708 and 30758980</t>
  </si>
  <si>
    <t>https://pubmed.ncbi.nlm.nih.gov/32035708/
https://pubmed.ncbi.nlm.nih.gov/30758980/</t>
  </si>
  <si>
    <t>Hales 2020 (See Above)
Rylance 2019 (See Above)</t>
  </si>
  <si>
    <t>NCT03502291
EudraCT 2014-004634-26</t>
  </si>
  <si>
    <t>Combined data from Hales 2020 and Rylance 2019</t>
  </si>
  <si>
    <t>Harris SA</t>
  </si>
  <si>
    <t>standard vaccine dose of intradermal BCG (SSI (Statens Serum Institut); 0.1 mL containing 2 to 8 × 105 CFU)</t>
  </si>
  <si>
    <t>PMC3969545</t>
  </si>
  <si>
    <t>NCT01194180</t>
  </si>
  <si>
    <t>https://clinicaltrials.gov/ct2/show/NCT01194180?term=NCT01194180&amp;draw=2&amp;rank=1</t>
  </si>
  <si>
    <t>23 previously vaccinated with BCG, but not as a challenge</t>
  </si>
  <si>
    <t>Median age given for each of gour groups, but not overall</t>
  </si>
  <si>
    <t xml:space="preserve">BCG detected in biopsy samples by qPCR </t>
  </si>
  <si>
    <t>24 vaccinated with MVA85A prior to challenge</t>
  </si>
  <si>
    <t>"Vaccination with MVA85A 4 weeks before challenge had no effect on the reactogenicity of the subsequent BCG challenge."</t>
  </si>
  <si>
    <t>None given, but "It was noted that previously BCG-vaccinated volunteers (groups C and D) experienced significantly more frequent local adverse events and significantly greater diameters of erythema and swelling at the challenge vaccination site during the first 2 weeks than did BCG-naive volunteers (groups A and B; data not shown), which is consistent with previous studies [20, 21]. Intradermal administration of candidate vaccine MVA85A at a dose of 1 × 108 pfu was safe and well tolerated, with an adverse event profile consistent with previous experience [18, 22]."</t>
  </si>
  <si>
    <t>"No serious adverse events occurred."</t>
  </si>
  <si>
    <t>MVA85A</t>
  </si>
  <si>
    <t>"Those enrolled were in good health, had normal baseline hematology and biochemistry, and were serologically negative for hepatitis B, hepatitis C, and HIV. Latent infection with M. tuberculosis was excluded by a negative ex vivo enzyme-linked immunosorbent spot (ELISpot) assay response to ESAT-6 and CFP-10 peptides."</t>
  </si>
  <si>
    <t>"This phase 1 trial (ClinicalTrial.gov registry NCT01194180) was approved by the Medicines and Healthcare Products Regulatory Agency (EudraCT 2010-018425-19) and the Oxfordshire Research Ethics Committee A (reference 10/H0505/31)." and "All participants gave written informed consent, and the trial was conducted according to the principles of the Declaration of Helsinki and Good Clinical Practice."</t>
  </si>
  <si>
    <t>phase 1 trial</t>
  </si>
  <si>
    <t>Harris 2014</t>
  </si>
  <si>
    <t>Challenge, Vaccine</t>
  </si>
  <si>
    <t>Harro C</t>
  </si>
  <si>
    <t>"Colonization was defined as isolation of ETEC H10407 in two stool specimens collected at least 24 h after challenge."</t>
  </si>
  <si>
    <t xml:space="preserve">all participants received challenge </t>
  </si>
  <si>
    <t>"Active solicitation regarding the following symptoms took place during the medical interview: fever, vomiting, nausea, abdominal pain, abdominal cramping, myalgias, malaise, bloating, flatulence, headache, lightheadedness, chills, constipation, and anorexia. Fever was defined as an oral temperature of ?100.4°F. Fever severity was categorized as mild (?100.4°F and ?101.1°F), moderate (?101.1°F and ?102.0°F), and severe (?102°F). Vomiting was classified as mild (1 episode within a 24-hour period), moderate (2 episodes within a 24-hour period), or severe (?2 episodes within a 24-h period). Other constitutional symptoms were graded as follows: mild (discomfort noted but no disruption of normal daily activities; relieved with or without symptomatic treatment), moderate (discomfort sufficient to reduce or affect normal daily activity; only partially relieved with symptomatic treatment), or severe (discomfort sufficient to reduce or affect normal daily activity considerably; not relieved with symptomatic treatment)."</t>
  </si>
  <si>
    <t>Unclear (&gt;=27)</t>
  </si>
  <si>
    <t>moderate and severe symptoms groups together</t>
  </si>
  <si>
    <t>"Healthy, 18- to 45-year-old, male or female subjects were recruited for the study using print and electronic media advertisement and by word of mouth. The study was explained to subjects in detail, time was provided for informed consent review, the consent form was individually reviewed with each subject by a member of the study team and signed, and witnessed consent was obtained. In addition, all subjects were required to pass a written assessment of understanding about the study that reviewed the study rationale, procedures, and risks. The prechallenge health status of subjects was assessed by written and oral medical history, physical examination, complete blood count, urinalysis, urine toxicology, blood chemistries, and tests for liver and kidney function, HIV-1, hepatitis B, and hepatitis C. Subjects were excluded if they had significant medical problems detected by history, physical examination, or screening laboratory tests or if an HIV-1, hepatitis B, or hepatitis C test was positive."</t>
  </si>
  <si>
    <t>"The protocol was conducted under BB-IND 12,243 at the Center for Immunization Research (CIR), Johns Hopkins Bloomberg School of Public Health. Approval to conduct the study was provided by the Western Institutional Review Board (Olympia, WA) for the Johns Hopkins Bloomberg School of Public Health and PATH and by the Institutional Biosafety Committee of the Johns Hopkins Institutions."</t>
  </si>
  <si>
    <t>series of studies designed to refine the ETEC H10407 challenge model</t>
  </si>
  <si>
    <t>Harro 2011b</t>
  </si>
  <si>
    <t>Rechallenged cohort</t>
  </si>
  <si>
    <t>Unclear (&gt;=7)</t>
  </si>
  <si>
    <t>NCT01739231</t>
  </si>
  <si>
    <t>https://clinicaltrials.gov/ct2/show/NCT01739231?term=NCT01739231&amp;draw=2&amp;rank=1</t>
  </si>
  <si>
    <t>Vaccination Phase</t>
  </si>
  <si>
    <t>"the primary endpoint was severe diarrhea based only on output volume"</t>
  </si>
  <si>
    <t>Live attenuated vaccine</t>
  </si>
  <si>
    <t>Reports vaccine shedding data</t>
  </si>
  <si>
    <t>Placebo</t>
  </si>
  <si>
    <t>"Solicited AEs included loose stools, diarrhea, nausea, vomiting, abdominal pain, urgency of defecation, malaise, headache, chill, fever, borborygmus (gurgling stomach), anorexia, fever, malaise and headache within one week of vaccination."</t>
  </si>
  <si>
    <t>Unclear (&gt;=17)</t>
  </si>
  <si>
    <t>ACE527</t>
  </si>
  <si>
    <t>"The protocol and amendments were reviewed by the Center for Biologics Evaluation and Review under BB-IND#15,181 and reviewed and approved by the Western Institutional Review Board (Olympia, Washington) and by the Johns Hopkins Institutional Biosafety Committee. The use of the H10407 ETEC challenge strain was conducted under BB-IND-12,234."</t>
  </si>
  <si>
    <t>randomized, placebo-controlled, double-blind study</t>
  </si>
  <si>
    <t>Harro 2019</t>
  </si>
  <si>
    <t>26 previously vaccinated</t>
  </si>
  <si>
    <t>10/26 previously vaccinated met primary endpoint of severe diarrhea</t>
  </si>
  <si>
    <t>No AE data reported for challenge</t>
  </si>
  <si>
    <t>Healy SA</t>
  </si>
  <si>
    <t>Plasmodium falciparum (infected mosquitoes)</t>
  </si>
  <si>
    <t>NCT01500980</t>
  </si>
  <si>
    <t>https://clinicaltrials.gov/ct2/show/NCT01500980?term=NCT01500980&amp;draw=2&amp;rank=1</t>
  </si>
  <si>
    <t>"detection of malaria parasites on Giemsa-stained thick blood films" (from supplementary appendix)</t>
  </si>
  <si>
    <t>Participants received chloroquine prophylaxis and bites from 12–15 P. falciparum–infected mosquitoes</t>
  </si>
  <si>
    <t>1 became thick blood smear positive; 23 became qRT-PCR positive</t>
  </si>
  <si>
    <t>"Drug control subjects received primaquine, chloroquine, and uninfected mosquito bites."</t>
  </si>
  <si>
    <t>"Adverse event (AE) severity grading was per protocol-established toxicity grading tables, based on US FDA guidelines for vaccine trials [19], with laboratory AEs based on institutional normal reference ranges (Supplementary Table S2)."</t>
  </si>
  <si>
    <t>Reports total participants with any AE after each vaccination; unable to determine overall total</t>
  </si>
  <si>
    <t>Chemoprophylaxis vaccination with sporozoites</t>
  </si>
  <si>
    <t>"Malaria-naive, healthy, adult men or non-pregnant women were eligible if they provided informed consent, were available for the study duration, passed an “Assessment of Understanding” questionnaire, and met the study inclusion/exclusion criteria. The full inclusion/exclusion criteria are in the Supplementary Appendix (SA; pages 5–8)."</t>
  </si>
  <si>
    <t>"The study was monitored by an independent Safety Monitoring Committee and medical monitor, who was approved by the Western Institutional Review Board and the University of Washington Institutional Review Board, and was conducted under Food and Drug Administration (FDA) Investigational New Drug Application 14752. The trial followed Good Clinical Practice guidelines and institutional procedures."</t>
  </si>
  <si>
    <t>Phase I, randomized, partial double-blind, placebo-controlled study</t>
  </si>
  <si>
    <t>Healy 2020</t>
  </si>
  <si>
    <t>P. falciparum sporozoite (PfSPZ)</t>
  </si>
  <si>
    <t>detected parasitemia</t>
  </si>
  <si>
    <t>18 previously vaccinated</t>
  </si>
  <si>
    <t>14/18 previously vaccinated became infected</t>
  </si>
  <si>
    <t>Herrera S</t>
  </si>
  <si>
    <t>P. vivax (infected mosquito bites)</t>
  </si>
  <si>
    <t>Mean age given for Fy+ volunteers (26.8), but not given overall</t>
  </si>
  <si>
    <t>5 participants were Fy- and were considered negative controls, all were exposed to infection, but as expected, none became infected</t>
  </si>
  <si>
    <t>Unclear (17?)</t>
  </si>
  <si>
    <t>"All individuals cleared parasitemia between 24 and 48 hr after initiating antimalarial treatment, and all successfully recovered within 2–3 days without any severe or serious AE.  None had to be hospitalized because of the infection, although one volunteer attended to the emergency service because she had an anxiety crisis 1 day after the initiation of antimalarials."</t>
  </si>
  <si>
    <t>"During recruitment, the risks of participation, including the risk of exposure to mosquito bites, the symptoms associated to P. vivax malaria infection including the risk of relapses and the risks and discomfort of antimalarial therapy, were explained to each prospective volunteer. Study participants were provided ample opportunity to read the consent forms, to ask questions to the investigators, and were encouraged to consult with family and friends. All volunteers had to pass an oral or written exam concerning the trial and its risks before signature of the written consent. Separate consents were obtained from each volunteer for human immunodeficiency virus (HIV) screening and for enrollment. Participants were allowed to withdraw voluntarily from the study at any time. Individuals were excluded if they had abnormal laboratory test values or had any conditions that would increase the risk of an adverse outcome, as described in a previous report."</t>
  </si>
  <si>
    <t>"All participants were recruited after the protocol was approved by the Ethics Committee of the Universidad del Valle and the Fundación Clínica Valle del Lili. The trial complied with the ICH E-6 Guidelines for Good Clinical Practices."</t>
  </si>
  <si>
    <t>randomized, open-label clinical trial</t>
  </si>
  <si>
    <t>Herrera 2011</t>
  </si>
  <si>
    <t>Hodgson SH</t>
  </si>
  <si>
    <t>PACTR20121100033272</t>
  </si>
  <si>
    <t>Diagnosed with malaria by presence of symptoms and/or blood film positivity</t>
  </si>
  <si>
    <t>14 had been exposed to pathogen previously, 14 had not</t>
  </si>
  <si>
    <t>Lymphopenia, neutropenia, leucopenia, thrombocytopenia, tachycardia, abdominal pain, nausea, vomiting, anorexia, diarrhoea, malaise, chills, fatigue, sweating, rigor, fever, elevated ALT, arthralgia, myalgia, back pain, neck pain, headache, migraine, epistaxis</t>
  </si>
  <si>
    <t>Supplementary materials Table S7</t>
  </si>
  <si>
    <t>"Key inclusion criteria included healthy males and non-pregnant females aged 18–40 years and agreement to stay as an in-patient from the day before administration of PfSPZ Challenge until completion of anti-malarial treatment. Key exclusion criteria included quantitative polymerase chain reaction (qPCR) positivity for P. falciparum at screening, hemoglobinopathies likely to impact on study results and prior receipt of an investigational malaria vaccine (see Supplementary Information for full list of inclusion and exclusion criteria). At screening, in addition to a full medical history, examination, urinalysis, and pregnancy test in females, safety blood tests (including complete blood count, hamoglobinopathy screen, electrolytes, liver function tests and assays for HIV, hepatitis B, hepatitis C) and an electrocardiogram were performed for each volunteer to identify and exclude any individuals with baseline abnormalities (Nieman et al., 2009; Van Meer et al., 2014). Highly sensitive qPCR for P. falciparum was performed on screening blood samples to identify and exclude any individuals with asymptomatic parasitemia (see Supplementary Information). Volunteers were asked not to leave Nairobi between screening and enrolment in order to prevent acquisition of community-acquired P. falciparum infection prior to administration of PfSPZ Challenge. Volunteers positive for P. falciparum by qPCR at screening were treated with a therapeutic course of Co-Artem® as per national guidelines and excluded from participation. Volunteers with clinically significant illness at screening were excluded and referred for appropriate management as per national guidelines."</t>
  </si>
  <si>
    <t>"The study was conducted at the KEMRI Centre for Clinical Research, Nairobi, Kenya. Nairobi was chosen as the study site due to the lack of natural transmission of P. falciparum in the city, the ease of access to tertiary health care and the large number of educated adults drawn from all parts of Kenya, which would help ensure heterogeneity in prior exposure to P. falciparum in study participants. The study was conducted according to the principles of the Declaration of Helsinki and in accordance with Good Clinical Practice (GCP)." and "As the first CHMI study to take place in Kenya, the study was discussed prior to submission, in detail with the KEMRI Ethics Review Committee (ERC) and the Kenyan Ministry of Health. Following ethical and regulatory approval of the study, meetings were held with senior managers of local universities to provide information regarding the study and gain permission to hold sensitization meetings with the students at their institutions."</t>
  </si>
  <si>
    <t>open-label, randomized CHMI pilot-study</t>
  </si>
  <si>
    <t>Hodgson 2014</t>
  </si>
  <si>
    <t>P. falciparum (strain 3D7) (infected mosquito bites)</t>
  </si>
  <si>
    <t>NCT01623557</t>
  </si>
  <si>
    <t>https://clinicaltrials.gov/ct2/show/NCT01623557?term=NCT01623557&amp;draw=2&amp;rank=1</t>
  </si>
  <si>
    <t>comparison of two vaccines (15 volunteers each), plus 6 controls who received malaria but not vaccine</t>
  </si>
  <si>
    <t>positive findings of thick film microscopy, with at least 1 morphologically normal malaria trophozoite seen by &gt;=1 experienced microscopost.</t>
  </si>
  <si>
    <t>30 previously vaccinated</t>
  </si>
  <si>
    <t>27/30 previously vaccinated became infected</t>
  </si>
  <si>
    <t>None given, supplementary materials break them down by severity and "pain, rythema, warmth, pruitus, swelling, other"</t>
  </si>
  <si>
    <t>"Healthy, malaria-naive men and non-pregnant women aged 18–45 years were invited to participate in the study."</t>
  </si>
  <si>
    <t>"All volunteers gave written informed consent prior to participation, and the study was conducted according to the principles of the Declaration of Helsinki and in accordance with good clinical practice." and "All necessary approvals for the study were granted by the United Kingdom National Research Ethics Service, Committee South Central-Oxford A (reference 12/SC/0037), and the United Kingdom Medicines and Healthcare Products Regulatory Agency (reference 21584/0293/001-0001). The study was additionally reviewed by the Western Institution Review Board (Seattle, WA; reference 20120266) at the request of the PATH Malaria Vaccine Initiative and was approved. The Genetically Modified Organisms Safety Committee of the Oxford University Hospitals NHS Trust (reference GM462.11.65) authorized recombinant vaccine use. The trial was registered with ClinicalTrials.gov (reference NCT01623557). The local safety committee provided safety oversight, and good clinical practice compliance was independently monitored by an external organization (Appledown Clinical Research, Great Missenden, United Kingdom)."</t>
  </si>
  <si>
    <t>Phase I/IIa open-label, vaccine and CHMI trial</t>
  </si>
  <si>
    <t>Hodgson 2015a</t>
  </si>
  <si>
    <t>Janowicz DM</t>
  </si>
  <si>
    <t>Haemophilus ducreyi</t>
  </si>
  <si>
    <t>Summary of data from multiple studies</t>
  </si>
  <si>
    <t>development of pustule</t>
  </si>
  <si>
    <t>Not specific; possibly more information in original studies</t>
  </si>
  <si>
    <t>"All subjects provided written informed consent for participation and human immunodeficiency virus serological analysis, in accordance with the human experimentation guidelines of the United States Department of Health and Human Services and the institutional review boards of Indiana University and Purdue University Indianapolis."</t>
  </si>
  <si>
    <t>cumulative 15-year experience with the experimental human infection model of H. ducreyi.</t>
  </si>
  <si>
    <t>Janowicz 2009</t>
  </si>
  <si>
    <t>Jin C</t>
  </si>
  <si>
    <t>S Typhi Quailes strain</t>
  </si>
  <si>
    <t>NCT02324751</t>
  </si>
  <si>
    <t>https://clinicaltrials.gov/ct2/show/NCT02324751?term=NCT02324751&amp;draw=2&amp;rank=1</t>
  </si>
  <si>
    <t>Mean given for each of 3 groups, but not overall</t>
  </si>
  <si>
    <t>SD given for each of 3 groups</t>
  </si>
  <si>
    <t>persistent fever (&lt;38 C) or bacteremia</t>
  </si>
  <si>
    <t>1 excluded from per-protocol analysis; 72 had been previously vaccinated</t>
  </si>
  <si>
    <t>26/72 previously vaccinated became infected</t>
  </si>
  <si>
    <t>None given in the main or supplementary materials</t>
  </si>
  <si>
    <t>"Four serious adverse events were reported during the conduct of the study none of which were related to vaccine administration (appendix p 3)." One of these SAEs was diagnosis of inflammatory bowel disease, with symptoms preceding enrolment. (All four detailed in supplementary)</t>
  </si>
  <si>
    <t>Vi-tetanus toxoid conjugate vaccine</t>
  </si>
  <si>
    <t>"we recruited healthy adult volunteers aged between 18 and 60 years, with no previous history of typhoid vaccination, infection, or prolonged residency in a typhoid-endemic region. All volunteers underwent extensive medical screening, which included blood screening with baseline anti-Vi IgG assessment, and gallbladder ultrasound"</t>
  </si>
  <si>
    <t>"Written informed consent was obtained from all volunteers before enrolment. The study protocol was approved by the sponsor (University of Oxford), the South Central Oxford A Ethics Committee (14/SC/1427), and the Medicines and Healthcare Products Regulatory Agency (Eudract 2014-002978-36). The study was done in accordance with the principles of the Declaration of Helsinki and the International Council for Harmonisation Good Clinical Practice guidelines."</t>
  </si>
  <si>
    <t>single-centre, randomised controlled, phase 2b study</t>
  </si>
  <si>
    <t>Jin 2017</t>
  </si>
  <si>
    <t>S. Typhi Quailes strain</t>
  </si>
  <si>
    <t>NCT02324751 and NCT02192008</t>
  </si>
  <si>
    <r>
      <rPr>
        <u/>
        <sz val="10"/>
        <color rgb="FF1155CC"/>
        <rFont val="Arial"/>
      </rPr>
      <t>https://clinicaltrials.gov/ct2/show/NCT02324751?term=NCT02324751&amp;draw=2&amp;rank=1</t>
    </r>
    <r>
      <rPr>
        <sz val="10"/>
        <color rgb="FF000000"/>
        <rFont val="Arial"/>
      </rPr>
      <t xml:space="preserve">
</t>
    </r>
    <r>
      <rPr>
        <u/>
        <sz val="10"/>
        <color rgb="FF1155CC"/>
        <rFont val="Arial"/>
      </rPr>
      <t>https://clinicaltrials.gov/ct2/show/NCT02192008?term=NCT02192008&amp;draw=2&amp;rank=1</t>
    </r>
  </si>
  <si>
    <t>this paper describes two clinical trials together. both were challenge trials</t>
  </si>
  <si>
    <t>Median age given for different groups, but not cohort as a whole</t>
  </si>
  <si>
    <t>86 were in the azythromyocin study and 74 were in the ciprofloxacin study</t>
  </si>
  <si>
    <t>"Antibiotic change due to adverse reaction or clinical concern (not meeting above definitions)"</t>
  </si>
  <si>
    <t>azithromycin (study A) and ciprofloxacin (study B)</t>
  </si>
  <si>
    <t>"Written informed consent was obtained from all volunteers before enrolment. Inclusion and exclusion criteria have previously been described [24,26,27]."</t>
  </si>
  <si>
    <r>
      <t xml:space="preserve">"Study protocols were approved by the sponsor (University of Oxford), the South-Central Oxford A Ethics Committee (14/SC/1427, 14/SC/1204), and the Medicines and Healthcare Products Regulatory Agency (Eudract 2014-002978-36). Both studies are registered with </t>
    </r>
    <r>
      <rPr>
        <u/>
        <sz val="10"/>
        <color rgb="FF1155CC"/>
        <rFont val="Arial"/>
      </rPr>
      <t>ClinicalTrials.gov</t>
    </r>
    <r>
      <rPr>
        <sz val="10"/>
        <color rgb="FF000000"/>
        <rFont val="Arial"/>
      </rPr>
      <t xml:space="preserve"> (NCT02324751, NCT02192008)."</t>
    </r>
  </si>
  <si>
    <t>secondary analysis of two S. Typhi controlled human infection studies: Study A was a single-centre, open-label, randomised trial, Study B was an observational challenge/re-challenge study</t>
  </si>
  <si>
    <t>Jin 2019</t>
  </si>
  <si>
    <t>Krause A</t>
  </si>
  <si>
    <t>P. falciparum (strain 3D7) (intravenously inoculated)</t>
  </si>
  <si>
    <t>"Assessment of parasitaemia was undertaken by PCR as previously described [13]."</t>
  </si>
  <si>
    <t>"All subjects reached the threshold for initiation of treatment, 1000 parasites ml-1, on the same day (day 7) with the exception of one subject, R002, who had a parasite concentration just below the threshold." (This subject was still included in the analysis, and it's implied that they were considered to be infected)</t>
  </si>
  <si>
    <t>"Once PCR-positive, subjects were monitored twice daily for adverse events and the unexpected early onset of symptoms, signs or parasitological evidence of malaria." and "No severe or serious adverse events were reported at the tested dose of 500 mg of 451840. No AEs were attributed to the drug, and except for nausea attributed to the administration of artemether/lumefantrine, all AEs were attributed to malaria."</t>
  </si>
  <si>
    <t>"All AEs were mild to moderate and resolved without sequelae by the end of the study."</t>
  </si>
  <si>
    <t>Actelion-451840 (experimental drug), Riamet (artemether/lumefantrine) (treatment)</t>
  </si>
  <si>
    <t>"Eight healthy male subjects agreeing to use a double barrier method of contraception for at least 14 days up to the time of dosing through 90 days after dosing were recruited."</t>
  </si>
  <si>
    <t>proof-of-concept, single centre, open label phase 1b study</t>
  </si>
  <si>
    <t>Krause 2016</t>
  </si>
  <si>
    <t>Lambkin-Williams R</t>
  </si>
  <si>
    <t>A/Panama/2007/1999 (H3N2) virus</t>
  </si>
  <si>
    <t>NCT02522754</t>
  </si>
  <si>
    <t>https://clinicaltrials.gov/ct2/show/NCT02522754?term=NCT02522754&amp;draw=2&amp;rank=1</t>
  </si>
  <si>
    <t>Two challenge trials described in paper; pooled data</t>
  </si>
  <si>
    <t>"symptoms recorded included runny nose, stuffy nose, sore throat, earache, malaise, cough, headache, muscle and/or joint ache" and seroconversion defined as "the change of a serologic test from negative to positive, indicating the development of antibodies in response to infection or immunization. It is defined as a four-fold increase in the antibody titre generated by an antigen whether that be a vaccine or an infection."</t>
  </si>
  <si>
    <t>100 previously vaccinated</t>
  </si>
  <si>
    <t>13/100 previously vaccinated became infected</t>
  </si>
  <si>
    <t>"Most frequently reported treatment emergent AEs were respiratory, gastro-intestinal, and thoracic and mediastinal" and severe AEs: "upper respiratory symptoms (sneezing and conjunctival infection) with fever, abdominal pains, diarrhoea, and multiple systemic complaints" and "tonsillitis, pyelonephritis, fatigue, flu-like illness (in a non-challenged subject) and conjunctivitis."</t>
  </si>
  <si>
    <t>Distinguishes "immediate" and "reactogenicity" complaints separately from adverse events (during vaccine phase)</t>
  </si>
  <si>
    <t>Proteosome-adjuvanted trivalent inactivated Influenza vaccine (P-TIV)</t>
  </si>
  <si>
    <t>"Subjects were volunteers aged 18–50 years inclusive who were willing to forego the licensed seasonal Influenza vaccine until after study completion and provide written informed consent. Subjects were in good general health as determined by medical history, physical examination, serology (HIV and Hepatitis B and C) and clinical laboratory tests. Female subjects were required to provide a history of reliable contraceptive practice. Susceptibility to A/Panama/2007/1999 (H3N2) (a serum reciprocal HAI titre 10) was confirmed at screening. Exclusion criteria included asthma, hypersensitivity to mercurials or chicken eggs, anatomic or neurologic abnormality impairing the gag reflex or contributing to aspiration, chronic nasopharyngeal complaints, abnormal electrocardiogram (ECG), febrile illness or significant symptoms of upper respiratory infection on the day of vaccination or between admission to quarantine and administration of the challenge inoculum. Subjects were excluded if they used medication or other products for rhinitis or nasal congestion, had received systemic glucocorticoids within 1 month, or cytotoxic or immunosuppressive drugs within 6 months of the study start. Subjects agreed not to smoke during the quarantine phase."</t>
  </si>
  <si>
    <t>"Two studies, both ethically approved by the North East London Strategic Health Authority, were conducted in accordance with the ethical principles which have their origin in the Declaration of Helsinki, the ICH guidelines for Good Clinical Practice (GCP), and relevant Canadian Food and Drug Regulations. Written informed consent was obtained from all subjects."</t>
  </si>
  <si>
    <t>two separate studies using the human viral challenge model</t>
  </si>
  <si>
    <t>Lambkin-Williams 2016</t>
  </si>
  <si>
    <t>P. falciparum (strain NF135.C10 or NF166.C8) (infected mosquito bites)</t>
  </si>
  <si>
    <t>NCT02149550</t>
  </si>
  <si>
    <t>https://clinicaltrials.gov/ct2/show/NCT02149550?term=NCT02149550&amp;draw=2&amp;rank=1</t>
  </si>
  <si>
    <t>"parasitemia by quantitative polymerase chain reaction"</t>
  </si>
  <si>
    <t>Solicited adverse events included headache, nausea, malaise, chills and myalgia</t>
  </si>
  <si>
    <t>"All parasitemic volunteers experienced one or more AEs."</t>
  </si>
  <si>
    <t>atovaquone/proguanil</t>
  </si>
  <si>
    <t>"healthy male and female volunteers, aged 18–35 years"</t>
  </si>
  <si>
    <t>"The trial was registered at www.clinicaltrials.gov, identifier NCT02149550. Ethical approval from the Central Committee on Research Involving Human Subjects (NL48704.000.14) was obtained."</t>
  </si>
  <si>
    <t>single-center, double-blind, randomized trial</t>
  </si>
  <si>
    <t>Langenberg 2018</t>
  </si>
  <si>
    <t>Laurens MB</t>
  </si>
  <si>
    <t>Plasmodium falciparum (mosquitoes infected with strain NF54)</t>
  </si>
  <si>
    <t>NCT00744133</t>
  </si>
  <si>
    <t>https://clinicaltrials.gov/ct2/show/NCT00744133?term=NCT00744133&amp;draw=2&amp;rank=1</t>
  </si>
  <si>
    <t>"patent parasitemia by microscopy" and "Parasitemia by qPCR"</t>
  </si>
  <si>
    <t>Participants were exposed until infected</t>
  </si>
  <si>
    <t>Solicited symptoms and signs included fever, headache, malaise, chills, myalgia, nausea, dizziness, arthralgia, abdominal pain, diarrhea, vomiting, shortness of breath, change in exercise tolerance, chest pain, and urticaria</t>
  </si>
  <si>
    <t>Unclear (&gt;=8)</t>
  </si>
  <si>
    <t>Chloroquine</t>
  </si>
  <si>
    <t>"Healthy, malaria-naive U.S. volunteers aged 18–40 years were recruited" and "All participants provided written informed consent prior to study screening procedures, including documentation of medical history, assessment of cardiovascular risk [24], a physical examination, and laboratory analyses (urinalysis, hemoglobin, hemoglobin electrophoresis, white blood cell count, platelet count, serum aspartate aminotransferase (AST), alanine aminotransferase (ALT), glucose, and creatinine)."</t>
  </si>
  <si>
    <r>
      <t xml:space="preserve">"The study was approved by the University of Maryland School of Medicine Institutional Review Board and was conducted in compliance with the Declaration of Helsinki. Independent site monitoring was conducted to ensure that human subject protection, study procedures, laboratory procedures, study intervention administration, and data collection processes met GCP/ICH and regulatory guidelines. An independent safety monitoring committee was convened to review study participant safety data and clinical results. The clinical trial was registered on </t>
    </r>
    <r>
      <rPr>
        <u/>
        <sz val="10"/>
        <color rgb="FF1155CC"/>
        <rFont val="Arial"/>
      </rPr>
      <t>clinicaltrials.gov</t>
    </r>
    <r>
      <rPr>
        <sz val="10"/>
        <color rgb="FF000000"/>
        <rFont val="Arial"/>
      </rPr>
      <t>, registry number NCT00744133."</t>
    </r>
  </si>
  <si>
    <t>Laurens 2013</t>
  </si>
  <si>
    <t>Lell B</t>
  </si>
  <si>
    <t>PfSPZ challenge (aseptic, purified, infectious PfSPZ, strain NF54)</t>
  </si>
  <si>
    <t>NCT02237586</t>
  </si>
  <si>
    <t>https://clinicaltrials.gov/ct2/show/NCT02237586?term=NCT02237586&amp;draw=2&amp;rank=1</t>
  </si>
  <si>
    <t>Semi-immune cohort</t>
  </si>
  <si>
    <t>Thick blood smear and qPCR positivity (recorded as distinct endpoints)</t>
  </si>
  <si>
    <t>Thick blood smear positive</t>
  </si>
  <si>
    <t>"Symptoms and adverse events (AEs) were captured through semistructured interviews and diaries, followed by coding using MedDRA. All AEs were graded (mild, moderate, or severe), and their relatedness to the study interventions (clindamycin, PfSPZ Challenge, malaria, or malaria treatment) was assessed on a five-grade scale (definitely not related, unlikely, possibly, probably, and definitely related)."</t>
  </si>
  <si>
    <t>"Every volunteer had at least one AE" and "no serious AE occurred during the trial."</t>
  </si>
  <si>
    <t>Clindamycin</t>
  </si>
  <si>
    <t>"Volunteers were healthy adults between 18 and 30 years of age, without a history of severe chronic diseases and without a history of intake of an antimalarial drug in the preceding weeks. Pregnancy and the intention to become pregnant during the study were exclusion criteria." and "On screening, volunteers were evaluated for clinical and laboratory abnormalities on two occasions. In addition, hemoglobin status was assessed by gel electrophoresis."</t>
  </si>
  <si>
    <t>"The study received approval by the Gabonese National Ethics Committee (Comit  ́e National d’Ethique de la Recherche) and was conducted under the US FDA Investigational New Drug application. Before enrollment, written informed consent was obtained from volunteers, and understanding of the study and procedures was assessed with a quiz. The study followed the principles of the Declaration of Helsinki in its sixth revision as well as the “International Council for Harmonization of Technical Requirements for Pharmaceuticals for Human Use–Good Clinical Practice (ICH-GCP)” guidelines. Safety of participants was supervised by an independent safety review committee. The study is registered with ClinicalTrials.gov, number NCT02237586."</t>
  </si>
  <si>
    <t>Lell 2018</t>
  </si>
  <si>
    <t>Sickle cell cohort</t>
  </si>
  <si>
    <t>Non-immune cohort</t>
  </si>
  <si>
    <t>Summed data for all cohorts</t>
  </si>
  <si>
    <t>Median given for each of 3 cohorts, but not overall</t>
  </si>
  <si>
    <t>Lillie PJ</t>
  </si>
  <si>
    <t>NCT00890760</t>
  </si>
  <si>
    <t>https://clinicaltrials.gov/ct2/show/NCT00890760?term=NCT00890760&amp;draw=2&amp;rank=1</t>
  </si>
  <si>
    <t>Malaria study</t>
  </si>
  <si>
    <t>Given for infected cohort, but not overall</t>
  </si>
  <si>
    <t>Median age given for infected cohort, but not cohort as a whole</t>
  </si>
  <si>
    <t>"All malaria volunteers were diagnosed on the basis of positive blood film microscopy"</t>
  </si>
  <si>
    <t>Unclear (&gt;=10)</t>
  </si>
  <si>
    <t>"No serious adverse events occurred in volunteers in either challenge"</t>
  </si>
  <si>
    <t>"We recruited healthy malaria naive adults aged 18-50 years old from the Oxford area. Enrolled control volunteers (n = 12) were seronegative for HIV, Hepatitis B virus and Hepatitis C virus and were used to assess the infectibility of the challenge inoculum. Routine haematological and biochemical tests on enrolled control volunteers were all within normal limits. These control volunteers underwent full clinical examination and safety blood tests the day prior to sporozoite challenge."</t>
  </si>
  <si>
    <t>"Clinical trial protocols (www.clinicaltrials.gov identifiers: NCT00890760 and NCT00993083) were approved by the UK Medicines and Healthcare Products Regulatory Agency and the Oxfordshire NHS Research Ethics Committee. All volunteers provided signed informed consent prior to any study procedure, and all studies were conducted according to the principles of Good Clinical Practice and the Declaration of Helsinki."</t>
  </si>
  <si>
    <t>Lillie 2012</t>
  </si>
  <si>
    <t>H3N2 influenza (A/Wisconsin/67/2005)</t>
  </si>
  <si>
    <t>NCT00993083</t>
  </si>
  <si>
    <t>https://clinicaltrials.gov/ct2/show/NCT00993083?term=NCT00993083&amp;draw=2&amp;rank=1</t>
  </si>
  <si>
    <t>Influenza study</t>
  </si>
  <si>
    <t>"laboratory-confirmed Influenza infection, defined as positive viral culture for challenge virus on nasal lavage fluid"</t>
  </si>
  <si>
    <t>"Volunteers aged 18-45 years were initially screened by haemagglutination inhibition (HI) assay against the virus to be used in the challenge phase of the study to ensure susceptibility to challenge. Those with a titre 1:10 were eligible for further detailed screening. Enrolled volunteers (n = 12) were seronegative for HIV, Hepatitis B virus and Hepatitis C virus and had not received seasonal Influenza vaccination for at least one year prior to enrolment. Routine haematological and biochemical tests on enrolled control volunteers were all within normal limits. Control volunteers underwent clinical examination, spirometry, safety blood tests and electrocardiography on entry to the quarantine facility."</t>
  </si>
  <si>
    <t>Controlled human Influenza infection</t>
  </si>
  <si>
    <t>Livezey J</t>
  </si>
  <si>
    <t>P. falciparum (7G8 clone) (infected mosquito bites)</t>
  </si>
  <si>
    <t>NCT03278808</t>
  </si>
  <si>
    <t>https://clinicaltrials.gov/ct2/show/NCT03278808?term=NCT03278808&amp;draw=2&amp;rank=1</t>
  </si>
  <si>
    <t>"The primary endpoint was symptomatic parasitaemia within 28 days of being challenged. Parasitaemia was determined by microscopic evaluation of thick blood smears. Symptomatic was defned as any one of the following solicited adverse events (AEs) that occurred concurrently with parasitaemia: fever (temperature&gt;100.4 °F), chills, headache, arthralgia, myalgia, nausea, vomiting, or abdominal pain."</t>
  </si>
  <si>
    <t>Parasitemia</t>
  </si>
  <si>
    <t>"Symptomatic was defned as any one of the following solicited adverse events (AEs) that occurred concurrently with parasitaemia: fever (temperature&gt;100.4 °F), chills, headache, arthralgia, myalgia, nausea, vomiting, or abdominal pain."</t>
  </si>
  <si>
    <t>Somewhat unclear; text reports treatment related AEs, while supplementary table reports more</t>
  </si>
  <si>
    <t>chloroquine with azithromycin</t>
  </si>
  <si>
    <t>"Healthy, non-pregnant, non-breastfeeding adults aged 18–50 (inclusive) were eligible for participation. Potentially eligible participants were screened utilizing medical history, physical examination and standard hematologic, renal and liver laboratory evaluations. Laboratory evaluations for human immunodefciency virus, hepatitis B and C were also conducted. Cardiac risk factors and screening electrocardiogram were assessed. Main exclusion criteria included any chronic medical condition as determined by history, physical examination, or laboratory evaluation that would afect the study results or put the subject at an unacceptably increased risk. Female subjects had to have a negative urine pregnancy test at initial screening and prior to frst treatment drug administration and malaria challenge. Women of child bearing potential were required to have been on some form of birth control from 1 month prior to study enrollment and agree to continue at least two forms of birth control for at least 56 days after the challenge. Prior to enrollment, study subjects could not have visited a malaria endemic country in the previous 3 months, received any malaria prophylaxis in the previous 2 months, been diagnosed with malaria within the past 3 years, or have ever received an experimental malaria vaccine. Concomitant medications that could potentially afect the pharmacokinetics of either treatment drug or the prescribed medication, such as cimetidine or other antacids, atorvastatin, or fuconazole or have potential anti-malarial activity were prohibited during the study."</t>
  </si>
  <si>
    <t>"The study was performed according to the Declaration of Helsinki and International Conference on Harmonization Good Clinical Practice Guidelines. The clinical protocol was reviewed and approved by the WRAIR and Uniformed Services University of the Health Services Institutional Review Boards. The study was also conducted in accordance with US FDA regulations. All participants provided written informed consent prior to participating in any study activities."</t>
  </si>
  <si>
    <t>open-label, randomized controlled trial</t>
  </si>
  <si>
    <t>Livezey 2020</t>
  </si>
  <si>
    <t>Lyke KE</t>
  </si>
  <si>
    <t>Parasitemia detected by blood smears and RTQ-PCR</t>
  </si>
  <si>
    <t>1 participant withdrew, but tested negative until discharge</t>
  </si>
  <si>
    <t>Signs and solicited symptoms included erythema, induration, site pain, malaise, myalgia, arthralgia, nausea, abdominal pain, diarrhea, fever, urticaria, headache, chills, cough, vomiting, shortness of breath, change in exercise tolerance (stamina), and chest pain</t>
  </si>
  <si>
    <t>"No severe adverse events were reported"</t>
  </si>
  <si>
    <t>"Participants were previously screened for good health and submitted blood for laboratories including hepatitis and HIV serologies and urine for pregnancy testing if applicable. Baseline complete blood counts (CBC), creatinine, glucose, aspartate aminotransferase (AST) and alanine aminotransferase (ALT) were screened and only volunteers with tightly defined normal values were enrolled. Additionally, volunteers were pre-screened for those with significant cardiovascular risk (i.e., .10%, 5 year risk)[21]. Risk factors include sex, age (years), systolic blood pressure (mm Hg), smoking status (current vs. past or never), body mass index (kg/mm2), reported diabetes status, or current treatment for raised blood pressure. A 12-lead ECG was performed and read by a staff cardiologist. Exclusion criteria included known history of malaria infection, long-term residence (.5 years) in a malaria-endemic area, travel to a malaria-endemic area within the previous 6 months, and splenectomy."</t>
  </si>
  <si>
    <t>"The trial was conducted in compliance with the Declaration of Helsinki. All volunteers signed an informed consent form after hearing a detailed explanation of the study and passing a written examination designed to ascertain if they understood the risks of malaria infection. Study protocols were reviewed and approved by institutional review boards of the University of Maryland and the National Institute of Allergy and Infectious Diseases/Division of Microbiology and Infectious Diseases. The trial was monitored by PPD, Inc. (Wilmington, NC)."</t>
  </si>
  <si>
    <t>Experimental infection by mosquito bite</t>
  </si>
  <si>
    <t>Lyke 2010</t>
  </si>
  <si>
    <t>Laurens MB and Lyke KE</t>
  </si>
  <si>
    <t>23874828
21042404</t>
  </si>
  <si>
    <t>https://pubmed.ncbi.nlm.nih.gov/23874828
https://pubmed.ncbi.nlm.nih.gov/21042404</t>
  </si>
  <si>
    <t>Laurens 2013 (See above)
Lyke 2010 (See above)</t>
  </si>
  <si>
    <t>Combined data for Laurens 2013 and Lyke 2010 (same ClinicalTrials ID, each paper reports separate results)</t>
  </si>
  <si>
    <t>Mean age given for each of two cohorts, but not overall</t>
  </si>
  <si>
    <t>Solicited symptoms and signs included fever, headache, malaise, chills, myalgia, nausea, dizziness, arthralgia, abdominal pain, diarrhea, vomiting, shortness of breath, change in exercise tolerance, chest pain, urticaria, erythema, induration, site pain, and cough</t>
  </si>
  <si>
    <t>Unclear (&gt;=23)</t>
  </si>
  <si>
    <t>Chloroquine (treatment after challenge)</t>
  </si>
  <si>
    <t>"Healthy, malaria-naive U.S. volunteers aged 18–40 years were recruited" and "All participants provided written informed consent prior to study screening procedures, including documentation of medical history, assessment of cardiovascular risk [24], a physical examination, and laboratory analyses (urinalysis, hemoglobin, hemoglobin electrophoresis, white blood cell count, platelet count, serum aspartate aminotransferase (AST), alanine aminotransferase (ALT), glucose, and creatinine)." and "Participants were previously screened for good health and submitted blood for laboratories including hepatitis and HIV serologies and urine for pregnancy testing if applicable. Baseline complete blood counts (CBC), creatinine, glucose, aspartate aminotransferase (AST) and alanine aminotransferase (ALT) were screened and only volunteers with tightly defined normal values were enrolled. Additionally, volunteers were pre-screened for those with significant cardiovascular risk (i.e., .10%, 5 year risk)[21]. Risk factors include sex, age (years), systolic blood pressure (mm Hg), smoking status (current vs. past or never), body mass index (kg/mm2), reported diabetes status, or current treatment for raised blood pressure. A 12-lead ECG was performed and read by a staff cardiologist. Exclusion criteria included known history of malaria infection, long-term residence (.5 years) in a malaria-endemic area, travel to a malaria-endemic area within the previous 6 months, and splenectomy."</t>
  </si>
  <si>
    <t>"The study was approved by the University of Maryland School of Medicine Institutional Review Board and was conducted in compliance with the Declaration of Helsinki. Independent site monitoring was conducted to ensure that human subject protection, study procedures, laboratory procedures, study intervention administration, and data collection processes met GCP/ICH and regulatory guidelines. An independent safety monitoring committee was convened to review study participant safety data and clinical results. The clinical trial was registered on clinicaltrials.gov, registry number NCT00744133." and "The trial was conducted in compliance with the Declaration of Helsinki. All volunteers signed an informed consent form after hearing a detailed explanation of the study and passing a written examination designed to ascertain if they understood the risks of malaria infection. Study protocols were reviewed and approved by institutional review boards of the University of Maryland and the National Institute of Allergy and Infectious Diseases/Division of Microbiology and Infectious Diseases. The trial was monitored by PPD, Inc. (Wilmington, NC)."</t>
  </si>
  <si>
    <t>CHMI and Experimental infection by mosquito bite</t>
  </si>
  <si>
    <t>Laurens 2013
Lyke 2010</t>
  </si>
  <si>
    <t>Mateo R</t>
  </si>
  <si>
    <t>NV GI.1 (Lot 001-09NV)</t>
  </si>
  <si>
    <t>NCT03721549</t>
  </si>
  <si>
    <t>https://clinicaltrials.gov/ct2/show/NCT03721549?term=NCT03721549&amp;draw=2&amp;rank=1</t>
  </si>
  <si>
    <t>"Acute gastroenteritis (AGE) was defined according to the criteria of Bernstein [19] as follows: (1) diarrhea (≥3 loose or liquid stools or &gt;400 grams of loose or liquid stools produced in any 24-hour period) or (2) vomiting (≥2 vomiting episodes in any 24-hour period), or (3) 1 vomiting episode plus any loose or liquid stool in any 24-hour period, or (4) 1 vomiting episode plus at least 2 of the following 5 events: nausea, oral temperature ≥37.6°C, abdominal cramps or pain, abdominal gurgling or bloating, or myalgia in any 24-hour period during the postchallenge sequestration period. Norwalk virus infection was confirmed by fecal virus excretion detected by qRT-PCR on any day postchallenge. Norwalk virus AGE met both criteria."</t>
  </si>
  <si>
    <t>2 groups (low and high doses)</t>
  </si>
  <si>
    <t>"Unexpected/unsolicited AEs exclude gastroenteritis symptoms because gastroenteritis is expected after ingestion of live norovirus. Expected/solicited AEs included nausea, diarrhea, vomiting, abdominal pain, fever, muscle aches, headache, and chills."</t>
  </si>
  <si>
    <t>"No unexpected/unsolicited AEs or serious AEs were reported" and no data on expected/solicited AEs</t>
  </si>
  <si>
    <t>"All subjects enrolled in the challenge study were healthy men and women 18–49 years old that were secretor-positive and blood group O or A."</t>
  </si>
  <si>
    <r>
      <t xml:space="preserve">"Protocols for the source fecal sample collections and processing for challenge virus were approved by the Institutional Review Board (IRB) at the University of North Carolina Chapel Hill (no. GCRC-2355) and awarded Investigational New Drug Application (IND) 14697. The clinical trial was conducted by West Coast Clinical Trials ([WCCT] Costa Mesa, CA) under IND 18352. The clinical protocol was reviewed and approved by Aspire IRB (Santee, CA). Written informed consent was obtained from all subjects before any study related assessments. The study was registered at </t>
    </r>
    <r>
      <rPr>
        <u/>
        <sz val="10"/>
        <color rgb="FF1155CC"/>
        <rFont val="Arial"/>
      </rPr>
      <t>clinicaltrials.gov</t>
    </r>
    <r>
      <rPr>
        <sz val="10"/>
        <color rgb="FF000000"/>
        <rFont val="Arial"/>
      </rPr>
      <t xml:space="preserve"> (NCT03721549)."</t>
    </r>
  </si>
  <si>
    <t>Controlled human infection model</t>
  </si>
  <si>
    <t>Mateo 2020</t>
  </si>
  <si>
    <t>McBride JM</t>
  </si>
  <si>
    <t>A/Wisconsin/67/2005 (H3N2)</t>
  </si>
  <si>
    <t>NCT01980966</t>
  </si>
  <si>
    <t>https://clinicaltrials.gov/ct2/show/NCT01980966?term=NCT01980966&amp;draw=2&amp;rank=1</t>
  </si>
  <si>
    <t>qPCR and "runny nose, stuffy nose, sneezing, sore throat, earache, malaise, cough, shortness of breath, headache, and muscle/joint ache/stiffness. Severity was graded on a scale of 0 to 3 (0, absence; 1, barely noticeable; 2, bothersome but does not prevent activities; 3, bothersome and interferes with activities)."</t>
  </si>
  <si>
    <t>"treatment-emergent adverse events (TEAEs) were reported in 86 of 100 dosed subjects"</t>
  </si>
  <si>
    <t>"These results demonstrate that MHAA4549A is well tolerated at the doses tested. Notably, there were no drug-related serious adverse events nor were there study discontinuations due to adverse events."</t>
  </si>
  <si>
    <t>MHAA4549A (human monoclonal antibody targeting the hemag- glutinin stalk region of Influenza A virus (IAV))</t>
  </si>
  <si>
    <t>"The study enrolled healthy subjects between 18 and 45 years of age who were required to be seronegative in hemagglutination inhibition (HAI) assays specifically toward the A/Wisconsin/67/2005 (H3N2) IAV inoculum. The study subjects had been screened for undetectable or low HAI antibody titers against the challenge virus to decrease the possibility that preexisting neutralizing antibodies would reduce infection. Subjects were not screened for neuraminidase antibody titers."</t>
  </si>
  <si>
    <t>"The London City and East Research Ethics Committee approved the study protocol. This trial was registered (ClinicalTrials.gov identifier NCT01980966) and conducted in full conformance with the International Council for Harmonisation E6 guidelines for Good Clinical Practice, the European Union Good Clinical Practice Directive (2005/28/EC), the Declaration of Helsinki, and applicable laws and regulations. All subjects provided written informed consent."</t>
  </si>
  <si>
    <t>randomized, double-blind, placebo-controlled, dose-ranging study in a human IAV challenge model</t>
  </si>
  <si>
    <t>McBride 2017</t>
  </si>
  <si>
    <t>McCarthy JS</t>
  </si>
  <si>
    <t>P. vivax</t>
  </si>
  <si>
    <t>Australia and New Zealand Clinical Trials Registry 12612001096842</t>
  </si>
  <si>
    <t>"Retrospective quantitative PCR testing"</t>
  </si>
  <si>
    <t>None given, describes symptoms consistent with malaria</t>
  </si>
  <si>
    <t>No AE data; describes malaria symptoms</t>
  </si>
  <si>
    <t>Mentions "antimalarial therapy" as treatment</t>
  </si>
  <si>
    <t>"Two healthy volunteers, both blood group A, Duffy positive, were recruited to undertake this study. Details of the inclusion and exclusion criteria are available in the online trial registration [19]."</t>
  </si>
  <si>
    <t>"Informed consent was obtained from the patient and volunteers. Human experimentation guidelines of the responsible Human Research Ethics Committees were followed in the conduct of this research." and "the phase 1 clinical trial encompassing experimental infection was approved by the Human Research Ethics Committee of the Queensland Institute of Medical Research (p1478). The trial was registered with the Australia and New Zealand Clinical Trials Registry (registration 12612001096842)."</t>
  </si>
  <si>
    <t>McCarthy 2013</t>
  </si>
  <si>
    <t>New Zealand Clinical Trials Registry ACTRN12612000323820</t>
  </si>
  <si>
    <t>Possibly 24 exposed to pathogen? Unclear; study results focus on group that received treatment</t>
  </si>
  <si>
    <t>"Parasitemia was
quantified by qPCR"</t>
  </si>
  <si>
    <t>If I understand correctly, participants were admitted to the study unit on the condition of being infected. Results are a bit unclear.</t>
  </si>
  <si>
    <t>"The only serious adverse event (recurrent tonsillitis) was considered unrelated to the clinical trial treatment" (unrelated to challenge, mentioned in supplementary) and 3 AEs with a severity of "severe" were recorded</t>
  </si>
  <si>
    <t>Mefloquine</t>
  </si>
  <si>
    <t>Not specific</t>
  </si>
  <si>
    <t>"The clinical protocol and associated documents were reviewed and approved by the Queensland Institute of Medical Research Berghofer Human Research Ethics Committee. The trial was registered at anzctr.org.au (registration number ACTRN12612000323820)." and "The human biological samples used at GSK were sourced ethically, and their research use was in accord with the terms of the informed consent."</t>
  </si>
  <si>
    <t>single-center, controlled study</t>
  </si>
  <si>
    <t>McCarthy 2016a</t>
  </si>
  <si>
    <t>P. falciparum</t>
  </si>
  <si>
    <t>Australian New Zealand Clinical Trials Registry ACTRN12612000814875</t>
  </si>
  <si>
    <t>"Plasmodium infection was monitored by quantitative PCR (qPCR)"</t>
  </si>
  <si>
    <t>"Upon reaching a threshold of 1000 parasites/mL as estimated by qPCR,19 participants were admitted to the study unit" and all 24 participants were enrolled and completed study</t>
  </si>
  <si>
    <t>"All adverse events were documented in the subject’s Clinical Record Form, and categorized according to their causality and severity, and whether they were defined as a serious or non-serious adverse event. All adverse events were followed until they were either resolved or adequately explained."</t>
  </si>
  <si>
    <t>"no deaths or serious adverse events occurred during the study"</t>
  </si>
  <si>
    <t>Artefenomel, Riamet (artemether/lumefantrine)</t>
  </si>
  <si>
    <t>"The study was conducted in accordance with the principles of the Declaration of Helsinki. It was approved by the QIMR Human Research Ethics Committee as QP12C10 Version 1.7, 18 December 2012; Addendum to PICF 25 January 2013 [Cohort 3]/IEC: QIMR-HREC, and registered on anzctr.org.au (registration number ACTRN12612000814875). All participating volunteers provided written consent."</t>
  </si>
  <si>
    <t>open-label, single-centre, controlled study</t>
  </si>
  <si>
    <t>McCarthy 2016b</t>
  </si>
  <si>
    <t>McClain MT</t>
  </si>
  <si>
    <t>Influenza A/Wisconsin/67/2005 (H3N2)</t>
  </si>
  <si>
    <t>qPCR and "runny nose, sinus stuffiness, sneezing, sore throat, earache, cough, shortness of breath, malaise, myalgias, fever"</t>
  </si>
  <si>
    <t>none given</t>
  </si>
  <si>
    <t>"All subjects were negative by rapid antigen detection at time of discharge, and no additional post-challenge adverse events were reported."</t>
  </si>
  <si>
    <t>"All volunteers provided informed consent and underwent extensive pre-enrolment health screening, and inclusion required negative baseline haemagglutination inhibition titres to the specific strain of Influenza utilized in the study."</t>
  </si>
  <si>
    <t>Not much provided, there might be more reported elsewhere. "in collaboration with hVivo Ltd (formerly Retroscreen Virology; London, UK)"</t>
  </si>
  <si>
    <t>human viral challenge study with Influenza A (H3N2)</t>
  </si>
  <si>
    <t>McClain 2016</t>
  </si>
  <si>
    <t>Minhinnick A</t>
  </si>
  <si>
    <t>BCG as surrogate for M. tuberculosis challenge</t>
  </si>
  <si>
    <t>NCT02088892</t>
  </si>
  <si>
    <t>https://clinicaltrials.gov/ct2/show/NCT02088892?term=NCT02088892&amp;draw=2&amp;rank=1</t>
  </si>
  <si>
    <t>microbiological and clinical findings consistent with BCG infection</t>
  </si>
  <si>
    <t>"We obtained data on the incidence of solicited and unsolicited local (challenge site) and systemic adverse events, reported by volunteers on diary cards for 14 days after BCG challenge, and by direct questioning at clinic follow-up appointments on days 2, 7, and 14. Challenge sites were assessed for local reactions, and vital signs were recorded."</t>
  </si>
  <si>
    <t>"All volunteers were healthy, aged 18–55 years, and BCG naive. The full inclusion and exclusion criteria are described in Supplementary Methods 1. All enrolled volunteers had normal baseline hematology and biochemistry findings and were negative for hepatitis B and C viruses and human immunodeficiency virus. Latent M. tuberculosis infection was excluded on the basis of negative findings of a negative T-spot.TB test (Oxford Immunotec)."</t>
  </si>
  <si>
    <t>"This study was conducted in accordance with the Declaration of Helsinki and good clinical practice. The National Research Ethics Service South Central–Oxford B research ethics committee reviewed and approved the study (REC reference 14/SC/0036)."</t>
  </si>
  <si>
    <t>controlled human challenge study</t>
  </si>
  <si>
    <t>Minhinnick 2016</t>
  </si>
  <si>
    <t>Mordmüller B</t>
  </si>
  <si>
    <t>PfSPZ Challenge (aseptic, purified, cryopreserved NF54 PfSPZ)</t>
  </si>
  <si>
    <t>NCT01624961 and NCT01771848</t>
  </si>
  <si>
    <r>
      <rPr>
        <u/>
        <sz val="10"/>
        <color rgb="FF1155CC"/>
        <rFont val="Arial"/>
      </rPr>
      <t xml:space="preserve">https://clinicaltrials.gov/ct2/show/NCT01624961?term=NCT01624961&amp;draw=2&amp;rank=1
</t>
    </r>
    <r>
      <rPr>
        <u/>
        <sz val="10"/>
        <color rgb="FF1155CC"/>
        <rFont val="Arial"/>
      </rPr>
      <t>https://clinicaltrials.gov/ct2/show/NCT01771848?term=NCT01771848&amp;draw=2&amp;rank=1</t>
    </r>
  </si>
  <si>
    <t>"the appearance of asexual parasites in peripheral blood, detected by thick blood film microscopy"</t>
  </si>
  <si>
    <t>"No serious AE (SAE) occurred"</t>
  </si>
  <si>
    <t>Plasmodium falciparum sporozoites</t>
  </si>
  <si>
    <t>"Volunteers were to be healthy and malaria-naïve individuals between 18 and 45 years of age, who had no history of malaria or long-term residency in a malaria-endemic area, never received an investigational malaria vaccine, were not immunosuppressed, had no acute or chronic infection or other disease, did not abuse alcohol or any other drug and belonged to a low-risk group for cardiac disease [19]. Before enrolment, written informed
consent was obtained and understanding of the study and procedures was assessed with a quiz."</t>
  </si>
  <si>
    <t>"The study received approval by the ethics committee of the University Clinic and the Medical Faculty of the University of Tübingen, and in Barcelona by the ethics committees of the Hospital Clinic and the Hospital de la Santa Creu i Sant Pau. The study followed the principles of the Declaration of Helsinki in its 6th revision as well as International Conference on Harmonization – Good Clinical Practice (ICH-GCP) guidelines."</t>
  </si>
  <si>
    <t>open-labelled, randomized, dose-finding study</t>
  </si>
  <si>
    <t>Mordmuller 2015</t>
  </si>
  <si>
    <t>Murphy SC</t>
  </si>
  <si>
    <t>P. falciparum (strain NF54) (DVI-based challenge or infected mosquito bites)</t>
  </si>
  <si>
    <t>"Primary efficacy end points were infection detected by Plasmodium 18S rRNA qRT-PCR within 28 days of challenge, and time from challenge to the first positive qRT-PCR ≥250 estimated parasites/mL"</t>
  </si>
  <si>
    <t>Time to infection is given, but it's unclear how many participants developed parasitemia</t>
  </si>
  <si>
    <t>"There were no deaths, SAEs, or clinically relevant changes in vital signs or QTc prolongations (≥30 msec vs baseline or an abso- lute value of &gt;450 msec)"</t>
  </si>
  <si>
    <t>DSM265</t>
  </si>
  <si>
    <t>"Healthy, malaria-naive adults (18–45 years old) were recruited. Eligibility criteria are in the Supplementary Materials."</t>
  </si>
  <si>
    <r>
      <t xml:space="preserve">"The study was performed at the Seattle Malaria Clinical Trials Center at the Fred Hutchinson Cancer Research Center (Seattle, WA) in collaboration with the Center for Infectious Disease Research (CID Research) and the University of Washington, was approved by the Fred Hutchinson Cancer Research Center Institutional Review Board, and is registered with </t>
    </r>
    <r>
      <rPr>
        <u/>
        <sz val="10"/>
        <color rgb="FF1155CC"/>
        <rFont val="Arial"/>
      </rPr>
      <t>ClinicalTrials.gov</t>
    </r>
    <r>
      <rPr>
        <sz val="10"/>
        <color rgb="FF000000"/>
        <rFont val="Arial"/>
      </rPr>
      <t xml:space="preserve"> (NCT02562872)."</t>
    </r>
  </si>
  <si>
    <t>single-center, double-blinded, randomized, placebo-controlled phase 1 trial</t>
  </si>
  <si>
    <t>Murphy 2018</t>
  </si>
  <si>
    <t>Nguyen-Van-Tam JS</t>
  </si>
  <si>
    <t>NCT01710111</t>
  </si>
  <si>
    <t>https://clinicaltrials.gov/ct2/show/NCT01710111?term=NCT01710111&amp;draw=2&amp;rank=1</t>
  </si>
  <si>
    <t>"No serious adverse events were recorded in volunteers who commenced the study"</t>
  </si>
  <si>
    <t>"Volunteers were screened from 3–56 days in advance of the experiment to determine humoral immunity to A/WI before undergoing further screening against inclusion and exclusion criteria (S4 Text). Volunteers needed to be healthy, between the ages of 18 and 45 years, not living with anyone deemed at high risk of Influenza complications on discharge, and not to have had a seasonal Influenza vaccine in the last 3 years."</t>
  </si>
  <si>
    <t>"The randomized challenge-transmission trial took place from March to June 2013 in a closed quarantine facility, with written informed consent from healthy volunteers in accordance with the principles of the Declaration of Helsinki, in compliance with UK regulatory and ethical (IRB) requirements (under auspices of the UK Health Research Authority (HRA) National Research Ethics Service (NRES) Committee London–City &amp; East; reference number 12/LO/1277), and registered with ClinicalTrials.gov (number NCT01710111)."</t>
  </si>
  <si>
    <t>randomized challenge-transmission trial</t>
  </si>
  <si>
    <t>Nguyen-Van-Tam 2020</t>
  </si>
  <si>
    <t>Payne RO</t>
  </si>
  <si>
    <t>P. falciparum (clone 3D7)</t>
  </si>
  <si>
    <t>NCT02044198</t>
  </si>
  <si>
    <t>https://clinicaltrials.gov/ct2/show/NCT02044198?term=NCT02044198&amp;draw=2&amp;rank=1</t>
  </si>
  <si>
    <t>qPCR for parasitemia</t>
  </si>
  <si>
    <t>12 previously vaccinated</t>
  </si>
  <si>
    <t>12/12 previously vaccinated became infected</t>
  </si>
  <si>
    <t>"There were no serious AEs or unexpected reactions during the course of the trial, and no volunteers withdrew due to vaccine- or CHMI-related AEs."</t>
  </si>
  <si>
    <t>FMP2.1/AS01</t>
  </si>
  <si>
    <t>"Healthy, malaria-naive males and nonpregnant females aged 18–45 years were invited to participate in the study."</t>
  </si>
  <si>
    <t>"The study received ethical approval from the United Kingdom National Health Service (NHS) Research Ethics Service (Oxfordshire Research Ethics Committee A, reference 13/SC/0596) and the Western Institutional Review Board in the United States (reference 20131985). The study was approved by the United Kingdom Medicines and Healthcare Products Regulatory Agency (reference 21584/0326/001-0001). The trial was registered with Clinicaltrials.gov (NCT02044198) and was conducted according to the principles of the current revision of the Declaration of Helsinki 2008 and in full conformity with the International Conference on Harmonisation of Technical Requirements for Registration of Pharmaceuticals for Human Use guidelines for good clinical practice."</t>
  </si>
  <si>
    <t>open-label, nonrandomized phase 1/2a trial</t>
  </si>
  <si>
    <t>Payne 2016</t>
  </si>
  <si>
    <t>Pitisuttithum P</t>
  </si>
  <si>
    <t>WRSS1 vaccine candidate</t>
  </si>
  <si>
    <t>NCT01080716</t>
  </si>
  <si>
    <t>https://clinicaltrials.gov/ct2/show/NCT01080716?term=NCT01080716&amp;draw=2&amp;rank=1</t>
  </si>
  <si>
    <t>Immunization period</t>
  </si>
  <si>
    <t>"Clinical endpoints of disease were defined as diarrhea, dysentery, and/or fever."</t>
  </si>
  <si>
    <t>Additional definitions for diarrhea, dysentery, and fever given in text.</t>
  </si>
  <si>
    <t>"although some vaccinees developed objective criteria of illness (fever and diarrhea), these illnesses were mild, were transient, and did not occur in a manner that could clearly be attributed to vaccine administration."</t>
  </si>
  <si>
    <t>"Based on clinical signs and symptoms associated with the vaccine, any AE were graded as mild (symptoms were present but the subject was able to perform daily activities), moderate (the subject’s activities were reduced, but some could still be performed), and severe (the subject’s activities were markedly reduced)."</t>
  </si>
  <si>
    <t>No clear table of AE data, some discussion in text</t>
  </si>
  <si>
    <t>"No serious adverse event was reported during the immunization period"</t>
  </si>
  <si>
    <t>WRSS1 vaccine, ciprofloxacin</t>
  </si>
  <si>
    <t>"Healthy male or female Thai adults, between the ages of 20 and 40, were recruited from the Bangkok Metropolitan area and its periphery. Written informed consent was obtained from all volunteers. Inclusion criteria included normal bowel habits (defined as fewer than 3 stools per day and greater than 1 per 2 days), being negative for serum and urine B-human chorionic gonadotrophin (female volunteers), and having baseline anti-S. sonnei LPS IgG antibody titers of 1:800 (data not shown). Potential volunteers were excluded if they had significant health problems, including arthritis or being positive for hepatitis B surface antigen; had prolonged prothrombin time (PT), mild anemia, leukocytosis, external hemorrhoids, hypertension, elevated bilirubin, high urine protein/glucose, elevated aspartate transaminase (AST) and/or alanine transaminase (ALT), or eosinophilia; or were human leukocyte antigen (HLA) B27 positive (HLA B27-positive individuals are considered to be at a higher risk for reactive arthritis after a Gram-negative infection)."</t>
  </si>
  <si>
    <t>"This study was designed as an inpatient trial and was approved by the Human Subjects Research Review Board of the U.S. Army Medical Research and Materiel Command (USAMRMC), the Ethical Review Committee for Research in Human Subjects, Ministry of Public Health, Thailand, and the Ethics Committee of the Faculty of Tropical Medicine, Mahidol University."</t>
  </si>
  <si>
    <t>randomized placebo-controlled, double-blind design</t>
  </si>
  <si>
    <t>Pitisuttithum 2016</t>
  </si>
  <si>
    <t>S. sonnei 53G</t>
  </si>
  <si>
    <t>Challenge period</t>
  </si>
  <si>
    <t>10 previously vaccinated</t>
  </si>
  <si>
    <t>3/10 previously vaccinated became infected</t>
  </si>
  <si>
    <t>Overlaps with definition of infection (AEs used to evaluate illness)</t>
  </si>
  <si>
    <t>Pleguezuelos O</t>
  </si>
  <si>
    <t>A/California/04/2009/H1N1 human influenza A challenge virus</t>
  </si>
  <si>
    <t>NCT03180801</t>
  </si>
  <si>
    <t>Study also reports data from vaccine phase (not extracted here)</t>
  </si>
  <si>
    <t>"mild to moderate Influenza disease (MMID) defined as the presence of viral shedding and clinical Influenza symptoms."</t>
  </si>
  <si>
    <t>81 previously vaccinated</t>
  </si>
  <si>
    <t>28/81 previously vaccinated became infected</t>
  </si>
  <si>
    <t>"Solicited local and systemic signs of reactogenicity were recorded on AE diary cards"</t>
  </si>
  <si>
    <t>FLU-v</t>
  </si>
  <si>
    <t>"Eligible volunteers were healthy, between the ages of 18 and 55, and had pre-challenge HAI titers to the challenge strain of &lt;1:40 within 90 days prior to entering the study site. Participants were subjected to a complete detailed physical examination as well as obtaining an ECG and spirometry. Participants were excluded if any medical issue was found that placed them at risk of complication from vaccination or Influenza challenge."</t>
  </si>
  <si>
    <t>"The study (ClinicalTrials.gov: NCT03180801, EudraCT: 2016-002134-74) was approved by UK’s Medicines and Healthcare products Regulatory Agency and the North East-York Research Ethics Committee and registered on 8 June 2017. All participants signed informed consent, and the study was conducted in accordance with the provisions of the Declaration of Helsinki and Good Clinical Practice guidelines."</t>
  </si>
  <si>
    <t>randomized, double-blind, placebo-controlled, single-center, phase IIb efficacy and safety trial</t>
  </si>
  <si>
    <t>Pleguezuelos 2020</t>
  </si>
  <si>
    <t>Reuling IJ</t>
  </si>
  <si>
    <t>NCT02836002</t>
  </si>
  <si>
    <t>Additional cohort of 13 ended prematurely, no results</t>
  </si>
  <si>
    <t>"gametocytemia as determined by Pfs25 qRT-PCR"</t>
  </si>
  <si>
    <t>Fatigue/malaise, headache, fever, nausea, chills, myalgia, abdominal pain, pruritis, arthrlagia, diarrhea, dizziness, reflux, pyrosis, aspecific chest pain, syncope, mouth ulcera</t>
  </si>
  <si>
    <t>Sulfadoxine-pyrimethamine, Piperaquine, atovaquone/proguanil, acetaminophen, metoclopramide</t>
  </si>
  <si>
    <t>"Healthy malaria-naive male and female participants aged 18–35 years were recruited from June until November 2016. Screening included physical examination, electrocardiography (ECG), hematology and biochemistry parameters and serology for human immunodeficiency virus (HIV), hepatitis B and C, and asexual stages of P. falciparum. Informed consent was provided by all participants at screening visit."</t>
  </si>
  <si>
    <t>"The central committee for research involving human subjects (CCMO), and the Western Institutional Review Board (WIRB) approved the protocol for this study (NL56659.091.16). The trial was conducted according to the principles outlined in the Declaration of Helsinki and Good Clinical Practice standards, and registered at ClinicalTrials.gov, identifier NCT02836002"</t>
  </si>
  <si>
    <t>single centre, open-label randomised trial</t>
  </si>
  <si>
    <t>Reuling 2018</t>
  </si>
  <si>
    <t>Roestenberg M</t>
  </si>
  <si>
    <t>P. falciparum (strain NF54) (PfSPZ challenge)</t>
  </si>
  <si>
    <t>NCT01086917</t>
  </si>
  <si>
    <t>"occurrence of Pf parasitemia detected by microscopic examination of blood smears."</t>
  </si>
  <si>
    <t>Solicited AEs (attributed to malaria) included abdominal pain, arthralgia, chest pain, chills, diarrhea, fatigue, fever, headache, malaise, myalgia, nausea, vomiting</t>
  </si>
  <si>
    <t>"One SAE occurred in a volunteer who reported chest pain 1 day after the first dose of atovaquone/proguanil."</t>
  </si>
  <si>
    <t>"Volunteers 18–35 years of age were screened for eligibility by medical history, physical examination, and laboratory tests of blood, serum, and urine, including standard hematological, biochemical, and pregnancy tests, and malaria, human immunodeficiency virus (HIV), hepatitis B and hepatitis C serology. The main exclusion criteria were pregnancy; residence in a malaria-endemic area within the previous 6 months; positive Pf serology; symptoms, physical signs, or laboratory test results suggestive of systemic disorders; and history of drug or alcohol abuse interfering with normal social function. All volunteers gave written informed consent."</t>
  </si>
  <si>
    <t>"The trial was performed in accordance with Good Clinical Practice and an Investigational New Drug application filed with the U.S. Food and Drug Administration, and approved by the Central Committee for Research Involving Human Subjects of The Netherlands (CCMO NL31858.091.10). Clinicaltrials.gov identifier: NCT 01086917."</t>
  </si>
  <si>
    <t>open label, Phase 1 clinical trial</t>
  </si>
  <si>
    <t>Roestenberg 2013</t>
  </si>
  <si>
    <t>Sakkestad ST</t>
  </si>
  <si>
    <t>ETEC strain TW10722 (serotype O115:H5)</t>
  </si>
  <si>
    <t>NCT02870751</t>
  </si>
  <si>
    <t>Development of diarrhea</t>
  </si>
  <si>
    <t>"volunteers registered any nausea, abdominal pain or cramping, flatulence, bloating, vomiting, constipation, decreased appetite, headache, malaise, fever, chills, myalgias, and lightheadedness"</t>
  </si>
  <si>
    <t>Reports number of participants that experienced each symptom, but doesn't report total number of participants experiencing at least one adverse event</t>
  </si>
  <si>
    <t>ciprofloxacin</t>
  </si>
  <si>
    <t>"We recruited 21 healthy students from the University of Bergen (UiB), Bergen, Norway, who had no history of travel to LMICs during the previous 12 months." and "the volunteers were given a written questionnaire to make sure they understood the rationale and requirements of the study, including procedures to be undertaken and the potential risks. A description of the inclusion and exclusion criteria, as well as the enrollment process, has been described in detail earlier [18]."</t>
  </si>
  <si>
    <t>"All volunteers gave an informed written consent before being included in the study. The study is approved by the Regional Committee for Medical and Health Research Ethics, Health Region West (Project ID: 2014–826), and registered in ClinicalTrials.gov (Project ID: NCT02870751). The study was assessed by an independent safety monitor before, during and after enrollment of volunteers to ensure adherence to Good Clinical Practice (GCP) standards."</t>
  </si>
  <si>
    <t>ETEC human challenge model</t>
  </si>
  <si>
    <t>Sakkestad 2019a</t>
  </si>
  <si>
    <t>ETEC strain TW11681</t>
  </si>
  <si>
    <t>"ETEC was detected in the stools for 5–8 days (3 days for volunteer EV14) after they ingested the dose, suggesting all volunteers were successfully colonized by the challenge strain."</t>
  </si>
  <si>
    <t>"Symptoms specifically asked for were nausea, abdominal pain, abdominal cramping, flatulence, bloating, vomiting, constipation, decreased appetite, headache, malaise, fever, chills, myalgias, and lightheadedness"</t>
  </si>
  <si>
    <t>"We recruited 9 healthy young adults among students at the University of Bergen in Norway." and "The inclusion criteria were age between 18 and 40, no travels to LMICs during the previous 12 months, passing a general health screening, no enteropathogens found in their stools, having normal baseline blood values, use of effective contraception for the female volunteers during the past 6 months, and being able to live in isolation for up to 10 days. The exclusion criteria were fever during the last 48h before ingesting the dose, participation in other clinical trials during the last three months, use of immunosuppressive medicines, pregnancy, breastfeeding, positive fecal occult blood test, or a history of any chronic gastrointestinal condition. All volunteers completed a medical screening 20 to 48 (mean 32) days before ingesting the dose. The screening comprised a physical examination, an electrocardiogram recording, and collection of blood samples for analysis of full blood count, and electrolyte, creatinine, alanine aminotransferase, CRP, glucose, IgG, and IgA levels, as well as serum to exclude presence of hepatitis B virus antigen and antibodies against hepatitis C virus and HIV-1. We also collected stool samples for occult blood testing using Hemo-Fec®reagents (Med-Kjemi AS, Asker, Norway) and to screen for pathogenic bacteria and parasites. Female volunteers took a pregnancy test. A full medical history was taken, and the volunteers completed a questionnaire testing their comprehension of the study rationale, objectives, and procedures to be performed, as well as the possible risks and benefits. If all was acceptable, the volunteer signed the informed consent document."</t>
  </si>
  <si>
    <t>"The study was approved by the Regional Committee for Medical and Health Research Ethics, Health Region West (REC-West) with protocol identification number 2014-826, and registered in ClinicalTrials.gov NCT02870751. The study was monitored by an independent monitor."</t>
  </si>
  <si>
    <t>controlled human infection model (CHIM) study</t>
  </si>
  <si>
    <t>Sakkestad 2019b</t>
  </si>
  <si>
    <t>Seitz SR</t>
  </si>
  <si>
    <t>Norwalk virus in groundwater</t>
  </si>
  <si>
    <t>NCT00313404</t>
  </si>
  <si>
    <t>"NV infection was defined as seroconversion (4-fold increase in NV-specific serum IgG titer in any postchallenge versus prechallenge serum sample) (19) or the presence of NV RNA, detected by RT PCR, in any postchallenge stool or emesis sample."</t>
  </si>
  <si>
    <t>"There were no unexpected study-related adverse events."</t>
  </si>
  <si>
    <t>"Eligible volunteers were 18 to 50 years old, in good health (determined by a clinical evaluation), and secretor status positive (secreted carbohydrate H type 1, the putative NV receptor [19]). Exclusion criteria included having an enteric infection within 1 month of enrollment and pregnancy (determined by a pregnancy test)."</t>
  </si>
  <si>
    <t>"This clinical trial was approved by the Emory University Institutional Review Board and is registered on ClinicalTrials.gov (identifier NCT00313404)."</t>
  </si>
  <si>
    <t>blinded human clinical trial</t>
  </si>
  <si>
    <t>Seitz 2011</t>
  </si>
  <si>
    <t>Sheehy SH</t>
  </si>
  <si>
    <t>NCT01465048</t>
  </si>
  <si>
    <t>Median age given for each of three groups, but no overall median</t>
  </si>
  <si>
    <t>Mean given for each of three groups, but not overall</t>
  </si>
  <si>
    <t>SD given for each of three groups, but not overall</t>
  </si>
  <si>
    <t>"Successful malaria infection was defined as positive thick film microscopy with at least one morphologically normal malaria trophozoite seen by one or more experienced microscopists in the presence of symptoms consistent with malaria in 200 high power fields"</t>
  </si>
  <si>
    <t>Solicited AEs graded according to criteria in supplementary tables S1 and S2</t>
  </si>
  <si>
    <t>Unclear (&gt;=9)</t>
  </si>
  <si>
    <t>"Healthy, malaria-naive males and non-pregnant females aged 18–45 years were invited to participate in the study. All participants gave written informed consent, and the study was conducted according to the principles of the Declaration of Helsinki and in accordance with Good Clinical Practice (GCP)"</t>
  </si>
  <si>
    <t>"Ethical approval was granted by the UK National Research Ethics Committee South Central Oxford A (Ref: 11/SC/0351). UK regulatory approval of the trial was not necessary as PfSPZ Challenge is considered a non-investigational product in the UK. The study was reviewed and allowed to proceed by the US Food and Drug Administration under IND 14267. The trial was registered with ClinicalTrials.gov (NCT01465048). The Local Safety Committee provided safety oversight and GCP compliance was independently monitored by the University of Oxford’s Department for Clinical Trials and Research Governance."</t>
  </si>
  <si>
    <t>an open label, non-randomised pilot study with blinded laboratory outcome assessment</t>
  </si>
  <si>
    <t>Sheehy 2013</t>
  </si>
  <si>
    <t>Sinha A</t>
  </si>
  <si>
    <t>rhinovirus 16</t>
  </si>
  <si>
    <t>Netherlands Trial Register (NTR5426/NL5317)</t>
  </si>
  <si>
    <t>"Positivity to viral inoculation was confirmed by either one of these three criteria:
1. Positive test for antibodies against RV at the terminal visits of the participant
2. Positive RV PCR test from approximately 3rd day (second visit) post RV challenge
3. Symptoms of RV induced cold"</t>
  </si>
  <si>
    <t>From appendix</t>
  </si>
  <si>
    <t>"Twelve non-smoking, atopic (as determined by positive skin prick test to common aeroallergens), mild to moderate asthmatic subjects (based on ATS/ERS criteria), not using steroids were chosen for inclusion. Similarly, 12 non-smoking, non-atopic healthy subjects were also included in the study as controls. All participants provided written informed consent. The demographics of the study population are summarized in Table 6. All the participants were required to have their serum antibody titer of RV16 &lt;1:8 during screening. The age group for the study population was 18–30 years. Individuals with concomitant disease and pregnant women were excluded. The basic inclusion criteria for the study populations followed standard recommendations and were as shown in Table 7 below."</t>
  </si>
  <si>
    <t>"This study was approved by the medical ethical committee from the Amsterdam University Medical Center and registered at the Netherlands Trial Register (NTR5426/NL5317)."</t>
  </si>
  <si>
    <t>prospective observational, follow-up study</t>
  </si>
  <si>
    <t>Sinha 2019</t>
  </si>
  <si>
    <t>Skrede S</t>
  </si>
  <si>
    <t>ETEC strain TW10598</t>
  </si>
  <si>
    <t>REC-West, case number 2010/728-14</t>
  </si>
  <si>
    <t>"No severe adverse events were observed."</t>
  </si>
  <si>
    <t>"Healthy 18–40 year-old subjects who had not traveled to LMICs for the past 9 months were recruited by oral and written information presented in a step-wise manner." and "Following a final interview, subjects were required to complete a written questionnaire to ensure that they had understood the study rationale, potential benefits and risks, and what procedures that were to be conducted. We then obtained written informed consent."</t>
  </si>
  <si>
    <t>"The study was approved by the Regional Committee for Medical and Health Research Ethics, Health Region West (REC-West, case number 2010/728-14)."</t>
  </si>
  <si>
    <t>experimental infection study</t>
  </si>
  <si>
    <t>Skrede 2014</t>
  </si>
  <si>
    <t>Talaat KR</t>
  </si>
  <si>
    <t>ETEC strain B7A (O148:H28 CS6+ LT+ ST+)</t>
  </si>
  <si>
    <t>NCT02773446</t>
  </si>
  <si>
    <t>ND (IQR 30.5)</t>
  </si>
  <si>
    <t>ND (IQR 40.0)</t>
  </si>
  <si>
    <t>"The primary endpoint of moderate-severe diarrhea was defined as a subject with &gt;=4 loose stools or &gt;=401 grams of loose stools in a 24-hour period post-inoculation."</t>
  </si>
  <si>
    <t>5 groups</t>
  </si>
  <si>
    <t>Also mentions that "All subjects shed the challenge organism" but this wasn't the primary endpoint</t>
  </si>
  <si>
    <t>Solicited adverse events included abdominal cramps, abdominal pain, abdominal tenderness, anorexia, arthralgia, bloating, constipation, fever, flatulence, generalized myalgia, headache, hyperactive bowel sounds</t>
  </si>
  <si>
    <t>Unclear (&gt;=38)</t>
  </si>
  <si>
    <t>Reports number of participants that experienced each symptom, but doesn't report total number of participants experiencing at least one adverse event. Assessed serious adverse events at follow up and didn't report any, I'm interpreting that as 0 SAE</t>
  </si>
  <si>
    <t>"Healthy adult subjects aged 18–50 years were recruited from Baltimore, Maryland and surrounding areas, screened, and enrolled" and "Informed consent was conducted through thorough conversation with the participants, including a written assessment to ensure comprehension. A written informed consent was obtained from male and non-pregnant female volunteers who were evaluated to assure good health and eligibility through medical history, physical examination, and clinical laboratory tests"</t>
  </si>
  <si>
    <r>
      <t>"The Western Institutional Review Board (IRB) and the Naval Medical Research Center IRB reviewed and approved the protocol prior to initiation in compliance with all applicable Federal regulations governing the protection of human subjects. The study was registered on</t>
    </r>
    <r>
      <rPr>
        <u/>
        <sz val="10"/>
        <color rgb="FF1155CC"/>
        <rFont val="Arial"/>
      </rPr>
      <t>ClinicalTrials.gov</t>
    </r>
    <r>
      <rPr>
        <sz val="10"/>
        <color rgb="FF000000"/>
        <rFont val="Arial"/>
      </rPr>
      <t>v as NCT02773446."</t>
    </r>
  </si>
  <si>
    <t>dose-finding study</t>
  </si>
  <si>
    <t>Talaat 2020a</t>
  </si>
  <si>
    <t>ND (IQR 32.0)</t>
  </si>
  <si>
    <t>ND (IQR 41.0)</t>
  </si>
  <si>
    <r>
      <t>"The Western Institutional Review Board (IRB) and the Naval Medical Research Center IRB reviewed and approved the protocol prior to initiation in compliance with all applicable Federal regulations governing the protection of human subjects. The study was registered on</t>
    </r>
    <r>
      <rPr>
        <u/>
        <sz val="10"/>
        <color rgb="FF1155CC"/>
        <rFont val="Arial"/>
      </rPr>
      <t>ClinicalTrials.gov</t>
    </r>
    <r>
      <rPr>
        <sz val="10"/>
        <color rgb="FF000000"/>
        <rFont val="Arial"/>
      </rPr>
      <t>v as NCT02773446."</t>
    </r>
  </si>
  <si>
    <t>ETEC strain B7A</t>
  </si>
  <si>
    <t>NCT03040687</t>
  </si>
  <si>
    <t>Moderate-severe diarrhea: "The primary endpoint for this study was MSD defined as the following: ≥4 loose/liquid stools or ≥401 grams of loose/liquid stool in any 24 hour period post challenge."</t>
  </si>
  <si>
    <t>Also mentions that "All subjects shed the B7A in their stool" but this wasn't the primary endpoint</t>
  </si>
  <si>
    <t>AEs possibly related to BsIgG products: abdominal cramps, anorexia, bloating, flatulence, headache, nausea, "urgency"</t>
  </si>
  <si>
    <t>Also reports percentage of each group that experienced individual signs and symptoms of ETEC</t>
  </si>
  <si>
    <t>No SAE data; reported AE data is for treatment and not challenge</t>
  </si>
  <si>
    <t>anti-CS6 BSIgG, anti-B7A
whole cell killed BSIgG, non-hyperimmune BSIgG (placebo)</t>
  </si>
  <si>
    <t>"Healthy non-pregnant adult subjects aged 18–50 years were recruited from the Mid-Atlantic area. Consented subjects were evaluated to assure good health and eligibility through medical history, physical examination, and screening laboratory tests."</t>
  </si>
  <si>
    <r>
      <t xml:space="preserve">"This clinical trial was approved by the Johns Hopkins Bloomberg School of Public Health IRB in compliance with all federal regulations governing the protection of human volunteers. </t>
    </r>
    <r>
      <rPr>
        <u/>
        <sz val="10"/>
        <color rgb="FF1155CC"/>
        <rFont val="Arial"/>
      </rPr>
      <t>Clinicaltrials.gov</t>
    </r>
    <r>
      <rPr>
        <sz val="10"/>
        <color rgb="FF000000"/>
        <rFont val="Arial"/>
      </rPr>
      <t xml:space="preserve"> registration NCT03040687."</t>
    </r>
  </si>
  <si>
    <t>Talaat 2020b</t>
  </si>
  <si>
    <t>Talley AK</t>
  </si>
  <si>
    <t>NCT01058226</t>
  </si>
  <si>
    <t>"Development of patent parasitemia was monitored by microscopic evaluation of peripheral blood smears. All subjects undergoing CHMI were expected to develop patent parasitemia."</t>
  </si>
  <si>
    <t>"A solicited AE was defined as a predetermined event that may reflect safety concerns related to the investigational product or events that could be reasonably expected to occur as part of the intervention. These included local and systemic signs and symptoms related to the challenge and/or clinical malaria."</t>
  </si>
  <si>
    <t>chloroquine</t>
  </si>
  <si>
    <t>"Subjects were recruited using IRB-approved messaging from the greater Seattle area. Subjects provided written acknowledgment of informed consent and were required to pass an assessment of understanding quiz covering key study concepts and risks related to participation. Adult males and non-pregnant females aged 18–50 years were eligible to participate in the study if they were in good general health as demonstrated by detailed medical history review, physical examination and laboratory assessment performed within 56 days of enrollment. Subjects were required to have a low risk of coronary heart disease based on the NHANES 1 screening criteria [15] and a normal or essentially normal electrocardiogram as read by an independent cardiologist. Laboratory assessment of eligibility included measurements of hemoglobin (Hb), white blood cells (WBC), platelets, serum creatinine, alanine aminotransferase (ALT), aspartate aminotransferase (AST), total bilirubin and alkaline phosphatase, along with urine dipstick or full urinalysis, and screening for active infection with HIV-1/-2, hepatitis B and hepatitis C viruses. Subjects with a prior diagnosis of malaria or recent travel to a malaria-endemic area were excluded, as were those who had previously received an investigational malaria vaccine, recent malaria chemoprophylaxis or antibiotics with anti-malarial properties."</t>
  </si>
  <si>
    <t>"This study was conducted in accordance with the International Conference of Harmonization (ICH) Good Clinical Practices (GCP) and applicable Food and Drug Administration (FDA) regulations. Based on evolving regulatory standards for human challenge studies, the P. falciparum sporozoite was considered an investigational product and for the first time, the CHMI procedures and study protocol were conducted under an investigational new drug application (IND) filed with the FDA. Prior to study initiation, the protocol and study-related documents were approved by the Western Institutional Review Board. The study was registered on ClinicalTrials.gov (Identifier NCT01058226"</t>
  </si>
  <si>
    <t>prospective, open-label, single intervention study</t>
  </si>
  <si>
    <t>Talley 2014</t>
  </si>
  <si>
    <t>Teirlinck AC</t>
  </si>
  <si>
    <t>P. falciparum (strain NF54 or NF135.C10)</t>
  </si>
  <si>
    <t>NCT01002833</t>
  </si>
  <si>
    <t>qPCR positivity for blood smear</t>
  </si>
  <si>
    <t>Two groups of 5 infected with 2 different strains</t>
  </si>
  <si>
    <t>"Signs and symptoms (solicited and unsolicited) were recorded and graded by the attending physician as follows: mild (easily tolerated), moderate (interferes with normal activity), or severe (prevents normal activity) or, for fever, grade 1 (&gt;37.5°C to 38.0°C), 2 (&gt;38.0°C to 39.0°C), or 3 (&gt;39.0°C)"</t>
  </si>
  <si>
    <t>"One volunteer infected with NF54 reported severe malaise, headache, and vomiting"</t>
  </si>
  <si>
    <t>"Volunteers, aged 18–35 years, were screened at the Leiden University Medical Centre for eligibility based on medical and family history, physical examination, and general hematological and biochemical tests. All volunteers gave written informed consent before inclusion."</t>
  </si>
  <si>
    <t>"The trial was performed in accordance with good clinical practice and approved by the Central Committee for Research Involving Human Subjects of The Netherlands (CCMO NL30350.058.09)."</t>
  </si>
  <si>
    <t>controlled human malaria infection trial</t>
  </si>
  <si>
    <t>Teirlinck 2013</t>
  </si>
  <si>
    <t>van Hoffen E</t>
  </si>
  <si>
    <t>E. coli strain E1392/75-2A</t>
  </si>
  <si>
    <t>NCT02541695</t>
  </si>
  <si>
    <t>Two groups; all participated in initial challenge and re-challenge</t>
  </si>
  <si>
    <t>"presence of E. coli strain E1392/75-2A using Colonization Surface antigen 3 (CS3)-specifc primers, and total fecal endogenous E. coli, was quantifed by qPCR"</t>
  </si>
  <si>
    <t>"Fecal E. coli E1392/75-2A was detected in all subjects on the day afer the first (day 15) and second E. coli challenge (day 36) in both the 1E10 and the 5E10 group"</t>
  </si>
  <si>
    <t>"Adverse events related to the challenge, other than recorded by the GSRS, included headache (9.5% of subjects), fever (9.5% of subjects) and vomiting (7.1% of subjects). Frequency of these adverse events did not differ between dose or responder groups."</t>
  </si>
  <si>
    <t>"No serious adverse events were reported during the study." and gastrointestinal symptoms not considered AEs</t>
  </si>
  <si>
    <t>"Healthy male volunteers, 18–55 years of age, were recruited in November and December 2015. Women were not eligible for this study, because of the disadvantage of the female anatomy hindering fecal sample collection without urine contamination during acute infection, as well as interference of abdominal symptoms during their menstrual cycle." and "The exclusion criteria were: current or previous underlying gastro-intestinal disease; vaccination for or ingestion of ETEC, cholera, or E. coli heat labile toxin within 3 years prior to inclusion; known allergy to antibiotics; reported average stool frequency of&lt;1 or&gt;3 per day; symptoms consistent with travelers’ diarrhea within 3 years prior to inclusion; use of antibiotics, norit, laxatives up till 6 months prior to inclusion; use of gastric acid suppression medication within 3 months prior to inclusion; current excessive alcohol consumption or drug (ab)use; vegans. In addition, subjects with high IgG antibody titers against CFA/II, IgA defciency, or detectable fecal E. coli E1392/75-2A counts at screening, were excluded from participation in the study because of likely altered resistance to the E. coli strain administered in the present study10. For screening, blood was collected and analyzed for specifc serum IgG against E. coli E1392/75-2A CFA/II, as described previously6,7, and total IgA was determined using a routine diagnostic immunoturbidimetric assay. In addition, a fresh fecal sample was obtained and analyzed for presence of E. coli E1392/75-2A by qPCR, as described before8."</t>
  </si>
  <si>
    <t>"The study was approved by the Medical Ethics Committee of Wageningen University, the Netherlands, and registered at clinicaltrials.gov (Identifer: NCT02541695). Written informed consent was obtained from all study participants before screening for eligibility. The study was conducted according to the principles of the Declaration of Helsinki (Fortaleza, Brazil, 2013) and according to the Dutch Medical Research involving Human Subjects Act."</t>
  </si>
  <si>
    <t>randomized, double-blind, parallel infection trial</t>
  </si>
  <si>
    <t>van Hoffen 2021</t>
  </si>
  <si>
    <t>Watson JM</t>
  </si>
  <si>
    <t>influenza A/California/2009 (H1N1)</t>
  </si>
  <si>
    <t>NCT02014870</t>
  </si>
  <si>
    <t>"Presence of virus in nasal washes, as determined by rRT-PCR"</t>
  </si>
  <si>
    <t>"Lab-confirmed illness defined as mild or moderate clinical illness + positive rRT-PCR result or seroconversion or both."</t>
  </si>
  <si>
    <t>"Symptoms were captured twice daily by self-reporting on 16 events associated with Influenza illness (headache, nasal stuffiness, runny nose, sore throat, sneezing, hoarseness, earache, facial or eye pain, cough, wheezy chest, breathing difficulty, musculoskeletal ache, nausea/vomiting, feeling/hot/feverish/chills/rigor, fatigue and diarrhoea) and classified as absent, mild, moderate or severe."</t>
  </si>
  <si>
    <t>"Classifications were defined as follows: mild: the event causes a minor discomfort, does not interfere with daily activity of the subject or does not lead to establishment of a correcting treatment; moderate: the event perturbs the usual activity of the subject and is of a sufficient severity to make the subject uncomfortable; severe: the event prevents any usual routine activity of the patient and causes severe discomfort."</t>
  </si>
  <si>
    <t>"No subjects withdrew from the study and no serious adverse events were recorded"; study reports "treatment-emergent adverse events"</t>
  </si>
  <si>
    <t>"The subjects were healthy adults aged 18 to 45 and serologically negative to the challenge virus (serum HAI titres ≤1:10) (Table 1). Detailed inclusion/exclusion criteria are described in clinicaltrials.gov under identifier NCT02014870 and in the online additional material. All subjects gave written informed consent to participate in the trial."</t>
  </si>
  <si>
    <t>"The protocol and informed consent were approved by an independent ethics committee, Institutional Review Board, ZNA/OCMW, Antwerp, Belgium. The study was conducted in accordance with EU Directive 2001/20/EC and ICH GCP."</t>
  </si>
  <si>
    <t>open label, dose-ascending, non-controlled, first-time-in-human study</t>
  </si>
  <si>
    <t>Watson 2015</t>
  </si>
  <si>
    <t>Watts RE</t>
  </si>
  <si>
    <t>P. falciparum (strain K13) (intravenous inolculation)</t>
  </si>
  <si>
    <t>ACTRN12617000244303</t>
  </si>
  <si>
    <t>Pilot study</t>
  </si>
  <si>
    <t>qPCR positivity for parasitemia</t>
  </si>
  <si>
    <t>"During the pilot study, 36 adverse events were reported in 2 participants, whereas 277 adverse events were reported in 22 participants in the comparative study (Table 3). No serious adverse events were reported. Most adverse events were mild and attributable to malaria. Common adverse events in both studies were headache, pyrexia, myalgia, nausea, and chills. A total of 11 adverse events in ART-R infected participants (n = 5) and 2 adverse events in ART-S infected participants (n = 1) were related to antimalarial drugs (S9 Table)."</t>
  </si>
  <si>
    <t>"No serious adverse events were reported. Most adverse events were mild and attributable to malaria"</t>
  </si>
  <si>
    <t>Artesunate</t>
  </si>
  <si>
    <t>"Healthy adults were eligible for the study if they met all eligibility criteria (S1 and S2 Texts). Briefly, participants were malaria naïve, males (pilot study), or males and nonpregnant females (comparative study), aged 18–55 years. All participants gave written informed consent before enrollment and were compensated financially for their involvement in this study."</t>
  </si>
  <si>
    <t>"The studies were conducted at Q-Pharm Pty Ltd, Brisbane, Australia, and approved by both the QIMR Berghofer and Australian Red Cross Blood Service Human Research Ethics Committees. The studies were registered with the Australian New Zealand Clinical Trials Registry: ACTRN12617000244303 and ACTRN12617001394336."</t>
  </si>
  <si>
    <t>2 sequential phase 1, single-centre, open-label clinical trials</t>
  </si>
  <si>
    <t>Watts 2020</t>
  </si>
  <si>
    <t>P. falciparum (strain K13 or strain 3D7) (intravenous inolculation)</t>
  </si>
  <si>
    <t>ACTRN12617001394336</t>
  </si>
  <si>
    <t>Comparative study</t>
  </si>
  <si>
    <t>John Abisheganaden</t>
  </si>
  <si>
    <t>rhinovirus-16</t>
  </si>
  <si>
    <t>Median for whole dataset not given</t>
  </si>
  <si>
    <t>IQR given, but range not given</t>
  </si>
  <si>
    <t>"Infection by Rhinovirus-16 was documented by either recovery of Rhinovirus-16 from nasal lavage samples or seroconversion (&gt;=four-fold rise in antibody titer) 28 days after inoculation."</t>
  </si>
  <si>
    <t>"The clinical severity of each of eight cold symptoms was assessed on a 0 to 3 scale (absent = 0, mild = 1, moderate = 2, or severe = 3) and recorded into a symptom diary (27). The eight symptoms were nasal discharge, nasal congestion, sneezing, sore throat, cough, headache, fever/chills, and malaise."</t>
  </si>
  <si>
    <t>No AE data; reports median cold symptom score</t>
  </si>
  <si>
    <t>"None of the subjects developed any serious complication, either as a result of Rhinovirus-16 inoculation or as a result of antibiotic therapy, and none withdrew from the study after enrollment." and "There were no severe adverse effects."</t>
  </si>
  <si>
    <t>clarithromycin (500 mg) or trimethoprim- sulfamethoxazole (800/160 mg)</t>
  </si>
  <si>
    <t>"The subjects were healthy nonsmokers, 18 years of age and older, without chronic health problems or a history of asthma, atopy, sinusitis, or allergic rhinitis. Subjects who had &gt;=2 positive reactions to prick skin testing with 12 mixes of aeroallergens common in Northern California, respiratory infections in the previous 4 weeks, use of systemic or topical nasal corticosteroids within 30 days, alcoholism or drug abuse, the use of drugs that could potentially interact with macrolide antibiotics (terfenadine, astemizole, theophylline, digoxin, ergotamine, phenytoin, and others), pregnancy, nursing, or hypersensitivity to macrolide or sulfa antibiotics were excluded."</t>
  </si>
  <si>
    <t>"All patients gave informed consent, and the study was approved by the University of California, San Francisco’s Committee on Human Research."</t>
  </si>
  <si>
    <t>prospective, double-blind, controlled trial</t>
  </si>
  <si>
    <t>6.1.21 Search</t>
  </si>
  <si>
    <t>Abisheganaden 2000</t>
  </si>
  <si>
    <t>W. Al-Nakib</t>
  </si>
  <si>
    <t>influenza virus A/Eng/40/83 (H3N2)</t>
  </si>
  <si>
    <t>Prophylactic study (200 mg/day)</t>
  </si>
  <si>
    <t>"four-fold or greater rise in antibody by haemagglutination inhibition (HAI)" and/or virus isolation from nasal washings</t>
  </si>
  <si>
    <t>38 received drug prohpylaxis prior to challenge</t>
  </si>
  <si>
    <t>28/38 with drug prophylaxis became infected</t>
  </si>
  <si>
    <t>"All symptoms and signs were graded and combined into a daily clinical score and the weight of nasal secretions was determined on a daily basis as previously described (Beare &amp; Reed, 1977). At the end of each trial volunteers were classified as having had a significant illness or not depending on their respiratory symptoms and/or systemic reaction. Significant illness was classed as mild, moderate or severe cold and/or reaction."</t>
  </si>
  <si>
    <t>No AE data; reports number with significant clinical illness</t>
  </si>
  <si>
    <t>No SAEs mentioned in text. "The reaction to infection with the egg-adapted strain of Influenza virus used in this study is mild and short-lived, one to four days, as can be seen from the illness experienced by the placebo treated group."</t>
  </si>
  <si>
    <t>ICI 130,685</t>
  </si>
  <si>
    <t>"A total of 243 healthy volunteers of either sex aged 18 to 50 years participated in the four studies designed to determine tolerance, prophylactic and therapeutic effect of the drug." and "1977). They completed a questionnaire for introversion/extroversion and certain obsessional factors before trials commenced as these have been shown to influence the rate of infection and severity of illness (Totman et al., 1980)." and "Volunteers were divided into groups balanced for age and sex and members of each group were randomly allocated to receive drug or placebo. Prior to prophylaxis or treatment they were quarantined for two days and shown to be free of upper respiratory symptoms."</t>
  </si>
  <si>
    <t>"All trials were conducted double-blind and protocols were approved by the Ethical Committee at Northwick Park Hospital. Written consent was obtained from all volunteers."</t>
  </si>
  <si>
    <t>double-blind</t>
  </si>
  <si>
    <t>Al-Nakib 1986</t>
  </si>
  <si>
    <t>Challenge, NAE, NSAE, Excluded</t>
  </si>
  <si>
    <t>Prophylactic study (100 mg/day)</t>
  </si>
  <si>
    <t>28 received drug prophylaxis prior to challenge</t>
  </si>
  <si>
    <t>23/28 with drug prophylaxis became infected</t>
  </si>
  <si>
    <t>Therapeutic Study</t>
  </si>
  <si>
    <t>No AE data; "Treatment was initiated only in the 39 volunteers who had symptoms and/or signs persisting for 6-15 h."</t>
  </si>
  <si>
    <t>Summed data for all studies</t>
  </si>
  <si>
    <t>ND (Given for 2 studies but not third)</t>
  </si>
  <si>
    <t>Unclear (&gt;=114)</t>
  </si>
  <si>
    <t>ND for therapeutic study</t>
  </si>
  <si>
    <t>RV2</t>
  </si>
  <si>
    <t>"four-fold or greater rises in antibody" and/or virus excretion</t>
  </si>
  <si>
    <t>26 received drug prophylaxis prior to challenge</t>
  </si>
  <si>
    <t>18/26 with drug prophylaxis became infected</t>
  </si>
  <si>
    <t>No AE data; reports number with significant colds</t>
  </si>
  <si>
    <t>Ro 09-0410</t>
  </si>
  <si>
    <t>"Healthy volunteers were recruited and housed in isolation at the Common Cold Unit as previously described (Beare &amp; Reed, 1977). All volunteers completed a questionnaire to assess their introversion/extroversion and certain obsessional factors as these have been shown to influence the outcome of virus challenge (Totman et al., 1980; Broadbent et al, 1984)."</t>
  </si>
  <si>
    <t>"The study was approved by the Ethical Committee of Northwick Park Hospital, Harrow, Middlesex."</t>
  </si>
  <si>
    <t>controlled clinical trial</t>
  </si>
  <si>
    <t>Al-Nakib 1987</t>
  </si>
  <si>
    <t>Alper CM</t>
  </si>
  <si>
    <t>RV-39</t>
  </si>
  <si>
    <t>"Subjects were defined as being infected if RV-39 was recovered from their nasal lavage fluids on any of study days 0 to 5 or if a fourfold rise in homotypic antibody was documented for the convalescent (vs. the prechallenge) serum."</t>
  </si>
  <si>
    <t>4 excluded from analysis due to wild virus identified in virus culture</t>
  </si>
  <si>
    <t>None given, but "eight specific symptoms previously identified as characterizing a cold were scored by the subject on a five-point scale corresponding to none, mild, moderate, moderate to severe, and severe.2 These symptoms included sneezing, headache, malaise, chilliness, nasal discharge, nasal congestion, cough, and sore throat."</t>
  </si>
  <si>
    <t>No AE data</t>
  </si>
  <si>
    <t>"Potential subjects were screened by history for previous nasal or otologic disease, and they were given a general physical examination. Urinalysis was performed, and standard methods were used to conduct blood assays for markers of hepatic and renal function and serum antibodies to human immunodeficiency virus (HIV), hepatitis viruses and Rhinovirus type 39 (RV-39). Subjects were excluded if they presented with findings or a history suggestive of systemic illness or recent URI, if they had marked elevations in the assayed parameters indicative of hepatic or renal impairment, if they required prescription medication for any condition other than birth control, or if they had antibodies to HIV."</t>
  </si>
  <si>
    <t>"The study was approved by the Human Rights Committee at the University of Pittsburgh, and all subjects provided written informed consents for HIV screening and study participation."</t>
  </si>
  <si>
    <t>Alper 1996</t>
  </si>
  <si>
    <t>M. J Anderson</t>
  </si>
  <si>
    <t>Parvovirus</t>
  </si>
  <si>
    <t>Human parvovirus (HPV)</t>
  </si>
  <si>
    <t>viremia, symptoms described for each participant</t>
  </si>
  <si>
    <t>No AE data; describes symptoms for individuals</t>
  </si>
  <si>
    <t>One participant had severe enough symptoms to leave the unit early</t>
  </si>
  <si>
    <t>"Healthy adults of both sexes between 45 and 52 years of age were recruited as volunteers. Individuals with a history of illness affecting joints or of hematologic disease were excluded from the study. Fully informed consent was obtained from volunteers after symptoms that might occur were detailed, and a specimen of venous blood was taken for full hematologic and biochemical examination. Volunteers found to have any abnormality were excluded from the trial."</t>
  </si>
  <si>
    <t>"The attempt to infect informed normal human subjects with human Parvovirus was approved by the Ethical Committees of King's College Hospital and Northwick Park Hospital."</t>
  </si>
  <si>
    <t>Anderson 1985</t>
  </si>
  <si>
    <t>Robert Betts</t>
  </si>
  <si>
    <t>Influenza A/Victoria/3/75 (H3N2) Virus</t>
  </si>
  <si>
    <t>"For isolation of virus, nasal wash specimens were inoculated onto the chorioallantoic membrane of embryo- nated hens' eggs [16, 17]. After challenge with wild-type virus, nasal wash specimens were tested in rhesus monkey kidney tissue cultures by stand- ard methods [17]."</t>
  </si>
  <si>
    <t>21 previously vaccinated</t>
  </si>
  <si>
    <t>16/21 previously vaccinated became infected</t>
  </si>
  <si>
    <t>"Temperatures were obtained one day after administration of vaccine, and a physician who was uninformed of whether volunteers had been given vaccine or placebo examined the volunteers one and four days after administration of vaccine or placebo. After they were challenged with wild-type virus, volunteers were examined twice daily for evidence of clinical illness, and the presence and severity (score,
1+ to 3+) of signs and symptoms were recorded."</t>
  </si>
  <si>
    <t>No AE data; describes clinical illness</t>
  </si>
  <si>
    <t>No SAEs mentioned in text. 13 had no symptoms, 5 had "moderately severe" systemic illness (can't quantify as highest severity)</t>
  </si>
  <si>
    <t xml:space="preserve">Live attenuated H3N2 Influenza vaccine </t>
  </si>
  <si>
    <t>"Subjects were healthy, male and female university students between the ages of 18 and 25 years" and "Before vaccination, before challenge, and at the end of the study, a complete history was obtained, and physical examination and laboratory evaluation of hematological, renal, and hepatic functions were performed for all volunteers. A complete explanation of the nature, hazards, discomforts, and benefits of the study was presented to the volunteers, and both oral and written consent were obtained prior to the study."</t>
  </si>
  <si>
    <t>Betts 1977</t>
  </si>
  <si>
    <t>Ann Bjornson</t>
  </si>
  <si>
    <t>Influenza A/Bethesda/1/85 (H3N2)</t>
  </si>
  <si>
    <t>"Infection was documented by the occurrence of a fourfold or greater serum HAl antibody response to the challenge virus and/or recovery of Influenza virus from nasal lavagefluids."</t>
  </si>
  <si>
    <t>"The Jackson scoring system (12) was adapted for monitoring symptoms of Influenza. At each evaluation, the followingsymptoms were scored by a physician as 0 (absent) or 1(present): fever ( ~ 380C), myalgia, headache, chills, rhinitis, pharyngitis, and cough. Scores for each symptom were totaled, with a score of seven being the maximal possible score obtainable."</t>
  </si>
  <si>
    <t>No AE data; describes symptom scores</t>
  </si>
  <si>
    <t>"subjects were in good health as assessed by physical examination and routine laboratory tests. None of the subjects had a history of significant diseaseofthe respiratory tract, kidney, liver, or heart; excessive alcohol use; hematologic disorders; hypertension; allergies; recent upper respiratory infections; or other diseases or conditions that might put the subject at undue risk or affect the outcome of the study. Pregnancy was ruled out by history and laboratory tests." and "Use of any prescription or nonprescription medication other than contraceptives or vitamins wasprohibited during the 48 h prior to the initiation ofthe study and during the course of the study. Informed consent was obtained from the study subjects, and guidelines for human experimentation of the James N. Gamble Institute of Medical Research were followed in the conduct of the clinical research."</t>
  </si>
  <si>
    <t>pilot study</t>
  </si>
  <si>
    <t>Bjornson 1991</t>
  </si>
  <si>
    <t>Craig Buchman</t>
  </si>
  <si>
    <t>RSV-B</t>
  </si>
  <si>
    <t>"Group I consisted of all subjects who had at least 1 nasal wash viral culture or antigen detection (RSV B) for the challenge virus, or had more than a 4-fold rise in RSV-specific neutralizing antibody titer between preinoculation and convalescent serum samples (convalescent titer/preinoculation titer)."</t>
  </si>
  <si>
    <t>"Before and after viral exposure, subjects were monitored by daily physician assessments of general health, nasal signs and otologic signs, and by their own completion of a self-reported symptom diary, in which general symptoms (headache, malaise, chills, fever, arthralgia, and myalgia); throat symptoms (sore throat and cough); and nasal symptoms (nasal discharge, nasal congestion, and sneezing) were rated on a 4-point scale (0 = none, 1 = mild, 2 = moderate, 3 = severe)."</t>
  </si>
  <si>
    <t>No AE data; reports composite symptom scores for groups</t>
  </si>
  <si>
    <t>Figures suggest that all participants experienced illness</t>
  </si>
  <si>
    <t>None</t>
  </si>
  <si>
    <t>"Thirty-two healthy adult subjects" and "Subjects were excluded if serologic evaluation showed positive results for human immunodeficiency virus (HIV) exposure or abnormal liver function tests. Women with positive urine human chorionic gonadotropin (HCG) levels were also excluded."</t>
  </si>
  <si>
    <t>"The protocol was approved by the Human Rights Committee (HRC) of the Children’s Hospital of Pittsburgh, and written informed consent was obtained from all subjects before enrollment."</t>
  </si>
  <si>
    <t>experimental challenge</t>
  </si>
  <si>
    <t>Buchman 2002</t>
  </si>
  <si>
    <t>David Calfee</t>
  </si>
  <si>
    <t>Influenza A/Texas/36/91 (H1N1) virus</t>
  </si>
  <si>
    <t>1 excluded from efficacy analysis, but included in safety analysis</t>
  </si>
  <si>
    <t>"Infection was defined as the isolation of the challenge virus from one or more nasal wash samples and/or a &gt;=4-fold rise in serum HI antibody titers at 3 to 4 weeks after inoculation."</t>
  </si>
  <si>
    <t>8 received drug prophylaxis prior to challenge</t>
  </si>
  <si>
    <t>1/7 with drug prophylaxis became infected</t>
  </si>
  <si>
    <t>"Monitoring of subjects for adverse events was performed throughout the confinement period by asking the subjects to report any symptoms that they experienced."</t>
  </si>
  <si>
    <t>"No subjects withdrew from the study, and no serious adverse events occurred. Three adverse events classified as severe were documented."</t>
  </si>
  <si>
    <t>zanamivir</t>
  </si>
  <si>
    <t>"The subjects were healthy, young adult males serologically susceptible to the challenge virus (serum hemagglutination inhibition [HI] antibody titers #1:8). Subjects were confined to the General Clinical Research Center at the University of Virginia Health Sciences Center for 8 consecutive days, beginning 1 day prior to inoculation with the challenge virus."</t>
  </si>
  <si>
    <t>"Each subject provided written informed consent on a form approved by the University of Virginia institutional review board. Subjects were compensated for their participation."</t>
  </si>
  <si>
    <t>randomized, placebo-controlled, double-blinded study</t>
  </si>
  <si>
    <t>Calfee 1999</t>
  </si>
  <si>
    <t>William Calhoun</t>
  </si>
  <si>
    <t>RV16</t>
  </si>
  <si>
    <t>All patients with allergic rhinitis</t>
  </si>
  <si>
    <t>ND (5 "SEM)</t>
  </si>
  <si>
    <t>"Virus shed by the inoculated subjects was assayed by titration of a nasal washinto diploid (WI-38)cellcultures."</t>
  </si>
  <si>
    <t>"Colds were evaluated with a questionnaire that was completed by the participant hourly during waking hours (20). Symptoms evaluated included cough, nasal discharge, sneezing, stuffy nose, headache, malaise, chills,or fever. Symptoms were graded 0 = absent, 1 = mild, 2 = moderate, or 3 = severe. Total symptom scores of 12 defined a severe cold, 7 to 11 a moderate cold, and &lt;7 a mild cold."</t>
  </si>
  <si>
    <t>No AE data; reports highest symptom score of each patient</t>
  </si>
  <si>
    <t>"None of the patients smoked, had active clinical asthma, or used any medication at the time of study. All patients gave informed consent before enrolling in the study, which was conducted during periods when the subjects were free of allergic rhinitis symptoms." and "none of the patients required medication, that is, anti-asthma treatment, that could interfere with changes in pulmonary function or response to the viral illness."</t>
  </si>
  <si>
    <t>experimentally induced Rhinovirus 16(RV16) Infection</t>
  </si>
  <si>
    <t>Calhoun 1991</t>
  </si>
  <si>
    <t>Cannon JG</t>
  </si>
  <si>
    <t>US reference Escherichia coli endotoxin</t>
  </si>
  <si>
    <t>"Informed consent was obtained from volunteers or parents or guardians according to guidelines of the US Department of Health and Human Services and the investigational review boards of the authors' institutions."</t>
  </si>
  <si>
    <t>Cannon 1990</t>
  </si>
  <si>
    <t>Cate TR</t>
  </si>
  <si>
    <t>Wild-type A/Victoria/75 virus</t>
  </si>
  <si>
    <t>Previously vaccinated cohort</t>
  </si>
  <si>
    <t>ND ("young adult")</t>
  </si>
  <si>
    <t>"Virus shedding or serum antibody response or both."</t>
  </si>
  <si>
    <t>Previously vaccinated with different strains</t>
  </si>
  <si>
    <t>None given, but "Symptom and sign grades on a 1 to 3-plus scale and the subject's and investigator's assessments of any illness and its character and severity were recorded."</t>
  </si>
  <si>
    <t>No AE data; reports number ill</t>
  </si>
  <si>
    <t>Vaccine viruses: ts-1[E], ts-1A2, CR19, CR22</t>
  </si>
  <si>
    <t>"Volunteers were healthy young adult males"</t>
  </si>
  <si>
    <t>Volunteers "participated after giving written informed consent as described previously (4) and according to protocols approved by local and National Institute of Allergy and Infectious Disease review boards."</t>
  </si>
  <si>
    <t>Cate 1982</t>
  </si>
  <si>
    <t>Previous natural infection cohort</t>
  </si>
  <si>
    <t>"Naive" cohort (no known prior infection)</t>
  </si>
  <si>
    <t>Challenge, NAE, NSAE, Summed</t>
  </si>
  <si>
    <t>Clements ML</t>
  </si>
  <si>
    <t>A/Alaska/6/77 (H3N2) ca reassortant (CR29)</t>
  </si>
  <si>
    <t>Challenged with reassortant vaccine virus</t>
  </si>
  <si>
    <t>"A volunteer was considered infected if viral shedding or a rise in serum or nasal-wash antibodies or both were detected."</t>
  </si>
  <si>
    <t>Challenged with different doses</t>
  </si>
  <si>
    <t>None given, but "A volunteer was considered ill if he or she developed fever or had symptoms and physical findings consistent with an Influenzal illness on 2 consecutive days after inoculation. Influenza-like illnesses were categorized by the following criteria: systemic illness-the occurrence of myalgias or chills and sweats or both; upper respiratory tract illness-the development of coryza (rhinorrhea) or pharyngitis (pharyngeal erythema and discomfort) or both; and lower respiratory tract illness-the presence of a persistent, dry, hacking cough."</t>
  </si>
  <si>
    <t>No SAEs mentioned in text. Described Influenza-like illnesses expected of challenge, did not meet current definition of SAEs</t>
  </si>
  <si>
    <t>"Adult volunteers (mean age, 24.0 + 0.3 years) who had a serum hemagglutination-inhibit-ing (HAI) antibody titer of 1:8 or less"</t>
  </si>
  <si>
    <t>Volunteers "were recruited with informed consent from the community and from students and employees at the University of Maryland in Baltimore."</t>
  </si>
  <si>
    <t>Clements 1983a</t>
  </si>
  <si>
    <t>Challenge, Attenuated, NAE, NSAE, Excluded</t>
  </si>
  <si>
    <t>A/AlaskaI6/77 (H3N2) wild-type virus</t>
  </si>
  <si>
    <t>Challenged with wild type virus</t>
  </si>
  <si>
    <t>A/Alaska/6/77 (H3N2) ca reassortant (CR29) or A/Alaska/6/77 (H3N2) wild-type virus</t>
  </si>
  <si>
    <t>Summed data for both challenges</t>
  </si>
  <si>
    <t>Challenge, Attenuated, NAE, NSAE, Summed</t>
  </si>
  <si>
    <t>lot E174 of wild-type influenza A/Washington/897/80 virus</t>
  </si>
  <si>
    <t>"Laboratory evidence of Influenza A infection was defined by any of the following criteria: isolation of Influenza A virus; a fourfold or greater rise of serum HAI, serum IgG HA ELISA, or nasal wash IgA HA ELISA antibody titre; or a threefold or greater rise in NI antibody titre."</t>
  </si>
  <si>
    <t>Previously vaccinated with different doses; one group received inactivated vaccine while the other 3 received attenuated vaccine</t>
  </si>
  <si>
    <t>None given, but "A volunteer was considered ill if fever (oral temperature &gt;37’ 7&amp;deg;C) or symptoms or physical findings consistent with Influenza developed within 5 days after inoculation. Illnesses were categorised by the following criteria: systemic illness-occurrence of myalgias alone or with chills or sweats; upper respiratory tract illness-presence of coryza (rhinorrhoea), pharyngitis, or both on 2 or more consecutive days; and lower respiratory tract illness-presence of a persistent cough on 2 or more consecutive days. An illness was attributed to Influenza A virus when confirmed by laboratory evidence of Influenza A infection (see below)."</t>
  </si>
  <si>
    <t>Vaccine viruses: A/Washington/897/80 ca reassortant (CR 48, clone 4) virus and an ether-extracted preparation which contained 15 14g each of haemagglutinin of A/Brazil/11/78 (H1N1), A/Bangkok/1/79 (H3N2), and B/Singapore/222/79 per 0.5 ml dose</t>
  </si>
  <si>
    <t>"Healthy adults between the ages of 18 and 35 years who took no medications, had no history of Influenza vaccination, and had a serum haemagglutination-inhibition (HAI) antibody titre of 1:8 or less were recruited among college students and community members in Maryland and Rochester."</t>
  </si>
  <si>
    <t>"The study protocols were approved by the Clinical Research Subpanel of the National Institute of Allergy and Infectious Diseases, the Human Volunteer Research Committee at the University of Maryland, and the Committee on Human Investigation at the University of Rochester." and "Each volunteer gave written informed consent."</t>
  </si>
  <si>
    <t>Clements 1984</t>
  </si>
  <si>
    <t>Challenge, NAE, NSAE, Summed, Excluded</t>
  </si>
  <si>
    <t>Wild-type virus (H3N2 or H1N1)</t>
  </si>
  <si>
    <t>"Virus recovery or a significant serum HAI antibody response or both signified infection."</t>
  </si>
  <si>
    <t>Previously vaccinated with live vaccine (2 groups) and inactivated vaccine (2 groups), vaccinated against different strains</t>
  </si>
  <si>
    <t>None given, but "A volunteer was considered ill if fever (oral temperature .37.80C), symptoms, or physical findings consistent with Influenza developed within 5 days after inoculation. Illnesses were categorized by the following criteria: systemic illness, the occurrence of myalgia alone or with chills or sweats; upper respiratory tract illness, rhinorrhea or pharyngitis on 2 consecutive days; and lower respiratory tract illness, a persistent cough on 2 or more consecutive days."</t>
  </si>
  <si>
    <t>Vaccine viruses: A/Washington/897/80 (H3N2) wild-type virus (live and inactivated) and A/California/10/78 (HlNl) wild-type virus (live and inactivated)</t>
  </si>
  <si>
    <t>"Healthy volunteers who were 18 to 35 years old, lacked a history of Influenza vaccination, and had a serum hemagglutination-inhibiting (HAI) antibody titer of 1:8 or less to either A/Washington/897/80 (H3N2) or A/California/10/78 (HlNl) virus were recruited from college students and community members in Maryland or Rochester."</t>
  </si>
  <si>
    <t>"The study protocols were approved by the Clinical Research Subpanel of the National Institute of Allergy and Infectious Diseases, the Human Volunteer Research Committee at the University of Maryland, and the Committee on Human Investigation at the University of Rochester." and "Each volunteer gave written, informed consent."</t>
  </si>
  <si>
    <t>Clements 1986b</t>
  </si>
  <si>
    <t>wild-type influenza BlAnn Arbor/l/86 virus</t>
  </si>
  <si>
    <t>"recovery of virus from nasal washes, development of an antibody response, or both"</t>
  </si>
  <si>
    <t>None given, but "A volunteer was considered ill if symptoms or physical findings consistent with Influenza developed within 4 days after vaccination or 9 days after challenge. Illnesses were categorized by the following criteria: febrile, an oral temperature of 37.7°C; systemic illness, occurrence of myalgia alone or with chills or sweats; upper respiratory tract illness, presence of rhinorrhea, pharyngitis, or both on &gt;=2 consecutive days; and lower respiratory tract illness, presence of a persistent cough on &gt;=2 consecutive days."</t>
  </si>
  <si>
    <t>ca BlAnn Arbor/l/86 reassortant virus</t>
  </si>
  <si>
    <t>"Healthy adults, aged 18-40 years who were not taking medications, had no history of Influenza vaccination, and had a serum hemagglutination inhibition (HAl) antibody titer of &lt;=1:8 against BlAnn Arbor/86 HA, were recruited from Towson State University and the Baltimore community."</t>
  </si>
  <si>
    <t>"Written informed consent was obtained from each volunteer. Guidelines for human experimentation of the US Department of Human Services, the Clinical Research Subpanel of the National Institute of Allergy and Infectious Diseases, the Joint Committee on Clinical Investigation of the Johns Hopkins University School of Medicine, and the Institutional Review Board of Francis Scott Key Medical Center were followed in the conduct of this study."</t>
  </si>
  <si>
    <t>Clements 1990</t>
  </si>
  <si>
    <t>Parainfluenza</t>
  </si>
  <si>
    <t>Vaccine candidate viruses (ca or bovine PIV3)</t>
  </si>
  <si>
    <t>Challenge with vaccine candidate viruses</t>
  </si>
  <si>
    <t>"Virus isolation, antibody response, or both signified infection."</t>
  </si>
  <si>
    <t>Challenged with different doses and strains</t>
  </si>
  <si>
    <t>None given, but "A volunteer was considered ill if symptoms or physical findings consistent with paraInfluenza illness developed within 10 days after inoculation. The definition of paraInfluenza illness was based on any of the following criteria: fever, i.e., an oral temperature &gt;=37.70C; systemic illness, i.e., occurrence of myalgia alone or with chills or sweats; upper respiratory tract illness, i.e., the presence of rhinorrhea, pharyngitis, or both on 2 or more consecutive days; and lower respiratory tract illness, i.e., the presence of a persistent cough on 2 or more consecutive days."</t>
  </si>
  <si>
    <t>Candidate vaccine viruses: bovine PIV3 and cold-adapted PIV3</t>
  </si>
  <si>
    <t>"Healthy adults between the ages of 18 and 40 years were recruited from Baltimore, Md., and Huntington, W. Va. Volunteers were not eligible if they had a history of allergy to bovine products or the antibiotics used in the virus suspension or if they lived with immunosuppressed individuals or children less than 3 years of age. On the first visit, a screening nasal wash specimen was collected from each volunteer and tested for PIV3-specific IgA antibody by kinetic enzyme-linked immunosorbent assay (KELISA) as described below. Only those subjects who had a low level of antibody to PIV3 in their nasal wash specimens were selected for participation in the studies. The good health of the volunteers was confirmed by a normal history, physical examination, complete blood count (including blood urea nitrogen, plasma glucose, and serum alanine aminotransferase), and urinalysis, and by negative tests for human immunodeficiency virus antibody, hepatitis B surface antigen, and pregnancy (females)."</t>
  </si>
  <si>
    <t>"Study protocols were approved by the Clinical Research Subpanel of the National Institute of Allergy and Infectious Diseases, the Joint Committee on Clinical Investigations of the Johns Hopkins Medical Institutions, the Marshall University Institutional Review Board, and the St. Louis University Institutional Review Board." and "Those who participated in the studies gave written, informed consent."</t>
  </si>
  <si>
    <t>Clements 1991</t>
  </si>
  <si>
    <t>Wild-type PIV3</t>
  </si>
  <si>
    <t>Vaccine candidate viruses (ca or bovine PIV3) or Wild-type PIV3</t>
  </si>
  <si>
    <t>Cohen S</t>
  </si>
  <si>
    <t>Influenza A/Kawasaki/86 H1N1 (wild type, lot E-262; NIH)</t>
  </si>
  <si>
    <t>"Subjects were classified as infected if the challenge virus was isolated in nasal washings on any of the 7 postinoculation study days or if there was at least a 4-fold increase in virus-specific HI antibody titer."</t>
  </si>
  <si>
    <t>None given, but "subjects rated the severity of eight respiratory symptoms (sneezing, nasal discharge, nasal congestion, sore throat, cough, malaise, headache, chilliness) during the previous 24 hours. Ratings ranged from 0 (none) to 3 (severe) for each symptom."</t>
  </si>
  <si>
    <t>"Persons were excluded from participation in the study if they: a) had a history of seizures, nasal or otological surgery, pulmonary, cardiovascular, renal, or other serious diseases; b) had a symptomatic upper respiratory infection within the previous 30 days or otitis media within the last 6 months; c) were pregnant on presentation; or d) had nasal or otological signs and symptoms, abnormal clinical profiles, seropositivity for human immunodeficiency virus or a hemagglutination-inhibition (HI) antibody titer of &gt;1:10 to Influenza A/Kawasaki/86 H1N1 virus."</t>
  </si>
  <si>
    <t>"All subjects gave written informed consent for HIV testing and study participation, and the protocol was approved by the Human Rights Committee at the Children’s Hospital of Pittsburgh."</t>
  </si>
  <si>
    <t>Cohen 1999</t>
  </si>
  <si>
    <t>Coster TS</t>
  </si>
  <si>
    <t>ETEC strains H10407 or B7A</t>
  </si>
  <si>
    <t>"Colonization was defined as isolation of challenge strain B7A or H10407 in two stool specimens collected at least 24 h after challenge."</t>
  </si>
  <si>
    <t>"All volunteers shed ETEC after challenge."</t>
  </si>
  <si>
    <t>"The most common adverse events were diarrhea, nausea, loss of appetite, intestinal cramping, intestinal gurgling, headaches, malaise, and fatigue (Table 1)." and "Symptoms were graded as follows: mild (no limitation in activity, no intervention needed), moderate (mild to moderate limitation in activity, no or minimal treatment and/or intervention needed), or severe (inability or difficulty performing daily activities, treatment and/or intervention needed)."</t>
  </si>
  <si>
    <t>Unclear (&gt;=24)</t>
  </si>
  <si>
    <t>ciprofloxacin (treatment after challenge)</t>
  </si>
  <si>
    <t>"The volunteers were determined to be in good health with regular bowel habits, with at least three stools of normal consistency per week and two or fewer stools per day without frequent use of laxatives or antidiarrheal agents."</t>
  </si>
  <si>
    <t>"Volunteers were recruited from the local community, and written informed consent was obtained using a protocol approved by appropriate institutional review boards."</t>
  </si>
  <si>
    <t>Coster 2007</t>
  </si>
  <si>
    <t>Cretescu L</t>
  </si>
  <si>
    <t>Multiple strains listed, can extract if necessary</t>
  </si>
  <si>
    <t>"virus excretion, HI antibody rise, or both."</t>
  </si>
  <si>
    <t>Volunteers were challenged with different strains</t>
  </si>
  <si>
    <t>"Clinical reactions were graded severe (Influenza-like), moderate (constitutional and local symptoms), mild (local symptoms only), very mild (trivial symptoms), and nil."</t>
  </si>
  <si>
    <t>No AE data; grades clinical reaction</t>
  </si>
  <si>
    <t>No SAEs mentioned in text. "Severe (Influenza-like) clinical reaction"</t>
  </si>
  <si>
    <t>"Volunteers were kept in strict isolation."</t>
  </si>
  <si>
    <t>Cretescu 1978</t>
  </si>
  <si>
    <t>Cummings JF</t>
  </si>
  <si>
    <t>LSA-NRC/AS01 and LSA-NRC/AS02 vaccines</t>
  </si>
  <si>
    <t>NCT00312702 and NCT00312663</t>
  </si>
  <si>
    <t>https://www.clinicaltrials.gov/ct2/show/NCT00312702?term=NCT00312702&amp;draw=2&amp;rank=1</t>
  </si>
  <si>
    <t>Seroconversion</t>
  </si>
  <si>
    <t>36 immunized, not challenged</t>
  </si>
  <si>
    <t>"All subjects seroconverted after the first immunization."</t>
  </si>
  <si>
    <t>"The solicited injection site adverse events were pain, redness and swelling. Solicited general adverse events were fever, nausea, fatigue, headache, malaise, myalgia and joint pain. In addition to the solicited signs and symptoms, investigators recorded any other adverse events occurring within a 28-day follow-up period (day of immunization and 27 subsequent days) as unsolicited adverse events." and "A serious adverse event was defined as any untoward medical occurrence that resulted in death, was life threatening, resulted in persistent or significant disability/incapacity, required hospitalization or prolongation of existing hospitalization, or was associated with a congenital anomaly/birth defect in the offspring of a study subject."</t>
  </si>
  <si>
    <t>"There were no serious adverse events."</t>
  </si>
  <si>
    <t>LSA-NRC/AS01, LSA-NRC/AS02, chloroquine</t>
  </si>
  <si>
    <t>"Written informed consent was obtained from all volunteers prior to screening and enrollment into the study. Volunteers provided a medical history and underwent a physical examination and laboratory testing consisting of a complete blood count (CBC), serum biochemistries (creatinine, alanine aminotransferase, aspartate aminotransferase and bilirubin), and serologic tests to characterize hepatitis B, hepatitis C and HIV infection status. Volunteers were excluded from participation if they had had malaria or recent travel to a malaria endemic country, had previously received an experimental malaria vaccine, had recently taken or planned to take any other experimental vaccine, were asplenic, had a positive-HCG test, were immunodeficient, or had any acute or chronic pulmonary, cardiovascular, hepatic, neurologic or renal disease that might confound evaluation of the vaccines."</t>
  </si>
  <si>
    <t>"The study was conducted according to Good Clinical Practices under a protocol approved by the Human Use Review Committee of the Walter Reed Army Institute of Research (WRAIR), The Western Institutional Review Board, Olympia, Washington, and by the US Army Medical Research and Materiel Command’s Human Subjects Research Review Board, Fort Detrick, Maryland under an Investigational New Drug application filed at the US Food and Drug Administration. This study was registered at www.ClinicalTrials.gov under reference identifiers NCT00312702 and NCT00312663."</t>
  </si>
  <si>
    <t>open-label Phase I/II study</t>
  </si>
  <si>
    <t>Cummings 2010</t>
  </si>
  <si>
    <t>P. falciparum (3D7 clone) (infected mosquito bites)</t>
  </si>
  <si>
    <t>Parasitemia: "Blood for malaria smear was collected from Day 5 post-DOC up to 30 days, depending on development of parasitemia or until resolution of parasitemia."</t>
  </si>
  <si>
    <t>22 previously immunized</t>
  </si>
  <si>
    <t>22/22 previously immunized became infected</t>
  </si>
  <si>
    <t>AEs primarily reported for vaccine</t>
  </si>
  <si>
    <t>Donnenberg MS</t>
  </si>
  <si>
    <t>O55:H6 EPEC strain 2362-75 (17 volunteers) or O127:H6 strain E2348/69 (6 volunteers)</t>
  </si>
  <si>
    <t>Study 1: naive cohorts</t>
  </si>
  <si>
    <t>"All stools were inoculated on eosin-methylene blue agar plates containing 100 mg of nalidixic acid per ml for quantitative culture. Ten colonies typical of E. coli were picked and tested by slide agglutination with serogroup-specific antiserum. Up to five EPEC colonies that had been confirmed by slide agglutination from each stool specimen were tested for the presence of the EAF plasmid with a specific DNA probe (41)."</t>
  </si>
  <si>
    <t>"The challenge organism was recovered from the stools of all volunteers in both studies."</t>
  </si>
  <si>
    <t>None given, but "oral temperatures were recorded every 8 h and volunteers were questioned daily about the presence and severity of preselected symptoms, as previously described (13)."</t>
  </si>
  <si>
    <t>Neomycin (treatment after challenge)</t>
  </si>
  <si>
    <t>"The procedures for recruiting, screening, and obtaining informed consent from volunteers, which included passing a written examination to indicate a full understanding of the study design and the risks of the study, were described previously (13). Studies were approved by the Institutional Review Board of the University of Maryland."</t>
  </si>
  <si>
    <t>Heterologous challenge</t>
  </si>
  <si>
    <t>Donnenberg 1998</t>
  </si>
  <si>
    <t>O55:H6 EPEC strain 2362-75, rechallenged with O127:H6 EPEC strain E2348/69</t>
  </si>
  <si>
    <t>Study 1: rechallenged cohort (recruited from naive participants challenged above)</t>
  </si>
  <si>
    <t>O127:H6 EPEC strain E2348/69</t>
  </si>
  <si>
    <t>Study 2: naive cohort</t>
  </si>
  <si>
    <t>Ciprofloxacin (treatment after challenge)</t>
  </si>
  <si>
    <t>Homologous challenge</t>
  </si>
  <si>
    <t>O127:H6 EPEC strain E2348/69 (6 previously received same strain, 5 previously received eae mutant strain CVD206)</t>
  </si>
  <si>
    <t>Study 2: rechallenged cohorts (veterans from a previous study)</t>
  </si>
  <si>
    <t>Douglas RG Jr</t>
  </si>
  <si>
    <t>Influenza A/England/42/72/H3N2 strain</t>
  </si>
  <si>
    <t>"Virus shedding and/or antibody response."</t>
  </si>
  <si>
    <t>10 received drug treatment prior to challenge</t>
  </si>
  <si>
    <t>6/10 receiving drug treatment became infected</t>
  </si>
  <si>
    <t>None given, but "Severity scores, 1 to 3+ for specific signs, and symptoms referable to respiratory tract, e.g., nasal obstruction, nasal discharge, etc., were assigned, and mean total scores for each group were calculated. In addition, overall evaluations for presence of illness and site of involvement, e.g., rhinitis, pharyngitis, tracheobronchitis, and systemic illness, were made at the time of each evaluation."</t>
  </si>
  <si>
    <t>No SAEs mentioned in text. Described illnesses expected of challenge, did not meet current defition of SAEs</t>
  </si>
  <si>
    <t>CP-20,961</t>
  </si>
  <si>
    <t>"Subjects were healthy, adult male, university students between the ages of 18 and 25 who were shown to possess low or undetectable titers of serum hemagglutination inhibition antibody to Influenza A/England/42/72/H3N2." and "Before and at the end of the study volunteers underwent complete history, physical examination, and laboratory evaluation of hematological, renal, and hepatic function."</t>
  </si>
  <si>
    <t>"Procedures used in recruiting the volunteers insured their freedom of choice to participate, and volunteers gave written informed consent to participate in the study."</t>
  </si>
  <si>
    <t>double-blind placebo controlled study</t>
  </si>
  <si>
    <t>Douglas 1975</t>
  </si>
  <si>
    <t>Wild-type A/Vic/3/75 virus</t>
  </si>
  <si>
    <t>Previously immunized cohort</t>
  </si>
  <si>
    <t>None clearly given, references methods described previously</t>
  </si>
  <si>
    <t>None given, but "To quantitate more precisely the symptoms produced by these two ts- 1[E] viruses in the double-blind study, each sign and each symptom were given a severity score of 0, 1, 2, or 3 so that total sign and symptom scores could be calculated for each volunteer (4). Signs and symptoms were also classified as local or systemic, and the resulting illness categories are presented in Table 2."</t>
  </si>
  <si>
    <t>"Healthy volunteers, 18 to 50 years old, who possessed a serum HAI titer of s1:8 to the A/Vic/3/75(H3N2) virus participated in the study after informed consent was obtained."</t>
  </si>
  <si>
    <t>Douglas 1979</t>
  </si>
  <si>
    <t>Doyle WJ</t>
  </si>
  <si>
    <t>RV 39</t>
  </si>
  <si>
    <t>"Infection was defined as seroconversion (at least fourfold rise in homotypic antibody to RV-39), or shedding of challenge virus on at least 1 occasion."</t>
  </si>
  <si>
    <t>3 excluded from data analysis (two shed wild virus and 1 wasn't infected)</t>
  </si>
  <si>
    <t>None given; lists self-reported adverse reactions</t>
  </si>
  <si>
    <t>Unclear (&gt;= 26)</t>
  </si>
  <si>
    <t>atropine sulfate-pseudoephedrine hydrochloride (treatment after challenge)</t>
  </si>
  <si>
    <t>"Forty-three healthy adult volunteers(18 to 35 years of age) with serum neutralizing antibody titers to Rhinovirus type 39 (RV-39) of less than or equal to 2 were enrolled and randomized with respect to treatment. During the week prior to Rhinovirus challenge, all volunteers had an otolaryngologic examination and completed 3 baseline evaluations, each consisting of a standardized battery of otolaryngologic tests (nasalpatency, nasal mucociliary clearance, ET function, and middle ear pressure)."</t>
  </si>
  <si>
    <t>"It was approved by the Institutional Review Board of the University of Virginia."</t>
  </si>
  <si>
    <t>randomized, double-blind, parallel, placebo-controlled evaluation</t>
  </si>
  <si>
    <t>Doyle 1993</t>
  </si>
  <si>
    <t>H1N1 (wild type, lot E-262)</t>
  </si>
  <si>
    <t>"Infection was defined as documented viral shedding on at least 1 postchallenge day of cloister or a fourfold increase in serum antibody titer between prechallenge and convalescent samples."</t>
  </si>
  <si>
    <t>"Twenty-one of the 33 subjects had prechallenge antibody titers of less than 16, suggesting susceptibility to the challenge strain of virus."</t>
  </si>
  <si>
    <t>21/21 susceptible to infection became infected</t>
  </si>
  <si>
    <t>None given, but "Eight specific symptoms, including sneezing, nasal discharge, nasal congestion, malaise, headache, chilliness, sore throat, and cough, were rated by the subject on a four-point, 0 to 3 scale corresponding to none, mild, moderate, or severe. For analysis, three combined scores were calculated for each individual on each study day: nasal symptom score (sum of scores for sneezing, nasal discharge, and nasal congestion), throat symptom score (sum of scores for sore throat and cough), and systemic symptom score (sum of headache, chilliness, and malaise). Subjects were invited to list additional symptoms not specified on the scoring sheet. Presence of these symptoms was recorded by the study technician but not scored. On each study day, the subjects were asked if they believed that they had sufficient illness to qualify as having a cold or flu. These responses were recorded on the diary sheets. The subject was considered to be ill if he or she had reported a cold or flu on at least 2 days."</t>
  </si>
  <si>
    <t>No AE data; reports number that reported flu or cold on at least 2 postchallenge days</t>
  </si>
  <si>
    <t>No SAEs mentioned in text, but "One subject reported severe migraine headache, dizziness, and vertigo beginning on day 4 of the study and continuing throughout the period of cloister. Following release, the symptoms persisted and the subject was examined by an otologist and scheduled for clinical vestibular function testing on day 14 postchallenge. At that time, the symptoms were appreciably diminished, hearing was normal, and all measured responses to vestibular testing were within normal limits. By day 21 postchallenge and on presentation for postinfection convalescent phlebotomy, the subject reported complete resolution of the symptoms."</t>
  </si>
  <si>
    <t>"Applicants provided a general health history and were given otolaryngological and general physical examinations. Blood and urine specimens were collected. Blood samples were used for complete blood counts and assayed for a panel of hepatic enzymes and the presence of human immunodeficiency virus and hepatitis antibodies. Urines were submitted for urinalysis. Potential subjects were excluded if presenting with a history of nasal or otologic surgery, a history of cardiovascular or other serious disease, symptomatic upper respiratory infections within the last 30 days, concurrent nasal or otologic signs and symptoms, abnormal clinical profiles on urinalysis, complete blood count, or blood enzymes, or seropositivity for human immunodeficiency or hepatitis viruses. Thirty-three (20 men and 13 women) healthy adult subjects (20 to 39 years old) were enrolled after providing a written informed consent."</t>
  </si>
  <si>
    <t>"The study was approved by the Human Rights Committee at the Children's Hospital of Pittsburgh."</t>
  </si>
  <si>
    <t>Doyle 1994</t>
  </si>
  <si>
    <t>RV39 or RV23</t>
  </si>
  <si>
    <t>Population demographics given for infected volunteers, but not overall cohort</t>
  </si>
  <si>
    <t>ND (115 infected)</t>
  </si>
  <si>
    <t>ND (119 infected)</t>
  </si>
  <si>
    <t>ND (18 infected)</t>
  </si>
  <si>
    <t>ND (54 infected)</t>
  </si>
  <si>
    <t>ND (28.7 infected)</t>
  </si>
  <si>
    <t>ND (10.1 infected)</t>
  </si>
  <si>
    <t>"the analyses were limited to subjects who were infected by the standard clinical criteria—either shed virus or seroconverted (Gwaltney et al., 1989)."</t>
  </si>
  <si>
    <t>None given, but "On each day of quarantine, subjects were evaluated for symptoms and signs of illness as previously described (Cohen et al., 2003). By diary, they were asked to rate on a scale of 0 (none) to 4 (very severe) eight respiratory symptoms (congestion, runny nose, sneezing, cough, sore throat, malaise, headache, and chills) and four symptoms usually not associated with minor upper respiratory infections (dizziness, backache, faintness, and trembling hands) as experienced during the previous 24 h."</t>
  </si>
  <si>
    <t>"All consented volunteers underwent medical screenings by history and physical, supplied demographic information and had blood taken for assay of pre-exposure RV-specific neutralizing antibodies. Subjects were excluded on screening if: (1) they had a history of psychiatric illness, major nasal or otologic surgery, asthma or cardiovascular disorders, (2) they were on a regular medication regimen for a chronic illness, (3) their results for urinalysis, complete blood counts, or blood enzymes were abnormal, (4) they were pregnant or currently lactating, or (5) they were seropositive for human immunodeficiency virus."</t>
  </si>
  <si>
    <t>"The subjects were paid $800 for their participation. The protocol and informed consent were approved by the Institutional Review Boards at the Children’s Hospital of Pittsburgh, the University of Pittsburgh and Carnegie Mellon University"</t>
  </si>
  <si>
    <t>Doyle 2006</t>
  </si>
  <si>
    <t>Drake CL</t>
  </si>
  <si>
    <t>Rhinovirus type 23</t>
  </si>
  <si>
    <t>None given, but "Participants rated the following eight symptoms - sneezing, runny nose, nasal obstruction, sore throat, cough, headache, malaise, and chilliness - on a scale of 0-4 corresponding to a symptom severity of absent, mild, moderate, severe, or very severe. The daily symptom scores for each symptom were calculated as the mean of the morning and evening assessment. Total symptom score for each symptom was the sum of daily symptom scores across the 5 days of assessment. Each individual was classified as symptomatic or asymptomatic according to Jackson Cold Criteria, which requires a daily symptom score of at least six for the 5 days post-challenge and either the presence of runny nose for at least 3 consecutive days or the subjective impression that they have a cold."</t>
  </si>
  <si>
    <t>No AE data; reports number considered symptomatic and mean symptom score for each individual</t>
  </si>
  <si>
    <t>7 were considered symptomatic. No SAEs mentioned in text. Described reported symptoms expected of challenge, did not meet current definition of SAEs</t>
  </si>
  <si>
    <t>"Twenty-one healthy men and women, aged 18-45 years (mean 27.5 +- 8.13), without sleep complaints, and with no evidence of sleep pathologies on a nocturnal polysomnogram (NPSG) completed the study."</t>
  </si>
  <si>
    <t>"The Institutional Review Board approved all study procedures. All participants provided written informed consent and were paid for their participation."</t>
  </si>
  <si>
    <t>Parallel control group comparison</t>
  </si>
  <si>
    <t>Drake 2000</t>
  </si>
  <si>
    <t>Feldman PJ</t>
  </si>
  <si>
    <t>RV39 or Hanks</t>
  </si>
  <si>
    <t>"Volunteers met the objective criteria for having a common cold if they were infected and met disease criteria. They were classified as infected if the inoculation virus was isolated on any of the 5 postinoculation study days or if there was a fourfold or greater rise in virus-specific serum neutralizing antibody titer from before viral exposure to 28 days after exposure. The criteria for disease included a total adjusted mucus weight of at least 10 g or adjusted average mucociliary nasal clearance time of at least 7 min (Cohen et al., 1997)."</t>
  </si>
  <si>
    <t>77 met both self-report and objective criteria of a cold, 32 met objective criteria but did not meet self-report criteria</t>
  </si>
  <si>
    <t>None given, but "On the day before (baseline) and for 5 days after exposure, participants rated the presence and severity of eight respiratory symptoms (congestion, runny nose, sneezing, coughing, sore throat, malaise, headache, and chills) during the previous 24 hr (Farr et al., 1990). Symptom checklists were completed in the early evenings. Ratings were provided on a scale from 0 (none) to 4 (very severe) for each symptom."</t>
  </si>
  <si>
    <t>"The participants were 125 men and 151 women judged to be in good health."</t>
  </si>
  <si>
    <t>Feldman 1999</t>
  </si>
  <si>
    <t>Gentile DA</t>
  </si>
  <si>
    <t>Influenza A/Kawasaki/9/86 [H1N1] virus [wild type, lot E-262]</t>
  </si>
  <si>
    <t>Influenza cohort</t>
  </si>
  <si>
    <t>"Infection was defined as the presence of viral shedding and/or seroconversion."</t>
  </si>
  <si>
    <t>"All of the subjects were in good health as evidenced by history, physical examination, and laboratory analyses. None had a history of nasal or otologic surgery; a history of pulmonary, cardiovascular, renal, or other serious disease; a history of seizures; a symptomatic URI within the last 30 days; ear disease within the last 6 months; concurrent pregnancy; nasal or otologic signs and symptoms; abnormal clinical profiles; or seropositivity for HIV. Subjects enrolled into the RV and FLU cohorts had antibody titers to the challenge viruses of 1:2 and 1:10, respectively. Subjects enrolled into the RSV cohort were not prescreened by antibody titers to the challenge virus. During the study, subjects were not permitted to use alcohol or take over-the-counter or prescription medications, with the exception of birth control pills."</t>
  </si>
  <si>
    <t>"This study was approved by the Human Rights Committee of Children’s Hospital of Pittsburgh. A total of 75 adult subjects (aged 18 to 50 years) were enrolled after providing written informed consent."</t>
  </si>
  <si>
    <t>Gentile 2003</t>
  </si>
  <si>
    <t>RV Type 39</t>
  </si>
  <si>
    <t>Rhinovirus cohort</t>
  </si>
  <si>
    <t>RSV cohort</t>
  </si>
  <si>
    <t>Gern JE</t>
  </si>
  <si>
    <t>Data from immunization phase not extracted</t>
  </si>
  <si>
    <t>Developed symptoms of upper respiratory tract infection</t>
  </si>
  <si>
    <t>None given; lists common AEs reported by participants</t>
  </si>
  <si>
    <t>"There were fewer adverse events during URI (1/16 subjects) compared with before URI (14/21 subjects)."</t>
  </si>
  <si>
    <t>"URI symptoms collected via questionnaire after the RV16 inoculation were not classified as adverse events, as they did not qualify as a serious adverse event and were anticipated in accordance with the study design." and "No serious adverse events were reported."</t>
  </si>
  <si>
    <t>AIR Inhaled Insulin</t>
  </si>
  <si>
    <t>"Subjects who participated in this study met the following inclusion criteria: 18–55 years of age, in good health, non-smokers, body mass index of 17–27 kg/m2, seronegative for RV16 antibody, spirometry (forced expiratory volume and forced vital capacity) between 70 and 130% of predicted values, and able to use the inhaler device as directed (inhale at approximately 30 l/min for the duration of 5 s). Exclusion criteria included active asthma, rhinitis, sinusitis, hoarseness, or chronic cough; a recent upper (within 21 days) or lower (4 months) respiratory infection; signs and symptoms of URI at study entry; history of diabetes mellitus or impaired glucose tolerance; allergy to insulin; and women who were pregnant, lactating, or planning to become pregnant during the study."</t>
  </si>
  <si>
    <t>"The University of Wisconsin Human Subjects Committee approved the study protocol, and written informed consent was obtained from all subjects before participating in the study. This study was conducted according to the International Conference of Harmonization Good Clinical Practice Guidelines and the Declaration of Helsinki Principles."</t>
  </si>
  <si>
    <t>phase I, single-center, single-sequence, two-period euglycemic glucose clamp study</t>
  </si>
  <si>
    <t>Gern 2008</t>
  </si>
  <si>
    <t>J. Thomas Grayston</t>
  </si>
  <si>
    <t>Trachoma virus</t>
  </si>
  <si>
    <t>Taiwan virus isolate, TRIC1 Taiwan-1-1958, abbreviated TW-1</t>
  </si>
  <si>
    <t>"Laboratory examinations consisted of bacteriologic culture, examination of conjunctival smears for inclusion bodies, embryonated egg yolk sac culture for Trachoma virus, and trachoma complement fixation serology."</t>
  </si>
  <si>
    <t>All participants were partly or fully blind</t>
  </si>
  <si>
    <t>All participants were fully or partially blind, otherwise healthy</t>
  </si>
  <si>
    <t>One participant did not become infected until second inoculation</t>
  </si>
  <si>
    <t>"discharge, congestion, swelling, turbidity, pseudomembrane, petechial hemorrhage, hypertrophy, follicle, papilla, pannus, scar, and lymphadenopathy."</t>
  </si>
  <si>
    <t>No AE data; details clinical findings</t>
  </si>
  <si>
    <t>REVIEW</t>
  </si>
  <si>
    <t>Discuss how to categorize AEs here</t>
  </si>
  <si>
    <t>TRIC-Taiwan-3-1959</t>
  </si>
  <si>
    <t>"Seven volunteers were recruited from the Provincial Taipei School for Blind and Mute, Taipei, Taiwan. They were selected from the student volunteers examined at the school who showed no evidence of previous trachoma infection. All had normal conjunctivas before inoculation. Volunteer 1 was the only one with a normal cornea."</t>
  </si>
  <si>
    <t>Grayston 1962</t>
  </si>
  <si>
    <t>Gustafson LM</t>
  </si>
  <si>
    <t>Rhinovirus type 39</t>
  </si>
  <si>
    <t>Mean age given for two groups, but not overall</t>
  </si>
  <si>
    <t>"Infection was defined by the shedding of the challenge virus on 1 or more days or a fourfold or greater increase in the serum antibody titer."</t>
  </si>
  <si>
    <t>23 received prednisone treatment before and after challenge</t>
  </si>
  <si>
    <t>21/23 steroid-treated subjects became infected</t>
  </si>
  <si>
    <t>None given, but patients "were asked to describe the severity of eight symptoms including sneezing, nasal discharge, nasal obstruction, sore throat, cough, headache, malaise, and chilliness. Symptoms were rated on a scale of 0 (no symptoms) to 4 (very severe symptoms). A modified version14 of the criteria of Jackson et al.13 for definition of a cold was used. This version required a total symptom score of greater than 5 over 5 days after challenge plus either nasal discharge for 3 days or the subject's belief that he had had a cold during the study."</t>
  </si>
  <si>
    <t>No AE data; reports number that met definition of a cold</t>
  </si>
  <si>
    <t>Prednisone</t>
  </si>
  <si>
    <t>"Young men (aged 18 years and older) with reciprocal serum neutralizing antibody titers to the challenge virus of less than or equal to 2 were recruited from the Charlottesville/University of Virginia community. Volunteers were excluded from the study if they had a history of asthma, sinusitis, chronic rhinitis, or allergies or if they had symptoms of an upper respiratory tract infection or fever within 1 week before the study."</t>
  </si>
  <si>
    <t>"Subjects gave written consent to participate, and the protocol was approved by the Human Investigation Committee of the University of Virginia."</t>
  </si>
  <si>
    <t>double-blind, randomized, placebo-controlled study</t>
  </si>
  <si>
    <t>Gustafson 1996</t>
  </si>
  <si>
    <t>Grünberg K</t>
  </si>
  <si>
    <t>positive viral culture</t>
  </si>
  <si>
    <t>12 received budesonide treatment</t>
  </si>
  <si>
    <t>"RV16 infection was confirmed in all RV16-inoculated subjects, except subjects 2, 8, 17, and 23, who were excluded from the statistical analysis of the effect of RV16."</t>
  </si>
  <si>
    <t>"Finally, the subjects scored their cold symptoms three times daily (4)."</t>
  </si>
  <si>
    <t>No AE data; reports cold scores</t>
  </si>
  <si>
    <t>No SAEs mentioned in text. study cites other study for grading severity. &gt;= 11 cold score is severe</t>
  </si>
  <si>
    <t>Budesonide</t>
  </si>
  <si>
    <t>"Twenty-five nonsmoking atopic steroid-naive adults with asthma with low Rhinovirus 16-neutralizing serum titers were recruited"</t>
  </si>
  <si>
    <t>"The study was approved by the Medical Ethics Committee of the Leiden University Medical Center and all subjects gave their written informed consent"</t>
  </si>
  <si>
    <t>experimental Rhinovirus 16 (RV16) infection, while receiving double-blind, placebo-controlled treatment</t>
  </si>
  <si>
    <t>Grunberg 2001</t>
  </si>
  <si>
    <t>Gwaltney JM Jr</t>
  </si>
  <si>
    <t>Hank's strain</t>
  </si>
  <si>
    <t>"Infection was defined as recovery of the challenge virus from nasal washings on at least one day, at least a fourfold increase in the titers of neutralizing antibody to Hank's strain rhinovirus, or both."</t>
  </si>
  <si>
    <t>34 excluded from analysis of efficacy, 16/34 did not become infected</t>
  </si>
  <si>
    <t>75/150 received treatment with clemastine</t>
  </si>
  <si>
    <t>None given, but "Data on symptoms were collected immediately before administration of the first morning dose of clemastine or placebo by a nurse who recorded the subject's assessment of the severity of symptoms over the prior 24 hours on a five-point scale (0 = absent, 1 = mild, 2 = moderate, 3 = severe, and 4 = very severe). The symptoms assessed were sneezing, rhinorrhea, nasal obstruction, sore throat, cough, headache, malaise, and chilliness. The total symptom score was determined by adding severity scores for the symptoms over the 5-day period. The score for each symptom present before viral challenge was subtracted from each ofthe daily scores for that symptom. This method of symptom scoring and of diagnosing illness is based on a modification [6] of a previously described method of Jackson et al. [7]. The diagnosis of a cold was based on a total symptom score of &gt;=6 and on either the presence of
rhinorrhea for &gt;=3 days or the subject's impression of having had a cold during the study."</t>
  </si>
  <si>
    <t>No AE data; reports number infected who became ill</t>
  </si>
  <si>
    <t>Unclear (&gt;=129)</t>
  </si>
  <si>
    <t>Clemastine</t>
  </si>
  <si>
    <t>"Subjects were required to have been free of cold symptoms or a fever (temperature, &gt; 100°F) for 2 weeks before entering the study and to have no history of hypersensitivity to antihistamines. In addition, subjects were excluded if they had (or had a history of) allergic rhinitis, bronchial asthma, or other lower respiratory tract diseases such as chronic obstructive pulmonary disease or emphysema. Subjects were also screened for abuse of alcohol or drugs and for use of tobacco products during the 6 months before entering the study and were excluded if they had used antihistamines, any cough and/or cold medication, any medications thought to interfere with the study drug, or monoamine oxidase inhibitors 7 days before entry. Other exclusion criteria included pregnancy or lactation, poorly controlled hypertension or heart disease, hyperthyroidism, nasal abnormalities, and other medical conditions that might alter the absorption, distribution, metabolism, and excretion of the study drug."</t>
  </si>
  <si>
    <t>"All participants signed consent forms approved by the human investigation committees of the respective institutions."</t>
  </si>
  <si>
    <t>double-blind, randomized clinical trial</t>
  </si>
  <si>
    <t>Gwaltney 1996</t>
  </si>
  <si>
    <t>Rhinovirus type 16</t>
  </si>
  <si>
    <t>ND for all challenged, 105 among 225 evaluable subjects</t>
  </si>
  <si>
    <t>ND for all challenged, 120 among 225 evaluable subjects</t>
  </si>
  <si>
    <t>43 (evaluable subjects)</t>
  </si>
  <si>
    <t>ND for all challenged, 21.5 among evaluable subjects</t>
  </si>
  <si>
    <t>"Infection was defined as recovery of a strain of Rhinovirus type 16 from nasal washings on at least one day of the study and/or at least a fourfold increase in the titer of serum neutralizing antibody to Rhinovirus type 16."</t>
  </si>
  <si>
    <t>Number shedding virus</t>
  </si>
  <si>
    <t>"After the cold symptom data were collected each day, subjects were questioned about the occurrence and severity of any other symptoms that had occurred in the previous 24 hours."</t>
  </si>
  <si>
    <t>"None of the subjects discontinued the study because of adverse events." and "Two severe adverse events (headache and nausea) were reported by subjects in the brompheniramine group, and one (headache) was reported by a subject in the placebo group."</t>
  </si>
  <si>
    <t>brompheniramine</t>
  </si>
  <si>
    <t>"Two hundred-eighty adults (&gt;=18 years of age) from the Charlottesville, Virginia, area who had serum neutralizing antibody titers of &lt;=2 to Rhinovirus type 16 were enrolled in the study. The subjects were in general good health and had been free of cold symptoms and fever (temperature &gt;38 C) for 2 weeks; none of the women were pregnant (urine pregnancy tests were administered and were negative) or lactating. Subjects were excluded if they had a history of allergic rhinitis, bronchial asthma, excessive use of alcohol or drugs, use of an antihistamine or any cough or cold medication within 48 hours of virus challenge, use of hismanal within the prior 30 days, use of monoamine oxidase inhibitors within the prior 7 days, difficulty in urination, or glaucoma or if they were currently taking any other medications (except for birth control), were hypersensitive to brompheniramine, or had taken an investigational drug within the prior 30 days."</t>
  </si>
  <si>
    <t>"All subjects signed consent forms provided by the Human Investigation Committee of the University of Virginia."</t>
  </si>
  <si>
    <t>randomized, controlled trial</t>
  </si>
  <si>
    <t>Gwaltney 1997</t>
  </si>
  <si>
    <t>Harris JM 2nd</t>
  </si>
  <si>
    <t>1 additional subject excluded prior to challenge due to infection with a wild strain of rhinovirus</t>
  </si>
  <si>
    <t>"Infection was defined as recovery of rhinovirus type 39 from nasal washings on at least 1 day, a fourfold or greater rise in serum titer of neutralizing antibody to rhinovirus type 39, or both."</t>
  </si>
  <si>
    <t>None given, but "The occurrence and severity of symptoms were assessed on a five-point scale as follows: 0, absent; 1, mild; 2, moderate; 3, severe; and 4, very severe" and "Symptoms assessed were sneezing, rhinorrhea, nasal obstruction, sore or scratchy throat, cough, headache, malaise, and chilliness. This method of scoring and diagnosing illness is based on a modification [6] of a previously described method [7]. These criteria define illness as being present if a subject had a minimum total symptom score of 6 and had the subjective impression that he or she had a cold or that rhinorrhea was present on three or more of the 5 days of observation."</t>
  </si>
  <si>
    <t>No AE data; reports number that met criteria for illness</t>
  </si>
  <si>
    <t>"Subjects were enrolled in the study if they had a serum titer of neutralizing antibody to rhinovirus type 39 of had no history of asthma, allergies, or other chronic illness; and were not taking medications such as nasal sprays, antihistamines, steroids, or decongestants. Females could not be pregnant or lactating."</t>
  </si>
  <si>
    <t>Volunteers "had given informed consent in a form approved by the University of Virginia Human Investigation Committee."</t>
  </si>
  <si>
    <t>Harris 1996</t>
  </si>
  <si>
    <t>Hayden FG</t>
  </si>
  <si>
    <t>Attenuated A/Khabarovsk/77/H1N1</t>
  </si>
  <si>
    <t>"virus isolated from nasopharyngeal secretions"</t>
  </si>
  <si>
    <t>None given, but "Specific symptoms and physical findings of constitutional (headache, feverishness, chills/sweats, myalgia, muscle tenderness, malaise, lethargy, anorexia/nausea, diarrhea) and respiratory (nasal obstruction, nasal discharge, sneezing, sore throat, hoarseness, pharyngitis, cough sputum production, tracheal tenderness) illness were rated in a semiquantitative manner from absent (0) to severe (+3). An individual illness score for each day and for the 5 day period after virus inoculation was generated by totaling the score for individual symptoms on these days."</t>
  </si>
  <si>
    <t>Rimantadine (treatment after challenge)</t>
  </si>
  <si>
    <t>"Thirty-six healthy, young adult volunteers of either sex were enrolled in the study. All had normal clinical examinations by an internist, otolaryngologist, and neurologist, as well as normal hematologic, electrocardiographic, chest radiographic and spirometric data."</t>
  </si>
  <si>
    <t>Hayden 1982</t>
  </si>
  <si>
    <t>Challenge, Attenuated, NAE, NSAE</t>
  </si>
  <si>
    <t>HRV-39</t>
  </si>
  <si>
    <t>First study</t>
  </si>
  <si>
    <t>"Defined by occurrence of HRV-39 shedding and/or &gt;=4-fold rise in serum homotypic neutralizing antibody."</t>
  </si>
  <si>
    <t>15 treated with RRMA before and after challenge</t>
  </si>
  <si>
    <t>12/15 treated with RRMA became infected</t>
  </si>
  <si>
    <t>"The frequency and severity of clinical illness were determined by monitoring clinical symptoms and weighing of expelled nasal secretions by previously described methods (Hayden and Gwaltney, 1983)."</t>
  </si>
  <si>
    <t>No AE data; reports number with cold</t>
  </si>
  <si>
    <t>Rhinovirus receptor murine monoclonal antibody (RRMA), acetaminophen, salicylates, erythromycin</t>
  </si>
  <si>
    <t>"Healthy, young adult volunteers, who had screening serum neutralizing antibody titers to HRV-39 of &lt;=1:2, were randomly assigned to RRMA or placebo groups in two separate studies (30 in the first and 27 in the second). Individuals with an upper respiratory tract illness or fever within one week prior to the study, medical illness requiring concomitant medication, exposure to an investigational drug within the previous month, and those who were pregnant or breast-feeding were excluded from participation. Concurrent medications, except oral contraceptives and vitamin preparations, were discouraged."</t>
  </si>
  <si>
    <t>randomized, double-blind, and placebo-controlled</t>
  </si>
  <si>
    <t>Hayden 1988</t>
  </si>
  <si>
    <t>Second study</t>
  </si>
  <si>
    <t>13 treated with RRMA before and after challenge</t>
  </si>
  <si>
    <t>11/13 treated with RRMA became infected</t>
  </si>
  <si>
    <t>Rhinovirus receptor murine monoclonal antibody (RRMA), acetaminophen</t>
  </si>
  <si>
    <t>Summed data for both studies</t>
  </si>
  <si>
    <t>Mean age given for four groups, but not overall</t>
  </si>
  <si>
    <t>Unclear (&gt;=32)</t>
  </si>
  <si>
    <t>Hank's strain or type 39</t>
  </si>
  <si>
    <t>Prophylaxis study 1</t>
  </si>
  <si>
    <t>Unclear (20 to 22)</t>
  </si>
  <si>
    <t>"Infection is defined as shedding virus, seroconversion, or both."</t>
  </si>
  <si>
    <t>12 treated with pirodavir prophylaxis</t>
  </si>
  <si>
    <t>7/12 treated with pirodavir became infected</t>
  </si>
  <si>
    <t>AEs related to tolerance of treatment were reported, but no AE data for challenge was reported. "The occurrence of clinical colds, the weights of nasal secretions, and the use of tissue were determined during the isolation period by previously described methods (10). Subjects rated the severity of cold-associated symptoms twice daily, in the morning and evening, during the period of isolation and then each morning for 3 to 7 days following discharge from the hotel (10). Total symptom scores were determined by adding the morning and evening scores for the 5- to 6-day isolation period."</t>
  </si>
  <si>
    <t>Pirodavir</t>
  </si>
  <si>
    <t>"Previously healthy adults between the ages of 18 and 50 years with screening serum neutralizing antibody titers of 51:2 to one of two challenge rhinovirus serotypes (type 39 or a currently unnumbered serotype, designated Hank's) were recruited for participation (10)."</t>
  </si>
  <si>
    <t>"Written informed consents in a form approved by the University of Virginia Human Investigation Committee were obtained from all participants. Subjects were compensated for participation."</t>
  </si>
  <si>
    <t>Hayden 1992</t>
  </si>
  <si>
    <t>Prophylaxis study 2</t>
  </si>
  <si>
    <t>19 treated with pirodavir prophylaxis</t>
  </si>
  <si>
    <t>13/19 treated with pirodavir became infected</t>
  </si>
  <si>
    <t>Prophylaxis study 3</t>
  </si>
  <si>
    <t>13 treated with pirodavir prophylaxis</t>
  </si>
  <si>
    <t>11/13 treated with pirodavir became infected</t>
  </si>
  <si>
    <t>Unclear (&gt;=19)</t>
  </si>
  <si>
    <t>Treatment study</t>
  </si>
  <si>
    <t>13 treated with pirodavir after challenge</t>
  </si>
  <si>
    <t>12/13 treated with pirodavir after challenge were infected</t>
  </si>
  <si>
    <t>Pirodavir (treatment after challenge)</t>
  </si>
  <si>
    <t>Unclear (&gt;=58)</t>
  </si>
  <si>
    <t>Influenza A/Kawasaki/86 (H1N1)</t>
  </si>
  <si>
    <t>Virus shedding</t>
  </si>
  <si>
    <t>18 treated with LY217896 prior to challenge</t>
  </si>
  <si>
    <t>18/18 treated with LY217896 became infected</t>
  </si>
  <si>
    <t>AEs related to tolerance of treatment were discussed, but no AE data for challenge was reported</t>
  </si>
  <si>
    <t>No AE data; reports number with upper respiratory illness</t>
  </si>
  <si>
    <t>LY217896 (1,3,4-thiadiazole-2-ylcyanamide), acetaminophen</t>
  </si>
  <si>
    <t>"Healthy males age 18 to 45 years with titers of hemagglutination inhibition (HI) antibody to the challenge virus of &lt;=1:8 were recruited for participation."</t>
  </si>
  <si>
    <t>"All provided written, informed consent in a form approved by the Institutional Review Boards of the respective institutions and were compensated for participation."</t>
  </si>
  <si>
    <t>Hayden 1994</t>
  </si>
  <si>
    <t>Influenza A/Texas/91 (H1N1) virus</t>
  </si>
  <si>
    <t>For prophylactic activity: "Infection was defined by positive culture for influenza virus on 1 or more postinoculation days or fourfold or greater rise in serum HI antibody titer." and "For therapeutic activity, the primary outcomes were measures of quantitative viral shedding"</t>
  </si>
  <si>
    <t>61 received GG167 prophylaxis;
33 received placebo (prophylaxis);
Unclear how many were challenged in therapeutic activity assessment
"Six subjects (one placebo, five GG167) were excluded from efficacy assessments"
(Numbers given by paper do not add up; we assume that all 166 volunteers were challenged)</t>
  </si>
  <si>
    <t>8/61 receiving GG167 prophylaxis became infected;
24/33 receiving placebo (prophylaxis) became infected;
"To evaluate the therapeutic effects of GG167, only subjects with laboratory evidence of infection were compared."
31 received GG167 early treatment;
12 received GG167 delayed treatment;
26 received placebo treatment;</t>
  </si>
  <si>
    <t>GG167, acetaminophen (symptom relief)</t>
  </si>
  <si>
    <t>"The participants were healthy, young adults susceptible to the challenge virus (serum hemagglutination-inhibition [HI] antibody titers of &lt;=1:8). Using previously described methods,26,27 subjects were isolated in individual hotel rooms from 1 day before inoculation until 8 days afterward."</t>
  </si>
  <si>
    <t>"Written informed consent was obtained from each participant in a form approved by the institutional review board of the respective institution. Subjects were compensated for participation."</t>
  </si>
  <si>
    <t>randomized, double-blind, placebo-controlled trials</t>
  </si>
  <si>
    <t>Hayden 1996</t>
  </si>
  <si>
    <t>Prophylaxis study</t>
  </si>
  <si>
    <t>21 (overall)</t>
  </si>
  <si>
    <t>18 (overall)</t>
  </si>
  <si>
    <t>40 (overall)</t>
  </si>
  <si>
    <t>"Infection was defined by a positive culture for influenza virus on 1 or more postinoculation days and/or 4-fold or greater increase in serum hemagglutination-inhibition antibody titer."</t>
  </si>
  <si>
    <t>21 received oseltamivir prophylaxis</t>
  </si>
  <si>
    <t>8/21 receiving oseltamivir prophylaxis became infected</t>
  </si>
  <si>
    <t>AEs related to tolerance of study drug reported, but no AE data for challenge reported. "14 symptoms (nasal stuffiness, runny nose, sore throat, sneezing, cough, breathing difficulty, muscle aches, fatigue, headache, earache/pressure, feverishness, hoarseness, chest discomfort, overall discomfort) were scored by the subjects twice daily on a 4-point scale (absent to severe)."</t>
  </si>
  <si>
    <t>Oseltamivir (treatment prior to challenge), acetaminophone (treatment after challenge)</t>
  </si>
  <si>
    <t>"The subjects were healthy adults aged 18 to 40 years who were susceptible to the challenge virus on the basis of having serum hemagglutination-inhibition antibody titers with a dilution of 1:8 or less. Those with concurrent medication use or illness within 1 week were excluded. Only nonsmokers or those smoking fewer than 10 cigarettes daily who agreed to abstain during the study were included."</t>
  </si>
  <si>
    <t>"Written informed consent was obtained from each participant in a form approved by the institutional review boards of the University of Virginia, Charlottesville, and the University of Rochester, Rochester, NY, and subjects were compensated for participation."</t>
  </si>
  <si>
    <t>randomized, double-blind, placebo-controlled, dose-ranging trials</t>
  </si>
  <si>
    <t>Hayden 1999</t>
  </si>
  <si>
    <t>Challenge, NSAE, Excluded</t>
  </si>
  <si>
    <t>64 treated with oseltamivir after challenge</t>
  </si>
  <si>
    <t>56/64 treated with oseltamivir after challenge became infected</t>
  </si>
  <si>
    <t>Oseltamivir (treatment after challenge), acetaminophone (treatment after challenge)</t>
  </si>
  <si>
    <t>Oseltamivir (treatment prior to or after challenge, depending on study), acetaminophone (treatment after challenge)</t>
  </si>
  <si>
    <t>Challenge, NSAE, Summed</t>
  </si>
  <si>
    <t>Herrington DA</t>
  </si>
  <si>
    <t>Wild type S. sonnei strain 53G</t>
  </si>
  <si>
    <t>Challenge study</t>
  </si>
  <si>
    <t>Clinical shigellosis</t>
  </si>
  <si>
    <t>Results reported in Black 1987 (groups vaccinated with lots 2, 5, and 8) are excluded</t>
  </si>
  <si>
    <t>46 previously vaccinated with bivalent Salmonella
typhi-Shigella sonnei vaccine</t>
  </si>
  <si>
    <t>14/46 previously vaccinated became infected</t>
  </si>
  <si>
    <t>Adverse reactions related to vaccine were gathered, but no AE data for challenge reported</t>
  </si>
  <si>
    <t>bivalent Salmonella typhi-Shigella sonnei vaccine</t>
  </si>
  <si>
    <t>"The methods of medical screening, care of the volunteers, and obtaining informed consent have been described 14,15."</t>
  </si>
  <si>
    <t>"Protocols were reviewed by the Human Volunteer Research Committee of the University of Maryland at Baltimore and the Human Use Review Office of the Surgeon General's Human Subjects Research Review Board of the Department of the Army."</t>
  </si>
  <si>
    <t>Herrington 1990b</t>
  </si>
  <si>
    <t>Naive cohort (controls for rechallenge study)</t>
  </si>
  <si>
    <t>Summed data for both cohorts (not rechallenged participants)</t>
  </si>
  <si>
    <t>Rechallenge study</t>
  </si>
  <si>
    <t>4 previously vaccinated</t>
  </si>
  <si>
    <t>Higgins PG</t>
  </si>
  <si>
    <t>RV9 and RV14</t>
  </si>
  <si>
    <t>Demographic data only provided for individuals included in challenged cohort</t>
  </si>
  <si>
    <t>"Isolation of either challenge virus or a four fold or greater rise in antibody titer to either of them was considered evidence of infection."</t>
  </si>
  <si>
    <t>Participants were challenged with two strains of rhinovirus</t>
  </si>
  <si>
    <t>18 recieved rHuIFN-y prophylaxis prior to challenge</t>
  </si>
  <si>
    <t>15/18 receiving rHuIFN-y prophylaxis became infected</t>
  </si>
  <si>
    <t>4 received rHuIFN-y prophylaxis</t>
  </si>
  <si>
    <t>None given, but "Volunteers were observed daily and given a clinical score related to the signs and symptoms present, and the amount of nasal secretion produced each day was recorded. At the end of the trial each volunteer was assessed as having suffered no cold, doubtful cold (not significant), or a significant cold of a mild, moderate, or severe grade."</t>
  </si>
  <si>
    <t>2 of 4 rHuIFN-y recipients experienced nose bleeding (not related to challenge)</t>
  </si>
  <si>
    <t>recombinant human interferon-y (rHuIFN-y)</t>
  </si>
  <si>
    <t>Healthy volunteers were assessed clinically and psychologically prior to challenge.</t>
  </si>
  <si>
    <t>"The trials were approved by the Ethical Committee at Northwick Park Hospital."</t>
  </si>
  <si>
    <t>double blind</t>
  </si>
  <si>
    <t>Higgins 1988</t>
  </si>
  <si>
    <t>Thomas Hobbins</t>
  </si>
  <si>
    <t>A/Hong Kong/123/77</t>
  </si>
  <si>
    <t>Wild-type virus challenge</t>
  </si>
  <si>
    <t>"fourfold or greater increases in antibody titer by enzyme-linked immunosorbent assay or HAl tests."</t>
  </si>
  <si>
    <t>None given, but reports number that developed "systemic and/or febrile illness that lasted for a mean of five days" and "The most frequent symptoms and signs were those of systemic illness (malaise, anorexia, headache, chills, sweating, myalgia, and photophobia) and coryza."</t>
  </si>
  <si>
    <t>No AE data; reports number with illness</t>
  </si>
  <si>
    <t>Methacholine (cholinergic agent to test bronchial sensitivity)</t>
  </si>
  <si>
    <t>"Descriptions of the type of community volunteer, methods of informed consent, clinical surveillance, assessment of health status of participants, collection of clinical specimens, and virus culture and serologic techniques have been reported [3-6]. All volunteers were doubly seronegative - that is, they had serum HAl antibody titers of &lt;1 : 8 and neuraminidase-inhibiting antibody titers of &lt;1 : 4."</t>
  </si>
  <si>
    <t>"The research protocol was approved by the Human Volunteer Research Committee of the University of Maryland Hospital and the Clinical Review Subpanel of the National Institute of Allergy and Infectious Diseases."</t>
  </si>
  <si>
    <t>Hobbins 1982</t>
  </si>
  <si>
    <t>A/Hong Kong/123/77-ts-1A2</t>
  </si>
  <si>
    <t>Attenuated vaccine strain challenge</t>
  </si>
  <si>
    <t>None given, but reports number that developed "systemic and/or febrile illness that lasted for a mean of five days."</t>
  </si>
  <si>
    <t>A/Hong Kong/123/77, A/Hong Kong/123/77-ts-1A2</t>
  </si>
  <si>
    <t>Kasel JA</t>
  </si>
  <si>
    <t>A/Equi-2/Miami/63 influenza virus</t>
  </si>
  <si>
    <t>Equine influenza virus study (inoculation phase)</t>
  </si>
  <si>
    <t>"Infection as measured by illness, virus shedding and/or rise in serum antibody titre"</t>
  </si>
  <si>
    <t>Inoculated with A/Equi-2/Miami/63 virus</t>
  </si>
  <si>
    <t>"Subjects were adult male volunteers between the ages of 21 and 35 years who lacked detectable serum neutralizing antibody (&lt;1 : 2) to A Equi-2, Miami/63 and had low or no detectable titre to A2/Hong Kong/68 viruses. Medical examinations to ensure good health were performed"</t>
  </si>
  <si>
    <t>"written informed consent was obtained prior to viral inoculations."</t>
  </si>
  <si>
    <t>Kasel 1969</t>
  </si>
  <si>
    <t>A2/Hong Kong/68 influenza virus</t>
  </si>
  <si>
    <t>A2/Hong Kong/68 virus challenge study</t>
  </si>
  <si>
    <t>15 previously inoculated with equine influenza virus</t>
  </si>
  <si>
    <t>Unclear (&gt;=20)</t>
  </si>
  <si>
    <t>6/15 previously inoculated with equine influenza virus became infected</t>
  </si>
  <si>
    <t>Kotloff KL</t>
  </si>
  <si>
    <t>S. flexneri 2a (strain 2457T)</t>
  </si>
  <si>
    <t>EcSf2a-1 study</t>
  </si>
  <si>
    <t>Subjects "were evaluated daily by a physician for evidence of illness, and all stools were examined for blood, consistency, and weight and then sent for culture. Diarrhea was defined as the passage of two or more loose (grade 3 or higher) stools totaling at least 200 ml within 48 h or a single 300-ml loose stool (18). Dysentery was defined as one or more loose stools containing gross blood. Illness was defined as diarrhea, dysentery, or fever (oral temperature of 100.0°F [37.8°C] or greater)."</t>
  </si>
  <si>
    <t>10 previously vaccinated with EcSf2a-1</t>
  </si>
  <si>
    <t>4/10 previously vaccinated became ill</t>
  </si>
  <si>
    <t>Vaccinated with EcSf2a-1</t>
  </si>
  <si>
    <t>"Healthy adult volunteers aged 18 to 40 years"</t>
  </si>
  <si>
    <t>"Informed consent was obtained from the volunteers, and guidelines for human experimentation of the U.S. Department of Health and Human Services, the Human Volunteers Research Committee of the University of Maryland, and the Surgeon General's Human Subjects Research Review Board of the Department of the Army were followed in the conduct of the clinical research."</t>
  </si>
  <si>
    <t>Kotloff 1992</t>
  </si>
  <si>
    <t>EcSf2a-2 study</t>
  </si>
  <si>
    <t>30 previously vaccinated with EcSf2a-2</t>
  </si>
  <si>
    <t>9/30 previously vaccinated became ill</t>
  </si>
  <si>
    <t>Vaccinated with EcSf2a-2</t>
  </si>
  <si>
    <t>Vaccinated with EcSf2a-1 or EcSf2a-2</t>
  </si>
  <si>
    <t>Shigella Nexneri 2a (strain 2457T)</t>
  </si>
  <si>
    <t>detection of shigella in stools</t>
  </si>
  <si>
    <t>5 subjects had been previously vaccinated</t>
  </si>
  <si>
    <t>"For 5 days following challenge, volunteers were interviewed daily by a physician to elicit the occurrence of signs and symptoms (anorexia, malaise, cramps, headache, fever, and vomiting) which were recorded on a standardized form."</t>
  </si>
  <si>
    <t>No AE Data; reports number with illness</t>
  </si>
  <si>
    <t>"Healthy adult volunteers 18-40 years of age from the Baltimore-Washington community participated in these studies. Details of medical screening and enrolment procedures have been described [12]."</t>
  </si>
  <si>
    <t>"This study was supported by contract no. DAMD-17-92-C-2058 from the US Army Medical Materiel Development Command." and "Informed consent was obtained from the volunteers and guidelines for human experimentation of the US Department of Health and Human Services, the Institutional Review Board of the University of Maryland, and the Surgeon General’s Human Subjects Research Review Board of the Department of the Army were followed in the conduct of the clinical research."</t>
  </si>
  <si>
    <t>Shigella challenge model</t>
  </si>
  <si>
    <t>Kotloff 1995b</t>
  </si>
  <si>
    <t>Rechallenge, NAE, NSAE, Excluded</t>
  </si>
  <si>
    <t>Summed data from both cohorts</t>
  </si>
  <si>
    <t>Robert Lemanske</t>
  </si>
  <si>
    <t>"Virus shed by the inoculated subjects was assayed by titration of a nasal wash into diploid (WI-38) cell cultures."</t>
  </si>
  <si>
    <t>Another patient was considered infected with a wild-type RV</t>
  </si>
  <si>
    <t>"Colds were evaluated with a questionnaire that was completed by the participant hourly during waking hours (26). Symptoms evaluated included cough, nasal discharge, sneezing, stuffy nose, headache, malaises, chills, or fever. Symptoms were graded: 0 = absent, 1 = mild, 2 = moderate, or 3 = severe. Total symptom scores of 2 12 defined a severe cold, 7-1 1 a moderate cold, and &lt; 7 a mild cold."</t>
  </si>
  <si>
    <t>No AE data; reports highest symptom score</t>
  </si>
  <si>
    <t>No SAEs mentioned in text. 4 met definition of severe cold (highest symptom score &gt;= 12)</t>
  </si>
  <si>
    <t>"All patients had a positive immediate skin test reaction by the prick method to an extract of ragweed antigen (1/20 wt/vol, Greer Laboratories, Lenoir, NC), released leukocyte histamine after an in vitro incubation with ragweed antigen E, and lacked neutralizing antibody in their sera to Rhinovirus 16 (RV 16). None of the patients smoked, had active clinical asthma, or used any medication at the time of study. All patients gave informed consent before enrolling in the study, which was conducted during periods when the patients were free of allergic rhinitis symptoms."</t>
  </si>
  <si>
    <t>Lemanske 1989</t>
  </si>
  <si>
    <t>Little JW</t>
  </si>
  <si>
    <t>Influenza A H3N2 (A/England/42/72, A/Scotland/74, or A/Victoria/75)</t>
  </si>
  <si>
    <t>"virus infection documented by viral isolation and/or serum hemagglutination inhibition antibody rises"</t>
  </si>
  <si>
    <t>None given, but "The first evaluation included symptom review, physical examination, chest X-ray, nasal and pharyngeal swabs for virus isolation, serum for acute viral titers and complete blood count. A detailed symptom review and physical examination of the respiratory tract was obtained at each subsequent evaluation, and the severity of each symptom and physical finding was scored on a scale of 1+ to 4+"</t>
  </si>
  <si>
    <t>"All subjects were healthy college students between the ages of 18 to 25 (Table I), who were shown to possess low or undetectable (&lt; 1.4) titers of serum hemagglutinin inhibition (HI) antibody to the appropriate strain."</t>
  </si>
  <si>
    <t>"Written informed consent was obtained from all volunteers"</t>
  </si>
  <si>
    <t>Little 1979</t>
  </si>
  <si>
    <t>Mackowiak PA</t>
  </si>
  <si>
    <t>S. sonnei (strain 53G)</t>
  </si>
  <si>
    <t>Infected subjects "excreted the experimental pathogen for &gt;=2 days after challenge."</t>
  </si>
  <si>
    <t>54 previously vaccinated with bivalent Salmonella typhi/S. sonnei vaccine</t>
  </si>
  <si>
    <t>34/54 previously vaccinated became infected</t>
  </si>
  <si>
    <t>No AE data; reports number with clinical illness</t>
  </si>
  <si>
    <t>bivalent Salmonella typhi/S. sonnei vaccine, trimethoprim (diarrhea treatment), sulfamethoxazole (diarrhea treatment)</t>
  </si>
  <si>
    <t>"Study subjects were normal, healthy men and women, 18-40 years old"</t>
  </si>
  <si>
    <t>"Informed consent was obtained from all subjects; the human experimentation guidelines of the University of Maryland School of Medicine institutional review board were followed."</t>
  </si>
  <si>
    <t>Mackowiak 1992</t>
  </si>
  <si>
    <t>Dengue virus</t>
  </si>
  <si>
    <t>Candidate attenuated dengue virus vaccines (for serotypes 1, 2, 3, and 4)</t>
  </si>
  <si>
    <t>"Dengue virus infection was identified by means of a blood culture positive for the candidate strain, an IgM ELISA value of &gt;0.10 optical density units, or a 50% plaque reduction neutralization titer of I: 10."</t>
  </si>
  <si>
    <t>None given, but "Clinical illness was defined as the occurrence of fever, or any of the other signs or symptoms listed above, in dengue virus-infected subjects 5-15 days following inoculation with a candidate vaccine strain."</t>
  </si>
  <si>
    <t>candidate attenuated dengue virus vaccines (challenge agent)</t>
  </si>
  <si>
    <t>"Study subjects were healthy men and women aged 18-40 years"</t>
  </si>
  <si>
    <t>"Informed consent was obtained from all subjects. and the human experimentation guidelines required by the institutional review boards of the University of Maryland School of Medicine and the Office of the Surgeon General, U.S. Department of Army, were followed."</t>
  </si>
  <si>
    <t>Mackowiak 1994</t>
  </si>
  <si>
    <t>Magnussen CR</t>
  </si>
  <si>
    <t>A/Victoria/3/75 H3N2</t>
  </si>
  <si>
    <t>"Virus isolation and/or antibody rise"</t>
  </si>
  <si>
    <t>14 were treated with ribavirin after challenge</t>
  </si>
  <si>
    <t>10/14 treated with ribavirin after challenge became infected</t>
  </si>
  <si>
    <t>None given, but "Volunteers were examined twice daily (at 8 a.m. and 5 p.m.) by a physician who was uninformed about treatment group for symptoms (sneezing, nasal obstruction, sore throat, cough, headache, anorexia, prostration, chills, sweats, myalgias, and malaise) and signs (conjunctival erythema, nasal mucosal edema, nasal discharge, pharyngeal erythema, rales, lymph node tenderness, and muscle tenderness) of illness. Severity scores (1+ to 4+) for specific symptoms and signs were recorded at each examination. A sign score &gt;=5 or a symptom score &gt;=10 differentiated moderate-to-severe illness from mild, common cold-type illness. In addition, the examining physician recorded his opinion of the presence and severity (1+ to 4+) of illness and site of involvement (rhinitis, pharyngitis, tracheobronchitis, pneumonia, or systemic illness) at the time of each evaluation."</t>
  </si>
  <si>
    <t>No SAEs mentioned in text. 4 subjects with symptom scores &gt;=10</t>
  </si>
  <si>
    <t>Ribavirin (treatment after challenge)</t>
  </si>
  <si>
    <t>"Subjects were healthy adult male university students between ages 19 and 30 years who were shown to possess low or undetectable titers of hemagglutination inhibition (HI) antibody to influenza virus type A/Victoria/3/75 H3N2 (27 of the 29 volunteers had screening HI antibody titers &lt;=4)." and "Before and at the end of the study, all volunteers underwent complete history and physical examinations and laboratory evaluation of hematological, renal, and hepatic function."</t>
  </si>
  <si>
    <t>"Procedures used to recruit the volunteers insured their freedom of choice to participate: all were informed of the objectives, procedures, and hazards of the study, and all gave written informed consent."</t>
  </si>
  <si>
    <t>double-blind clinical trial</t>
  </si>
  <si>
    <t>Magnussen 1977</t>
  </si>
  <si>
    <t>Mallia P</t>
  </si>
  <si>
    <t>"Nasal lavages were inoculated onto Ohio HeLa cell cultures, and RV infection detected by presence of typical cytopathic effect."</t>
  </si>
  <si>
    <t>all participants had COPD</t>
  </si>
  <si>
    <t>"1. An increase in shortness of breath score by 2 points or more on 2 consecutive days.
2. An increase in wheeze score by 3 points or more on 2 consecutive days.
3. A fall in FEV1 or PEF of 40% or more from baseline.
4. The subject developed a subjective feeling of severe exacerbation and wished to have treatment.
5. The study doctor decided that the subject had a severe exacerbation and required treatment.
If any subject fulfilled any 2 of these criteria he/she would be defined as having a severe exacerbation and would be withdrawn from the study and treatment instituted according to the clinical judgement of the investigators."</t>
  </si>
  <si>
    <t>"No subject fulfilled the criteria for a severe exacerbation or experienced any other adverse events."</t>
  </si>
  <si>
    <t>"Table 1: Inclusion/exclusion criteria for study subjects.
• Age 40–75 years.
• No history of asthma or allergic rhinitis.
• Not atopic on skin testing.
• Current or ex-smokers with at least 20 pack years cumulative smoking.
• Post-bronchodilator FEV1 ≤ 80% and ≥ 50% predicted for age and height.
• Post-bronchodilator FEV1/FVC ratio less than 70% predicted.
• β-agonist reversibility of less than 12%.
• Absence of a current or previous history of bronchiectasis, carcinoma of the bronchus or other significant respiratory disease (other than
COPD).
• Absence of significant systemic disease.
• No COPD exacerbation or respiratory tract infection within the previous 8 weeks.
• Serum antibodies to Rhinovirus 16 at screening in a titre &lt;1:2.
• No treatment with oral, inhaled or nasal topical steroids, long-acting β-agonists or tiotropium in the previous 3 months."</t>
  </si>
  <si>
    <t>"Ethical approval was obtained from the Local Research Ethics Committee and informed consent obtained from all subjects.</t>
  </si>
  <si>
    <t>pilot virus dose escalating study</t>
  </si>
  <si>
    <t>Mallia 2006</t>
  </si>
  <si>
    <t>Moss DM</t>
  </si>
  <si>
    <t>Cryptosporidium spp.</t>
  </si>
  <si>
    <t>C. parvum</t>
  </si>
  <si>
    <t>Infection was "determined by the detection of oocysts in stools by DFA"</t>
  </si>
  <si>
    <t>None given, but reports number with enteric symptoms</t>
  </si>
  <si>
    <t>No AE data; reports number with enteric symptoms</t>
  </si>
  <si>
    <t>"To rule out the participation of volunteers with evidence of prior exposure to Cryptosporidium species, serum samples from volunteers were screened prior to enrollment by ELISA, as previously described"</t>
  </si>
  <si>
    <t>"Informed consent was provided by all volunteers in this study. Human experimentation guidelines of the US Department of Health and Human Services were followed in the conduct of the clinical research, and the study was approved by the Committee for Protection of Human Subjects, University of Texas Health Science Center."</t>
  </si>
  <si>
    <t>Moss 1998</t>
  </si>
  <si>
    <t>Murphy AW</t>
  </si>
  <si>
    <t>"nasal washings (10 mL) and throat gargle (10 mL) samples were collected daily for the recovery of influenza virus using Maclin Darby canine kidney (MDCK) cells."</t>
  </si>
  <si>
    <t>None given, but "Subjects were asked to rate on a four-point scale (0=none, 1=mild, 2=moderate, 3=severe) each of the following: nasal stuffiness, earache/pressure, runny nose, sore throat, cough, sneezing, breathing difllculty, myalgia, fatigue, headache, feverish feeling, hoarseness, chest discomfort, and overall discomfort."</t>
  </si>
  <si>
    <t>No AE data; reports number upper respiratory tract symptoms</t>
  </si>
  <si>
    <t>Treatment for symptomatic reflief: acetaminophen, pseudoephedrine, azithromycin
Sedation for previously undisclosed psychiatric illness: diphenhydramine, lorazepam</t>
  </si>
  <si>
    <t>"Fourteen healthy male or nonpregnant female volunteers who did not have a history of asthma, allergic rhinitis, or sinusitis were recruited for participation based on susceptibility to the challenge virus (hemagglutination-inhibition antibody titers &lt;=1:8). None of the subjects were taking inhaled or oral corticosteroids, theophylline preparation, or antihistamines prior to enrollment."</t>
  </si>
  <si>
    <t>open-labeled, nonrandomized trial</t>
  </si>
  <si>
    <t>Murphy 1998</t>
  </si>
  <si>
    <t>Murphy BR</t>
  </si>
  <si>
    <t>Vic/75-ts-1[E] recombinant, clone 81 or 113</t>
  </si>
  <si>
    <t>Attenuated virus challenge (Vic/75-ts-1[E] recombinant, clone 81 or 113)</t>
  </si>
  <si>
    <t>"Evidence of virus shedding and/or a rise in serum or nasal wash antibody."</t>
  </si>
  <si>
    <t>Different doses/clones administered</t>
  </si>
  <si>
    <t>None given, but reports number with illness</t>
  </si>
  <si>
    <t>"Informed consent was obtained before participation in the study."</t>
  </si>
  <si>
    <t>Murphy 1978</t>
  </si>
  <si>
    <t>Vic/75 wild-type virus</t>
  </si>
  <si>
    <t>Wild-type virus challenge (Vic/75)</t>
  </si>
  <si>
    <t>Different doses administered</t>
  </si>
  <si>
    <t>Vaccinees exposed to wild-type virus</t>
  </si>
  <si>
    <t>9 previously vaccinated</t>
  </si>
  <si>
    <t>5/9 previously vaccinated became infected</t>
  </si>
  <si>
    <t>Noah TL</t>
  </si>
  <si>
    <t>RSV (strain A2)</t>
  </si>
  <si>
    <t>Virus shedding and illness</t>
  </si>
  <si>
    <t>"Data were excluded from one subject who received RSV because a preinoculation NLF culture became positive for parainfluenza virus."</t>
  </si>
  <si>
    <t>None given, but "All three of the RSV (URI+) subjects reported rhinorrhea, frontal headache, and pharyngitis at the time of positive viral cultures in NLF; one of the three also reported sneezing, and another reported conjunctivitis and otalgia."</t>
  </si>
  <si>
    <t>No SAEs mentioned in text. "The illnesses we induced were clinically mild and well tolerated without need for medications or other interventions."</t>
  </si>
  <si>
    <t>"Fifteen healthy, nonsmoking young adults age 18–35 years were recruited for this study. Exclusion criteria included history of allergic rhinitis, asthma, immune deficiency, or recent use of systemic or inhaled anti-inflammatory agents (including corticosteroids, nonsteroidal anti-inflammatory agents, decongestants, and antihistamines). Normal results of screening spirometry and complete blood counts were required for entry into the study."</t>
  </si>
  <si>
    <t>"This study was approved by the University of North Carolina School of Medicine’s Committee for the Protection of the Rights of Human Subjects. Written informed consent for study participation was given by subjects."</t>
  </si>
  <si>
    <t>Noah 2000</t>
  </si>
  <si>
    <t>Oxford JS</t>
  </si>
  <si>
    <t>Influenza B/EFR/83 (unpassaged)</t>
  </si>
  <si>
    <t>Virus pool A</t>
  </si>
  <si>
    <t>"infected as judged by virus isolation and HI antibody response"</t>
  </si>
  <si>
    <t>None given, but "Volunteers were examined daily to assess local and systemic illness and the signs and symptoms recorded each day were totalled to provide a clinical score"</t>
  </si>
  <si>
    <t>No AE data; reports number with significant illness</t>
  </si>
  <si>
    <t>"Volunteers were housed and observed in isolation and under coded conditions at the MRC Common Cold Unit, Salisbury."</t>
  </si>
  <si>
    <t>"The studies were conducted by the standard methods of the Unit [1] and with prior approval from the Harrow District Ethical Committee, Northwick Park Hospital."</t>
  </si>
  <si>
    <t>Oxford 1990</t>
  </si>
  <si>
    <t>Influenza B/EFR/83 (allantoic inoculation of eggs)</t>
  </si>
  <si>
    <t>Virus pool B</t>
  </si>
  <si>
    <t>Influenza B/EFR/83 (human embryo trachea organ culture)</t>
  </si>
  <si>
    <t>Virus pool C</t>
  </si>
  <si>
    <t>Influenza B/EFR/83 (amniotic inoculation of eggs)</t>
  </si>
  <si>
    <t>Virus pool D</t>
  </si>
  <si>
    <t>Influenza B/EFR/83 (unpassaged, allantoic inoculation of eggs, human embryo trachea organ culture, or amniotic inoculation of eggs)</t>
  </si>
  <si>
    <t>Pachuta DM</t>
  </si>
  <si>
    <t>Rhinovirus 44</t>
  </si>
  <si>
    <t>All participants were prisoners</t>
  </si>
  <si>
    <t>"virus isolation from the nose"</t>
  </si>
  <si>
    <t>"All but two men in each group excreted the virus one or more times between days 1 and 10" and "One or more virus isolations were made from all but one placebo control"</t>
  </si>
  <si>
    <t>"Signs and symptoms of cold, i.e., rhinitis, rhinorrhea, nasal stuffiness, sore throat, pharyngitis, sneezing, cough, and others, were individually scored on a scale of 0 to 3+: 0, not present; 1+, mild; 2+, moderate; and 3+, severe. Each patient's chart was reviewed after discharge from the isolation ward, and the severity of induced Rhinovirus illness of each subject was rated from 0 to 3+, according to the occurrence and severity of signs and symptoms and the duration of the illness."</t>
  </si>
  <si>
    <t>No AE Data; grades severity of illness</t>
  </si>
  <si>
    <t>No SAEs mentioned in text. 4 with "severe" illness score</t>
  </si>
  <si>
    <t>Isoprinosine</t>
  </si>
  <si>
    <t>"Volunteers were healthy male prisoners (age range, 21 to 48). The serum-neutralizing antibody was titrated against 100 mean tissue culture infective doses (TCID,O) of challenge virus, and subjects who lacked serum antibody (titer, &lt; 1: 2) or had a minimal titer (1:2) were enrolled. Each had the nature of the study explained to him, and informed consent was obtained."</t>
  </si>
  <si>
    <t>"The protocols used in these studies were approved by the University of Maryland Committee on Clinical Investigations."</t>
  </si>
  <si>
    <t>Pachuta 1974</t>
  </si>
  <si>
    <t>Peterson KM</t>
  </si>
  <si>
    <t>HRV-39 study</t>
  </si>
  <si>
    <t>Nasal washings were cultured for HRV to detect infection</t>
  </si>
  <si>
    <t>5 excluded from efficacy analysis</t>
  </si>
  <si>
    <t>None given; some AEs listed by participant</t>
  </si>
  <si>
    <t>"there were no serious adverse events."</t>
  </si>
  <si>
    <t>conjugated linoleic acid</t>
  </si>
  <si>
    <t>"Eligible volunteers were 18–45 years of age, non-smoking, in good health and susceptible (serum neutralizing antibody titre ≤1:2) to the challenge HRV (type-39 [HRV-39] in study 1 and Hank’s in study 2). Participants were excluded if they had an acute or chronic medical condition. Other exclusion criteria were clinically significant allergies that required current treatment, a history of drug or alcohol abuse, known HIV infection, participation in any investigational drug evaluation within 30 days prior to entry into the study, pregnancy or breast-feeding. Individuals who developed a febrile or respiratory illness, including a common cold, within 2 weeks of the planned date of HRV inoculation were also excluded from the inoculation portion of the study."</t>
  </si>
  <si>
    <t>"All volunteers gave written informed consent and the Institutional Review Board at the University of Virginia approved the studies."</t>
  </si>
  <si>
    <t>randomized, double-blind and placebo-controlled</t>
  </si>
  <si>
    <t>Peterson 2009</t>
  </si>
  <si>
    <t>Hank's HRV</t>
  </si>
  <si>
    <t>Hank's serotype HRV study</t>
  </si>
  <si>
    <t>4 excluded from efficacy analysis</t>
  </si>
  <si>
    <t>Reichenberg A</t>
  </si>
  <si>
    <t>Salmonella abortus equi</t>
  </si>
  <si>
    <t>"Purified endotoxin is not infectious"</t>
  </si>
  <si>
    <t>None given, but "Physical sickness symptoms (headaches, muscle pain, shivering, nausea, breathing difficulties, and fatigue) were assessed at the end of each testing period, by a questionnaire using a 5-point Likert scale (0, no symptoms, to 4, very severe symptoms)."</t>
  </si>
  <si>
    <t>No AE data, but "Endotoxin had no effects on physical sickness symptoms"</t>
  </si>
  <si>
    <t>"Endotoxin had no effects on physical sickness symptoms"</t>
  </si>
  <si>
    <t>"Before detailed screening, the subjects were informed about the study design, including information about the immunological and endocrine effects of endotoxin, and the extent and time course of symptoms to be expected. Afterward, each subject went through a complete physical and psychiatric assessment. The physical examination included electroencephalogram, electrocardiogram, blood sedimentation rate, complete blood cell count, liver enzymes, electrolytes, urinalysis, quantitative urine screening for cannabinoids, amphetamines, opioids, benzodiazepines, barbiturates, cocaine metabolites, and phenylcyclidine, as well as hepatitis B virus test. Moreover, an interview was conducted by an experienced psychiatrist to evaluate the presence and the history of any Axis I psychiatric disorder according toDSM-IV.18 Exclusion criteria were as follows: (1) presence of any medical illness; (2) presence of any clinically significant abnormality in blood and urine tests (including evidence for recent drug use), in the electroencephalogram, electrocardiogram, and neuropsychological tests assessing memory, attention, and executive functions (Figure Recall, Digit Span Forward, and Trail Making Test [TMT A and B], respectively); (3) history of allergies, autoimmune, liver, and other severe or chronic diseases; (4) presence or history of any Axis I psychiatric disorder; (5) history of seizures; (6) actual or recent (during the last 2 weeks) intake of any kind of prescription or nonprescription drug; and (7) shift work or time zone shifts (.3 hours) during the last 6 weeks. Subjects who successfully passed the screening procedure were considered eligible to participate in the experiment and enrolled after written informed consent had been obtained."</t>
  </si>
  <si>
    <t>"The study was approved by an independent ethics committee."</t>
  </si>
  <si>
    <t>balanced, randomized, double-blind, crossover design</t>
  </si>
  <si>
    <t>Reichenberg 2001</t>
  </si>
  <si>
    <t>Reuman PD</t>
  </si>
  <si>
    <t>Influenza A/Bethesda/1/85 (H3N2) virus</t>
  </si>
  <si>
    <t>"Influenza infection was defined as a 4-fold or greater increase in serum HA1 antibody titer to Influenza antigen and/or isolation of Influenza virus from at least one nasal wash."</t>
  </si>
  <si>
    <t>"Subjects were asked during the weekly visits for any possible drug related side effects by asking whether they 'felt any different since starting the study drug'. Subject explanations were categorized by choosing the appropriate symptom(s) from a list of recognized adverse effects of amantadine. All symptoms reported by subjects outside of predefined Influenza symptoms were recorded as adverse experiences and judged for their relatedness to amantadine toxicity."</t>
  </si>
  <si>
    <t>Study only reports adverse experiences related to treatment</t>
  </si>
  <si>
    <t>Amantadine hydrochloride</t>
  </si>
  <si>
    <t>"Subjects between the ages of 18 and 40 years were recruited primarily from a college student population. Only subjects with a serum hemagglutination-inhibition antibody (HA1) titer &lt;= 1:8 for Influenza A/Bethesda/1/85(H3N2) were included in the study. Subjects were ineligible if they had any of the same findings as the exclusion criteria listed above for the natural occurring Influenza study."</t>
  </si>
  <si>
    <t>"Both studies were approved by the Institutional Review Committee of The Christ Hospital. Written informed consent was obtained from all subjects. Subjects from both studies were paid an approved fixed sum of money after completing their respective study protocol."</t>
  </si>
  <si>
    <t>double-blind, placebo-controlled, randomized study</t>
  </si>
  <si>
    <t>Reuman 1989</t>
  </si>
  <si>
    <t>Richman DD</t>
  </si>
  <si>
    <t>Wild-type influenza A/Georgia/101/74</t>
  </si>
  <si>
    <t>Wild-type challenge</t>
  </si>
  <si>
    <t>"evidence of infection as indicated by shedding of virus and/or an immunological response."</t>
  </si>
  <si>
    <t>Volunteers challenged with different doses</t>
  </si>
  <si>
    <t>"The men and women who participated in these studies were selected on the basis of general good health and a titer of HAl antibody in serum of &lt;=1:8. These volunteers were considered to be seronegative."</t>
  </si>
  <si>
    <t>"Informed consent was obtained from each volunteer before participation in the study."</t>
  </si>
  <si>
    <t>Richman 1977</t>
  </si>
  <si>
    <t>Clone 2A1 of influenza A/Georgia/74-ts-1 [E] virus</t>
  </si>
  <si>
    <t>Recombinant challenge (vaccine candidate virus)</t>
  </si>
  <si>
    <t>Georgia/74-ts-1 [E] clone 2 (vaccine candidate virus)</t>
  </si>
  <si>
    <t>Challenge, Attenuated, Vaccine, NAE, NSAE, Excluded</t>
  </si>
  <si>
    <t>P. falciparum strain NF54</t>
  </si>
  <si>
    <t>NCT00442377</t>
  </si>
  <si>
    <t>https://clinicaltrials.gov/ct2/show/NCT00442377?term=NCT00442377&amp;draw=2&amp;rank=1</t>
  </si>
  <si>
    <t>Patent parasitemia determined by microscopial examination</t>
  </si>
  <si>
    <t>Uninfected mosquito bites</t>
  </si>
  <si>
    <t>Abdominal pain, fatigue, fever, headache, loss of appetite, malaise, myalgia, nausea, vomiting</t>
  </si>
  <si>
    <t>Unclear (2-3)</t>
  </si>
  <si>
    <t>"no serious adverse events occurred"</t>
  </si>
  <si>
    <t>"We recruited 15 healthy volunteers between the ages of 18 and 45 years who had no history of malaria or of living in an area in which malaria is endemic in the 6 months before study entry. Only one volunteer had ever been in an endemic area, several years earlier. All volunteers underwent routine physical examination and hematologic and biochemical screening at the Clinical Research Center at Radboud University Nijmegen Medical Centre. The results of serologic analysis for the human immunodeficiency virus (HIV), hepatitis B and C, and asexual P. falciparum parasites were negative in all subjects."</t>
  </si>
  <si>
    <t>"All subjects provided written informed consent. The trial was approved by the institutional review board at the Radboud University Nijmegen Medical Centre."</t>
  </si>
  <si>
    <t>Roestenberg 2009</t>
  </si>
  <si>
    <t>0/10 previously immunized became infected with pathogen</t>
  </si>
  <si>
    <t>Rytel MW</t>
  </si>
  <si>
    <t>A/England/42/72 (H3N2) influenza vaccine (Alice)</t>
  </si>
  <si>
    <t>Vaccination phase (live attenuated vaccine)</t>
  </si>
  <si>
    <t>Fourfold increase in HAI antibody titer</t>
  </si>
  <si>
    <t>No demographic data given for controls, not included in cohort count</t>
  </si>
  <si>
    <t>None given, but records number with URI, cough, systemic symptoms, and gastrointestinal symptoms after 1st or 2nd dose of vaccine</t>
  </si>
  <si>
    <t>No AE data; reports number with symptoms</t>
  </si>
  <si>
    <t>Unclear (&gt;=36)</t>
  </si>
  <si>
    <t>"healthy student volunteers"</t>
  </si>
  <si>
    <t>"written, informed consent had been obtained"</t>
  </si>
  <si>
    <t>Rytel 1975</t>
  </si>
  <si>
    <t>Prechallenge, Vaccine, NAE, NSAE, Excluded</t>
  </si>
  <si>
    <t>Influenza A/Udorn/307/72 (H3N2)</t>
  </si>
  <si>
    <t>Virus isolation and/or fourfold or greater rise in titer of HAI antibody</t>
  </si>
  <si>
    <t>0/12 previously vaccinated became infected</t>
  </si>
  <si>
    <t>None given, but "An inventory of symptoms was kept for each subject. From this record a symptom score was derived. The scoring was as follows: no symptoms, 0 points; mild symptoms, 1; moderate, 2; and severe, 3. The symptom inventory included symptoms referrable to the upper and lower respiratory tract as well as systemic symptoms. At the end of the study, total scores were computed for each subject for each day of observation."</t>
  </si>
  <si>
    <t>Scheinberg M</t>
  </si>
  <si>
    <t>Wild-type influenza (H3N2) viruses (Udorn/1972 strain or Georgia/1974 strain)</t>
  </si>
  <si>
    <t>"virus isolation or fourfold or greater rise in serum hemagglutination-inhibition antibody titer"</t>
  </si>
  <si>
    <t>None given, but describes clinical symptoms (upper-respiratory-tract illness)</t>
  </si>
  <si>
    <t>No AE data; reports number with clinical symptoms</t>
  </si>
  <si>
    <t>"Eighteen healthy adult male and female volunteers participated in the study. All had normal results on physical examination and routine laboratory examination, including complete blood counts, urinalyses, tests of liver and renal function, blood sugar, throat and sputum cultures, chest x-ray study, pulmonary-function studies and electrocardiograms. In addition, volunteers were selected on the basis of a titer of hemagglutination-inhibition antibody in serum for influenza A (H3N2) Udorn/1972 or Georgia/1974 of 1:8 or less."</t>
  </si>
  <si>
    <t>"Written informed consent was obtained from all participants. These studies were approved by committees on human experimentation at the National Institutes of Health, Boston University Medical Center and Boston City Hospital."</t>
  </si>
  <si>
    <t>Scheinberg 1976</t>
  </si>
  <si>
    <t>H3N2 ts-1 (E) vaccine viruses (Udorn/1972 ts-1 [E] virus or Georgia/1974 ts-1 [E] virus)</t>
  </si>
  <si>
    <t>Live attenuated virus vaccine challenge</t>
  </si>
  <si>
    <t>Challenge, Vaccine, NAE, NSAE, Excluded</t>
  </si>
  <si>
    <t>Schiff GM</t>
  </si>
  <si>
    <t>Rubella virus</t>
  </si>
  <si>
    <t>Howell strain rubella virus</t>
  </si>
  <si>
    <t>Participants were inmates at a correctional institution</t>
  </si>
  <si>
    <t>"recovery of virus from the nasopharynx and the development of a significant HAl antibody response"</t>
  </si>
  <si>
    <t>11 had preexisting natural antibody</t>
  </si>
  <si>
    <t>0/11 with preexisting natural antibody became infected</t>
  </si>
  <si>
    <t>"Subjects were 32 healthy, young, adult men who were inmates at a correctional institution. They were selected on the basis of their levels of rubella-specific hemagglutination-inhibition (HAl) antibody; their lack of history of previous rubella vaccination"</t>
  </si>
  <si>
    <t>"Informed consent was obtained from all subjects or their legal guardians. Guidelines for human experimentation established by the Committee on Human Research, University of Cincinnati, and the Institutional Research Committee, The Christ Hospital, Cincinnati, were followed in the conduct of this research project."</t>
  </si>
  <si>
    <t>Schiff 1985</t>
  </si>
  <si>
    <t>6 participants had been previously vaccinated no less than 6 years earlier</t>
  </si>
  <si>
    <t>Subjects "were healthy adolescent or young adult males. Five subjects (nos. 1-5) were selected from a pool of several thousand vaccinees who had been under continuous clinical and laboratory surveillance since receiving rubella vaccine in 1968 or 1973. These subjects originally were shown to be susceptible to rubella (lacked rubella-specific serum HAl antibody), were vaccinated, and then their sera were serially tested for HAl antibody levels at six to eight weeks and everyone to three years after vaccination. All five subjects underwent documented seroconversion six to eight weeks after vaccination and lost detectable HAl antibody by seven to nine years later. These five subjects received RA27/3 vaccine. One subject (no. 6) was vaccinated in 1976 with combined measles, mumps, and rubella (HPV-77 DE-5) vaccine. He lacked HAl antibody six years later; however, no attempt had been made to document his seroconversion after vaccination. Nine months before he received a direct viral challenge, subject no. 6 was deliberately exposed for three weeks to the two nonvaccinated subjects (nos. 7 and 8) when the latter were challenged with Howell strain rubella virus and were actively shedding virus. Subject no. 6 showed no evidence of rubella infection or illness in response to this exposure. The two remaining subjects (nos. 7 and 8) were selected on the basis of their lack of both detectable HAl antibody and a previous history of rubella vaccination. Although the original selection of the eight participants in the current study was made on the basis of their lack of detectable HAl antibodies, additional serologic tests (latex agglutination, specific ELISA, and fluorescent antibody) were performed retrospectively."</t>
  </si>
  <si>
    <t>Coxsackievirus A21</t>
  </si>
  <si>
    <t>Coxsackievirus A21 (lot 48654)</t>
  </si>
  <si>
    <t>2 excluded from analysis of seroconversion</t>
  </si>
  <si>
    <t>"The number of subjects who seroconverted during the study (defined as a 4-fold increase in titer) was tabulated to determine the incidence of infection."</t>
  </si>
  <si>
    <t>"Treatment-related adverse events were grouped by body system by use of the COSTART dictionary and were tabulated according to incidence and severity."</t>
  </si>
  <si>
    <t>Unclear whether reported AEs are treatment related or challenge related; counted as challenge related</t>
  </si>
  <si>
    <t>"no serious adverse events or deaths were reported."</t>
  </si>
  <si>
    <t>Pleconaril</t>
  </si>
  <si>
    <t>"Healthy nonsmoking men and women aged 18–55 years were eligible to participate. Subjects underwent a complete medical history evaluation, physical examination (including vital sign evaluation and clinical laboratory tests), and a brief neurologic examination to determine study eligibility. Eligible subjects were required to be without detectable serum neutralizing antibodies to coxsackievirus A21 (defined as a serum neutralizing antibody titer &lt;1 : 4). Eligible women were not pregnant or nursing and either were surgically sterile or were using an effective form of contraceptive. The following subjects were excluded: those with a history or presence of any significant disease state, including allergic skin or respiratory disease; those having a history of upper respiratory tract infection, fever within 1 week of the study or exposure to an upper respiratory tract infection within 3 days of study onset; human immunodeficiency virus (HIV)–positive individuals; and those with a history of drug or alcohol abuse. Subjects who had ingested any nonprescription or prescription drugs (excluding oral contraceptives) during the preceding week, had donated &gt;1 pint of blood within 4 weeks prior to the initial administration of study drug, or had received any other investigational drug within 30 days of the study were excluded."</t>
  </si>
  <si>
    <t>"This study was conducted in compliance with federal regulations concerning informed consent and institutional review board approval; the institutional review board at the investigational site approved this study, and all subjects provided informed consent."</t>
  </si>
  <si>
    <t>randomized, double-blind study</t>
  </si>
  <si>
    <t>Schiff 2000</t>
  </si>
  <si>
    <t>Sears SD</t>
  </si>
  <si>
    <t>Influenza A/Texas/1/85 (H1N1) wild-type virus</t>
  </si>
  <si>
    <t>"Infection was defined as virus isolation, antibody response, or both"</t>
  </si>
  <si>
    <t>1 excluded from analysis, but mentions that they did shed virus, so this is included in our data extraction.
22 were treated with amantadine before and after challenge.</t>
  </si>
  <si>
    <t>17/22 treated with amantadine became infected</t>
  </si>
  <si>
    <t>None given, but "Volunteers were considered ill if they developed symptoms and physical findings consistent with influenza illness within 9 days after virus inoculation. Illnesses were categorized by meeting one or more of the following criteria: fever (oral temperature of -37.8°C taken twice); systemic illness (occurrence of myalgia alone or with chills and sweats); upper-respiratory-tract illness (rhinitis, pharyngitis, or both for 2 or more consecutive days); and lower-respiratory-tract illness (persistent cough for 2 consecutive days)."</t>
  </si>
  <si>
    <t>No AE data; reports number with influenza illness</t>
  </si>
  <si>
    <t>Amantadine</t>
  </si>
  <si>
    <t>"Healthy adults, 18 to 40 years of age, who had a hemagglutination-inhibition antibody (HAI) titer in serum less than or equal to 1:8 for influenza A/Texas/1/85 (HlNl) virus were recruited from the Baltimore area. Volunteers were ineligible if they had a history of seizures, vaccination against influenza A (HlNl) virus, or allergy to amantadine, or if they were taking medications that might interfere with the study."</t>
  </si>
  <si>
    <t>"Study protocols were approved by the Institutional Review Board of the Francis Scott Key Medical Center, the Joint Committee on Clinical Investigation of the Johns Hopkins Hospital, and the Medical Research Group of the Pharmaceutical Division of E. I. du Pont de Nemours &amp; Co., Inc." and "Each volunteer gave written, informed consent."</t>
  </si>
  <si>
    <t>placebo-controlled, double-blind, randomized trial</t>
  </si>
  <si>
    <t>Sears 1987</t>
  </si>
  <si>
    <t>Snyder MH</t>
  </si>
  <si>
    <t>Influenza A/Washington/897/80 (H3N2) ca reassortant (CR48 clone 2) virus</t>
  </si>
  <si>
    <t>"Isolation of virus from nasal wash specimens or a fourfold rise in antibody titer was considered evidence for infection."</t>
  </si>
  <si>
    <t>Volunteers were challenged with different doses</t>
  </si>
  <si>
    <t>None given, but "A volunteer was considered ill if symptoms or physical findings consistent with influenza developed. The following criteria were used to categorize illnesses: (i) febrile illness - oral temperature &gt;37.8°C confirmed within 5 min, (ii) systemic illness - occurrence of myalgias alone or with chills or sweats; (iii) upper respiratory tract illness - presence of rhinorrhea or pharyngitis or both on two or more consecutive days; (iv) lower respiratory tract illness - presence of a persistent cough on two or more consecutive days. Diagnosis of systemic and upper and lower respiratory tract illness required the concurrence of two independent examiners. Illness attributed to influenza A virus required confirmation of influenza A infection by laboratory tests"</t>
  </si>
  <si>
    <t>"Healthy adults between the ages of 18 and 35 years who took no medications, had no history of influenza vaccination, and had a serum hemagglutination inhibition antibody titer of 1:8 or less were recruited from among community members in Maryland."</t>
  </si>
  <si>
    <t>"The study protocols were approved by the Clinical Research Subpanel of the National Institute of Allergy and Infectious Diseases and the Human Volunteer Research Committee at the University of Maryland School of Medicine." and "Each volunteer gave written informed consent."</t>
  </si>
  <si>
    <t>A/California/10/78 (H1N1) avian-human reassortant</t>
  </si>
  <si>
    <t>H1N1 avian-human reassortant challenge</t>
  </si>
  <si>
    <t>"Virus isolation, antibody response, or both signified infection"</t>
  </si>
  <si>
    <t>None given, but "Volunteers were considered ill if they developed any of the following syndromes: fever (&gt;=37.8 C); systemic illness (the occurrence of myalgia, chills, and sweats); upper respiratory tract illness (rhinitis, pharyngitis, or both observed on 2 consecutive days); and lower respiratory tract illness (a persistent cough lasting for at least 2 days)."</t>
  </si>
  <si>
    <t>Challenged with A/California/10/78 (HlN1) avian-human reassortant virus vaccine</t>
  </si>
  <si>
    <t>"Healthy adults between the ages of 18 and 35 years who were not taking medications, did not have a history of influenza vaccination, and had a serum hemagglutination inhibition (HAI) antibody titer of 1:8 or less against the relevant HA were recruited"</t>
  </si>
  <si>
    <t>"Study protocols were approved by the Clinical Research Subpanel of the National Institute of Allergy and Infectious Diseases, the Human Volunteer Research Committee at the University of Maryland School of Medicine, and the Committee on Human Investigation at the University of Rochester" and "Each volunteer gave written informed consent to participation in this study"</t>
  </si>
  <si>
    <t>Snyder 1986</t>
  </si>
  <si>
    <t>Wild-type H1N1</t>
  </si>
  <si>
    <t>H1N1 wild-type challenge</t>
  </si>
  <si>
    <t>A/Korea/1/82 (H3N2) avian-human reassortant</t>
  </si>
  <si>
    <t>H3N2 avian-human reassortant challenge</t>
  </si>
  <si>
    <t>Challenged with A/Korea/1/82 (H3N2) avian-human reassortant virus vaccine</t>
  </si>
  <si>
    <t>Wild-type H3N2</t>
  </si>
  <si>
    <t>H3N2 wild-type challenge</t>
  </si>
  <si>
    <t>A/California/10/78 (H1N1) avian-human reassortant, Wild-type H1N1, A/Korea/1/82 (H3N2) avian-human reassortant, or Wild-type H3N2</t>
  </si>
  <si>
    <t>Summed data for all challenges</t>
  </si>
  <si>
    <t>Wild-type influenza A/Korea/1/82 (H3N2)</t>
  </si>
  <si>
    <t>H3N2 wild-type challenge with previously vaccinated volunteers (17 rechallenged)</t>
  </si>
  <si>
    <t>17 previously infected with avian-human A/Korea/82 reassortant virus</t>
  </si>
  <si>
    <t>Previously vaccinated with A/Korea/1/82 (H3N2) avian-human reassortant virus vaccine</t>
  </si>
  <si>
    <t>Rechallenge, NAE, NSAE</t>
  </si>
  <si>
    <t>A/Korea/82 (six-gene ca reassortant or clone 118, 46, 6, 18, 7, 69)</t>
  </si>
  <si>
    <t>Attenuated challenge</t>
  </si>
  <si>
    <t>"Virus recovery or an antibody titer increase signified infection."</t>
  </si>
  <si>
    <t>None given, but "Volunteers were considered ill if they developed any of the following syndromes: fever (oral temperature, &gt;37.8 C), systemic illness (myalgias or chills and sweats), upper respiratory tract illness (rhinitis, pharyngitis, or both observed on two consecutive days), or lower respiratory tract illness (persistent cough on two or more consecutiye days)."</t>
  </si>
  <si>
    <t>"Healthy adults between the ages of 18 and 40 years who were not taking medication, did not have a history of influenza vaccination, and had a hemagglutination-inhibiting antibody titer in serum of 1:8 or less were recruited from among community members in Maryland or Rochester, N.Y."</t>
  </si>
  <si>
    <t>"Study protocols were approved by the respective clinical research committees of the National Institute of Allergy and Infectious Diseases, the University of Maryland School of Medicine, the University of Rochester School of Medicine, and the Johns Hopkins Medical Institutions."</t>
  </si>
  <si>
    <t>Snyder 1988</t>
  </si>
  <si>
    <t>A/Korea wild type</t>
  </si>
  <si>
    <t>Wild-type challege</t>
  </si>
  <si>
    <t>Non given</t>
  </si>
  <si>
    <t>A/Korea/82 (six-gene ca reassortant or clone 118, 46, 6, 18, 7, 69) or A/Korea wild type</t>
  </si>
  <si>
    <t>Sperber SJ</t>
  </si>
  <si>
    <t>Hank strain</t>
  </si>
  <si>
    <t>Demographic data provided for 79 evaluable subjects</t>
  </si>
  <si>
    <t>"Infection was defined as recovery of the challenge virus from nasal washings on at least one day, seroconversion (fourfold or greater increase in serum neutralizing antibody to Hank strain rhinovirus), or both."</t>
  </si>
  <si>
    <t>"Three participants were excluded because they were infected with a wild type rhinovirus; three were not infected; and two missed doses of study drug."</t>
  </si>
  <si>
    <t>None given, but "The occurrence and severity of symptoms were determined before viral challenge (day 0) and again each morning before administration of the study drug on postviral challenge days 1 through 5 by study nurses who recorded each volunteer's symptom assessment on a 5-point scale (0 = absent, 1 = mild, 2 = moderate, 3 = severe, 4 = very severe) for the previous 24-hour period. The nurses were blinded to the participants treatment regimen. The symptoms assessed were runny nose, stuffiness, sneezing, sore throat, cough, headache, malaise, and chilliness." and "The total symptom score was determined by adding the scores for symptoms during the 5-day period. Symptoms present before viral challenge (day 0) were subtracted from the analysis. This method of symptom scoring and of diagnosing illness is based on a modification of the previously described method of Jackson (13, 15). In brief, the criteria for illness were a total symptom score of 6 points or more plus either rhinorrhea on 3 or more days or the subjective impression of having a cold."</t>
  </si>
  <si>
    <t>Naproxen (treatment after challenge)</t>
  </si>
  <si>
    <t>"Eighty-seven healthy adult volunteers with serum neutralizing antibody titers of &lt;=1:2 to an untyped Hank strain of rhinovirus were recruited for participation" and "Participants were excluded if they had a history of acute or chronic respiratory illness; a history of sinusitis, rhinitis, asthma, nasal polyps, hay fever, alcoholism, or drug abuse; had used nasal decongestants or anti-inflammatory drugs within 24 hours, had used antihistamines within 72 hours, or had used monoamine oxidase inhibitors, phenothiazines, or topical or oral steroids within 30 days of the initiation of the study. Persons with hypersensitivity to anti-inflammatory drugs or severe drug allergy were also excluded, as were pregnant or lactating women."</t>
  </si>
  <si>
    <t>Participants "were recruited for participation after giving informed consent in a form approved by the University of Virginia Human Investigation Committee."</t>
  </si>
  <si>
    <t>randomized, double-blind, controlled trial</t>
  </si>
  <si>
    <t>Sperber 1992a</t>
  </si>
  <si>
    <t>RV type 39</t>
  </si>
  <si>
    <t>"Infection was defined as seroconversion (fourfold or greater rise in homotypic antibody to RV-39) and/or shedding of challenge virus on at least one occasion.5"</t>
  </si>
  <si>
    <t>None given, but describes clinical illness and side effects</t>
  </si>
  <si>
    <t>No AE data; extracted number that experienced side effects</t>
  </si>
  <si>
    <t>No SAEs mentioned in text, but "Signs of nasal irritation (bleeding or erosion) on rhinoscopic examination occurred in five subjects in each group."</t>
  </si>
  <si>
    <t>recombinant interferon beta serine (treatment after challenge)</t>
  </si>
  <si>
    <t>"Forty healthy adult volunteers with serum neutralizing antibody titers to RV type 39 (RV-39) of 1:2 or less were enrolled."</t>
  </si>
  <si>
    <t>"The human experimentation guidelines of the US Department of Health and Human Services and of the University of Virginia werefollowed in the conduct of this study. All volunteers gave written informed consent in a form approved by the University of Virginia Human Investigation Committee."</t>
  </si>
  <si>
    <t>randomized, double-blind, placebo-controlled study</t>
  </si>
  <si>
    <t>Sperber 1992b</t>
  </si>
  <si>
    <t>2 placebo recipients excluded from efficacy analysis</t>
  </si>
  <si>
    <t>"Infection was defined as at least a 4-fold increase in RV-39 neutralizing antibody titer and/or recovery of Rhinovirus on viral culture."</t>
  </si>
  <si>
    <t>None given; some individual AEs listed</t>
  </si>
  <si>
    <t>"There were no treatment-limiting adverse events."</t>
  </si>
  <si>
    <t>Echinacea purpurea</t>
  </si>
  <si>
    <t>"Forty-eight healthy adult volunteers aged 18–65 years with serum neutralizing antibody titers of 1:2 to RV-39 were recruited." and "Individuals with conditions likely to affect susceptibility to colds or the severity or duration of cold symptoms were excluded from the study. Individuals who had received medication known to affect rhinorrhea, cough, or nasal congestion within 7 days (4 weeks for cromolyn sodium and long-acting antihistamines) before study initiation were excluded. Pregnant or breast-feeding women and participants who reported sensitivity to any of the ingredients in the study product were also excluded."</t>
  </si>
  <si>
    <t>"The study was approved by an independent institutional review board, and all volunteers gave written informed consent for participation." and "Participants received financial compensation."</t>
  </si>
  <si>
    <t>randomized, double-blind, placebo-controlled clinical trial</t>
  </si>
  <si>
    <t>Sperber 2004</t>
  </si>
  <si>
    <t>Tacket CO</t>
  </si>
  <si>
    <t>Hybrid typhoid-cholera vaccine strain EX645</t>
  </si>
  <si>
    <t>Vaccine strain shed in stools</t>
  </si>
  <si>
    <t>None given, but reports clinical acceptability of vaccine</t>
  </si>
  <si>
    <t>No AE data; reports clinical acceptability</t>
  </si>
  <si>
    <t>"No significant adverse reactions to vaccination were observed." and "One of the 14 vaccinees had anorexia, malaise, nausea, and mild cramps on day 2 about 2 h after the second dose, which lasted for 3 h. Two volunteers had mild nausea on day 2, and one volunteer had cramps beginning minutes after the first dose, lasting about 1.5 h."</t>
  </si>
  <si>
    <t>Hybrid typhoid-cholera vaccine</t>
  </si>
  <si>
    <t>"healthy adult volunteers"</t>
  </si>
  <si>
    <t>"The clinical protocol was approved by the University of Maryland Human Volunteers Research Committee."</t>
  </si>
  <si>
    <t>Tacket 1990</t>
  </si>
  <si>
    <t>Prechallenge, NAE, Excluded</t>
  </si>
  <si>
    <t>8 previously vaccinated</t>
  </si>
  <si>
    <t>6/8 previously vaccinated became infected</t>
  </si>
  <si>
    <t>Hybrid typhoid-cholera vaccine, tetracycline (to eradicate challenge organisms prior to discharge)</t>
  </si>
  <si>
    <t>Tian SF</t>
  </si>
  <si>
    <t>Clone PXH107</t>
  </si>
  <si>
    <t>PXH107 study</t>
  </si>
  <si>
    <t>"Virus shedding and/or a rise in antibody"</t>
  </si>
  <si>
    <t>"healthy young adults 18 to 20 years of age"</t>
  </si>
  <si>
    <t>Tian 1984</t>
  </si>
  <si>
    <t>Challenge, Attenuated, Excluded</t>
  </si>
  <si>
    <t>Clone PX62</t>
  </si>
  <si>
    <t>PX62 study</t>
  </si>
  <si>
    <t>Clone PXH107 or Clone PX62</t>
  </si>
  <si>
    <t>Challenge, Attenuated, Summed</t>
  </si>
  <si>
    <t>Togo Y</t>
  </si>
  <si>
    <t>Rhinovirus type 24</t>
  </si>
  <si>
    <t>"Signs and symptoms were individually scored on a scale of 0 to 3+: 0, not present; 1+, mild; 2+, moderate; and 3+, severe. After discharge from the ward, each subject's chart was reviewed, and the severity of induced Rhinovirus illness was rated from 0 to 3+ according to the occurrence and severity of signs and symptoms and the duration of illness."</t>
  </si>
  <si>
    <t>No AE data; grades severity of illness</t>
  </si>
  <si>
    <t>Two participants with severity of illness rated 3+</t>
  </si>
  <si>
    <t>3,4-dihydro-1-isoquinolineacetamide hydrochloride (DIQA)</t>
  </si>
  <si>
    <t>"Twenty-one healthy, male prisoner volunteers who lacked serum antibody or had a minimal antibody titer against challenge virus were enrolled."</t>
  </si>
  <si>
    <t>"The nature of the study was explained to the volunteers, and informed consent was obtained."</t>
  </si>
  <si>
    <t>Togo 1973</t>
  </si>
  <si>
    <t>Challenge, NAE, Excluded</t>
  </si>
  <si>
    <t>Tribble DR</t>
  </si>
  <si>
    <t>Campylobacter jejuni</t>
  </si>
  <si>
    <t>C. jejuni strain 81-176</t>
  </si>
  <si>
    <t>ND (IQR 22.0)</t>
  </si>
  <si>
    <t>ND (IQR 40.3)</t>
  </si>
  <si>
    <t>"Infection was defined as two consecutive C. jejuni-positive stool cultures 24 h after oral inoculation."</t>
  </si>
  <si>
    <t>"The associated symptoms included in the clinical grading procedure were fever (38.1°C), abdominal cramps, nausea, vomiting, tenesmus, and dysentery (gross blood in two specimens), and the following scale was used: grade 0, not present; grade 1, mild, barely noticed; grade 2, moderate, easily noticed, with some change in normal activities; and grade 3, severe, unable to perform normal activities. Campylobacteriosis, the primary endpoint, was defined as documented infection and clinical illness that occurred prior to the first dose of antibiotic. The campylobacteriosis categories used were mild (diarrhea with no associated symptom greater than grade 1), moderate (any two of the following indications: diarrhea, fever, one or more grade 2 associated symptoms, and one grade 3 associated symptom), and severe (any two of the following indications: diarrhea with a total of 9 stools, dysentery, high fever [38.6°C], and more than one grade 3 associated symptom)."</t>
  </si>
  <si>
    <t>No SAEs mentioned in text. 19 participants with "severe illness"</t>
  </si>
  <si>
    <t>Azithromycin</t>
  </si>
  <si>
    <t>"Healthy adults (ages, 18 to 55 years) were recruited from the greater Washington, DC, area and enrolled after informed consent was obtained. The criteria for exclusion included poor health; personal or family history of GBS or inflammatory arthritis; macrolide or fluoroquinolone allergy; commercial food handler; clinically significant abnormalities as determined by physical examination or basic laboratory screening (complete blood count, serum chemistry, urinalysis, HIV-1 enzyme-linked immunosorbent assay [ELISA], hepatitis B surface antigen, hepatitis C virus ELISA, HLA-B27, and serum pregnancy test); abnormal bowel habits; regular use of antidiarrheal or anticonstipation agent; antacid therapy; antibiotic use (7 days before admission); use of immunosuppressive drugs; and participation in research involving another investigational product. Prior exposure to Campylobacter, as determined by history or serology (C. jejuni glycine extract IgA ELISA absorbance at 405 nm of 0.5 at 1:1,000 dilution, based on a previous report [3]), was also a basis for exclusion."</t>
  </si>
  <si>
    <t>"This study was approved by the scientific and ethical review committees of the U.S. Army Medical Research Institute of Infectious Diseases (protocol A-7707) and complied with all federal regulations governing the protection of human subjects."</t>
  </si>
  <si>
    <t>Tribble 2010</t>
  </si>
  <si>
    <t>ND (IQR 42.0)</t>
  </si>
  <si>
    <t>No SAEs mentioned in text. 1 participant with "severe illness"</t>
  </si>
  <si>
    <t>Median age given for each of two cohorts, but not overall</t>
  </si>
  <si>
    <t>No SAEs mentioned in text. 20 participants with "severe illness"</t>
  </si>
  <si>
    <t>Challenge, Rechallenge, NAE, NSAE, Summed, Excluded</t>
  </si>
  <si>
    <t>Turner RB</t>
  </si>
  <si>
    <t>Unnumbered rhinovirus strain (HH) (at the time)</t>
  </si>
  <si>
    <t>"Infection was considered present if virus was recovered from the nose/throat culture and/or if there was a fourfold or greater rise in titer of serum neutralizing antibody."</t>
  </si>
  <si>
    <t>1 contracted wild-type rhinovirus and was excluded from analysis</t>
  </si>
  <si>
    <t>"lnformation on the occurrence of illness and symptom scores is in the companion paper (Winther, Farr et al, 1984)."</t>
  </si>
  <si>
    <t>"healthy young adults (&gt;=18 years)"</t>
  </si>
  <si>
    <t>Turner 1984</t>
  </si>
  <si>
    <t>Rhinovirus (type 39)</t>
  </si>
  <si>
    <t>2 excluded from efficacy analysis</t>
  </si>
  <si>
    <t>"Volunteers who had at least a fourfold increase in antibody titer or who shed virus on any study day after challenge were considered infected."</t>
  </si>
  <si>
    <t>13 received drug prophylaxis prior to challenge</t>
  </si>
  <si>
    <t>13/13 receiving drug prophylaxis became infected</t>
  </si>
  <si>
    <t>None given, but "A symptom score of 0 to 3, corresponding to absent, mild, moderate, or severe symptoms, respectively, was assigned to the symptoms of rhinorrhea, nasal stuffiness, cough, sneeze, sore throat, headache, malaise, and chilliness. The number of colds in each group was determined by adding the highest scores reported for each symptom on study days 3 to 7. Volunteers who had a symptom score of at least 6 over the 5 days of observation and who had either at least 3 days of rhinorrhea or the subjective impression that they had a cold were considered ill."</t>
  </si>
  <si>
    <t>WIN 54954 (drug prophylaxis)</t>
  </si>
  <si>
    <t>"Healthy volunteers between 18 and 55 years of age who had a serum neutralizing antibody titer to the study virus of less than 1:8 were selected for participation in the studies. Volunteers who had an upper respiratory infection or who had taken any medications in the week prior to test drug administration were excluded from the study." and "Complete physical examinations, electrocardiograms, and screening laboratory studies were done on all volunteers before and after the treatment period to detect unexpected adverse effects of study drug administration."</t>
  </si>
  <si>
    <t>"Written informed consent was obtained from all study participants. These studies were approved by the institutional review boards at UVa and MUSC."</t>
  </si>
  <si>
    <t>randomized, double-blinded, placebo-controlled volunteer challenge studies</t>
  </si>
  <si>
    <t>Turner 1993</t>
  </si>
  <si>
    <t>Rhinovirus (type 23)</t>
  </si>
  <si>
    <t>8 excluded from efficacy analysis</t>
  </si>
  <si>
    <t>22 received drug prophylaxis prior to challenge</t>
  </si>
  <si>
    <t>18/22 receiving drug prophylaxis became infected</t>
  </si>
  <si>
    <t>Rhinovirus (type 39 or type 23)</t>
  </si>
  <si>
    <t>10 excluded from efficacy analysis</t>
  </si>
  <si>
    <t>rhinovirus type 39</t>
  </si>
  <si>
    <t>"Virus shedding was detected by virus isolation in cell culture." and "Subjects with a positive viral culture on any of the postchallenge study days were considered infected." and "Subjects with at least a 4-fold rise in antibody titer to the challenge virus when the convalescent serum sample was compared with the acute serum sample were considered infected."</t>
  </si>
  <si>
    <t>Only 177 included in efficacy analysis; 81 received tremacamra either before or after challenge</t>
  </si>
  <si>
    <t>69/81 receiving tremacamra became infected</t>
  </si>
  <si>
    <t>None given; reported AE data appears to focus on safety and tolerability of tremacamra, but also reports AEs for placebo group</t>
  </si>
  <si>
    <t>Tremacamra</t>
  </si>
  <si>
    <t>"Subjects were required to be in good health, non-smokers, and between the ages of 18 and 60 years. In addition, subjects were required to be susceptible to the study virus as evidenced by a serum neutralizing antibody titer of 1:4 or less to the virus. Subjects were excluded if they had a history of allergic disease or nonallergic rhinitis, abnormal nasal anatomy or mucosa, or a respiratory tract infection in the previous 2 weeks. Pregnant or lactating women or women not taking medically approved birth control were also excluded."</t>
  </si>
  <si>
    <t>"Written informed consent was obtained prior to study participation in a form approved by the institutional review board of each study institution and subjects were compensated for participation."</t>
  </si>
  <si>
    <t>Turner 1999</t>
  </si>
  <si>
    <t>"Virus shedding was detected by virus isolation in cell culture, as described previously [12]. Subjects whose viral cultures were positive on any of the post-challenge study days were considered infected."</t>
  </si>
  <si>
    <t>"met symptom criteria for randomization to study medication."</t>
  </si>
  <si>
    <t>Zinc gluconate, zinc acetate</t>
  </si>
  <si>
    <t>"Subjects were required to be in good health and 18–65 years old. In addition, subjects were required to be susceptible to the study virus, as evidenced by a serum neutralizing antibody titer of &lt;1:4. Subjects who had a history of allergic disease or nonallergic rhinitis, had abnormal nasal anatomy or mucosa, had had a respiratory tract infection in the previous 2 weeks, were pregnant or lactating, or were not taking medically approved birth control were excluded."</t>
  </si>
  <si>
    <t>"Written informed consent was obtained from all volunteers in these studies, and the guidelines of the US Department of Health and Human Services for human experimentation were followed." and "Subjects were compensated for their participation."</t>
  </si>
  <si>
    <t>Turner 2000a</t>
  </si>
  <si>
    <t>"Virus infection was documented by virus cultures and antibody responses"</t>
  </si>
  <si>
    <t>One AE prior to challenge was severe enough that subject was removed from study</t>
  </si>
  <si>
    <t>Echinacea</t>
  </si>
  <si>
    <t>"Written informed consent was obtained prior to study participation, and subjects were compensated for participation."</t>
  </si>
  <si>
    <t>Turner 2000b</t>
  </si>
  <si>
    <t>RV23 and RV39</t>
  </si>
  <si>
    <t>"Subjects with a positive viral culture on any of the postchallenge study days were considered to be infected."</t>
  </si>
  <si>
    <t>None given; AEs judged to be possibly related to the study medication listed. Reports AEs in placebo group</t>
  </si>
  <si>
    <t>"There were no serious or frequent adverse events that were judged to be related to the study medication."</t>
  </si>
  <si>
    <t>Zicam (zinc gluconate)</t>
  </si>
  <si>
    <t>"Subjects were required to be in good health and at least 18 years old. In addition, subjects were required to have a serum neutralizing antibody titer 1:4 to the study virus. Subjects with a history of allergic disease or nonallergic rhinitis, abnormal nasal anatomy or mucosa, a respiratory tract infection during the previous 2 weeks, pregnant or lactating women, or women not on medically approved birth control were excluded."</t>
  </si>
  <si>
    <t>"Written informed consent was obtained prior to study participation, and the study was conducted according to the guidelines of the Institutional Review Board for Human Research of the Medical University of South Carolina." and " Subjects were compensated for participation."</t>
  </si>
  <si>
    <t>Turner 2001</t>
  </si>
  <si>
    <t>Demographic data provided for 399 subjects included in data analysis</t>
  </si>
  <si>
    <t>"Volunteers in whom rhinovirus type 39 was isolated from at least one postinoculation specimen, in whom serum-neutralizing antibody to rhinovirus type 39 was increased by a factor of four, or both, were considered infected with the study virus."</t>
  </si>
  <si>
    <t>20 excluded from data analysis;
149 received treatment before and after challenge;
147 received treatment after challenge;
103 did not receive treatment</t>
  </si>
  <si>
    <t>130/149 receiving treatment before challenge became infected</t>
  </si>
  <si>
    <t>None given, but reports AEs during treatment phase (after challenge) that may have been related to treatment</t>
  </si>
  <si>
    <t>"The echinacea preparations for the study were developed from a single lot of E. angustifolia root. The root material was extracted with either supercritical carbon dioxide, 60 percent ethanol, or 20 percent ethanol to produce three different preparations. The placebo for the study contained a mixture of alcoholic beverages, denatonium benzoate (250 ppm), and tap water."</t>
  </si>
  <si>
    <t>"Healthy young adult volunteers"</t>
  </si>
  <si>
    <t>"Written informed consent, in a form approved by the Human investigations Committee of the University of Virginia, was obtained from all volunteers before study participation, and subjects were compensated for participating."</t>
  </si>
  <si>
    <t>Turner 2005</t>
  </si>
  <si>
    <t>Tyrrell DA</t>
  </si>
  <si>
    <t>RV type 2, 9, or 14</t>
  </si>
  <si>
    <t>Rhinovirus study</t>
  </si>
  <si>
    <t>"A subject was deemed infected if virus was isolated after inoculation and/or there was a significant increase in at least one virus-specific serum antibody, i.e. a fourfold increase in neutralizing antibody to rhinoviruses or an increase in IgG or IgA of more than two SD above the mean of uninoculated subjects for all viruses."</t>
  </si>
  <si>
    <t>None given, but "Subjects were defined as having developed clinical colds if they were both infected and diagnosed by the clinician as having a clinical cold." and "At the end of the trial, the clinician judged the severity of each subject's cold on a scale ranging from nil to severe and scored 0-4. Ratings of mild cold [score 2] or greater were considered positive clinical diagnoses. Subjects also judged the severity of their colds on the same scale."</t>
  </si>
  <si>
    <t>No AE data; reports number with clinical colds</t>
  </si>
  <si>
    <t>Volunteers "reported no chronic or acute illness or regular medication regimen, and were judged in good health following clinical and laboratory examination on arrival at the Unit. Pregnant women were excluded."</t>
  </si>
  <si>
    <t>"Informed consent was obtained from each subject."</t>
  </si>
  <si>
    <t>Tyrrell 1993</t>
  </si>
  <si>
    <t>RSV</t>
  </si>
  <si>
    <t>RSV study</t>
  </si>
  <si>
    <t>Coronavirus</t>
  </si>
  <si>
    <t>CV 229E</t>
  </si>
  <si>
    <t>Coronavirus study</t>
  </si>
  <si>
    <t>Walker JB</t>
  </si>
  <si>
    <t>influenza A/Texas/36/91</t>
  </si>
  <si>
    <t>Influenza A study</t>
  </si>
  <si>
    <t>"infected subjects (defined by viral shedding after challenge or &gt;=4-fold increases in serum hemagglutination inhibition antibody titers)"</t>
  </si>
  <si>
    <t>61 received zanamivir prophylaxis;
31 received zanamivir treatment</t>
  </si>
  <si>
    <t>8/61 receiving zanamivir prophylaxis became infected</t>
  </si>
  <si>
    <t>None given, but reports number with upper respiratory illness</t>
  </si>
  <si>
    <t>No AE data; reports number with URI</t>
  </si>
  <si>
    <t>Zanamivir</t>
  </si>
  <si>
    <t>"The participants in the experimental influenza studies were healthy young adults"</t>
  </si>
  <si>
    <t>"Written informed consent was obtained from all participants, and the human experimental guidelines of the US Dept. of Health and Human Services and those of the authors' institutions were followed in the conduct of this clinical research."</t>
  </si>
  <si>
    <t>Walker 1997</t>
  </si>
  <si>
    <t>influenza B/Yamagata/88</t>
  </si>
  <si>
    <t>Influenza B study</t>
  </si>
  <si>
    <t>25 received zanamivir prophylaxis</t>
  </si>
  <si>
    <t>17/25 receiving zanamivir prophylaxis became infected</t>
  </si>
  <si>
    <t>influenza A/Texas/36/91 or influenza B/Yamagata/88</t>
  </si>
  <si>
    <t>Weidner TG</t>
  </si>
  <si>
    <t>HRV 16</t>
  </si>
  <si>
    <t>ND (SE = 0.2)</t>
  </si>
  <si>
    <t>"Beginning the day following infection (Day +2), nasal washings were again obtained, titrated in serial 10-fold dilutions and placed in human diploid cell cultures. Virus specimens were quantitated for HRV 16. Nasal washes were taken on two consecutive mornings following the second day of inoculation."</t>
  </si>
  <si>
    <t>None given, but "Prior to infection, each subject filled out a previously validated symptom checklist (13-15). This activity was repeated prior to the inoculation on the second day and prior to the graded exercise testing on the third day. Subjects rated (0 = not present, 1 = mild, 2 = moderate, 3 = Severe) the severity of 13 common cold symptoms. A cold with a total score of less than 7 is considered mild; 7-11, moderate; 12 or greater, severe."</t>
  </si>
  <si>
    <t>No AE data; reports number with moderate/severe cold</t>
  </si>
  <si>
    <t>"An initial screening consisted of a health history questionnaire including information regarding acute and chronic diseases, asthma, bronchitis, chronic colds, allergies(including penicillin), pregnancy, immune deficiency, medications, and physical activity level. Volunteers were enrolled in the study only if they were judged to be healthy according to the criteria of the American College of Sports Medicine (1) and engaged in 3 d[middle dot]wk-1 of physical activity (i.e., 30 min of aerobic activity). All subjects agreed to refrain from self treating their colds (e.g., no over-the-counter medications) during the initial 3 d of the URI."</t>
  </si>
  <si>
    <t>"All subjects signed an informed consent form approved by the Institutional Review Board. Subjects who completed the study received modest remuneration for their efforts."</t>
  </si>
  <si>
    <t>Weidner 1997</t>
  </si>
  <si>
    <t>Winther B</t>
  </si>
  <si>
    <t>Rhinovirus immunotype 39</t>
  </si>
  <si>
    <t>"Rhinovirus shedding was evaluated by isolation of Rhinovirus in nasal lavage fluid for 5 days each morning before the morning dose of study medication... Subjects with Rhinovirus isolated from the nasal fluid specimens were considered to be infected. The serum antibody response to Rhinovirus 39 was examined on serum obtained before inoculation and 3 weeks after inoculation. Subjects with a fourfold increase in antibody titer to the challenge virus were considered to be infected."</t>
  </si>
  <si>
    <t>"No serious adverse events occurred during the study period."</t>
  </si>
  <si>
    <t>Oxymetazoline hydrochloride, physiological saline solution</t>
  </si>
  <si>
    <t>"Healthy volunteers between the ages of 18 and 65 years" and "Subjects were enrolled if they had a serum neutralizing antibody of &lt;=1:4 to the challenge Rhinovirus and no clinically significant abnormalities by anterior rhinoscopy. They were excluded if they had upper respiratory tract symptoms during the previous 2 weeks, a history of allergic rhinitis, or pulmonary disease."</t>
  </si>
  <si>
    <t>"Subjects signed informed consent approved by the Institutional Review Board for Health Sciences Research at the University of Virginia."</t>
  </si>
  <si>
    <t>randomized, reference-controlled, double-blind study</t>
  </si>
  <si>
    <t>Winther 2010</t>
  </si>
  <si>
    <t>Zuckerman MA</t>
  </si>
  <si>
    <t>unpassaged influenza B virus isolate [virus U]</t>
  </si>
  <si>
    <t>Unpassaged infuenza B challenge (and controls)</t>
  </si>
  <si>
    <t>Virus isolation and/or viral RNA extracted from those with symptoms</t>
  </si>
  <si>
    <t>None given, but reports number with symptoms</t>
  </si>
  <si>
    <t>"The volunteers were individually housed and observed in isolation facilities at the Medical Research Council Common Cold Research Unit in Salisbury with prior approval from the local ethical committee."</t>
  </si>
  <si>
    <t>Zuckerman 1994</t>
  </si>
  <si>
    <t>Influenza B virus isolate passaged in cell culture and then in special pathogen-free embryonated hens' eggs [virus P]</t>
  </si>
  <si>
    <t>Passaged influenza B challenge</t>
  </si>
  <si>
    <t>unpassaged influenza B virus isolate [virus U] or Influenza B virus isolate passaged in cell culture and then in special pathogen-free embryonated hens' eggs [virus P]</t>
  </si>
  <si>
    <t>NCT02783833</t>
  </si>
  <si>
    <t>https://clinicaltrials.gov/ct2/show/NCT02783833?term=NCT02783833&amp;draw=2&amp;rank=1</t>
  </si>
  <si>
    <t>"parasitemia monitored by quantitative polymerase chain reaction (qPCR) targeting the P. falciparum 18S ribosomal RNA gene"</t>
  </si>
  <si>
    <t>One subject withdrawn after challenge and excluded from analysis</t>
  </si>
  <si>
    <t>"Safety assessments included adverse event (AE) recording, physical examinations, vital signs monitoring, electrocardiography, and clinical laboratory evaluation (hematology, biochemistry, urinalysis)." and "AE severity was assessed in accordance with the WHO Handbook for Reporting of Results of Cancer Treatment (SAD) or the Common Terminology Criteria for Adverse Events version 4.03 (VIS)."</t>
  </si>
  <si>
    <t>"no SAEs were reported."</t>
  </si>
  <si>
    <t>MMV390048 (study treatment);
treatment to clear infection: artemether, lumefantrine, primaquine</t>
  </si>
  <si>
    <t>"Healthy males and females of nonchildbearing potential, aged 18–55 years, were eligible for inclusion in both parts; subjects in the VIS were malaria naive (inclusion and exclusion criteria are listed in the Supplementary Materials)."</t>
  </si>
  <si>
    <t>"The study was conducted at Q-Pharm (Brisbane, Australia) following approval by the QIMR Berghofer Human Research Ethics Committee. All subjects gave written informed consent before enrollment. The study was registered at ClinicalTrials.gov (NCT02783820 [part 1]; NCT02783833 [part 2])."</t>
  </si>
  <si>
    <t>open-label VIS using the P. falciparum IBSM model</t>
  </si>
  <si>
    <t>10.7.21 Search</t>
  </si>
  <si>
    <t>McCarthy 2020</t>
  </si>
  <si>
    <t>2457T Shigella flexneri 2a challenge strain</t>
  </si>
  <si>
    <t>NCT02646371</t>
  </si>
  <si>
    <t>https://clinicaltrials.gov/ct2/show/NCT02646371?term=NCT02646371&amp;draw=2&amp;rank=1</t>
  </si>
  <si>
    <t>"The primary clinical endpoint was shigellosis, defined as severe diarrhoea OR moderate diarrhoea with fever or with one or more moderate constitutional or enteric symptom OR dysentery."</t>
  </si>
  <si>
    <t>30 previously vaccinated;
29 received placebo prior to challenge</t>
  </si>
  <si>
    <t>13/30 previously vaccinated became infected;
18/29 receiving placebo became infected</t>
  </si>
  <si>
    <t>"Volunteers had an outpatient visit one-month post-challenge, and a safety phone call for serious adverse events and adverse events of special interest at 6 months post-challenge. Challenge-related solicited and unsolicited adverse events were collected for 1 month from the day of challenge."</t>
  </si>
  <si>
    <t>Reports AEs after vaccination, but not after challenge</t>
  </si>
  <si>
    <t>"No serious adverse events (SAEs) occurred during this study, and no subjects discontinued participation due to adverse events."</t>
  </si>
  <si>
    <t>ciprofloxacin or trimethoprim/sulfamethoxazole (treatment for infection); Flexyn2a (study vaccine)</t>
  </si>
  <si>
    <t>"volunteers were healthy male and nonpregnant female adults between 18 and 50 years of age recruited from the Mid-Atlantic area. Informed consent was a rigorous and iterative process to ensure comprehension of the trial and their participation. To ensure eligibility criteria were met, medical history, laboratory tests and a complete physical exam were performed. among other requirements, volunteers were eligible if they had no significant medical history or exam findings of inflammatory arthritis, chronic gastrointestinal problems or irritable bowel syndrome, were HLA-B27 negative (to decrease the risk of reactive arthritis after challenge) and had no recent history of traveller’s diarrhoea or participation in other Shigella trials within 3 years. In addition, eligibility was limited to volunteers with a S. flexneri 2a-LPS specific serum IgG ELISA endpoint below 250015 in an attempt to recruit a Shigella-naïve population and more closely align with the immunologically naïve infant and young child population that is the main target group for a Shigella vaccine."</t>
  </si>
  <si>
    <t>"All subjects provided written informed consent. The trial was approved by the Western Institutional Review Board in compliance with all federal regulations governing the protection of human volunteers. LimmaTech served as the sponsor of the study and developed the study design with the investigators. The investigators were responsible for study conduct and management. (Clinicaltrials.gov registration NCT02646371)."</t>
  </si>
  <si>
    <t>randomized, double blind, placebo-controlled trial</t>
  </si>
  <si>
    <t>Talaat 2021</t>
  </si>
  <si>
    <t>Chapman PR</t>
  </si>
  <si>
    <t>N. americanus L3 larvae, attenuated with UVC exposure</t>
  </si>
  <si>
    <t>Australian New Zealand Clinical Trials Registry (ACTRN12617001007325)</t>
  </si>
  <si>
    <t>Attenuated challenge (dose finding study)</t>
  </si>
  <si>
    <t>ND (IQR 47.0)</t>
  </si>
  <si>
    <t>None clearly given</t>
  </si>
  <si>
    <t>"Adverse events were recorded throughout the study and an assessment of their severity and cause was performed by the investigator. The severity of adverse events was classified according to criteria adapted from US Food and Drug Administration guidance.18 An adverse event was classified as a serious adverse event if it resulted in death, was life threatening, required hospital admission, resulted in a birth defect, resulted in a significant disability or incapacity, or was another important medical event. Participants were given a diary card to record symptoms at home and were asked to bring the card to every clinic visit for review."</t>
  </si>
  <si>
    <t>"No serious adverse events occurred and no participant reported respiratory symptoms."</t>
  </si>
  <si>
    <t>albendazole (to eliminate patent infection)</t>
  </si>
  <si>
    <t>"Non-pregnant, non-lactating adults aged 18–65 years with body-mass index 18–35 kg/m2 were eligible to participate in this study. Exclusion criteria were a history of immunosuppression, possible past exposure to hookworms assessed by travel history, allergy to any of the study drugs, history of atopy or severe allergic reaction following any vaccination or infusion, treatment in the past 6 months with immune-modulating or cytotoxic medications, anaemia (haemoglobin &lt;130 g/L in men and &lt;120 g/L in women), vaccination in past 30 days, heavily tattooed forearms, and current participation in any other clinical trial (appendix p 2). Individuals screened for this study were interviewed by the principal investigator and educated about natural and experimentally induced hookworm infection, the common adverse events (dermal reactions, gastrointestinal symptoms, respiratory symptoms, and anaemia), the risks of pharmacotherapy (albendazole), and the hypothetical risks of receiving attenuated hookworms. Written information was provided in the consent documentation."</t>
  </si>
  <si>
    <t>"The study was approved by the QIMR Berghofer Medical Research Institute Human Research Ethics Committee. Written informed consent was obtained from all participants. The trial was conducted in accordance with the principles of the Declaration of Helsinki and the International Conference on Harmonization Good Clinical Practice guidelines."</t>
  </si>
  <si>
    <t>open-label dose-finding study</t>
  </si>
  <si>
    <t>Chapman 2021</t>
  </si>
  <si>
    <t>Median given for each of two groups, but not overall</t>
  </si>
  <si>
    <t>"No serious adverse events were observed during the challenge study."</t>
  </si>
  <si>
    <t>Unclear (&gt;0)</t>
  </si>
  <si>
    <t>randomised, double-blind, placebo-controlled challenge study</t>
  </si>
  <si>
    <t>N. americanus L3 larvae</t>
  </si>
  <si>
    <t>"Faecal samples were collected from all participants on day 161... for coproculture and to quantify the faecal concentration of N americanus DNA by qPCR."</t>
  </si>
  <si>
    <t>10 previously vaccinated with attenuated LS larvae</t>
  </si>
  <si>
    <t>"No serious adverse events were observed during the challenge study." and "One adverse event was classified as severe: a participant from the vaccine group developed an erythematous and indurated pruritic rash of greater than 100 mm in length at both challenge inoculation sites."</t>
  </si>
  <si>
    <t>N. americanus L3 larvae, attenuated with UVC exposure or N. americanus L3 larvae</t>
  </si>
  <si>
    <t>Summed data for dose-finding study and challenge phase</t>
  </si>
  <si>
    <t>Median not given overall</t>
  </si>
  <si>
    <t>"No serious adverse events occurred and no participant reported respiratory symptoms." and "No serious adverse events were observed during the challenge study." and "One adverse event was classified as severe: a participant from the vaccine group developed an erythematous and indurated pruritic rash of greater than 100 mm in length at both challenge inoculation sites."</t>
  </si>
  <si>
    <t>Frenck RW Jr</t>
  </si>
  <si>
    <t>S. sonnei strain 53 G</t>
  </si>
  <si>
    <t>NCT03527173</t>
  </si>
  <si>
    <t>https://clinicaltrials.gov/ct2/show/NCT03527173?term=NCT03527173&amp;draw=2&amp;rank=1</t>
  </si>
  <si>
    <t>"Shedding of S. sonnei strain 53 G was defined as positivity of at least one stool sample either by culture or quantitative polymerase chain reaction or both."</t>
  </si>
  <si>
    <t>33 previously vaccinated;
29 received placebo prior to challenge</t>
  </si>
  <si>
    <t>2 did not complete inpatient stay and were excluded from per-protocol set;
31/32 previously vaccinated became infected;
28/28 receiving placebo became infected</t>
  </si>
  <si>
    <t>"Solicited AEs after the bacterial challenge were diarrhoea, abdominal pain, abdominal cramps, gas, anorexia, nausea, headache, myalgia, malaise, arthralgia, fever, fatigue, and vomiting, collected by the investigator up to 8 days post-challenge. Unsolicited AEs were collected up to 28 days post-each injection and 28 days post-challenge. All AEs were graded for severity on a scale from 0 to 3 or 4 by the investigator (Table S1). Serious AEs (SAEs) were collected during the entire study period. Causal relationship of unsolicited AEs or SAEs to 1790GAHB vaccine/placebo or challenge inoculum was also assessed by the investigator. "</t>
  </si>
  <si>
    <t>AE definition and data given in appendix</t>
  </si>
  <si>
    <t>Unclear (&gt;=44)</t>
  </si>
  <si>
    <t>"No serious AE (SAE) was reported in the 1790GAHB group. In the Placebo group, one participant experienced four SAEs following the challenge dose: deep vein thrombosis (moderate intensity) and pelvic venous thrombosis (severe) at day 107, haematoma (severe) at day 121, and carotid artery aneurysm at day 130 from challenge. All events were assessed by the investigator as unrelated to any study treatment and were resolved." and "No severe unsolicited AE was reported during the 28-day post-vaccination/challenge periods." (SAEs deemed unrelated to challenge, recorded in supplementary)</t>
  </si>
  <si>
    <t>1790GAHB (study vaccine)</t>
  </si>
  <si>
    <t>"Adults who provided informed consent were assessed for eligibility in the study at the end of a screening period (45 days before the first vaccine/placebo administration), during which they were screened for general health status and their medical history was recorded. Individuals were included in the study if they were 18–50 years of age, provided informed consent, were generally healthy, and negative for HIV, hepatitis B and hepatitis C. Individuals who had a previous laboratory confirmed case of disease caused by S. sonnei infection or an anti-S. sonnei LPS serum IgG titre &gt;1:2500 at screening, corresponding to 1940 EU/mL as measured by the GVGH enzyme linked immunosorbent assay (ELISA), were excluded. Only participants who met all inclusion criteria and none of the exclusion criteria were eligible for enrolment."</t>
  </si>
  <si>
    <t>"The study was conducted in accordance with all applicable regulatory requirements, International Conference on Harmonisation - Good Clinical Practice guidelines, and the Declaration of Helsinki. The protocol and study-related documents were reviewed and approved by the CCHMC institutional review board on 10 May 2018. All participants provided electronic consent through REDcap system (www.projectredcap.org), except for one who provided written consent because the REDcap system was not working."</t>
  </si>
  <si>
    <t>single-centre, observer-blind, randomized, placebo-controlled, phase 2b human challenge trial</t>
  </si>
  <si>
    <t>Frenck 2021</t>
  </si>
  <si>
    <t>Kapulu MC</t>
  </si>
  <si>
    <t>Sanaria PfSPZ Challenge NF54</t>
  </si>
  <si>
    <t>NCT02739763</t>
  </si>
  <si>
    <t>https://clinicaltrials.gov/ct2/show/NCT02739763?term=NCT02739763&amp;draw=2&amp;rank=1</t>
  </si>
  <si>
    <t>"real-time qPCR results were used for malaria diagnosis"</t>
  </si>
  <si>
    <t>Only 142 included for qPCR analysis</t>
  </si>
  <si>
    <t>"All volunteers were monitored for any adverse events, solicited and unsolicited, for the duration of CHMI." and "Adverse event reporting was divided into 3 separate time periods: (a) the first 6 days from day of administration of PfSPZ (days 1–7), when there were few grade 1 local adverse events relating to the injection site and some isolated unsolicited events; (b) day 8 after administration of PfSPZ up to the day of treatment, when systemic febrile events (e.g., headache followed by fever, myalgia, and sweating) became more common; and (c) the day of treatment to the exit from in-patient stay, when systemic febrile adverse events were most common (Table 2). Unsolicited adverse events reflected symptoms of febrile malaria, with a few additional events at low frequency. Solicited and unsolicited adverse events were all found to be mild (i.e., grade 1). The most common adverse event reported was headache, followed by fever, myalgia, and sweating."</t>
  </si>
  <si>
    <t>Unclear (&gt;=66)</t>
  </si>
  <si>
    <t>"CHMI was well tolerated, with no severe or serious adverse events."</t>
  </si>
  <si>
    <t>antimalarial treatment (drug not specified)</t>
  </si>
  <si>
    <t>"healthy volunteers" and "following recruitment and informed consent procedures, volunteers went through a screening process to determine their health status and past exposure to malaria."</t>
  </si>
  <si>
    <t>"The study was conducted at the Kenya Medical Research Institute-Wellcome Trust Research Programme in Kilifi, Kenya, and received ethical approval from the Kenya Medical Research Institute Scientific and Ethics Review Unit (KEMRI/SERU/CGMR-C/029/3190) and the University of Oxford Tropical Research Ethics Committee (OxTREC 2-16). The study is registered on ClinicalTrials.gov (NCT02739763) and was conducted based on good clinical practice and under the principles of the Declaration of Helsinki."</t>
  </si>
  <si>
    <t>open, unblinded, and nonrandomized</t>
  </si>
  <si>
    <t>Kapulu 2021</t>
  </si>
  <si>
    <t>Clyde DF</t>
  </si>
  <si>
    <t>P. falciparum (Smith or Thau strain)</t>
  </si>
  <si>
    <t>https://pubmed.ncbi.nlm.nih.gov/4583408/</t>
  </si>
  <si>
    <t>("Immunization phase") Mosquitoes x-irradiated at 12,000 rads</t>
  </si>
  <si>
    <t>Malaria determined by parasitemia</t>
  </si>
  <si>
    <t>7 exposed to irradiated mosquitoes</t>
  </si>
  <si>
    <t>4/7 exposed to irradiated mosquitoes became infected</t>
  </si>
  <si>
    <t>"No adverse effects of the procedures were observed in our volunteers"</t>
  </si>
  <si>
    <t>"The volunteers, who had not previously been exposed to malaria, were selected after passing an examination for mental and physical fitness that included chest radiography, electrocardiogram, and laboratory tests."</t>
  </si>
  <si>
    <t>"This study was conducted in strict accordance with regulations established by medical ethics committees of the University of Maryland and the supporting agency, and conforms with the guiding principles of the Declaratijon of Helsinki as approved by the World Medical Association in 1964."</t>
  </si>
  <si>
    <t>Friedman-Klabanoff 2019</t>
  </si>
  <si>
    <t>Clyde 1973a</t>
  </si>
  <si>
    <t>("Immunization phase") Mosquitoes x-irradiated at 15,000 rads</t>
  </si>
  <si>
    <t>4/8 participants had previously been exposed to mosquitoes x-irradiated at 12,000 rads</t>
  </si>
  <si>
    <t>4 exposed to irradiated mosquitoes</t>
  </si>
  <si>
    <t>0/4 exposed to irradiated mosquitoes became infected</t>
  </si>
  <si>
    <t>3 previously immunized</t>
  </si>
  <si>
    <t>2/3 previously immunized became infected</t>
  </si>
  <si>
    <t>Challenge phase (re-challenge)</t>
  </si>
  <si>
    <t>1 previously immunized and challenged</t>
  </si>
  <si>
    <t>0/1 previously immunized and challenge became infected</t>
  </si>
  <si>
    <t>Rechallenge, Excluded</t>
  </si>
  <si>
    <t>Davis JR</t>
  </si>
  <si>
    <t>P. falciparum (NF54 or clone strain CVD1)</t>
  </si>
  <si>
    <t>https://pubmed.ncbi.nlm.nih.gov/1346766/</t>
  </si>
  <si>
    <t>"Volunteers were closely observed for parasitemia by Giemsa-stained thick films every 12hr beginning on the fifth prepatent day" and "Blood cultures made at the time of thick films confirmed microscopic diagnosis of parasitemia"</t>
  </si>
  <si>
    <t>None given, but "Mild clinical symptomology consisting of myalgia, headache, or nausea was present in three of the four volunteers around the time of patency. None of the volunteers developed fever"</t>
  </si>
  <si>
    <t>"healthy male volunteers, who passed medical fitness tests"</t>
  </si>
  <si>
    <t>Davis 1992</t>
  </si>
  <si>
    <t>Edelman R</t>
  </si>
  <si>
    <t>P. falciparum NF54 (clone strain CVD1)</t>
  </si>
  <si>
    <t>https://pubmed.ncbi.nlm.nih.gov/8376823/</t>
  </si>
  <si>
    <t>Immunization phase (volunteers previously challenged)</t>
  </si>
  <si>
    <t>Infection determined by Giemsa-stained thick blood films</t>
  </si>
  <si>
    <t>All 3 previously challenged</t>
  </si>
  <si>
    <t>None given, but "the volunteers tolerated the booster bites well, with only minor degree of local inflammation and pruritus at the bite sites."</t>
  </si>
  <si>
    <t>"Clinical protocols were approved by the Institutional Review Boards of participating institutions per the guidelines of the US Department of Health and Human Services and Department of Defense. Volunteers signed informed consent statements as part of their enrollment."</t>
  </si>
  <si>
    <t>Edelman 1993</t>
  </si>
  <si>
    <t>Prechallenge, NAE, NSAE, Excluded</t>
  </si>
  <si>
    <t>P. falciparum NF54 (3D7 clone)</t>
  </si>
  <si>
    <t>1 previously immunized</t>
  </si>
  <si>
    <t>0/1 previously immunized became infected</t>
  </si>
  <si>
    <t>None given, but 5 unimmunized volunteers "developed symptoms of malaria."</t>
  </si>
  <si>
    <t>No AE data; reports number with symptoms of malaria</t>
  </si>
  <si>
    <t>Epstein JE</t>
  </si>
  <si>
    <t>Attenuated PfSPZ vaccine</t>
  </si>
  <si>
    <t>https://pubmed.ncbi.nlm.nih.gov/21903775/</t>
  </si>
  <si>
    <t>Not applicable (vaccination phase)</t>
  </si>
  <si>
    <t>"About half of volunteers in each group had a local or general adverse event (AE) considered possibly, probably, or definitely related (= related) to administration of vaccine" and AEs "included headache, malaise, myalgia, nausea, fever, chills, arthralgia, fatigue, and musculoskeletal pain"</t>
  </si>
  <si>
    <t>"malaria-naïve, healthy adults"</t>
  </si>
  <si>
    <t>open-label, dose-escalation study</t>
  </si>
  <si>
    <t>Epstein 2011</t>
  </si>
  <si>
    <t>PfSPZ (infected mosquito bites)</t>
  </si>
  <si>
    <t>Parasitaemia detected by "blood smears and real-time quantitative DNA polymerase chain reaction (PCR) assay"</t>
  </si>
  <si>
    <t>44 previously immunized</t>
  </si>
  <si>
    <t>42/44 previously immunized became infected</t>
  </si>
  <si>
    <t>None given (not reported for challenge phase)</t>
  </si>
  <si>
    <t>Synthetic peptide malaria vaccine ((NANP)3-TT)</t>
  </si>
  <si>
    <t>https://pubmed.ncbi.nlm.nih.gov/2439920/</t>
  </si>
  <si>
    <t>"No significant adverse reactions were noted, with mild soreness at the injection site the only common symptom"</t>
  </si>
  <si>
    <t>Volunteers "were selected based on their expressed interest, good health, and lack of previous history of malaria. Medical screening included a history and physical examination, a complete blood count, urinalysis, and serology for hepatitis B, syphilis, and human immunodeficiency virus. Volunteers were excluded if they had received TT within the past 3 years, had known hypersensitivity to TT, or had previously experienced notable allergic reactions."</t>
  </si>
  <si>
    <t>"All aspects of the studies were explained in detail, including potential risks and benefits, and informed consent was obtained. Studies were approved by ethical review committees of the University of Maryland Hospital and the National Institute of Allergy and Infectious Diseases"</t>
  </si>
  <si>
    <t>randomized, double-blind</t>
  </si>
  <si>
    <t>Herrington 1987</t>
  </si>
  <si>
    <t>Parasitaemia</t>
  </si>
  <si>
    <t>3 previously vaccinated</t>
  </si>
  <si>
    <t>2/3 previously vaccinated became infected</t>
  </si>
  <si>
    <t>P. falciparum (infected mosquito bites)</t>
  </si>
  <si>
    <t>https://pubmed.ncbi.nlm.nih.gov/2094588/</t>
  </si>
  <si>
    <t>(Some data from immunization phase provided as well, but not extracted)</t>
  </si>
  <si>
    <t>2 previously immunized (exposed to irradiated misquitoes)</t>
  </si>
  <si>
    <t>2/2 previously immunized became infected</t>
  </si>
  <si>
    <t>Chloroquine phosphate (prophylactic during immunization phase)</t>
  </si>
  <si>
    <t>Herrington 1990a</t>
  </si>
  <si>
    <t>P. falciparum (CVD1 cloned line of NF54), infected mosquito bites</t>
  </si>
  <si>
    <t>https://pubmed.ncbi.nlm.nih.gov/1951863/</t>
  </si>
  <si>
    <t>"parasitemia, as determined by Giemsa-stained thick blood smear and plasmodial culture"</t>
  </si>
  <si>
    <t>3 previously immunized (exposed to irradiated misquitoes)</t>
  </si>
  <si>
    <t>0/3 previously immunized became infected</t>
  </si>
  <si>
    <t>None given, although mentions that one volunteer withdrew and another was excluded following reactions during the immunization phase (data not extracted)</t>
  </si>
  <si>
    <t>No AE data; reports number with clinical symptomatology</t>
  </si>
  <si>
    <t>"The methods of medical screening, care of the volunteers, and obtaining informed consent have been described.9 Volunteers with a history of hypersensitivity to mosquito or other insect bites were excluded."</t>
  </si>
  <si>
    <t>"Protocols were approved by the Human Volunteer Research Committee of the University of Maryland." and informed consent was obtained</t>
  </si>
  <si>
    <t>Herrington 1991</t>
  </si>
  <si>
    <t>Hoffman SL</t>
  </si>
  <si>
    <t>P. falciparum (3D7 clone of the NF54 strain) infected mosquito bites</t>
  </si>
  <si>
    <t>https://pubmed.ncbi.nlm.nih.gov/7985753/</t>
  </si>
  <si>
    <t>(4 cohorts)</t>
  </si>
  <si>
    <t>"Volunteers were assessed clinically, and by thick blood smear as previously described beginning five (CVD) or seven (NNMC) days after exposure to infected mosquitoes, twice each day until infection was documented, or until day 21, and daily until day 30."</t>
  </si>
  <si>
    <t>11 previously vaccinated</t>
  </si>
  <si>
    <t>9/11 previously vaccinated became infected</t>
  </si>
  <si>
    <t>Describes side effects assessed during vaccination phase (not extracted), but does not describe AEs for challenge phase</t>
  </si>
  <si>
    <t>R32NS181 (malaria vaccine)</t>
  </si>
  <si>
    <t>"Written informed consent was obtained from all volunteers, none of whom had a history of underlying cardiac, renal, hepatic, or neurologic disease, circulating hepatitis B surface antigen, antibodies to human immunodeficiency virus, or previous immunization with subunit malaria vaccines, or with radiation-attenuated sporozoites. None of the University of Maryland volunteers reported a history of travel to a malarious area. Several DOD subjects had previously visited malarious areas. Only one volunteer, DOD1, had previously had malaria. This volunteer had been experimentally infected with malaria while acting as an unimmunized control in a prior study."</t>
  </si>
  <si>
    <t>"After approval by institutional review boards, 20-50-year-old volunteers were recruited from the active duty military community of the Washington, DC metropolitan area (DOD group) and from the civilian community of Baltimore, Maryland (University of Maryland). Written informed consent was obtained from all volunteers"</t>
  </si>
  <si>
    <t>double-blinded, placebo controlled trial</t>
  </si>
  <si>
    <t>Hoffman 1994</t>
  </si>
  <si>
    <t>Ishizuka AS</t>
  </si>
  <si>
    <t>PfSPZ infected mosquito bites (3D7 clone)</t>
  </si>
  <si>
    <t>https://pubmed.ncbi.nlm.nih.gov/27158907/</t>
  </si>
  <si>
    <t>NCT02015091</t>
  </si>
  <si>
    <t>https://clinicaltrials.gov/ct2/show/NCT02015091</t>
  </si>
  <si>
    <t>Group 1 (2.7 × 10^5 PfSPZ IV × 3)</t>
  </si>
  <si>
    <t>PCR analysis for parasitaemia</t>
  </si>
  <si>
    <t>3 challenged twice</t>
  </si>
  <si>
    <t>1/3 challenged twice became infected after second challenge</t>
  </si>
  <si>
    <t>"Local injection-site and systemic reactogenicity parameters were recorded through 7 d after vaccination as solicited adverse events (AEs). Unsolicited AEs were recorded until day 28 post-CHMI. Serious AEs and new chronic medical conditions were recorded through 24 weeks following the last vaccination. AEs were graded using a Toxicity Grading Scale for Adults, adapted from FDA Guidance for Industry 2007 (ref. 40). Malaria infection was recorded as a separate study end point. Therefore, associated signs and symptoms were not included in unsolicited AE listings."</t>
  </si>
  <si>
    <t>PfSPZ vaccine; atovaquone and proguanil (Malarone)</t>
  </si>
  <si>
    <t>"malaria-naive, healthy US adults, 18–45 years of age, were screened for good health, including laboratory testing for hepatitis B and C, HIV, and for pregnancy testing for women of child-bearing potential. Baseline complete blood counts, creatinine, and alanine aminotransferase (ALT) were screened, and only volunteers with normal values were enrolled. Volunteers with significant cardiovascular risk were excluded (i.e., 5-year risk of &gt;10%)39. Exclusion criteria included known history of malaria infection or vaccination, the presence of hemoglobin S by electrophoresis, and splenectomy."</t>
  </si>
  <si>
    <t>"Study Oversight and Safety Surveillance was approved by the Intramural Institutional Review Board (IRB) of the National Institute of Allergy and Infectious Diseases (NIAID). US Department of Health and Human Services guidelines for conducting clinical research were followed. Each step was reviewed and approved by a Safety Monitoring Committee and submitted to the Food and Drug Administration (FDA). The protocol was reviewed by the FDA and conducted under IND 14826. Oral and written informed consent was obtained from all subjects."</t>
  </si>
  <si>
    <t>multi-institution, phase 1, open-label, dose-escalation trial with CHMI</t>
  </si>
  <si>
    <t>Ishizuka 2016</t>
  </si>
  <si>
    <t>Group 2 (2.2 × 10^6 PfSPZ IM × 4)</t>
  </si>
  <si>
    <t>1 did not complete follow-up and was excluded from analysis. 3 challenged twice</t>
  </si>
  <si>
    <t>3/3 challenged twice became infected after second challenge</t>
  </si>
  <si>
    <t>Group 3 (1.35 × 10^5 PfSPZ IV)</t>
  </si>
  <si>
    <t>8 challenged twice. 1 did not complete follow-up after second challenge and was excluded from analysis</t>
  </si>
  <si>
    <t>3/8 challenged twice became infected after second challenge</t>
  </si>
  <si>
    <t>Group 4 (2.7 × 10^5 PfSPZ IV × 4)</t>
  </si>
  <si>
    <t>5 challenged twice</t>
  </si>
  <si>
    <t>1/5 challenged twice became infected after second challenge</t>
  </si>
  <si>
    <t>Group 5 (2.7 × 105 PfSPZ IV × 4)</t>
  </si>
  <si>
    <t>4 challenged twice</t>
  </si>
  <si>
    <t>0/4 challenged twice became infected after second challenge</t>
  </si>
  <si>
    <t>Unvaccinated CHMI controls (demographic data confusing, combined two cohorts)</t>
  </si>
  <si>
    <t>4 back-up controls did not receive CHMI</t>
  </si>
  <si>
    <t>Atovaquone and proguanil (Malarone)</t>
  </si>
  <si>
    <t>Summed data for all cohorts (except rechallenge)</t>
  </si>
  <si>
    <t>Mean age given for individual groups, but not overall</t>
  </si>
  <si>
    <t>Repeat CHMI (all previously vaccinated)</t>
  </si>
  <si>
    <t>All subjects previously vaccinated and challenged, and did not originally develop parasitemia</t>
  </si>
  <si>
    <t>3 from group 1;
3 from group 2;
8 from group 3 (1 excluded from analysis);
5 from group 4;
4 from group 5</t>
  </si>
  <si>
    <t>1/3 in group 1 became infected;
3/3 in group 2 became infected;
3/7 in group 3 became infected;
1/5 in group 4 became infected;
0/4 in group 5 became infected</t>
  </si>
  <si>
    <t>Cryopreserved PfSPZ of the NF54 isolate of P. falciparum (PfSPZ Challenge)</t>
  </si>
  <si>
    <t>https://pubmed.ncbi.nlm.nih.gov/26416102/</t>
  </si>
  <si>
    <t>NCT01546389</t>
  </si>
  <si>
    <t>https://clinicaltrials.gov/ct2/show/NCT01546389?term=NCT01546389&amp;draw=2&amp;rank=1</t>
  </si>
  <si>
    <t>Patent malaria detected by positive blood smears</t>
  </si>
  <si>
    <t>1 withdrew from study post CHMI</t>
  </si>
  <si>
    <t>"All adverse events were graded for 1) severity (mild, moderate, severe, or life threatening) and 2) relatedness (associated or not associated to the study product). Specific severity scales were provided for fever (mild, &gt; 99.5–100.4°F; moderate, &gt; 100.4–102.2°F; and severe, &gt; 102.2°F), and erythema (mild, 2.5–5 cm; moderate, 5.1–10 cm; and severe, &gt; 10 cm). The local injection site was assessed and general solicited symptoms or signs evaluated until Day 14 post-CHMI. Local reactions that persisted beyond Day 2 were recorded as adverse events based on previous site experience that erythema, pruritus, and induration are normal responses to mosquito bites within two days of exposure. Solicited systemic symptoms related to the malaria challenge and before malaria parasitemia were recorded until Day 7 post-CHMI (Table 2) and those related to blood stage malaria began on Day 8 post- CHMI (Table 3) and continued for the duration of the volunteer follow-up or until malaria diagnosis. A comparison was made assessing historical results from our site with a tra- ditional CHMI using aseptically reared Anopheles stephensi mosquitoes infected with the same strain of P. falciparum (NF54) and cultured in the same laboratory facility to eliminate confounding variables (Table 3). Any other signs or symptoms were considered unsolicited until Day 28. Serious adverse events were monitored until Day 56 after CHMI."</t>
  </si>
  <si>
    <t>"Subject M11UMD012 (Group C: 1 × 104 PfSPZ 2 × 10 μL) was noted to be qPCR positive on Day 28 after therapy and was reported and assessed as a Serious Adverse Event by the sponsor Medical Monitor"</t>
  </si>
  <si>
    <t>Treatment: atovaquone-proguanil (Malarone)</t>
  </si>
  <si>
    <t>"malaria-naive adults" and "Participants were previously screened for good health, including laboratory testing for hepatitis B and C, human immunodeficiency virus, and for pregnancy testing in females of childbearing potential. Baseline complete blood counts, creatinine, glucose, aspartate aminotransferase (AST), and alanine aminotransferase (ALT) were screened and only volunteers with normal values were enrolled. In addition, volunteers with significant cardiovascular risk were excluded (i.e., &gt; 10%, 5-year risk),7 including evaluation by gender and age for systolic blood pressure (mmHg), smoking status (current versus past or never), body mass index (kg/mm2), reported diabetes status, and current treatment of raised blood pressure. A 12-lead electrocardiogram (ECG) was performed and read by a staff cardiologist. Exclusion criteria included known history of malaria infection, long-term residence (&gt; 5 years) in a malaria-endemic area, travel to a malaria-endemic area within the previous 6 months, the presence of hemoglobin S by electrophoresis, and splenectomy."</t>
  </si>
  <si>
    <t>"This clinical trial has been registered on clinicaltrials.gov, registry number NCT01546389"</t>
  </si>
  <si>
    <t>dose-ranging, randomized, prospective Phase I cohort study</t>
  </si>
  <si>
    <t>Lyke 2015</t>
  </si>
  <si>
    <t>https://pubmed.ncbi.nlm.nih.gov/28223498/</t>
  </si>
  <si>
    <t>9.0 × 10^5 PfSPZ IV x 3</t>
  </si>
  <si>
    <t>"Intravenous site and systemic reactogenicity parameters were recorded through 3 d after vaccination as solicited AEs. Unsolicited AEs were recorded until day 28 post-CHMI. Serious AEs and new chronic medical conditions were recorded through 24 wk after the last vaccination. AEs were graded using a table adapted from US Food and Drug Administration Guidance for Industry (37). Malaria-associated symptoms and signs after CHMI were not included in unsolicited AE listings because Pf infection was recorded as a separate study endpoint."</t>
  </si>
  <si>
    <t>PfSPZ vaccine; atovaquone and proguanil</t>
  </si>
  <si>
    <t>"malaria-naive, healthy adults 18–45 y of age were enrolled after obtaining written informed consent"</t>
  </si>
  <si>
    <t>"VRC 314 was approved by the Intramural Institutional Review Board of the National Institute of Allergy and Infectious Diseases and the University of Maryland, Baltimore, operated under a Reliance Agreement with National Institute of Allergy and Infectious Diseases. Each step was reviewed and approved by a Safety Monitoring Committee."</t>
  </si>
  <si>
    <t>open-label, dose-escalation trial with CHMI</t>
  </si>
  <si>
    <t>Lyke 2017</t>
  </si>
  <si>
    <t>Unvaccinated homologous CHMI controls</t>
  </si>
  <si>
    <t>Atovaquone and proguanil</t>
  </si>
  <si>
    <t>PfSPZ infected mosquito bites (7G8 clone)</t>
  </si>
  <si>
    <t>Unvaccinated heterologous CHMI controls</t>
  </si>
  <si>
    <t>Mean age given for each of three groups, but not overall</t>
  </si>
  <si>
    <t>SD given for each of 3 groups, but not overall</t>
  </si>
  <si>
    <t>Heterologous CHMI (rechallenge)</t>
  </si>
  <si>
    <t>S. flexneri 2a strain 2457T</t>
  </si>
  <si>
    <t>https://pubmed.ncbi.nlm.nih.gov/10377124/</t>
  </si>
  <si>
    <t>Excretion of challenge organism</t>
  </si>
  <si>
    <t>7 previously vaccinated</t>
  </si>
  <si>
    <t>6/7 previously vaccinated became infected</t>
  </si>
  <si>
    <t>"Reactions to vaccination (and challenge) were determined by daily clinical assessment and were graded as mild (i.e., no limitation of activity), moderate (i.e., mild to moderate limitation of activity), or severe (i.e., significant limitation of normal activities)." and "Severe shigellosis was defined as a temperature of &gt;101°F, more than five abnormal stools, more than one severe constitutional symptom, and more than one severe intestinal symptom. Shigellosis was also considered severe, even if constitutional and intestinal symptoms were mild, when fever was &gt;101°F and abnormal stools totaled &gt;10."</t>
  </si>
  <si>
    <t>No AE data reported for challenge; reports number with diarrhea and severe shigellosis</t>
  </si>
  <si>
    <t>SC602 (vaccine candidate), ciprofloxacin (treatment after challenge)</t>
  </si>
  <si>
    <t>"Potential volunteers were excluded if they reported previous exposure to shigellae; were allergic to quinolones; had any significant gastrointestinal abnormality; were pregnant; were HLA B27, human immunodeficiency virus, or hepatitis B surface antigen positive; were currently being treated with antibiotics, theophylline, iron, zinc, histamine H2-receptor antagonist blockers, or proton pump inhibitors; or had a febrile illness within 48 h of admission. Because of the theoretical possibility of vaccine excretion after release from the ward, food handlers, day care workers, and individuals who live with a child less than 2 years of age were also excluded."</t>
  </si>
  <si>
    <t>"written, informed consent was obtained under protocols approved by internal review boards within USAMRIID"</t>
  </si>
  <si>
    <t>Porter 2018</t>
  </si>
  <si>
    <t>Coster 1999</t>
  </si>
  <si>
    <t>DuPont HL</t>
  </si>
  <si>
    <t>https://pubmed.ncbi.nlm.nih.gov/4550416/</t>
  </si>
  <si>
    <t>First challenge study; volunteers were inmates</t>
  </si>
  <si>
    <t>"Isolation of the virulent strain from stools"</t>
  </si>
  <si>
    <t>15 previously vaccinated with mutant-hybrid;
31 previously vaccinated with streptomycin-dependent mutant;
24 unvaccinated controls</t>
  </si>
  <si>
    <t>1/15 previously vaccinated with mutant-hybrid became infected;
4/31 previously vaccinated with streptomycin-dependent mutant became infected;
4/24 unvaccinated controls became infected</t>
  </si>
  <si>
    <t>None given, but reports number with disease defined as "Oral temperature &gt;= 100 F plus &gt;= four watery stools per 24 hr."</t>
  </si>
  <si>
    <t>No AE data; reports number with disease</t>
  </si>
  <si>
    <t>Mutant-hybrid Shigella-E. coli (MH) or lyophilized streptomycin-dependent (SmD) vaccine</t>
  </si>
  <si>
    <t>"informed, healthy adult male inmates"</t>
  </si>
  <si>
    <t>DuPont 1972</t>
  </si>
  <si>
    <t>Second challenge study; volunteers were inmates</t>
  </si>
  <si>
    <t>68 previously vaccinated with mutant-hybrid;
53 previously vaccinated with streptomycin-dependent mutant;
88 unvaccinated controls</t>
  </si>
  <si>
    <t>36/68 previously vaccinated with mutant-hybrid became infected;
32/53 previously vaccinated with streptomycin-dependent mutant became infected;
66/88 unvaccinated controls became infected</t>
  </si>
  <si>
    <t>Rechallenged cohort; volunteers were inmates</t>
  </si>
  <si>
    <t>Non-exposed control cohort; volunteers were inmates</t>
  </si>
  <si>
    <t>https://pubmed.ncbi.nlm.nih.gov/7639017/</t>
  </si>
  <si>
    <t>Fecal shedding</t>
  </si>
  <si>
    <t>16 previously vaccinated</t>
  </si>
  <si>
    <t>15/16 previously vaccinated became infected</t>
  </si>
  <si>
    <t>None given; reports AE data for vaccination phase, but not challenge phase. "Illness was defined as diarrhea, fever (oral temperature &gt;=100.0 F) or dysentery (gross blood in a loose stool). For the outpatient vaccination study, diarrhea was defined as three or more liquid stools in 24 h. In the challenge study, diarrhea was defined as two or more loose stools (grade 3-5) totalling 200 ml within 48 h or a single 300 ml grade 3-5 stool. "</t>
  </si>
  <si>
    <t>No AE data reported for challenge; reports number with illness</t>
  </si>
  <si>
    <t xml:space="preserve">Hybrid vaccine candidate EcSf2a-2, ciprofloxacin (treatment after challenge) </t>
  </si>
  <si>
    <t>"Adults of ages 18-40 years were recruited from the Baltimore-Washington area. Eligible subjects were without significant abnormalities detected by medical history, physical examination, and a panel of screening clinical laboratory tests. Occupational food handlers, travelers to Shigella-endemic areas, persons with known allergy to ciprofloxacin or sulfa drugs, and those with HLA B-27 haplotype (because of its association with post-infectious arthritis) were excluded."</t>
  </si>
  <si>
    <t>"informed consent was obtained from the volunteers and guidelines for human experimentation of the U.S. Department of Health and Human Services, the Human Volunteers Research Committee of the University of Maryland, and the Surgeon General’s Human Subjects Research Review Board of the Department of the Army were followed in the conduct of the clinical research."</t>
  </si>
  <si>
    <t>Kotloff 1995a</t>
  </si>
  <si>
    <t>https://pubmed.ncbi.nlm.nih.gov/1524140/</t>
  </si>
  <si>
    <t>Fecal shedding ("Stool samples and rectal swabs (if no stool was passed) were examined daily by plating onto MacConkey and Salmonella-Shigella agar and inoculating into gram-negative broth for subsequent subculture. Shigella were identified by standard techniques."</t>
  </si>
  <si>
    <t>11 treated with Hyperimmune immunoglobulin concentrate prior to challenge;
11 treated with Control immunoglobulin concentrate;
7 treated with Sodium bicarbonate control</t>
  </si>
  <si>
    <t>"In the first study, there was no difference in the rate of shedding of the challenge organism in the stool or the mean number of days of shedding among the three groups (Table 1)."</t>
  </si>
  <si>
    <t>None given, but "Illness was defined as diarrhea, fever, or dysentery. Diarrhea was defined as one liquid stool amounting to 300 ml or more, or two or more liquid stools totaling 200 ml or more passed within a 48-hr period.9 Fever was defined as an oral temperature &gt;=37.8°C. Dysentery was de fined as gross blood in formed or liquid stool."</t>
  </si>
  <si>
    <t>hyperimmune bovine immunoglobulin concentrate, control bovine immunoglobulin concentrate, or sodium bicarbonate; ciprofloxacin (treatment after challenge)</t>
  </si>
  <si>
    <t>"Healthy adult volunteers were recruited from the Baltimore community"</t>
  </si>
  <si>
    <t>"The clinical protocols were approved by and followed the guidelines of the U.S. Department of Health and Human Services, the Human Volunteers Research Committee of the University of Maryland at Baltimore, and the Human Subjects Research Review Board of the U.S. Army." and "informed written consent was obtained from each volunteer."</t>
  </si>
  <si>
    <t>Tacket 1992</t>
  </si>
  <si>
    <t>10 treated with Hyperimmune immunoglobulin concentrate;
11 treated with Sodium bicarbonate control</t>
  </si>
  <si>
    <t>2/10 treated with Hyperimmune immunoglobulin concentrate became infected;
10/11 treated with Sodium bicarbonate control became infected</t>
  </si>
  <si>
    <t>Unclear (&gt;=13)</t>
  </si>
  <si>
    <t>Taylor DN</t>
  </si>
  <si>
    <t>https://pubmed.ncbi.nlm.nih.gov/16586388/</t>
  </si>
  <si>
    <t>Colonization with Shigella species</t>
  </si>
  <si>
    <t>15 received rifaximin prior to challenge</t>
  </si>
  <si>
    <t>0/15 receiving rifaximin prior to challenge became infected</t>
  </si>
  <si>
    <t>"Throughout the study, volunteers were monitored for and queried about adverse events, defined as any untoward medical occurrences, regardless of their suspected cause. Vital signs were measured at least every 8 h during the inpatient phase and every 4 h if diarrhea developed. Clinical laboratory tests (including blood chemistry analysis, hematological testing, and urinalysis) were undertaken at screening and at the follow-up visit. The incidence of adverse events, as well as vital signs and clinical laboratory test results, were summarized with descriptive statistics, but no hypothesis testing was undertaken for these measures."</t>
  </si>
  <si>
    <t>Collected AE data, but only reported shigellosis signs/symptoms (extracted as AEs)</t>
  </si>
  <si>
    <t>Unclear (&gt;=6)</t>
  </si>
  <si>
    <t>Rifaximin, ciprofloxacin (treatment after challenge)</t>
  </si>
  <si>
    <t>"Healthy men and women ages 18–45 years old from the greater Baltimore metropolitan area were eligible to enroll in the study. Women could enroll only if they were not pregnant or lactating and if they either were not physiologically capable of bearing children or agreed to use effective contraception throughout the study. Exclusion criteria included the presence of a significant medical (including psychiatric) condition at screening; abnormal stool pattern or bowel habits (e.g., &lt;3 stools per week, &gt;2 stools per day, or frequent liquid/loose stools); vaccination against Shigella or Shigella challenge within 3 years before the study; travel to a country where Shigella infection is endemic within 2 years before the study; regular use of laxatives, antacids, or other agents to lower stomach acidity; and use of broad-spectrum antibiotics within 7 days before Shigella challenge or proton pump inhibitors or histamine2 receptor blockers within 24 h before the first dose of study medication in the current study"</t>
  </si>
  <si>
    <t>"All volunteers provided written informed consent." and "The protocol for this randomized, double-blind, placebo-controlled study (Salix Pharmaceuticals protocol RFID2001) was approved by the Committee on Human Research at the Johns Hopkins Bloomberg School of Public Health and by the Johns Hopkins University School of Medicine General Clinical Research Center inpatient research unit. Funding for this trial was provided under a clinical study agreement between Johns Hopkins Bloomberg School of Public Health (Baltimore, MD) and Salix Pharmaceuticals (Morrisville, NC). The trial was carried out in full compliance with good clinical practices guidelines."</t>
  </si>
  <si>
    <t>Taylor 2006</t>
  </si>
  <si>
    <t>Al-Tawfiq JA</t>
  </si>
  <si>
    <t>H. ducreyi 35000HP (human-passaged)</t>
  </si>
  <si>
    <t>https://pubmed.ncbi.nlm.nih.gov/9815220/</t>
  </si>
  <si>
    <t>"Infection is terminated when a subject develops a painful pustule." (Development of initial lesion/papule satisfies definition of infection)</t>
  </si>
  <si>
    <t>1 withdrew prior to inoculation;
1 excluded for taking ibuprofen</t>
  </si>
  <si>
    <t>20 challenged with target estimated delievered dose;
4 challenged with lower than target estimated delivered dose;
3 challenged with mixed culture (flagged as complications, note safety concern)</t>
  </si>
  <si>
    <t>At least 19 of 20 challenged with target dose became infected;
4/4 challenged with less than target dose became infected;
Unclear data for 3 challenged with mixed culture
(23 or 24 developed papules)</t>
  </si>
  <si>
    <t>"Three volunteers were inoculated with a mixed culture of H. ducreyi and Pseudomonas aeruginosa. The Pseudomonas isolate was sensitive to ciprofloxacin, and the EDD of the contaminants was 10 cfu. These volunteers developed disease typical of experimental chancroid. When the contamination was noted by subculturing the inoculum, the volunteers were treated with 2 doses of oral ciprofloxacin. Their lesions resolved, and the subjects were released from the study. All subjects were contacted 6 months after participation in the study. Two volunteers developed hypertrophic scars at the biopsy sites and were treated with intralesional injections of triamcinolone. The hypertrophic scars became flat after treatment."</t>
  </si>
  <si>
    <t>Ciprofloxacin</t>
  </si>
  <si>
    <t>"Healthy adult men and women volunteers (≥18 years old) were recruited for the study. Enrollment procedures and exclusion criteria were described in detail elsewhere [6, 7]."</t>
  </si>
  <si>
    <t>"Informed consent was obtained from the subjects for participation and for HIV serology in accordance with human experimentation guidelines of the US Department of Health and Human Services and of the Institutional Review Board of Indiana University–Purdue University at Indianapolis."</t>
  </si>
  <si>
    <t>Al-Tawfiq 1998</t>
  </si>
  <si>
    <t>Haemophilus ducreyi 35000HP</t>
  </si>
  <si>
    <t>https://pubmed.ncbi.nlm.nih.gov/10191238/</t>
  </si>
  <si>
    <t>"Subjects were infected and examined as described elsewhere [2–4] until they developed a painful or pruritic pustule, a pustule that was likely to ulcerate, or until disease resolved."</t>
  </si>
  <si>
    <t>"Enrollment procedures and exclusion criteria are described elsewhere [2–4]."</t>
  </si>
  <si>
    <t>"Informed consent was obtained from the subjects for participation and for HIV serology, in accordance with the human experimentation guidelines of the US Department of Health and Human Services and the Institutional Review Board of Indiana University–Purdue University at Indianapolis"</t>
  </si>
  <si>
    <t>Al-Tawfiq 1999</t>
  </si>
  <si>
    <t>Reinfection cohort</t>
  </si>
  <si>
    <t>"Subjects were infected and examined as described elsewhere [2–4] until they developed a painful or pruritic pustule, a pustule that was likely to ulcerate, or until disease resolved." (Development of initial lesion/papule satisfies definition of infection)</t>
  </si>
  <si>
    <t>Haemophilus ducreyi 35000HP or 35000HP-SMS1</t>
  </si>
  <si>
    <t>https://pubmed.ncbi.nlm.nih.gov/10720550/</t>
  </si>
  <si>
    <t>None given (Development of initial lesion/papule satisfies definition of infection)</t>
  </si>
  <si>
    <t>None given, but reports complications: "Two subjects developed hypertrophic scars at the biopsy sites and were treated with intralesional injections of triamcinolone. The scars became flat after treatment."</t>
  </si>
  <si>
    <t>"healthy women"</t>
  </si>
  <si>
    <t>"Informed consent was obtained from the subjects for participation and for HIV serology, in accordance with the human experimentation guidelines of the US Department of Health and Human Services and the institutional review board of Indiana University–Purdue University at Indianapolis."</t>
  </si>
  <si>
    <t>escalating dose–response study</t>
  </si>
  <si>
    <t>Al-Tawfiq 2000a</t>
  </si>
  <si>
    <t>Haemophilus ducreyi 35000 and FX504</t>
  </si>
  <si>
    <t>https://pubmed.ncbi.nlm.nih.gov/10720530/</t>
  </si>
  <si>
    <t>"infection is terminated at the pustular stage of disease" (Development of initial lesion/papule satisfies definition of infection)</t>
  </si>
  <si>
    <t>Ciprofloxacin, azithromycin</t>
  </si>
  <si>
    <t>"healthy adults" and "Details of enrollment procedures and exclusion criteria have been described elsewhere [10, 11]."</t>
  </si>
  <si>
    <t>"Informed consent was obtained from the subjects for participation and for human immunodeficiency virus serology, in accordance with the human experimentation guidelines of the US Department of Health and Human Services and the Institutional Review Board of Indiana University–Purdue University at Indianapolis."</t>
  </si>
  <si>
    <t>double-blinded, escalating dose–response study</t>
  </si>
  <si>
    <t>Al-Tawfiq 2000b</t>
  </si>
  <si>
    <t>Banks KE</t>
  </si>
  <si>
    <t>Haemophilus ducreyi 35000HP and 35000HPwecA</t>
  </si>
  <si>
    <t>https://pubmed.ncbi.nlm.nih.gov/18422457/</t>
  </si>
  <si>
    <t>"Healthy adult male and female volunteers &gt;21 years of age were recruited for the study."</t>
  </si>
  <si>
    <t>"Subjects provided informed consent for participation and for HIV serology, in accordance with the human-experimentation guidelines of the US Department of Health and Human Services and the Institutional Review Board of Indiana University–Purdue University of Indianapolis."</t>
  </si>
  <si>
    <t>Banks 2008</t>
  </si>
  <si>
    <t>Bauer ME</t>
  </si>
  <si>
    <t>Haemophilus ducreyi 35000HP and 35000HPfgbA</t>
  </si>
  <si>
    <t>https://pubmed.ncbi.nlm.nih.gov/19199547/</t>
  </si>
  <si>
    <t>"healthy volunteers"</t>
  </si>
  <si>
    <t>"Subjects gave informed consent for participation and HIV serology, in accordance with the human experimentation guidelines of the US Department of Health and Human Services and the Institutional Review Board of Indiana University–Purdue University of Indianapolis. "</t>
  </si>
  <si>
    <t>Bauer 2009</t>
  </si>
  <si>
    <t>Bong CTH</t>
  </si>
  <si>
    <t>Haemophilus ducreyi 35000 and FX517</t>
  </si>
  <si>
    <t>https://pubmed.ncbi.nlm.nih.gov/11179317/</t>
  </si>
  <si>
    <t>"Subjects were observed until they reached a clinical endpoint, defined as either 14 days after inoculation, development of a painful pustule, or resolution of infection at all sites." (Development of initial lesion/papule satisfies definition of infection)</t>
  </si>
  <si>
    <t>1 subject withdrew prior to challenge</t>
  </si>
  <si>
    <t>"Healthy adult male and female volunteers over 18 years of age were recruited for the study."</t>
  </si>
  <si>
    <t>"Informed consent was obtained from the subjects for participation and for HIV serology, in accordance with the human experimentation guidelines of the U.S. Department of Health and Hu- man Services and the Institutional Review Board of Indiana University–Purdue University Indianapolis."</t>
  </si>
  <si>
    <t>Bong 2001</t>
  </si>
  <si>
    <t>Haemophilus ducreyi 35000HP and 35000HP-sodC-cat</t>
  </si>
  <si>
    <t>https://pubmed.ncbi.nlm.nih.gov/11854222/</t>
  </si>
  <si>
    <t>"Subjects were observed until they reached a clinical end point, defined as either the development of a painful pustule 14 days after inoculation or the resolution of infection at all sites." (Development of initial lesion/papule satisfies definition of infection)</t>
  </si>
  <si>
    <t>"Informed consent was obtained from the subjects for participation and for HIV serology, in accordance with the human experimentation guidelines of the U.S. Department of Health and Human Services and the Institutional Review Board of Indiana University-Purdue University, Indianapolis."</t>
  </si>
  <si>
    <t>Bong 2002b</t>
  </si>
  <si>
    <t>Fortney KR</t>
  </si>
  <si>
    <t>Haemophilus ducreyi 35000HP and 35000HP-SMS4</t>
  </si>
  <si>
    <t>https://pubmed.ncbi.nlm.nih.gov/11035757/</t>
  </si>
  <si>
    <t>3 challenged with contaminated culture and excluded from analysis (reported under complications, note safety concern)</t>
  </si>
  <si>
    <t>"Three volunteers were excluded from the analysis because they were inadvertently inoculated with a culture that was contaminated with Candida parapsilosis. The EDD of the contaminant was &lt;1 CFU, and the EDD of H. ducreyi was 57 CFU. Within 24 h of inoculation, the volunteers developed a disease typical of experimental chancroid. When the low level of contamination was noted on subculture, the volunteers were treated with two doses of oral ciprofloxacin. Their lesions resolved, and the subjects were released from the study."</t>
  </si>
  <si>
    <t>"Informed consent was obtained from the subjects for participation in the study and for performance of HIV serological analyses, in accordance with the human experimentation guidelines of the U.S. Department of Health and Human Services and the Institutional Review Board of Indiana University-Purdue University Indianapolis."</t>
  </si>
  <si>
    <t>escalating dose-response study</t>
  </si>
  <si>
    <t>Fortney 2000</t>
  </si>
  <si>
    <t>Fulcher RA</t>
  </si>
  <si>
    <t>Haemophilus ducreyi 35000HP and 35000HPncaA</t>
  </si>
  <si>
    <t>https://pubmed.ncbi.nlm.nih.gov/16622201/</t>
  </si>
  <si>
    <t>"Subjects were observed until they reached a clinical end point, defined as either 14 days after inoculation, development of a pustule that was either painful or greater than 4 mm in diameter, or resolution of infection at all sites." (Development of initial lesion/papule satisfies definition of infection)</t>
  </si>
  <si>
    <t>"Subjects gave informed consent for participation and for HIV serology, in accordance with the human experimentation guidelines of the U.S. Department of Health and Human Services and the Institutional Review Board of Indiana University-Purdue University of Indianapolis."</t>
  </si>
  <si>
    <t>Fulcher 2006</t>
  </si>
  <si>
    <t>Humphreys TL</t>
  </si>
  <si>
    <t>https://pubmed.ncbi.nlm.nih.gov/12444138/</t>
  </si>
  <si>
    <t>Not clearly reported, but can reasonably be assumed that all participants were infected</t>
  </si>
  <si>
    <t>"Informed consent was obtained from the subjects in accordance with the guidelines for human experimentation of the U.S. Department of Health and Human Services and the Institutional Review Board of Indiana University-Purdue University (Indianapolis, IN)."</t>
  </si>
  <si>
    <t>Humphreys 2002</t>
  </si>
  <si>
    <t>https://pubmed.ncbi.nlm.nih.gov/17893130/</t>
  </si>
  <si>
    <t>All participants were previously infected twice</t>
  </si>
  <si>
    <t>"form papules (become infected)" (Development of initial lesion/papule satisfies definition of infection)</t>
  </si>
  <si>
    <t>1 subject excluded due to underlying illness;
1 withdrew</t>
  </si>
  <si>
    <t>"Informed consent was obtained from the subjects for human immunodeficiency virus type 1 serology and participation in accordance with the guidelines for human experimentation of the U.S. Department of Health and Human Services and the Institutional Review Board of Indiana University-Purdue University at Indianapolis."</t>
  </si>
  <si>
    <t>Humphreys 2007</t>
  </si>
  <si>
    <t>Haemophilus ducreyi 35000HP and 35000HPΩ12</t>
  </si>
  <si>
    <t>https://pubmed.ncbi.nlm.nih.gov/15271912/</t>
  </si>
  <si>
    <t>"Volunteers were observed until they reached a clinical end point, defined as either 14 days after inoculation, development of a pustule that was either painful or greater than 4 mm in diameter, or resolution of infection at all sites." (Development of initial lesion/papule satisfies definition of infection)</t>
  </si>
  <si>
    <t>"Healthy adult male and female volunteers over the age of 18 years were recruited for the study."</t>
  </si>
  <si>
    <t>"Volunteers gave informed consent for participation and for human immunodeficiency virus serology, in accordance with the human experimentation guidelines of the U.S. Department of Health and Human Services and the Institutional Review Board of Indiana University– Purdue University of Indianapolis."</t>
  </si>
  <si>
    <t>Janowicz 2004</t>
  </si>
  <si>
    <t>Haemophilus ducreyi 35000HP and FX533</t>
  </si>
  <si>
    <t>https://pubmed.ncbi.nlm.nih.gov/16428791/</t>
  </si>
  <si>
    <t>"Subjects were observed until they reached a clinical end point, defined as either 14 days after inoculation, development of a pustule that was either painful or &gt;6 mm in diameter, or resolution of infection at all sites." (Development of initial lesion/papule satisfies definition of infection)</t>
  </si>
  <si>
    <t>1 subject failed to meet entry criteria;
1 subject withdrew prior to challenge</t>
  </si>
  <si>
    <t>"Subjects gave informed consent for participation and for human immunodeficiency virus (HIV) serology, in accordance with the human experimentation guidelines of the U.S. De- partment of Health and Human Services and the Institutional Review Board of Indiana University-Purdue University of Indianapolis."</t>
  </si>
  <si>
    <t>Janowicz 2006a</t>
  </si>
  <si>
    <t>Haemophilus ducreyi 35000HP and 35000HP::P2AB</t>
  </si>
  <si>
    <t>https://pubmed.ncbi.nlm.nih.gov/16426809/</t>
  </si>
  <si>
    <t>"Subjects were observed until they reached a clinical endpoint, defined as either 14 days after inoculation, development of a pustule that was either painful or greater than 6 mm in diameter, or resolution of infection at all sites." (Development of initial lesion/papule satisfies definition of infection)</t>
  </si>
  <si>
    <t>"Subjects gave informed consent for participation and HIV serology, in accordance with the human experimentation guidelines of the US Department of Health and Human Services and the Institutional Review Board of Indiana University–Purdue University of Indianapolis"</t>
  </si>
  <si>
    <t>Janowicz 2006b</t>
  </si>
  <si>
    <t>https://pubmed.ncbi.nlm.nih.gov/17436224/</t>
  </si>
  <si>
    <t>Subjects were asymptomatic HIV-infected adults</t>
  </si>
  <si>
    <t>"At the clinical end point—defined as the development of a painful pustule, resolution of disease at all sites, or day 14 of infection—up to 3 sites with active disease and 1 site of uninfected skin were biopsied with punch forceps." (Development of initial lesion/papule satisfies definition of infection)</t>
  </si>
  <si>
    <t>"Of the 13 subjects, 2 were excluded because their CD4+ cell counts were &lt;350 cells/mL at enrollment."</t>
  </si>
  <si>
    <t>1 subject excluded after challenge</t>
  </si>
  <si>
    <t>"All subjects gave informed consent for participation and for HIV serological analysis, in accordance with the human experimentation guidelines of the US Department of Health and Human Services and the Institutional Review Board of Indiana University–Purdue University of Indianapolis."</t>
  </si>
  <si>
    <t>Janowicz 2007</t>
  </si>
  <si>
    <t>Leduc I</t>
  </si>
  <si>
    <t>Haemophilus ducreyi 35000HP and FX527</t>
  </si>
  <si>
    <t>https://pubmed.ncbi.nlm.nih.gov/18462159/</t>
  </si>
  <si>
    <t>"Subjects gave informed consent for participation and for HIV serology, according to the human experimentation guidelines of the US Department of Health and Human Services and the Institutional Review Board of Indiana University–Purdue University of Indianapolis."</t>
  </si>
  <si>
    <t>Leduc 2008</t>
  </si>
  <si>
    <t>Palmer KL</t>
  </si>
  <si>
    <t>Haemophilus ducreyi 35000HP and 35000HP-RSM1</t>
  </si>
  <si>
    <t>https://pubmed.ncbi.nlm.nih.gov/9652440/</t>
  </si>
  <si>
    <t>"subjects were observed until they achieved the clinical end point of infection, defined as the development of local soreness, pruritus, or a pustule that was &gt;4 mm in diameter or had an umbilicated center." (Development of initial lesion/papule satisfies definition of infection)</t>
  </si>
  <si>
    <t>None given, but reports complications: "One subject developed hypertrophic scars at both sites that were biopsied. The scars were injected with triamcinolone and became flat."</t>
  </si>
  <si>
    <t>Subjects "with no history of chancroid were recruited for this study. The following exclusion criteria were used: pregnancy; current treatment with antibiotics or immunosuppressive drugs; a history of chancroid, HIV seropositivity, or risk factors for HIV infection; evidence of skin disease or history of keloid formation; and allergies to lidocaine or ciprofloxacin."</t>
  </si>
  <si>
    <t>"Informed consent was obtained from the subjects for participation and for HIV serology, in accordance with the human experimentation guidelines of the US Department of Health and Human Services and the Institutional Review Board of Indiana University-Purdue University at Indianapolis."</t>
  </si>
  <si>
    <t>Palmer 1998b</t>
  </si>
  <si>
    <t>Spinola SM</t>
  </si>
  <si>
    <t>Haemophilus ducreyi 35000</t>
  </si>
  <si>
    <t>https://pubmed.ncbi.nlm.nih.gov/8169411/</t>
  </si>
  <si>
    <t>None given, but "None had fever, chills, myalgias, lymphadenopathy, or disseminated infection"</t>
  </si>
  <si>
    <t>"A history was taken and physical examination and HIV serology were done before enrollment. We excluded those with risk factors for HIV infection or positive HIV serology, known immunodeficiency diseases, therapy with immunosuppressive medications, skin disease, a history of keloid formation, allergies to study medications, and women who were pregnant."</t>
  </si>
  <si>
    <t>"Informed consent was obtained from subjects for participation and for HIV serology, in accordance with the human experimentation guidelines of the US Department of Health and Human Services and the Institutional Review Board of the School of Medicine and Biological Sciences, State University of New York at Buffalo."</t>
  </si>
  <si>
    <t>Spinola 1994</t>
  </si>
  <si>
    <t>Reinfection phase</t>
  </si>
  <si>
    <t>Haemophilus ducreyi 35000HP and 35000HP.400</t>
  </si>
  <si>
    <t>https://pubmed.ncbi.nlm.nih.gov/14638812/</t>
  </si>
  <si>
    <t>"Healthy adult male and female volunteers over 18 years old were recruited for the study."</t>
  </si>
  <si>
    <t>"Informed consent was obtained from the subjects for participation and for human immunodeficiency virus serology, in accordance with the human experimentation guidelines of the U.S. Department of Health and Human Services and the Institutional Review Board of Indiana University-Purdue University Indianapolis."</t>
  </si>
  <si>
    <t>escalating dose response study</t>
  </si>
  <si>
    <t>Spinola 2003b</t>
  </si>
  <si>
    <t>Thornton AC</t>
  </si>
  <si>
    <t>https://pubmed.ncbi.nlm.nih.gov/9607840/</t>
  </si>
  <si>
    <t>19 (18)</t>
  </si>
  <si>
    <t>No demographic data for one subject removed from analyses</t>
  </si>
  <si>
    <t>"In 24 h, all subjects developed erythematous papules at sites inoculated with live bacteria, and no lesions occurred at sites inoculated with heat-killed bacteria. Thus, all subjects were susceptible to infection." (Development of initial lesion/papule satisfies definition of infection)</t>
  </si>
  <si>
    <t>1 removed from analyses on day 7; all participants developed papules within 24 hours</t>
  </si>
  <si>
    <t>Azithromycin or ciprofloxacin</t>
  </si>
  <si>
    <t>"Adult men and women were eligible for the study if they were healthy as determined on the basis of history, physical examination, and results of HIV serology. We excluded persons with risk factors for HIV infection or positive HIV serology, previous history of chancroid, immunodeficiency disease, therapy with immunosuppressive medications, skin disease, a history of keloid formation, or allergies to study medications; women who were pregnant; and persons who had taken any antibiotic within 1 month of enrollment or azithromycin within 3 months of enrollment or who were currently using any drug that interacts with the study medications."</t>
  </si>
  <si>
    <t>"Informed consent was obtained from the subjects for participation and for human immunodeficiency virus serology in accordance with the human experi- mentation guidelines of the US Department of Health and Human Services and the Institutional Review Board of Indiana University–Purdue University Indianapolis."</t>
  </si>
  <si>
    <t>Randomized, Controlled</t>
  </si>
  <si>
    <t>Thornton 1998</t>
  </si>
  <si>
    <t>"Subjects were reinoculated with H. ducreyi on the opposite arm on a weekly basis until they developed recurrent disease." (Development of initial lesion/papule satisfies definition of infection)</t>
  </si>
  <si>
    <t>9 treated with ciproflaxcin;
9 treated with azithromycin</t>
  </si>
  <si>
    <t>"Subjects were reinoculated with H. ducreyi on the opposite arm on a weekly basis until they developed recurrent disease." and "One subject who did not develop disease by day 42 withdrew. We considered her to be protected from disease for 6 weeks."</t>
  </si>
  <si>
    <t>None given, but "Three of the 9 azithromycin-treated and 2 of 9 ciprofloxacin- treated subjects reported mild gastrointestinal discomfort that resolved within 12 – 24 h after drug ingestion. One subject treated with ciprofloxacin and 1 treated with azithromycin developed hypertrophic scars at their biopsy sites. Both subjects were treated with local steroid injections, and the scars have flattened."</t>
  </si>
  <si>
    <t>Throm RE</t>
  </si>
  <si>
    <t>Haemophilus ducreyi 35000HP and 35000HP-SMS2</t>
  </si>
  <si>
    <t>https://pubmed.ncbi.nlm.nih.gov/10768950/</t>
  </si>
  <si>
    <t>1 subject withdrew on day of inoculation</t>
  </si>
  <si>
    <t>"healthy adult" and "Enrollment procedures and exclusion criteria are described elsewhere in detail (3, 32)."</t>
  </si>
  <si>
    <t>"Informed consent was obtained from the subjects for participation and for human immunodeficiency virus serology, in accordance with the human experimentation guidelines of the U.S. Department of Health and Human Services and the Institutional Review Board of Indiana University- Purdue University at Indianapolis."</t>
  </si>
  <si>
    <t>Throm 2000</t>
  </si>
  <si>
    <t>Young RS</t>
  </si>
  <si>
    <t>Haemophilus ducreyi 35000HP and 35000HP-RSM2</t>
  </si>
  <si>
    <t>https://pubmed.ncbi.nlm.nih.gov/10569746/</t>
  </si>
  <si>
    <t>"Subjects were observed until they reached a clinical endpoint, defined as either 14 days after inoculation, the development of a painful pustule, or the resolution of infection at all sites." (Development of initial lesion/papule satisfies definition of infection)</t>
  </si>
  <si>
    <t>"One female subject was excluded because she developed sinusitis and needed to take an antibiotic. A second female subject withdrew prior to inoculation."</t>
  </si>
  <si>
    <t>"Healthy adult male and female volunteers over 18 years of age were recruited for the study"</t>
  </si>
  <si>
    <t>"Informed consent was obtained from the subjects for participation and for human immunodeficiency virus serology."</t>
  </si>
  <si>
    <t>double-blinded, escalating-dose-response study</t>
  </si>
  <si>
    <t>Young 1999</t>
  </si>
  <si>
    <t>Haemophilus ducreyi 35000HP and 35000HP-RSM203</t>
  </si>
  <si>
    <t>3 subjects withdrew prior to challenge</t>
  </si>
  <si>
    <t>Haemophilus ducreyi 35000HP and 35000HPglu-</t>
  </si>
  <si>
    <t>https://pubmed.ncbi.nlm.nih.gov/11349097/</t>
  </si>
  <si>
    <t>"Subjects were observed until they reached a clinical end point, defined as either development of a painful pustule, resolution of infection at all sites, or 14 days after inoculation." (Development of initial lesion/papule satisfies definition of infection)</t>
  </si>
  <si>
    <t>"Two subjects withdrew on the day of inoculation."</t>
  </si>
  <si>
    <t>"Adult volunteers in good health and over 18 years of age were recruited for the study."</t>
  </si>
  <si>
    <t>"In accordance with the human experimentation guidelines of the Institutional Review Board of Indiana University Purdue University Indianapolis and the U.S. Department of Health and Human Services, informed consent was obtained from the subjects for participation in the study and for human immunodeficiency virus serology."</t>
  </si>
  <si>
    <t>double- blinded, escalating dose-response study</t>
  </si>
  <si>
    <t>Young 2001a</t>
  </si>
  <si>
    <t>Haemophilus ducreyi 35000 and 35000.303</t>
  </si>
  <si>
    <t>https://pubmed.ncbi.nlm.nih.gov/11179379/</t>
  </si>
  <si>
    <t>"Informed consent was obtained from the subjects for participation and for human immunodeficiency virus serology, in accordance with the human experimentation guidelines of the Institutional Review Board of Indiana University Purdue University Indianapolis and the U.S. Department of Health and Human Services."</t>
  </si>
  <si>
    <t>double-blinded, escalating dose-response study</t>
  </si>
  <si>
    <t>Young 2001b</t>
  </si>
  <si>
    <t>Haemophilus ducreyi 35000 and 35000.304</t>
  </si>
  <si>
    <t>"Two subjects (151 and 156) withdrew on the day of inoculation. Another subject (178) was excluded because he took azithromycin just prior to enrollment in the study."</t>
  </si>
  <si>
    <t>McCall MBB</t>
  </si>
  <si>
    <t>P. falciparum (infected mosquitoes carrying the NF54, NF135.C10, or NF166.C8 isolates)</t>
  </si>
  <si>
    <t>https://pubmed.ncbi.nlm.nih.gov/28637923/</t>
  </si>
  <si>
    <t>Median given for each of three groups, but not overall</t>
  </si>
  <si>
    <t>Thick-smear positive for patent parasitemia</t>
  </si>
  <si>
    <t>"All subjects developed patent parasitemia"</t>
  </si>
  <si>
    <t>"Solicited and unsolicited adverse events and vital parameters were recorded at each visit and venous whole blood was drawn for thick blood smear, qPCR (see below), safety parameters, and exploratory assays. Adverse events were graded as mild (not interfering with), moderate (interfering with), or severe (prohibiting daily activities). Respective grading of fever was 37.5° to 38.0°C, 38.0° to 39.0°C, and &gt;39.0C°. Adverse events were recorded by clinical investigators as being probably, possibly, or unlikely related to study procedures."</t>
  </si>
  <si>
    <t>"No serious adverse events (SAEs) occurred"</t>
  </si>
  <si>
    <t>atovaquone-proguanil</t>
  </si>
  <si>
    <t>"Healthy malaria-naïve adult (age 18 to 35 years) Dutch volunteers were recruited at the Harbour Hospital, Rotterdam, after signing informed consent. Our screening procedures have been described previously (19), and a complete list of inclusion/exclusion criteria is provided in table S5."</t>
  </si>
  <si>
    <t>"These studies were approved by Netherlands’ CCMO (NL41004.078.12 and NL48704.000.14)." and "These studies are registered with ClinicalTrials.gov with registration numbers NCT01627951 (29) and NCT02149550 (30)"</t>
  </si>
  <si>
    <t>van Wolswinkel 2017</t>
  </si>
  <si>
    <t>McCall 2017</t>
  </si>
  <si>
    <t>P. falciparum NF54 strain (infected mosquito bites)</t>
  </si>
  <si>
    <t>https://pubmed.ncbi.nlm.nih.gov/25396417/</t>
  </si>
  <si>
    <t>NCT01422954</t>
  </si>
  <si>
    <t>https://clinicaltrials.gov/ct2/show/NCT01422954</t>
  </si>
  <si>
    <t>"Blood was sampled twice daily from day 5 until day 15 and once daily from day 16 up until day 21 after challenge and thick smears were prepared and read as described previously [9]. In short, approximately 0.5 ml of blood were assessed by microscopy and the smear was considered positive if two unambiguous parasites were seen"</t>
  </si>
  <si>
    <t>5 received chloroquine prophylaxis;
10 received mefloquine prophylaxis</t>
  </si>
  <si>
    <t>"Thick blood smears performed from day 6 up until day 10 after each immunization remained negative in all volunteers"</t>
  </si>
  <si>
    <t>Received uninfected mosquito bites and mefloquine prophylaxis</t>
  </si>
  <si>
    <t>"Adverse events (AEs) were recorded as following: mild events (easily tolerated), moderate events (interfering with normal activity), or severe events (preventing normal activity)."</t>
  </si>
  <si>
    <t>Chloroquine, mefloquine</t>
  </si>
  <si>
    <t>"Healthy subjects between 18 and 35 years old with no history of malaria were screened for eligibility based on medical and family history, physical examination and standard hematological and biochemical measurements. Urine toxicology screening was negative in all included subjects; none of the subjects were pregnant or lactating. Serological analysis for HIV, hepatitis B, hepatitis C and P. falciparum asexual blood-stages was negative in all subjects. All subjects had an estimated 10-year risk smaller than 5% of developing a cardiac event as estimated by the Systematic Coronary Evaluation System adjusted for the Dutch population [19]. None of the subjects had travelled to a malaria-endemic area during or within 6 months prior to the start of the study."</t>
  </si>
  <si>
    <t>"All subjects provided written informed consent before screening. The Central Committee for Research Involving Human Subjects of The Netherlands approved the study (NL 37563.058.11). Investigators complied with the Declaration of Helsinki and Good Clinical Practice including monitoring of data. This trial is registered at ClinicalTrials.gov, identifier NCT01422954."</t>
  </si>
  <si>
    <t>double blind randomized controlled clinical trial</t>
  </si>
  <si>
    <t>Walk 2016</t>
  </si>
  <si>
    <t>Bijker 2014b</t>
  </si>
  <si>
    <t>15 previously immunized</t>
  </si>
  <si>
    <t>5/15 previously immunized became infected</t>
  </si>
  <si>
    <t>No AEs reported for challenge</t>
  </si>
  <si>
    <t>Atovaquone and proguanil (treatment after challenge)</t>
  </si>
  <si>
    <t>https://pubmed.ncbi.nlm.nih.gov/21514658/</t>
  </si>
  <si>
    <t>NCT00757887</t>
  </si>
  <si>
    <t>https://clinicaltrials.gov/ct2/show/NCT00757887?term=NCT00757887&amp;draw=2&amp;rank=1</t>
  </si>
  <si>
    <t>Rechallenged cohort (previously immunized as well)</t>
  </si>
  <si>
    <t>ND (21 overall)</t>
  </si>
  <si>
    <t>ND (28 overall)</t>
  </si>
  <si>
    <t>ND (23.6 overall)</t>
  </si>
  <si>
    <t>Parasitaemia detected by thick smear or rtPCR</t>
  </si>
  <si>
    <t>"All signs and symptoms (solicited and unsolicited) were recorded and graded by the attending physician as mild (easily tolerated), moderate (interferes with normal activity), or severe (prevents normal activity), or grade 1 (&gt;37·5–38·0°C), grade 2 (&gt;38·0–39·0°C), or grade 3 (&gt;39·0°C) in cases of fever."</t>
  </si>
  <si>
    <t>"Newly recruited malaria-naive volunteers aged 18–35 years were screened for eligibility for inclusion in the control group based on medical and family history, physical examination, and general haematological and biochemical screening including HIV, hepatitis B, and hepatitis C serology, urine toxicology screening, and a pregnancy test. The main exclusion criteria were residence in a malaria-endemic region within the previous 6 months, positive P falciparum serology (all volunteers were tested in accordance with procedures described by Bousema and colleagues11), or an estimated 10-year risk greater than 5% of developing a cardiac event as estimated by the systematic coronary evaluation system."</t>
  </si>
  <si>
    <t>"All volunteers gave written informed consent before inclusion. The trial was done in accordance with good clinical practice and approved by the Central Committee for Research Involving Human Subjects of The Netherlands (CCMO NL24193.091.09)."</t>
  </si>
  <si>
    <t>open-label follow-up study</t>
  </si>
  <si>
    <t>Roestenberg 2011</t>
  </si>
  <si>
    <t>Ballou WR</t>
  </si>
  <si>
    <t>https://pubmed.ncbi.nlm.nih.gov/2884410/</t>
  </si>
  <si>
    <t>6 previously immunized</t>
  </si>
  <si>
    <t>"Parasitaemia did not develop in the volunteer with the highest titre of CS antibodies, and parasitaemia was delayed in two other immunised volunteers."</t>
  </si>
  <si>
    <t>None given, but "No serious adverse reactions occurred." (unclear if referring to vaccination phase, challenge phase, or both)</t>
  </si>
  <si>
    <t>"No serious adverse reactions occurred."</t>
  </si>
  <si>
    <t>Chloroquine (treatment for infected volunteers)</t>
  </si>
  <si>
    <t>"Healthy men aged 22-50 years underwent baseline physical and laboratory examination including complete blood count, serum chemistry (blood urea nitrogen, creatinine, alanine and aspartate aminotransferases ,and bilirubin),antibodies to both sporozoite and blood-stage parasites of P falciparum, antibodies to human immunodeficiency virus (HIV), and routine urinalysis. Volunteers were excluded if they gave a history of malaria; had evidence of cardiac, haematological, renal, hepatic, or immunological illness; were taking immunosuppressive medication; or had pre-existing antibodies to blood-stage P falciparum parasites by immunofluorescent assay or to R32tet32 by enzyme-linked immunosorbent assay (ELISA)."</t>
  </si>
  <si>
    <t>"Volunteers were recruited under protocols approved by an institutional human use review committee." and "Fifteen volunteers meeting the enrolment criteria gave informed consent and entered the phase I study. Two volunteers consented to serve as non-immunised controls for the challenge part of the study."</t>
  </si>
  <si>
    <t>Church 1997</t>
  </si>
  <si>
    <t>Ballou 1987</t>
  </si>
  <si>
    <t>Egan JE</t>
  </si>
  <si>
    <t>P. falciparum 3D7 clone (infected mosquito bites)</t>
  </si>
  <si>
    <t>https://pubmed.ncbi.nlm.nih.gov/8357078/</t>
  </si>
  <si>
    <t>"All challenged individuals had thick blood smear examinations everyday beginning day 5 postchallenge. Anti-malarial therapy was initiated when parasites were first seen on a thick blood smear, typically when parasites reached a concentration of 1-2 parasites per 10 µL of whole blood."</t>
  </si>
  <si>
    <t>4 previously immunized (irradiated infected mosquito bites)</t>
  </si>
  <si>
    <t>3/4 previously immunized became infected</t>
  </si>
  <si>
    <t>"Healthy adult males, 18-50years of age, provided a medical history and underwent a physical examination, with routine laboratory tests, and P. falciparum sporozoite antibody screening as measured by an enzyme-linked immunosorbent assay (ELISA). All tests were performed within the two weeks before the start of immunization. Volunteers for immunization were excluded if they had been in a malarious area during the 12 months prior to the start of the study, had been exposed to P. falciparum as determined by their medical history or positive P. falciparum sporozoite antibody test results, had undergone a splenectomy, had reported any cardiovascular, hepatic, renal, or immunologic illness, or were taking any immunosuppressive medications."</t>
  </si>
  <si>
    <t>"Volunteers were recruited under a protocol approved by the Human Subjects Research Review Board of the Army Surgeon General."</t>
  </si>
  <si>
    <t>Egan 1993</t>
  </si>
  <si>
    <t>P. falciparum 7G8 clone (infected mosquito bites)</t>
  </si>
  <si>
    <t>Heterologous challenge (naive)</t>
  </si>
  <si>
    <t>Mefloquine (treatment for infected volunteers)</t>
  </si>
  <si>
    <t>P. falciparum 3D7 clone or 7G8 clone (infected mosquito bites)</t>
  </si>
  <si>
    <t>Summed data for both challenges (not rechallenged participants)</t>
  </si>
  <si>
    <t>Heterologous challenge (rechallenge)</t>
  </si>
  <si>
    <t>Both previously challenged and immunized twice</t>
  </si>
  <si>
    <t>Fries LF</t>
  </si>
  <si>
    <t>https://pubmed.ncbi.nlm.nih.gov/1563771/</t>
  </si>
  <si>
    <t>Challenge study (3 cohorts combined)</t>
  </si>
  <si>
    <t>Patent malaria infection detected by thick blood smear</t>
  </si>
  <si>
    <t>2 volunteers withdrawn/excluded prior to challenge</t>
  </si>
  <si>
    <t>6/10 previously vaccinated became infected</t>
  </si>
  <si>
    <t>R32Tox A (vaccine) and chloroquine (treatment for infected volunteers)</t>
  </si>
  <si>
    <t>"Healthy men and women between the ages of 18 and 50 years" and "volunteers underwent baseline evaluations which included a medical history (with special attention to any previous history of malaria or splenectomy), physical examination, and routine standard laboratory tests consisting of a complete blood count, serum chemistry tests, urinalysis, and serological evaluation to exclude acute or chronic hepatitis B virus or human immunodeficiency virus type 1 infection. Volunteers were excluded from participation if they had been in a malarious area within 1 year before the start of the study; previously had malaria; had a splenectomy; had any evidence of cardiovascular, hepatic, renal, or immunologic dysfunction; or were taking any immunosuppressive medications. Hemoglobinopathy screens were performed to rule out the sickle cell trait"</t>
  </si>
  <si>
    <t>Volunteers "were recruited from the local community under a protocol approved by the Johns Hopkins Joint Committee on Clinical Investigation and the ArmySurgeon General's Human Subjects Research Review Board" and provided "written, informed consent"</t>
  </si>
  <si>
    <t>Fries 1992</t>
  </si>
  <si>
    <t>Previousy vaccinated and challenged</t>
  </si>
  <si>
    <t>Gordon DM</t>
  </si>
  <si>
    <t>https://pubmed.ncbi.nlm.nih.gov/7769295/</t>
  </si>
  <si>
    <t>RTS,S/alum cohort</t>
  </si>
  <si>
    <t>Patent malaria infection</t>
  </si>
  <si>
    <t>6 previously vaccinated</t>
  </si>
  <si>
    <t>6/6 previously vaccinated became infected</t>
  </si>
  <si>
    <t>RTS,S/alum vaccine and mefloquine (treatment for infected volunteers)</t>
  </si>
  <si>
    <t>"Malaria-naive volunteers aged 18-40 years provided medical histories and underwent physical examination. Special attention was given to the cardiac and renal systems, history of splenectomy, recent antibiotic use, and allergies to antimalarial drugs. All had routine standard laboratory tests, including complete blood cell counts, serum biochemistries (determination of blood urea nitrogen, creatinine, alanine and aspartate aminotransferase, and bilirubin levels), urinalysis, and serologic studies to characterize hepatitis B and C status and to exclude human immunodeficiency virus infection. Volunteers were excluded from study participation if they had undergone splenectomy, had any significant cardiovascular, hepatic, or renal functional abnormalities, were allergic to any antimalarial drugs, were immunodeficient by history or laboratory examination, or had any other findings that would increase the risk ofan adverse outcome should malaria develop during the challenge portion of the study."</t>
  </si>
  <si>
    <t>"Volunteers were recruited according to US Army regulations (USAMRDC Reg 70-25. Use of Volunteers as Subjects of Research) under a protocol approved by the participating institutions' scientific and human use review committees. Written informed consent was obtained from all volunteers before study entry."</t>
  </si>
  <si>
    <t>Gordon 1995</t>
  </si>
  <si>
    <t>RTS,S/alum/MPL cohort</t>
  </si>
  <si>
    <t>RTS,S/alum/MPL vaccine and mefloquine (treatment for infected volunteers)</t>
  </si>
  <si>
    <t>RTS,S/alum vaccine or RTS,S/alum/MPL, and mefloquine (treatment for infected volunteers)</t>
  </si>
  <si>
    <t>Rickman LS</t>
  </si>
  <si>
    <t>P. falciparum (3D7 clone of NF54 strain)</t>
  </si>
  <si>
    <t>https://pubmed.ncbi.nlm.nih.gov/2240371/</t>
  </si>
  <si>
    <t>Parasitemia detected by thick blood film</t>
  </si>
  <si>
    <t>None given, but "All volunteers who developed parasitemia also developed fever, chills, and myalgias"</t>
  </si>
  <si>
    <t>No AE data; reports symptoms of volunteers who developed parasitemia</t>
  </si>
  <si>
    <t>No SAEs mentioned in text. 1 subject "was hospitalized overnight and was treated only with acetaminophen in addition to chloroquine."</t>
  </si>
  <si>
    <t>Chloroquine and acetaminophen (treatment for infected volunteers)</t>
  </si>
  <si>
    <t>"None of the volunteers had cardiovascular, liver, or renal function abnormalities, was taking immuno-suppressive or antimalarial medications, had been infected with malaria, had antibodies to malaria sporozoites, blood stage parasites, or human imniunodeficiency virus, or had hepatitis B surface antigenemia."</t>
  </si>
  <si>
    <t>"The protocol was approved by institutional review committees at NMRI and NNMC, and written informed consent was obtained from each volunteer."</t>
  </si>
  <si>
    <t>Rickman 1990</t>
  </si>
  <si>
    <t>Shmuklarsky MJ</t>
  </si>
  <si>
    <t>https://pubmed.ncbi.nlm.nih.gov/8291822/</t>
  </si>
  <si>
    <t>"Giemsa-stained malaria smears were prepared daily from day 5 to day 15 after expoure and at least once weekly for 2 months. Thick and thin malaria smears were examined by two of the investigators. When present, parasitemia was quantified on a thick smear by the method of Earle and Perez"</t>
  </si>
  <si>
    <t>12 treated with doxycycline before and after challenge;
4 placebo recipients;
2 excluded from analysis</t>
  </si>
  <si>
    <t>4/12 treated with doxycycline became infected</t>
  </si>
  <si>
    <t>"The screening evaluation included a baseline medical history, physical examination, electrocardiogram, and chest roentgenogram. Exclusion criteria included a history of malaria; splenectomy; allergy to doxycyline, tetracycline, or chloroquine; abnormal results of a complete blood count or tests for aspartate aminotransferase, alanine aminotransferase, bilirubin, lactic dehydrogenase, alkaline phosphatase, blood urea nitrogen, or creatinine; hematuria or proteinuria; glucose-6-phosphate-dehydrogenase deficiency; antibody to hepatitis B surface antigen; or antibody to human immunodeficiency virus." and "The study was designed to minimize the number of volunteers that might develop malaria. The number enrolled was based on the presumption that doxycycline protection rate would exceed 90% when administered as a causal prophylactic agent. Such a level of efficacy would have justified, in our opinion, changing the current CDC recommendation for terminal prophylactic therapy. The number of volunteers assigned to receive placebo was the minimum needed to ensure infectivity of the mosquitoes. To minimize morbidity, all participants were closely monitored throughout the study. Monitoring was intensified during periods of greatest likelihood of emergence of parasitemia by hospitalizing the participants on the medical ward. Given the close monitoring and the early treatment when parasitemia was low, the risk to the participants was felt to be minimal."</t>
  </si>
  <si>
    <t>"Volunteers were recruited under a protocol approved by the Human Use Review Committee, United States Army Medical Research Institute of Infectious Diseases, Fort Detrick, Maryland, and the Surgeon General's Human Subjects Research Review Board of the Department of the Army" and "Prospective volunteers received a briefing and a written information sheet describing the procedures and potential risks associated with the study. Those willing to participate signed a consent form. None of the volunteers received compensation. They were assured of their right to withdraw from the study at any time without penalties."</t>
  </si>
  <si>
    <t>Randomized, double-blind, placebo-controlled trial</t>
  </si>
  <si>
    <t>Shmuklarsky 1994</t>
  </si>
  <si>
    <t>https://pubmed.ncbi.nlm.nih.gov/9200634/</t>
  </si>
  <si>
    <t>"They were classified as infected if the challenge virus was isolated on any of the 5 postchallenge study days or there was a 4-fold or greater rise in viral-specific serum neutralizing antibody titer from before exposure to 28 days after exposure."</t>
  </si>
  <si>
    <t>147 challenged with RV39;
129 challenged with Hanks</t>
  </si>
  <si>
    <t>132/147 challenged with RV39 became infected;
101/129 challenged with Hanks became infected</t>
  </si>
  <si>
    <t>None given, but "At the end of each day of quarantine, subjects rated the severity of 8 respiratory symptoms (congestion, runny nose, sneezing, cough, sore throat, malaise, headache, and chills) during the previous 24 hours.24 Ratings ranged from 0 (none) to 4 (very severe) for each symptom.The symptom scores were summed within each day. The score for the day before challenge was subtracted from each daily score after viral challenge. The adjusted postchallenge symptom scores were summed to create an adjusted total symptom score. Subjects were also asked each day if they had a cold." and "the modified Jackson criterion, is previously validated and requires a total adjusted symptom score of 6 or more in addition to either reporting having a cold or reporting rhinorrhea on 3 or more days of the trial.17"</t>
  </si>
  <si>
    <t>No AE data; reports number with cold under Jackson criteria</t>
  </si>
  <si>
    <t>Volunteers "were judged to be in good health after a medical examination." and "They were not accepted into the study if they had previous nasal or otologic surgery; a history of asthma or cardiovascular disorders; abnormal clinical profiles on urinalysis, complete blood cell count, blood enzymes, or any of 3 nutritional markers (albumin, transferrin, or retinol binding protein); or were pregnant or currently lactating, seropositive for human immunodeficiency virus, or on a regular medication regimen."</t>
  </si>
  <si>
    <t>"Subjects were paid $800 for their participation. The study was approved by the institutional review boards of Carnegie Mellon University, University of Pittsburgh, and Children's Hospital of Pittsburgh, and informed consent was obtained from each subject after the nature and possible consequences of the study were fully explained."</t>
  </si>
  <si>
    <t>Doyle 1999</t>
  </si>
  <si>
    <t>Cohen 1997</t>
  </si>
  <si>
    <t>Influenza A/Kawasaki/9/86 (H1N1) virus (wild type, lot E-262; NIH)</t>
  </si>
  <si>
    <t>https://pubmed.ncbi.nlm.nih.gov/9593010/</t>
  </si>
  <si>
    <t>"Infection was defined as viral shedding on &gt;=1 day or a &gt;=4-fold rise in specific-serum HI antibody between the prechallenge and convalescent samples."</t>
  </si>
  <si>
    <t>50 treated with rimantadine after challenge;
53 given placebo after challenge;
2 dropouts</t>
  </si>
  <si>
    <t>"Nine subjects were not infected"</t>
  </si>
  <si>
    <t>Adverse events reported for study medication, but not for challenge phase</t>
  </si>
  <si>
    <t>Rimantadine</t>
  </si>
  <si>
    <t>"Subjects were excluded from the study if they had a history of nasal or otologic surgery, pulmonary, cardiovascular, renal, or other serious disease or seizures, or had a symptomatic URI within the prior 30 days, OM within the last 6 months, concurrent pregnancy, nasal or otologic signs and symptoms, abnormal clinical profiles, seropositivity for human immunodeficiency virus, or an HI antibody titer &gt;1:10."</t>
  </si>
  <si>
    <t>"All subjects gave written informed consent that was approved by the Human Rights Committee at the Children’s Hospital of Pittsburgh. All received remuneration for their participation."</t>
  </si>
  <si>
    <t>double-blind, placebo-controlled randomized trial</t>
  </si>
  <si>
    <t>Doyle 1998</t>
  </si>
  <si>
    <t>https://pubmed.ncbi.nlm.nih.gov/12134249/</t>
  </si>
  <si>
    <t>"Infection was determined by daily culture of nasal washes in human embryonic lung cells (WI-38) and measurement of pre- and 21-day postchallenge serum homotypic neutralizing antibody levels. One virus isolate per subject was identified as type 39 rhinovirus [19]. Infection was judged to have occurred if the subject shed type 39 rhinovirus for &gt;=1 day and/or if there was a &gt;=4-fold increase in homotypic antibody level. Infectivity titrations were done on specimens that were positive for type 39 rhinovirus."</t>
  </si>
  <si>
    <t>Only reports number infected among 139 antibody-free volunteers without wild infection prior to challenge (55 in fully treated group, 56 in partially treated group, and 28 in placebo group)</t>
  </si>
  <si>
    <t>None given, but "Symptom data were collected in double-blind fashion. The occurrence and severity (absent, 0; mild, 1; moderate, 2; severe, 3; very severe, 4) of sneezing, runny nose, nasal obstruction, sore throat, cough, headache, malaise, and chilliness were recorded between 6 and 8 A.M. for 5 days after virus inoculation. Illness was diagnosed when a subject had rhinorrhea and a total symptom score &gt;=6 on &gt;=3 days and/or the subjective impression of having had a cold [20]."</t>
  </si>
  <si>
    <t>Intranasal interferon, oral clorpheniramine, ibuprofen</t>
  </si>
  <si>
    <t>"Subjects were men and women in good health (aged 18–51 years). All had a screening serum neutralizing antibody titer of &lt;=2 to type 39 rhinovirus and normal nasal examination results. Women had negative urine pregnancy tests. Exclusion criteria were cold symptoms in the 2 weeks before virus challenge; history of allergic rhinitis, bronchial asthma, chronic sinusitis, or chronic lung disease; and allergy to the study medications."</t>
  </si>
  <si>
    <t>"The Human Investigation Committee, University of Virginia, reviewed the protocol. Subjects gave written consent for study participation."</t>
  </si>
  <si>
    <t>randomized, placebo-controlled, double-masked clinical trial</t>
  </si>
  <si>
    <t>Gwaltney 2003</t>
  </si>
  <si>
    <t>Gwaltney 2002</t>
  </si>
  <si>
    <t>Message SD</t>
  </si>
  <si>
    <t>https://pubmed.ncbi.nlm.nih.gov/18768794/</t>
  </si>
  <si>
    <t>"RV16 infection was confirmed by at least one of the following: positive nasal lavage standard or qPCR for RV, positive culture of RV16, or seroconversion defined as a titer of serum neutralizing antibodies to RV16 of at least 1:4 at 6 weeks."</t>
  </si>
  <si>
    <t>10 asthmatic volunteers</t>
  </si>
  <si>
    <t>"Successful experimental RV16 infection was confirmed in all subjects"</t>
  </si>
  <si>
    <t>None given, but "There were no serious adverse events"</t>
  </si>
  <si>
    <t>"Normal subjects were taking no medication, and asthmatics inhaled short-acting B2 agonists only. Subjects were free of common cold symptoms for 6 weeks before starting the study. All were nonsmokers."</t>
  </si>
  <si>
    <t xml:space="preserve">"All subjects gave informed consent and the study was approved by St Mary’s National Health Service Trust Research Ethics Committee."
</t>
  </si>
  <si>
    <t>Hewson 2010</t>
  </si>
  <si>
    <t>Message 2008</t>
  </si>
  <si>
    <t>Black RE</t>
  </si>
  <si>
    <t>Strain A3249 (Penner serotype 27)</t>
  </si>
  <si>
    <t>https://pubmed.ncbi.nlm.nih.gov/3343522/</t>
  </si>
  <si>
    <t>Positive stool culture</t>
  </si>
  <si>
    <t>None given, but "Illness was considered the presence of diarrhea or fever (temperature &gt;30 C)."</t>
  </si>
  <si>
    <t>Erythromycin stearate (treatment after challenge)</t>
  </si>
  <si>
    <t>"Participants were healthy, young adults from the Baltimore community. The methods of medical screening, informed consent, and medical care have previously been published [11-13]. Persons with HLA allotype B27 were specifically excluded from the studies because of reports of occasional arthritis occurring after C. jejuni infection in individuals with this allotype."</t>
  </si>
  <si>
    <t>"Informed consent was obtained for all studies, which were approved by the ethical review committees of the Universityof Maryland School of Medicine and the National Institute of Allergy and Infectious Diseases."</t>
  </si>
  <si>
    <t>Medema 1996</t>
  </si>
  <si>
    <t>Black 1988</t>
  </si>
  <si>
    <t>Strain 81-176 (Penner serotype 23/36)</t>
  </si>
  <si>
    <t>Strain A3249 (Penner serotype 27) or strain 81-176 (Penner serotype 23/36)</t>
  </si>
  <si>
    <t>Controls for homologous rechallenge</t>
  </si>
  <si>
    <t>5 challenged with A3249;
12 challenged with 81-176</t>
  </si>
  <si>
    <t>Summed data for all naive cohorts (not rechallenged participants)</t>
  </si>
  <si>
    <t>Homologous rechallenge</t>
  </si>
  <si>
    <t>2 rechallenged with A3249;
7 rechallenged with 81-176</t>
  </si>
  <si>
    <t>0/2 rechallenged with A3249 became infected;
5/9 rechallenged with 81-176 became infected</t>
  </si>
  <si>
    <t>S. sonnei</t>
  </si>
  <si>
    <t>https://pubmed.ncbi.nlm.nih.gov/2437220/</t>
  </si>
  <si>
    <t>Development of diarrhea, "defined as the passage of two or more liquid stools weighing &gt;=200 g within 48 hours, or a single liquid stool of &gt;=300 g." and "Illness was defined as the presence of diarrhea, Hematest- positive diarrhea, or fever (temperature &gt;=100 F)."</t>
  </si>
  <si>
    <t>40 previously vaccinated (different lots of vaccine)</t>
  </si>
  <si>
    <t>16/40 previously vaccinated became infected ("any illness")</t>
  </si>
  <si>
    <t>Reports 0 AEs after vaccination, but no AE data reported for challenge</t>
  </si>
  <si>
    <t>S. typhi-S. sonnei bivalent vaccine strain (5076-1C), antibiotic treatment after onset of diarrhea from challenge</t>
  </si>
  <si>
    <t>"Participants were healthy young adults from the Baltimore community. The methods of medical screening, informed consent, and medical care have been published [14-17]."</t>
  </si>
  <si>
    <t>"This study was approved by the human volunteer research committees at the University of Maryland Hospital and the National Institute of Allergy and Infectious Diseases."</t>
  </si>
  <si>
    <t>Plaisance 2000</t>
  </si>
  <si>
    <t>Black 1987</t>
  </si>
  <si>
    <t>Rickettsia rickettsii</t>
  </si>
  <si>
    <t>R rickettsii SS strain, seed D</t>
  </si>
  <si>
    <t>https://pubmed.ncbi.nlm.nih.gov/6415182/</t>
  </si>
  <si>
    <t>ND ("average" age of 26)</t>
  </si>
  <si>
    <t>Diagnosis of Rocky Mountain spotted fever (RMSF): "To ensure prompt diagnosis of RMSF, they were questioned every 4 hr about the presence of malaise, myalgias, headache, photophobia, pharyngitis, arthralgias, abdominal symptoms, or rashes and were examined daily. Oral temperatures were taken by the nurses every 4 hr and were repeated with a different thermometer within 5 min if fever (&gt;37.7 C) was detected. Any volunteer who developed a temperature of ~38.0 C had his or her temperature taken every 2 hr for 6 hr. When a temperature elevation of ~38.0 C persisted for six consecutive hours, a clinical diagnosis of RMSF was made, and treatment with 500 mg of tetracycline was given orally every 6 hr for six days."</t>
  </si>
  <si>
    <t>12/16 previously vaccinated became infected</t>
  </si>
  <si>
    <t>None given, but reports vaccine reactions and mentions that "by day 6 every volunteer had an erythematous, indurated injection site"</t>
  </si>
  <si>
    <t>No AE data; reports some symptoms</t>
  </si>
  <si>
    <t>cell culture-derived vaccine for RMSF, tetracycline (treatment after RMSF)</t>
  </si>
  <si>
    <t>"all volunteers who participated in the challenge study were required to pass a written examination covering all aspects of the study, including the study's purpose, procedures, and risks and the pathogenesis of RMSF. All participants in the vaccination and challenge studies were judged to be healthy on the basis of medical history, physical examination, and results of the following tests: hemogram, platelet count, determination of hepatitis B surface antigen negativity, rapid plasma reagin test, urinalysis, and a pregnancy test (for women). Additional screening tests performed on each participant prior to the challenge study included a psychological examination; electrocardiogram; chest roentgenogram; and determinations of bleeding time, fibrinogen level, prothrombin time (PT), activated partial thromboplastin time (PTT), fasting blood glucose level, serum glutamic oxaloacetic transaminase (SOOT) level, serum glutamic pyruvic transaminase (SOPT) level, electrolyte balance, and creatinine level."</t>
  </si>
  <si>
    <t>"Written, informed consent was obtained from the volunteers, and the study protocols were approved by the Human Volunteers Research Committee of the University of Maryland and by the Clinical Review Subpanel of the National Institute of Allergy and Infectious Diseases."</t>
  </si>
  <si>
    <t>placebo-controlled, double-blind study</t>
  </si>
  <si>
    <t>Clements 1983b</t>
  </si>
  <si>
    <t>A/Alaska/6/77 ca recombinant viruses (CR-29 clone 2, CR-31 clone 3, or CR-31 clone 10)</t>
  </si>
  <si>
    <t>https://pubmed.ncbi.nlm.nih.gov/7251144/</t>
  </si>
  <si>
    <t>Recombinant viruses challenge</t>
  </si>
  <si>
    <t>"Evidence of virus shedding or an antibody response or both"</t>
  </si>
  <si>
    <t>None given, but reports number with illness (febrile, systemic, upper respiratory tract)</t>
  </si>
  <si>
    <t>"Volunteers selected for this study had a serum hemagglutination inhibiting antibody titer of 1:8 or less."</t>
  </si>
  <si>
    <t>Murphy 1981</t>
  </si>
  <si>
    <t>A/Alaska/6/77 wild-type virus</t>
  </si>
  <si>
    <t>A/Alaska/6/77 ca recombinant viruses (CR-29 clone 2, CR-31 clone 3, or CR-31 clone 10), A/Alaska/6/77 wild-type virus</t>
  </si>
  <si>
    <t>Atmar RL</t>
  </si>
  <si>
    <t>Norwalk virus (lot 42399)</t>
  </si>
  <si>
    <t>18826818
24253285</t>
  </si>
  <si>
    <t>https://pubmed.ncbi.nlm.nih.gov/18826818/
https://pubmed.ncbi.nlm.nih.gov/24253285/</t>
  </si>
  <si>
    <t>Atmar 2008
Atmar 2014</t>
  </si>
  <si>
    <t>NCT00138476</t>
  </si>
  <si>
    <t>https://clinicaltrials.gov/ct2/show/NCT00138476?term=NCT00138476&amp;draw=2&amp;rank=1</t>
  </si>
  <si>
    <t>Data extracted from Atmar 2014, date of publication extracted from Atmar 2008 to reflect first publication of results</t>
  </si>
  <si>
    <t>"Norwalk virus infection was defined as fecal virus excretion (by antigen enzyme immunoassay [EIA] or RT-PCR) or a ≥4-fold increase in serum antibody titer measured by antibody EIA (from preinoculation to 28 days postinoculation)"</t>
  </si>
  <si>
    <t>None given, but reports one SAE (not challenge related)</t>
  </si>
  <si>
    <t>No SAEs mentioned in text (challenge-related);
"There was 1 serious adverse event during the study and it was assessed as unrelated. A placebo recipient developed a partial retinal detachment 74 days after receipt of study product."</t>
  </si>
  <si>
    <t>"Healthy adults (18–50 years of age) who provided informed consent were screened for eligibility within 4 weeks of virus inoculation. Eligible subjects were secretor positive, had no serious chronic diseases, passed screening laboratory studies (liver and renal function, blood counts, hepatitis and HIV serology), had no history of nonbacterial gastroenteritis within 3 months of inoculation and had negative fecal screening studies for bacterial and protozoal enteric pathogens within 28 days of inoculation, were not exposed to persons at high risk of more severe norovirus infection (including immunocompromised persons, children, and elderly), and did not have jobs identified with a significant risk of transmission to others at risk (eg, food handlers, healthcare workers, airline workers). Persons of blood group B or AB were excluded from enrollment for group 5 only. Study participants were required to pass a test showing an understanding of the protocol."</t>
  </si>
  <si>
    <t>"The clinical protocol was reviewed and approved by the institutional review boards of the Baylor College of Medicine and The Methodist Hospital, and written informed consent was obtained from each study participant. The study was registered at ClinicalTrials.gov (NCT00138476)."</t>
  </si>
  <si>
    <t>randomized, double-blind, placebocontrolled evaluation of different dosages of Norwalk virus</t>
  </si>
  <si>
    <t>Reeck 2010</t>
  </si>
  <si>
    <t>Glew RH</t>
  </si>
  <si>
    <t>P. falciparum (Colombian KSN strain)</t>
  </si>
  <si>
    <t>https://pubmed.ncbi.nlm.nih.gov/4593870/</t>
  </si>
  <si>
    <t>Volunteers were inmates</t>
  </si>
  <si>
    <t>"When symptoms appeared or patent parasitemia was demonstrable in any patient, he was admitted to the malaria ward."</t>
  </si>
  <si>
    <t>None given, but reports number that developed symptomatic hapatitis</t>
  </si>
  <si>
    <t>chloroquine, quinacrine, pyrimethamine, chlorguanide, sulfadiazine and pyrimethamine</t>
  </si>
  <si>
    <t>"healthy, adult, male volunteers, 29-36 years of age" and "Each volunteer was certi-
fied for physical fitness by medical history, physi-
cal examination, chest roentgenogram, electro-
cardiogram, and numerous laboratory tests (com-
plete blood count, level of glucose-6-phosphate
dehydrogenase in red blood cells, and tests of
hepatic and renal function)."</t>
  </si>
  <si>
    <t>"informed fully of the
dangers, risks, and discomforts involved."</t>
  </si>
  <si>
    <t>Zeb Chapter 2</t>
  </si>
  <si>
    <t>Glew 1974</t>
  </si>
  <si>
    <t>Shekalaghe S</t>
  </si>
  <si>
    <t>https://pubmed.ncbi.nlm.nih.gov/25070995/</t>
  </si>
  <si>
    <t>NCT01540903</t>
  </si>
  <si>
    <t>https://clinicaltrials.gov/ct2/show/NCT01540903</t>
  </si>
  <si>
    <t>Group 1 (10,000 PfSPZ)</t>
  </si>
  <si>
    <t>parasitemia detected by thick blood smear and confirmed by qPCR</t>
  </si>
  <si>
    <t>Volunteers "were given diaries and thermometers for recording of adverse events and temperatures. Volunteers returned on Day 5 after administration of PfSPZ Challenge for admission to the ward for assessment of safety and diagnosis and treatment of malaria. During the period of follow-up all symptoms and signs (solicited and unsolicited) were recorded and graded by the attending physician as follows: mild (easily tolerated), moderate (interferes with normal activity), or severe (prevents normal activity)."</t>
  </si>
  <si>
    <t>"There were no serious adverse events." but There were two subjects who had unrelated SAEs in this study. The first 
SAE was in a 26-year-old volunteer who was diagnosed as having 
gastroenteritis/dysentery of grade 3 severity at the time of 
hospitalization, which was 33 days post administration of PfSPZ 
Challenge. The second SAE occurred in a 22-year-old volunteer who was 
admitted to the hospital and diagnosed with severe malaria (axillary 
temperature &gt; 40°C, altered mental status, and smear positive) on day
 89 after administration of PfSPZ Challenge (the volunteer was 
previously treated and successfully cleared of parasites on Day 14 post 
inoculation of PfSPZ Challenge). Parasites taken from this volunteer at 
the time of diagnosis of severe malaria were genotyped using 
microsatellite markers, and these parasites were shown not to be the Pf 
NF54 parasites in PfSPZ Challenge (see above, and Table 3). Both volunteers with SAEs recovered uneventfully.</t>
  </si>
  <si>
    <t>The most common study-related events were headache, malaise, fatigue, 
and arthralgia, all symptoms consistent with malaria. Surprisingly, 
saline control subjects who did not have malaria had these symptoms at a
 frequency similar to that of subjects who received PfSPZ Challenge.</t>
  </si>
  <si>
    <t>standard 3-day regimen of artemether/lumefantrine (Coartem)</t>
  </si>
  <si>
    <t>The possibility of cardiac damage was assessed</t>
  </si>
  <si>
    <t>All volunteers gave written informed consent before screening and being 
enrolled in the study. The trial was performed in accordance with Good 
Clinical Practices, an Investigational New Drug (IND) application filed 
with the U.S. Food and Drug Administration (US FDA) (IND 14267), and an 
Investigational Medical Product Dossier (IMPD) filed with the Tanzanian 
Food and Drug Administration (TFDA). The protocol was approved by 
institutional review boards (IRBs) of the Ifakara Health Institute 
((IHI/IRB/No25) and National Institute for Medical Research Tanzania 
(NIMR/HQ/R.8a/Vol.IX/1217), and the Ethikkommission beider Basel (EKBB),
 Basel, Switzerland (EKBB 319/11). The protocol was also approved by 
TFDA (Ref. No. CE.57/180/04A/50), and the trial was registered at 
ClinicalTrials.gov (NCT01540903).</t>
  </si>
  <si>
    <t>double-blind, randomized, controlled trial</t>
  </si>
  <si>
    <t>Shekalaghe 2014</t>
  </si>
  <si>
    <t>Group 2 (25,000 PfSPZ)</t>
  </si>
  <si>
    <t>Control group (not challenged)</t>
  </si>
  <si>
    <t>Median age given for each fo 3 cohorts, but not overall</t>
  </si>
  <si>
    <t>Mean age given for each of 3 cohorts, but not overall</t>
  </si>
  <si>
    <t>SD given for each of 3 cohorts, but not overall</t>
  </si>
  <si>
    <t>"There were no serious adverse events." but "There were two subjects who had unrelated SAEs in this study. The first  SAE was in a 26-year-old volunteer who was diagnosed as having  gastroenteritis/dysentery of grade 3 severity at the time of  hospitalization, which was 33 days post administration of PfSPZ  Challenge. The second SAE occurred in a 22-year-old volunteer who was  admitted to the hospital and diagnosed with severe malaria (axillary temperature &gt; 40°C, altered mental status, and smear positive) on day 89 after administration of PfSPZ Challenge (the volunteer was  previously treated and successfully cleared of parasites on Day 14 post  inoculation of PfSPZ Challenge). Parasites taken from this volunteer at  the time of diagnosis of severe malaria were genotyped using  microsatellite markers, and these parasites were shown not to be the Pf  NF54 parasites in PfSPZ Challenge (see above, and Table 3). Both volunteers with SAEs recovered uneventfully."</t>
  </si>
  <si>
    <t>Suntharasamai P</t>
  </si>
  <si>
    <t>https://pubmed.ncbi.nlm.nih.gov/1621412/</t>
  </si>
  <si>
    <t>Suntharasamai 1992</t>
  </si>
  <si>
    <t>"Grading of cholera: Cholera illness was classified according to the bacteriological and clinical status after challenge" 0 = no Cholera, 1 = Subclinical Infection, 2 = mild diarrhoea Class 3 (cholera gravis) signified "culture-positive diarrhoea of 5 1 or over."</t>
  </si>
  <si>
    <t>No AE data; reports number with diarrhoea</t>
  </si>
  <si>
    <t>No SAEs mentioned in text. "Symptoms other than diarrhoea were mild and infrequent."</t>
  </si>
  <si>
    <t>All volunteers received a five day course of tetracycline (500 mg every 6 h) Is 120 h after inoculation or 48 h after the time at which diarrhoea commenced. Intravenous fluid t 9 and tetracycline were to be given immediately to anyone whose plasma specific gravity (PSG) was higher than 1.032.</t>
  </si>
  <si>
    <t>All volunteers passed medical and psychological screening</t>
  </si>
  <si>
    <t>All volunteers ... gave informed consent. To ensure that consent was
informed volunteers were required to pass a written examination containing 20 true-false questions on various aspects of the study.</t>
  </si>
  <si>
    <t xml:space="preserve">Vibrio cholerae El Tor Inaba strain N16961 </t>
  </si>
  <si>
    <t>https://pubmed.ncbi.nlm.nih.gov/10569747/</t>
  </si>
  <si>
    <t>Tacket 1999</t>
  </si>
  <si>
    <t>Vaccinated Group</t>
  </si>
  <si>
    <t>"positive stool culture for V. cholerae O1"</t>
  </si>
  <si>
    <t>"For a period of 96 h after the ingestion of vibrios, the volunteers were closely monitored to detect any adverse reactions."</t>
  </si>
  <si>
    <t>No AE data; reports number with diarrhea</t>
  </si>
  <si>
    <t>CVD 103-HgR vaccine</t>
  </si>
  <si>
    <t>Volunteers were thoroughly screened to document their mental and
physical health before challenge</t>
  </si>
  <si>
    <t>To ensure comprehension of the study and to document
that informed consent had been elicited, the volunteers had to pass a
written examination before inoculation with the challenge strain</t>
  </si>
  <si>
    <t>Randomized, Double-Blind, Placebo-Controlled, Multicentered Trial</t>
  </si>
  <si>
    <t>Unvaccinated Group</t>
  </si>
  <si>
    <t>V. cholerae El Tor Inaba strain N16961</t>
  </si>
  <si>
    <t>Challenge, NAE, Summed</t>
  </si>
  <si>
    <t>Arévalo-Herrera M</t>
  </si>
  <si>
    <t>https://pubmed.ncbi.nlm.nih.gov/24963662/</t>
  </si>
  <si>
    <t>NCT01585077</t>
  </si>
  <si>
    <t>https://clinicaltrials.gov/ct2/show/NCT01585077</t>
  </si>
  <si>
    <t>7 naive, 9 previously exposed semi-immune</t>
  </si>
  <si>
    <t>"P. vivax infection in challenged volunteers and parasite donor was diagnosed by thick blood smears (TBS), which were examined independently by two experienced microscopists [29]. The criterion for a positive TBS was the identification of at least one morphologically normal malaria parasite confirmed by both microscopists."</t>
  </si>
  <si>
    <t>7 naive;
9 semi-immune</t>
  </si>
  <si>
    <t>"All volunteers developed malaria infection as confirmed by TBS
and RT-qPCR" but "Excluded from analysis (did not develop malara) (n=1*)"</t>
  </si>
  <si>
    <t>"The severity of adverse events (AE) was scored from 1 to 4 (Grade 1 = mild, Grade 2 = moderate, Grade 3 = severe, and Grade 4 = life-threatening) as described elsewhere [31]."</t>
  </si>
  <si>
    <t>"All volunteers successfully recovered clinically within 2–3 days without any serious AE. None of the volunteers required hospitalization for malaria. A volunteer presented with severe diarrhea and abdominal pain (Grade 4) on day 18 and was diagnosed with parasitic gastroenteritis (hookworms and trichuriasis) and was held under observation for &lt;24 hours in the hospital, requiring intravenous rehydration and pain management."</t>
  </si>
  <si>
    <t>Chloroquine, primaquine</t>
  </si>
  <si>
    <t>"Sixteen healthy, Duffy-positive (Fy+) male and female volunteers, 18–45 years of age (seven malaria-naive and nine previously exposed semi-immune volunteers), were recruited for the study" and "all volunteers had to pass an oral or written exam concerning the trial and its risks as described elsewhere [22]. In addition, all were informed about their right to withdraw voluntarily from the study at any time. Exclusion criteria included pregnancy, abnormal laboratory test values, hemoglobin pathology, glucose-6-phosphate dehydrogenase (G6PDH) deficiency, positive for blood bank infectious diseases (syphilis, HIV, Chagas disease, HTLV 1–2, and hepatitis B and hepatitis C) (Table S1), or have any condition that would increase the risk of an adverse outcome, as described in previous studies [21,22]."</t>
  </si>
  <si>
    <r>
      <t xml:space="preserve">"This trial was conducted according to ICH E-6 Guidelines for Good Clinical Practices [23] and the protocol was approved by Institutional Review Boards (IRB) of the Malaria Vaccine and Drug Development Center–MVDC (CECIV, Cali) and Centro Me ́dico Imbanaco (Cali). Written informed consent (IC) was obtained from each volunteer at enrollment and from P. vivax-infected donors. A separate IC was obtained from each volunteer for HIV screening. The clinical trial was registered on </t>
    </r>
    <r>
      <rPr>
        <u/>
        <sz val="10"/>
        <color rgb="FF1155CC"/>
        <rFont val="Arial"/>
      </rPr>
      <t>clinicaltrials.gov</t>
    </r>
    <r>
      <rPr>
        <sz val="10"/>
        <color rgb="FF000000"/>
        <rFont val="Arial"/>
      </rPr>
      <t>, registry number NCT01585077."</t>
    </r>
  </si>
  <si>
    <t>Zeb Chapter 5</t>
  </si>
  <si>
    <t>Arévalo-Herrera 2014</t>
  </si>
  <si>
    <t>https://pubmed.ncbi.nlm.nih.gov/27760143/</t>
  </si>
  <si>
    <t>NCT01082341</t>
  </si>
  <si>
    <t>https://clinicaltrials.gov/ct2/show/NCT01082341</t>
  </si>
  <si>
    <t>Immunization phase data not extracted</t>
  </si>
  <si>
    <t>"Infection was diagnosed by TBS examination by two independent experienced microscopists, and parasitemia determined by counting the number of asexual Pv parasites per 400 white blood cells (WBC), assuming normal WBC counts (8,000 cells/μL). Samples were considered negative after observation of 200 microscopic fields and qPCR was performed subsequently for retrospective analyses."</t>
  </si>
  <si>
    <t>8 withdrew prior to CHMI</t>
  </si>
  <si>
    <t>1 excluded;
12 previously immunized with irradiated-infected mosquito bites (RAS group);
2 previously immunized with non-infected mosquito bites (Ctl group);
5 Fy- individuals previously immunized with non-irradiated infected mosquito bites (Fy- group)</t>
  </si>
  <si>
    <t>7/12 RAS became infected;
2/2 Ctl became infected;
0/5 Fy- became infected</t>
  </si>
  <si>
    <t>"Adverse events (AE) were recorded, graded and classified according to FDA recommendations [22]."</t>
  </si>
  <si>
    <t>ND (likely 0)</t>
  </si>
  <si>
    <t>"malaria-naïve volunteers (18–45 years old) were assessed for eligibility" and "volunteers had to pass an oral or written exam concerning the trial and its risks as described elsewhere [16]. In addition, all participants were informed about their right to voluntarily withdraw from the study at any time for any reason. Exclusion criteria included pregnancy, abnormal clinical hematology, and chemistry test results, glucose-6-phosphate dehydrogenase deficiency (G6PDd), and infectious diseases (syphilis, HIV, Chagas disease, HTLV 1–2, hepatitis B and hepatitis C; S1 Table, S2 Table, S1 text)."</t>
  </si>
  <si>
    <t>"This trial was conducted according to ICH E-6 Guidelines for Good Clinical Practices[18]. Institutional Review Boards of the Malaria Vaccine and Drug Development Center (MVDC, CECIV), and Centro Médico Imbanaco (CEICMI), Cali, approved the protocol. Written informed consent (IC) was obtained from all volunteers, with a separate IC for HIV screening. The clinical trial was registered on clinicaltrials.gov, registry number NCT01082341. The protocol for this trial and supporting CONSORT checklist are available as supporting information (S1 Checklist and S1 Protocol)."</t>
  </si>
  <si>
    <t>phase 2 controlled randomized,single-blinded clinical trial</t>
  </si>
  <si>
    <t>Arévalo-Herrera 2016</t>
  </si>
  <si>
    <t>Chulay JD</t>
  </si>
  <si>
    <t>P. falciparum (NF54 strain)</t>
  </si>
  <si>
    <t>https://pubmed.ncbi.nlm.nih.gov/3511753/</t>
  </si>
  <si>
    <t>Patent parasitemia: "The volunteers were hospitalized and, beginning on day 5 after mosquito feeding, had daily thick blood films10 examined for parasites."</t>
  </si>
  <si>
    <t>None given, but lists signs and symptoms experienced by each volunteer (Headache, myalgias, fever, chills, (mild) backache, anorexia, photophobia, abdominal pain)</t>
  </si>
  <si>
    <t>No AE data; reports number with signs and symptoms</t>
  </si>
  <si>
    <t>"Six healthy men, ages 18-31, volunteered to become infected with P. falciparum. Each individual had no previous history of malaria and had no antimalarial antibodies."</t>
  </si>
  <si>
    <t>Chulay 1986</t>
  </si>
  <si>
    <t>Dejon-Agobe JC</t>
  </si>
  <si>
    <t>Aseptic, purified, cryopreserved P. falciparum sporozoites (Sanaria® PfSPZ Challenge), strain NF54 (direct venous inoculation)</t>
  </si>
  <si>
    <t>https://pubmed.ncbi.nlm.nih.gov/30561539/</t>
  </si>
  <si>
    <t>Pan-African Clinical Trials Registry: PACTR201503001038304</t>
  </si>
  <si>
    <t>Median given for each of four groups, but not overall</t>
  </si>
  <si>
    <t>"Thick blood smears (TBS) and 1 ml blood samples were collected daily to assess parasitemia by quantitative, real-time polymerase chain reaction (qPCR)."</t>
  </si>
  <si>
    <t>1 did not complete follow-up;
5 previously vaccinated with rabies vaccine (control);
10 previously vaccinated with GMZ2-Alhydrogel;
8 previously vaccinated with CAF01;
11 previously vaccinated with GMZ2-CAF01</t>
  </si>
  <si>
    <t>Vaccinated but not challenged</t>
  </si>
  <si>
    <t>"Adverse event (AE) severity was assessed using the US Food and Drug Administration grading scale [23], and causality was attributed to each AE by a physician."</t>
  </si>
  <si>
    <t>"No serious adverse event occurred during the study, and no participant was withdrawn for safety reasons."</t>
  </si>
  <si>
    <t>(10 during immunization phase)</t>
  </si>
  <si>
    <t>Artemether-lumefantrine (treatment), rabies vaccine (control), GMZ2-Alhydrogel, CAF01, GMZ2-CAF01</t>
  </si>
  <si>
    <t>"Study participants were healthy, adult volunteers with a history of at least 10 years residence in areas with high malaria endemicity. Inclusion and exclusion criteria were chosen to minimize risks for the volunteers (Supplementary Material 1). In particular, immunosuppression, inflammation, chronic disease, cardiovascular disease, and neurological as well psychiatric risk factors were assessed."</t>
  </si>
  <si>
    <t>"The study was approved by the National Ethics Committee of Gabon and authorized by the Gabonese Ministry of Health. Subject safety was monitored by a local safety monitor and a scientific monitoring committee. The trial was performed according to the International Council for Harmonization of Technical Requirements for Pharmaceuticals for Human Use Good Clinical Practice guidelines and the Declaration of Helsinki, and is registered with the Pan-African Clinical Trials Registry (trial number PACTR201503001038304)."</t>
  </si>
  <si>
    <t>randomized, controlled, double-blind, single-center, Phase I trial</t>
  </si>
  <si>
    <t>Dejon-Agobe 2019</t>
  </si>
  <si>
    <t>https://pubmed.ncbi.nlm.nih.gov/19861603/</t>
  </si>
  <si>
    <t>"When TBS were found positive, parasitemia was quantified by estimating the number of parasites counted in presence of 300 leukocytes and calculating absolute parasitemia according the leukocyte counts per μL. Smears were read by experienced microscropists and a random sample of TBS was subjected to quality control by a microscopist from the malaria control program."</t>
  </si>
  <si>
    <t>"Signs and symptoms consistent with malaria were assessed by clinical examination and were graded 1–5 according to their severity following the National Cancer Institiute (NCI) criteria for adverse events (CTCAE ) as follows: Grade 1 = Low, Grade 2 = Moderate, Grade 3 = Severe, Grade 4 = Serious, and Grade 5 = Death. Pruritus was graded from 1 to 3 (1 = mild or localized; 2 = intense or widespread; and 3 = intense or widespread and interfering with activities of daily living). Because there is no common terminology AE agreement, for edema and erythema following mosquito bites, an adaptation from the CTCAE v 3 for “injection site/extravasation changes” was used as follows: Grade 1 = local pain/edema and erythema; Grade 2 = pain or swelling with inflammation or phlebitis; Grade 3 = ulceration or necrosis. Pain was scored as Grade 1 = mild not interfering with function; Grade 2 = moderate pain (pain or analgesics interfering with function, but not interfering with activities of daily living); Grade 3 = severe pain (pain or analgesics severely interfering with activities of daily living)."</t>
  </si>
  <si>
    <t>"All individuals cleared parasitemia between 24 and 48 hours after initiating anti-malarial treatment, and all successfully recovered within 2 to 3 days without any severe or serious adverse events" but "None of the volunteers required hospitalization, but because of nausea and vomiting, seven required fluid therapy that was administered at the MVDC outpatient clinic."</t>
  </si>
  <si>
    <t>Chloroquine, primaquine, and "Volunteers were provided with intravenous fluids, analgesics, and antiemetics as needed."</t>
  </si>
  <si>
    <t>"healthy malaria-naïve subjects (19–45 years of age)" and "Individuals were excluded from the study if they had conditions that would increase the risk of an adverse outcome or abnormal laboratory test values"</t>
  </si>
  <si>
    <t>"All participants were recruited after the protocol was approved by the Ethics Committee of the Universidad del Valle, the Fundación Clínica Valle del Lili, and Springfield Committee Research Involving Human Subjects (SCRIHS) appointed by the World Health Organization (WHO). The trial complied with the International Conference on Harmonization (ICH) E-6 Guidelines for Good Clinical Practices" and "Separate written informed consents were obtained from each volunteer for enrollment and for human immunodeficiency virus (HIV) screening. Participants were allowed to withdraw voluntarily from the study at any time."</t>
  </si>
  <si>
    <t>Herrera 2009</t>
  </si>
  <si>
    <t>Jongo SA</t>
  </si>
  <si>
    <t>Sanaria® PfSPZ Challenge (NF54 strain, direct venous inoculation)</t>
  </si>
  <si>
    <t>https://pubmed.ncbi.nlm.nih.gov/29943719/</t>
  </si>
  <si>
    <t>NCT02132299</t>
  </si>
  <si>
    <t>https://clinicaltrials.gov/ct2/show/NCT02132299?term=NCT02132299&amp;draw=2&amp;rank=1</t>
  </si>
  <si>
    <t>Combined data for 5 different groups</t>
  </si>
  <si>
    <t>Mean age given for each of 3 groups, but not overall</t>
  </si>
  <si>
    <t>"Slide preparation and reading for TBSs were performed as described.19 Sensitivity was 2 parasites/μL blood unless the volunteer was symptomatic, in which case four times as many fields were read. Parasitemia was also determined by quantitative polymerase chain reaction (qPCR) with sensitivity of 0.1 parasites/μL blood based on a multiplex assay detecting Plasmodium spp. 18S genes and the human RNaseP gene as endogenous control.22 A second, more sensitive qPCR assay with a sensitivity of 0.05 parasites/μL blood and targeting the Pf-specific telomere-associated repetitive element 223 was used to reanalyze all samples that were negative by 18S-based qPCR. After the start of CHMI, the time of first blood sample positivity by qPCR was used to determine infection status and for the calculation of prepatent period. Volunteers were continuously monitored by qPCR until malaria treatment based on TBS positivity."</t>
  </si>
  <si>
    <t>44 vaccinated prior to challenge (varying doses);
8 normal saline controls prior to challenge;
10 infectivity controls;
2 excluded from primary analysis</t>
  </si>
  <si>
    <t>39/44 vaccinated became infected;
8/8 normal saline controls became infected;
10/10 infectivity controls became infected</t>
  </si>
  <si>
    <t>"Volunteers were observed as inpatients for 48 hours after administration of IP and discharged with diaries and thermometers for recording AEs and temperatures and followed with daily telephone calls. Symptoms and signs (solicited and unsolicited) were recorded and graded by physicians: mild (easily tolerated), moderate (interfere with normal activity), severe (prevents normal activity), or life threatening. Axillary temperature was grade 1 (&gt; 37.5–38.0C), grade 2 (&gt; 38.0–39.0C), grade 3 (&gt; 39.0–40.0C), or grade 4 (&gt; 40.0C). Hematological and biochemical abnormalities were also assessed using standard clinical assays. During the first 7 days after injection of IPs, prespecified local (site of injection) and systemic AEs were solicited. Open-ended questioning was used to identify unsolicited AEs through day 28 (Supplemental Table 4). All AEs were assessed for severity and relatedness to IP administration. Adverse events were classified as definitely related, probably related, possibly related, unlikely to be related, and not related. Definitely, probably, and possibly were considered to be related. Unlikely to be related and not related were considered to be unrelated. For CHMIs, volunteers returned on day 9 for admission to the ward for diagnosis and treatment of malaria. Events during the 8–28 day period were assessedforrelationship to Pf infection and considered related if the event was within 3 days before and 7 days after TBS was first positive."</t>
  </si>
  <si>
    <t>Reports 0 SAEs for immunizations, but unclear whether any occurred during challenge</t>
  </si>
  <si>
    <t>Treatment: Atovaquone/proguanil, artemether/lumefantrine;
Vaccine: Sanaria® PfSPZ Vaccine</t>
  </si>
  <si>
    <t>"Sixty-seven healthy male volunteers of 18–35 years of age were recruited from higher learning institutions in Dar es Salaam. After initial screening, prospective volunteers were invited to the Bagamoyo Clinical Trial Unit of the Ifakara Health Institute (IHI) to complete informed consent and screening. All had to complete a 20-question assessment of trial understanding with a 100% correct response rate on the first or second attempt (Supplemental Table 1) to be eligible. Volunteers were screened using predetermined inclusion and exclusion criteria (Supplemental Tables 2 and 3). History of malaria in the previous 5 years or antibodies to Pf exported protein 1 (PfEXP1) by an enzyme-linked immunosorbent assay (ELISA) above a level associated with a single, recent Pf infection by CHMI19 (see the Antibody assays section) were the exclusion criteria. Hematology, biochemistry, and parasitology testing, including malaria thick blood smear (TBS), stool, and urine by microscopy was carried out. Tests for human immunodeficiency virus and hepatitis B and C were performed after counseling; volunteers were excluded if positive and referred for evaluation and management by appropriate local physicians. Volunteers were excluded if they had significant abnormalities on electrocardiograms."</t>
  </si>
  <si>
    <t>"The trial was performed in accordance with Good Clinical Practices. The protocol was approved by institutional review boards (IRBs) of the IHI (Ref. No. IHI/IRB/No:02-2014), the National Institute for Medical Research Tanzania (NIMR/HQ/R.8a/Vol.IX/1691), the Ethikkommission Nordwest-und Zentralschweiz, Basel, Switzerland (reference number 261/13), and by the Tanzania Food and Drug Authority (Ref. No. TFDA 13/CTR/0003); registered at Clinical Trials.gov (NCT02132299); and conducted under U.S. FDA IND application."</t>
  </si>
  <si>
    <t>Jongo 2018</t>
  </si>
  <si>
    <t>All previously vaccinated and challenged (not infected)</t>
  </si>
  <si>
    <t>Appears that all participants were asymptomatic</t>
  </si>
  <si>
    <t>V. cholerae O139 strain 4260B</t>
  </si>
  <si>
    <t>https://pubmed.ncbi.nlm.nih.gov/11738758/</t>
  </si>
  <si>
    <t>Stool culture positive for V. cholerae</t>
  </si>
  <si>
    <t>None given, but "The volunteers were monitored for the occurrence of nausea, vomiting, diarrhea, and fever (38◦C). They were examined at least twice daily and fluid intake and output was continuously monitored. All stools were passed into a fecal collection device for weighing, inspection, sampling and disinfection. The stools were graded on a 1–5 scale (1 = firm-variation of normal, 2 = soft-variation of normal, 3 = runny-takes the shape of the container, 4 = liquid-opaque liquid, 5 = rice water). A validated grading system model was used for identification of the primary outcome variable (grade 3 stools) as previously described [9]."</t>
  </si>
  <si>
    <t>No AE data; reports number with diarrhea (clinical endpoint of study, may not be appropriate to categorize as AE)</t>
  </si>
  <si>
    <t>Treatment: oral rehydration solution, intravenous Ringer's lactate, tetracycline</t>
  </si>
  <si>
    <t>"All volunteers were healthy, aged 20–40 years, and without a history of clinical cholera or previous cholera vaccination within the past 5 years. Volunteers were recruited using previously described inclusion and exclusion criteria and were required to pass a written examination to document their knowledge of cholera and the study design [8]. Volunteers underwent a series of clinical laboratory examinations to rule out occult illness or pregnancy."</t>
  </si>
  <si>
    <t>"IRB-approved"</t>
  </si>
  <si>
    <t>inpatient dose-escalation challenge.</t>
  </si>
  <si>
    <t>Pitisuttithum 2001</t>
  </si>
  <si>
    <t>Barroso L</t>
  </si>
  <si>
    <t>Influenza A/Texas/36/91</t>
  </si>
  <si>
    <t>https://pubmed.ncbi.nlm.nih.gov/16430195/</t>
  </si>
  <si>
    <t>Influenza A treatment study</t>
  </si>
  <si>
    <t>"Infection was defined as a positive viral culture for the challenge strain on one or more days after inoculation, by a fourfold or greater rise in serum HAI antibody titres to the challenge strain, or both."</t>
  </si>
  <si>
    <t>1 participant withdrew prior to receiving treatment;
71 treated with peramivir (4 groups at different doses);
18 received plaebo</t>
  </si>
  <si>
    <t>62/71 treated with peramivir became infected;
17/18 receiving placebo became infected</t>
  </si>
  <si>
    <t>None given; reports treatment-emergent adverse events with an incidence ≥3% (back pain, fatigue, pain, dizziness, headache, migraine, abdominal pain, diarrhea, nausea, stomatitis ulcerative, vomiting, tooth disorder, coughing, pharyngitis, rhinitis, sinusitis, acne, rash, folliculitis, dysmenorrhea)</t>
  </si>
  <si>
    <t>Reports AEs grouped across all 4 studies; extracted to 1 line (need to review how to handle)</t>
  </si>
  <si>
    <t>Peramivir</t>
  </si>
  <si>
    <t>"Participants in all studies were healthy adult volunteers aged 18–45 years, with screening serum hemagglutination-inhibition (HAI) antibody titre ≤1:8 to the challenge virus and willingness to use adequate birth control measures. Exclusion criteria varied slightly among studies but included respiratory illness within 1 week of study drug administration; use of steroid, immunosuppressant, or aspirin therapy; fever within 72 h of viral inoculation; previously experienced serious complications related to influenza; antiviral therapy within 2 weeks prior to study drug administration; a known allergy to eggs or components of viral inoculum; active asthma requiring chronic treatment; treatment with drugs known to effect gastrointestinal motility and renal excretion within 2 weeks prior to study drug; pregnancy or breast-feeding. All volunteers underwent a screening history and physical with baseline laboratory tests and ECG tracings. They were isolated in individual hotel rooms from the time of inoculation until 8 or 9 (influenza B) days afterwards."</t>
  </si>
  <si>
    <t>"Participants signed an informed consent form approved by the respective institutions institutional review committees and were compensated for participation."</t>
  </si>
  <si>
    <t>randomized, double-blind, and placebo controlled</t>
  </si>
  <si>
    <t>Meta's Review</t>
  </si>
  <si>
    <t>Barroso 2005</t>
  </si>
  <si>
    <t>Influenza B/Yamagata/16/88</t>
  </si>
  <si>
    <t>Influenza B treatment study</t>
  </si>
  <si>
    <t>1 participant withdrew prior to viral inoculation</t>
  </si>
  <si>
    <t>36 treated with peramivir (2 groups at different doses);
19 received placebo</t>
  </si>
  <si>
    <t>28/36 treated with peramivir became infected;
18/19 receiving placebo became infected</t>
  </si>
  <si>
    <t>Influenza A prophylaxis study</t>
  </si>
  <si>
    <t>"four individuals dropped out before drug administration. Two individuals in the 400 mg group had increased baseline HIA titre &gt;1:8 and were excluded from efficacy analysis, so that the efficacy evaluable study population was 69."</t>
  </si>
  <si>
    <t>50 received peramivir prophylaxis (3 groups at different doses);
19 received placebo</t>
  </si>
  <si>
    <t>29/50 receiving peramivir prophylaxis became infected;
14/19 receiving placebo became infected</t>
  </si>
  <si>
    <t>Influenza B prophylaxis study</t>
  </si>
  <si>
    <t>"due to withdrawals before inoculation or drug dosing, 73 were randomized and received at least one dose of the study drug. Seventy-two individuals completed the course of drug administration."</t>
  </si>
  <si>
    <t>52 received peramivir prophylaxis (3 different doses);
20 received placebo</t>
  </si>
  <si>
    <t>44/52 receiving peramivir prophylaxis became infected;
18/20 receiving placebo became infected</t>
  </si>
  <si>
    <t>Influenza A/Texas/36/91 or Influenza B/Yamagata/16/88</t>
  </si>
  <si>
    <t>Median age given for each of 4 studies, but not overall</t>
  </si>
  <si>
    <t>ND (4 of "marked" severity and 2 widthdrawn due to AEs)</t>
  </si>
  <si>
    <t>"One serious adverse event was reported after a subject completed the study." and "There were seven adverse events (headache, nausea, vomiting, toothache, herpes simplex reactivation, rash and sinusitis) reported of marked severity reported by four individuals in peramivir recipients." and "Two individuals were withdrawn from the study due to adverse events."</t>
  </si>
  <si>
    <t>Bennett JW</t>
  </si>
  <si>
    <t>https://pubmed.ncbi.nlm.nih.gov/26919472/</t>
  </si>
  <si>
    <t>NCT01157897</t>
  </si>
  <si>
    <t>https://clinicaltrials.gov/ct2/show/NCT01157897</t>
  </si>
  <si>
    <t>Parasitemia detected by blood smear</t>
  </si>
  <si>
    <t>27 previously vaccinated</t>
  </si>
  <si>
    <t>27/27 previously vaccinated became infected</t>
  </si>
  <si>
    <t>"During the challenge phase, solicited AEs were recorded beginning on the day of CHMI. Clinical assessments continued on days 1 and 3 post-CHMI, and then daily beginning on day 5 until the subject had 3 consecutive negative daily blood smears following the initiation of treatment for malaria infection. All unsolicited events were documented for 28 days beginning on the day of CMHI. Safety laboratories were measured on the day of CHMI, at the time of initiating anti-malaria therapy, and on days 28 and 42 post-CMHI. Serious AEs (SAEs) were reported from the time of subject enrollment until study closure. Episodes of P. vivax relapse were recorded up to the conclusion of the study period, approximately 5 years post-CHMI."</t>
  </si>
  <si>
    <t>No AEs reported for challenge (although they were supposedly collected...)</t>
  </si>
  <si>
    <t>"One SAE (ductal carcinoma in situ of the breast) occurred during the study and it was determined that the event was not related to the study vaccine or CHMI." (mentioned in our appendix) and "No untoward SAEs were observed following the challenge and treatment phases."</t>
  </si>
  <si>
    <t>Study vaccine: Vivax malaria protein 1 (VMP001)</t>
  </si>
  <si>
    <t>"Subjects were healthy malaria naïve men and women aged 18–55 years. All subjects had normal blood levels of glucose-6-phosphate dehydrogenase (G6PD), and were either homozygous or heterozygous positive for Duffy antigen. Subjects agreed to be available for the duration of study with no plans to travel to a malaria endemic area or outside the Washington, DC area until a treatment course was completed following CHMI."</t>
  </si>
  <si>
    <t>"The study (ClinicalTrials.gov identifier NCT01157897), sponsored by the Office of the Surgeon General, U.S. Army, was conducted following scientific and ethical review by the WRAIR scientific review committee, WRAIR institutional review board (IRB), the USAMRMC’s Human Subjects Research and Review Board as well as the Western IRB and assigned protocol numbers WRAIR 1692, HRPO A-16037. The protocol was conducted under the U.S. Food and Drug Administration (FDA) Investigational New Drug (IND) application #14380."</t>
  </si>
  <si>
    <t>phase 1, non-randomized, open label, dose-escalation study</t>
  </si>
  <si>
    <t>Bennett 2016</t>
  </si>
  <si>
    <t>E. coli strain H10407 (O78:H11)</t>
  </si>
  <si>
    <t>https://pubmed.ncbi.nlm.nih.gov/7051247/</t>
  </si>
  <si>
    <t>ND (reports "average" age for each of three groups, but only including infected participants)</t>
  </si>
  <si>
    <t>Development of diarrhea (precluded inclusion in treatment phase of study) and positive stool cultures (only reported for ill individuals included in treatment phase)</t>
  </si>
  <si>
    <t>No SAEs mentioned in text, but "Two TMP-treated volunteers appeared to suffer clinical relapses 84 and 110 hr, respectively, after recovery from the initial diarrheal illness; in both cases this second illness began 36-48 hr after the first isolation of TMP-resistant E. coli from their stools. In one case this relapse was severe, resulting in over 5 liters of stool and vomitus in less than 12 hr and necessitating iv fluid replacement."</t>
  </si>
  <si>
    <t>Treatment after challenge: trimethoprim or trimethoprim-sulfamethoxazole;
Neomycin (to eradicate fecal excretion of pathogen prior to discharge)</t>
  </si>
  <si>
    <t>"Volunteers were college students and other healthy adults from the community." and "The health status of volunteers was ascertained before inoculation from the medical history, physical examination, chest radiograph, electrocardiogram, complete blood cell count, negative pregnancy test, urinalysis, blood chemistry tests (including glucose, urea nitrogen, and electrolytes in serum), and tests for liver function, syphilis, and hepatitis B surface antigen."</t>
  </si>
  <si>
    <t>"The protocol was approved by the University of Maryland Hospital Human Volunteer Research Committee and the Clinical Review Sub-Panel of the National Institute of Allergy and Infectious Diseases. The studies were explained to the volunteers in detail, and signed, witnessed consent was obtained. The informed nature of consent was documented prior to inoculation by the requirement that all volunteers pass a written examination containing questions on all aspects of the study, including purpose, hazards, procedures, and pertinent bacteriology and immunology [14]."</t>
  </si>
  <si>
    <t>double-blind study</t>
  </si>
  <si>
    <t>Black 1982</t>
  </si>
  <si>
    <t>Chappell CL</t>
  </si>
  <si>
    <t>C. hominis (TU502)</t>
  </si>
  <si>
    <t>https://pubmed.ncbi.nlm.nih.gov/17123976/</t>
  </si>
  <si>
    <t>"Infection was confirmed when fecal oocysts were detected by EIA, IFA, or both at  36 hours post-challenge."</t>
  </si>
  <si>
    <t>None given; describes clinical outcomes of infections, including number with enteric symptoms and diarrhea</t>
  </si>
  <si>
    <t>No AE data; reports clinical outcomes</t>
  </si>
  <si>
    <t>No SAEs mentioned in text, but "One volunteer (no. 134) presented to the Clinical Research Center with mild dehydration, was rehydrated with intravenous fluids, and released after 15 hours of overnight observation."</t>
  </si>
  <si>
    <t>"healthy adults" and "This study was done following inclusion and exclusion criteria and study-related procedures as previously described.25,26 After informed consent was obtained, volunteers agreeing to participate in the study were initially serologically screened for the presence of antibodies to Cryptosporidium. Volunteers who were negative for specific IgG underwent a thorough medical examination to identify any abnormalities that might be present."</t>
  </si>
  <si>
    <t>"The study was reviewed and approved by The University of Texas Health Science Center at Houston Committee for the Protection of Human Subjects. Informed consent was obtained from all subjects prior to the initiation of the study."</t>
  </si>
  <si>
    <t>Chappell 2006</t>
  </si>
  <si>
    <t>Collins AM</t>
  </si>
  <si>
    <t>6B serotype pneumococcus (BHN 418, sequence type 138)</t>
  </si>
  <si>
    <t>https://pubmed.ncbi.nlm.nih.gov/26114410/</t>
  </si>
  <si>
    <t>ISRCTN ID 45340436</t>
  </si>
  <si>
    <t>"Participants in whom experimental pneumococci were detected in NW samples at any visit postinoculation were defined as experimentally colonized." (NW = nasal wash)</t>
  </si>
  <si>
    <t>3 discontinued prior to challenge;
6 participants were naturally colonized prior to challenge, 1 became infected</t>
  </si>
  <si>
    <t>48 received PCV-13 vaccine prior to challenge;
48 (controls) received hepatitis A vaccine prior to challenge</t>
  </si>
  <si>
    <t>5/48 receiving PCV-13 vaccine became infected;
23/48 receiving hepatitis A vaccine became infected</t>
  </si>
  <si>
    <t>"Data on adverse events were collected and categorized as follows: headache, sore throat, nasal congestion/running/sneezing, myalgia, lethargy, earache/muffling/popping, pyrexia, neck stiffness, hospital admission, and other (including shivering, wheezy, cough, abdominal cramps, photophobia, sinus pain, and generally unwell). As per sponsor guidance, any serious adverse events were recorded and reported to the Data Monitoring and Safety Committee and sponsor within 24 hours."</t>
  </si>
  <si>
    <t>"no serious adverse events related to pneumococcal inoculation" but "One participant (PCV group and 6B colonized) was admitted to hospital overnight at 48 hours postinoculation complaining of pyrexia, lethargy, and sore throat. She was diagnosed with tonsillitis and a nontoxigenic Corynebacterium diptheriae was cultured from throat swabs. She received amoxicillin, 500 mg three times per day, for 10 days and made a full and uneventful recovery."</t>
  </si>
  <si>
    <t>Vaccination prior to challenge: PCV-13 or hepatitis A (control);
amoxicillin (6B colonization clearance after challenge)</t>
  </si>
  <si>
    <t>"nonsmoking, healthy participants" and "Study screening to minimize the risk of pneumococcal infection to participants or contacts included the following:
 - Study team selection, experienced in human challenge studies
 - Study design
 - Serotype selection (6B) and dosing
 - Participant selection and exclusion criteria (see supplemental material E1 in the online supplement; exclusion criteria)
 - Participant education and rigorous safety procedures including (1) a 24-hour emergency telephone contact with researchers (including close individual daily monitoring for 7 d postinoculation via text contact) and access to hospital facilities with prompt treatment if required, (2) a postinoculation advice sheet, (3) a thermometer, and (4) a course of amoxicillin tablets in case of emergency" and "Reasons for nonrecruitment included close contact with children aged younger than 5 years old or at-risk individuals, such as the elderly or those on immunosuppressive medications; asthma (on regular medication); current smoker; greater than 10 pack-year smoking history; and penicillin/amoxicillin allergy (see supplemental material E1)."</t>
  </si>
  <si>
    <t>"The National Health Service Research and Ethics Committee approved the study (12/NW/0873 Liverpool)."</t>
  </si>
  <si>
    <t>double-blind randomized controlled trial (RCT)</t>
  </si>
  <si>
    <t>Collins 2015</t>
  </si>
  <si>
    <t>Cremers AJ</t>
  </si>
  <si>
    <t>S. pneumoniae serotype 6B strain (BHN418 [35]) or 23F strain (P833 [36])</t>
  </si>
  <si>
    <t>https://pubmed.ncbi.nlm.nih.gov/25671106/</t>
  </si>
  <si>
    <t>"Pneumococcal carriage as detected by culture"</t>
  </si>
  <si>
    <t>26 challenged with serotype 6B;
4 challenged with serotype 23F</t>
  </si>
  <si>
    <t>14/26 challenged with serotype 6B became infected;
2/4 challenged with serotype 23F became infected</t>
  </si>
  <si>
    <t>"healthy adult volunteers were recruited in the United Kingdom according to inclusion and exclusion criteria described [1]."</t>
  </si>
  <si>
    <t>"This study has been conducted according to the Declaration of Helsinki principles, and ethical approval was obtained from the National Health Service Research Ethics Committee, Sefton, Liverpool (11/NW/0592). Written informed consent was received from all volunteers prior to inclusion in the study."</t>
  </si>
  <si>
    <t>Cremers 2014</t>
  </si>
  <si>
    <t>Croese J</t>
  </si>
  <si>
    <t>Necator americanus (L3)</t>
  </si>
  <si>
    <t>https://pubmed.ncbi.nlm.nih.gov/25248819/</t>
  </si>
  <si>
    <t>NCT01661933</t>
  </si>
  <si>
    <t>https://clinicaltrials.gov/ct2/show/NCT01661933?term=AU%2F3%2FBOBD012&amp;draw=2&amp;rank=1</t>
  </si>
  <si>
    <t>All participants had celiac disease and had been infected with hookworms in a previous challenge</t>
  </si>
  <si>
    <t>"NA infective status was monitored using quantitative PCR on fecal samples as described previously."</t>
  </si>
  <si>
    <t>anthelmintic therapy (200 mg mebendazole twice daily for 3 days)</t>
  </si>
  <si>
    <t>"The study and the application to extend the challenge, both designated HREC/07/QPAH/115, were approved on June 23, 2012 and September 4, 2013, respectively, by the Human Research Ethics Committee (EC00167) at the Centres for Health Research, Princess Alexandra Hospital, Ipswich Road, Woolloongabba, Queensland 4102, Australia. The trial was registered with ClinicalTrials.gov, Protocol Record AU/3/BOBD012 on August 6, 2012."</t>
  </si>
  <si>
    <t>Croese 2015</t>
  </si>
  <si>
    <t>3rd stage N americanus larvae inoculated percutaneously (L3i)</t>
  </si>
  <si>
    <t>https://pubmed.ncbi.nlm.nih.gov/16344586/</t>
  </si>
  <si>
    <t>All participants had Crohn's disease</t>
  </si>
  <si>
    <t>"Patent infection had established by week 20 in all cases."</t>
  </si>
  <si>
    <t>Long term immune suppressive drugs</t>
  </si>
  <si>
    <t>"Ethics approval was granted by the Townsville Health Service District Institutional Ethics Committee."</t>
  </si>
  <si>
    <t>Croese 2006</t>
  </si>
  <si>
    <t>Reinoculation, all participants had Crohn's disease</t>
  </si>
  <si>
    <t>"Disease reactivation, as defined by a CDAI &gt;150, occurred in two (CD4, CD5; table 1) after the doses of long term immune suppressive drugs had been reduced.</t>
  </si>
  <si>
    <t>Deasy AM</t>
  </si>
  <si>
    <t>Neisseria lactamica</t>
  </si>
  <si>
    <t>N. lactamica Y92-1009 (sequence type 3493, clonal complex [CC] 613)</t>
  </si>
  <si>
    <t>https://pubmed.ncbi.nlm.nih.gov/25814628/</t>
  </si>
  <si>
    <t>NCT02249598</t>
  </si>
  <si>
    <t>https://clinicaltrials.gov/ct2/show/NCT02249598?term=NCT02249598&amp;draw=2&amp;rank=1</t>
  </si>
  <si>
    <t>Provided demographic data doesn't add up</t>
  </si>
  <si>
    <t>"Oropharyngeal swabs were taken just prior to inoculation and then at weeks 2, 4, 8, 16, and 26, and were plated directly onto gonococcus (GC)-selective media (E&amp;O Laboratories) and incubated at 37°C in 5% carbon dioxide. After 48 hours, possible Neisseria species colonies were stained with X-gal (5-bromo-4-chloro-3-indolyl-beta-D-galactoside, Sigma) to identify possible N. lactamica colonies. Colonies that did not demonstrate the B-galactosidase enzyme underwent further identification with oxidase, Gram stain, and API-NH strip testing (bioMérieux). Specific strain identification was done by polymerase chain reaction (PCR) of an RsrII restriction site that is absent from the pyruvate dehydrogenase E1 gene ( pdhC) of N. lactamica Y92-1009 but present in other N. lactamica strains in the multilocus sequence typing (MLST) database"</t>
  </si>
  <si>
    <t>"All participants were asked to report upper respiratory tract and other symptoms, as well as adverse events, at each visit using a standard questionnaire."</t>
  </si>
  <si>
    <t>"Four participants experienced serious adverse events but none were related to the study."</t>
  </si>
  <si>
    <t>phosphate-buffered saline solution (placebo for control group)</t>
  </si>
  <si>
    <t>"healthy participants aged 18–25 years" and "Participants were excluded if they were immunocompromised, were taking immune-modifying medications, had close contact with immunocompromised individuals, had current infection, were currently taking antibiotics, were smokers, or were pregnant."</t>
  </si>
  <si>
    <t>"The study was approved by the National Health Service Research Ethics Committee (11/YH/0224), was overseen by an independent safety committee, and was conducted in accordance with the Declaration of Helsinki. Written informed consent was gained from participants prior to inclusion in the study. The study was registered with ClinicalTrials.gov (NCT02249598)."</t>
  </si>
  <si>
    <t>prospective, operator-blind challenge study</t>
  </si>
  <si>
    <t>Deasy 2015</t>
  </si>
  <si>
    <t>Reinoculation phase (previously inoculated cohort)</t>
  </si>
  <si>
    <t>"After 2 weeks, a final oropharyngeal swab was taken."</t>
  </si>
  <si>
    <t>Reinoculation phase (previous control cohort)</t>
  </si>
  <si>
    <t>Provided demographic data doesn't add up; ND for 143 control cohort challenged later</t>
  </si>
  <si>
    <t>"Oropharyngeal swabs were taken just prior to inoculation and then at weeks 2, 4, 8, 16, and 26, and were plated directly onto gonococcus (GC)-selective media (E&amp;O Laboratories) and incubated at 37°C in 5% carbon dioxide. After 48 hours, possible Neisseria species colonies were stained with X-gal (5-bromo-4-chloro-3-indolyl-beta-D-galactoside, Sigma) to identify possible N. lactamica colonies. Colonies that did not demonstrate the B-galactosidase enzyme underwent further identification with oxidase, Gram stain, and API-NH strip testing (bioMérieux). Specific strain identification was done by polymerase chain reaction (PCR) of an RsrII restriction site that is absent from the pyruvate dehydrogenase E1 gene ( pdhC) of N. lactamica Y92-1009 but present in other N. lactamica strains in the multilocus sequence typing (MLST) database" and "After 2 weeks, a final oropharyngeal swab was taken."</t>
  </si>
  <si>
    <t>143/161 are also counted as challenge participants. Of 161 controls for the original challenge, 143 were challenged (for the first time) alongside the rechallenged cohort (separate line)</t>
  </si>
  <si>
    <t>"Four participants experienced serious adverse events but none were related to the study." (mentioned in our appendix)</t>
  </si>
  <si>
    <t>Deye GA</t>
  </si>
  <si>
    <t>P. falciparum parasites (strain NF54, clone 3D7)</t>
  </si>
  <si>
    <t>https://pubmed.ncbi.nlm.nih.gov/22052893/</t>
  </si>
  <si>
    <t>NCT00984256</t>
  </si>
  <si>
    <t>https://clinicaltrials.gov/ct2/show/NCT00984256?term=NCT00984256&amp;draw=2&amp;rank=1</t>
  </si>
  <si>
    <t>29 received atovaquone/proguanil prophylaxis prior to challenge (different doses);
6 infectivity controls</t>
  </si>
  <si>
    <t>3/29 receiving drug prophylaxis became infected;
6/6 infectivity controls became infected</t>
  </si>
  <si>
    <t>"Safety was assessed at each clinic visit with the question ‘‘Have you felt different in any way since your last visit?’’ followed by prespecified questions about specific symptoms. Investigators determined that adverse events (AEs) were attributed to study participation on a scale ranging from ‘‘not related’’ to ‘‘definitely related’’. AEs were attributed to either ‘‘prophylaxis medication,’’ ‘‘treatment medication,’’ ‘‘mosquito challenge,’’ ‘‘Plasmodium infection,’’ ‘‘other,’’ or ‘‘cannot be determined’’ and graded in severity according to the Common Terminology Criteria for Adverse Events, version 4.01 (http://ctep.cancer.gov/protocolDevelopment/electronic_applications/ctc.htm#ctc_40)."</t>
  </si>
  <si>
    <t>No AE data reported for challenge, only related to drug prophylaxis</t>
  </si>
  <si>
    <t>Atovaquone/proguanil (prophylaxis), chloroquine (treatment to clear infection)</t>
  </si>
  <si>
    <t>"Volunteers included men and nonpregnant, non-lactating women 18 50 years of age who were available to participate for the duration of the study. All volunteers were required to score &gt;80% on a quiz of understanding of risks and study procedures. Volunteers were excluded if they had any history of malaria or travel within the past 12 months to a country with malaria transmission. Additional exclusion criteria included use of concomitant medications with antiplasmodial activity or immunosuppressant medications; clinically significant abnormalities on medical history, physical examination, laboratory testing, electrocardiogram, sickle cell disease, or trait; cardiac risk score of greater than low risk on the scoring system by Gaziano et al [16]; or a body mass index (BMI) of &lt;19 or &gt;30. Members of the infectivity control cohort were not subject to BMI restrictions as they did not undergo drug dosing."</t>
  </si>
  <si>
    <t>"This study was conducted in accordance with the Declaration of Helsinki (World Medical Association, 1964, amended 2008) under a protocol reviewed and approved by the Walter Reed Army Institute of Research (WRAIR) institutional review board (IRB) as well as by the US Army Medical Research and Materiel Command Human Subjects Protection Office. The protocol was conducted under an investigational new drug application and reviewed by the US FDA prior to execution. It was registered at its inception with ClinicalTrials.gov (NCT00984256). Written informed consent was obtained from all potential participants prior to screening and enrollment."</t>
  </si>
  <si>
    <t>randomized, placebo-controlled, double-blind trial</t>
  </si>
  <si>
    <t>Deye 2012</t>
  </si>
  <si>
    <t>Dobinson HC</t>
  </si>
  <si>
    <t>Salmonella Paratyphi A strain NVGH308</t>
  </si>
  <si>
    <t>https://pubmed.ncbi.nlm.nih.gov/28158395/</t>
  </si>
  <si>
    <t>NCT02100397</t>
  </si>
  <si>
    <t>https://clinicaltrials.gov/ct2/show/NCT02100397?term=NCT02100397&amp;draw=2&amp;rank=1</t>
  </si>
  <si>
    <t>Two groups of 20 participants challenged at different doses</t>
  </si>
  <si>
    <t>"The primary outcome was the rate of paratyphoid infection, defined as a positive blood culture for S. Paratyphi A (taken ≥72 hours after challenge to avoid detection of primary bacteremia) and/or oral temperature ≥38°C persisting for ≥12 hours"</t>
  </si>
  <si>
    <t>None given, but "Regular participant safety monitoring occurred through daily clinical review for a minimum of 14 days and included solicited symptoms (Supplementary Table 2) and twice-daily temperature measurements"</t>
  </si>
  <si>
    <t>No AE data; reports symptoms</t>
  </si>
  <si>
    <t>"One serious adverse event was recorded (appendicitis 6 months after S. Paratyphi A challenge) and was assessed as being unrelated to study procedures." (mentioned in our appendix)</t>
  </si>
  <si>
    <t>Treatment to clear infection: ciprofloxacin, oral azithromycin</t>
  </si>
  <si>
    <t>From study protocol, published separately: "Male or female participants, aged 18–60 years inclusive, who are in good health (as determined by a study doctor, medical investigation and agreement by their general practitioner) and able to provide written informed consent, will be eligible for inclusion in this study. Additional inclusion and exclusion criteria will be applied to ensure that participants are appropriate for the study"</t>
  </si>
  <si>
    <t>From supplementary methods: "An independent Data Safety Monitoring Committee (DSMC) was established, who had access to all data. Approvals were obtained from the DSMC prior to any protocol amendments and dose alterations. The study (ClinicalTrials.gov identifier NCT02100397) was approved by Oxfordshire Research Ethics Committee A (14/SC/0004) and performed according to the provisions of the Declaration of Helsinki and Good Clinical Practice guidelines"</t>
  </si>
  <si>
    <t>observational, dose-level modification human challenge study of S. Paratyphi A infection</t>
  </si>
  <si>
    <t>Dobinson 2017</t>
  </si>
  <si>
    <t>https://pubmed.ncbi.nlm.nih.gov/7870140/</t>
  </si>
  <si>
    <t>"cryptosporidium infection was defined as the excretion of oocysts in stool more than 36 hours after the ingestion of the gelatin capsule."</t>
  </si>
  <si>
    <t>oral electrolyte solution (to treat diarrhea)</t>
  </si>
  <si>
    <t>"Eligible volunteers were required to score 100 percent on a 10-question examination that tested their comprehension of salient features of the study, including the fact that they might become ill, that no effective treatment for the illness was available, and that the organism could be spread to household contacts. Subjects were excluded if their households included an infant, an elderly person, or someone who was chronically ill. Household contacts were also informed of the study. The subjects were required to read and sign a consent form, provide a history, and pass a physical examination. The following studies had to be normal: complete blood count, blood chemistry panel, urinalysis, chest radiography, electrocardiography, stool tests for occult blood and parasites, tests for T-cell subgroups and immunoglobulins, and serologic studies for hepatitis B surface antigen, syphilis, and human immunodeficiency virus. In addition, women of childbearing age had to have a negative pregnancy test. The subjects were also required to have delayed skin reactivity to positive control antigens (trichophyton, mumps, and candida) and negative tuberculin skin tests. Only subjects who were negative for C. parvum on ELISA were eligible."</t>
  </si>
  <si>
    <t>"The subjects were required to read and sign a consent form" and "The study was approved by the University of Texas Committee for the Protection of Human Subjects."</t>
  </si>
  <si>
    <t>DuPont 1995</t>
  </si>
  <si>
    <t>Evans DG</t>
  </si>
  <si>
    <t>ETEC (serotype 063:H-:CFA/I)</t>
  </si>
  <si>
    <t>https://pubmed.ncbi.nlm.nih.gov/3078739/</t>
  </si>
  <si>
    <t>Homologous CFA challenge</t>
  </si>
  <si>
    <t>"Developed diarrhea upon challenge."</t>
  </si>
  <si>
    <t>All volunteers vaccinated prior to challenge</t>
  </si>
  <si>
    <t>None given, but mentions "symptoms such as fever, cramps, headache, nausea or vomiting."</t>
  </si>
  <si>
    <t>oral colicin E2-treated whole cell H-10407 vaccine</t>
  </si>
  <si>
    <t>"Volunteers were &gt; 18 years old and of either sex. Each was subjected to a complete medical history and physical examination and laboratory screening before entering the study. Volunteers were excluded if they had a history of travellers' diarrhea or if they had resided in a Latin American country." and "To minimize the chance of cross-contamination, challenge experiments were performed in close confinement at the Baylor General Clinical
Research Center." and "Precaution against transmission of enteric infections was performed according to a standardized procedure [21]."</t>
  </si>
  <si>
    <t>"The studies were approved by the Institutional Review Boards at the Baylor College of Medicine and the hospitals involved in the study. A consent form was signed by each participant in the study."</t>
  </si>
  <si>
    <t>Evans 1988</t>
  </si>
  <si>
    <t>ETEC (serotype 06:H16:CFA/II)</t>
  </si>
  <si>
    <t>Heterologous CFA challenge</t>
  </si>
  <si>
    <t>ETEC (strain H10407)</t>
  </si>
  <si>
    <t>Challenge with living strain homologous to vaccine</t>
  </si>
  <si>
    <t>ETEC (serotype 063:H-:CFA/I, serotype 06:H16:CFA/II, or strain H10407)</t>
  </si>
  <si>
    <t>Feary J</t>
  </si>
  <si>
    <t>N. americanus (L3) larvae</t>
  </si>
  <si>
    <t>https://pubmed.ncbi.nlm.nih.gov/19400893/</t>
  </si>
  <si>
    <t>Unclear, possibly rise in eosinophil count?</t>
  </si>
  <si>
    <t>2 withdrew prior to study completion</t>
  </si>
  <si>
    <t>11 of 13 completing study chose not to take treatment</t>
  </si>
  <si>
    <t>11 chose to be infected at the end of the trial (no data reported)</t>
  </si>
  <si>
    <t>"In the week preceding randomization, and for the duration of the study, participants completed a daily diary, recording morning and evening peak expiratory low rates (PEFR; measured as the best of three attempts) and a symptom score based on a visual analogue scale from 0 (no symptoms) to 10 (maximum possible severity of symptoms) for a range of pre-determined possible adverse effects due to the hookworm." Adverse effects attributable to hookworm: localized skin itching, localized skin redness, wheeze, cough, breathlessness, nausea, diarrhea, abdominal pain, flatulence, indigestion, loss of appetite, tiredness</t>
  </si>
  <si>
    <t>Unclear data, reports median of mean daily score for each group</t>
  </si>
  <si>
    <t>Mebendazole</t>
  </si>
  <si>
    <t>"Study participants aged 18 years and over with current symptoms of allergic rhinoconjunctivitis were recruited by local advertisement. After excluding those with a diagnosis of asthma or other significant medical disorder, and any women who were pregnant or unwilling to use contraception for the duration of the study, potential participants were invited to attend a screening visit." and "Lung function was measured according to international guidelines [10] using a spirometer (Vitalograph, Buckingham, UK) taking the 1-s forced expiratory volume (FEV1) as the higher of two values within 100 mL. Subjects were excluded if the FEV1 was less than 80% predicted when compared with standard reference ranges [11]." and "Subjects who did not achieve a fall in FEV1 of 10% during the bronchial challenge were excluded from the study. Venous blood was taken for haemoglobin estimation, differential cell counting, serum albumin and hookworm serology analysis, and participants excluded if they were anaemic or had evidence of past or current hookworm infection. Allergen skin sensitization to Dermatophagoides pteronyssinus, cat fur, grass pollen and histamine and saline controls (Diagenics Ltd, Milton Keynes, UK) was measured by standard skin prick test methods [14], with a positive result defined as a mean whal diameter 3 mm greater than the saline control. Subjects without at least one positive result to the three allergen solutions were excluded. Urine analysis for b-HCG (QuickVue, Quidel Corporation, San Diego, CA, USA) was used to confirm that female participants of child-bearing age were not pregnant. An interviewer-administered Juniper Rhinoconjunctivitis Quality of Life Questionnaire (RQLQ) [15] was completed to ensure that subjects had current symptoms and to establish a baseline symptom score."</t>
  </si>
  <si>
    <t>"At the screening visit, the study protocol was explained and written informed consent obtained." and "The study was reviewed and approved by the Nottingham Research Ethics Committee and Research and Development department at the Nottingham University Hospitals NHS Trust."</t>
  </si>
  <si>
    <t>randomized placebo-controlled double-blind study</t>
  </si>
  <si>
    <t>Feary 2009</t>
  </si>
  <si>
    <t>Frenck R</t>
  </si>
  <si>
    <t>GII.4 norovirus (Cin-1 strain)</t>
  </si>
  <si>
    <t>https://pubmed.ncbi.nlm.nih.gov/22927452/</t>
  </si>
  <si>
    <t>NCT01322503</t>
  </si>
  <si>
    <t>https://clinicaltrials.gov/ct2/show/NCT01322503?term=NCT01322503&amp;draw=2&amp;rank=1</t>
  </si>
  <si>
    <t>2 cohorts of 20 subjects each</t>
  </si>
  <si>
    <t>"Norovirus infection was defined as RT-PCR detection of norovirus in the stool any time during the inpatient challenge stay and/or as seroconversion (defined as a 4-fold rise in ELISA antibody titer between days 0 and 30)."</t>
  </si>
  <si>
    <t>23 secretors;
17 non-secretors</t>
  </si>
  <si>
    <t>16/23 secretors became infected;
1/17 non-secretors became infected</t>
  </si>
  <si>
    <t>Solicited adverse events: fever, abdominal gurgling, malaise, abdominal pain, nausea, headache, anorexia, chills, muscle aches</t>
  </si>
  <si>
    <t>Unclear (&gt;=26)</t>
  </si>
  <si>
    <t>"No subject developed a grade III adverse event."</t>
  </si>
  <si>
    <t>"Men and women aged 18–49 years and in good general health were recruited from the community. Subjects were excluded if they worked in health care, food service, or day care; were pregnant or nursing; or had close contact with persons at risk for complications from norovirus infection. Potentially eligible subjects were screened by enzyme-linked immunosorbent assay (ELISA) for antibody to the challenge strain, and those with a titer of &lt;1:1600 remained eligible. Subjects were required to have normal results of physical and laboratory evaluations, including liver function tests, renal function tests, and complete blood count; negative results of tests for human immunodeficiency virus (HIV), hepatitis B virus (HBV), hepatitis C virus (HCV), and pregnancy; negative results of tests for bacterial and parasitic infections in stool; and normal findings of electrocardiography. Finally, subjects were evaluated for phenotypic evidence of the presence of a FUT-2 gene, as determined by identification of HBGAs in the saliva, as described below [11, 19]." and "Subjects remained in the inpatient facility for a minimum of 4 days following challenge or until they were asymptomatic, whichever was longer." and "Before enrollment of the second cohort, the study safety monitoring committee reviewed the safety data from the first cohort and approved continuation of the study."</t>
  </si>
  <si>
    <t>"The study was approved by the institutional review boards of the Cincinnati Children’s Hospital Medical Center, as well as by the US Army Medical Research and Materiel Command’s Human Research Protection Office. Written informed consent was obtained from all participants prior to enrollment."</t>
  </si>
  <si>
    <t>Frenck 2012</t>
  </si>
  <si>
    <t>Glennie S</t>
  </si>
  <si>
    <t>6B pneumococcus</t>
  </si>
  <si>
    <t>https://pubmed.ncbi.nlm.nih.gov/25921341/</t>
  </si>
  <si>
    <t>"presence of pneumococci in nasal wash at any time point after challenge."</t>
  </si>
  <si>
    <t>20 positive for upper respiratory tract viral infection prior to challenge</t>
  </si>
  <si>
    <t>15/20 virus-positive subjects became infected</t>
  </si>
  <si>
    <t>"Healthy adult subjects were enrolled with informed consent to an EHPC trial.13 All participants were nonsmoking adults aged 18–60 years who had no close contact with at-risk individuals, including young children (under the age of 5 years) and the elderly (over 65 years with comorbidities)."</t>
  </si>
  <si>
    <t>"Healthy adult subjects were enrolled with informed consent" and "Ethical approval was obtained from the National Health Service Research Ethics Committee (11/nasal wash/0592 and 12/nasal wash/0873) and the study was sponsored by the Royal Liverpool and Broadgreen University Hospitals Trust."</t>
  </si>
  <si>
    <t>Glennie 2016</t>
  </si>
  <si>
    <t>Graham DY</t>
  </si>
  <si>
    <t>ETEC (Escherichia coli, strain H10407 (serotype 078:K80:H11))</t>
  </si>
  <si>
    <t>https://pubmed.ncbi.nlm.nih.gov/6352386/</t>
  </si>
  <si>
    <t>"Recovery of enterotoxigenic Escherichia coli from stools"</t>
  </si>
  <si>
    <t>1 subject not included in data analysis;
3 not tested due to lack of stools</t>
  </si>
  <si>
    <t>None given, but "Subjective symptoms (diarrhea, nausea, vomiting, and abdominal cramps or pain) were recorded and each of these features was graded by the subject at the designated time periods on a five-point scale (absent, mild, moderate, severe, very severe)."</t>
  </si>
  <si>
    <t>No AE data; reports number with mild or severe illness</t>
  </si>
  <si>
    <t>No SAEs mentioned in text, but "four subjects became sufficiently ill that they received adjunctive therapy (defined as therapy in addition to the randomized drugs used in the study): intravenous fluids with antinauseants or tetracycline, or both."</t>
  </si>
  <si>
    <t>Bismuth subsalicylate (study drug), tetracycline (treatment)</t>
  </si>
  <si>
    <t>"The study was a two-part sequential design using normal healthy volunteers. Each subject underwent a complete history and physical examination and laboratory screen before entering the study. Volunteers were excluded if they had a history of traveler's diarrhea within 3 yr, if they had been to Mexico within the past year, or if they had resided in a Latin American country."</t>
  </si>
  <si>
    <t>"The study was approved by the Human Studies Committee of Baylor College of Medicine in May 1981."</t>
  </si>
  <si>
    <t>two-part sequential design</t>
  </si>
  <si>
    <t>Graham 1983</t>
  </si>
  <si>
    <t>Helicobacter pylori</t>
  </si>
  <si>
    <t>Baylor challenge strain 100 (BCS 100; ATCC BAA-945)</t>
  </si>
  <si>
    <t>https://pubmed.ncbi.nlm.nih.gov/15306577/</t>
  </si>
  <si>
    <t>Dose ranging study</t>
  </si>
  <si>
    <t>"Infection was confirmed by 13C urea breath test (13C-UBT), culture, and histology."</t>
  </si>
  <si>
    <t>None given, but "A symptom diary was completed by the subjects prior to challenge and continued for one month after challenge. A daily postcard containing symptom diary information was also provided and mailed or hand delivered by the subject daily to the investigators; non-receipt was followed up by a telephone call. Additionally, the study coordinator made a weekly phone call to or made personal contact with each subject to inquire about changes in symptoms. Subjects were encouraged to call/visit at any time regarding any change in clinical status."</t>
  </si>
  <si>
    <t>"Infected subjects developed variable gastrointestinal and constitutional symptoms. Dyspeptic symptoms were mild to moderate in severity" and "In no instance did symptoms interfere with regular activities of daily living." No SAEs mentioned in text</t>
  </si>
  <si>
    <t>Eradication therapy: omeprazole, metronidazole, tetracycline, Pepto-Bismol</t>
  </si>
  <si>
    <t>"Subjects were aged 18–50 years and in good health, as determined by medical history, physical examination, and clinical laboratory studies. Other criteria included no evidence of current or prior H pylori infection by negative H pylori serological test. (FlexSureHP; SmithKline Diagnostics Inc., San Jose, California, USA), negative 13C-UBT, normal upper gastrointestinal endoscopy with biopsies of the gastric antral and corpus mucosa being histologically normal and negative for H pylori by Genta stain, culture, and rapid urease testing (hpfast; GI Supply, Camp Hill, Pennsylvania, USA). Female subjects were required to have a negative serum pregnancy test and use approved birth control throughout the study. Exclusion criteria included living with, or having daily contact, with children aged 12 years or younger at home, school, day care, or equivalent facilities. Prohibition of contact with small children was based on epidemiological evidence that childhood is the time of greatest risk of developing H pylori infection and thus children might have increased susceptibility to infection.20 Additional exclusion criteria included history of major gastrointestinal surgery, peptic ulcer disease, gastrointestinal haemorrhage, gall bladder disease, inflammatory bowel disease, frequent diarrhoea or irritable bowel syndrome, positive serology for human immunodeficiency virus, hepatitis B surface antigen, hepatitis C, or syphilis, regular use of corticosteroids, immunosuppressives, non-steroidal anti-inflammatory drugs, or anticoagulants, history of specific allergy to any of the drugs used to cure the infection, use of proton pump inhibitors, H2 receptor antagonists, bismuth, metronidazole, tetracycline, penicillin, or macrolide antibiotics within four weeks of study entry, a medical condition where there is anticipated use of antibiotics during the course of the study (approximately eight months), and finally, a history of bleeding diathesis that might increase the risk of gastric biopsy."</t>
  </si>
  <si>
    <t>"The study was conducted in accordance with the ethical principles that have their origins in the Declaration of Helsinki and with Good Clinical Practice rules. These practices included IRB procedures, informed consent, adverse event recording and reporting, inspection and audit preparation, and records retention." and "Each of the two protocols was approved separately by the institutional review boards at Baylor College of Medicine and the VA Medical Center. Protocol 2 (validation study) was conducted under an IND
(BB-IND#5853) reviewed and approved by the US Food and Drug Administration (FDA). The FDA reviewed the methods of manufacture and control of the H pylori challenge strain and the clinical protocol. Results of the study were reported by OraVax (Acambis) to the FDA in the annual report filed to the IND."</t>
  </si>
  <si>
    <t>Graham 2004</t>
  </si>
  <si>
    <t>Dose validation study</t>
  </si>
  <si>
    <t>"All subjects experienced dyspeptic symptoms that were mild to moderate in severity." and "In no instance did symptoms interfere with regular activities of
daily living." No SAEs mentioned in text</t>
  </si>
  <si>
    <t>Eradication therapy: lansoprazole, clarithromycin, amoxicillin</t>
  </si>
  <si>
    <t>ND (likely same as or similar to above)</t>
  </si>
  <si>
    <t>dose validation study</t>
  </si>
  <si>
    <t>Median age given for each of 2 studies, but not overall</t>
  </si>
  <si>
    <t>Mean age given for each of 2 studies, but not overall</t>
  </si>
  <si>
    <t>SD given for each of two studies, but not overall</t>
  </si>
  <si>
    <t>No SAEs mentioned in text. "Infected subjects developed variable gastrointestinal and constitutional symptoms. Dyspeptic symptoms were mild to moderate in severity" and "In no instance did symptoms interfere with regular activities of daily living." "All subjects experienced dyspeptic symptoms that were mild to moderate in severity." and "In no instance did symptoms interfere with regular activities of daily living."</t>
  </si>
  <si>
    <t>Eradication therapy: omeprazole, metronidazole, tetracycline, Pepto-Bismol, lansoprazole, clarithromycin, amoxicillin</t>
  </si>
  <si>
    <t>Gritzfeld JF</t>
  </si>
  <si>
    <t>Streptococcus pneumoniae serotype 6B and 23F</t>
  </si>
  <si>
    <t>https://pubmed.ncbi.nlm.nih.gov/23439027/</t>
  </si>
  <si>
    <t>Representative results</t>
  </si>
  <si>
    <t>Carriage assessed by nasal wash</t>
  </si>
  <si>
    <t>"1. Healthy volunteers are recruited through poster advertisements and on the University website according to the NHS Research and Ethics
Committee guidance.
2. The inclusion criteria for participation are:
1. Adults aged 18-60 years.
2. Speaks fluent English and is able to communicate easily by both mobile telephone and text messaging.
3. The exclusion criteria for participation are:
1. Close contact with at risk individuals (children, immunosuppressed adults, elderly, chronic ill health).
2. Current smoker or significant smoking history (&gt;10 pack years).
3. Asthma or other respiratory disease.
4. Pregnancy.
5. Allergy to penicillin or amoxicillin.
6. Current involvement in another clinical trial unless observational or in non-interventional phase.
7. Unable to give fully informed consent.
4. An initial screening visit, approximately one week before inoculation, includes a focused clinical history and targeted clinical examination.
5. If a previously unrecognized abnormality is found, the volunteer will be excluded from the study and appropriate investigation will be arranged
through primary care.
6. During the initial screening visit a full blood count is obtained to ensure that the white cell count is within normal range before the inoculation
visit. A nasal wash is performed to exclude natural pneumococcal carriers (see 6.1).
7. Prior to inoculation, volunteers are educated on the risks involved with participation in the study and are provided with an emergency patient
leaflet, digital thermometer, emergency telephone numbers and 3 day course of amoxicillin."</t>
  </si>
  <si>
    <t>Experimental human pneumococcal carriage</t>
  </si>
  <si>
    <t>Gritzfeld 2013</t>
  </si>
  <si>
    <t>Streptococcus pneumoniae serotype 6B (BHN418)</t>
  </si>
  <si>
    <t>https://pubmed.ncbi.nlm.nih.gov/24995531/</t>
  </si>
  <si>
    <t>"In this study, we used an experimental human pneumococcal carriage model to longitudinally follow carriage episodes, and compared detection of carriage by culture and quantitative PCR (qPCR). We focused on carriage density and duration in experimental carriers, but also compared both parameters in natural carriers, who were followed in parallel."</t>
  </si>
  <si>
    <t>Reports positivity by nasal wash sample, not by individual. Results also include natural carriers that were not challenged</t>
  </si>
  <si>
    <t>"Healthy volunteers were enrolled, with informed consent, in an experimental human pneumococcal carriage trial [19]. All participants were non-smoking adults aged 18–60 years who had no close contact with at-risk individuals, including young children and the elderly."</t>
  </si>
  <si>
    <t>"Healthy volunteers were enrolled, with informed consent" and "Ethical approval was obtained from the National Health Service Research Ethics Committee (11/NW/0592), and the study was sponsored by the Royal Liverpool and Broadgreen University Hospitals Trust."</t>
  </si>
  <si>
    <t>Gritzfeld 2014</t>
  </si>
  <si>
    <t>Gubareva LV</t>
  </si>
  <si>
    <t>https://pubmed.ncbi.nlm.nih.gov/11170976/</t>
  </si>
  <si>
    <t>"Nasal washes were collected for 8 days, and viruses were isolated with the use of MDCK cell monolayers. Frozen aliquots of samples that were positive on initial isolation were used to determine the TCID50 per milliliter of sample in MDCK cells. Viruses isolated on the first and last days of shedding were passaged once or twice in MDCK cells and were stored at -70C until further analyses."</t>
  </si>
  <si>
    <t>Oseltamivir</t>
  </si>
  <si>
    <t>"adult healthy volunteers"</t>
  </si>
  <si>
    <t>randomized, double-blind, placebo controlled</t>
  </si>
  <si>
    <t>Gubareva 2001</t>
  </si>
  <si>
    <t>Habibi MS</t>
  </si>
  <si>
    <t>RSV-A Memphis 37 (RSV M37)</t>
  </si>
  <si>
    <t>https://pubmed.ncbi.nlm.nih.gov/25730467/</t>
  </si>
  <si>
    <t>"Infection was defined as RSV detectable by polymerase chain reaction (PCR) in nasal lavage on greater than or equal to 2 days between Day +2 and Day +10 to avoid false-positives from detection of the viral inoculum and to align case definitions with previous challenge studies using RSV M37 (13)."</t>
  </si>
  <si>
    <t>None given, but "Eight symptoms were evaluated in the symptom diary: nasal discharge, nasal congestion, sneezing, cough, sore throat, headache, feverishness and fatigue. Subjects were asked to score each symptom 0 (absent), 1 (mild), 2 (moderate), 3 (severe)" (from online supplement)</t>
  </si>
  <si>
    <t>No AE data; reports median cumulative symptom scores</t>
  </si>
  <si>
    <t>"Healthy nonsmoking adults aged 18–55 were eligible for inclusion. All were screened to exclude underlying immunodeficiencies including IgA deficiency by serum immunoglobulin class levels."</t>
  </si>
  <si>
    <t>"All subjects provided written informed consent and the study was approved by the UK National Research Ethics Service (study numbers 10/H0711/94 and 11/LO/1826)."</t>
  </si>
  <si>
    <t>Habibi 2015</t>
  </si>
  <si>
    <t>Jones S</t>
  </si>
  <si>
    <t>A/H3 Panama/2007/99</t>
  </si>
  <si>
    <t>https://pubmed.ncbi.nlm.nih.gov/19368793/</t>
  </si>
  <si>
    <t>Group 1 4.0µg Trivalent</t>
  </si>
  <si>
    <t>Lab-confirmed influenza illness</t>
  </si>
  <si>
    <t>"Adverse events (AEs) were recorded from the time of vaccination until the end of the study." Lists common AEs</t>
  </si>
  <si>
    <t>"there were no serious adverse events (SAEs) or withdrawals due to AEs"</t>
  </si>
  <si>
    <t>4.0µg Trivalent</t>
  </si>
  <si>
    <t>"Eligible subjects for this study were healthy males or females of non-child-bearing potential, 18–50 years of age providing written informed consent. Subjects were required to have a documented reciprocal haemagglutination inhibition (HAI) titre ≤10 against the influenza challenge virus strain (A/Panama/2007/99) to ensure sus- ceptibility to challenge, no contraindication to receiving antiviral therapy, no history during adulthood of asthma, no immunosuppression due to disease or treatment, no allergy to gold, not vaccinated for influenza in the current or previous season and not in the currently recommended groups to receive influenza vaccination."</t>
  </si>
  <si>
    <t>"Ethical approval was received from the Gene Therapy Advisory Committee prior to the enrolment of subjects."</t>
  </si>
  <si>
    <t>double-blind randomised, placebo-controlled study</t>
  </si>
  <si>
    <t>Jones 2009</t>
  </si>
  <si>
    <t>Group 2 2.0 µg Trivalent/DEI-LT</t>
  </si>
  <si>
    <t>2.0 µg Trivalent/DEI-LT</t>
  </si>
  <si>
    <t>Group 3 Placebo</t>
  </si>
  <si>
    <t>105  (86)</t>
  </si>
  <si>
    <t>Summed data for all cohorts. Demographic data only provided for 86 in efficacy population</t>
  </si>
  <si>
    <t>Reports some AE data for entire population (105, includes non-challenged). Also unclear whether AEs are explicitly challenge related or associated with vaccine</t>
  </si>
  <si>
    <t>4.0µg Trivalent or 2.0 µg Trivalent/DEI-LT</t>
  </si>
  <si>
    <t>Keitel WA</t>
  </si>
  <si>
    <t>Attenuated CR virus vaccine candidate (CRB 87 (clone 1-7,Lot E-255))</t>
  </si>
  <si>
    <t>https://pubmed.ncbi.nlm.nih.gov/2153185/</t>
  </si>
  <si>
    <t>Attenuated vaccine virus cohort</t>
  </si>
  <si>
    <t>"Occurrence of virus shedding and/or a significant serum antibody response in a volunteer was considered evidence of infection."</t>
  </si>
  <si>
    <t>None given, but "Each volunteer was examined daily (excluding day 6) during the week following inoculation. A temperature of 37.80 C was considered fever. Symptoms and signs were categorized on a scale of 1-3+ (mild, moderate, severe); the subject's and investigator's overall assessment of any illness and its character and severity were also recorded. Volunteers were also asked to record temperature and symptoms in a patient diary each day for 1 week after inoculation. Review of all records for a final assessment of illness was done at the end of the clinical observation period by a physician who was unaware of the volunteer inoculum groups."</t>
  </si>
  <si>
    <t>"Healthy volunteers, ages 18-35 years, recruited from the Texas Medical Center and environs were screened for susceptibility to the test viruses. Those with low or undetectable levels of serum neutralizing antibodies to B/USSR «1 :8) were considered eligible for participation. Individuals with acute or chronic illness or allergy to eggs and those who were pregnant were excluded. Also, participants were requested to abstain from direct contact with infants, pregnant women, elderly individuals, and persons with chronic disease of the heart or lung during the week after inoculation. Volunteers to be inoculated with the wild-type virus underwent additional laboratory screening evaluations including chest radiographs, electrocardiography, complete and differential blood cell counts, urinalysis, blood chemistries, hepatitis B serology, and a serum pregnancy test when appropriate."</t>
  </si>
  <si>
    <t>"Informed consent was obtained from all subjects participating in this study. The research was approved by the research review committees of Baylor Col- lege of Medicine, Methodist Hospital, and the General Clinical Research Center."</t>
  </si>
  <si>
    <t>Keitel 1990</t>
  </si>
  <si>
    <t>wild-type influenza B/Texas/1/84 (clone 6, lot E-229)</t>
  </si>
  <si>
    <t>Wild type challenge</t>
  </si>
  <si>
    <t>CR influenza B/Texas/1/84 vaccine (CRB 87)</t>
  </si>
  <si>
    <t>Attenuated CR virus vaccine candidate (CRB 87 (clone 1-7,Lot E-255)) or wild-type influenza B/Texas/1/84 (clone 6, lot E-229)</t>
  </si>
  <si>
    <t>Summed data for challenge cohorts (rechallenge extracted separately)</t>
  </si>
  <si>
    <t>Challenge, Attenuated, Vaccine, NAE, NSAE, Summed</t>
  </si>
  <si>
    <t>Kirkpatrick BD</t>
  </si>
  <si>
    <t>strain rDEN2Δ30</t>
  </si>
  <si>
    <t>https://pubmed.ncbi.nlm.nih.gov/27089205/</t>
  </si>
  <si>
    <t>NCT02021968</t>
  </si>
  <si>
    <t>https://clinicaltrials.gov/ct2/show/NCT02021968</t>
  </si>
  <si>
    <t>"Infection with TV003 or rDEN2D30 was defined as recovery of virus from the blood and/or seroconversion to DENV, as measured by the plaque reduction neutralization assayInfection with TV003 or rDEN2D30 was defined as recovery of virus from the blood and/or seroconversion to DENV, as measured by the plaque re- duction neutralization assay"</t>
  </si>
  <si>
    <t>7 participants lost to follow-up or discontinued intervention prior to challenge;
21 received vaccine prior to challenge;
20 received placebo prior to challenge</t>
  </si>
  <si>
    <t>0/21 vaccinated became infected;
20/20 placebo recipients became infected</t>
  </si>
  <si>
    <t>"AEs and clinical laboratory results were captured, recorded, and graded for intensity and relationship to vaccination using protocol-defined grading and standard toxicity tables"</t>
  </si>
  <si>
    <t>"Viremia" listed as systemic AE, discuss excluding</t>
  </si>
  <si>
    <t>Unclear (&gt;=25)</t>
  </si>
  <si>
    <t>TV003</t>
  </si>
  <si>
    <t>"The studies were performed under an investigational new drug appli- cation reviewed by the U.S. Food and Drug Administration and ap- proved by the Institutional Review Boards at the University of Vermont and Johns Hopkins University. Informed consent was obtained in ac- cordance with federal and international regulations (21CFR50 and ICHE6). External independent monitoring was performed, and the Na- tional Institute of Allergy and Infectious Diseases Data Safety Monitor- ing Board reviewed all safety data every 6 months."</t>
  </si>
  <si>
    <t>Kirkpatrick 2016</t>
  </si>
  <si>
    <t>Lindesmith L</t>
  </si>
  <si>
    <t>Norwalk virus 8FIIa or 8FIIb</t>
  </si>
  <si>
    <t>https://pubmed.ncbi.nlm.nih.gov/12692541/</t>
  </si>
  <si>
    <t>Norwalk virus infection</t>
  </si>
  <si>
    <t>"All study protocols and data collection tools were reviewed and approved by the University of North Carolina School of Medicine Committee for the Protection of Human Subjects. Informed consent was obtained from all subjects before their participation."</t>
  </si>
  <si>
    <t>2 randomized, double-blind clinical trials</t>
  </si>
  <si>
    <t>Lindesmith 2003</t>
  </si>
  <si>
    <t>https://pubmed.ncbi.nlm.nih.gov/23024024/</t>
  </si>
  <si>
    <t>nonsmokers (clinical characteristics only given for 10 included in final analysis)</t>
  </si>
  <si>
    <t>"Rhinovirus infection was confirmed with a combination of virus culture, serology, and polymerase chain reaction"</t>
  </si>
  <si>
    <t>"Ethical approval was obtained from UK Research Ethics Committees (study numbers 00/BA/459E, 07/H0712/138, and 11/LO/0400) and informed consent obtained from all subjects."</t>
  </si>
  <si>
    <t>Mallia 2012</t>
  </si>
  <si>
    <t>smokers (clinical characteristics only given for 21 included in final analysis)</t>
  </si>
  <si>
    <t>COPD (clinical characteristics only given for 20 included in final analysis)</t>
  </si>
  <si>
    <t>"one subject with COPD withdrew because of ill health believed unconnected to the study."</t>
  </si>
  <si>
    <t>78 (51)</t>
  </si>
  <si>
    <t>Mammen MP</t>
  </si>
  <si>
    <t>seven different DENV strains</t>
  </si>
  <si>
    <t>https://pubmed.ncbi.nlm.nih.gov/24468542/</t>
  </si>
  <si>
    <t>≥2 typical symptoms, ≥48 h of sustained fever (&gt;100.4 ◦F) and concurrent viremia</t>
  </si>
  <si>
    <t>Serious adverse event (SAE): any adverse event that was fatal, life-threatening, permanently disabling, or temporarily disabling (inability to perform activities of daily living (ADL) for more than ten days). // Disease Severity Index (DSI) was based on three symptom cate- gories: subjective fever or chills, headache or retro-orbital pain, and myalgia or arthralgia.</t>
  </si>
  <si>
    <t>"Of the 12 volunteers who received infectious dengue virus chal- lenge, 5 volunteers satisfied our case definition of Dengue Fever (DF), typically within one week of DENV challenge. Another 4 volunteers exhibited symptoms, viremia and seroconversion, but their fevers were insufficient to satisfy our case definition of DF. None of the 12 volunteers experienced SAEs."</t>
  </si>
  <si>
    <t>"Healthy volunteers (military and civilian, aged 18–35 years) were recruited. They were required to attend a study briefing and pass a written multiple-choice examination to provide assurances that they understood the study’s intent, risks and requirements. Inclusion criteria included written informed consent. Exclusion criteria included history of chronic disease (especially of the immune system), any equivocal indicators of ill-health, clini- cally relevant abnormalities on physical examination or laboratory evaluation, serious medication allergy, detectable neutralizing antibody to dengue virus (any of four serotypes) or YF virus, or detectable hemagglutination inhibition antibodies to dengue (all four serotypes), JE, St. Louis encephalitis, or YF viruses, or acute illness at the time of challenge. The screening process included chest X-ray, abdominal ultra- sound, urinalysis and blood studies [complete blood count (CBC), liver enzymes (LFT), kidney function indicators, coagulation stud- ies, and serology for human immunodeficiency virus (HIV), hepatitis B, hepatitis C, syphilis]."</t>
  </si>
  <si>
    <t>"The protocol and consent form received scientific and ethical approvals by the WRAIR, WRAMC, and the U.S. Army Surgeon General."</t>
  </si>
  <si>
    <t>randomized, placebo-controlled, double-blinded model for live infectious DENV challenge</t>
  </si>
  <si>
    <t>Mammen 2014</t>
  </si>
  <si>
    <t>P. falciparum IBSM</t>
  </si>
  <si>
    <t>https://pubmed.ncbi.nlm.nih.gov/28363636/</t>
  </si>
  <si>
    <t>ACTRN12613000527763</t>
  </si>
  <si>
    <t>Only part 2 of the study is a HCT</t>
  </si>
  <si>
    <t>spontaneous reporting and non-directive questioning of the participant at each visit</t>
  </si>
  <si>
    <t>"Eight of the nine participants reported at least one adverse event. Of the 30 adverse events reported, 18 were deemed as probably related to malaria (appendix p 22). There were no adverse events related to DSM265 or any other study treatments, including mefloquine. Most of the adverse events were mild in severity (28 [93%] of 30). The most common adverse events deemed related to malaria were headache."</t>
  </si>
  <si>
    <t>DSM265, mefloquine, artemether-lumefantrine, primaquine</t>
  </si>
  <si>
    <t>"Participants were excluded if they had hyper-sensitivity to any study drug. In part 2, participants were not to live alone for the duration of the study, not to have had visited a malaria-endemic area for a period greater than 2 weeks in the last 12 months, and not to have received recent or current therapy with an antibiotic or drug with potential antimalarial activity."</t>
  </si>
  <si>
    <t>"All participants gave written informed consent before being included in the study. The study was approved by the QIMR Berghofer Human Research Ethics Committee."</t>
  </si>
  <si>
    <t>phase 1b, IBSM, open-label, randomised, active-comparator controlled study</t>
  </si>
  <si>
    <t>McCarthy 2017</t>
  </si>
  <si>
    <t>Plasmodium falciparum 3D7A-infected human erythrocytes</t>
  </si>
  <si>
    <t>https://pubmed.ncbi.nlm.nih.gov/27624471/</t>
  </si>
  <si>
    <t>ACTRN12613001040752</t>
  </si>
  <si>
    <t>"During confinement, vital signs were measured three times per day and all symptoms and adverse events were recorded per protocol"</t>
  </si>
  <si>
    <t>Reports number of AEs, not number of individuals with &gt;=1 AE. "Of the total of 84 adverse events reported, 12 were assessed as possibly related to the inoculum (i.e. malaria-related), 42 were assessed as probably related to the inoculum, and seven were assessed as unlikely to be related, or unrelated to inoculation."</t>
  </si>
  <si>
    <t>"This study was put on hold following the occurrence of these three separate events occurring in three subjects that were classified as serious adverse events (SAEs) by the sponsor [...] In the absence of the identification of another plausible cause, and with the temporal association following ferroquine administration it was concluded that these adverse events were likely attributable to ferroquine. However, given the concurrence of a range of other potential hepatic irritants (notably malaria, and concurrent medications), it not possible to exclude these as cofactors."</t>
  </si>
  <si>
    <t>ferroquine</t>
  </si>
  <si>
    <t>"At screening, all subjects underwent a complete physical examination, monitoring of vital signs, ECG and routine biochemistry and haematology testing. During confinement, vital signs were measured three times per day and all symptoms and adverse events were recorded per protocol (see Additional file 1). Blood samples were assayed for a number of haematological abnormalities."</t>
  </si>
  <si>
    <t>"The study was conducted in accordance with the principles of the Declaration of Helsinki (1964 and subsequent updates), and with the NHMRC National Statement on Ethical Conduct in Human Research (2007). The conduct of the study was in accordance with the Notes for Guidance on Good Clinical Practice (CPMP/ICH/135/95), as adopted by the Australian Therapeutic Goods Administration (2000). "</t>
  </si>
  <si>
    <t>phase II, controlled, single-centre clinical trial</t>
  </si>
  <si>
    <t>McCarthy 2016c</t>
  </si>
  <si>
    <t>Memoli MJ</t>
  </si>
  <si>
    <t>wild-type 2009 A(H1N1)pdm influenza A challenge virus</t>
  </si>
  <si>
    <t>https://pubmed.ncbi.nlm.nih.gov/27094330/</t>
  </si>
  <si>
    <t>NCT01971255</t>
  </si>
  <si>
    <t>https://clinicaltrials.gov/ct2/show/NCT01971255</t>
  </si>
  <si>
    <t>high-titer group (demographic data only provided for 25 included in analysis)</t>
  </si>
  <si>
    <t>"MMID was defined as viral shedding detected by clinical molecular testing, plus a minimum of one symptom of influenza after intranasal challenge, as previously described (19)."</t>
  </si>
  <si>
    <t>6 excluded after challenge</t>
  </si>
  <si>
    <t>None given, but lists number with symptoms</t>
  </si>
  <si>
    <t>"This study (clinicaltrials.gov identifier NCT01971255) was approved by the NIAID Institutional Review Board and was conducted in accordance with the provisions of the Declaration of Helsinki and good clinical practice guidelines."</t>
  </si>
  <si>
    <t>Memoli 2016</t>
  </si>
  <si>
    <t>low-titer group</t>
  </si>
  <si>
    <t>71 (65)</t>
  </si>
  <si>
    <t>Summed data for both cohorts (demographic data missing for 6 excluded after challenge)</t>
  </si>
  <si>
    <t>Median age given for each of two groups, but not overall</t>
  </si>
  <si>
    <t>Minassian AM</t>
  </si>
  <si>
    <t>BCG as surrogate for M. tuberculosis infection</t>
  </si>
  <si>
    <t>https://pubmed.ncbi.nlm.nih.gov/22396610/</t>
  </si>
  <si>
    <t>BCG-naive cohort</t>
  </si>
  <si>
    <t>"Detection of Live BCG in Human Skin After Vaccination" by PCR and/or culture</t>
  </si>
  <si>
    <t>None given, but "There were no unexpected local reactions or systemic complications after BCG challenge."</t>
  </si>
  <si>
    <t>No SAEs mentioned in text. "There were no unexpected local reactions or systemic complications after BCG challenge."</t>
  </si>
  <si>
    <t>"Twenty-eight healthy, BCG-naive volunteers were recruited, followed by an additional 12 participants previously vaccinated with BCG. For this previously vaccinated group, volunteers were excluded if they had received the BCG vaccine within the past 2 months; however, the minimum period (from prior vaccination to recruitment) of those enrolled was 8 months. The full inclusion and exclusion criteria are described in Supplemental Methods 1."</t>
  </si>
  <si>
    <t>"This study was approved by Oxfordshire Research Ethics Committee A (REC reference 07/Q1604/3). All volunteers gave written informed consent before participation."</t>
  </si>
  <si>
    <t>Minassian 2012</t>
  </si>
  <si>
    <t>Challenge, Vaccine, NSAE, Excluded</t>
  </si>
  <si>
    <t>Previously vaccinated with BCG cohort</t>
  </si>
  <si>
    <t>Unclear (&gt;=28)</t>
  </si>
  <si>
    <t>Challenge, Vaccine, NSAE, Summed</t>
  </si>
  <si>
    <t>Mitsi E</t>
  </si>
  <si>
    <t>6B pneumococcus (BHN418)</t>
  </si>
  <si>
    <t>https://pubmed.ncbi.nlm.nih.gov/27579859/</t>
  </si>
  <si>
    <t>single dose of either PCV-13 (Prevnar, Pfizer) or Hep-A vaccine as a control group (Avaxim, Sanofi Pasteur MSD)</t>
  </si>
  <si>
    <t>"Ethical approval was obtained from the National Health Service Research Ethics Committee (REC) (12/NW/0873)."</t>
  </si>
  <si>
    <t>Mitsi 2016</t>
  </si>
  <si>
    <t>Mordmuller B</t>
  </si>
  <si>
    <t>https://pubmed.ncbi.nlm.nih.gov/28199305/</t>
  </si>
  <si>
    <t xml:space="preserve"> NCT02115516</t>
  </si>
  <si>
    <t>https://clinicaltrials.gov/ct2/show/NCT02115516</t>
  </si>
  <si>
    <t>"Daily thick blood smears were performed as previously described37 from day 6 to 21, following each DVI for immunization and CHMI, during anti-malarial treatment and at each late follow-up visit. Slides were considered positive when at least two readers detected two unambiguous parasites, each."</t>
  </si>
  <si>
    <t>2 placebo recipients don't seem to have been challenged (not totally clear)</t>
  </si>
  <si>
    <t>AEs listed individually in supplementary materials</t>
  </si>
  <si>
    <t>Extended data figure 1b indicates that each participant undergoing CHMI experienced &gt;=1 AE, with 6 grade 3 AEs</t>
  </si>
  <si>
    <t>see Extended Data Figure 1b</t>
  </si>
  <si>
    <t>"Volunteers were healthy, 18–45 years old, malaria-naive adults."</t>
  </si>
  <si>
    <t>"The study was approved by the ethics committee of the medical faculty and the university clinics of the University of Tübingen and strictly adhered to Good Clinical Practice and the principles of the Declaration of Helsinki." Approval of the Paul-Ehrlich-Institut</t>
  </si>
  <si>
    <t>Mordmuller 2017</t>
  </si>
  <si>
    <t>Muehling ML</t>
  </si>
  <si>
    <t>RV-A16</t>
  </si>
  <si>
    <t>https://pubmed.ncbi.nlm.nih.gov/27591323/</t>
  </si>
  <si>
    <t>NCT02111772</t>
  </si>
  <si>
    <t>https://clinicaltrials.gov/ct2/show/NCT02111772?term=NCT02111772&amp;draw=2&amp;rank=1</t>
  </si>
  <si>
    <t>"Infection was confirmed based on ≥4-fold rise in serum neutralizing titer at 3 wk postinoculation and/or positive quantitative PCR for RV-A16 in nasal washes"</t>
  </si>
  <si>
    <t>"After inoculation with RV-A16, these subjects became infected and developed symptoms"</t>
  </si>
  <si>
    <t>none given, but says that all infected volunteers had symptoms</t>
  </si>
  <si>
    <t>No AE data; reports that all infected had symptoms</t>
  </si>
  <si>
    <t>"Written informed consent was obtained from all participants and studies were approved by the University of Virginia Human Investigation Committee and the Institutional Review Board of Benaroya Research Institute. In addition, RV challenge studies were approved by the Food and Drug Administration and the National Institute of Allergy and Infectious Diseases Safety Committee"</t>
  </si>
  <si>
    <t>Muehling  2016</t>
  </si>
  <si>
    <t>Nash TE</t>
  </si>
  <si>
    <t>Giardia lamblia</t>
  </si>
  <si>
    <t>Giardia lamblia (B6, H7, or GS/M-85)</t>
  </si>
  <si>
    <t>https://pubmed.ncbi.nlm.nih.gov/2341723/</t>
  </si>
  <si>
    <t>"All stools were graded as to consistency, weighed, and examined for Giardia by a modification of formalin-ether concentration method if direct saline and/or iodine-stained preparations were negative. In addition, fresh or frozen stools were examined for the presence of Giardia Ag (13, 14) and confirmed the results obtained during direct examination of feces."</t>
  </si>
  <si>
    <t>Quinacrine (treatment)</t>
  </si>
  <si>
    <t>"The methods of medical screening, procedures, care of the volunteers, and informed consent have been described (12). Volunteers with a history of giardiasis or an extended period of diarrhea, extensive travel to underdeveloped areas, or increased likelihood of exposure to Giardia were excluded."</t>
  </si>
  <si>
    <t>"Protocols were reviewed by the Human Volunteer Research Committee of the University of Maryland at Baltimore and the Clinical Research Sub-panel of the National Institute of Allergy and Infectious Diseases, National Institutes of Health."</t>
  </si>
  <si>
    <t>Nash 1990</t>
  </si>
  <si>
    <t>Pasay CJ</t>
  </si>
  <si>
    <t>P. falciparum 3D7 (IBSM)</t>
  </si>
  <si>
    <t>https://pubmed.ncbi.nlm.nih.gov/27056954/</t>
  </si>
  <si>
    <t>Australian and New Zealand Clinical Trials Registry: ACTRN12613000565741</t>
  </si>
  <si>
    <t>"Parasitemia was measured each morning from day 4 until PCR results became positive, after which measurements were performed every 12 hours until treatment."</t>
  </si>
  <si>
    <t>"Adverse events were in alignment with those observed in previous IBSM studies (Supplementary Table 3)." Lists and reports individual AEs, but not # with &gt;=1 AE</t>
  </si>
  <si>
    <t>Reports individual AEs, but not # with &gt;=1 AE</t>
  </si>
  <si>
    <t>"The majority of the malaria-related symptoms were mild (72% [93 of 129]) or moderate (26% [33 of 129]), with 2% (3 of 129) reported as severe (fever with a temperature of &gt;39°C experienced by 3 subjects)."</t>
  </si>
  <si>
    <t>piperaquine, primaquine, artemether-lumefantrine</t>
  </si>
  <si>
    <t>exclusion criteria: see supplementary material</t>
  </si>
  <si>
    <t>"The study was conducted in accordance with the protocol approved by the QIMR Berghofer Human Research Ethics Committee and was registered in the Australian and New Zealand Clinical Trials Registry (ANZCTRN12613000565741). All subjects gave written informed consent before being included in the study."</t>
  </si>
  <si>
    <t>phase 2, single center study</t>
  </si>
  <si>
    <t>Pasay 2016</t>
  </si>
  <si>
    <t>Pennington SH</t>
  </si>
  <si>
    <t>Streptococcus pneumoniae serotype 6B (strain BHN418)</t>
  </si>
  <si>
    <t>https://pubmed.ncbi.nlm.nih.gov/27403678/</t>
  </si>
  <si>
    <t>Previous natural carriage cohort</t>
  </si>
  <si>
    <t>pneumococcal carriage</t>
  </si>
  <si>
    <t>"healthy nonsmoking adults" and "had no close contact with at-risk individuals"</t>
  </si>
  <si>
    <t>"Written informed consent was obtained from all volunteers. Both studies were approved by the National Research Ethics Service (11/NW/0592) and were sponsored by the Royal Liverpool and Broadgreen University Hospitals Trust."</t>
  </si>
  <si>
    <t>Pennington 2016</t>
  </si>
  <si>
    <t>SD given for each of 2 cohorts, but not overall</t>
  </si>
  <si>
    <t>Ramos EL</t>
  </si>
  <si>
    <t>influenza A/Wisconsin/67/2005 (H3N2)</t>
  </si>
  <si>
    <t>https://pubmed.ncbi.nlm.nih.gov/25281755/</t>
  </si>
  <si>
    <t>NCT01719874</t>
  </si>
  <si>
    <t>https://clinicaltrials.gov/ct2/show/NCT01719874?term=NCT01719874&amp;draw=2&amp;rank=1</t>
  </si>
  <si>
    <t>61 (60)</t>
  </si>
  <si>
    <t>1 excluded from ITT population after challenge, not included in demographci info</t>
  </si>
  <si>
    <t>"The mITT analysis set included the ITT population subset with laboratory-confirmed influenza infection, defined as those who shed virus or seroconverted."</t>
  </si>
  <si>
    <t>1 excluded from ITT population after challenge</t>
  </si>
  <si>
    <t>"Safety measures included monitoring for AEs and vital signs and performance of clinical laboratory tests, electrocardiography, and spirometry. Influenza symptoms recorded in the symptom diary questionnaire were not recorded as AEs unless their severity and duration were not consistent with the natural history of influenza infection."</t>
  </si>
  <si>
    <t>Reports "treatment-emergent" AEs</t>
  </si>
  <si>
    <t>"No treatment-emergent serious AE or AE resulting in discontinuation occurred during the study." and "One TCN-032–treated subject experienced severe (grade 3) muscle injury"</t>
  </si>
  <si>
    <t>TCN-032, a human monoclonal antibody; or placebo</t>
  </si>
  <si>
    <t>"Safety measures included monitoring for AEs and vital signs and performance of clinical laboratory tests, electrocardiography, and spirometry."</t>
  </si>
  <si>
    <t>"Ethical approval was obtained from the Research Ethics Committee, and informed consent was obtained from all subjects. The study was conducted in accordance with ICH (International Conference on Harmonisation of Technical Requirements for Registration of Pharmaceuticals for Human Use) guidelines, regional and local regulations, the Declaration of Helsinki, and the study protocol."</t>
  </si>
  <si>
    <t>Ramos 2015</t>
  </si>
  <si>
    <t>Seder RA</t>
  </si>
  <si>
    <t>Plasmodium falciparum sporozoites (NF54 strain or 3D7 clone)</t>
  </si>
  <si>
    <t>https://pubmed.ncbi.nlm.nih.gov/23929949/</t>
  </si>
  <si>
    <t>NCT01441167</t>
  </si>
  <si>
    <t>https://clinicaltrials.gov/ct2/show/NCT01441167?term=NCT01441167&amp;draw=2&amp;rank=1</t>
  </si>
  <si>
    <t>Reports AEs related to vaccination, but not for CHMI</t>
  </si>
  <si>
    <t>"Two SAEs occurred: One subject was diagnosed with colon cancer and did not participate in CHMI. After CHMI, one vaccine recipient developed anxiety and head- ache 14 days after completing chloroquine treat- ment and was hospitalized overnight for diagnostic purposes. The symptoms, which were attributed to chloroquine, resolved within 1 month." (non-challenge SAEs discussed in our appendix)</t>
  </si>
  <si>
    <t>nonreplicating sporozoite vaccine, chloroquine (treatment)</t>
  </si>
  <si>
    <t>"Malaria-naïve, healthy adults, 18-45 years of age with a negative sickle cell screening test, were included."</t>
  </si>
  <si>
    <t>"VRC 312 was approved by the Intramural Institutional Review Board (IRB) of the National Institute of Allergy and Infectious Diseases (NIAID). U.S. Department of Health and Human Services guidelines for conducting clinical research were followed. The first 3 subjects/dosage group were enrolled on separate days and evaluated until one week after second vaccination to assess safety prior to dose escalation or enrollment of the remaining cohort at that dose level. Each step was reviewed and approved by a Safety Monitoring Committee and submitted to the Food and Drug Administration (FDA). The protocol was reviewed by FDA and conducted under IND 14826."</t>
  </si>
  <si>
    <t>phase 1, open-label, dose escalation trial with CHMI</t>
  </si>
  <si>
    <t>Seder 2013</t>
  </si>
  <si>
    <t>Shimanovich AA</t>
  </si>
  <si>
    <t>S. flexneri 2a 2457T</t>
  </si>
  <si>
    <t>https://pubmed.ncbi.nlm.nih.gov/27927680/</t>
  </si>
  <si>
    <t>vaccine group</t>
  </si>
  <si>
    <t>doesn't differentiate between moderate and severe</t>
  </si>
  <si>
    <t>Shigella vaccine candidate EcSf2a-2</t>
  </si>
  <si>
    <t>healthy adults</t>
  </si>
  <si>
    <t>phase IIB Shigella challenge study</t>
  </si>
  <si>
    <t>Shimanovich 2017</t>
  </si>
  <si>
    <t>unvaccinated control group</t>
  </si>
  <si>
    <t>Smith CM</t>
  </si>
  <si>
    <t>P. falciparum strains 3D7 (chloroquine susceptible) and K1 (chloroquine resistant)</t>
  </si>
  <si>
    <t>https://pubmed.ncbi.nlm.nih.gov/28176804/</t>
  </si>
  <si>
    <t>NCT02389348</t>
  </si>
  <si>
    <t>https://clinicaltrials.gov/ct2/show/NCT02389348</t>
  </si>
  <si>
    <t>8 in control cohort were enrolled in parallel study, data not extracted here</t>
  </si>
  <si>
    <t>"Adverse events were monitored during the study via telephone or in the clinical unit. Safety was determined by recorded adverse events, which were categorized according to their causality (probable, possible or unlikely related, or unrelated to study treatments) and severity (mild, moderate or severe), and whether they were serious or non-serious."</t>
  </si>
  <si>
    <t xml:space="preserve">one AE classified as serious, but not related to trial study (mentioned in our appendix).  The majority of the events (49/57) were of mild severity, and most 
(45/57) were attributed to malaria and were consistent with those 
reported in previous studies. </t>
  </si>
  <si>
    <t>griseofulvin / rescue treatment with artemether-lumefantrine</t>
  </si>
  <si>
    <t>"Ethical approval to work with cells for the in vitro P. falciparum growth inhibition assays was obtained from the Macquarie University and Australian National University Human Research Ethics Committees (project number 5201200714 and 2014/732, respectively). The ex vivo parasite growth inhibition assay study was approved by the Macquarie University and Australian National University Human Research Ethics Committees (5201300061), and registered in the Australian and New Zealand Clinical Trials Registry (ANZCTRN12613000307707 date of registration 20/03/2013). The IBSM challenge study was approved by QIMR Berghofer Human Research Ethics Committee, Macquarie University and Australian National University Human Research Ethics Committees (P1536). The study was registered in the Australian and New Zealand Clinical Trials Registry (ANZCTRN12613000698774, date of registration 26/06/2013). The study undertaken in parallel with Cohort 2 of the griseofulvin malaria challenge study was registered at clinicaltrials.org (NCT02389348, date of registration 20/02/2015) and approved by QIMR Berghofer Human Research Ethics Committee. All the methods involving human subjects and material derived from human subjects were performed in accordance with the study protocols and institutional regulations. All subjects gave written informed consent before being included in the studies."</t>
  </si>
  <si>
    <t>Interventional (Clinical Trial)</t>
  </si>
  <si>
    <t>Smith 2017</t>
  </si>
  <si>
    <t>strain 35000HP</t>
  </si>
  <si>
    <t>https://pubmed.ncbi.nlm.nih.gov/14573692/</t>
  </si>
  <si>
    <t>"Resolver group"</t>
  </si>
  <si>
    <t>"Informed consent was obtained from the subjects for participation and for human immunodeficiency virus serology in accordance with the human experimentation guidelines of the U.S. Department of Health and Human Services and the Institutional Review Board of Indiana University—Purdue University at Indianapolis."</t>
  </si>
  <si>
    <t>reinfection trial</t>
  </si>
  <si>
    <t>Spinola 2003</t>
  </si>
  <si>
    <t>"Pustule formers"</t>
  </si>
  <si>
    <t>SD given for each of two cohorts, but not overall</t>
  </si>
  <si>
    <t>Rechallenge, Summed</t>
  </si>
  <si>
    <t>Spring MD</t>
  </si>
  <si>
    <t>https://pubmed.ncbi.nlm.nih.gov/19390585/</t>
  </si>
  <si>
    <t>NCT00385047</t>
  </si>
  <si>
    <t>https://www.clinicaltrials.gov/ct2/show/NCT00385047</t>
  </si>
  <si>
    <t>parasitemia detected by blood smear</t>
  </si>
  <si>
    <t>16 vaccinated prior to challenge;
6 infectivity controls</t>
  </si>
  <si>
    <t>"All 22 volunteers, 16 vaccinees and 6 controls, became parasitemic as determined by blood smear between 9 and 12 days after sporozoite challenge"</t>
  </si>
  <si>
    <t>Defined fully in supplementary protocol. Reports AEs related to vaccination, but not for challenge.</t>
  </si>
  <si>
    <t>AEs related to immunizations: "Over the course of three immunizations, only 8 of 315 (3%) of solicited systemic events were rated Grade 3, and these occurred in five volunteers (14% of volunteers); all were immunized with full dose AMA-1/AS01B. Of these five volunteers, three reported systemic events after the second immunization and two after the third immunization. These few systemic Grade 3 events, as well as all other local and systemic adverse events, were short-lived, with 87% of all events occurring and resolving within the first 72 hours after immunization."</t>
  </si>
  <si>
    <t>Apical Membrane Antigen-1 (AMA-1) Administered in Adjuvant System AS01B or AS02A</t>
  </si>
  <si>
    <t>"Healthy malaria-naïve adults aged 18–50 years were recruited"</t>
  </si>
  <si>
    <t>"The protocol was reviewed and approved by the WRAIR Human Use Review Committee, the United States Army Medical Research and Materiel Command Human Subjects Review Board, as well as the Western Institutional Review Board, representing the study partner PATH Malaria Vaccine Initiative (MVI). Investigators described the protocol to potential volunteers face to face, and informed consent was obtained by the use of a written IRB-approved consent form, signed and dated by the volunteer and the investigator who conducted the informed consent discussion. This study was conducted according to the Declaration of Helsinki as well as principles of Good Clinical Practices under the United States Food and Drug Administration Investigational New Drug (IND) application BB-13089."</t>
  </si>
  <si>
    <t>phase 1/2a study</t>
  </si>
  <si>
    <t>Spring 2009</t>
  </si>
  <si>
    <t>Sulyok M</t>
  </si>
  <si>
    <t>IV Plasmodium falciparum sporozoites (3200)</t>
  </si>
  <si>
    <t>https://pubmed.ncbi.nlm.nih.gov/28363637/</t>
  </si>
  <si>
    <t>NCT02450578</t>
  </si>
  <si>
    <t>https://clinicaltrials.gov/ct2/show/NCT02450578</t>
  </si>
  <si>
    <t>Cohort 1A</t>
  </si>
  <si>
    <t>"From day 6 following DVI, parasitaemia was monitored daily by TBS and quantitative PCR (qPCR) until TBS positivity or day 28."</t>
  </si>
  <si>
    <t>"Adverse events and concomitant medications were
captured during all on-site visits and evaluated by the
investigators." Supplementary appendix lists treatment emergent AEs.</t>
  </si>
  <si>
    <t>Extracted AEs "From PfSPZ challenge up to 1st dose of rescue medication"</t>
  </si>
  <si>
    <t>During follow-up, one serious adverse event occurred in cohort 1A: a  bilateral pulmonary embolism occurred in a non-smoking woman under oral contraceptive treatment 34 days after DSM265 administration while she  was on a transatlantic flight. The volunteer never became parasitaemic  and recovered fully, except for a grade 1 sinus tachycardia, which still persisted at the last follow-up visit. (Non-challenge SAE recorded in Appendix H)</t>
  </si>
  <si>
    <t>"The study population was selected to represent healthy, malaria-naive adults. Volunteers aged 18–45 years with a body-mass index (BMI) between 18 kg/m2 and 30 kg/m2 were included. All participants were required to practice effective contraception, and female participants were to provide a negative pregnancy test. Further inclusion criteria were: no clinically significant findings in history, physical, and laboratory examination, being reachable at all times by mobile phone during the whole study, agreement to share medical information on the volunteer with his or her general practitioner, and understanding of study procedures and risks, assessed by a multiple choice test. Additionally, willingness to undergo CHMI with PfSPZ Challenge, to take a curative regimen if necessary, and being able to comply with all study requirements (in the investigator's opinion) were also required.
Exclusion criteria were: a history of malaria or plans to travel to endemic regions during the study, participation in another clinical trial within 30 days before enrolment or during the study, previous participation in a malaria vaccine trial, history of serious psychiatric conditions, convulsions, or severe head trauma, any malignancy, and diabetes mellitus. Moreover, arrhythmias, prolonged QTc interval (&gt;450 ms), or any other clinically significant abnormalities in the electrocardiogram, breast feeding, or intention to become pregnant, HIV, hepatitis B or C virus infection, any suspected immunodeficient state, history of splenectomy, and haemoglobinopathies also prevented participation. Further exclusion criteria were smoking more than ten cigarettes or equivalent per day, alcohol or injected drug abuse, moderate risk or higher categories for cardiovascular events within 5 years of the study commencement date, use of any prescription drugs (except contraception), herbal supplements, or over-the-counter medication within 2 weeks before initial dosing, and intake of grapefruit, grapefruit juice, Seville orange, or other products containing these ingredients within 7 days of the first drug administration of DSM265 or placebo. Any symptoms, physical signs, and laboratory values suggestive of systemic disorders, or of conditions that could interfere with the interpretation of the study results, or compromise the health of the volunteers excluded participation. The full study protocol with further details is available from the corresponding author upon request. Eligibility criteria were assessed after written informed consent was given."</t>
  </si>
  <si>
    <t>"The study was done at the clinical trial platform of the Institute for Tropical Medicine in Tübingen, Germany, and received approval from the ethics committee of the Eberhard Karls University and the University Clinics Tübingen. The study was compliant with the International Council for Harmonisation Good Clinical Practice guidelines and the German Medicines Law."</t>
  </si>
  <si>
    <t>single centre, double-blind, randomised, placebo-controlled phase 1 clinical trial</t>
  </si>
  <si>
    <t>Sulyok 2017</t>
  </si>
  <si>
    <t>Cohort 1A - Placebo</t>
  </si>
  <si>
    <t>placebo</t>
  </si>
  <si>
    <t>Cohort 1B</t>
  </si>
  <si>
    <t>Atovaquone-proguanil</t>
  </si>
  <si>
    <t>Cohort 2</t>
  </si>
  <si>
    <t>Only 3/6 positive by TBS, 6/6 by PCR</t>
  </si>
  <si>
    <t>Cohort 2 - Placebo</t>
  </si>
  <si>
    <t>Median age given for each of five cohorts, but not overall</t>
  </si>
  <si>
    <t>DSM265, Atovaquone-proguanil</t>
  </si>
  <si>
    <t>C. jejuni CG8421</t>
  </si>
  <si>
    <t>https://pubmed.ncbi.nlm.nih.gov/19842970/</t>
  </si>
  <si>
    <t>"campylobacteriosis, defined as a clinical illness with documented C. jejuni infection occurring within 144 h (6 days) after dosing, which included either diarrhea or a febrile illness (temperature, ⩾38°C) without diarrhea but with at least 2 associated gastrointestinal symptoms."</t>
  </si>
  <si>
    <t>None given, reports number with diarrhea, dyseentery, other gastrointestinal symptoms</t>
  </si>
  <si>
    <t>"No serious adverse events reported, including bacteremia or hypotension. Symptoms for most subjects were consistent with moderate to severe campylobacteriosis." // 17 cases of severe diarrhea in all cohorts</t>
  </si>
  <si>
    <t>500 mg of azithromycin twice daily for 3 days in cohort 1 and 5 days in cohort 2. Subjects in cohort 3 received 500 mg of oral ciprofloxacin 500 twice daily and 500 mg of azithromycin twice daily for 5 days.</t>
  </si>
  <si>
    <t>"Excluded subjects included those with chronic or active illnesses, including arthritis, gastritis, and neurologic disease (including GBS). Also excluded were subjects who were food-handlers and those with susceptible contacts (ie, young children and elderly or immunocompromised persons). Neurologic and joint examinations were performed at screening and throughout the study. Laboratory exclusions included positive tests for human leukocyte antigen B27, hepatitis B surface antigen, human immunodeficiency virus type 1, and hepatitis C antibodies; immunoglobulin (Ig) A deficiency, pregnancy, and hematology or serum chemistry abnormalities. Subjects were also excluded if they had a clinical history of Campylobacter infection (ie, any diarrheal episode while traveling to a country where Campylobacter is endemic or a culture-confirmed infection). Subjects were also excluded on the basis of immunological results; immunological standards for exclusion were defined as a serologic response to glycine-extracted (GE) antigens of C. jejuni CG8421 (IgA end point titer &gt;1:2000) or a cell-mediated response to C. jejuni (IFN-γ level &gt;400 pg/mL after in vitro stimulation of peripheral blood mononuclear cells [PBMCs] with formalin-fixed whole-cells of C. jejuni CG8421) [9, 10]. Participants in prior C. jejuni vaccine or challenge studies were also excluded."</t>
  </si>
  <si>
    <t>"The clinical protocol was performed under an Investigational New Drug Application and was approved by all Institutional Review Boards. A 4-member independent data safety and monitoring board was convened."</t>
  </si>
  <si>
    <t>open-label, dose-ranging inpatient trial</t>
  </si>
  <si>
    <t>Tribble 2009</t>
  </si>
  <si>
    <t>Waddington CS</t>
  </si>
  <si>
    <t>https://pubmed.ncbi.nlm.nih.gov/24519873/</t>
  </si>
  <si>
    <t xml:space="preserve">dose level 1–5 × 103 CFU </t>
  </si>
  <si>
    <t>"Predefined criteria for typhoid diagnosis were either clinical (reaching and sustaining an oral temperature of ≥38°C for ≥12 hours) or microbiological (having 1 or more confirmed positive blood cultures)."</t>
  </si>
  <si>
    <t>1 withdrawn after challenge</t>
  </si>
  <si>
    <t>No SAEs mentioned in text. "Challenge was well tolerated; no participants required hospital admission, intravenous antibiotics, or fluids."</t>
  </si>
  <si>
    <t>ciprofloxacin, 500 mg twice daily, 14 days</t>
  </si>
  <si>
    <t>"Exclusion criteria were extensive and included any significant medical, surgical, or psychiatric illness; evidence of gallbladder disease (by ultrasound examination); antibiotic allergy; food-handling occupation; or contact with susceptible individuals (including healthcare workers and carers of young children or elderly or immunocompromised persons)."</t>
  </si>
  <si>
    <t>"The study was approved by Oxfordshire Research Ethics Committee A (10/H0604/53) and conducted in accordance with the principles of the International Conference of Harmonisation Good Clinical Practice guidelines."</t>
  </si>
  <si>
    <t>observational, dose-escalation study of controlled human infection</t>
  </si>
  <si>
    <t>Waddington 2014</t>
  </si>
  <si>
    <t>dose level 10–50 × 103 CFU</t>
  </si>
  <si>
    <t>Unclear (&gt;=35)</t>
  </si>
  <si>
    <t>Wilkinson TM</t>
  </si>
  <si>
    <t>H3N2 WS/67/05</t>
  </si>
  <si>
    <t>https://pubmed.ncbi.nlm.nih.gov/22286307/</t>
  </si>
  <si>
    <t>inoculation with H3N2</t>
  </si>
  <si>
    <t>"evidence of virus shedding or seroconversion by day 28"</t>
  </si>
  <si>
    <t>infection rate 82% (14/17)</t>
  </si>
  <si>
    <t>None given, but "Symptom assessments were performed by the volunteers twice daily on a four-point scale (0–3 corresponding to absent to severe)."</t>
  </si>
  <si>
    <t>No AE data; reports number with symptoms (among infected subjects)</t>
  </si>
  <si>
    <t>"healthy volunteers aged between 18 and 45"</t>
  </si>
  <si>
    <t>"We conducted the studies in compliance with Good Clinical Practice guidelines (CPMP/ICH/135/95) and the Declaration of Helsinki. The protocols were approved by East London and City and the Southampton and Southwest Hampshire Ethics Review Committees. Written informed consent was obtained from each participant with an ethics committee–approved form."</t>
  </si>
  <si>
    <t>prospective, randomized clinical study</t>
  </si>
  <si>
    <t>Wilkinson 2012</t>
  </si>
  <si>
    <t>H1N1 BR/59/07</t>
  </si>
  <si>
    <t>inoculation with H1N1</t>
  </si>
  <si>
    <t>infection rate 38% (9/24)</t>
  </si>
  <si>
    <t>H3N2 WS/67/05 or H1N1 BR/59/07</t>
  </si>
  <si>
    <t>Winokur PL</t>
  </si>
  <si>
    <t>Haemophilus influenzae</t>
  </si>
  <si>
    <t>Nontypeable Haemophilus influenzae (NTHi)</t>
  </si>
  <si>
    <t>https://pubmed.ncbi.nlm.nih.gov/23715660/</t>
  </si>
  <si>
    <t>Colonization was defined as a single NTHi 2019StrR1-positive culture during days 3–6 after inoculation.</t>
  </si>
  <si>
    <t>"Adverse events were recorded throughout 28 days after inoculation, and serious adverse events were recorded for 6 months." and "Volunteers were assessed specifically for fever, systemic reactogenicity, and upper respiratory tract signs and symptoms, as well as for unanticipated adverse events."</t>
  </si>
  <si>
    <t>"None of the subjects experienced fever, and there were no events that were graded as severe. Ten volunteers experienced mild symptoms, and 4 had moderate symptoms."</t>
  </si>
  <si>
    <t>levofloxacin 500 mg daily for 3 days (days 6–9)</t>
  </si>
  <si>
    <t>" Specific exclusion criteria included allergic rhinitis requiring therapy; tobacco use within the past year; a history of sinusitis, otitis, chronic bronchitis, pneumonia, bronchospasm, or asthma in the past 5 years; use of any antibiotic within the past month; allergy to penicillin, macrolide, cephalosporin, or fluoroquinolone antibiotics; American Indian, Native Alaskan, or Native Australian heritage (these populations have increased risk for invasive bacterial respiratory diseases [25]); close contact with persons &lt;5 or &gt;55 years of age, with chronic smokers, or with persons with human immunodeficiency virus infection, cancer, or chronic immunosuppressive diseases; and asthma or chronic lung disease."</t>
  </si>
  <si>
    <t>"All study activities were approved by the University of Iowa institutional review board; the Office of Clinical Regulatory Affairs, National Institute of Allergy and Infectious Diseases, National Institutes of Health; and the Food and Drug Administration."</t>
  </si>
  <si>
    <t>unblinded, adaptive-design, phase I study</t>
  </si>
  <si>
    <t>Winokur 2013</t>
  </si>
  <si>
    <t>Wright AKA</t>
  </si>
  <si>
    <t>live 23F or 6B Streptococcus pneumoniae</t>
  </si>
  <si>
    <t>https://pubmed.ncbi.nlm.nih.gov/22496648/</t>
  </si>
  <si>
    <t>20 (19)</t>
  </si>
  <si>
    <t>9 subjects infected with 23F (demographic data not given for 1); 11 with 6B</t>
  </si>
  <si>
    <t>"Colonised subjects are defined as subjects in whom pneumococci was recovered from any nasal wash."</t>
  </si>
  <si>
    <t>Mean age reconstructed from separate groups</t>
  </si>
  <si>
    <t>"Twenty volunteers were recruited and inoculated per protocol as shown in Figure 1 with no adverse effects."</t>
  </si>
  <si>
    <t>"no adverse effects"</t>
  </si>
  <si>
    <t>"Healthy adult volunteers" and "non-smoking adults aged between 18 and 60 years with no history or signs of systemic or respiratory disease. Individuals who were already naturally colonised with pneumococcus or had regular contact with at risk individuals, such as young children, were excluded from the study."</t>
  </si>
  <si>
    <t>"enrolled with written informed consent" and "Ethical approval was obtained from the National Health Service Research Ethics Committee, Sefton, Liverpool (08/H1001/52)"</t>
  </si>
  <si>
    <t>Wright 2012</t>
  </si>
  <si>
    <t>Zhu J</t>
  </si>
  <si>
    <t>https://pubmed.ncbi.nlm.nih.gov/24457412/</t>
  </si>
  <si>
    <t>10 subjects with atopic asthma and 15 subjects without atopic asthma</t>
  </si>
  <si>
    <t>27 (23)</t>
  </si>
  <si>
    <t>2.3 (1.4)</t>
  </si>
  <si>
    <t>augmented physiologic and inflammatory responses to allergen challenge, reductions in peak expiratory flow (PEF) and FEV, and increases in bronchial reactivity. Experimental RV16 infection in asthma induced significant increases in bronchial reactivity, lower respiratory tract symptoms, and lung function impairment; significant changes in these outcomes did not occur in normal subjects.</t>
  </si>
  <si>
    <t>Mean age: without asthma // (with asthma)</t>
  </si>
  <si>
    <t>"This study was conducted in accordance with the amended Declaration of Helsinki. All subjects gave written informed consent, and the study protocol was approved by the St. Mary's NHS Trust Research Ethics Committee (99/BA/345).</t>
  </si>
  <si>
    <t>Zhu 2014</t>
  </si>
  <si>
    <t xml:space="preserve">Number of results = </t>
  </si>
  <si>
    <t xml:space="preserve">% reviewed = </t>
  </si>
  <si>
    <t xml:space="preserve">% included = </t>
  </si>
  <si>
    <t>Inclusion criteria:</t>
  </si>
  <si>
    <t>study assesses a cohort of participants willingly exposed to a pathogen of interest for the express purpose of testing or assessing a therapy or preventative measure for the pathogen</t>
  </si>
  <si>
    <t>Method of Identification</t>
  </si>
  <si>
    <t>Publication Date</t>
  </si>
  <si>
    <t>PMCID or PMID</t>
  </si>
  <si>
    <t>Reviewer</t>
  </si>
  <si>
    <t>Excluded?</t>
  </si>
  <si>
    <t>Reason for Exclusion</t>
  </si>
  <si>
    <t>Included?</t>
  </si>
  <si>
    <t>Zotero?</t>
  </si>
  <si>
    <t>Exclusion criteria:</t>
  </si>
  <si>
    <t>case reports, reviews, not written in English, or did not assess a cohort of participants that met the criteria for human challenge trial, prior to 1980</t>
  </si>
  <si>
    <t>Abelson MB</t>
  </si>
  <si>
    <t>JA</t>
  </si>
  <si>
    <t>Allergen challenge (should have been excluded in screening)</t>
  </si>
  <si>
    <t>Bahl K</t>
  </si>
  <si>
    <t>Bahl 2017</t>
  </si>
  <si>
    <t>Not a challenge trial (phase 1 mRNA vaccine study, humans not exposed to pathogen)</t>
  </si>
  <si>
    <t>Boulet LP</t>
  </si>
  <si>
    <t>No AE data reported for challenges. Extracted separate results for each of 4 cohorts/phases</t>
  </si>
  <si>
    <t>Appendix B</t>
  </si>
  <si>
    <t>No AE data reported for challenge, but describes SAE in detail that occurred prior to challenge (unlikely that additional SAEs occurred that were not described). Extracted separate results for each of two phases</t>
  </si>
  <si>
    <t>Duplicate result</t>
  </si>
  <si>
    <t>Already included (Collins 2018)</t>
  </si>
  <si>
    <t>Already included (DeVincenzo 2020)</t>
  </si>
  <si>
    <t>Unclear AE data, but 0 SAEs</t>
  </si>
  <si>
    <t>Diemert DJ</t>
  </si>
  <si>
    <t>Diemert 2017</t>
  </si>
  <si>
    <t>Not a challenge trial (phase 1 vaccine trials, humans not exposed to pathogen)</t>
  </si>
  <si>
    <t>Friedman-Klabanoff DJ</t>
  </si>
  <si>
    <t>Uses records from previously conducted challenge trials (original studies reviewed for inclusion below)</t>
  </si>
  <si>
    <t>Appendix G</t>
  </si>
  <si>
    <t>(Pre-1980s)</t>
  </si>
  <si>
    <t>(Previously included) Pretty confusing results - two "immunization" phases also involved challenges, and one participant was rechallenged</t>
  </si>
  <si>
    <t>https://pubmed.ncbi.nlm.nih.gov/4590095/</t>
  </si>
  <si>
    <t>Clyde 1973b</t>
  </si>
  <si>
    <t>(Pre-1980s) Case report (follow-on from Clyde 1973a with single volunteer)</t>
  </si>
  <si>
    <t>https://pubmed.ncbi.nlm.nih.gov/808142/</t>
  </si>
  <si>
    <t>Clyde 1975</t>
  </si>
  <si>
    <t>(Pre-1980s) Case report (single volunteer)</t>
  </si>
  <si>
    <t>No reported SAE data, applied current definition to determine 0 SAEs</t>
  </si>
  <si>
    <t>No reported SAE data, applied current definition to determine 0 SAEs. Extracted separate data from each of two phases (one challenge)</t>
  </si>
  <si>
    <t>No AE data reported for challenge. Extracted separate results for each of two phases (one challenge)</t>
  </si>
  <si>
    <t>https://pubmed.ncbi.nlm.nih.gov/3043855/</t>
  </si>
  <si>
    <t>No full-text available</t>
  </si>
  <si>
    <t>Unable to access (Some results reported in Herrington 1990, page 35; not extracted)</t>
  </si>
  <si>
    <t>No AE data reported. Describes results from Herrington 1987 and Herrington 1988 (no full-text available), but this data was not extracted</t>
  </si>
  <si>
    <t>No reported SAE data, applied current definition to determine 0 SAEs. "Study 1" reports data previously extracted in Herrington 1990a (not extracted again)</t>
  </si>
  <si>
    <t>No AE data reported for challenge phases. Extracted separate results for each of 6 cohorts (combined data from two unvaccinated control cohorts). Extracted additional results for rechallenged participants</t>
  </si>
  <si>
    <t>Laurens M</t>
  </si>
  <si>
    <t>https://pubmed.ncbi.nlm.nih.gov/23874828/</t>
  </si>
  <si>
    <t xml:space="preserve">Yes </t>
  </si>
  <si>
    <t>Already included (Laurens 2013)</t>
  </si>
  <si>
    <t>https://pubmed.ncbi.nlm.nih.gov/21042404/</t>
  </si>
  <si>
    <t>Already included (Lyke 2010)</t>
  </si>
  <si>
    <t>Additional cohorts added to study described by Ishizuka 2016. No AE data reported for challenge phases. Extracted separate results for each of 3 cohorts; summed. Extracted additional results for rechallenged participants</t>
  </si>
  <si>
    <t>AE/SAE data mostly unclear due to flooding destroying records. At least two severe AEs, unable to extract much else</t>
  </si>
  <si>
    <t>Lähdeaho ML</t>
  </si>
  <si>
    <t>Lahdeaho 2019</t>
  </si>
  <si>
    <t>Gluten challenge (should have been excluded in screening)</t>
  </si>
  <si>
    <t>Already included (Livezey 2020)</t>
  </si>
  <si>
    <t>Unclear AE data, but 0 SAEs. Extracted separate data for each of two studies (both challenges, different pathogens)</t>
  </si>
  <si>
    <t>Nichol KL</t>
  </si>
  <si>
    <t>Nichol 1999</t>
  </si>
  <si>
    <t>Not a challenge trial (live attenuated virus vaccine trial, humans not exposed to pathogen)</t>
  </si>
  <si>
    <t>Porter CK</t>
  </si>
  <si>
    <t>(Previously included) No reported SAE data, applied current definition to determine 0 SAEs. Extracted separate data for each of 4 studies/cohorts (one rechallenge)</t>
  </si>
  <si>
    <t>Durbin AP</t>
  </si>
  <si>
    <t>Durbin AP, Bourgeois AL, McKenzie R, Moulton L, Mallett CP, Harrington J, et al., editors. Intranasal Immunization with Proteosome-Shigella flexneri 2A LPS Vaccine: Factors Associated with Protection in a Volunteer Challenge Model. Infectious Diseases Society of America 39th Annual Meeting; 2001 October 27, 2001; San Francisco.</t>
  </si>
  <si>
    <t>(Unable to locate)</t>
  </si>
  <si>
    <t>Conference presentation (no published data)</t>
  </si>
  <si>
    <t>Harro C, Riddle MS, Kaminski RW, Turbyfill KR, Gormley R, Porter CK, et al., editors. Shigella flexneri 2a Invaplex 50 intranasal vaccine phase 2b challenge study. 5th International Vaccines for Enteric Diseases Conference; 2009; Malaga, Spain.</t>
  </si>
  <si>
    <t>https://pubmed.ncbi.nlm.nih.gov/2204243/</t>
  </si>
  <si>
    <t>Already included (Herrington 1990b)</t>
  </si>
  <si>
    <t>No reported AE data for challenge phase, applied current definition to determine 0 SAEs</t>
  </si>
  <si>
    <t>https://pubmed.ncbi.nlm.nih.gov/8578831/</t>
  </si>
  <si>
    <t>Already included (Kotloff 1995b)</t>
  </si>
  <si>
    <t>https://pubmed.ncbi.nlm.nih.gov/27146000/</t>
  </si>
  <si>
    <t>Already included (Pitisuttithum 2016)</t>
  </si>
  <si>
    <t>No reported SAE data, applied current definition to determine 0 SAEs. Extracted separate data for each of 2 studies (both challenges)</t>
  </si>
  <si>
    <t>Talaat KR, Alaimo C, Bourgeois AL, Kaminski RW, Dreyer A, Porter CK, et al., editors. Flexyn2a, a candidate bioconjugate vaccine against Shigella flexneri 2a induces protective immune response in a controlled human infection model. Vaccines for Enteric Diseases; 2017; Albufeira, Portugal.</t>
  </si>
  <si>
    <t>Shaughnessy HJ</t>
  </si>
  <si>
    <t>https://pubmed.ncbi.nlm.nih.gov/20998311/</t>
  </si>
  <si>
    <t>Shaughnessy 1946</t>
  </si>
  <si>
    <t>Already included (Reuling 2018)</t>
  </si>
  <si>
    <t>Rose MA</t>
  </si>
  <si>
    <t>Rose 2011</t>
  </si>
  <si>
    <t>Not a challenge trial (E. coli autovaccine against bronchial mite challenge)</t>
  </si>
  <si>
    <t>Reports TEAEs; 0 SAEs</t>
  </si>
  <si>
    <t>No reported SAE data, applied current definition to determine 0 SAEs. Extracted separate data from each of two phases (one challenge, one vaccination phase)</t>
  </si>
  <si>
    <t>Already included (Watts 2020)</t>
  </si>
  <si>
    <t>DT</t>
  </si>
  <si>
    <t>Included 3 natural carriers of a serotype different from the one being challenged</t>
  </si>
  <si>
    <t>Extracted separate results from each phase</t>
  </si>
  <si>
    <t>Extracted separate results from each phase. Manually applied definition to determine 4 SAEs</t>
  </si>
  <si>
    <t>DT/JA</t>
  </si>
  <si>
    <t>Burke CW</t>
  </si>
  <si>
    <t>Burke 2015</t>
  </si>
  <si>
    <t>Not an HCT (subjects were mice)</t>
  </si>
  <si>
    <t>Calle CL</t>
  </si>
  <si>
    <t>PMC8017236</t>
  </si>
  <si>
    <t>Calle 2021</t>
  </si>
  <si>
    <t>Borrmann S</t>
  </si>
  <si>
    <t>(Unpublished)</t>
  </si>
  <si>
    <t>Preprint, not on PubMed</t>
  </si>
  <si>
    <t>ClinicalTrials record, no published data</t>
  </si>
  <si>
    <t>PMC5942845</t>
  </si>
  <si>
    <t>PMC5873858</t>
  </si>
  <si>
    <t>Extracted data for two studies (different ClinicalTrials numbers)</t>
  </si>
  <si>
    <t>Cutler AJ</t>
  </si>
  <si>
    <t>PMC5531165</t>
  </si>
  <si>
    <t>Cutler 2017</t>
  </si>
  <si>
    <t>Case report, not a challenge trial (incidental infection with norovirus)</t>
  </si>
  <si>
    <t>PMC3535858</t>
  </si>
  <si>
    <t>PMC4988630</t>
  </si>
  <si>
    <t>PMC7353841</t>
  </si>
  <si>
    <t>PMC6985722</t>
  </si>
  <si>
    <t>PMC7714523</t>
  </si>
  <si>
    <t>Duplicate study (same results reported by Hoogerwerf 2021)</t>
  </si>
  <si>
    <t>(Poster abstract) No reported SAE data, unable to apply current SAE definition to reported symptom data (insufficient data)</t>
  </si>
  <si>
    <t>PMC3707375</t>
  </si>
  <si>
    <t>PMC4711822</t>
  </si>
  <si>
    <t>PMC5147828</t>
  </si>
  <si>
    <t>Non-challenge SAE reported in appendix</t>
  </si>
  <si>
    <t>PMC7598925</t>
  </si>
  <si>
    <t>Extracted separate results from naive group and rechallenged group. Additional non-challenge SAEs reported in our appendix</t>
  </si>
  <si>
    <t>PMC6892374</t>
  </si>
  <si>
    <t>PMC4527105</t>
  </si>
  <si>
    <t>PMC7045083</t>
  </si>
  <si>
    <t>Combined data with Rylance 2019 (this one reports clearer AE data)</t>
  </si>
  <si>
    <t>No AE data reported, but reports 0 SAEs. BCG challenge</t>
  </si>
  <si>
    <t>PMC6434318</t>
  </si>
  <si>
    <t>PMC3232709</t>
  </si>
  <si>
    <t>Harro 2011a</t>
  </si>
  <si>
    <t>tests tolerability of novel attenuated e. coli vaccine. looks and sounds like a challenge trial, but a virulent pathogen was never introduced.</t>
  </si>
  <si>
    <t>PMC3187035</t>
  </si>
  <si>
    <t>Unclear AE data; extracted separate data for challenge and rechallenge</t>
  </si>
  <si>
    <t>PMC7486848</t>
  </si>
  <si>
    <t>PMC3032484</t>
  </si>
  <si>
    <t>PMC4354983</t>
  </si>
  <si>
    <t>RB</t>
  </si>
  <si>
    <t>Most participants vaccinated prior to challenge</t>
  </si>
  <si>
    <t>PMC4416324</t>
  </si>
  <si>
    <t>Hodgson 2015b</t>
  </si>
  <si>
    <t>Duplicate study (same results reported by Hodgson 2014)</t>
  </si>
  <si>
    <t>PMC4264479</t>
  </si>
  <si>
    <t>Not all participants were naive</t>
  </si>
  <si>
    <t>PMC2682218</t>
  </si>
  <si>
    <t>Original studies reviewed for inclusion below</t>
  </si>
  <si>
    <t>Reports non-SAE safety complications</t>
  </si>
  <si>
    <t>No reported AE/SAE data. Extracted separate data for challenge and rechallenge</t>
  </si>
  <si>
    <t>No reported AE/SAE data, but mentions "complications"</t>
  </si>
  <si>
    <t>No reported AE/SAE data</t>
  </si>
  <si>
    <t>https://pubmed.ncbi.nlm.nih.gov/17923525/</t>
  </si>
  <si>
    <t>Banks 2007</t>
  </si>
  <si>
    <t>Samples obtained from previously conducted HCTs (Janowicz 2006a and Janowicz 2006b)</t>
  </si>
  <si>
    <t>https://pubmed.ncbi.nlm.nih.gov/10722634/</t>
  </si>
  <si>
    <t>Bauer 2000</t>
  </si>
  <si>
    <t>Uses tissue specimens from previous HCTs</t>
  </si>
  <si>
    <t>https://pubmed.ncbi.nlm.nih.gov/11818898/</t>
  </si>
  <si>
    <t>Bong 2002a</t>
  </si>
  <si>
    <t>Analyzes volunteers who had participated in previous HCTs</t>
  </si>
  <si>
    <t>Gelfanova V</t>
  </si>
  <si>
    <t>https://pubmed.ncbi.nlm.nih.gov/11401958/</t>
  </si>
  <si>
    <t>Gelfanova 2001</t>
  </si>
  <si>
    <t>Specimens obtained from previous HCTs</t>
  </si>
  <si>
    <t>Mentions 10 subjects challenged who donated tissue specimens, no infection data or AE/SAE data reported</t>
  </si>
  <si>
    <t>No reported AE/SAE data. Reinfection study</t>
  </si>
  <si>
    <t>https://pubmed.ncbi.nlm.nih.gov/9815221/</t>
  </si>
  <si>
    <t>Palmer 1998a</t>
  </si>
  <si>
    <t>Duplicate result (Spinola 2003)</t>
  </si>
  <si>
    <t>No reported AE/SAE data. Extracted separate data for challenge and rechallenges; participants were reinoculated until considered infected</t>
  </si>
  <si>
    <t>No reported AE/SAE data. Treated as two studies</t>
  </si>
  <si>
    <t>PMC5720597</t>
  </si>
  <si>
    <t>Four reported SAEs, 1 counted as challenge-related (all detailed in supplementary appendix)</t>
  </si>
  <si>
    <t>PMC6948818</t>
  </si>
  <si>
    <t>Uses results reported in Jin 2017 and Gibani 2020</t>
  </si>
  <si>
    <t>PMC4972157</t>
  </si>
  <si>
    <t>PMC5179046</t>
  </si>
  <si>
    <t>PMC6169176</t>
  </si>
  <si>
    <t>PMC3712927</t>
  </si>
  <si>
    <t>Unclear AE data. Combined with Lyke 2010</t>
  </si>
  <si>
    <t>PMC5929186</t>
  </si>
  <si>
    <t>Extracted separate data from each of three cohorts with varying levels of prior immunity</t>
  </si>
  <si>
    <t>PMC3778896</t>
  </si>
  <si>
    <t>Extracted separate data for each study</t>
  </si>
  <si>
    <t>PMC7493140</t>
  </si>
  <si>
    <t>Additional AE data in supplementary table may be worth looking at more closely</t>
  </si>
  <si>
    <t>PMC2958836</t>
  </si>
  <si>
    <t>Combined with Laurens 2013</t>
  </si>
  <si>
    <t>Marty FM</t>
  </si>
  <si>
    <t>PMC7108198</t>
  </si>
  <si>
    <t>Marty 2020</t>
  </si>
  <si>
    <t>Participants were not exposed to a pathogen</t>
  </si>
  <si>
    <t>PMC7050988</t>
  </si>
  <si>
    <t>Matsumiya M</t>
  </si>
  <si>
    <t>PMC4392868</t>
  </si>
  <si>
    <t>Matsumiya 2015</t>
  </si>
  <si>
    <t>Samples obtained from previously reported human challenge study (Harris 2014)</t>
  </si>
  <si>
    <t>Mayo-Smith LM</t>
  </si>
  <si>
    <t>PMC5216439</t>
  </si>
  <si>
    <t>Mayo-Smith 2017</t>
  </si>
  <si>
    <t>Samples obtained from previously reported human challenge study (Chen 2016)</t>
  </si>
  <si>
    <t>PMC5655070</t>
  </si>
  <si>
    <t>PMC4879391</t>
  </si>
  <si>
    <t>assesses human challenge trial, but reports data in a way that we can't use. maybe circle back later and see if what we need is somewhere in there</t>
  </si>
  <si>
    <t>PMC4992851</t>
  </si>
  <si>
    <t>PMC3888148</t>
  </si>
  <si>
    <t>Previously excluded; no reported SAE data, applied current definition to determine 0 SAEs</t>
  </si>
  <si>
    <t>PMC4750592</t>
  </si>
  <si>
    <t>PMC4747614</t>
  </si>
  <si>
    <t>Moorthy VS</t>
  </si>
  <si>
    <t>PMC524376</t>
  </si>
  <si>
    <t>Moorthy 2004</t>
  </si>
  <si>
    <t>assesses vaccine efficacy, does not use a challenge model</t>
  </si>
  <si>
    <t>PMC4371633</t>
  </si>
  <si>
    <t>Morton B</t>
  </si>
  <si>
    <t>PMC7194502</t>
  </si>
  <si>
    <t>Morton 2020</t>
  </si>
  <si>
    <t>describes protocol for a challenge trial that hasn't happened yet</t>
  </si>
  <si>
    <t>PMC5853383</t>
  </si>
  <si>
    <t>PMC7390452</t>
  </si>
  <si>
    <t>1 infected control subject mentioned in table footnote; no AE data, but reports 0 SAEs (data on clinical illness not extracted)</t>
  </si>
  <si>
    <t>PMC4857475</t>
  </si>
  <si>
    <t>PMC4933782</t>
  </si>
  <si>
    <t>Extracted separate data from each phase</t>
  </si>
  <si>
    <t>PMC7069936</t>
  </si>
  <si>
    <t>PMC5828662</t>
  </si>
  <si>
    <t>PMC3372522</t>
  </si>
  <si>
    <t>Roestenberg 2012</t>
  </si>
  <si>
    <t>Not an HCT itself - review of data from 3 CHMI cohorts looking at adverse events (maybe still useful?)</t>
  </si>
  <si>
    <t>PMC3541746</t>
  </si>
  <si>
    <t>PMC6515882</t>
  </si>
  <si>
    <t>Combined data with Hales 2020 (this one reports clearer infection data)</t>
  </si>
  <si>
    <t>PMC6844497</t>
  </si>
  <si>
    <t>PMC6630672</t>
  </si>
  <si>
    <t>PMC3187119</t>
  </si>
  <si>
    <t>No AE data reported</t>
  </si>
  <si>
    <t>PMC3688861</t>
  </si>
  <si>
    <t>PMC6877087</t>
  </si>
  <si>
    <t>No SAE data</t>
  </si>
  <si>
    <t>PMC4165915</t>
  </si>
  <si>
    <t>No AE data beyond mentioning 0 severe AEs</t>
  </si>
  <si>
    <t>PMC7710093</t>
  </si>
  <si>
    <t>PMC7524165</t>
  </si>
  <si>
    <t>PMC4236046</t>
  </si>
  <si>
    <t>Cohort of 6</t>
  </si>
  <si>
    <t>PMC3549599</t>
  </si>
  <si>
    <t>PMC7960709</t>
  </si>
  <si>
    <t>van Wolfswinkel ME</t>
  </si>
  <si>
    <t>PMC5681833</t>
  </si>
  <si>
    <t>van Wolfswinkel 2017</t>
  </si>
  <si>
    <t>Uses records from previously conducted challenge trial (original study reviewed for inclusion below)</t>
  </si>
  <si>
    <t>Also reports data reported in Langenberg 2018 (previously extracted)</t>
  </si>
  <si>
    <t>PMC4974752</t>
  </si>
  <si>
    <t>Already included (Bastiaens 2016)</t>
  </si>
  <si>
    <t>Already included (Bijker 2013)</t>
  </si>
  <si>
    <t>No AE data reported for challenge phase. Extracted separate results for each of 2 phases (one challenge)</t>
  </si>
  <si>
    <t>Already included (Bijker 2014a)</t>
  </si>
  <si>
    <t>Already included (Roestenberg 2009)</t>
  </si>
  <si>
    <t>Meta Roestenberg</t>
  </si>
  <si>
    <t>Technically no SAE data reported, but likely 0. Extracted separate results for each of two cohorts (rechallenged and naive)</t>
  </si>
  <si>
    <t>Already included (Teirlinck 2013)</t>
  </si>
  <si>
    <t>PMC4322439</t>
  </si>
  <si>
    <t>Not sure I quite understood definition of infection, but AE data is clear</t>
  </si>
  <si>
    <t>PMC7444516</t>
  </si>
  <si>
    <t>Extracted separate results for each of two studies</t>
  </si>
  <si>
    <t>Abisheganaden JA</t>
  </si>
  <si>
    <t>duplicate result</t>
  </si>
  <si>
    <t>Al-Nakib W</t>
  </si>
  <si>
    <t>No reported SAE data, applied current definition to determine 0 SAEs; extracted separate results from each of 3 studies</t>
  </si>
  <si>
    <t>No reported SAE data, unable to apply current definition to reported symptom data</t>
  </si>
  <si>
    <t>Previously excluded; no reported SAE data, unable to apply current definition to reported data</t>
  </si>
  <si>
    <t>Amante FH</t>
  </si>
  <si>
    <t>Amante 2010</t>
  </si>
  <si>
    <t>models disease in mice</t>
  </si>
  <si>
    <t>Anderson MJ</t>
  </si>
  <si>
    <t>Betts RF</t>
  </si>
  <si>
    <t>Betts 1988</t>
  </si>
  <si>
    <t>Live attenuated vaccine (not a challenge trial)</t>
  </si>
  <si>
    <t>(Previously included) No reported SAE data, applied current definition to determine 0 SAEs</t>
  </si>
  <si>
    <t>Bjornson AB</t>
  </si>
  <si>
    <t>Buchman CA</t>
  </si>
  <si>
    <t>Calfee DP</t>
  </si>
  <si>
    <t>Calhoun WJ</t>
  </si>
  <si>
    <t>Canini L</t>
  </si>
  <si>
    <t>Canini 2011</t>
  </si>
  <si>
    <t>Model fitted to data from prior challenges (unpublished data)</t>
  </si>
  <si>
    <t>No infection or AE data (only reports that 6 people were challenged)</t>
  </si>
  <si>
    <t>Previously excluded. Extracted data from each of 3 cohorts, then summed. No reported SAE data, applied current definition to determine 0 SAEs</t>
  </si>
  <si>
    <t>Church LW</t>
  </si>
  <si>
    <t>No reported AE data, but reports 0 SAEs (unclear whether for vaccination, challenge, or both)</t>
  </si>
  <si>
    <t>Already included (Edelman 1993)</t>
  </si>
  <si>
    <t>No reported AE data. Extracted separate results for each of three studies (one rechallenge)</t>
  </si>
  <si>
    <t>No reported SAE data, unable to apply current definition to reported symptom data (none reported). Extracted separate data for each of two studies (one challenge, one rechallenge)</t>
  </si>
  <si>
    <t>No reported SAE data, unable to apply current definition to reported symptom data (none reported). Extracted separate data for each of two cohorts (both challenges)</t>
  </si>
  <si>
    <t>Already included (Herrington 1987)</t>
  </si>
  <si>
    <t>Already included (Herrington 1990a)</t>
  </si>
  <si>
    <t>Already included (Herrington 1991)</t>
  </si>
  <si>
    <t>Already included (Hoffman 1994)</t>
  </si>
  <si>
    <t>No reported SAE data, applied current definition to determine 1 SAE</t>
  </si>
  <si>
    <t>No reported AE data, unable to apply current definition of SAEs to reported symptom data (none reported)</t>
  </si>
  <si>
    <t>Clements 1986a</t>
  </si>
  <si>
    <t>Already included (Clements 1984)</t>
  </si>
  <si>
    <t>Already included (Clements 1986b)</t>
  </si>
  <si>
    <t>https://pubmed.ncbi.nlm.nih.gov/3700610/</t>
  </si>
  <si>
    <t>Clements 1986c</t>
  </si>
  <si>
    <t>Not a challenge trial (participants received live attenuated virus vaccines, but no challenge phase with wild-type virus occurred</t>
  </si>
  <si>
    <t>Previously excluded. Extracted data from each of 2 cohorts (naive cohort excluded, included with naive cohort for Clements 1986b). No reported SAE data, applied current definition to determine 0 SAEs</t>
  </si>
  <si>
    <t>Previously excluded. Extracted data from each of 2 cohorts. No reported SAE data, applied current definition to determine 0 SAEs. Some data from naive cohort overlaps with Clements 1984 naive (cohort excluded)</t>
  </si>
  <si>
    <t>Previously excluded. Extracted data from each of 2 cohorts (one cohort possible rechallenge). No reported SAE data, applied current definition to determine 0 SAEs</t>
  </si>
  <si>
    <t>Previously excluded. Extracted data from each of 2 cohorts (summed). No reported SAE data, applied current definition to determine 0 SAEs</t>
  </si>
  <si>
    <t>Previously excluded. Extracted data from each of 2 cohorts (summed). No reported SAE data, applied current definition to deterine 0 SAEs</t>
  </si>
  <si>
    <t>Previously excluded, no reported SAE data, unable to apply current definition to reported symptom data (none reported)</t>
  </si>
  <si>
    <t>Previously excluded. No SAE data</t>
  </si>
  <si>
    <t>Extracted separate results for each phase; AEs not clearly reported, but no SAEs occurred</t>
  </si>
  <si>
    <t>Donati M</t>
  </si>
  <si>
    <t>Donati 2009</t>
  </si>
  <si>
    <t>Not a challenge study (at least that we're interested in, experimental gingivitis); no adverse event data reported</t>
  </si>
  <si>
    <t>Previously excluded. Extracted separate data from each of two studies, as well as rechallenges for each of those (4 studies total). No reported SAE data, unable to apply current definition to reported symptom data (none reported)</t>
  </si>
  <si>
    <t>(Previously included) Previously excluded. No reported SAE data, applied current definition to determine 0 SAEs. Reports results from immunization with live attenuated vaccine virus strains, but did not extract</t>
  </si>
  <si>
    <t>(Previously included) Previously excluded. No reported SAE data, applied current definition to determine 0 SAEs</t>
  </si>
  <si>
    <t>Previously excluded. No reported SAE data, applied current defition to determine 1 SAE</t>
  </si>
  <si>
    <t>Previously excluded. Mentions adverse reactions, but no SAE data reported</t>
  </si>
  <si>
    <t>Previously excluded. No reported SAE data, unable to apply current definition to reported symptom data (none reported)</t>
  </si>
  <si>
    <t>Previously excluded. No reported SAE data, applied current definition to determine 0 SAEs</t>
  </si>
  <si>
    <t>Previously excluded. No reported SAE data, unable to apply current definition to reported symptom data (none reported). Extracted separate data for each of three cohorts challenged with different pathogens</t>
  </si>
  <si>
    <t>I think this has everything we need, but the way AEs were reported is a bit confusing (1 AE identified with challenge, more associated with treatment)</t>
  </si>
  <si>
    <t>GRAYSTON JT</t>
  </si>
  <si>
    <t>https://pubmed.ncbi.nlm.nih.gov/4293015/</t>
  </si>
  <si>
    <t>(Excluded)</t>
  </si>
  <si>
    <t>Already included (Gwaltney 1996)</t>
  </si>
  <si>
    <t>Already included (Gwaltney 1997)</t>
  </si>
  <si>
    <t>Gwaltney JM Jr, Hendley JO, Winther B. A randomized, double-blind, placebo controlled study to assess the effectiveness of intranasally applied interferon alfa-2b combined with oral ibuprofen and brompheniramine maleate on symptom reduction and safety in natural colds in normal adults. Report to US Food and Drug Administration (FDA) IND 7631, Protocol V-203–99. Rockville, MD: FDA, 2000.</t>
  </si>
  <si>
    <t>Unable to locate (not a challenge trial, natural infections)</t>
  </si>
  <si>
    <t>Gwaltney JM Jr, Hendley JO, Winther B. A randomized, double-blind, placebo controlled study to assess the effectiveness of intranasally applied interferon alfa-2b combined with oral ibuprofen and chlorpheniramine maleate on symptom reduction and safety in natural normal adults with natural colds. Report to US Food and Drug Administraion (FD) IND 7631, Protocol V-205–00. Rockville, MD: FDA, 2001.</t>
  </si>
  <si>
    <t>Already included (Sperber 1992a)</t>
  </si>
  <si>
    <t>Already included (Turner 1999)</t>
  </si>
  <si>
    <t>Previously excluded. No reported SAE data, applied current definition to determine 0 SAEs. Extracted data from each of two studies (both were challenges)</t>
  </si>
  <si>
    <t>No reported SAE data; note discrepancy in total challenged</t>
  </si>
  <si>
    <t>Previously excluded. No reported SAE data, applied current definition to determine 0 SAEs. Extracted data from each of 4 studies (all were challenges)</t>
  </si>
  <si>
    <t>Hayden 1997</t>
  </si>
  <si>
    <t>Not a challenge trial (natural infection)</t>
  </si>
  <si>
    <t>Previously excluded. No reported SAE data, applied current definition to determine 0 SAEs. Extracted separate data from each of two studies (both were challenges)</t>
  </si>
  <si>
    <t>Previously excluded. No reported SAE data, unable to apply current definition to reported symptom data (none reported). Extracted separate results from each of two studies (one rechallenge). Results reported in Black 1987 are excluded.</t>
  </si>
  <si>
    <t>Hewson CA</t>
  </si>
  <si>
    <t>Used data from prior study (original reviewed below, Message 2008)</t>
  </si>
  <si>
    <t>No AE data reported, but 0 SAEs</t>
  </si>
  <si>
    <t>Hobbins TE</t>
  </si>
  <si>
    <t>No reported SAE data, applied current definition to determine 0 SAEs. Extracted separate data for each of two challenges (wild-type and attenuated)</t>
  </si>
  <si>
    <t>Janicki-Deverts D</t>
  </si>
  <si>
    <t>Janicki-Deverts 2007</t>
  </si>
  <si>
    <t>Secondary analysis and references Doyle 2006 (already included), but describes data that doesn't match up with Doyle 2006. Furthermore, participants were challenged with rhinovirus or influenza, but reported number infected does not differentiate between which pathogen they were exposed to</t>
  </si>
  <si>
    <t>Kaiser L</t>
  </si>
  <si>
    <t>Kaiser 2001</t>
  </si>
  <si>
    <t>Not a challenge trial (natural infection). Uses data from Treanor 2000</t>
  </si>
  <si>
    <t>Kiyotani K</t>
  </si>
  <si>
    <t>Kiyotani 1990</t>
  </si>
  <si>
    <t>animal challenge model</t>
  </si>
  <si>
    <t>Extracted separate results for each cohort; no reported SAE data, applied current definition to determine 0 SAEs</t>
  </si>
  <si>
    <t>Previously excluded. No reported SAE data, unable to apply current definition to reported symptom data (illness was used to measure infection). Extracted separate results from each of two studies (both challenges)</t>
  </si>
  <si>
    <t>Lemanske RF Jr</t>
  </si>
  <si>
    <t>No reported SAE data, applied current definition to determine 0 SAEs. Candidate dengue vaccine challenge</t>
  </si>
  <si>
    <t>Medema GJ</t>
  </si>
  <si>
    <t>Uses record from previously conducted challenge trial (original study reviewed for inclusion below)</t>
  </si>
  <si>
    <t>No reported SAE data, applied current definition to determine 0 SAEs. Extracted separate results for each of 4 studies/cohorts (1 rechallenge)</t>
  </si>
  <si>
    <t>Metz M</t>
  </si>
  <si>
    <t>Metz 2009</t>
  </si>
  <si>
    <t>animal model</t>
  </si>
  <si>
    <t>Monto AS</t>
  </si>
  <si>
    <t>Monto 1999</t>
  </si>
  <si>
    <t>natural infection model, not challenge model</t>
  </si>
  <si>
    <t>Previously excluded. No reported SAE data, applied current definition to determine 0 SAEs (one patient needed to be sedated, but this wasn't challenge related)</t>
  </si>
  <si>
    <t>(Previously included) Previously excluded. No reported SAE data, applied current definition to determine 0 SAEs. Extracted data for 3 separate challenges (one possible rechallenge and one challenge with attenuated virus that should be reviewed)</t>
  </si>
  <si>
    <t>Previously excluded. No AE data, but mentions that all illnesses were mild, so 0 SAEs inferred</t>
  </si>
  <si>
    <t>Obrosova-Serova NP</t>
  </si>
  <si>
    <t>Obrosova-Serova 1990</t>
  </si>
  <si>
    <t>Participants were challenged with attenuated vaccine</t>
  </si>
  <si>
    <t>Previously excluded. No reported SAE data, applied current definition to determine 0 SAEs. Extracted data for 4 cohorts exposed to different virus pools</t>
  </si>
  <si>
    <t>Parsonnet J</t>
  </si>
  <si>
    <t>Parsonnet 1999</t>
  </si>
  <si>
    <t>Not a challenge trial (participants were naturally infected)</t>
  </si>
  <si>
    <t>AEs not clearly reported, but no SAEs occurred</t>
  </si>
  <si>
    <t>Plaisance KI</t>
  </si>
  <si>
    <t>No reported AE data</t>
  </si>
  <si>
    <t>No reported SAE data, applied current definition to determine 0 SAEs. Extracted separate results from each of two studies (wild-type vs. attenuated virus challenges)</t>
  </si>
  <si>
    <t>Reeck A</t>
  </si>
  <si>
    <t>https://pubmed.ncbi.nlm.nih.gov/18826818/</t>
  </si>
  <si>
    <t>Atmar 2008</t>
  </si>
  <si>
    <t>Combined data with Atmar 2014</t>
  </si>
  <si>
    <t>Other</t>
  </si>
  <si>
    <t>https://pubmed.ncbi.nlm.nih.gov/24253285/</t>
  </si>
  <si>
    <t>Atmar 2014</t>
  </si>
  <si>
    <t>Combined data with Atmar 2008</t>
  </si>
  <si>
    <t>Does not report AE data or data or number infected; implies that the dose of pathogen used is not considered infectious. Extracted 0 AEs/SAEs based on no reported development of physical symptoms</t>
  </si>
  <si>
    <t>Only reports AEs related to treatment</t>
  </si>
  <si>
    <t>(Previously included) Previously excluded. No reported SAE data, applied current definition to determine 0 SAEs. Extracted data for 2 studies (one challenge with vaccine candidate virus, review for inclusion)</t>
  </si>
  <si>
    <t>Russell RG</t>
  </si>
  <si>
    <t>Russell 1989</t>
  </si>
  <si>
    <t>(Previously included) Previously excluded. No reported SAE data, applied current definition to determine 0 SAEs. Extracted separate data for each of two phases (one live attenuated vaccine, likely exclude)</t>
  </si>
  <si>
    <t>(Previously included) Previously excluded. No reported SAE data, applied current definition to determine 0 SAEs. Extracted separate data for each of two studies (one live attenuated vaccine, likely exclude)</t>
  </si>
  <si>
    <t>Previously excluded. No reported SAE data, applied current definition to determine 0 SAEs. Extracted separate data for each of two studies/cohorts (both challenges)</t>
  </si>
  <si>
    <t>Unclear whether AEs were treatment related or challenge related; decided to count as challenge related</t>
  </si>
  <si>
    <t>Snyder 1985</t>
  </si>
  <si>
    <t>Previously excluded. No reported SAE data, applied current definition to determine 0 SAEs. Extracted separate data to 5 lines (two virus vaccine challenges, two wild-type challenges, one possible rechallenge)</t>
  </si>
  <si>
    <t>No reported SAE data, applied current definition to determine 0 SAEs. Extracted separate data for attenuated and wild-type challenges (summed to treat as single study)</t>
  </si>
  <si>
    <t>Previously excluded. No reported AE data, unable to apply current definition of SAEs to reported sypmtoms (none reported). Extracted separate data from each of two phases (one challenge, one vaccination phase)</t>
  </si>
  <si>
    <t>Previously excluded. No reported AE data, unable to apply current definition of SAEs to reported sypmtoms (none reported). Extracted separate data from each of two studies (both challenges)</t>
  </si>
  <si>
    <t>Treanor J</t>
  </si>
  <si>
    <t>no full text availabe (circle back)</t>
  </si>
  <si>
    <t>no full text available.</t>
  </si>
  <si>
    <t>Treanor JJ</t>
  </si>
  <si>
    <t>Treanor 2000</t>
  </si>
  <si>
    <t>Treanor 2007</t>
  </si>
  <si>
    <t>Extracted separate data for naive and rechallenged cohorts; not reported SAE data, applied current definition to determine 0 SAEs</t>
  </si>
  <si>
    <t>Previously excluded. No reported AE data, unable to apply current definition of SAEs to reported symptoms (none reported). Symptoms data may be reported separately (https://doi.org/10.3109/00016488409128537)</t>
  </si>
  <si>
    <t>Reports AE data, SAE data unclear</t>
  </si>
  <si>
    <t>1 potentially serious adverse event occurred prior to challenge</t>
  </si>
  <si>
    <t>Previously excluded. Unclear whether reported AEs are treatment related or challenge related; counted as challenge related. No SAEs mentioned in text</t>
  </si>
  <si>
    <t>Previously excluded. No reported SAE data, applied current definition to determine 0 SAEs. Extracted separate results for each of two studies (both challenges, different strains of RV)</t>
  </si>
  <si>
    <t>Turner 2000</t>
  </si>
  <si>
    <t>Duplicate result (Turner 2000a)</t>
  </si>
  <si>
    <t>Unclear whether reported AEs are treatment related or challenge related; counted as challenge related. No SAEs related to treatment, no other SAEs identified in text</t>
  </si>
  <si>
    <t>Uses data previously reported in Cohen 1991, but reports in greater detail by pathogen, so this study is included. No reported SAEs, manually applied current definition to determine 0 SAEs</t>
  </si>
  <si>
    <t>https://pubmed.ncbi.nlm.nih.gov/1713648/</t>
  </si>
  <si>
    <t>Cohen 1991</t>
  </si>
  <si>
    <t>Doesn't report separate data for studies with different viruses, decided to use Tyrrell 1993</t>
  </si>
  <si>
    <t>Van de Verg L</t>
  </si>
  <si>
    <t>Van de Verg 1990</t>
  </si>
  <si>
    <t>Duplicate result (Herrington 1990b includes this data, Lot 87-5-1)</t>
  </si>
  <si>
    <t>Previously excluded. No AE data reported, unable to apply current definition of SAEs to reported symptoms (none reported). Extracted separate data from each of two studies (both challenges, different strains of influenza)</t>
  </si>
  <si>
    <t>Previously excluded. No reported SAE data, applied current definition to deterine 0 SAEs. No clear infection data</t>
  </si>
  <si>
    <t>Previously excluded. No reported SAE data, applied current definition to determine 0 SAEs. Extracted separate data from each of two studies (both challenges, different strains of influenza)</t>
  </si>
  <si>
    <t>Bandyopadhyay AS</t>
  </si>
  <si>
    <t>Poliovirus vaccine challenge</t>
  </si>
  <si>
    <t xml:space="preserve">JA </t>
  </si>
  <si>
    <t>No AEs reported for challenge, but says that no SAEs occurred</t>
  </si>
  <si>
    <t>Unclear infection and AE data, but no SAEs occurred. Extracted separate data for each of three phases (attenuated challenge, vaccination with attenuated larvae, and challenge). Summed data for challenges</t>
  </si>
  <si>
    <t>Unclear AE data, but reports 1 participant with 4 SAEs (deemed unrelated to challenge per discussion with Josh, not counted in dataset but included in supplementary)</t>
  </si>
  <si>
    <t>Unclear AE data, but reports 0 SAEs</t>
  </si>
  <si>
    <t>JA/DK</t>
  </si>
  <si>
    <t>DK</t>
  </si>
  <si>
    <t>Spring M</t>
  </si>
  <si>
    <t>https://pubmed.ncbi.nlm.nih.gov/24872394/</t>
  </si>
  <si>
    <t>Spring 2014</t>
  </si>
  <si>
    <t>not a challenge trial</t>
  </si>
  <si>
    <t>this paper describes a challenge trial protocol, not an actual trial</t>
  </si>
  <si>
    <t>Suntharasami 1992</t>
  </si>
  <si>
    <t>DK/JA</t>
  </si>
  <si>
    <t>Review counting diarrhea as AE</t>
  </si>
  <si>
    <t>Vallejo A</t>
  </si>
  <si>
    <t>https://pubmed.ncbi.nlm.nih.gov/26822406/</t>
  </si>
  <si>
    <t>Vallejo 2016</t>
  </si>
  <si>
    <t>Uses samples from a previously conducted study (Arévalo-Herrera 2014)</t>
  </si>
  <si>
    <t>One non-challenge related SAE added to supplementary appendix</t>
  </si>
  <si>
    <t>Unclear AE data. Doesn't mention SAEs for challenge, but seems like none occurred (no life-threatening AEs)</t>
  </si>
  <si>
    <t>Billingsley P</t>
  </si>
  <si>
    <t>PMC4179291</t>
  </si>
  <si>
    <t>https://www.ncbi.nlm.nih.gov/pmc/articles/PMC4179291/</t>
  </si>
  <si>
    <t>Billingsley 2014</t>
  </si>
  <si>
    <t>No full text available</t>
  </si>
  <si>
    <t>Title identifies itself as a case report, but includes 18 subjects and reports everything we want. Reports 0 SAEs, but 7 needed fluid therapy (not counted as SAEs)</t>
  </si>
  <si>
    <t>No SAE data reported for challenge. Extracted separate data for each of two challenges (one rechallenge)</t>
  </si>
  <si>
    <t>Nieman A</t>
  </si>
  <si>
    <t>https://pubmed.ncbi.nlm.nih.gov/19958549/</t>
  </si>
  <si>
    <t>No AE data reported, applied current definition to determine 0 SAEs. Discuss counting diarrhea as AE</t>
  </si>
  <si>
    <t>https://pubmed.ncbi.nlm.nih.gov/26041041/</t>
  </si>
  <si>
    <t>Atmar 2015</t>
  </si>
  <si>
    <t>Discusses results that have already been extracted (Bernstein 2015, same ClinicalTrials ID)</t>
  </si>
  <si>
    <t>https://pubmed.ncbi.nlm.nih.gov/24088113/</t>
  </si>
  <si>
    <t>Bennett 2013</t>
  </si>
  <si>
    <t>Seems like Bennett 2016 discusses the same results in greater detail</t>
  </si>
  <si>
    <t>1 SAE not related to challenge, but occurred during challenge. Excluded in dataset, additional appendix will provide more information</t>
  </si>
  <si>
    <t>Benyajati C</t>
  </si>
  <si>
    <t>https://pubmed.ncbi.nlm.nih.gov/5901572/</t>
  </si>
  <si>
    <t>No AE data reported for challenge; applied current definition to determine 2 SAEs</t>
  </si>
  <si>
    <t>Chen X</t>
  </si>
  <si>
    <t>https://pubmed.ncbi.nlm.nih.gov/12563811/</t>
  </si>
  <si>
    <t>Not in English (Chinese)</t>
  </si>
  <si>
    <t>Ciuca M</t>
  </si>
  <si>
    <t>https://pubmed.ncbi.nlm.nih.gov/15404744/</t>
  </si>
  <si>
    <t>Discussed including one potential SAE that wasn't reported as one, decided not to include</t>
  </si>
  <si>
    <t>JA/SK</t>
  </si>
  <si>
    <t>No AE data reported for hookworm challenge (some AE discussion around gluten challenge); volunteers participated in previous hookworm challenge</t>
  </si>
  <si>
    <t>Brief article, very little data reported</t>
  </si>
  <si>
    <t>Dawkins Jr. AT</t>
  </si>
  <si>
    <t>https://jamanetwork.com/journals/jama/article-abstract/338539</t>
  </si>
  <si>
    <t>Reports 4 SAEs that weren't related to study (excluded, discussed further in additional appendix). Extracted separate data for each of 3 studies/cohorts (original challenge, rechallenge, and challenge of original control group)</t>
  </si>
  <si>
    <t>Reports 1 SAE that wasn't related to study (excluded, discussed further in additional appendix). No AE data reported, but extracted reported symptom data (unclear)</t>
  </si>
  <si>
    <t>Dolin R</t>
  </si>
  <si>
    <t>https://pubmed.ncbi.nlm.nih.gov/5111887/</t>
  </si>
  <si>
    <t>Dolin 1971</t>
  </si>
  <si>
    <t>No AEs reported, applied current definition to determine 0 SAEs. Extracted separate data for each of three cohorts (challenged with different strains)</t>
  </si>
  <si>
    <t>Unclear AE data. Flagged participants that chose to be infected and not treated at end of study, with additional data on this not reported</t>
  </si>
  <si>
    <t>Unclear AE data</t>
  </si>
  <si>
    <t>No reported AE data, unable to apply current SAE definition to reported symptom data (none reported)</t>
  </si>
  <si>
    <t>No reported AE data, applied current definition to determine 4 SAEs</t>
  </si>
  <si>
    <t>No reported AE data, applied current definition to determine 0 SAEs. Extracted separate data for each of two studies (both challenges)</t>
  </si>
  <si>
    <t>Unclear infection data. No reported AE data, unable to apply current SAE definition to reported symptoms (none reported)</t>
  </si>
  <si>
    <t>Describes protocol for experimental human pneumococcal carriage model, reports some representative results</t>
  </si>
  <si>
    <t>No reported AE data, unable to apply current SAE definition to reported symptom data (not reported sufficiently)</t>
  </si>
  <si>
    <t>Henle W</t>
  </si>
  <si>
    <t>https://www.jimmunol.org/content/46/3/163</t>
  </si>
  <si>
    <t>https://pubmed.ncbi.nlm.nih.gov/11930326/</t>
  </si>
  <si>
    <t>Hoffman 2002</t>
  </si>
  <si>
    <t>Reports results from 6 prior studies (original not reviewed due to decision not to review reference lists of articles that were not identified from searches)</t>
  </si>
  <si>
    <t>SK/JA</t>
  </si>
  <si>
    <t>Extracted additional data for cohorts challenged at lower doses and rechallenge</t>
  </si>
  <si>
    <t>(REVIEW viremia as AE)</t>
  </si>
  <si>
    <t>Levine MM</t>
  </si>
  <si>
    <t>https://www.karger.com/Article/Abstract/403261</t>
  </si>
  <si>
    <t>Levine 1980</t>
  </si>
  <si>
    <t>SK</t>
  </si>
  <si>
    <t>Not a HCT itself, but review of data of other HCT; also, originally published pre-1980s</t>
  </si>
  <si>
    <t>https://pubmed.ncbi.nlm.nih.gov/378834/</t>
  </si>
  <si>
    <t>Levine 1979a</t>
  </si>
  <si>
    <t>https://pubmed.ncbi.nlm.nih.gov/394667/</t>
  </si>
  <si>
    <t>Levine 1979b</t>
  </si>
  <si>
    <t>symptom severity scores</t>
  </si>
  <si>
    <t>3 SAEs that were likely attributed to treatment, while challenge cannot be ruled out as cause</t>
  </si>
  <si>
    <t>No reported AE data, applied current SAE definition to determine 0 SAEs</t>
  </si>
  <si>
    <t>No SAEs reported, applied current definition to determine 0 SAEs. Extracted separate data for each of two cohorts</t>
  </si>
  <si>
    <t>Duplicate results (Uses the same data reported in Collins 2015)</t>
  </si>
  <si>
    <t>AE data reporting is a bit confusing, but seems to mostly be in extended data figure 1b</t>
  </si>
  <si>
    <t>Muehling 2016</t>
  </si>
  <si>
    <t>Parrino TA</t>
  </si>
  <si>
    <t>https://pubmed.ncbi.nlm.nih.gov/405590/</t>
  </si>
  <si>
    <t>Parrino 1977</t>
  </si>
  <si>
    <t>https://pubmed.ncbi.nlm.nih.gov/22906296/</t>
  </si>
  <si>
    <t>Review (could review studies for inclusion)</t>
  </si>
  <si>
    <t>https://pubmed.ncbi.nlm.nih.gov/21616116/</t>
  </si>
  <si>
    <t>Systematic review (could review studies for inclusion)</t>
  </si>
  <si>
    <t>Reports treatment emergent AEs</t>
  </si>
  <si>
    <t>No AE data reported for challenge, two non-challenge SAEs described in our appendix</t>
  </si>
  <si>
    <t>Duplicate results (uses same data reported in Kotloff 1995a)</t>
  </si>
  <si>
    <t>1 SAE not related to challenge (discussed in our appendix)</t>
  </si>
  <si>
    <t>All participants were rechallenged (discuss how to count)</t>
  </si>
  <si>
    <t>AE data unclear, one non-challenge SAE extracted for our appendix H</t>
  </si>
  <si>
    <t>Unclear AE data, applied current definition to determine 0 SAEs</t>
  </si>
  <si>
    <t>This is an extension of the challenge reported in Message 2008 (no additional challenge was performed)</t>
  </si>
  <si>
    <t>Reasons for exclusion:</t>
  </si>
  <si>
    <t>meets inclusion criteria but does not report sufficient data</t>
  </si>
  <si>
    <t>challenge trial but did not expose human subjects to virulent pathogen (not a challenge trial)</t>
  </si>
  <si>
    <t>reports results using samples obtained from a challenge study</t>
  </si>
  <si>
    <t>describes protocol for a future study</t>
  </si>
  <si>
    <t>Review (retrospective, sysematic, etc.)</t>
  </si>
  <si>
    <t>duplicate</t>
  </si>
  <si>
    <t>unable to locate or access (no full text available)</t>
  </si>
  <si>
    <t>case report</t>
  </si>
  <si>
    <t>pre-1980s</t>
  </si>
  <si>
    <t>unpublished data</t>
  </si>
  <si>
    <t>Non-English</t>
  </si>
  <si>
    <t>Table 1 Category</t>
  </si>
  <si>
    <t>Search</t>
  </si>
  <si>
    <t>Total from searches:</t>
  </si>
  <si>
    <t>Total from reference lists:</t>
  </si>
  <si>
    <t>Total from Zeb's book:</t>
  </si>
  <si>
    <t>Total from Meta's review:</t>
  </si>
  <si>
    <t>Total other:</t>
  </si>
  <si>
    <t>Reference</t>
  </si>
  <si>
    <t>Unable to locate/access (Some results reported in Herrington 1990, page 35; not extracted)</t>
  </si>
  <si>
    <t>Pre-1970s</t>
  </si>
  <si>
    <t>PMC7286377</t>
  </si>
  <si>
    <t>PMC7924584</t>
  </si>
  <si>
    <t>PMC4775905</t>
  </si>
  <si>
    <t>PMC5914500</t>
  </si>
  <si>
    <t>PMC4208622</t>
  </si>
  <si>
    <t>Bijker 2014</t>
  </si>
  <si>
    <t>PMC3651438</t>
  </si>
  <si>
    <t>PMC3732056</t>
  </si>
  <si>
    <t>PMC4403409</t>
  </si>
  <si>
    <t>https://www.biorxiv.org/content/10.1101/2020.09.14.296152v1</t>
  </si>
  <si>
    <t>https://clinicaltrials.gov/ct2/show/study/NCT02704533?term=NCT02704533&amp;draw=2&amp;rank=1</t>
  </si>
  <si>
    <t>https://www.ncbi.nlm.nih.gov/pmc/articles/PMC6810285/</t>
  </si>
  <si>
    <t>Uses results reported in Jin 2017 and Gibani 2020 (duplicate study)</t>
  </si>
  <si>
    <t>Pitisuttihum 2016</t>
  </si>
  <si>
    <t>https://pubmed.ncbi.nlm.nih.gov/26711509/</t>
  </si>
  <si>
    <t>https://pubmed.ncbi.nlm.nih.gov/23599283/</t>
  </si>
  <si>
    <t>https://pubmed.ncbi.nlm.nih.gov/24872326/</t>
  </si>
  <si>
    <t>https://pubmed.ncbi.nlm.nih.gov/19641203/</t>
  </si>
  <si>
    <t>https://pubmed.ncbi.nlm.nih.gov/23186785/</t>
  </si>
  <si>
    <t>Unclear data - difficult to identify whether AEs were recorded; no clear data on participants</t>
  </si>
  <si>
    <t>meta-analysis? half meta-analysis, half retrospective review.</t>
  </si>
  <si>
    <t>Unable to locate (probably not a challenge trial, title mentions natural infections)</t>
  </si>
  <si>
    <t>Herrington 1990</t>
  </si>
  <si>
    <t>Not a challenge trial (natural infection). Uses data from previous study (Treanor 2000)</t>
  </si>
  <si>
    <t>Kotloff 1995</t>
  </si>
  <si>
    <t>no full text available. circle back and double check it can't be found</t>
  </si>
  <si>
    <t>Zeb</t>
  </si>
  <si>
    <t>Chulay 198</t>
  </si>
  <si>
    <t>Meta</t>
  </si>
  <si>
    <t>Mitsi 2017</t>
  </si>
  <si>
    <t>Duplicate study (Uses the same data reported in Collins 2015)</t>
  </si>
  <si>
    <t>Publication Year</t>
  </si>
  <si>
    <t>PMCID</t>
  </si>
  <si>
    <t>PMID</t>
  </si>
  <si>
    <t>Eligible for full-text review?</t>
  </si>
  <si>
    <t>review, guidelines (file under review), editorials, comment (file under review)s, or meta-analysis</t>
  </si>
  <si>
    <t>animal challenge or disease model</t>
  </si>
  <si>
    <t>not in english</t>
  </si>
  <si>
    <t>clinical trials or other studies (not challenge trials)</t>
  </si>
  <si>
    <t>assessments and evaluations (not challenge trials)</t>
  </si>
  <si>
    <t>PMC2427734</t>
  </si>
  <si>
    <t>Tunkel AR</t>
  </si>
  <si>
    <t>review</t>
  </si>
  <si>
    <t>PMC268857</t>
  </si>
  <si>
    <t>Walker DH</t>
  </si>
  <si>
    <t>animal challenge study</t>
  </si>
  <si>
    <t>Prince GA</t>
  </si>
  <si>
    <t>PMC414720</t>
  </si>
  <si>
    <t>PMC268513</t>
  </si>
  <si>
    <t>Hopkins AP</t>
  </si>
  <si>
    <t>PMC494853</t>
  </si>
  <si>
    <t>PMC268736</t>
  </si>
  <si>
    <t>PMC268575</t>
  </si>
  <si>
    <t>Parrott RH</t>
  </si>
  <si>
    <t>PMC414607</t>
  </si>
  <si>
    <t>Blaser MJ</t>
  </si>
  <si>
    <t>PMC348033</t>
  </si>
  <si>
    <t>PMC421911</t>
  </si>
  <si>
    <t>PMC2137531</t>
  </si>
  <si>
    <t>Dienstag JL</t>
  </si>
  <si>
    <t>Lublin FD</t>
  </si>
  <si>
    <t>PMC7087536</t>
  </si>
  <si>
    <t>McKee KT Jr</t>
  </si>
  <si>
    <t>McDermott MR</t>
  </si>
  <si>
    <t>PMC174973</t>
  </si>
  <si>
    <t>Koff WC</t>
  </si>
  <si>
    <t>PMC1535688</t>
  </si>
  <si>
    <t>Scott RM</t>
  </si>
  <si>
    <t>PMC550741</t>
  </si>
  <si>
    <t>PMC348156</t>
  </si>
  <si>
    <t>Wright PF</t>
  </si>
  <si>
    <t>assesses novel vaccine efficacy</t>
  </si>
  <si>
    <t>PMC268874</t>
  </si>
  <si>
    <t>PMC428983</t>
  </si>
  <si>
    <t>Woodall JP</t>
  </si>
  <si>
    <t>PMC303635</t>
  </si>
  <si>
    <t>HORSTMANN DM</t>
  </si>
  <si>
    <t>PMC2136730</t>
  </si>
  <si>
    <t>assesses efficacy of vaccine</t>
  </si>
  <si>
    <t>Wilson HE</t>
  </si>
  <si>
    <t>PMC2135694</t>
  </si>
  <si>
    <t>Ascher MS</t>
  </si>
  <si>
    <t>PMC1541594</t>
  </si>
  <si>
    <t>PMC250559</t>
  </si>
  <si>
    <t>PMC429953</t>
  </si>
  <si>
    <t>Paniker CK</t>
  </si>
  <si>
    <t>PMC2427813</t>
  </si>
  <si>
    <t>Davis GS</t>
  </si>
  <si>
    <t>Little JS</t>
  </si>
  <si>
    <t>Wyatt RG</t>
  </si>
  <si>
    <t>Kenyon RH</t>
  </si>
  <si>
    <t>Nasidi A</t>
  </si>
  <si>
    <t>reviews events of epidemic</t>
  </si>
  <si>
    <t>Allardyce RA</t>
  </si>
  <si>
    <t>PMC2536281</t>
  </si>
  <si>
    <t>PMC255840</t>
  </si>
  <si>
    <t>McBride JT</t>
  </si>
  <si>
    <t>PMC429448</t>
  </si>
  <si>
    <t>Tolpin MD</t>
  </si>
  <si>
    <t>PMC351277</t>
  </si>
  <si>
    <t>evaluates novel vaccination method for influenza</t>
  </si>
  <si>
    <t>Teixeira AR</t>
  </si>
  <si>
    <t>PMC1914044</t>
  </si>
  <si>
    <t>Gershon AA</t>
  </si>
  <si>
    <t>assesses tolerance of live-attenuated vaccine</t>
  </si>
  <si>
    <t>Holland JA</t>
  </si>
  <si>
    <t>retrospective case review</t>
  </si>
  <si>
    <t>Waldman RH</t>
  </si>
  <si>
    <t>PMC347709</t>
  </si>
  <si>
    <t>Kitaura Y</t>
  </si>
  <si>
    <t>case reports</t>
  </si>
  <si>
    <t>PMC313296</t>
  </si>
  <si>
    <t>Eddy GA</t>
  </si>
  <si>
    <t>PMC2366629</t>
  </si>
  <si>
    <t>Hu X</t>
  </si>
  <si>
    <t>Ravkina L</t>
  </si>
  <si>
    <t>models encephalomyelitis in animals</t>
  </si>
  <si>
    <t>Peters W</t>
  </si>
  <si>
    <t>assesses malaria in animals</t>
  </si>
  <si>
    <t>PMC422157</t>
  </si>
  <si>
    <t>PMC444606</t>
  </si>
  <si>
    <t>Mills J</t>
  </si>
  <si>
    <t>PMC2427735</t>
  </si>
  <si>
    <t>Shibuta H</t>
  </si>
  <si>
    <t>PMC351058</t>
  </si>
  <si>
    <t>Jamieson RA</t>
  </si>
  <si>
    <t>PMC2125373</t>
  </si>
  <si>
    <t>Ruprecht RM</t>
  </si>
  <si>
    <t>PMC391408</t>
  </si>
  <si>
    <t>Gonder JC</t>
  </si>
  <si>
    <t>Nichols BL</t>
  </si>
  <si>
    <t>Duval CW</t>
  </si>
  <si>
    <t>PMC2128104</t>
  </si>
  <si>
    <t>Stott EJ</t>
  </si>
  <si>
    <t>PMC258758</t>
  </si>
  <si>
    <t>Maynard JE</t>
  </si>
  <si>
    <t>Cox NJ</t>
  </si>
  <si>
    <t>Hanson LA</t>
  </si>
  <si>
    <t>Gammon J</t>
  </si>
  <si>
    <t>assesses psychological effects of hospitalization</t>
  </si>
  <si>
    <t>Benowitz NL</t>
  </si>
  <si>
    <t>O'Reilly RL</t>
  </si>
  <si>
    <t>Krawczynski K</t>
  </si>
  <si>
    <t>Johnston DA</t>
  </si>
  <si>
    <t>Hantson P</t>
  </si>
  <si>
    <t>Khardori N</t>
  </si>
  <si>
    <t>Pyne DB</t>
  </si>
  <si>
    <t>Love S</t>
  </si>
  <si>
    <t>deLemos RA</t>
  </si>
  <si>
    <t>Rybakowski JK</t>
  </si>
  <si>
    <t>Silagy CA</t>
  </si>
  <si>
    <t>Dodhia H</t>
  </si>
  <si>
    <t>PMC2809383</t>
  </si>
  <si>
    <t>Bonten MJ</t>
  </si>
  <si>
    <t>Luzina IG</t>
  </si>
  <si>
    <t>Connor TJ</t>
  </si>
  <si>
    <t>Schaad UB</t>
  </si>
  <si>
    <t>Ruokonen E</t>
  </si>
  <si>
    <t>Johnson RT</t>
  </si>
  <si>
    <t>PMC7159614</t>
  </si>
  <si>
    <t>Bellomo R</t>
  </si>
  <si>
    <t>Alberti A</t>
  </si>
  <si>
    <t>PMC269965</t>
  </si>
  <si>
    <t>Qamruddin AO</t>
  </si>
  <si>
    <t>Johnson PR</t>
  </si>
  <si>
    <t>AlonsoDeVelasco E</t>
  </si>
  <si>
    <t>PMC239389</t>
  </si>
  <si>
    <t>Sacks GS</t>
  </si>
  <si>
    <t>Tessaro SV</t>
  </si>
  <si>
    <t>Duffy J</t>
  </si>
  <si>
    <t>Noseworthy JH</t>
  </si>
  <si>
    <t>Telling GC</t>
  </si>
  <si>
    <t>models neurodegeneration in animals</t>
  </si>
  <si>
    <t>Leflore S</t>
  </si>
  <si>
    <t>Aggarwal R</t>
  </si>
  <si>
    <t>Isenmann R</t>
  </si>
  <si>
    <t>Pinner RW</t>
  </si>
  <si>
    <t>Heyland DK</t>
  </si>
  <si>
    <t>Zambon M</t>
  </si>
  <si>
    <t>Trainin Z</t>
  </si>
  <si>
    <t>Chuang TY</t>
  </si>
  <si>
    <t>Marshall JC</t>
  </si>
  <si>
    <t>Clark MA</t>
  </si>
  <si>
    <t>Roig J</t>
  </si>
  <si>
    <t>Lajic S</t>
  </si>
  <si>
    <t>Monath TP</t>
  </si>
  <si>
    <t>Escajadillo A</t>
  </si>
  <si>
    <t>Abraham E</t>
  </si>
  <si>
    <t>McAllister MM</t>
  </si>
  <si>
    <t>PMC257146</t>
  </si>
  <si>
    <t>Amaya-Tapia G</t>
  </si>
  <si>
    <t>assesses tolerability of medication</t>
  </si>
  <si>
    <t>Fontaine O</t>
  </si>
  <si>
    <t>Gajjar DA</t>
  </si>
  <si>
    <t>clinical trial, but not a challenge trial</t>
  </si>
  <si>
    <t>Gardiner KR</t>
  </si>
  <si>
    <t>PMC1382906</t>
  </si>
  <si>
    <t>models colitis in animals</t>
  </si>
  <si>
    <t>PMC2271186</t>
  </si>
  <si>
    <t>PMC258689</t>
  </si>
  <si>
    <t>Blank AL</t>
  </si>
  <si>
    <t>Gifford AL</t>
  </si>
  <si>
    <t>Michalak TI</t>
  </si>
  <si>
    <t>Mediratta PK</t>
  </si>
  <si>
    <t>Hendriksen CF</t>
  </si>
  <si>
    <t>Thall PF</t>
  </si>
  <si>
    <t>evaluates novel approach to monitoring clinical trial outcomes</t>
  </si>
  <si>
    <t>White A</t>
  </si>
  <si>
    <t>Dabrowski GP</t>
  </si>
  <si>
    <t>Flores BM</t>
  </si>
  <si>
    <t>PMC313760</t>
  </si>
  <si>
    <t>Mochizuki M</t>
  </si>
  <si>
    <t>Johnson E</t>
  </si>
  <si>
    <t>PMC1997182</t>
  </si>
  <si>
    <t>Bemiller LS</t>
  </si>
  <si>
    <t>assesses tolerability of therapy</t>
  </si>
  <si>
    <t>Tong HH</t>
  </si>
  <si>
    <t>Glynn JR</t>
  </si>
  <si>
    <t>Smith AP</t>
  </si>
  <si>
    <t>Tonelli F</t>
  </si>
  <si>
    <t>Kim YS</t>
  </si>
  <si>
    <t>PMC111650</t>
  </si>
  <si>
    <t>Reynolds HY</t>
  </si>
  <si>
    <t>Freire-de-Lima CG</t>
  </si>
  <si>
    <t>Rudenko LG</t>
  </si>
  <si>
    <t>assesses vaccine efficacy in a non-challenge trial</t>
  </si>
  <si>
    <t>Huang HB</t>
  </si>
  <si>
    <t>Nakao RM</t>
  </si>
  <si>
    <t>assesses efficacy of public health program</t>
  </si>
  <si>
    <t>PMC89939</t>
  </si>
  <si>
    <t>Toth LA</t>
  </si>
  <si>
    <t>assesses tolerability of vaccine</t>
  </si>
  <si>
    <t>Walker BD</t>
  </si>
  <si>
    <t>Van Campen H</t>
  </si>
  <si>
    <t>Mainous MR</t>
  </si>
  <si>
    <t>Martinez-Pomares L</t>
  </si>
  <si>
    <t>assesses a virus protein</t>
  </si>
  <si>
    <t>Mendez C</t>
  </si>
  <si>
    <t>clinical trial, but not a challenge model</t>
  </si>
  <si>
    <t>Najdenski H</t>
  </si>
  <si>
    <t>Smith A</t>
  </si>
  <si>
    <t>PMC7131765</t>
  </si>
  <si>
    <t>comparative study, but not a challenge model</t>
  </si>
  <si>
    <t>Jiang X</t>
  </si>
  <si>
    <t>PMC240146</t>
  </si>
  <si>
    <t>assesses Norwalk virus capsid mechanics</t>
  </si>
  <si>
    <t>Guirakhoo F</t>
  </si>
  <si>
    <t>PMC112032</t>
  </si>
  <si>
    <t>Fukuda H</t>
  </si>
  <si>
    <t>Uemura N</t>
  </si>
  <si>
    <t>Boelen A</t>
  </si>
  <si>
    <t>assesses role of IL-6 in low T3 syndrome</t>
  </si>
  <si>
    <t>Rodríguez-García R</t>
  </si>
  <si>
    <t>Grosse Beilage E</t>
  </si>
  <si>
    <t xml:space="preserve"> not in english</t>
  </si>
  <si>
    <t>PMC89333</t>
  </si>
  <si>
    <t>Palmer JE</t>
  </si>
  <si>
    <t>Davis LE</t>
  </si>
  <si>
    <t>Neugebauer E</t>
  </si>
  <si>
    <t>Graham BS</t>
  </si>
  <si>
    <t>Grasela DM</t>
  </si>
  <si>
    <t>clinical trial, but not challenge model</t>
  </si>
  <si>
    <t>Wright AL</t>
  </si>
  <si>
    <t>Greenbloom SL</t>
  </si>
  <si>
    <t>Ryan AM</t>
  </si>
  <si>
    <t>Odeón AC</t>
  </si>
  <si>
    <t>Gasper PW</t>
  </si>
  <si>
    <t>Davis JM</t>
  </si>
  <si>
    <t>PMC189373</t>
  </si>
  <si>
    <t>Parr MB</t>
  </si>
  <si>
    <t>PMC109710</t>
  </si>
  <si>
    <t>Sileri P</t>
  </si>
  <si>
    <t>Theriault BR</t>
  </si>
  <si>
    <t>Kaul P</t>
  </si>
  <si>
    <t>assesses effect of rhinovirus on NO signalling</t>
  </si>
  <si>
    <t>Koziel MJ</t>
  </si>
  <si>
    <t>Bavastrelli M</t>
  </si>
  <si>
    <t>assesses transmission rate of chlamydia</t>
  </si>
  <si>
    <t>Kern-Buell CL</t>
  </si>
  <si>
    <t>Madec F</t>
  </si>
  <si>
    <t>Ueki T</t>
  </si>
  <si>
    <t>Farah IO</t>
  </si>
  <si>
    <t>Matsumura S</t>
  </si>
  <si>
    <t>Dyer DL</t>
  </si>
  <si>
    <t>assesses efficacy of public health policy</t>
  </si>
  <si>
    <t>Rühl-Fehlert CI</t>
  </si>
  <si>
    <t>Aureli P</t>
  </si>
  <si>
    <t>assesses gastroenteritis outbreak</t>
  </si>
  <si>
    <t>Davies JK</t>
  </si>
  <si>
    <t>Collins PL</t>
  </si>
  <si>
    <t>Breitschwerdt EB</t>
  </si>
  <si>
    <t>PMC89211</t>
  </si>
  <si>
    <t>Nieuwenhuijzen GA</t>
  </si>
  <si>
    <t>PMC1167695</t>
  </si>
  <si>
    <t>Porro E</t>
  </si>
  <si>
    <t>evaluates survey of upper respiratory tract disease</t>
  </si>
  <si>
    <t>PMC188174</t>
  </si>
  <si>
    <t>Ertel W</t>
  </si>
  <si>
    <t>assesses IL-12 signalling in critical illness</t>
  </si>
  <si>
    <t>Neurath MF</t>
  </si>
  <si>
    <t>PMC2192205</t>
  </si>
  <si>
    <t>Prins JM</t>
  </si>
  <si>
    <t>Roesler J</t>
  </si>
  <si>
    <t>O'Donnell DR</t>
  </si>
  <si>
    <t>Staempfli HR</t>
  </si>
  <si>
    <t>PMC1263544</t>
  </si>
  <si>
    <t>Tatzelt J</t>
  </si>
  <si>
    <t>Pohl HG</t>
  </si>
  <si>
    <t>Dingle GA</t>
  </si>
  <si>
    <t>Vitullo AD</t>
  </si>
  <si>
    <t>Brown P</t>
  </si>
  <si>
    <t>assesses encephalopathy in nonhuman primates</t>
  </si>
  <si>
    <t>Rodríguez SD</t>
  </si>
  <si>
    <t>PMC107857</t>
  </si>
  <si>
    <t>Everard CO</t>
  </si>
  <si>
    <t>PMC257646</t>
  </si>
  <si>
    <t>Heyland D</t>
  </si>
  <si>
    <t>clinical trial, but not challenge trial</t>
  </si>
  <si>
    <t>Bertotto A</t>
  </si>
  <si>
    <t>assesses novel test for kawsaki disease</t>
  </si>
  <si>
    <t>Dams ET</t>
  </si>
  <si>
    <t>comparative study, but not a challenge trial</t>
  </si>
  <si>
    <t>Lindenmuth GF</t>
  </si>
  <si>
    <t>Bressolle F</t>
  </si>
  <si>
    <t>PMC163395</t>
  </si>
  <si>
    <t>assesses efficacy of medication in critically ill patients</t>
  </si>
  <si>
    <t>Patel D</t>
  </si>
  <si>
    <t>Brown C</t>
  </si>
  <si>
    <t>PMC163675</t>
  </si>
  <si>
    <t>Susser E</t>
  </si>
  <si>
    <t>Spruance SL</t>
  </si>
  <si>
    <t>assesses novel therapy</t>
  </si>
  <si>
    <t>Sakiniene E</t>
  </si>
  <si>
    <t>TerWee J</t>
  </si>
  <si>
    <t>Fu ZF</t>
  </si>
  <si>
    <t>assesses novel western blot technique</t>
  </si>
  <si>
    <t>Torremorell M</t>
  </si>
  <si>
    <t>PMC1189563</t>
  </si>
  <si>
    <t>Regnery RL</t>
  </si>
  <si>
    <t>Rothman AL</t>
  </si>
  <si>
    <t>Tegeder I</t>
  </si>
  <si>
    <t>Alfonso J</t>
  </si>
  <si>
    <t>Peterka M</t>
  </si>
  <si>
    <t>PMC7134541</t>
  </si>
  <si>
    <t>Micillo E</t>
  </si>
  <si>
    <t>Chiesa C</t>
  </si>
  <si>
    <t>assesses novel method of diagnosing sepsis</t>
  </si>
  <si>
    <t>Guzman RE</t>
  </si>
  <si>
    <t>animal infection model</t>
  </si>
  <si>
    <t>Vucković D</t>
  </si>
  <si>
    <t>Rosen L</t>
  </si>
  <si>
    <t>Larsen JW</t>
  </si>
  <si>
    <t>Zhao YX</t>
  </si>
  <si>
    <t>Tsai ML</t>
  </si>
  <si>
    <t>Long MT</t>
  </si>
  <si>
    <t>Leigh MW</t>
  </si>
  <si>
    <t>Preiser JC</t>
  </si>
  <si>
    <t>Castañon-Gonzalez JA</t>
  </si>
  <si>
    <t>George JW</t>
  </si>
  <si>
    <t>animal challenge trial</t>
  </si>
  <si>
    <t>Hammer J</t>
  </si>
  <si>
    <t>Korvick JA</t>
  </si>
  <si>
    <t>PMC190567</t>
  </si>
  <si>
    <t>Adams LM</t>
  </si>
  <si>
    <t>PMC175752</t>
  </si>
  <si>
    <t>Weiss SH</t>
  </si>
  <si>
    <t>Dukes TW</t>
  </si>
  <si>
    <t>Nász I</t>
  </si>
  <si>
    <t>Centers for Disease Control (CDC)</t>
  </si>
  <si>
    <t>evaluates survey of knowledge of lyme disease</t>
  </si>
  <si>
    <t>Yokoyama H</t>
  </si>
  <si>
    <t>Viscoli C</t>
  </si>
  <si>
    <t>Feare CJ</t>
  </si>
  <si>
    <t>assesses goose droppings as a disease vector</t>
  </si>
  <si>
    <t>Parr EL</t>
  </si>
  <si>
    <t>PMC192266</t>
  </si>
  <si>
    <t>John TJ</t>
  </si>
  <si>
    <t>Manfredi R</t>
  </si>
  <si>
    <t>Biernat W</t>
  </si>
  <si>
    <t>André FE</t>
  </si>
  <si>
    <t>Ulione MS</t>
  </si>
  <si>
    <t>Komisar JL</t>
  </si>
  <si>
    <t>PMC303186</t>
  </si>
  <si>
    <t xml:space="preserve">assesses infectious mechanism of staphylococcal </t>
  </si>
  <si>
    <t>Tseng J</t>
  </si>
  <si>
    <t>PMC173391</t>
  </si>
  <si>
    <t>Mellado E</t>
  </si>
  <si>
    <t>evaluates fungal enzyme</t>
  </si>
  <si>
    <t>Suarez DL</t>
  </si>
  <si>
    <t>PMC109865</t>
  </si>
  <si>
    <t>Clausing P</t>
  </si>
  <si>
    <t>Vandeputte-Van Messom G</t>
  </si>
  <si>
    <t>Tønnesen EK</t>
  </si>
  <si>
    <t>Fernandez-Martin J</t>
  </si>
  <si>
    <t>PMC245324</t>
  </si>
  <si>
    <t>Stephens MD</t>
  </si>
  <si>
    <t>Depner KR</t>
  </si>
  <si>
    <t>Hak E</t>
  </si>
  <si>
    <t>PMC1756677</t>
  </si>
  <si>
    <t>assesses economic benefit of vaccinated risk population</t>
  </si>
  <si>
    <t>Carbone KM</t>
  </si>
  <si>
    <t>PMC250301</t>
  </si>
  <si>
    <t>Dellinger EP</t>
  </si>
  <si>
    <t>Fujioka T</t>
  </si>
  <si>
    <t>Zeng L</t>
  </si>
  <si>
    <t>PMC190173</t>
  </si>
  <si>
    <t>assesses Tcell clones in dengue infection</t>
  </si>
  <si>
    <t>Hanna J</t>
  </si>
  <si>
    <t>Jahrling PB</t>
  </si>
  <si>
    <t>Benson CA</t>
  </si>
  <si>
    <t>Dinarello CA</t>
  </si>
  <si>
    <t>Hachimi-Idrissi S</t>
  </si>
  <si>
    <t>evaluates instiutional scoring of meningococcaemia</t>
  </si>
  <si>
    <t>Estrada-Peña A</t>
  </si>
  <si>
    <t>Mukamoto M</t>
  </si>
  <si>
    <t>Ubol S</t>
  </si>
  <si>
    <t>animal epigenetic model</t>
  </si>
  <si>
    <t>Brackmann HH</t>
  </si>
  <si>
    <t>evaluates long term management of haemophilia</t>
  </si>
  <si>
    <t>Onderka DK</t>
  </si>
  <si>
    <t>PMC1481352</t>
  </si>
  <si>
    <t>PMC187656</t>
  </si>
  <si>
    <t>Shevtsova ZV</t>
  </si>
  <si>
    <t>Zenger E</t>
  </si>
  <si>
    <t>Reul JM</t>
  </si>
  <si>
    <t>PMC294494</t>
  </si>
  <si>
    <t>assesses immune induced HPA changes in rats</t>
  </si>
  <si>
    <t>Chaparro F</t>
  </si>
  <si>
    <t>evaluates role of mongoose in rabies</t>
  </si>
  <si>
    <t>Boedeker EC</t>
  </si>
  <si>
    <t>Gora D</t>
  </si>
  <si>
    <t>evaluates role of rats in rift valley fever</t>
  </si>
  <si>
    <t>Quiroga MI</t>
  </si>
  <si>
    <t>Leitch GJ</t>
  </si>
  <si>
    <t>Morin M</t>
  </si>
  <si>
    <t>PMC1255675</t>
  </si>
  <si>
    <t>Prahoveanu E</t>
  </si>
  <si>
    <t>Mandal PC</t>
  </si>
  <si>
    <t>Peña-Alonso R</t>
  </si>
  <si>
    <t>Thompson SC</t>
  </si>
  <si>
    <t>assesses tolerabilty of vaccine</t>
  </si>
  <si>
    <t>Alford PL</t>
  </si>
  <si>
    <t>Miettinen A</t>
  </si>
  <si>
    <t>PMC269603</t>
  </si>
  <si>
    <t>Burak II</t>
  </si>
  <si>
    <t>Doroshenko NV</t>
  </si>
  <si>
    <t>Li K</t>
  </si>
  <si>
    <t>Tinga N</t>
  </si>
  <si>
    <t>assesses efficacy of medication</t>
  </si>
  <si>
    <t>Kecskés B</t>
  </si>
  <si>
    <t>Keita M</t>
  </si>
  <si>
    <t>Martin WJ</t>
  </si>
  <si>
    <t>Thompson JP</t>
  </si>
  <si>
    <t>Barnosi-Marín AC</t>
  </si>
  <si>
    <t>Smith FB</t>
  </si>
  <si>
    <t>Hsiao KK</t>
  </si>
  <si>
    <t>PMC44760</t>
  </si>
  <si>
    <t>animal infectious transmission model</t>
  </si>
  <si>
    <t>Graham RM</t>
  </si>
  <si>
    <t>comparative study, not but challenge trial</t>
  </si>
  <si>
    <t>Anand R</t>
  </si>
  <si>
    <t>Butler T</t>
  </si>
  <si>
    <t>Ubeda A</t>
  </si>
  <si>
    <t>assesses hematological changes in rats epxosed to magnets</t>
  </si>
  <si>
    <t>Beebe AM</t>
  </si>
  <si>
    <t>PMC236798</t>
  </si>
  <si>
    <t>Kim YW</t>
  </si>
  <si>
    <t>Nemunaitis JJ</t>
  </si>
  <si>
    <t>Johnson SE</t>
  </si>
  <si>
    <t>infects blood samples with pathogen, but does challenge participants with pathogen</t>
  </si>
  <si>
    <t>Kawai HF</t>
  </si>
  <si>
    <t>Charles SD</t>
  </si>
  <si>
    <t>Iglauer F</t>
  </si>
  <si>
    <t>Puliti M</t>
  </si>
  <si>
    <t>Fan PC</t>
  </si>
  <si>
    <t>assesses economic loss caused by T. saginata infection (not a challenge trial)</t>
  </si>
  <si>
    <t>Aydin Y</t>
  </si>
  <si>
    <t>looks like a press release (not a challenge trial)</t>
  </si>
  <si>
    <t>Opal SM</t>
  </si>
  <si>
    <t>Zaugg JL</t>
  </si>
  <si>
    <t>Wendt M</t>
  </si>
  <si>
    <t>Ohmann C</t>
  </si>
  <si>
    <t>discusses use of scoring systems in clinical trials (not a challenge trial)</t>
  </si>
  <si>
    <t>Abbassy MM</t>
  </si>
  <si>
    <t>assesses new method of infecting ticks</t>
  </si>
  <si>
    <t>Williams AS</t>
  </si>
  <si>
    <t>Elecková E</t>
  </si>
  <si>
    <t>Dvoretskaia VI</t>
  </si>
  <si>
    <t>Albanese AV</t>
  </si>
  <si>
    <t>P'iankov OV</t>
  </si>
  <si>
    <t>Cheng AL</t>
  </si>
  <si>
    <t>van der Poll T</t>
  </si>
  <si>
    <t>Pergolizzi J</t>
  </si>
  <si>
    <t>comparative study, but not challenge trial</t>
  </si>
  <si>
    <t>Guay DR</t>
  </si>
  <si>
    <t>Rosenblatt A</t>
  </si>
  <si>
    <t>Pappas PG</t>
  </si>
  <si>
    <t>Abrams DI</t>
  </si>
  <si>
    <t>Pyrc K</t>
  </si>
  <si>
    <t>Leff B</t>
  </si>
  <si>
    <t>Hueber W</t>
  </si>
  <si>
    <t>participants were not challenged with a pathogen</t>
  </si>
  <si>
    <t>Andrews J</t>
  </si>
  <si>
    <t>Lashkevich VA</t>
  </si>
  <si>
    <t>Creteur J</t>
  </si>
  <si>
    <t>Pea F</t>
  </si>
  <si>
    <t>Kotowska M</t>
  </si>
  <si>
    <t>Basta NE</t>
  </si>
  <si>
    <t>PMC2638553</t>
  </si>
  <si>
    <t>Roth D</t>
  </si>
  <si>
    <t>comment (file under review) (not a challenge trial)</t>
  </si>
  <si>
    <t>Pordeus V</t>
  </si>
  <si>
    <t>PMC7090595</t>
  </si>
  <si>
    <t>Růžek D</t>
  </si>
  <si>
    <t>Bazan JA</t>
  </si>
  <si>
    <t>Lutje V</t>
  </si>
  <si>
    <t>Leon LR</t>
  </si>
  <si>
    <t>Gout O</t>
  </si>
  <si>
    <t>Flisiak R</t>
  </si>
  <si>
    <t>Harris E</t>
  </si>
  <si>
    <t>Mahanty S</t>
  </si>
  <si>
    <t>Fülöp T</t>
  </si>
  <si>
    <t>PMC2684090</t>
  </si>
  <si>
    <t>Brouwer MC</t>
  </si>
  <si>
    <t>Azuma A</t>
  </si>
  <si>
    <t>Abel E</t>
  </si>
  <si>
    <t>Villatoro E</t>
  </si>
  <si>
    <t>West NP</t>
  </si>
  <si>
    <t>PMC7110361</t>
  </si>
  <si>
    <t>Manzanares W</t>
  </si>
  <si>
    <t>Johnston SL</t>
  </si>
  <si>
    <t>Cannell JJ</t>
  </si>
  <si>
    <t>PMC2279112</t>
  </si>
  <si>
    <t>Sockalingam S</t>
  </si>
  <si>
    <t>Jefferson TO</t>
  </si>
  <si>
    <t>Lobue P</t>
  </si>
  <si>
    <t>Frey SE</t>
  </si>
  <si>
    <t>PMC2923449</t>
  </si>
  <si>
    <t>McClellan K</t>
  </si>
  <si>
    <t>Soares-Weiser K</t>
  </si>
  <si>
    <t>PMC2912908</t>
  </si>
  <si>
    <t>Sikorski J</t>
  </si>
  <si>
    <t>Nasseri Moghaddam S</t>
  </si>
  <si>
    <t>Bhasin S</t>
  </si>
  <si>
    <t>Choi J</t>
  </si>
  <si>
    <t>PMC2615265</t>
  </si>
  <si>
    <t>Poland GA</t>
  </si>
  <si>
    <t>Schaefer S</t>
  </si>
  <si>
    <t>Scarpignato C</t>
  </si>
  <si>
    <t>Albaiceta GM</t>
  </si>
  <si>
    <t>Chia JK</t>
  </si>
  <si>
    <t>PMC1770761</t>
  </si>
  <si>
    <t>Madsen K</t>
  </si>
  <si>
    <t>Bueving HJ</t>
  </si>
  <si>
    <t>Vasto S</t>
  </si>
  <si>
    <t>Wertz GW</t>
  </si>
  <si>
    <t>Vlassov VV</t>
  </si>
  <si>
    <t>PMC6532747</t>
  </si>
  <si>
    <t>Horga A</t>
  </si>
  <si>
    <t>Casey C</t>
  </si>
  <si>
    <t>review of guidelines (file under review)</t>
  </si>
  <si>
    <t>Merion RM</t>
  </si>
  <si>
    <t>Stankov MV</t>
  </si>
  <si>
    <t>Bahador M</t>
  </si>
  <si>
    <t>Gomes JA</t>
  </si>
  <si>
    <t>Leon JS</t>
  </si>
  <si>
    <t>Peden AH</t>
  </si>
  <si>
    <t>Boonpucknavig V</t>
  </si>
  <si>
    <t>Bodaghi B</t>
  </si>
  <si>
    <t>Walton RP</t>
  </si>
  <si>
    <t>Kelly D</t>
  </si>
  <si>
    <t>Pavia CS</t>
  </si>
  <si>
    <t>Mandl CW</t>
  </si>
  <si>
    <t>Ironside JW</t>
  </si>
  <si>
    <t>Berbert AL</t>
  </si>
  <si>
    <t>PMC2517285</t>
  </si>
  <si>
    <t>Watts DM</t>
  </si>
  <si>
    <t>PMC2978051</t>
  </si>
  <si>
    <t>models respiratory infection in animals</t>
  </si>
  <si>
    <t>Overell JR</t>
  </si>
  <si>
    <t>Lee LN</t>
  </si>
  <si>
    <t>PMC2808086</t>
  </si>
  <si>
    <t>Luna CM</t>
  </si>
  <si>
    <t>Vaquero J</t>
  </si>
  <si>
    <t>PMC3067928</t>
  </si>
  <si>
    <t>Snanoudj R</t>
  </si>
  <si>
    <t>Curnow SJ</t>
  </si>
  <si>
    <t>Lowry SF</t>
  </si>
  <si>
    <t>Quinlivan M</t>
  </si>
  <si>
    <t>Zangwill KM</t>
  </si>
  <si>
    <t>PMC1578567</t>
  </si>
  <si>
    <t>Mateo RI</t>
  </si>
  <si>
    <t>Weinberger M</t>
  </si>
  <si>
    <t>Hall NJ</t>
  </si>
  <si>
    <t>controlled hypothermia in preterm neonates (not a challenge trial)</t>
  </si>
  <si>
    <t>Rahal L</t>
  </si>
  <si>
    <t>Hanslik T</t>
  </si>
  <si>
    <t>review, not in english</t>
  </si>
  <si>
    <t>Simula MP</t>
  </si>
  <si>
    <t>Ortiz-Herrera M</t>
  </si>
  <si>
    <t>Parreño V</t>
  </si>
  <si>
    <t>PMC7115698</t>
  </si>
  <si>
    <r>
      <t xml:space="preserve">PDF link: </t>
    </r>
    <r>
      <rPr>
        <u/>
        <sz val="10"/>
        <color rgb="FF1155CC"/>
        <rFont val="Arial"/>
      </rPr>
      <t>https://www.researchgate.net/profile/James-Patrie/publication/24233124_Effects_of_dietary_supplementation_with_conjugated_linoleic_acid_on_experimental_human_rhinovirus_infection_and_illness/links/5a2935464585155dd428ba6f/Effects-of-dietary-supplementation-with-conjugated-linoleic-acid-on-experimental-human-rhinovirus-infection-and-illness.pdf</t>
    </r>
  </si>
  <si>
    <t>Silvestrelli G</t>
  </si>
  <si>
    <t>PMC2923338</t>
  </si>
  <si>
    <t>Graves P</t>
  </si>
  <si>
    <t>Liu JE</t>
  </si>
  <si>
    <t>randomized controlled trial, but not a challenge trial</t>
  </si>
  <si>
    <t>Tennille J</t>
  </si>
  <si>
    <t>PMC2941393</t>
  </si>
  <si>
    <t>documentation study (not a challenge trial)</t>
  </si>
  <si>
    <t>Mata-Santos HA</t>
  </si>
  <si>
    <t>van de Beek D</t>
  </si>
  <si>
    <t>PMC6532611</t>
  </si>
  <si>
    <t>Montaner J</t>
  </si>
  <si>
    <t>Valera R</t>
  </si>
  <si>
    <t>clinical trial (live oral cholera vaccine), but not a challenge trial</t>
  </si>
  <si>
    <t>Patterson MM</t>
  </si>
  <si>
    <t>PMC3052501</t>
  </si>
  <si>
    <t>Paquette DW</t>
  </si>
  <si>
    <t>Giroir BP</t>
  </si>
  <si>
    <t>clinical trial (live attenuated dengue vaccine), but not a challenge trial</t>
  </si>
  <si>
    <t>Minnich DJ</t>
  </si>
  <si>
    <t>White LJ</t>
  </si>
  <si>
    <t>PMC2869784</t>
  </si>
  <si>
    <t>mathematical model (not a challenge trial)</t>
  </si>
  <si>
    <t>Guppy MP</t>
  </si>
  <si>
    <t>PMC1828404</t>
  </si>
  <si>
    <t>Lu CC</t>
  </si>
  <si>
    <t>Kaur S</t>
  </si>
  <si>
    <t>Pérez-Cano FJ</t>
  </si>
  <si>
    <t>Bassi C</t>
  </si>
  <si>
    <t>Mead JR</t>
  </si>
  <si>
    <t>Kollef MH</t>
  </si>
  <si>
    <t>study of ventilator-associated pneumonia (not a challenge trial)</t>
  </si>
  <si>
    <t>Costa HO</t>
  </si>
  <si>
    <t>Levi M</t>
  </si>
  <si>
    <t>PMC420035</t>
  </si>
  <si>
    <t>editorial (file under review)</t>
  </si>
  <si>
    <t>Sainaghi PP</t>
  </si>
  <si>
    <t>study of gas6 protein involved in pulmonary embolism (not a challenge trial)</t>
  </si>
  <si>
    <t>Navarro-Jarabo JM</t>
  </si>
  <si>
    <t>PMC1941741</t>
  </si>
  <si>
    <t>Verdant CL</t>
  </si>
  <si>
    <t>Qin A</t>
  </si>
  <si>
    <t>PMC2612291</t>
  </si>
  <si>
    <t>López-Alarcón M</t>
  </si>
  <si>
    <t>observational study, not a challenge trial</t>
  </si>
  <si>
    <t>Strauss KA</t>
  </si>
  <si>
    <t>model proposal (not a challenge trial)</t>
  </si>
  <si>
    <t>Chapes SK</t>
  </si>
  <si>
    <t>Tamrakar SB</t>
  </si>
  <si>
    <t>Domachowske JB</t>
  </si>
  <si>
    <t>Root-Bernstein R</t>
  </si>
  <si>
    <t>Harrison NA</t>
  </si>
  <si>
    <t>PMC2885492</t>
  </si>
  <si>
    <t>study involving typhoid vaccination (not a challenge trial)</t>
  </si>
  <si>
    <t>Dauvillée D</t>
  </si>
  <si>
    <t>PMC3002285</t>
  </si>
  <si>
    <t>Pouillot R</t>
  </si>
  <si>
    <t>modelling study (not a challenge trial)</t>
  </si>
  <si>
    <t>Chen SC</t>
  </si>
  <si>
    <t>Kitamura K</t>
  </si>
  <si>
    <t>PMC3932491</t>
  </si>
  <si>
    <t>Geisbert TW</t>
  </si>
  <si>
    <t>PMC1160587</t>
  </si>
  <si>
    <t>Muñoz P</t>
  </si>
  <si>
    <t>PMC7107999</t>
  </si>
  <si>
    <t>Martha VF</t>
  </si>
  <si>
    <t>Monzón M</t>
  </si>
  <si>
    <t>Cruz-Adalia A</t>
  </si>
  <si>
    <t>Kvác M</t>
  </si>
  <si>
    <t>Lawler JV</t>
  </si>
  <si>
    <t>PMC1435788</t>
  </si>
  <si>
    <t>PMC2849408</t>
  </si>
  <si>
    <t>Colton L</t>
  </si>
  <si>
    <t>PMC2920874</t>
  </si>
  <si>
    <t>PMC6532583</t>
  </si>
  <si>
    <t>Chambers TM</t>
  </si>
  <si>
    <t>PMC2878972</t>
  </si>
  <si>
    <t>Zhang Z</t>
  </si>
  <si>
    <t>Durbin JE</t>
  </si>
  <si>
    <t>assesses immune signalling in RSV infection</t>
  </si>
  <si>
    <t>Tesh RB</t>
  </si>
  <si>
    <t>PMC3320280</t>
  </si>
  <si>
    <t>de Kluijver J</t>
  </si>
  <si>
    <t>Hsuan SL</t>
  </si>
  <si>
    <t>Xia HJ</t>
  </si>
  <si>
    <t>PMC3003241</t>
  </si>
  <si>
    <t>Walz G</t>
  </si>
  <si>
    <t>assesses tolerance of dengue vaccine</t>
  </si>
  <si>
    <t>Eaton KA</t>
  </si>
  <si>
    <t>PMC2446693</t>
  </si>
  <si>
    <t>Núñez MJ</t>
  </si>
  <si>
    <t>PMC2849322</t>
  </si>
  <si>
    <t>Krishna G</t>
  </si>
  <si>
    <t>Bjerre A</t>
  </si>
  <si>
    <t>challenges samples taken from patients with pathogen, but does not challenge participants with pathogen</t>
  </si>
  <si>
    <t>Ochi A</t>
  </si>
  <si>
    <t>PMC7103222</t>
  </si>
  <si>
    <t>Schmidt V</t>
  </si>
  <si>
    <t>Wu TG</t>
  </si>
  <si>
    <t>Boetticher NC</t>
  </si>
  <si>
    <t>PMC2639749</t>
  </si>
  <si>
    <t>Maclean L</t>
  </si>
  <si>
    <t>PMC2082664</t>
  </si>
  <si>
    <t>assesses genotype at risk for human African trypanosomiasis</t>
  </si>
  <si>
    <t>Cho HW</t>
  </si>
  <si>
    <t>Verucchi G</t>
  </si>
  <si>
    <t>Lucidi V</t>
  </si>
  <si>
    <t>PMC1523329</t>
  </si>
  <si>
    <t>Wischmeyer PE</t>
  </si>
  <si>
    <t>de Jonge E</t>
  </si>
  <si>
    <t>Malmström PU</t>
  </si>
  <si>
    <t>Gibb TR</t>
  </si>
  <si>
    <t>Smits AJ</t>
  </si>
  <si>
    <t>PMC2869813</t>
  </si>
  <si>
    <t>Calza L</t>
  </si>
  <si>
    <t>Giamarellos-Bourboulis EJ</t>
  </si>
  <si>
    <t>Sánchez Navarro A</t>
  </si>
  <si>
    <t>assesses efficacy of therpay in ICU context</t>
  </si>
  <si>
    <t>Thaler K</t>
  </si>
  <si>
    <t>PMC2802074</t>
  </si>
  <si>
    <t>systematic review</t>
  </si>
  <si>
    <t>Corner LA</t>
  </si>
  <si>
    <t>Jaffar-Bandjee MC</t>
  </si>
  <si>
    <t>De Waele JJ</t>
  </si>
  <si>
    <t>PMC2646304</t>
  </si>
  <si>
    <t>comment (file under review) on study (file under review)</t>
  </si>
  <si>
    <t>PMC2945238</t>
  </si>
  <si>
    <t>Brydon L</t>
  </si>
  <si>
    <t>PMC2637301</t>
  </si>
  <si>
    <t>technically a "challenge" model, but does not challenge participants with a pathogen</t>
  </si>
  <si>
    <t>Bas S</t>
  </si>
  <si>
    <t>evaluates CD14 signalling</t>
  </si>
  <si>
    <t>Chang MH</t>
  </si>
  <si>
    <t>Roy K</t>
  </si>
  <si>
    <t>PMC2346670</t>
  </si>
  <si>
    <t>Mach T</t>
  </si>
  <si>
    <t>Lesellier S</t>
  </si>
  <si>
    <t>Illa I</t>
  </si>
  <si>
    <t>PMC7109897</t>
  </si>
  <si>
    <t>Okuda Y</t>
  </si>
  <si>
    <t>Zeshan B</t>
  </si>
  <si>
    <t>Kaufmann AM</t>
  </si>
  <si>
    <t>Scott LJ</t>
  </si>
  <si>
    <t>Techasaensiri C</t>
  </si>
  <si>
    <t>PMC2949405</t>
  </si>
  <si>
    <t>Berkman A</t>
  </si>
  <si>
    <t>randomized controlled trial, but not challenge trial</t>
  </si>
  <si>
    <t>Liesz A</t>
  </si>
  <si>
    <t>Diringer MN</t>
  </si>
  <si>
    <t>Dufour JP</t>
  </si>
  <si>
    <t>Quan M</t>
  </si>
  <si>
    <t>assesses transmissability of disease</t>
  </si>
  <si>
    <t>Baharav E</t>
  </si>
  <si>
    <t>Psikal I</t>
  </si>
  <si>
    <t>Eveillard M</t>
  </si>
  <si>
    <t>Fletcher CV</t>
  </si>
  <si>
    <t>Bak H</t>
  </si>
  <si>
    <t>Menon KV</t>
  </si>
  <si>
    <t>Ueda T</t>
  </si>
  <si>
    <t>Lai SC</t>
  </si>
  <si>
    <t>Wijkstrom M</t>
  </si>
  <si>
    <t>evaluates novel therapy in animal model</t>
  </si>
  <si>
    <t>March JC</t>
  </si>
  <si>
    <t>Chung SW</t>
  </si>
  <si>
    <t>assesses role of enzyme in immune modulation</t>
  </si>
  <si>
    <t>Rajkumar SV</t>
  </si>
  <si>
    <t>Risitano AM</t>
  </si>
  <si>
    <t>Grau GE</t>
  </si>
  <si>
    <t>animal model of novel therapy</t>
  </si>
  <si>
    <t>Allison DE</t>
  </si>
  <si>
    <t>Thakur A</t>
  </si>
  <si>
    <t>Zhu C</t>
  </si>
  <si>
    <t>PMC2634748</t>
  </si>
  <si>
    <t>Krupp LB</t>
  </si>
  <si>
    <t>Williams L</t>
  </si>
  <si>
    <t>Cheng YF</t>
  </si>
  <si>
    <t>Green LC</t>
  </si>
  <si>
    <t>Miller PD</t>
  </si>
  <si>
    <t>Gong JQ</t>
  </si>
  <si>
    <t>Croxtall JD</t>
  </si>
  <si>
    <t>Middleton JR</t>
  </si>
  <si>
    <t>assesses parasitic growth factor</t>
  </si>
  <si>
    <t>Kolli D</t>
  </si>
  <si>
    <t>PMC2519650</t>
  </si>
  <si>
    <t>Hardaker EL</t>
  </si>
  <si>
    <t>PMC2958644</t>
  </si>
  <si>
    <t>animal disease model</t>
  </si>
  <si>
    <t>Ishak AM</t>
  </si>
  <si>
    <t>Farahna M</t>
  </si>
  <si>
    <t>PMC3338214</t>
  </si>
  <si>
    <t>Webel AR</t>
  </si>
  <si>
    <t>PMC3131156</t>
  </si>
  <si>
    <t>Wiskur BJ</t>
  </si>
  <si>
    <t>PMC2576484</t>
  </si>
  <si>
    <t>Ashby D</t>
  </si>
  <si>
    <t>Yosry A</t>
  </si>
  <si>
    <t>no human challenge trial</t>
  </si>
  <si>
    <t>Puccio G</t>
  </si>
  <si>
    <t>Marianneau P</t>
  </si>
  <si>
    <t>PMC3322034</t>
  </si>
  <si>
    <t>Dellinger RP</t>
  </si>
  <si>
    <t>Vázquez M</t>
  </si>
  <si>
    <t>McQuiggan M</t>
  </si>
  <si>
    <t>Wellmer A</t>
  </si>
  <si>
    <t>PMC415656</t>
  </si>
  <si>
    <t>Jiang H</t>
  </si>
  <si>
    <t>Tompkins SM</t>
  </si>
  <si>
    <t>PMC1995462</t>
  </si>
  <si>
    <t>Keiser J</t>
  </si>
  <si>
    <t>Kim SH</t>
  </si>
  <si>
    <t>Sumariwalla PF</t>
  </si>
  <si>
    <t>Serena T</t>
  </si>
  <si>
    <t>experimental wounds, but no challenge with pathogen</t>
  </si>
  <si>
    <t>Subekti DS</t>
  </si>
  <si>
    <t>Catena F</t>
  </si>
  <si>
    <t>Scalea TM</t>
  </si>
  <si>
    <t>Gane EJ</t>
  </si>
  <si>
    <t>Georges B</t>
  </si>
  <si>
    <t>PMC2700714</t>
  </si>
  <si>
    <t>Bird BH</t>
  </si>
  <si>
    <t>PMC2258974</t>
  </si>
  <si>
    <t>Freer G</t>
  </si>
  <si>
    <t>Rassi A Jr</t>
  </si>
  <si>
    <t>Brotons M</t>
  </si>
  <si>
    <t>Torres-Dueñas D</t>
  </si>
  <si>
    <t>PMC2042948</t>
  </si>
  <si>
    <t>Morrill JC</t>
  </si>
  <si>
    <t>PMC2848673</t>
  </si>
  <si>
    <t>Chowdhury A</t>
  </si>
  <si>
    <t>PMC4250767</t>
  </si>
  <si>
    <t>Eisen RJ</t>
  </si>
  <si>
    <t>White C</t>
  </si>
  <si>
    <t>Ritzman AM</t>
  </si>
  <si>
    <t>PMC2976349</t>
  </si>
  <si>
    <t>Bonneau S</t>
  </si>
  <si>
    <t>Lloyd AL</t>
  </si>
  <si>
    <t>PMC2786477</t>
  </si>
  <si>
    <t>Atiyeh BS</t>
  </si>
  <si>
    <t>Moyer PL</t>
  </si>
  <si>
    <t>Lapointe DA</t>
  </si>
  <si>
    <t>Moran JP</t>
  </si>
  <si>
    <t>PMC2764742</t>
  </si>
  <si>
    <t>Trachtman H</t>
  </si>
  <si>
    <t>Kornblit B</t>
  </si>
  <si>
    <t>PMC2481482</t>
  </si>
  <si>
    <t>Bartlett NW</t>
  </si>
  <si>
    <t>Hanes PJ</t>
  </si>
  <si>
    <t>Bartolí R</t>
  </si>
  <si>
    <t>Sinkorová Z</t>
  </si>
  <si>
    <t>Spohn G</t>
  </si>
  <si>
    <t>Cavaliere F</t>
  </si>
  <si>
    <t>Ewend MG</t>
  </si>
  <si>
    <t>van Dop WA</t>
  </si>
  <si>
    <t>Arribas JR</t>
  </si>
  <si>
    <t>Dagher R</t>
  </si>
  <si>
    <t>Bizanov G</t>
  </si>
  <si>
    <t>Mesa Duque SS</t>
  </si>
  <si>
    <t>Piranda EM</t>
  </si>
  <si>
    <t>Ghannoum MA</t>
  </si>
  <si>
    <t>Tissi L</t>
  </si>
  <si>
    <t>PMC523051</t>
  </si>
  <si>
    <t>Enlimomab Acute Stroke Trial Investigators</t>
  </si>
  <si>
    <t>clinical trial, but no human challenge trial</t>
  </si>
  <si>
    <t>Muto Y</t>
  </si>
  <si>
    <t>Odio CM</t>
  </si>
  <si>
    <t>Nielsen HJ</t>
  </si>
  <si>
    <t>Lorenz K</t>
  </si>
  <si>
    <t>Bloom BT</t>
  </si>
  <si>
    <t>Guisset O</t>
  </si>
  <si>
    <t>Szymański H</t>
  </si>
  <si>
    <t>Nagata N</t>
  </si>
  <si>
    <t>PMC2408422</t>
  </si>
  <si>
    <t>Rabiller A</t>
  </si>
  <si>
    <t>Grant SM</t>
  </si>
  <si>
    <t>Carpintero R</t>
  </si>
  <si>
    <t>Andersen L</t>
  </si>
  <si>
    <t>PMC2936311</t>
  </si>
  <si>
    <t>De Souza EM</t>
  </si>
  <si>
    <t>Scagnolari C</t>
  </si>
  <si>
    <t>PMC2691037</t>
  </si>
  <si>
    <t>Kulkarni RR</t>
  </si>
  <si>
    <t>PMC2815532</t>
  </si>
  <si>
    <t>Gruden-Movsesijan A</t>
  </si>
  <si>
    <t>Fiori G</t>
  </si>
  <si>
    <t>Makidon PE</t>
  </si>
  <si>
    <t>Tellez G</t>
  </si>
  <si>
    <t>Tam C</t>
  </si>
  <si>
    <t>PMC3213055</t>
  </si>
  <si>
    <t>Rybnikár A</t>
  </si>
  <si>
    <t>Masamune A</t>
  </si>
  <si>
    <t>Salinas-Carmona MC</t>
  </si>
  <si>
    <t>Provencio M</t>
  </si>
  <si>
    <t>Genvresse I</t>
  </si>
  <si>
    <t>Machado AP</t>
  </si>
  <si>
    <t>PMC3080202</t>
  </si>
  <si>
    <t>Alam J</t>
  </si>
  <si>
    <t>Karuppannan AK</t>
  </si>
  <si>
    <t>Hyland L</t>
  </si>
  <si>
    <t>van Gennip M</t>
  </si>
  <si>
    <t>Pichichero M</t>
  </si>
  <si>
    <t>van der Goot JA</t>
  </si>
  <si>
    <t>Porrozzi R</t>
  </si>
  <si>
    <t>Mansfield LS</t>
  </si>
  <si>
    <t>Slofstra SH</t>
  </si>
  <si>
    <t xml:space="preserve">assesses endotoxin induced coagulation </t>
  </si>
  <si>
    <t>van Westerloo DJ</t>
  </si>
  <si>
    <t>Lamb TJ</t>
  </si>
  <si>
    <t>PMC2412895</t>
  </si>
  <si>
    <t>Weisinger HS</t>
  </si>
  <si>
    <t>Zhang YJ</t>
  </si>
  <si>
    <t>Maruta F</t>
  </si>
  <si>
    <t>Mackintosh CG</t>
  </si>
  <si>
    <t>Phalen DN</t>
  </si>
  <si>
    <t>Matl I</t>
  </si>
  <si>
    <t>Morton JL</t>
  </si>
  <si>
    <t>Reinhold P</t>
  </si>
  <si>
    <t>Jawhara S</t>
  </si>
  <si>
    <t>Garthoff LH</t>
  </si>
  <si>
    <t>Pérez-Bárcena J</t>
  </si>
  <si>
    <t>van Westrhenen R</t>
  </si>
  <si>
    <t>animal comparative study</t>
  </si>
  <si>
    <t>Nol P</t>
  </si>
  <si>
    <t>PMC2650873</t>
  </si>
  <si>
    <t>Mishra BB</t>
  </si>
  <si>
    <t>PMC2786461</t>
  </si>
  <si>
    <t>Hukkanen RR</t>
  </si>
  <si>
    <t>PMC4113424</t>
  </si>
  <si>
    <t>DeBoer DJ</t>
  </si>
  <si>
    <t>De Filippis L</t>
  </si>
  <si>
    <t>assesses diagnostic method</t>
  </si>
  <si>
    <t>Davenport BJ</t>
  </si>
  <si>
    <t>PMC524361</t>
  </si>
  <si>
    <t>assesses anitgen-presenting cells from deer mice</t>
  </si>
  <si>
    <t>Chen YC</t>
  </si>
  <si>
    <t>comparative study, but not challenge model</t>
  </si>
  <si>
    <t>Collins PY</t>
  </si>
  <si>
    <t>PMC3456203</t>
  </si>
  <si>
    <t>Scorpio DG</t>
  </si>
  <si>
    <t>PMC2268257</t>
  </si>
  <si>
    <t>Krieger DW</t>
  </si>
  <si>
    <t>Jenks N</t>
  </si>
  <si>
    <t>PMC2865219</t>
  </si>
  <si>
    <t>animal challange model</t>
  </si>
  <si>
    <t>Wojna V</t>
  </si>
  <si>
    <t>Miyamoto T</t>
  </si>
  <si>
    <t>Millward JM</t>
  </si>
  <si>
    <t>Tessema B</t>
  </si>
  <si>
    <t>assesses efficacy of garlic as antibacterial</t>
  </si>
  <si>
    <t>Kutila T</t>
  </si>
  <si>
    <t>Williams-Skipp C</t>
  </si>
  <si>
    <t>PMC2650479</t>
  </si>
  <si>
    <t>Yutzy B</t>
  </si>
  <si>
    <t>Clark L</t>
  </si>
  <si>
    <t>Kraft WK</t>
  </si>
  <si>
    <t>PMC3022999</t>
  </si>
  <si>
    <t>Vincent AL</t>
  </si>
  <si>
    <t>Bernsteen L</t>
  </si>
  <si>
    <t>assesses renal allograft rejection in dogs</t>
  </si>
  <si>
    <t>Petropoulou H</t>
  </si>
  <si>
    <t>Creechan T</t>
  </si>
  <si>
    <t>Cook RM</t>
  </si>
  <si>
    <t>PMC517585</t>
  </si>
  <si>
    <t>Kinney DK</t>
  </si>
  <si>
    <t>Arentz-Hansen H</t>
  </si>
  <si>
    <t>Gulati BR</t>
  </si>
  <si>
    <t>Bragg RR</t>
  </si>
  <si>
    <t>Shinzeki M</t>
  </si>
  <si>
    <t>Herkner H</t>
  </si>
  <si>
    <t>Galván AL</t>
  </si>
  <si>
    <t>Bardhan KD</t>
  </si>
  <si>
    <t>Chang J</t>
  </si>
  <si>
    <t>Pérez A</t>
  </si>
  <si>
    <t>Dobrovolny HM</t>
  </si>
  <si>
    <t>evaluates model on the use of antivirals against seasonal influenza</t>
  </si>
  <si>
    <t>Sultanaliev TA</t>
  </si>
  <si>
    <t>van de Sande WW</t>
  </si>
  <si>
    <t>PMC2292535</t>
  </si>
  <si>
    <t>Benjamim CF</t>
  </si>
  <si>
    <t>PMC1892404</t>
  </si>
  <si>
    <t>Kanwar B</t>
  </si>
  <si>
    <t>PMC2683264</t>
  </si>
  <si>
    <t>Chambers TJ</t>
  </si>
  <si>
    <t>Cooper KK</t>
  </si>
  <si>
    <t>Zwolińska-Wcisło M</t>
  </si>
  <si>
    <t>PMC2990709</t>
  </si>
  <si>
    <t>McCorry T</t>
  </si>
  <si>
    <t>Höltig D</t>
  </si>
  <si>
    <t>Zhu T</t>
  </si>
  <si>
    <t>Sakowitz OW</t>
  </si>
  <si>
    <t>Coulpier M</t>
  </si>
  <si>
    <t>Wang LC</t>
  </si>
  <si>
    <t>Cheon JE</t>
  </si>
  <si>
    <t>Elsheikha HM</t>
  </si>
  <si>
    <t>Palmer MV</t>
  </si>
  <si>
    <t>Ferreira GP</t>
  </si>
  <si>
    <t>Treiber A</t>
  </si>
  <si>
    <t>Okada H</t>
  </si>
  <si>
    <t>Ulusal BG</t>
  </si>
  <si>
    <t>Leffel EK</t>
  </si>
  <si>
    <t>Medical Advisory Secretariat</t>
  </si>
  <si>
    <t>PMC3415698</t>
  </si>
  <si>
    <t>assesses the efficacy of lung support techs</t>
  </si>
  <si>
    <t>assesses the efficacy of antibiotics in critically ill patients</t>
  </si>
  <si>
    <t>McKelvie J</t>
  </si>
  <si>
    <t>Callaghan A</t>
  </si>
  <si>
    <t>Raguso CA</t>
  </si>
  <si>
    <t>Obaldía N 3rd</t>
  </si>
  <si>
    <t>PMC111022</t>
  </si>
  <si>
    <t>assesses the efficacy of arthritis treatment</t>
  </si>
  <si>
    <t>de Monte M</t>
  </si>
  <si>
    <t>Godinho KS</t>
  </si>
  <si>
    <t>Casseb J</t>
  </si>
  <si>
    <t>assesses efficacy of HIV therapy</t>
  </si>
  <si>
    <t>Karatepe M</t>
  </si>
  <si>
    <t>Brinkworth GD</t>
  </si>
  <si>
    <t>assesses use of bovine colostrum against respiratory tract infections</t>
  </si>
  <si>
    <t>Diao J</t>
  </si>
  <si>
    <t>Rehm T</t>
  </si>
  <si>
    <t>Barr MC</t>
  </si>
  <si>
    <t>Moore KH</t>
  </si>
  <si>
    <t>drug trial in healthy volunteers (assesses vaccine tolerance)</t>
  </si>
  <si>
    <t>Gomes AT</t>
  </si>
  <si>
    <t>Pecchi E</t>
  </si>
  <si>
    <t>Herrera-Arellano A</t>
  </si>
  <si>
    <t>assesses the efficacy of treatment for fungal disease</t>
  </si>
  <si>
    <t>Hofstra JJ</t>
  </si>
  <si>
    <t>PMC2784363</t>
  </si>
  <si>
    <t>Bitanihirwe BK</t>
  </si>
  <si>
    <t>Das T</t>
  </si>
  <si>
    <t>Nie QH</t>
  </si>
  <si>
    <t>PMC4717085</t>
  </si>
  <si>
    <t>Zhu F</t>
  </si>
  <si>
    <t>evaluates the role of a protein in hepatitis</t>
  </si>
  <si>
    <t>Melnyk BM</t>
  </si>
  <si>
    <t>evaluates mental health program</t>
  </si>
  <si>
    <t>Gouagna LC</t>
  </si>
  <si>
    <t>assesses malaria parasite transmission to mosquitoes</t>
  </si>
  <si>
    <t>J. S. Tregoning</t>
  </si>
  <si>
    <t>PMC7597597</t>
  </si>
  <si>
    <t>Amrita Sekhar</t>
  </si>
  <si>
    <t>PMC7700100</t>
  </si>
  <si>
    <t>Rachael Milligan</t>
  </si>
  <si>
    <t>PMC6494485</t>
  </si>
  <si>
    <t>Malick M. Gibani</t>
  </si>
  <si>
    <t>Peter Dull</t>
  </si>
  <si>
    <t>PMC6899432</t>
  </si>
  <si>
    <t>meeting report (file under review)</t>
  </si>
  <si>
    <t>Celina Jin</t>
  </si>
  <si>
    <t>Thomas C. Darton</t>
  </si>
  <si>
    <t>Ben Morton</t>
  </si>
  <si>
    <t>Lilit Grigoryan</t>
  </si>
  <si>
    <t>PMC7670910</t>
  </si>
  <si>
    <t>SARS-CoV-2</t>
  </si>
  <si>
    <t>Thomas Hagan</t>
  </si>
  <si>
    <t>PMC4581890</t>
  </si>
  <si>
    <t>Andrew J. Pollard</t>
  </si>
  <si>
    <t>PMC7754704</t>
  </si>
  <si>
    <t>Nir Eyal</t>
  </si>
  <si>
    <t>PMC7280638</t>
  </si>
  <si>
    <t>Annelies Wilder-Smith</t>
  </si>
  <si>
    <t>PMC5989336</t>
  </si>
  <si>
    <t>Shobana Balasingam</t>
  </si>
  <si>
    <t>PMC4293939</t>
  </si>
  <si>
    <t>Sharon M. Tennant</t>
  </si>
  <si>
    <t>PMC4820512</t>
  </si>
  <si>
    <t>conference summary (file under review) (file under review)</t>
  </si>
  <si>
    <t>Donald P. McManus</t>
  </si>
  <si>
    <t>PMC7223304</t>
  </si>
  <si>
    <t>Carleigh B. Krubiner</t>
  </si>
  <si>
    <t>PMC7735377</t>
  </si>
  <si>
    <t>Vipin M. Vashishtha</t>
  </si>
  <si>
    <t>PMC7754925</t>
  </si>
  <si>
    <t>David Broockman</t>
  </si>
  <si>
    <t>PMC7831807</t>
  </si>
  <si>
    <t>assesses support for COVD challenge trials</t>
  </si>
  <si>
    <t>Mila Shakya</t>
  </si>
  <si>
    <t>PMC6785806</t>
  </si>
  <si>
    <t>Leah C. Katzelnick</t>
  </si>
  <si>
    <t>PMC5924688</t>
  </si>
  <si>
    <t>John P. Moore</t>
  </si>
  <si>
    <t>PMC7431783</t>
  </si>
  <si>
    <t>Peter Abbink</t>
  </si>
  <si>
    <t>PMC6162149</t>
  </si>
  <si>
    <t>Christine Grady</t>
  </si>
  <si>
    <t>PMC7418641</t>
  </si>
  <si>
    <t>Stephen B Gordon</t>
  </si>
  <si>
    <t>PMC5627502</t>
  </si>
  <si>
    <t>guidelines (file under review) (file under review)</t>
  </si>
  <si>
    <t>Susanne H Hodgson</t>
  </si>
  <si>
    <t>PMC7837315</t>
  </si>
  <si>
    <t>Lucas J. Kerstetter</t>
  </si>
  <si>
    <t>PMC7901974</t>
  </si>
  <si>
    <t>Euzebiusz Jamrozik</t>
  </si>
  <si>
    <t>PMC7259898</t>
  </si>
  <si>
    <t>Katie L. Flanagan</t>
  </si>
  <si>
    <t>PMC7566192</t>
  </si>
  <si>
    <t>Cole J. Batty</t>
  </si>
  <si>
    <t>PMC7733686</t>
  </si>
  <si>
    <t>Maria Rosario Capeding</t>
  </si>
  <si>
    <t>PMC6005168</t>
  </si>
  <si>
    <t>Evelyne Kestelyn</t>
  </si>
  <si>
    <t>PMC6820821</t>
  </si>
  <si>
    <t>Mark J. Papania</t>
  </si>
  <si>
    <t>PMC7152424</t>
  </si>
  <si>
    <t>Meriel Raymond</t>
  </si>
  <si>
    <t>PMC6921376</t>
  </si>
  <si>
    <t>K Singh</t>
  </si>
  <si>
    <t>PMC4944327</t>
  </si>
  <si>
    <t>John S. Tregoning</t>
  </si>
  <si>
    <t>PMC5861793</t>
  </si>
  <si>
    <t>Sunniva Todnem Sakkestad</t>
  </si>
  <si>
    <t>Ann M. Ginsberg</t>
  </si>
  <si>
    <t>PMC6492041</t>
  </si>
  <si>
    <t>Diane Gbesemete</t>
  </si>
  <si>
    <t>PMC6501966</t>
  </si>
  <si>
    <t>protocol for human challenge trial</t>
  </si>
  <si>
    <t>Marc Baay</t>
  </si>
  <si>
    <t>PMC7428779</t>
  </si>
  <si>
    <t>Sergio C. Araujo</t>
  </si>
  <si>
    <t>PMC7564369</t>
  </si>
  <si>
    <t>PMC7564142</t>
  </si>
  <si>
    <t>Omna Sharma</t>
  </si>
  <si>
    <t>PMC7591699</t>
  </si>
  <si>
    <t>Hans de Graaf</t>
  </si>
  <si>
    <t>PMC5652574</t>
  </si>
  <si>
    <t>Suraj B. Sable</t>
  </si>
  <si>
    <t>PMC6822991</t>
  </si>
  <si>
    <t>PMC7598752</t>
  </si>
  <si>
    <t>Richard B. Kennedy</t>
  </si>
  <si>
    <t>PMC7329983</t>
  </si>
  <si>
    <t>Lauren Schwartz</t>
  </si>
  <si>
    <t>PMC3286401</t>
  </si>
  <si>
    <t>KM Anderholm</t>
  </si>
  <si>
    <t>PMC5628252</t>
  </si>
  <si>
    <t>Marion F. Gruber</t>
  </si>
  <si>
    <t>PMC7152379</t>
  </si>
  <si>
    <t>Gregory A Poland</t>
  </si>
  <si>
    <t>PMC7553736</t>
  </si>
  <si>
    <t>Francesco Berlanda Scorza</t>
  </si>
  <si>
    <t>PMC6027361</t>
  </si>
  <si>
    <t>Amy Caryn Sherman</t>
  </si>
  <si>
    <t>PMC6489464</t>
  </si>
  <si>
    <t>Kawsar R Talaat</t>
  </si>
  <si>
    <t>PMC6901126</t>
  </si>
  <si>
    <t>Alberta Di Pasquale</t>
  </si>
  <si>
    <t>PMC4494348</t>
  </si>
  <si>
    <t>Penny M. Heaton</t>
  </si>
  <si>
    <t>PMC7591467</t>
  </si>
  <si>
    <t>Louis-Antoine Barel</t>
  </si>
  <si>
    <t>PMC6663142</t>
  </si>
  <si>
    <t>Brigette N. Corder</t>
  </si>
  <si>
    <t>PMC7589362</t>
  </si>
  <si>
    <t>Universal flu</t>
  </si>
  <si>
    <t>Leesun Kim</t>
  </si>
  <si>
    <t>PMC6124525</t>
  </si>
  <si>
    <t>clinical trial, but not human challenge</t>
  </si>
  <si>
    <t>David McCullagh</t>
  </si>
  <si>
    <t>PMC4480031</t>
  </si>
  <si>
    <t>Sushant Sahastrabuddhe</t>
  </si>
  <si>
    <t>PMC6376107</t>
  </si>
  <si>
    <t>Miguel O’Ryan</t>
  </si>
  <si>
    <t>PMC4514277</t>
  </si>
  <si>
    <t>Angelika Wagner</t>
  </si>
  <si>
    <t>PMC7190794</t>
  </si>
  <si>
    <t>Surender Khurana</t>
  </si>
  <si>
    <t>PMC6027304</t>
  </si>
  <si>
    <t>Olivia Grimwade</t>
  </si>
  <si>
    <t>PMC7719900</t>
  </si>
  <si>
    <t>Khalid Ali Syed</t>
  </si>
  <si>
    <t>PMC7388714</t>
  </si>
  <si>
    <t>Gregory A. Poland</t>
  </si>
  <si>
    <t>PMC7094556</t>
  </si>
  <si>
    <t>Manjulika Vaz</t>
  </si>
  <si>
    <t>PMC7576547</t>
  </si>
  <si>
    <t>assesses public sentiment toward human challenge trials</t>
  </si>
  <si>
    <t>Rino Rappuoli</t>
  </si>
  <si>
    <t>PMC7126290</t>
  </si>
  <si>
    <t>Andrés Noé</t>
  </si>
  <si>
    <t>PMC7411487</t>
  </si>
  <si>
    <t>Mohammad S. Khuroo</t>
  </si>
  <si>
    <t>PMC7286271</t>
  </si>
  <si>
    <t>Rosalind Rowland</t>
  </si>
  <si>
    <t>PMC3906276</t>
  </si>
  <si>
    <t>retrospective cohort review</t>
  </si>
  <si>
    <t>PMC7392072</t>
  </si>
  <si>
    <t>Monica A. McArthur</t>
  </si>
  <si>
    <t>PMC3773977</t>
  </si>
  <si>
    <t>Sonia Pagliusi</t>
  </si>
  <si>
    <t>PMC7286646</t>
  </si>
  <si>
    <t>conference report (file under review)</t>
  </si>
  <si>
    <t>David I Bernstein</t>
  </si>
  <si>
    <t>PMC6928577</t>
  </si>
  <si>
    <t>PMC7787506</t>
  </si>
  <si>
    <t>Daniel Tusé</t>
  </si>
  <si>
    <t>PMC7606873</t>
  </si>
  <si>
    <t>Laura DeFrancesco</t>
  </si>
  <si>
    <t>PMC7520880</t>
  </si>
  <si>
    <t>Ladaporn Bodhidatta</t>
  </si>
  <si>
    <t>T. Wibawa</t>
  </si>
  <si>
    <t>PMC7675299</t>
  </si>
  <si>
    <t>Jeffrey P. Kahn</t>
  </si>
  <si>
    <t>PMC7682548</t>
  </si>
  <si>
    <t>CA Green</t>
  </si>
  <si>
    <t>PMC4669850</t>
  </si>
  <si>
    <t>Luc E. Coffeng</t>
  </si>
  <si>
    <t>PMC5230743</t>
  </si>
  <si>
    <t>assesses novel analytic method for human challenge trials</t>
  </si>
  <si>
    <t>Stephen S. Whitehead</t>
  </si>
  <si>
    <t>PMC5436874</t>
  </si>
  <si>
    <t>Ian J. Amanna</t>
  </si>
  <si>
    <t>PMC6777997</t>
  </si>
  <si>
    <t>M. R. Edwards</t>
  </si>
  <si>
    <t>PMC7159495</t>
  </si>
  <si>
    <t>Steve Black</t>
  </si>
  <si>
    <t>PMC7591868</t>
  </si>
  <si>
    <t>Thomas J. Scriba</t>
  </si>
  <si>
    <t>PMC7786643</t>
  </si>
  <si>
    <t>Marcelle Moura Silveira</t>
  </si>
  <si>
    <t>PMC7749647</t>
  </si>
  <si>
    <t>Aleksandra Bazhenova</t>
  </si>
  <si>
    <t>PMC8035613</t>
  </si>
  <si>
    <t>Helder I. Nakaya</t>
  </si>
  <si>
    <t>PMC4527391</t>
  </si>
  <si>
    <t>Clayton Harro</t>
  </si>
  <si>
    <t>James E Meiring</t>
  </si>
  <si>
    <t>PMC6405268</t>
  </si>
  <si>
    <t>Marie-Astrid Hoogerwerf</t>
  </si>
  <si>
    <t>PMC7383945</t>
  </si>
  <si>
    <t>assesses motivations for human challenge trial participants</t>
  </si>
  <si>
    <t>Lea Skak Filtenborg Frederiksen</t>
  </si>
  <si>
    <t>PMC7385234</t>
  </si>
  <si>
    <t>Ricardo Palacios</t>
  </si>
  <si>
    <t>PMC6921433</t>
  </si>
  <si>
    <t>Rob Lambkin‐Williams</t>
  </si>
  <si>
    <t>PMC7578316</t>
  </si>
  <si>
    <t>C Buddy Creech</t>
  </si>
  <si>
    <t>PMC4162066</t>
  </si>
  <si>
    <t>Nathalie Garçon</t>
  </si>
  <si>
    <t>PMC5287309</t>
  </si>
  <si>
    <t>Jesse H. Erasmus</t>
  </si>
  <si>
    <t>PMC5137239</t>
  </si>
  <si>
    <t>Josilene Ramos Pinheiro-Michelsen</t>
  </si>
  <si>
    <t>PMC7325986</t>
  </si>
  <si>
    <t>Sigrid Gouma</t>
  </si>
  <si>
    <t>PMC7529958</t>
  </si>
  <si>
    <t>Marion F Gruber</t>
  </si>
  <si>
    <t>PMC5853280</t>
  </si>
  <si>
    <t>Yi-An Yang</t>
  </si>
  <si>
    <t>PMC6160957</t>
  </si>
  <si>
    <t>PMC7309765</t>
  </si>
  <si>
    <t>Rob Lambkin-Williams</t>
  </si>
  <si>
    <t>PMC6013893</t>
  </si>
  <si>
    <t>Chao Shan</t>
  </si>
  <si>
    <t>PMC6112613</t>
  </si>
  <si>
    <t>PMC7055164</t>
  </si>
  <si>
    <t>Jan Helge Solbakk</t>
  </si>
  <si>
    <t>PMC7607543</t>
  </si>
  <si>
    <t>Amber M. Smith</t>
  </si>
  <si>
    <t>PMC5863092</t>
  </si>
  <si>
    <t>Daniel J. Fullen</t>
  </si>
  <si>
    <t>Bastian Steuwer</t>
  </si>
  <si>
    <t>PMC7881292</t>
  </si>
  <si>
    <t>Robert L. Atmar</t>
  </si>
  <si>
    <t>PMC6281356</t>
  </si>
  <si>
    <t>Kawsar R. Talaat</t>
  </si>
  <si>
    <t>Jan Pieter Koopman</t>
  </si>
  <si>
    <t>PMC6901351</t>
  </si>
  <si>
    <t>proposes human challenge trial</t>
  </si>
  <si>
    <t>Darren Z. L. Mok</t>
  </si>
  <si>
    <t>PMC7290594</t>
  </si>
  <si>
    <t>Wilbur H. Chen</t>
  </si>
  <si>
    <t>PMC3910924</t>
  </si>
  <si>
    <t>Katherine Theiss-Nyland</t>
  </si>
  <si>
    <t>PMC6405280</t>
  </si>
  <si>
    <t>protocol for non-challenge clinical trial</t>
  </si>
  <si>
    <t>Ruth O. Payne</t>
  </si>
  <si>
    <t>Maureen Njue</t>
  </si>
  <si>
    <t>PMC5954342</t>
  </si>
  <si>
    <t>interviews challenge trial participants</t>
  </si>
  <si>
    <t>Rebecca Forman</t>
  </si>
  <si>
    <t>PMC7997052</t>
  </si>
  <si>
    <t>Rita Czako</t>
  </si>
  <si>
    <t>PMC4648374</t>
  </si>
  <si>
    <t>Estefania Fernandez</t>
  </si>
  <si>
    <t>PMC5576498</t>
  </si>
  <si>
    <t>Barney S. Graham</t>
  </si>
  <si>
    <t>PMC4912855</t>
  </si>
  <si>
    <t>Sook-San Wong</t>
  </si>
  <si>
    <t>PMC3719499</t>
  </si>
  <si>
    <t>Joel N. Maslow</t>
  </si>
  <si>
    <t>PMC6789600</t>
  </si>
  <si>
    <t>Geert Leroux-Roels</t>
  </si>
  <si>
    <t>PMC5853300</t>
  </si>
  <si>
    <t>Luca Tudor Giurgea</t>
  </si>
  <si>
    <t>PMC7768410</t>
  </si>
  <si>
    <t>Florian Krammer</t>
  </si>
  <si>
    <t>PMC5885027</t>
  </si>
  <si>
    <t>Ronald N. Kostoff</t>
  </si>
  <si>
    <t>PMC7581376</t>
  </si>
  <si>
    <t>Sodiomon B. Sirima</t>
  </si>
  <si>
    <t>PMC7762715</t>
  </si>
  <si>
    <t>Dan H. Barouch</t>
  </si>
  <si>
    <t>PMC5357134</t>
  </si>
  <si>
    <t>Marcia A. Blackman</t>
  </si>
  <si>
    <t>PMC7131820</t>
  </si>
  <si>
    <t>PMC6405281</t>
  </si>
  <si>
    <t>Michael J. Darsley</t>
  </si>
  <si>
    <t>Robert Steel</t>
  </si>
  <si>
    <t>PMC7371490</t>
  </si>
  <si>
    <t>Souvik Ghosh</t>
  </si>
  <si>
    <t>PMC5971199</t>
  </si>
  <si>
    <t>Andrew J. Broadbent</t>
  </si>
  <si>
    <t>PMC7149605</t>
  </si>
  <si>
    <t>https://www.ncbi.nlm.nih.gov/pmc/articles/PMC7149605/</t>
  </si>
  <si>
    <t>Irina Kiseleva</t>
  </si>
  <si>
    <t>PMC7563509</t>
  </si>
  <si>
    <t>Marco Schito</t>
  </si>
  <si>
    <t>PMC4583570</t>
  </si>
  <si>
    <t>Isaie J Reuling</t>
  </si>
  <si>
    <t>Tarun Saluja</t>
  </si>
  <si>
    <t>PMC7012186</t>
  </si>
  <si>
    <t>Leonoor Wijnans</t>
  </si>
  <si>
    <t>PMC4687503</t>
  </si>
  <si>
    <t>Sandeep Divate Sathyanarayana</t>
  </si>
  <si>
    <t>PMC7445324</t>
  </si>
  <si>
    <t>Roberto Mateo</t>
  </si>
  <si>
    <t>Alphonse Ouédraogo</t>
  </si>
  <si>
    <t>PMC3823848</t>
  </si>
  <si>
    <t>David Goldblatt</t>
  </si>
  <si>
    <t>PMC5805912</t>
  </si>
  <si>
    <t>Robert T. Cartee</t>
  </si>
  <si>
    <t>PMC6964911</t>
  </si>
  <si>
    <t>Subhra Chakraborty</t>
  </si>
  <si>
    <t>PMC4820506</t>
  </si>
  <si>
    <t>Adebayo J Molehin</t>
  </si>
  <si>
    <t>PMC7646453</t>
  </si>
  <si>
    <t>Kavita Reginald</t>
  </si>
  <si>
    <t>PMC6040172</t>
  </si>
  <si>
    <t>Stefania Capone</t>
  </si>
  <si>
    <t>PMC7550607</t>
  </si>
  <si>
    <t>assesses reboosting strategies for adenoviral vaccine</t>
  </si>
  <si>
    <t>Blessings M. Kapumba</t>
  </si>
  <si>
    <t>PMC7003337</t>
  </si>
  <si>
    <t>assesses support for human infection models in malawi</t>
  </si>
  <si>
    <t>Jessica C. Stark</t>
  </si>
  <si>
    <t>PMC7857678</t>
  </si>
  <si>
    <t>assesses novel technology for vaccine production</t>
  </si>
  <si>
    <t>Kelsey A. Gregg</t>
  </si>
  <si>
    <t>PMC6832755</t>
  </si>
  <si>
    <t>Rubhana Raqib</t>
  </si>
  <si>
    <t>PMC6663145</t>
  </si>
  <si>
    <t>Mark M. Davis</t>
  </si>
  <si>
    <t>PMC5902661</t>
  </si>
  <si>
    <t>Caz Hales</t>
  </si>
  <si>
    <t>Farah Naz Qamar</t>
  </si>
  <si>
    <t>PMC7166079</t>
  </si>
  <si>
    <t>assesses freqeuncy of adverse events in common vaccine</t>
  </si>
  <si>
    <t>Guangyu Li</t>
  </si>
  <si>
    <t>PMC6313919</t>
  </si>
  <si>
    <t>Helen McShane</t>
  </si>
  <si>
    <t>PMC7233336</t>
  </si>
  <si>
    <t>Graham J. Hatch</t>
  </si>
  <si>
    <t>PMC3700201</t>
  </si>
  <si>
    <t>challenge trial, but not in humans</t>
  </si>
  <si>
    <t>Mohamed Osman</t>
  </si>
  <si>
    <t>PMC5443534</t>
  </si>
  <si>
    <t>Claire P. Mattison</t>
  </si>
  <si>
    <t>PMC6410563</t>
  </si>
  <si>
    <t>Jessica E Manning</t>
  </si>
  <si>
    <t>PMC5989627</t>
  </si>
  <si>
    <t>Anne Louise Bischoff</t>
  </si>
  <si>
    <t>PMC3630160</t>
  </si>
  <si>
    <t>Bruce G. Weniger</t>
  </si>
  <si>
    <t>PMC7151876</t>
  </si>
  <si>
    <t>https://www.ncbi.nlm.nih.gov/pmc/articles/PMC7151876/</t>
  </si>
  <si>
    <t>Mark S. Riddle</t>
  </si>
  <si>
    <t>PMC5139601</t>
  </si>
  <si>
    <t>Norman W. Baylor</t>
  </si>
  <si>
    <t>PMC7152312</t>
  </si>
  <si>
    <t>https://www.ncbi.nlm.nih.gov/pmc/articles/PMC7152312/</t>
  </si>
  <si>
    <t>Marco Cavallari</t>
  </si>
  <si>
    <t>PMC5371740</t>
  </si>
  <si>
    <t>David J. Vance</t>
  </si>
  <si>
    <t>PMC5193006</t>
  </si>
  <si>
    <t>David I. Bernstein</t>
  </si>
  <si>
    <t>Alessandro Sette</t>
  </si>
  <si>
    <t>PMC7803150</t>
  </si>
  <si>
    <t>PMC6028071</t>
  </si>
  <si>
    <t>PMC7676373</t>
  </si>
  <si>
    <t>PMC7121045</t>
  </si>
  <si>
    <t>PMC3023887</t>
  </si>
  <si>
    <t>KR Talaat</t>
  </si>
  <si>
    <t>Benjamin K. Quintel</t>
  </si>
  <si>
    <t>PMC7314533</t>
  </si>
  <si>
    <t>assesses novel method of developing c. jejuni vaccine</t>
  </si>
  <si>
    <t>Susanne H. Hodgson</t>
  </si>
  <si>
    <t>Bernie Endyarni Medise</t>
  </si>
  <si>
    <t>PMC7560054</t>
  </si>
  <si>
    <t>Michael J. Selgelid</t>
  </si>
  <si>
    <t>PMC6785344</t>
  </si>
  <si>
    <t>Stéphane Pillet</t>
  </si>
  <si>
    <t>PMC6550445</t>
  </si>
  <si>
    <t>James A. Triccas</t>
  </si>
  <si>
    <t>PMC5471729</t>
  </si>
  <si>
    <t>Samer S. El-Kamary</t>
  </si>
  <si>
    <t>PMC3722871</t>
  </si>
  <si>
    <t>Bali Pulendran</t>
  </si>
  <si>
    <t>PMC7872131</t>
  </si>
  <si>
    <t>Evelyn Muleba Kunda-Ng'andu</t>
  </si>
  <si>
    <t>PMC7993625</t>
  </si>
  <si>
    <t>Timothy P. Endy</t>
  </si>
  <si>
    <t>PMC4111282</t>
  </si>
  <si>
    <t>Punnee Pitisuttithum</t>
  </si>
  <si>
    <t>PMC4278929</t>
  </si>
  <si>
    <t>Stanley A Plotkin</t>
  </si>
  <si>
    <t>PMC7543275</t>
  </si>
  <si>
    <t>Stephanie A. Harris</t>
  </si>
  <si>
    <t>Ruth D. Ellis</t>
  </si>
  <si>
    <t>PMC2809736</t>
  </si>
  <si>
    <t>Jane Achan</t>
  </si>
  <si>
    <t>Sandra Bos</t>
  </si>
  <si>
    <t>PMC6381545</t>
  </si>
  <si>
    <t>Jason B Harris</t>
  </si>
  <si>
    <t>PMC6188552</t>
  </si>
  <si>
    <t>Javier Díez-Domingo</t>
  </si>
  <si>
    <t>PMC4353319</t>
  </si>
  <si>
    <t>Said A. Jongo</t>
  </si>
  <si>
    <t>PMC7790068</t>
  </si>
  <si>
    <t>Guruprasad R. Medigeshi</t>
  </si>
  <si>
    <t>PMC6090158</t>
  </si>
  <si>
    <t>D. Vress</t>
  </si>
  <si>
    <t>PMC7987580</t>
  </si>
  <si>
    <t>https://www.ncbi.nlm.nih.gov/pmc/articles/PMC7987580/</t>
  </si>
  <si>
    <t>Sean C Murphy</t>
  </si>
  <si>
    <t>Olga Pleguezuelos</t>
  </si>
  <si>
    <t>Steinar Skrede</t>
  </si>
  <si>
    <t>Nicola Luigi Bragazzi</t>
  </si>
  <si>
    <t>PMC5845111</t>
  </si>
  <si>
    <t>Jeannette M Watson</t>
  </si>
  <si>
    <t>Bruno Guy</t>
  </si>
  <si>
    <t>PMC7349415</t>
  </si>
  <si>
    <t>Qiang Chen</t>
  </si>
  <si>
    <t>PMC7122369</t>
  </si>
  <si>
    <t>https://www.ncbi.nlm.nih.gov/pmc/articles/PMC7122369/</t>
  </si>
  <si>
    <t>Leslie M. Mayo-Smith</t>
  </si>
  <si>
    <t>S. R. Rosenthal</t>
  </si>
  <si>
    <t>PMC2631916</t>
  </si>
  <si>
    <t>Angela K. Talley</t>
  </si>
  <si>
    <t>Karin Dijkman</t>
  </si>
  <si>
    <t>PMC7817873</t>
  </si>
  <si>
    <t>evaluates novel tuberculosis vaccine</t>
  </si>
  <si>
    <t>R. F. O. França</t>
  </si>
  <si>
    <t>PMC7087945</t>
  </si>
  <si>
    <t>Sietske Rosendahl Huber</t>
  </si>
  <si>
    <t>PMC3997009</t>
  </si>
  <si>
    <t>Lisa E Davidson</t>
  </si>
  <si>
    <t>PMC3071884</t>
  </si>
  <si>
    <t>David E. Katz</t>
  </si>
  <si>
    <t>PMC321603</t>
  </si>
  <si>
    <t>evaluates novel shigella vaccine</t>
  </si>
  <si>
    <t>Jonathan S. Nguyen-Van-Tam</t>
  </si>
  <si>
    <t>Jane Baer</t>
  </si>
  <si>
    <t>PMC2814950</t>
  </si>
  <si>
    <t>assesses immune response to established influenza vaccine</t>
  </si>
  <si>
    <t>Daniela M. Ferreira</t>
  </si>
  <si>
    <t>Jennifer L. McKimm-Breschkin</t>
  </si>
  <si>
    <t>PMC7133686</t>
  </si>
  <si>
    <t>Vasee S Moorthy</t>
  </si>
  <si>
    <t>No authors listed</t>
  </si>
  <si>
    <t>PMC7168573</t>
  </si>
  <si>
    <t>https://www.ncbi.nlm.nih.gov/pmc/articles/PMC7168573/</t>
  </si>
  <si>
    <t>collection of abstracts (file under review) (file under review)</t>
  </si>
  <si>
    <t>Scott B. Halstead</t>
  </si>
  <si>
    <t>PMC5062765</t>
  </si>
  <si>
    <t>evaluates result of clinical trial</t>
  </si>
  <si>
    <t>Caitlin M. Briggs</t>
  </si>
  <si>
    <t>PMC4054385</t>
  </si>
  <si>
    <t>assesses novel dengue vaccine in monkeys</t>
  </si>
  <si>
    <t>Alice Minhinnick</t>
  </si>
  <si>
    <t>Jeremy N. Burrows</t>
  </si>
  <si>
    <t>PMC5237200</t>
  </si>
  <si>
    <t>Delia Bethell</t>
  </si>
  <si>
    <t>PMC3608534</t>
  </si>
  <si>
    <t>clnical trial, but not challenge trial</t>
  </si>
  <si>
    <t>PMC5983193</t>
  </si>
  <si>
    <t>Ioannis N. Mammas</t>
  </si>
  <si>
    <t>PMC7307844</t>
  </si>
  <si>
    <t>Ran D. Goldman</t>
  </si>
  <si>
    <t>PMC7532744</t>
  </si>
  <si>
    <t>assesses caregivers attitudes towards accelerated vaccine</t>
  </si>
  <si>
    <t>C. SPEAKE</t>
  </si>
  <si>
    <t>PMC4112517</t>
  </si>
  <si>
    <t>Haedi DeAngelis</t>
  </si>
  <si>
    <t>PMC6859645</t>
  </si>
  <si>
    <t>assesses novel method of increasing efficacy of pertussis vaccine</t>
  </si>
  <si>
    <t>Anja Holm</t>
  </si>
  <si>
    <t>PMC7167553</t>
  </si>
  <si>
    <t>James S. McCarthy</t>
  </si>
  <si>
    <t>Els van Hoffen</t>
  </si>
  <si>
    <t>Lars R. Haaheim</t>
  </si>
  <si>
    <t>PMC4634548</t>
  </si>
  <si>
    <t>Nicholas A. C. Jackson</t>
  </si>
  <si>
    <t>PMC7000814</t>
  </si>
  <si>
    <t>Carlos Alberto Guzmán</t>
  </si>
  <si>
    <t>PMC7563445</t>
  </si>
  <si>
    <t>Matthew H. Collins</t>
  </si>
  <si>
    <t>PMC6632022</t>
  </si>
  <si>
    <t>Kathleen M Neuzil</t>
  </si>
  <si>
    <t>PMC7388715</t>
  </si>
  <si>
    <t>assesses tolerability of novel typhoid vaccine</t>
  </si>
  <si>
    <t>Louis F. Fries</t>
  </si>
  <si>
    <t>PMC98531</t>
  </si>
  <si>
    <t>Joseph Eiden</t>
  </si>
  <si>
    <t>Paulina Koszalka</t>
  </si>
  <si>
    <t>PMC5410715</t>
  </si>
  <si>
    <t>Shufang Sun</t>
  </si>
  <si>
    <t>PMC7373149</t>
  </si>
  <si>
    <t>preprint (file under review)</t>
  </si>
  <si>
    <t>Mark S. Williams</t>
  </si>
  <si>
    <t>PMC6818494</t>
  </si>
  <si>
    <t>Sang-Moo Kang</t>
  </si>
  <si>
    <t>PMC5555223</t>
  </si>
  <si>
    <t>Tom H. M. Ottenhoff</t>
  </si>
  <si>
    <t>PMC3349743</t>
  </si>
  <si>
    <t>Danielle I. Stanisic</t>
  </si>
  <si>
    <t>PMC5736798</t>
  </si>
  <si>
    <t>Robert Streiffer</t>
  </si>
  <si>
    <t>PMC8014061</t>
  </si>
  <si>
    <t>Matthew B. Laurens</t>
  </si>
  <si>
    <t>Anne L Bishop</t>
  </si>
  <si>
    <t>PMC3036168</t>
  </si>
  <si>
    <t>Julia Romanova</t>
  </si>
  <si>
    <t>PMC2694350</t>
  </si>
  <si>
    <t>assesses efficacy of novel influenza vaccine</t>
  </si>
  <si>
    <t>Benjamin Mordmüller</t>
  </si>
  <si>
    <t>Melissa C. Kapulu</t>
  </si>
  <si>
    <t>PMC6871356</t>
  </si>
  <si>
    <t>Elizabeth B Brickley</t>
  </si>
  <si>
    <t>PMC5853416</t>
  </si>
  <si>
    <t>Annette M. Seilie</t>
  </si>
  <si>
    <t>PMC6553913</t>
  </si>
  <si>
    <t>assesses novel biomarker for controlled human malaria infection trials</t>
  </si>
  <si>
    <t>Trinka S. Coster</t>
  </si>
  <si>
    <t>PMC116529</t>
  </si>
  <si>
    <t>Roy F Chemaly</t>
  </si>
  <si>
    <t>PMC7108134</t>
  </si>
  <si>
    <t>Kirsten E. Lyke</t>
  </si>
  <si>
    <t>Scott Halstead</t>
  </si>
  <si>
    <t>PMC6676504</t>
  </si>
  <si>
    <t>Sócrates Herrera</t>
  </si>
  <si>
    <t>Jennifer L. Nayak</t>
  </si>
  <si>
    <t>PMC3532833</t>
  </si>
  <si>
    <t>assesses CD4+ Tcell response to H1N1 influenza</t>
  </si>
  <si>
    <t>Carlos Lamsfus Calle</t>
  </si>
  <si>
    <t>Jacob John</t>
  </si>
  <si>
    <t>PMC5388294</t>
  </si>
  <si>
    <t>Hong Liang</t>
  </si>
  <si>
    <t>PMC6538625</t>
  </si>
  <si>
    <t>assesses effect of TLR ligand on e coli vaccine</t>
  </si>
  <si>
    <t>Angkana T. Huang</t>
  </si>
  <si>
    <t>PMC7217088</t>
  </si>
  <si>
    <t>Alasdair Bamford</t>
  </si>
  <si>
    <t>PMC4166014</t>
  </si>
  <si>
    <t>assesses serological repsonses to paHIV vaccine</t>
  </si>
  <si>
    <t>Jona Walk</t>
  </si>
  <si>
    <t>Adrian Wildfire</t>
  </si>
  <si>
    <t>PMC7800137</t>
  </si>
  <si>
    <t>Marcia M. Hobbs</t>
  </si>
  <si>
    <t>PMC7299166</t>
  </si>
  <si>
    <t>book chapter (file under review)</t>
  </si>
  <si>
    <t>Hugh Adler</t>
  </si>
  <si>
    <t>Gloria P Gómez-Pérez</t>
  </si>
  <si>
    <t>Michael Le Page</t>
  </si>
  <si>
    <t>PMC7836830</t>
  </si>
  <si>
    <t>S. Omar Ali</t>
  </si>
  <si>
    <t>PMC6201130</t>
  </si>
  <si>
    <t>Megan F Hunt</t>
  </si>
  <si>
    <t>PMC7733225</t>
  </si>
  <si>
    <t>Sherry C. Wen</t>
  </si>
  <si>
    <t>PMC4519717</t>
  </si>
  <si>
    <t>Guido J. H. Bastiaens</t>
  </si>
  <si>
    <t>Aris Angelis</t>
  </si>
  <si>
    <t>PMC7983546</t>
  </si>
  <si>
    <t>Richard D Antrobus</t>
  </si>
  <si>
    <t>PMC3944330</t>
  </si>
  <si>
    <t>evaluates efficacy of novel influenza vaccine</t>
  </si>
  <si>
    <t>Magali Matsumiya</t>
  </si>
  <si>
    <t>René H. M. Raeven</t>
  </si>
  <si>
    <t>PMC6592373</t>
  </si>
  <si>
    <t>assesses relationship between b pertussis vaccine and pertussis anitbodies later in life</t>
  </si>
  <si>
    <t>Harapan Harapan</t>
  </si>
  <si>
    <t>PMC7472303</t>
  </si>
  <si>
    <t>K. C. Zoon</t>
  </si>
  <si>
    <t>PMC2627748</t>
  </si>
  <si>
    <t>Patrícia C. C. Neves</t>
  </si>
  <si>
    <t>PMC3855709</t>
  </si>
  <si>
    <t>assesses INF-gamma response to yellow fever vaccine</t>
  </si>
  <si>
    <t>Scott Parker</t>
  </si>
  <si>
    <t>PMC2600508</t>
  </si>
  <si>
    <t>Jamie Rylance</t>
  </si>
  <si>
    <t>Andrea M. Collins</t>
  </si>
  <si>
    <t>PMC3740234</t>
  </si>
  <si>
    <t>assesses IgG response in HIV</t>
  </si>
  <si>
    <t>Katharine A. Collins</t>
  </si>
  <si>
    <t>Q. R. Ducarmon</t>
  </si>
  <si>
    <t>John DeVincenzo</t>
  </si>
  <si>
    <t>Diane M. Janowicz</t>
  </si>
  <si>
    <t>PMC5270241</t>
  </si>
  <si>
    <t>Wendy A. Keitel</t>
  </si>
  <si>
    <t>PMC7150179</t>
  </si>
  <si>
    <t>https://www.ncbi.nlm.nih.gov/pmc/articles/PMC7150179/</t>
  </si>
  <si>
    <t>PMC5718783</t>
  </si>
  <si>
    <t>John H. Powers</t>
  </si>
  <si>
    <t>PMC5006216</t>
  </si>
  <si>
    <t>PMC7521561</t>
  </si>
  <si>
    <t>comment (file under review) on study</t>
  </si>
  <si>
    <t>Ben M. Hause</t>
  </si>
  <si>
    <t>PMC7117347</t>
  </si>
  <si>
    <t>challenge model, but not in humans</t>
  </si>
  <si>
    <t>D Young</t>
  </si>
  <si>
    <t>PMC1088568</t>
  </si>
  <si>
    <t>Pamela L Zeitlin</t>
  </si>
  <si>
    <t>PMC6248228</t>
  </si>
  <si>
    <t>Christine A. King</t>
  </si>
  <si>
    <t>PMC7670994</t>
  </si>
  <si>
    <t>Mike Ufer</t>
  </si>
  <si>
    <t>PMC5608565</t>
  </si>
  <si>
    <t>PMC7499300</t>
  </si>
  <si>
    <t>Anne C. Teirlinck</t>
  </si>
  <si>
    <t>Juliane Radloff</t>
  </si>
  <si>
    <t>PMC6066571</t>
  </si>
  <si>
    <t>assesses immune response to BCG vaccine</t>
  </si>
  <si>
    <t>Susanne H. Sheehy</t>
  </si>
  <si>
    <t>Crystal W. Burke</t>
  </si>
  <si>
    <t>Kate E. Mounsey</t>
  </si>
  <si>
    <t>PMC4795782</t>
  </si>
  <si>
    <t>Else M. Bijker</t>
  </si>
  <si>
    <t>Linda A. C. Hamers</t>
  </si>
  <si>
    <t>PMC4391613</t>
  </si>
  <si>
    <t>Simone Pecetta</t>
  </si>
  <si>
    <t>PMC7670927</t>
  </si>
  <si>
    <t>Gregory M. Glenn</t>
  </si>
  <si>
    <t>PMC1865773</t>
  </si>
  <si>
    <t>Maurits PA van Meer</t>
  </si>
  <si>
    <t>PMC3909449</t>
  </si>
  <si>
    <t>Haroula Angelakopoulos</t>
  </si>
  <si>
    <t>PMC97395</t>
  </si>
  <si>
    <t>evaluates tolerance of novel salmonella attenuation</t>
  </si>
  <si>
    <t>John H. Beigel</t>
  </si>
  <si>
    <t>PMC7132446</t>
  </si>
  <si>
    <t>conference summary (file under review)</t>
  </si>
  <si>
    <t>Michael R. Edwards</t>
  </si>
  <si>
    <t>PMC7173443</t>
  </si>
  <si>
    <t>https://www.ncbi.nlm.nih.gov/pmc/articles/PMC7173443/</t>
  </si>
  <si>
    <t>Sara A Healy</t>
  </si>
  <si>
    <t>Jeffrey D Stanaway</t>
  </si>
  <si>
    <t>PMC7388713</t>
  </si>
  <si>
    <t>guidelines (file under review)</t>
  </si>
  <si>
    <t>Alessandra Vitelli</t>
  </si>
  <si>
    <t>PMC5233505</t>
  </si>
  <si>
    <t>Louise Marquart</t>
  </si>
  <si>
    <t>PMC4468738</t>
  </si>
  <si>
    <t>assesses pharmcodynamic qualities of malaria drugs</t>
  </si>
  <si>
    <t>Peter D. Crompton</t>
  </si>
  <si>
    <t>PMC4075043</t>
  </si>
  <si>
    <t>Podjanee Jittamala</t>
  </si>
  <si>
    <t>PMC7968658</t>
  </si>
  <si>
    <t>meta-analysis (file under review)</t>
  </si>
  <si>
    <t>Jeremy N Burrows</t>
  </si>
  <si>
    <t>PMC3685552</t>
  </si>
  <si>
    <t>Melinda P Anthony</t>
  </si>
  <si>
    <t>PMC3472257</t>
  </si>
  <si>
    <t>John H Beigel</t>
  </si>
  <si>
    <t>PMC6941345</t>
  </si>
  <si>
    <t>cinical trial, but not a challenge trial</t>
  </si>
  <si>
    <t>Mohamed Farouk Chughlay</t>
  </si>
  <si>
    <t>PMC7356411</t>
  </si>
  <si>
    <t>Francisco M Marty</t>
  </si>
  <si>
    <t>Albert J. Arias</t>
  </si>
  <si>
    <t>PMC5759971</t>
  </si>
  <si>
    <t>Caroline M. Weight</t>
  </si>
  <si>
    <t>PMC6635362</t>
  </si>
  <si>
    <t>assesses epithelial immunity secondary to strepococcus infection</t>
  </si>
  <si>
    <t>Julia C. Haston</t>
  </si>
  <si>
    <t>PMC6871897</t>
  </si>
  <si>
    <t>Pattaraporn Vanachayangkul</t>
  </si>
  <si>
    <t>PMC7449176</t>
  </si>
  <si>
    <t>assesses medication tolerability in macaques</t>
  </si>
  <si>
    <t>Anand Odedra</t>
  </si>
  <si>
    <t>PMC7807416</t>
  </si>
  <si>
    <t>assesses novel method of collecting parasites</t>
  </si>
  <si>
    <t>Louis Lambrechts</t>
  </si>
  <si>
    <t>PMC4824166</t>
  </si>
  <si>
    <t>R Matthew Chico</t>
  </si>
  <si>
    <t>PMC3906303</t>
  </si>
  <si>
    <t>Bertrand Lell</t>
  </si>
  <si>
    <t>Geoffrey S Dow</t>
  </si>
  <si>
    <t>PMC2621393</t>
  </si>
  <si>
    <t xml:space="preserve">yes </t>
  </si>
  <si>
    <t>Wade Blair</t>
  </si>
  <si>
    <t>PMC4765712</t>
  </si>
  <si>
    <t>Marijke C. C. Langenberg</t>
  </si>
  <si>
    <t>Jeffrey Livezey</t>
  </si>
  <si>
    <t>Yehenew A Ebstie</t>
  </si>
  <si>
    <t>PMC4970641</t>
  </si>
  <si>
    <t>Gabriela Ispas</t>
  </si>
  <si>
    <t>PMC4444337</t>
  </si>
  <si>
    <t>challenge study, but not in humans (animal model)</t>
  </si>
  <si>
    <t>Christopher D. Huston</t>
  </si>
  <si>
    <t>PMC4598153</t>
  </si>
  <si>
    <t>Fränze Progatzky</t>
  </si>
  <si>
    <t>PMC6602583</t>
  </si>
  <si>
    <t>https://www.ncbi.nlm.nih.gov/pmc/articles/PMC6602583/</t>
  </si>
  <si>
    <t>assesses cytokine responses to human rhinovirus</t>
  </si>
  <si>
    <t>Flor M Munoz</t>
  </si>
  <si>
    <t>PMC7134186</t>
  </si>
  <si>
    <t>PMC7092343</t>
  </si>
  <si>
    <t>collection of abstracts (file under review)</t>
  </si>
  <si>
    <t>PMC3119411</t>
  </si>
  <si>
    <t>Daniela Calina</t>
  </si>
  <si>
    <t>PMC7944101</t>
  </si>
  <si>
    <t>Lokesh Shahani</t>
  </si>
  <si>
    <t>PMC7103713</t>
  </si>
  <si>
    <t>W. Garrett Nichols</t>
  </si>
  <si>
    <t>PMC2292575</t>
  </si>
  <si>
    <t>Elizabeth A. Ashley</t>
  </si>
  <si>
    <t>PMC6013505</t>
  </si>
  <si>
    <t>Judith M. Rollinger</t>
  </si>
  <si>
    <t>PMC7168442</t>
  </si>
  <si>
    <t>Julie G. Burel</t>
  </si>
  <si>
    <t>PMC5145136</t>
  </si>
  <si>
    <t>Antony J. Cutler</t>
  </si>
  <si>
    <t>Eli Schwartz</t>
  </si>
  <si>
    <t>PMC3395692</t>
  </si>
  <si>
    <t>Yaser Pashaei</t>
  </si>
  <si>
    <t>PMC7973060</t>
  </si>
  <si>
    <t>https://www.ncbi.nlm.nih.gov/pmc/articles/PMC7973060/</t>
  </si>
  <si>
    <t>Jeremy J. Lim</t>
  </si>
  <si>
    <t>PMC7318030</t>
  </si>
  <si>
    <t>Federico Martinón-Torres</t>
  </si>
  <si>
    <t>PMC7744997</t>
  </si>
  <si>
    <t>Aurore B Hounkpatin</t>
  </si>
  <si>
    <t>PMC6411314</t>
  </si>
  <si>
    <t>Aeron C. Hurt</t>
  </si>
  <si>
    <t>PMC6499332</t>
  </si>
  <si>
    <t>M. T. McClain</t>
  </si>
  <si>
    <t>Jacqueline M. McBride</t>
  </si>
  <si>
    <t>Rebecca E. Watts</t>
  </si>
  <si>
    <t>Manu De Rycker</t>
  </si>
  <si>
    <t>PMC6129172</t>
  </si>
  <si>
    <t>Alexander Basran</t>
  </si>
  <si>
    <t>PMC3525835</t>
  </si>
  <si>
    <t xml:space="preserve">assesses role of neutrophils in regulation of inflammation </t>
  </si>
  <si>
    <t>Robert F. Ramig</t>
  </si>
  <si>
    <t>PMC516399</t>
  </si>
  <si>
    <t>Juan S. Leon</t>
  </si>
  <si>
    <t>PMC3147477</t>
  </si>
  <si>
    <t>clinical trial, but not for humans (animal model)</t>
  </si>
  <si>
    <t>Michael G. Ison</t>
  </si>
  <si>
    <t>PMC7131036</t>
  </si>
  <si>
    <t>Charlotte V. Hobbs</t>
  </si>
  <si>
    <t>PMC5147802</t>
  </si>
  <si>
    <t>Inge Sutanto</t>
  </si>
  <si>
    <t>PMC6186863</t>
  </si>
  <si>
    <t>Charles E. Binkley</t>
  </si>
  <si>
    <t>PMC1422543</t>
  </si>
  <si>
    <t>Wataru Kagaya</t>
  </si>
  <si>
    <t>PMC6910941</t>
  </si>
  <si>
    <t>Marlies E. van Wolfswinkel</t>
  </si>
  <si>
    <t>Tran Tinh Hien</t>
  </si>
  <si>
    <t>PMC5278730</t>
  </si>
  <si>
    <t>J Kevin Baird</t>
  </si>
  <si>
    <t>PMC6243017</t>
  </si>
  <si>
    <t>PMC2632633</t>
  </si>
  <si>
    <t>Patrick J. Lillie</t>
  </si>
  <si>
    <t>René van der Merwe</t>
  </si>
  <si>
    <t>PMC3459659</t>
  </si>
  <si>
    <t>Scot R. Seitz</t>
  </si>
  <si>
    <t>Andreas Krause</t>
  </si>
  <si>
    <t>PMC6291618</t>
  </si>
  <si>
    <t>https://www.ncbi.nlm.nih.gov/pmc/articles/PMC6291618/</t>
  </si>
  <si>
    <t>Elisabeth M Terveer</t>
  </si>
  <si>
    <t>Clin Infect Dis. 2020 Nov 15; 71(10): 2630–2636.  Published online 2019 Nov 15. doi: 10.1093/cid/ciz1122</t>
  </si>
  <si>
    <t>https://pubmed.ncbi.nlm.nih.gov/31728525/</t>
  </si>
  <si>
    <t>Maren Eggers</t>
  </si>
  <si>
    <t>PMC5986686</t>
  </si>
  <si>
    <t>Craig W. Hendrix</t>
  </si>
  <si>
    <t>PMC6925668</t>
  </si>
  <si>
    <t>Cathy Davies</t>
  </si>
  <si>
    <t>PMC6843725</t>
  </si>
  <si>
    <t>Geoffrey W. Birrell</t>
  </si>
  <si>
    <t>PMC4291346</t>
  </si>
  <si>
    <t>assesses efficacy of new drug in vitro</t>
  </si>
  <si>
    <t>Angel Rosas-Aguirre</t>
  </si>
  <si>
    <t>PMC5201219</t>
  </si>
  <si>
    <t>J. Kevin Baird</t>
  </si>
  <si>
    <t>PMC6750137</t>
  </si>
  <si>
    <t>Anirban Sinha</t>
  </si>
  <si>
    <t>Edward S. Sim</t>
  </si>
  <si>
    <t>PMC7429918</t>
  </si>
  <si>
    <t>assesses novel droplet tracer for COVID</t>
  </si>
  <si>
    <t>Natasha Gunawardana</t>
  </si>
  <si>
    <t>PMC7172491</t>
  </si>
  <si>
    <t>Julia Mwesigwa</t>
  </si>
  <si>
    <t>PMC6712604</t>
  </si>
  <si>
    <t>assesses novel diagnostic tool for malaria</t>
  </si>
  <si>
    <t>Mary-Anne Hartley</t>
  </si>
  <si>
    <t>PMC7505590</t>
  </si>
  <si>
    <t>assesses clinical impact of parastemia on febrile children</t>
  </si>
  <si>
    <t>J Townend</t>
  </si>
  <si>
    <t>PMC1747425</t>
  </si>
  <si>
    <t>Jordi Landier</t>
  </si>
  <si>
    <t>PMC5946089</t>
  </si>
  <si>
    <t>observational study, but not a challenge study</t>
  </si>
  <si>
    <t>Nassima Ait-Daoud</t>
  </si>
  <si>
    <t>PMC3280410</t>
  </si>
  <si>
    <t>evaluates gene in alcohol dependence</t>
  </si>
  <si>
    <t>Britta Hahn</t>
  </si>
  <si>
    <t>PMC5768049</t>
  </si>
  <si>
    <t>Andrew J. McArdle</t>
  </si>
  <si>
    <t>PMC6037283</t>
  </si>
  <si>
    <t>Daniel M. Parker</t>
  </si>
  <si>
    <t>PMC5701446</t>
  </si>
  <si>
    <t>describes protocol for study (file under review)</t>
  </si>
  <si>
    <t>H. Raymond Allen</t>
  </si>
  <si>
    <t>PMC7355764</t>
  </si>
  <si>
    <t>assesses male and female clientele in medical marijuana dispensaries</t>
  </si>
  <si>
    <t>PMC3009578</t>
  </si>
  <si>
    <t>https://www.ncbi.nlm.nih.gov/pmc/articles/PMC3009578/</t>
  </si>
  <si>
    <t>Stanley M Spinola</t>
  </si>
  <si>
    <t>PMC7798584</t>
  </si>
  <si>
    <t>https://www.ncbi.nlm.nih.gov/pmc/articles/PMC7798584/</t>
  </si>
  <si>
    <t>Not a challenge trial (editorial, file under review)</t>
  </si>
  <si>
    <t>Sterling Edmonds</t>
  </si>
  <si>
    <t>PMC7717257</t>
  </si>
  <si>
    <t>https://www.ncbi.nlm.nih.gov/pmc/articles/PMC7717257/</t>
  </si>
  <si>
    <t>Aaronson DW</t>
  </si>
  <si>
    <t>Abbas Q</t>
  </si>
  <si>
    <t>PMC6843986</t>
  </si>
  <si>
    <t xml:space="preserve">assesses effect of climate change on diary farming in Pakistan </t>
  </si>
  <si>
    <t>Abbas Z</t>
  </si>
  <si>
    <t>PMC6823236</t>
  </si>
  <si>
    <t>assesses tolerability of novel treatment for allergic conjunctivitis</t>
  </si>
  <si>
    <t>Abizaid AS</t>
  </si>
  <si>
    <t>Abrantes JA</t>
  </si>
  <si>
    <t>PMC6930854</t>
  </si>
  <si>
    <t>novel model for factor VIII replacement therapy (file under evaluates)</t>
  </si>
  <si>
    <t>Aceituno AM</t>
  </si>
  <si>
    <t>PMC5706310</t>
  </si>
  <si>
    <t>assesses improve to rotavirus vaccine framework in bolivia</t>
  </si>
  <si>
    <t>Adedokun OJ</t>
  </si>
  <si>
    <t>Adegnika AA</t>
  </si>
  <si>
    <t>Ageno W</t>
  </si>
  <si>
    <t>PMC4715841</t>
  </si>
  <si>
    <t>Agut H</t>
  </si>
  <si>
    <t>Ahern DK</t>
  </si>
  <si>
    <t>Ajiro Y</t>
  </si>
  <si>
    <t>Akpo EI</t>
  </si>
  <si>
    <t>PMC4381112</t>
  </si>
  <si>
    <t>data analysis (not a challenge trial)</t>
  </si>
  <si>
    <t>Al-Afaleq AI</t>
  </si>
  <si>
    <t>PMC6298285</t>
  </si>
  <si>
    <t>Albert X</t>
  </si>
  <si>
    <t>PMC7032641</t>
  </si>
  <si>
    <t>Alinia H</t>
  </si>
  <si>
    <t>Allen DB</t>
  </si>
  <si>
    <t>Allen EN</t>
  </si>
  <si>
    <t>PMC7098080</t>
  </si>
  <si>
    <t>Allingstrup M</t>
  </si>
  <si>
    <t>PMC7095103</t>
  </si>
  <si>
    <t>Almasri J</t>
  </si>
  <si>
    <t>Almond CS</t>
  </si>
  <si>
    <t>Amundsen CL</t>
  </si>
  <si>
    <t>PMC6004242</t>
  </si>
  <si>
    <t>An Y</t>
  </si>
  <si>
    <t>Anagnostou K</t>
  </si>
  <si>
    <t>(allergen/food challenge)</t>
  </si>
  <si>
    <t>Anaissie J</t>
  </si>
  <si>
    <t>assesses novel therapy for peyronie's disease</t>
  </si>
  <si>
    <t>Andorf S</t>
  </si>
  <si>
    <t>PMC6944204</t>
  </si>
  <si>
    <t>Angoulvant F</t>
  </si>
  <si>
    <t>PMC6583778</t>
  </si>
  <si>
    <t>Angus DC</t>
  </si>
  <si>
    <t>PMC7489418</t>
  </si>
  <si>
    <t>Annane D</t>
  </si>
  <si>
    <t>Anusavice KJ</t>
  </si>
  <si>
    <t>PMC3271854</t>
  </si>
  <si>
    <t>Aouizerate B</t>
  </si>
  <si>
    <t>review; non-english</t>
  </si>
  <si>
    <t>Arceci RJ</t>
  </si>
  <si>
    <t>Arnold DM</t>
  </si>
  <si>
    <t>Artemether-Quinine Meta-analysis Study Group</t>
  </si>
  <si>
    <t>Artiges E</t>
  </si>
  <si>
    <t>fMRI study of smoking cues in smokers (not a challenge trial)</t>
  </si>
  <si>
    <t>Assadian O</t>
  </si>
  <si>
    <t>PMC7379569</t>
  </si>
  <si>
    <t>Aukrust P</t>
  </si>
  <si>
    <t>Aurora SK</t>
  </si>
  <si>
    <t>Avni T</t>
  </si>
  <si>
    <t>PMC2822136</t>
  </si>
  <si>
    <t>Awori QD</t>
  </si>
  <si>
    <t>PMC5515026</t>
  </si>
  <si>
    <t>Azziz R</t>
  </si>
  <si>
    <t>Babor F</t>
  </si>
  <si>
    <t>case report (not a challenge trial)</t>
  </si>
  <si>
    <t>Bachert C</t>
  </si>
  <si>
    <t>(allergen challenge)</t>
  </si>
  <si>
    <t>Badenes R</t>
  </si>
  <si>
    <t>PMC7045244</t>
  </si>
  <si>
    <t>protocol for meta-analysis (file under review)</t>
  </si>
  <si>
    <t>Badr Zahr LK</t>
  </si>
  <si>
    <t>Baena-Cagnani CE</t>
  </si>
  <si>
    <t>PMC5475249</t>
  </si>
  <si>
    <t>Bai T</t>
  </si>
  <si>
    <t>PMC7329396</t>
  </si>
  <si>
    <t>protocol for clinical trial (not a challenge trial)</t>
  </si>
  <si>
    <t>Bailey CJ</t>
  </si>
  <si>
    <t>PMC3606470</t>
  </si>
  <si>
    <t>Bajčiová V</t>
  </si>
  <si>
    <t>Bakal JA</t>
  </si>
  <si>
    <t>Baldi S</t>
  </si>
  <si>
    <t>PMC4629956</t>
  </si>
  <si>
    <t>Bale S</t>
  </si>
  <si>
    <t>Ball EL</t>
  </si>
  <si>
    <t>PMC7437395</t>
  </si>
  <si>
    <t>Ballard C</t>
  </si>
  <si>
    <t>Bally M</t>
  </si>
  <si>
    <t>Bamagoos AA</t>
  </si>
  <si>
    <t>PMC6945467</t>
  </si>
  <si>
    <t>Bañares R</t>
  </si>
  <si>
    <t>Barco S</t>
  </si>
  <si>
    <t>Bardsley-Elliot A</t>
  </si>
  <si>
    <t>Baroody FM</t>
  </si>
  <si>
    <t>Bartoszko JJ</t>
  </si>
  <si>
    <t>PMC6134765</t>
  </si>
  <si>
    <t>Bassi MR</t>
  </si>
  <si>
    <t>PMC4757529</t>
  </si>
  <si>
    <t>Bastidas A</t>
  </si>
  <si>
    <t>PMC6618796</t>
  </si>
  <si>
    <t>Bateman RM</t>
  </si>
  <si>
    <t>PMC5493079</t>
  </si>
  <si>
    <t>symposium presentations list (not a challenge trial)</t>
  </si>
  <si>
    <t>Bauer A</t>
  </si>
  <si>
    <t>PMC4689007</t>
  </si>
  <si>
    <t>Beardsall K</t>
  </si>
  <si>
    <t>PMC7970623</t>
  </si>
  <si>
    <t>Beauchamp K</t>
  </si>
  <si>
    <t>PMC2527342</t>
  </si>
  <si>
    <t>Becker V</t>
  </si>
  <si>
    <t>Bednar MM</t>
  </si>
  <si>
    <t>Beeh KM</t>
  </si>
  <si>
    <t>PMC2672797</t>
  </si>
  <si>
    <t>Beer KR</t>
  </si>
  <si>
    <t>Beigel JH</t>
  </si>
  <si>
    <t>PMC5736848</t>
  </si>
  <si>
    <t>assesses tolerance for novel influenza therapy</t>
  </si>
  <si>
    <t>PMC7262788</t>
  </si>
  <si>
    <t>PMC5871563</t>
  </si>
  <si>
    <t>Belaconi IN</t>
  </si>
  <si>
    <t>Benoit E</t>
  </si>
  <si>
    <t>Bergenstal RM</t>
  </si>
  <si>
    <t>Bergmann L</t>
  </si>
  <si>
    <t>Bernetti M</t>
  </si>
  <si>
    <t>Berry-Kravis E</t>
  </si>
  <si>
    <t>PMC5467054</t>
  </si>
  <si>
    <t>Berthelsen RE</t>
  </si>
  <si>
    <t>PMC6727583</t>
  </si>
  <si>
    <t>Betancourt AA</t>
  </si>
  <si>
    <t>assesses tolerance of novel hepatitis B vaccine</t>
  </si>
  <si>
    <t>Beth-Tasdogan NH</t>
  </si>
  <si>
    <t>PMC6485859</t>
  </si>
  <si>
    <t>Bhatt P</t>
  </si>
  <si>
    <t>Bhavnani SM</t>
  </si>
  <si>
    <t>Biebl M</t>
  </si>
  <si>
    <t>comparative study of endovascular aortic anyuerism repair outcomes (not a challenge trial)</t>
  </si>
  <si>
    <t>Bijur PE</t>
  </si>
  <si>
    <t>Bikdeli B</t>
  </si>
  <si>
    <t>PMC7513771</t>
  </si>
  <si>
    <t>study proposal (not a challenge trial)</t>
  </si>
  <si>
    <t>Bines JE</t>
  </si>
  <si>
    <t>clincal trial, but not a challenge trial</t>
  </si>
  <si>
    <t>Birbaumer N</t>
  </si>
  <si>
    <t>Bird JA</t>
  </si>
  <si>
    <t>Biro K</t>
  </si>
  <si>
    <t>Bisaga A</t>
  </si>
  <si>
    <t>Biscayart C</t>
  </si>
  <si>
    <t>charactizes adverse events following vaccine, but not a challenge trial</t>
  </si>
  <si>
    <t>Bismuth J</t>
  </si>
  <si>
    <t>Blanchet B</t>
  </si>
  <si>
    <t>Blumchen K</t>
  </si>
  <si>
    <t>Blumer JL</t>
  </si>
  <si>
    <t>Bogdanovic G</t>
  </si>
  <si>
    <t>Boland EA</t>
  </si>
  <si>
    <t>Bolouri H</t>
  </si>
  <si>
    <t>Bolton P</t>
  </si>
  <si>
    <t>PMC4227644</t>
  </si>
  <si>
    <t>Bondonno CP</t>
  </si>
  <si>
    <t>Bonello L</t>
  </si>
  <si>
    <t>Bonet M</t>
  </si>
  <si>
    <t>PMC6486135</t>
  </si>
  <si>
    <t>Bordachar P</t>
  </si>
  <si>
    <t>Bosi E</t>
  </si>
  <si>
    <t>PMC7681191</t>
  </si>
  <si>
    <t>Bossen L</t>
  </si>
  <si>
    <t>Botelho-Nevers E</t>
  </si>
  <si>
    <t>Bottino R</t>
  </si>
  <si>
    <t>PMC6053495</t>
  </si>
  <si>
    <t>Bouget J</t>
  </si>
  <si>
    <t>assesses tolerability of therapy in non-challenge model</t>
  </si>
  <si>
    <t>Boughton CK</t>
  </si>
  <si>
    <t>PMC6467839</t>
  </si>
  <si>
    <t>PMC4530857</t>
  </si>
  <si>
    <t>Bourhy H</t>
  </si>
  <si>
    <t>Breitbart W</t>
  </si>
  <si>
    <t>Brenner A</t>
  </si>
  <si>
    <t>PMC7657351</t>
  </si>
  <si>
    <t>Bresnihan B</t>
  </si>
  <si>
    <t>Brett-Major DM</t>
  </si>
  <si>
    <t>Breugelmans JG</t>
  </si>
  <si>
    <t>assesses tolerabiliy of yellow fever vaccine</t>
  </si>
  <si>
    <t>Briggs CM</t>
  </si>
  <si>
    <t>Brin MF</t>
  </si>
  <si>
    <t>PMC6903360</t>
  </si>
  <si>
    <t>Brok J</t>
  </si>
  <si>
    <t>Brouwer ES</t>
  </si>
  <si>
    <t>PMC4159700</t>
  </si>
  <si>
    <t>assesses risk of drug combination in HIV myocardial infarction</t>
  </si>
  <si>
    <t>Brown S</t>
  </si>
  <si>
    <t>PMC6026806</t>
  </si>
  <si>
    <t>Bruix J</t>
  </si>
  <si>
    <t>Bukhari M</t>
  </si>
  <si>
    <t>comparative study (not a challenge trial)</t>
  </si>
  <si>
    <t>Bullock R</t>
  </si>
  <si>
    <t>Bunupuradah T</t>
  </si>
  <si>
    <t>Burge AT</t>
  </si>
  <si>
    <t>PMC7160071</t>
  </si>
  <si>
    <t>Burger DC</t>
  </si>
  <si>
    <t>Burkle FM Jr</t>
  </si>
  <si>
    <t>Burton MJ</t>
  </si>
  <si>
    <t>Burza MA</t>
  </si>
  <si>
    <t>Bush RK</t>
  </si>
  <si>
    <t>assesses efficacy of novel dust mite vaccine</t>
  </si>
  <si>
    <t>Butler C</t>
  </si>
  <si>
    <t>Buttgereit F</t>
  </si>
  <si>
    <t>PMC6525626</t>
  </si>
  <si>
    <t>Caffarelli C</t>
  </si>
  <si>
    <t>PMC5602868</t>
  </si>
  <si>
    <t>Caiazzo R</t>
  </si>
  <si>
    <t>Cairns CB</t>
  </si>
  <si>
    <t>Calvani M</t>
  </si>
  <si>
    <t>case-controlled study, not a challenge trial</t>
  </si>
  <si>
    <t>Camacho LH</t>
  </si>
  <si>
    <t>PMC4430259</t>
  </si>
  <si>
    <t>Campos Gomes CV</t>
  </si>
  <si>
    <t>Campos LM</t>
  </si>
  <si>
    <t>Canet J</t>
  </si>
  <si>
    <t>Cao B</t>
  </si>
  <si>
    <t>PMC7121492</t>
  </si>
  <si>
    <t>Caplan M</t>
  </si>
  <si>
    <t>Carisse O</t>
  </si>
  <si>
    <t>assesses effect of leaf wetness on grape leaves</t>
  </si>
  <si>
    <t>Carlisle BG</t>
  </si>
  <si>
    <t>PMC7044865</t>
  </si>
  <si>
    <t>Carter NJ</t>
  </si>
  <si>
    <t>Casale TB</t>
  </si>
  <si>
    <t>allergy challenge (not a challenge trial)</t>
  </si>
  <si>
    <t>(allergy challenge)</t>
  </si>
  <si>
    <t>Casscells SW</t>
  </si>
  <si>
    <t>Cassin M</t>
  </si>
  <si>
    <t>review, non-english</t>
  </si>
  <si>
    <t>Castell D</t>
  </si>
  <si>
    <t>(food challenge)</t>
  </si>
  <si>
    <t>Castillo M</t>
  </si>
  <si>
    <t>Cavaillon JM</t>
  </si>
  <si>
    <t>Cavazzana M</t>
  </si>
  <si>
    <t>Cazzaniga ME</t>
  </si>
  <si>
    <t>PMC6586706</t>
  </si>
  <si>
    <t>Cazzola M</t>
  </si>
  <si>
    <t>Cendoroglo MS</t>
  </si>
  <si>
    <t>comment (file under review)</t>
  </si>
  <si>
    <t>Chabala C</t>
  </si>
  <si>
    <t>PMC5909210</t>
  </si>
  <si>
    <t>Chade DC</t>
  </si>
  <si>
    <t>PMC4273309</t>
  </si>
  <si>
    <t>Chai KL</t>
  </si>
  <si>
    <t>Chambers JW</t>
  </si>
  <si>
    <t>Chan KL</t>
  </si>
  <si>
    <t>Chan R</t>
  </si>
  <si>
    <t>Chandler CJ</t>
  </si>
  <si>
    <t>syndemic perspectives applied to population (not a challenge trial)</t>
  </si>
  <si>
    <t>Chanques G</t>
  </si>
  <si>
    <t>PMC7653978</t>
  </si>
  <si>
    <t>Charan J</t>
  </si>
  <si>
    <t>PMC6019572</t>
  </si>
  <si>
    <t>Charles BG</t>
  </si>
  <si>
    <t>PMC1932489</t>
  </si>
  <si>
    <t>Chebbi CK</t>
  </si>
  <si>
    <t>PMC4872293</t>
  </si>
  <si>
    <t>PMC6709288</t>
  </si>
  <si>
    <t>Chen YF</t>
  </si>
  <si>
    <t>PMC4368787</t>
  </si>
  <si>
    <t>Chien KR</t>
  </si>
  <si>
    <t>China L</t>
  </si>
  <si>
    <t>Choi K</t>
  </si>
  <si>
    <t>Choi YJ</t>
  </si>
  <si>
    <t>Chrystal JG</t>
  </si>
  <si>
    <t>PMC4319724</t>
  </si>
  <si>
    <t>PMC3573028</t>
  </si>
  <si>
    <t>Chung C</t>
  </si>
  <si>
    <t>PMC6513335</t>
  </si>
  <si>
    <t>Ciprandi G</t>
  </si>
  <si>
    <t>Citrome L</t>
  </si>
  <si>
    <t>Clark A</t>
  </si>
  <si>
    <t>PMC6595176</t>
  </si>
  <si>
    <t>Clarke DK</t>
  </si>
  <si>
    <t>Clarke LA</t>
  </si>
  <si>
    <t>PMC6852151</t>
  </si>
  <si>
    <t>Clausen B</t>
  </si>
  <si>
    <t>PMC5488851</t>
  </si>
  <si>
    <t>Cline A</t>
  </si>
  <si>
    <t>Cohen MS</t>
  </si>
  <si>
    <t>PMC3200068</t>
  </si>
  <si>
    <t>Cohen Z</t>
  </si>
  <si>
    <t>Colao A</t>
  </si>
  <si>
    <t>PMC3942628</t>
  </si>
  <si>
    <t>Colunga-Lozano LE</t>
  </si>
  <si>
    <t>PMC6517001</t>
  </si>
  <si>
    <t>Connolly B</t>
  </si>
  <si>
    <t>PMC6517154</t>
  </si>
  <si>
    <t>Cono J</t>
  </si>
  <si>
    <t>PMC3372351</t>
  </si>
  <si>
    <t>Conrad N</t>
  </si>
  <si>
    <t>PMC6724155</t>
  </si>
  <si>
    <t>longitudinal analysis (not a challenge trial)</t>
  </si>
  <si>
    <t>Conrad SA</t>
  </si>
  <si>
    <t>Conterno LO</t>
  </si>
  <si>
    <t>Contoli M</t>
  </si>
  <si>
    <t>Converso TR</t>
  </si>
  <si>
    <t>assesses novel pneumococcus vaccine in mice</t>
  </si>
  <si>
    <t>Cook D</t>
  </si>
  <si>
    <t>report reviewing bleeding events (not a challenge trial)</t>
  </si>
  <si>
    <t>Coppola A</t>
  </si>
  <si>
    <t>Cortegiani A</t>
  </si>
  <si>
    <t>PMC6464510</t>
  </si>
  <si>
    <t>Coulibaly S</t>
  </si>
  <si>
    <t>Coussement J</t>
  </si>
  <si>
    <t>PMC6491324</t>
  </si>
  <si>
    <t>COVID-19 RISK and Treatments (CORIST) Collaboration</t>
  </si>
  <si>
    <t>PMC7446618</t>
  </si>
  <si>
    <t>assesses efficacy of medication in non-challenge model</t>
  </si>
  <si>
    <t>Craig TK</t>
  </si>
  <si>
    <t>CRASH-3 trial collaborators</t>
  </si>
  <si>
    <t>PMC6853170</t>
  </si>
  <si>
    <t>Creech CB</t>
  </si>
  <si>
    <t>assesses novel staphylococcus vaccine</t>
  </si>
  <si>
    <t>Crosignani PG</t>
  </si>
  <si>
    <t>PMC2714834</t>
  </si>
  <si>
    <t>Cross DB</t>
  </si>
  <si>
    <t>retrospective study (not a challenge trial)</t>
  </si>
  <si>
    <t>Cuadrado-Lavín A</t>
  </si>
  <si>
    <t>Curtis JR</t>
  </si>
  <si>
    <t>population-based study (not a challenge trial)</t>
  </si>
  <si>
    <t>Curtis NJ</t>
  </si>
  <si>
    <t>D'Anneo RW</t>
  </si>
  <si>
    <t>D'Arienzo PA</t>
  </si>
  <si>
    <t>Dale AM</t>
  </si>
  <si>
    <t>PMC6873302</t>
  </si>
  <si>
    <t>experimental design (not a challenge trial)</t>
  </si>
  <si>
    <t>Damiani G</t>
  </si>
  <si>
    <t>PMC6445726</t>
  </si>
  <si>
    <t>Damm O</t>
  </si>
  <si>
    <t>PMC3011291</t>
  </si>
  <si>
    <t>Danial C</t>
  </si>
  <si>
    <t>PMC4024322</t>
  </si>
  <si>
    <t>Daou F</t>
  </si>
  <si>
    <t>PMC7908443</t>
  </si>
  <si>
    <t>Dardiotis E</t>
  </si>
  <si>
    <t>Daveson AJM</t>
  </si>
  <si>
    <t>Davey RT Jr</t>
  </si>
  <si>
    <t>PMC6868512</t>
  </si>
  <si>
    <t>Davidson JA</t>
  </si>
  <si>
    <t>Davidson MH</t>
  </si>
  <si>
    <t>Davis JD</t>
  </si>
  <si>
    <t>PMC2311415</t>
  </si>
  <si>
    <t>Day JH</t>
  </si>
  <si>
    <t>Dayama A</t>
  </si>
  <si>
    <t>de Brabander J</t>
  </si>
  <si>
    <t>PMC5896716</t>
  </si>
  <si>
    <t>De Jong A</t>
  </si>
  <si>
    <t>de Jong MD</t>
  </si>
  <si>
    <t>de la Portilla F</t>
  </si>
  <si>
    <t>de Mey C</t>
  </si>
  <si>
    <t>de Santis A</t>
  </si>
  <si>
    <t>PMC7708205</t>
  </si>
  <si>
    <t>Deahl MP</t>
  </si>
  <si>
    <t>Deal CL</t>
  </si>
  <si>
    <t>PMC3789886</t>
  </si>
  <si>
    <t>Deev R</t>
  </si>
  <si>
    <t>PMC5435773</t>
  </si>
  <si>
    <t>surveillance study (not a challenge trial)</t>
  </si>
  <si>
    <t>DellaVolpe JD</t>
  </si>
  <si>
    <t>Deluiz D</t>
  </si>
  <si>
    <t>Demyttenaere K</t>
  </si>
  <si>
    <t>Deppe AC</t>
  </si>
  <si>
    <t>Desborough M</t>
  </si>
  <si>
    <t>PMC5321521</t>
  </si>
  <si>
    <t>Desmond RA</t>
  </si>
  <si>
    <t>PMC1489762</t>
  </si>
  <si>
    <t>Devasenapathy N</t>
  </si>
  <si>
    <t>PMC7828893</t>
  </si>
  <si>
    <t>Devineni D</t>
  </si>
  <si>
    <t>Dhainaut JF</t>
  </si>
  <si>
    <t>Dhand R</t>
  </si>
  <si>
    <t>PMC5994662</t>
  </si>
  <si>
    <t>Di Lernia V</t>
  </si>
  <si>
    <t>PMC5441635</t>
  </si>
  <si>
    <t>Diker-Cohen T</t>
  </si>
  <si>
    <t>Dimopoulos G</t>
  </si>
  <si>
    <t>Ding J</t>
  </si>
  <si>
    <t>PMC7387012</t>
  </si>
  <si>
    <t>Dingwall KM</t>
  </si>
  <si>
    <t>PMC6325814</t>
  </si>
  <si>
    <t>Dodd LE</t>
  </si>
  <si>
    <t>Doherty T</t>
  </si>
  <si>
    <t>PMC4285159</t>
  </si>
  <si>
    <t>assesses effect of low birthweight and breatfeeding on severe adverse events in south african infants</t>
  </si>
  <si>
    <t>Dohil MA</t>
  </si>
  <si>
    <t>Dosik J</t>
  </si>
  <si>
    <t>Drane D</t>
  </si>
  <si>
    <t>Dretzke J</t>
  </si>
  <si>
    <t>PMC4781107</t>
  </si>
  <si>
    <t>Dundon WG</t>
  </si>
  <si>
    <t>Dunn AL</t>
  </si>
  <si>
    <t>Dupuis C</t>
  </si>
  <si>
    <t>assesses novel therapy for sepsis</t>
  </si>
  <si>
    <t>Durães AR</t>
  </si>
  <si>
    <t>PMC4081171</t>
  </si>
  <si>
    <t>Durán-Cantolla J</t>
  </si>
  <si>
    <t>Durante A</t>
  </si>
  <si>
    <t>Durante-Mangoni E</t>
  </si>
  <si>
    <t>assesses kindey tolerability of antibacterial medication</t>
  </si>
  <si>
    <t>Durif F</t>
  </si>
  <si>
    <t>Eckardt KU</t>
  </si>
  <si>
    <t>PMC5998808</t>
  </si>
  <si>
    <t>Eckburg PB</t>
  </si>
  <si>
    <t>PMC5365677</t>
  </si>
  <si>
    <t>Eckhardt CM</t>
  </si>
  <si>
    <t>PMC7276974</t>
  </si>
  <si>
    <t>summarizes study protocol for clinical trial (not a challenge trial)</t>
  </si>
  <si>
    <t>Edmonds M</t>
  </si>
  <si>
    <t>Edwards SJ</t>
  </si>
  <si>
    <t>Egea-Guerrero JJ</t>
  </si>
  <si>
    <t>Eichenfield LF</t>
  </si>
  <si>
    <t>Eiding H</t>
  </si>
  <si>
    <t>PMC6399939</t>
  </si>
  <si>
    <t>qualitative study (not a challenge trial)</t>
  </si>
  <si>
    <t>El Bahri DM</t>
  </si>
  <si>
    <t>El Miedany Y</t>
  </si>
  <si>
    <t>Elice F</t>
  </si>
  <si>
    <t>Elkhadem A</t>
  </si>
  <si>
    <t>Ellis-Hill C</t>
  </si>
  <si>
    <t>PMC6429750</t>
  </si>
  <si>
    <t>Ely EW</t>
  </si>
  <si>
    <t>Emberlin JC</t>
  </si>
  <si>
    <t>Endo K</t>
  </si>
  <si>
    <t>Erlewyn-Lajeunesse M</t>
  </si>
  <si>
    <t>PMC1995783</t>
  </si>
  <si>
    <t>Esamai F</t>
  </si>
  <si>
    <t>Escaned J</t>
  </si>
  <si>
    <t>Escobar MA</t>
  </si>
  <si>
    <t>Everard ML</t>
  </si>
  <si>
    <t>PMC4781529</t>
  </si>
  <si>
    <t>clinical trial and systematic review, but not a challenge trial</t>
  </si>
  <si>
    <t>Everitt H</t>
  </si>
  <si>
    <t>PMC6545494</t>
  </si>
  <si>
    <t>Eyal N</t>
  </si>
  <si>
    <t>Faber TS</t>
  </si>
  <si>
    <t>Fabi SG</t>
  </si>
  <si>
    <t>Fabrizi F</t>
  </si>
  <si>
    <t>Facciorusso A</t>
  </si>
  <si>
    <t>Failla ML</t>
  </si>
  <si>
    <t>Fakhoury N</t>
  </si>
  <si>
    <t>Falagas ME</t>
  </si>
  <si>
    <t>PMC2670373</t>
  </si>
  <si>
    <t>Falleiros-Arlant LH</t>
  </si>
  <si>
    <t>practice guideline (file under review)</t>
  </si>
  <si>
    <t>Fallon BA</t>
  </si>
  <si>
    <t>Farese AM</t>
  </si>
  <si>
    <t>PMC3877682</t>
  </si>
  <si>
    <t>models acute radiation syndrome in animals</t>
  </si>
  <si>
    <t>Faroux L</t>
  </si>
  <si>
    <t>Fauquert JL</t>
  </si>
  <si>
    <t>Fava M</t>
  </si>
  <si>
    <t>Feng F</t>
  </si>
  <si>
    <t>Feng FE</t>
  </si>
  <si>
    <t>Feriani G</t>
  </si>
  <si>
    <t>PMC6491129</t>
  </si>
  <si>
    <t>Fernández P</t>
  </si>
  <si>
    <t>PMC2898783</t>
  </si>
  <si>
    <t>Fernández-Caldas E</t>
  </si>
  <si>
    <t>Fernández-Rivas M</t>
  </si>
  <si>
    <t>Ferrario M</t>
  </si>
  <si>
    <t>PMC4742912</t>
  </si>
  <si>
    <t>Ferreira JP</t>
  </si>
  <si>
    <t>Ferté C</t>
  </si>
  <si>
    <t>Fields BG</t>
  </si>
  <si>
    <t>Findling RL</t>
  </si>
  <si>
    <t>PMC3779002</t>
  </si>
  <si>
    <t>Fisher R</t>
  </si>
  <si>
    <t>Fitchett DH</t>
  </si>
  <si>
    <t>Fleischer DM</t>
  </si>
  <si>
    <t>PMC6439674</t>
  </si>
  <si>
    <t>Flood-Page P</t>
  </si>
  <si>
    <t>Fluge Ø</t>
  </si>
  <si>
    <t>Fluschnik N</t>
  </si>
  <si>
    <t>Forbes D</t>
  </si>
  <si>
    <t>Forceville X</t>
  </si>
  <si>
    <t>Ford TJ</t>
  </si>
  <si>
    <t>Forsyth JP</t>
  </si>
  <si>
    <t>Foster ED</t>
  </si>
  <si>
    <t>PMC5911786</t>
  </si>
  <si>
    <t>Fowler AA 3rd</t>
  </si>
  <si>
    <t>PMC3937164</t>
  </si>
  <si>
    <t>Fraj J</t>
  </si>
  <si>
    <t>(asthma challenge)</t>
  </si>
  <si>
    <t>Franciosi LG</t>
  </si>
  <si>
    <t>François B</t>
  </si>
  <si>
    <t>Fredenburgh LE</t>
  </si>
  <si>
    <t>PMC6328240</t>
  </si>
  <si>
    <t>Freeman EE</t>
  </si>
  <si>
    <t>PMC6990575</t>
  </si>
  <si>
    <t>patient analysis (not a challenge trial)</t>
  </si>
  <si>
    <t>Fresneau B</t>
  </si>
  <si>
    <t>Fried TR</t>
  </si>
  <si>
    <t>PMC3815613</t>
  </si>
  <si>
    <t>PMC6402913</t>
  </si>
  <si>
    <t>Friedmann N</t>
  </si>
  <si>
    <t>Fukushima A</t>
  </si>
  <si>
    <t>PMC4209092</t>
  </si>
  <si>
    <t>Fukushima N</t>
  </si>
  <si>
    <t>PMC6133189</t>
  </si>
  <si>
    <t>Fulton TR</t>
  </si>
  <si>
    <t>Fung-Kee-Fung M</t>
  </si>
  <si>
    <t>Galantino ML</t>
  </si>
  <si>
    <t>pilot study (not a challenge trial)</t>
  </si>
  <si>
    <t>Galvani AP</t>
  </si>
  <si>
    <t>PMC7095140</t>
  </si>
  <si>
    <t>Galvao TF</t>
  </si>
  <si>
    <t>PMC3578834</t>
  </si>
  <si>
    <t>Galvin IM</t>
  </si>
  <si>
    <t>PMC6516802</t>
  </si>
  <si>
    <t>Gammaitoni A</t>
  </si>
  <si>
    <t>Garcia JM</t>
  </si>
  <si>
    <t>García-Ara C</t>
  </si>
  <si>
    <t>Garcia-Hernandez A</t>
  </si>
  <si>
    <t>presents new QALY model (not a challenge trial)</t>
  </si>
  <si>
    <t>Gargiulo G</t>
  </si>
  <si>
    <t>Garrison KR</t>
  </si>
  <si>
    <t>PMC6669254</t>
  </si>
  <si>
    <t>Garrouste-Orgeas M</t>
  </si>
  <si>
    <t>PMC6635906</t>
  </si>
  <si>
    <t>Gasparini M</t>
  </si>
  <si>
    <t>Gauger VT</t>
  </si>
  <si>
    <t>Gauvreau GM</t>
  </si>
  <si>
    <t>Ge Z</t>
  </si>
  <si>
    <t>retrospective case review in non-challenge context</t>
  </si>
  <si>
    <t>Geier MR</t>
  </si>
  <si>
    <t>Geleris J</t>
  </si>
  <si>
    <t>PMC7224609</t>
  </si>
  <si>
    <t>Gélinas C</t>
  </si>
  <si>
    <t>Gengenbacher M</t>
  </si>
  <si>
    <t>PMC4049106</t>
  </si>
  <si>
    <t>Genovese MC</t>
  </si>
  <si>
    <t>Gensheimer KF</t>
  </si>
  <si>
    <t>PMC7134731</t>
  </si>
  <si>
    <t>lessons learned article (not a challenge trial)</t>
  </si>
  <si>
    <t>Geppe NA</t>
  </si>
  <si>
    <t>Gesser RM</t>
  </si>
  <si>
    <t>Ghabri S</t>
  </si>
  <si>
    <t>model (not a challenge trial)</t>
  </si>
  <si>
    <t>Ghany MG</t>
  </si>
  <si>
    <t>PMC3718548</t>
  </si>
  <si>
    <t>model development (not a challenge trial)</t>
  </si>
  <si>
    <t>Giannopoulos K</t>
  </si>
  <si>
    <t>Giezen TJ</t>
  </si>
  <si>
    <t>Gilbert A</t>
  </si>
  <si>
    <t>Gilbert RE</t>
  </si>
  <si>
    <t>Gillam LD</t>
  </si>
  <si>
    <t>Gimenez-Arnau A</t>
  </si>
  <si>
    <t>Gjerde C</t>
  </si>
  <si>
    <t>PMC6085689</t>
  </si>
  <si>
    <t>Gjurow D</t>
  </si>
  <si>
    <t>Glaser DA</t>
  </si>
  <si>
    <t>Glasser JW</t>
  </si>
  <si>
    <t>PMC7105002</t>
  </si>
  <si>
    <t>Goa KL</t>
  </si>
  <si>
    <t>Goel A</t>
  </si>
  <si>
    <t>novel therapy for acne scars (not a challenge trial)</t>
  </si>
  <si>
    <t>Goh KJ</t>
  </si>
  <si>
    <t>Gökbuget N</t>
  </si>
  <si>
    <t>PMC3031691</t>
  </si>
  <si>
    <t>Goldenberg JZ</t>
  </si>
  <si>
    <t>PMC6486212</t>
  </si>
  <si>
    <t>Goldhaber SZ</t>
  </si>
  <si>
    <t>compares efficacy of different medications in eldery thromboembolism (not a challenge trial)</t>
  </si>
  <si>
    <t>Goldman JD</t>
  </si>
  <si>
    <t>PMC7377062</t>
  </si>
  <si>
    <t>Goljahani A</t>
  </si>
  <si>
    <t>PMC4109663</t>
  </si>
  <si>
    <t>bayseian analysis of brain-computer interfaces (file under assesses)</t>
  </si>
  <si>
    <t>Gomez AM</t>
  </si>
  <si>
    <t>PMC4604526</t>
  </si>
  <si>
    <t>Gonzales ML</t>
  </si>
  <si>
    <t>Gonzales MLM</t>
  </si>
  <si>
    <t>PMC6326239</t>
  </si>
  <si>
    <t>González-Pinto A</t>
  </si>
  <si>
    <t>Gonzalez-Sanchez JL</t>
  </si>
  <si>
    <t>Gooderham MJ</t>
  </si>
  <si>
    <t>PMC6777226</t>
  </si>
  <si>
    <t>Goodwin GM</t>
  </si>
  <si>
    <t>Goswamy RV</t>
  </si>
  <si>
    <t>retrospective review (not a challenge trial)</t>
  </si>
  <si>
    <t>Gottlieb M</t>
  </si>
  <si>
    <t>Gouel-Chéron A</t>
  </si>
  <si>
    <t>Gouillat C</t>
  </si>
  <si>
    <t>PMC1766893</t>
  </si>
  <si>
    <t>Grande E</t>
  </si>
  <si>
    <t>PMC6532586</t>
  </si>
  <si>
    <t>PMC6532709</t>
  </si>
  <si>
    <t>Green FH</t>
  </si>
  <si>
    <t>PMC4964056</t>
  </si>
  <si>
    <t>assesses tolerability of medicine in non-challenge model</t>
  </si>
  <si>
    <t>Green H</t>
  </si>
  <si>
    <t>Griffin MP</t>
  </si>
  <si>
    <t>Grimes PE</t>
  </si>
  <si>
    <t>Grinsztejn B</t>
  </si>
  <si>
    <t>PMC4144040</t>
  </si>
  <si>
    <t>Groothuis JR</t>
  </si>
  <si>
    <t>Grosset KA</t>
  </si>
  <si>
    <t>Grottke O</t>
  </si>
  <si>
    <t>Grounds MD</t>
  </si>
  <si>
    <t>PMC7063669</t>
  </si>
  <si>
    <t>Guedeney P</t>
  </si>
  <si>
    <t>Guillén-Solà M</t>
  </si>
  <si>
    <t>PMC3907779</t>
  </si>
  <si>
    <t>Guimarães PO</t>
  </si>
  <si>
    <t>Gupta AK</t>
  </si>
  <si>
    <t>Guthrie RM</t>
  </si>
  <si>
    <t>treatment discussion (not a challenge trial)</t>
  </si>
  <si>
    <t>Haanen J</t>
  </si>
  <si>
    <t>Haase N</t>
  </si>
  <si>
    <t>PMC3573769</t>
  </si>
  <si>
    <t>Haase NR</t>
  </si>
  <si>
    <t>Hadamitzky M</t>
  </si>
  <si>
    <t>PMC2875454</t>
  </si>
  <si>
    <t>Haggarty SJ</t>
  </si>
  <si>
    <t>PMC5292010</t>
  </si>
  <si>
    <t>Hajjar LA</t>
  </si>
  <si>
    <t>Halachmi S</t>
  </si>
  <si>
    <t>Halimi S</t>
  </si>
  <si>
    <t>Hallstrand TS</t>
  </si>
  <si>
    <t>PMC2041799</t>
  </si>
  <si>
    <t>Halstead SB</t>
  </si>
  <si>
    <t>PMC7454712</t>
  </si>
  <si>
    <t>Hamer DH</t>
  </si>
  <si>
    <t>PMC4001509</t>
  </si>
  <si>
    <t>Hanlon P</t>
  </si>
  <si>
    <t>PMC7579922</t>
  </si>
  <si>
    <t>retrospective review of frailty in clinical trials</t>
  </si>
  <si>
    <t>Hanly JG</t>
  </si>
  <si>
    <t>discussion of lupus (not a challenge trial)</t>
  </si>
  <si>
    <t>Hanna M</t>
  </si>
  <si>
    <t>Hanratty CE</t>
  </si>
  <si>
    <t>PMC5753571</t>
  </si>
  <si>
    <t>Hansrod F</t>
  </si>
  <si>
    <t>assesses PTSD and domestic violence in HIV+ women</t>
  </si>
  <si>
    <t>Harambat J</t>
  </si>
  <si>
    <t>PMC2416449</t>
  </si>
  <si>
    <t>assesses efficacy of contramoxizole in preventing congenital HIV infection</t>
  </si>
  <si>
    <t>Harmatz PR</t>
  </si>
  <si>
    <t>PMC5298029</t>
  </si>
  <si>
    <t>Harnoss JC</t>
  </si>
  <si>
    <t>Harris AJ</t>
  </si>
  <si>
    <t>design correction (not a challenge trial)</t>
  </si>
  <si>
    <t>Hartman JE</t>
  </si>
  <si>
    <t>Hartmann J</t>
  </si>
  <si>
    <t>PMC5582407</t>
  </si>
  <si>
    <t>Hartshorn S</t>
  </si>
  <si>
    <t>PMC6610896</t>
  </si>
  <si>
    <t>Hartwell D</t>
  </si>
  <si>
    <t>PMC4781090</t>
  </si>
  <si>
    <t>Hashim PW</t>
  </si>
  <si>
    <t>Hassall OW</t>
  </si>
  <si>
    <t>PMC4722332</t>
  </si>
  <si>
    <t>Hassiotis A</t>
  </si>
  <si>
    <t>PMC5900418</t>
  </si>
  <si>
    <t>Hatton J</t>
  </si>
  <si>
    <t>PMC2770729</t>
  </si>
  <si>
    <t>Haun MW</t>
  </si>
  <si>
    <t>PMC6481832</t>
  </si>
  <si>
    <t>Hausberg M</t>
  </si>
  <si>
    <t>Hawks E</t>
  </si>
  <si>
    <t>Hayashi M</t>
  </si>
  <si>
    <t>Hazard D</t>
  </si>
  <si>
    <t>PMC7507941</t>
  </si>
  <si>
    <t>multistate model analysis (not a challenge trial)</t>
  </si>
  <si>
    <t>Heading R</t>
  </si>
  <si>
    <t>Heesterbeek M</t>
  </si>
  <si>
    <t>PMC6700638</t>
  </si>
  <si>
    <t>Hegade VS</t>
  </si>
  <si>
    <t>Heinemann L</t>
  </si>
  <si>
    <t>Henneicke-von Zepelin HH</t>
  </si>
  <si>
    <t>Herbrecht R</t>
  </si>
  <si>
    <t>Hercz D</t>
  </si>
  <si>
    <t>Hershberger E</t>
  </si>
  <si>
    <t>PMC6412085</t>
  </si>
  <si>
    <t>PMC4957371</t>
  </si>
  <si>
    <t>Hickman JG</t>
  </si>
  <si>
    <t>Higuera-de la Tijera F</t>
  </si>
  <si>
    <t>Hingorani AD</t>
  </si>
  <si>
    <t>Hirobe S</t>
  </si>
  <si>
    <t>PMC7126733</t>
  </si>
  <si>
    <t>animal challenge and clinical trial, but not a challenge trial</t>
  </si>
  <si>
    <t>Hirschfield GM</t>
  </si>
  <si>
    <t>Holden BA</t>
  </si>
  <si>
    <t>Horii T</t>
  </si>
  <si>
    <t>Horowitz DM</t>
  </si>
  <si>
    <t>Hosangadi D</t>
  </si>
  <si>
    <t>characterizes mass vaccination capacities (file under review)</t>
  </si>
  <si>
    <t>Hoshino N</t>
  </si>
  <si>
    <t>Hsieh JT</t>
  </si>
  <si>
    <t>retrospective review of postoperative dental surgery complications</t>
  </si>
  <si>
    <t>Hsiehchen D</t>
  </si>
  <si>
    <t>PMC6751757</t>
  </si>
  <si>
    <t>assesses interrater agreement of AE's in patients receiving immune inhibitors</t>
  </si>
  <si>
    <t>Hu L</t>
  </si>
  <si>
    <t>PMC6621984</t>
  </si>
  <si>
    <t>Huang Y</t>
  </si>
  <si>
    <t>PMC6536966</t>
  </si>
  <si>
    <t>Hui W</t>
  </si>
  <si>
    <t>PMC6343888</t>
  </si>
  <si>
    <t>Humbert M</t>
  </si>
  <si>
    <t>Huyett LM</t>
  </si>
  <si>
    <t>PMC5510043</t>
  </si>
  <si>
    <t>Hylander T</t>
  </si>
  <si>
    <t>Hyppönen J</t>
  </si>
  <si>
    <t>analysis (not a challenge trial)</t>
  </si>
  <si>
    <t>Ibrahim H</t>
  </si>
  <si>
    <t>Igarashi Y</t>
  </si>
  <si>
    <t>Ikeda H</t>
  </si>
  <si>
    <t>Imdad A</t>
  </si>
  <si>
    <t>PMC6517295</t>
  </si>
  <si>
    <t>Inwald D</t>
  </si>
  <si>
    <t>PMC6174327</t>
  </si>
  <si>
    <t>Iqbal IZ</t>
  </si>
  <si>
    <t>Irwin SL</t>
  </si>
  <si>
    <t>prospective pilot study (not a challenge trial)</t>
  </si>
  <si>
    <t>Jafari E</t>
  </si>
  <si>
    <t>Jagielak D</t>
  </si>
  <si>
    <t>PMC7919677</t>
  </si>
  <si>
    <t>Jahn P</t>
  </si>
  <si>
    <t>Jain VK</t>
  </si>
  <si>
    <t>Jamshidi E</t>
  </si>
  <si>
    <t>PMC7799400</t>
  </si>
  <si>
    <t>Jander N</t>
  </si>
  <si>
    <t>assesses velocity ratio as predictor of aortic stenosis</t>
  </si>
  <si>
    <t>Jang JW</t>
  </si>
  <si>
    <t>assesses efficacy of medication against hepatitis b</t>
  </si>
  <si>
    <t>Janjua S</t>
  </si>
  <si>
    <t>Jatoi A</t>
  </si>
  <si>
    <t>Jensen CS</t>
  </si>
  <si>
    <t>Jensen GM</t>
  </si>
  <si>
    <t>Jensen JS</t>
  </si>
  <si>
    <t>assesses biomarker for acute liver disease</t>
  </si>
  <si>
    <t>Jia H</t>
  </si>
  <si>
    <t>PMC8008810</t>
  </si>
  <si>
    <t>Jiang B</t>
  </si>
  <si>
    <t>PMC5449575</t>
  </si>
  <si>
    <t>Jimenez R</t>
  </si>
  <si>
    <t>Johnson J</t>
  </si>
  <si>
    <t>discrete choice experiment for different health models (file under evaluates)</t>
  </si>
  <si>
    <t>Johnson RA</t>
  </si>
  <si>
    <t>PMC4783291</t>
  </si>
  <si>
    <t>Joly F</t>
  </si>
  <si>
    <t>PMC7019093</t>
  </si>
  <si>
    <t>Jones M</t>
  </si>
  <si>
    <t>Jones SM</t>
  </si>
  <si>
    <t>Kaestli M</t>
  </si>
  <si>
    <t>longitudinal study of melioidosis in australia (file under evaluates)</t>
  </si>
  <si>
    <t>Kahn LH</t>
  </si>
  <si>
    <t>Kahn RE</t>
  </si>
  <si>
    <t>Kalabina S</t>
  </si>
  <si>
    <t>cost-utility analysis (not a challenge trial)</t>
  </si>
  <si>
    <t>Kalb RE</t>
  </si>
  <si>
    <t>Kane JM</t>
  </si>
  <si>
    <t>Kang HJ</t>
  </si>
  <si>
    <t>Kang S</t>
  </si>
  <si>
    <t>Kapinos G</t>
  </si>
  <si>
    <t>Kapisi J</t>
  </si>
  <si>
    <t>PMC4333162</t>
  </si>
  <si>
    <t>Kaplovitch E</t>
  </si>
  <si>
    <t>Kappos L</t>
  </si>
  <si>
    <t>PMC7281382</t>
  </si>
  <si>
    <t>Karakunnel JJ</t>
  </si>
  <si>
    <t>PMC6278009</t>
  </si>
  <si>
    <t>Karsai S</t>
  </si>
  <si>
    <t>Kasperkiewicz M</t>
  </si>
  <si>
    <t>Kasprick A</t>
  </si>
  <si>
    <t>Kauf TL</t>
  </si>
  <si>
    <t>Kaundal R</t>
  </si>
  <si>
    <t>Kauppi K</t>
  </si>
  <si>
    <t>Kawakita K</t>
  </si>
  <si>
    <t>Kawamori R</t>
  </si>
  <si>
    <t>Kedarisetty CK</t>
  </si>
  <si>
    <t>PMC4102459</t>
  </si>
  <si>
    <t>Kelloway JS</t>
  </si>
  <si>
    <t>Kelly CP</t>
  </si>
  <si>
    <t>technically a challenge, but challenges people with ceoliac's disease with gluten</t>
  </si>
  <si>
    <t>Kennedy WP</t>
  </si>
  <si>
    <t>PMC4243296</t>
  </si>
  <si>
    <t>Ker K</t>
  </si>
  <si>
    <t>PMC4455225</t>
  </si>
  <si>
    <t>Khan O</t>
  </si>
  <si>
    <t>PMC6544815</t>
  </si>
  <si>
    <t>Khanna AK</t>
  </si>
  <si>
    <t>Khanna R</t>
  </si>
  <si>
    <t>Kharfan-Dabaja M</t>
  </si>
  <si>
    <t>Khattab AA</t>
  </si>
  <si>
    <t>Kikuchi S</t>
  </si>
  <si>
    <t>animal study</t>
  </si>
  <si>
    <t>Kim H</t>
  </si>
  <si>
    <t>PMC6295084</t>
  </si>
  <si>
    <t>Kim HS</t>
  </si>
  <si>
    <t>Kim MJ</t>
  </si>
  <si>
    <t>Koea J</t>
  </si>
  <si>
    <t>Koefoed BG</t>
  </si>
  <si>
    <t>Koh IJ</t>
  </si>
  <si>
    <t>PMC3348324</t>
  </si>
  <si>
    <t>Kohler PK</t>
  </si>
  <si>
    <t>PMC4758015</t>
  </si>
  <si>
    <t>assessing safety outcomes (not a challenge trial)</t>
  </si>
  <si>
    <t>Kolluri R</t>
  </si>
  <si>
    <t>Kon E</t>
  </si>
  <si>
    <t>PMC6105149</t>
  </si>
  <si>
    <t>Konaté AT</t>
  </si>
  <si>
    <t>PMC3032552</t>
  </si>
  <si>
    <t>Kong Y</t>
  </si>
  <si>
    <t>PMC3527389</t>
  </si>
  <si>
    <t>Koonrungsesomboon N</t>
  </si>
  <si>
    <t>Koretz RL</t>
  </si>
  <si>
    <t>PMC6599819</t>
  </si>
  <si>
    <t>Kreijtz JH</t>
  </si>
  <si>
    <t>(virus based vaccine)</t>
  </si>
  <si>
    <t>Krick TW</t>
  </si>
  <si>
    <t>Krishnan RJ</t>
  </si>
  <si>
    <t>PMC6494321</t>
  </si>
  <si>
    <t>Krupitsky E</t>
  </si>
  <si>
    <t>Kukkonen AK</t>
  </si>
  <si>
    <t>Kuramatsu JB</t>
  </si>
  <si>
    <t>PMC6555738</t>
  </si>
  <si>
    <t>Kuriyama A</t>
  </si>
  <si>
    <t>Kurup D</t>
  </si>
  <si>
    <t>Kushner BH</t>
  </si>
  <si>
    <t>Kwambai TK</t>
  </si>
  <si>
    <t>Kylat RI</t>
  </si>
  <si>
    <t>PMC6984667</t>
  </si>
  <si>
    <t>La Vecchia L</t>
  </si>
  <si>
    <t>Lacaze P</t>
  </si>
  <si>
    <t>PMC5629947</t>
  </si>
  <si>
    <t>preparation for genetic study (not a challenge trial)</t>
  </si>
  <si>
    <t>Láinez MJ</t>
  </si>
  <si>
    <t>PMC3994920</t>
  </si>
  <si>
    <t>Lajara R</t>
  </si>
  <si>
    <t>Lakatos G</t>
  </si>
  <si>
    <t>Lambert MA</t>
  </si>
  <si>
    <t>Lamont JT</t>
  </si>
  <si>
    <t>PMC2194470</t>
  </si>
  <si>
    <t>Langford TD</t>
  </si>
  <si>
    <t>PMC3548569</t>
  </si>
  <si>
    <t>Lappalainen M</t>
  </si>
  <si>
    <t>Lattermann C</t>
  </si>
  <si>
    <t>Launay O</t>
  </si>
  <si>
    <t>assesses tolerance for novel vaccine</t>
  </si>
  <si>
    <t>Lauwerys BR</t>
  </si>
  <si>
    <t>Law J</t>
  </si>
  <si>
    <t>Lawrie TA</t>
  </si>
  <si>
    <t>PMC6457816</t>
  </si>
  <si>
    <t>Lawson JH</t>
  </si>
  <si>
    <t>Le Gouill S</t>
  </si>
  <si>
    <t>Learoyd AE</t>
  </si>
  <si>
    <t>PMC5818141</t>
  </si>
  <si>
    <t>Lee A</t>
  </si>
  <si>
    <t>PMC2988738</t>
  </si>
  <si>
    <t>discussion article (not a challenge trial)</t>
  </si>
  <si>
    <t>Lee AP</t>
  </si>
  <si>
    <t>PMC4736351</t>
  </si>
  <si>
    <t>safety analysis (not a challenge trial)</t>
  </si>
  <si>
    <t>Lee AY</t>
  </si>
  <si>
    <t>Lee HS</t>
  </si>
  <si>
    <t>assesses novel therapy for ance scars</t>
  </si>
  <si>
    <t>Lee MS</t>
  </si>
  <si>
    <t>describes outcomes of patients with calcified coronary arteries (not a challenge trial)</t>
  </si>
  <si>
    <t>Lee N</t>
  </si>
  <si>
    <t>Leffler DA</t>
  </si>
  <si>
    <t>PMC3463856</t>
  </si>
  <si>
    <t>Lemaire M</t>
  </si>
  <si>
    <t>assesses novel therapy for morbidity secondary to anemia</t>
  </si>
  <si>
    <t>Leon MB</t>
  </si>
  <si>
    <t>Lévi F</t>
  </si>
  <si>
    <t>Levy G</t>
  </si>
  <si>
    <t>Lewis K</t>
  </si>
  <si>
    <t>PMC7787432</t>
  </si>
  <si>
    <t>Li MF</t>
  </si>
  <si>
    <t>PMC5426054</t>
  </si>
  <si>
    <t>Li MY</t>
  </si>
  <si>
    <t>meta-analysis, non-english (file under review)</t>
  </si>
  <si>
    <t>Li YX</t>
  </si>
  <si>
    <t>Lieberman-Blum SS</t>
  </si>
  <si>
    <t>Lim JJ</t>
  </si>
  <si>
    <t>Lim SG</t>
  </si>
  <si>
    <t>Lim VK</t>
  </si>
  <si>
    <t>Lincoln T</t>
  </si>
  <si>
    <t>PMC7170558</t>
  </si>
  <si>
    <t>Lipplaa A</t>
  </si>
  <si>
    <t>PMC6613724</t>
  </si>
  <si>
    <t>Liu F</t>
  </si>
  <si>
    <t>Liu J</t>
  </si>
  <si>
    <t>assesses novel method of reporting patient outcome</t>
  </si>
  <si>
    <t>Liu MH</t>
  </si>
  <si>
    <t>Liu S</t>
  </si>
  <si>
    <t>Liu W</t>
  </si>
  <si>
    <t>PMC6955491</t>
  </si>
  <si>
    <t>Liu X</t>
  </si>
  <si>
    <t>PMC6993561</t>
  </si>
  <si>
    <t>Liu Y</t>
  </si>
  <si>
    <t>PMC4309066</t>
  </si>
  <si>
    <t>development of new metric in ECG (not a challenge trial)</t>
  </si>
  <si>
    <t>Liu ZW</t>
  </si>
  <si>
    <t>Llor C</t>
  </si>
  <si>
    <t>PMC5726137</t>
  </si>
  <si>
    <t>Lo Presti C</t>
  </si>
  <si>
    <t>Lo-Coco F</t>
  </si>
  <si>
    <t>Locatelli F</t>
  </si>
  <si>
    <t>Lockwood DN</t>
  </si>
  <si>
    <t>PMC5373510</t>
  </si>
  <si>
    <t>Lollini PL</t>
  </si>
  <si>
    <t>Long V</t>
  </si>
  <si>
    <t>Looney RJ</t>
  </si>
  <si>
    <t>PMC5074725</t>
  </si>
  <si>
    <t>Lopes AA</t>
  </si>
  <si>
    <t>Lor KY</t>
  </si>
  <si>
    <t>Lortholary O</t>
  </si>
  <si>
    <t>PMC5985971</t>
  </si>
  <si>
    <t>Low Dog T</t>
  </si>
  <si>
    <t>Low LF</t>
  </si>
  <si>
    <t>Low SW</t>
  </si>
  <si>
    <t>assesses cerebral hemodynamic parameters in severe stenoocclusive disease</t>
  </si>
  <si>
    <t>Lu J</t>
  </si>
  <si>
    <t>Luiten EJ</t>
  </si>
  <si>
    <t>assesses gut bacteria repopulation after acute pancreatitis</t>
  </si>
  <si>
    <t>Lukacz ES</t>
  </si>
  <si>
    <t>assesses novel management of fecal incontinence</t>
  </si>
  <si>
    <t>Lukashevich V</t>
  </si>
  <si>
    <t>PMC3559080</t>
  </si>
  <si>
    <t>Lyman GH</t>
  </si>
  <si>
    <t>Ma S</t>
  </si>
  <si>
    <t>PMC7897363</t>
  </si>
  <si>
    <t>Maceroli MA</t>
  </si>
  <si>
    <t>retrospective analysis (not a challenge trial)</t>
  </si>
  <si>
    <t>Macfadyen CA</t>
  </si>
  <si>
    <t>PMC6669264</t>
  </si>
  <si>
    <t>Madan A</t>
  </si>
  <si>
    <t>(adjuvanted vaccine)</t>
  </si>
  <si>
    <t>Maehara A</t>
  </si>
  <si>
    <t>Maglione MA</t>
  </si>
  <si>
    <t>Maguire C</t>
  </si>
  <si>
    <t>PMC4657365</t>
  </si>
  <si>
    <t>Mah FS</t>
  </si>
  <si>
    <t>Mahalanabis D</t>
  </si>
  <si>
    <t>Mahé C</t>
  </si>
  <si>
    <t>Mahlangu J</t>
  </si>
  <si>
    <t>Maiers M</t>
  </si>
  <si>
    <t>assesses adverse events in seniors receiving spinal maniuplation therapy</t>
  </si>
  <si>
    <t>Maina E</t>
  </si>
  <si>
    <t>animal participants</t>
  </si>
  <si>
    <t>Majeed M</t>
  </si>
  <si>
    <t>PMC6249666</t>
  </si>
  <si>
    <t>PMC7126195</t>
  </si>
  <si>
    <t>Mallory RM</t>
  </si>
  <si>
    <t>Mammen JR</t>
  </si>
  <si>
    <t>PMC6377865</t>
  </si>
  <si>
    <t>Mandell RB</t>
  </si>
  <si>
    <t>assesses novel vaccine for rift valley fever</t>
  </si>
  <si>
    <t>Mantis C</t>
  </si>
  <si>
    <t>Mantzoukis K</t>
  </si>
  <si>
    <t>PMC6464625</t>
  </si>
  <si>
    <t>meta-analysis (file uder review)</t>
  </si>
  <si>
    <t>Mara K</t>
  </si>
  <si>
    <t>PMC7830660</t>
  </si>
  <si>
    <t>Marder SR</t>
  </si>
  <si>
    <t>Margheri M</t>
  </si>
  <si>
    <t>Mariani LH</t>
  </si>
  <si>
    <t>PMC6348011</t>
  </si>
  <si>
    <t>observational study (not a challenge trial)</t>
  </si>
  <si>
    <t>Markus CR</t>
  </si>
  <si>
    <t>Marmarou A</t>
  </si>
  <si>
    <t>Martí-Carvajal AJ</t>
  </si>
  <si>
    <t>PMC6464614</t>
  </si>
  <si>
    <t>Martin JE</t>
  </si>
  <si>
    <t>PMC1656552</t>
  </si>
  <si>
    <t>assesses tolerance for novel ebola vaccine</t>
  </si>
  <si>
    <t>Martinelli Boneschi F</t>
  </si>
  <si>
    <t>systematic review of MS medication</t>
  </si>
  <si>
    <t>Maruyama A</t>
  </si>
  <si>
    <t>PMC4904549</t>
  </si>
  <si>
    <t>Masarova L</t>
  </si>
  <si>
    <t>Mascagni P</t>
  </si>
  <si>
    <t>assesses novel influenza vaccine</t>
  </si>
  <si>
    <t>Massey E</t>
  </si>
  <si>
    <t>Masson S</t>
  </si>
  <si>
    <t>assesses novel sepsis therapy</t>
  </si>
  <si>
    <t>Matsuki E</t>
  </si>
  <si>
    <t>PMC5578701</t>
  </si>
  <si>
    <t>Matthews GM</t>
  </si>
  <si>
    <t>Mavhu W</t>
  </si>
  <si>
    <t>assesses novel treatment for HIV</t>
  </si>
  <si>
    <t>Mayer L</t>
  </si>
  <si>
    <t>PMC3933070</t>
  </si>
  <si>
    <t>McAuley DF</t>
  </si>
  <si>
    <t>McBain H</t>
  </si>
  <si>
    <t>McCallum GB</t>
  </si>
  <si>
    <t>PMC6483479</t>
  </si>
  <si>
    <t>McCormack P</t>
  </si>
  <si>
    <t>PMC6485652</t>
  </si>
  <si>
    <t>McCurdy BR</t>
  </si>
  <si>
    <t>PMC3384361</t>
  </si>
  <si>
    <t>McDonald CM</t>
  </si>
  <si>
    <t>McFadden ER Jr</t>
  </si>
  <si>
    <t>PMC329525</t>
  </si>
  <si>
    <t>assesses thermally induced asthma</t>
  </si>
  <si>
    <t>McGowan MP</t>
  </si>
  <si>
    <t>McInnes IB</t>
  </si>
  <si>
    <t>PMC5850284</t>
  </si>
  <si>
    <t>Md Yusof MY</t>
  </si>
  <si>
    <t>Mease PJ</t>
  </si>
  <si>
    <t>PMC3377497</t>
  </si>
  <si>
    <t>assesses efficacy of plaque psoriasis therapy</t>
  </si>
  <si>
    <t>Meglio P</t>
  </si>
  <si>
    <t>Mehta M</t>
  </si>
  <si>
    <t>Meier EJ</t>
  </si>
  <si>
    <t>Meimoun P</t>
  </si>
  <si>
    <t>Meissner HC</t>
  </si>
  <si>
    <t>PMC89130</t>
  </si>
  <si>
    <t>Mendes Lobão W</t>
  </si>
  <si>
    <t>PMC6231618</t>
  </si>
  <si>
    <t>assesses views of vaccination in brazil</t>
  </si>
  <si>
    <t>Meneses JV</t>
  </si>
  <si>
    <t>Menon K</t>
  </si>
  <si>
    <t>Meremikwu M</t>
  </si>
  <si>
    <t>PMC6532671</t>
  </si>
  <si>
    <t>Meremikwu MM</t>
  </si>
  <si>
    <t>Michaud E</t>
  </si>
  <si>
    <t>PMC4430989</t>
  </si>
  <si>
    <t>Michel M</t>
  </si>
  <si>
    <t>Michels KB</t>
  </si>
  <si>
    <t>Middleton D</t>
  </si>
  <si>
    <t>PMC2708649</t>
  </si>
  <si>
    <t>Mihigo R</t>
  </si>
  <si>
    <t>distribution discussion (not a challenge trial)</t>
  </si>
  <si>
    <t>Milan SJ</t>
  </si>
  <si>
    <t>PMC6513466</t>
  </si>
  <si>
    <t>Mileno MD</t>
  </si>
  <si>
    <t>Miles LF</t>
  </si>
  <si>
    <t>PMC6924972</t>
  </si>
  <si>
    <t>Miller WC</t>
  </si>
  <si>
    <t>PMC6299325</t>
  </si>
  <si>
    <t>assesses novel treatment strategy for people who inject drugs</t>
  </si>
  <si>
    <t>Min H</t>
  </si>
  <si>
    <t>Min S</t>
  </si>
  <si>
    <t>Mishima E</t>
  </si>
  <si>
    <t>Miskovic A</t>
  </si>
  <si>
    <t>Miwa H</t>
  </si>
  <si>
    <t>Mobasseri S</t>
  </si>
  <si>
    <t>Moen MD</t>
  </si>
  <si>
    <t>Moggia E</t>
  </si>
  <si>
    <t>PMC6478067</t>
  </si>
  <si>
    <t>Moisan A</t>
  </si>
  <si>
    <t>Molaei S</t>
  </si>
  <si>
    <t>PMC7522676</t>
  </si>
  <si>
    <t>Mombo-Ngoma G</t>
  </si>
  <si>
    <t>PMC5982710</t>
  </si>
  <si>
    <t>assesses tolerability of malaria medication</t>
  </si>
  <si>
    <t>Montané E</t>
  </si>
  <si>
    <t>PMC5300153</t>
  </si>
  <si>
    <t>Montastruc F</t>
  </si>
  <si>
    <t>PMC7381904</t>
  </si>
  <si>
    <t>Montgomery SA</t>
  </si>
  <si>
    <t>Montserrat JM</t>
  </si>
  <si>
    <t>Moore EE</t>
  </si>
  <si>
    <t>PMC4443855</t>
  </si>
  <si>
    <t>Moore JP</t>
  </si>
  <si>
    <t>efficacy discussion (not a challenge trial)</t>
  </si>
  <si>
    <t>Moreau C</t>
  </si>
  <si>
    <t>Morello E</t>
  </si>
  <si>
    <t>Morens DM</t>
  </si>
  <si>
    <t>PMC6187799</t>
  </si>
  <si>
    <t>Moretti A</t>
  </si>
  <si>
    <t>Morice AH</t>
  </si>
  <si>
    <t>Morrison LJ</t>
  </si>
  <si>
    <t>PMC2788534</t>
  </si>
  <si>
    <t>Morriss R</t>
  </si>
  <si>
    <t>PMC6343350</t>
  </si>
  <si>
    <t>Morton C</t>
  </si>
  <si>
    <t>Moses JW</t>
  </si>
  <si>
    <t>Mosimann UP</t>
  </si>
  <si>
    <t>Moskowitz A</t>
  </si>
  <si>
    <t>PMC7346341</t>
  </si>
  <si>
    <t>Moss RB</t>
  </si>
  <si>
    <t>Msyamboza KP</t>
  </si>
  <si>
    <t>PMC4907756</t>
  </si>
  <si>
    <t>assesses efficacy of vaccination campaign</t>
  </si>
  <si>
    <t>Muckle W</t>
  </si>
  <si>
    <t>Murthy JM</t>
  </si>
  <si>
    <t>recommendation (not a challenge trial)</t>
  </si>
  <si>
    <t>Murungi LM</t>
  </si>
  <si>
    <t>PMC4807498</t>
  </si>
  <si>
    <t>prospective study (not a challenge trial)</t>
  </si>
  <si>
    <t>Musoke N</t>
  </si>
  <si>
    <t>PMC7444469</t>
  </si>
  <si>
    <t>retrospective review of anticoagulation medications in COVID 19</t>
  </si>
  <si>
    <t>Musso G</t>
  </si>
  <si>
    <t>PMC6454301</t>
  </si>
  <si>
    <t>Mütze T</t>
  </si>
  <si>
    <t>PMC7833551</t>
  </si>
  <si>
    <t>provides recommendations for COVID clinical trials (not a challenge trial)</t>
  </si>
  <si>
    <t>Myles IA</t>
  </si>
  <si>
    <t>PMC6012572</t>
  </si>
  <si>
    <t>Nadel S</t>
  </si>
  <si>
    <t>assesses tolerability of sepsis treatment in children</t>
  </si>
  <si>
    <t>Nagendran M</t>
  </si>
  <si>
    <t>Naidoo K</t>
  </si>
  <si>
    <t>PMC3616247</t>
  </si>
  <si>
    <t>Najafzadeh M</t>
  </si>
  <si>
    <t>PMC5684279</t>
  </si>
  <si>
    <t>assesses novel test for depression and anxiety</t>
  </si>
  <si>
    <t>Najnin N</t>
  </si>
  <si>
    <t>PMC5837384</t>
  </si>
  <si>
    <t>Nalesso F</t>
  </si>
  <si>
    <t>Nannini LJ</t>
  </si>
  <si>
    <t>PMC4170910</t>
  </si>
  <si>
    <t>Nashan B</t>
  </si>
  <si>
    <t>PMC4384314</t>
  </si>
  <si>
    <t>study protocol for randomized controlled trial (not a challenge trial)</t>
  </si>
  <si>
    <t>Nativ O</t>
  </si>
  <si>
    <t>PMC3519604</t>
  </si>
  <si>
    <t>Natsume O</t>
  </si>
  <si>
    <t>Navarra SV</t>
  </si>
  <si>
    <t>Navarro G</t>
  </si>
  <si>
    <t>Nelson JC</t>
  </si>
  <si>
    <t>data discussion (not a challenge trial)</t>
  </si>
  <si>
    <t>Nelson RL</t>
  </si>
  <si>
    <t>PMC6464548</t>
  </si>
  <si>
    <t>Ng KP</t>
  </si>
  <si>
    <t>PMC4769397</t>
  </si>
  <si>
    <t>Ng SM</t>
  </si>
  <si>
    <t>PMC7087702</t>
  </si>
  <si>
    <t>preliminary results from model (not a challenge trial)</t>
  </si>
  <si>
    <t>Nguyen HM</t>
  </si>
  <si>
    <t>Ni J</t>
  </si>
  <si>
    <t>study protocol (not a challenge trial)</t>
  </si>
  <si>
    <t>Nichol A</t>
  </si>
  <si>
    <t>maybe</t>
  </si>
  <si>
    <t>live attenuated vaccine</t>
  </si>
  <si>
    <t>Nicholson KG</t>
  </si>
  <si>
    <t>Niederman MS</t>
  </si>
  <si>
    <t>Nielsen RV</t>
  </si>
  <si>
    <t>Nilsson A</t>
  </si>
  <si>
    <t>PMC4065313</t>
  </si>
  <si>
    <t>Nilsson J</t>
  </si>
  <si>
    <t>Nixon J</t>
  </si>
  <si>
    <t>PMC6790649</t>
  </si>
  <si>
    <t>Noble JH Jr</t>
  </si>
  <si>
    <t>Nogami K</t>
  </si>
  <si>
    <t>Nollett C</t>
  </si>
  <si>
    <t>PMC5870753</t>
  </si>
  <si>
    <t>Nommiste B</t>
  </si>
  <si>
    <t>Novoa M</t>
  </si>
  <si>
    <t>PMC6513200</t>
  </si>
  <si>
    <t>Nozawa A</t>
  </si>
  <si>
    <t>Ntontsi P</t>
  </si>
  <si>
    <t>Nucera E</t>
  </si>
  <si>
    <t>Nurmatov U</t>
  </si>
  <si>
    <t>Nüßlein HG</t>
  </si>
  <si>
    <t>PMC3898027</t>
  </si>
  <si>
    <t>O'B Hourihane J</t>
  </si>
  <si>
    <t>O'Brien PE</t>
  </si>
  <si>
    <t>O'Connor CM</t>
  </si>
  <si>
    <t>O'Donnell JK</t>
  </si>
  <si>
    <t>PMC4685465</t>
  </si>
  <si>
    <t>Oba Y</t>
  </si>
  <si>
    <t>PMC6517098</t>
  </si>
  <si>
    <t>Obarcanin E</t>
  </si>
  <si>
    <t>Oberemok VV</t>
  </si>
  <si>
    <t>PMC7190393</t>
  </si>
  <si>
    <t>Odakowska-Jedynak U</t>
  </si>
  <si>
    <t>reviews results from clinical trials (not a challenge trial)</t>
  </si>
  <si>
    <t>Ogutu B</t>
  </si>
  <si>
    <t>PMC4302156</t>
  </si>
  <si>
    <t>Oh CC</t>
  </si>
  <si>
    <t>Ojserkis R</t>
  </si>
  <si>
    <t>Olliaro PL</t>
  </si>
  <si>
    <t>PMC7360067</t>
  </si>
  <si>
    <t>Olveda RM</t>
  </si>
  <si>
    <t>PMC4752899</t>
  </si>
  <si>
    <t>Orenstein R</t>
  </si>
  <si>
    <t>Oualla K</t>
  </si>
  <si>
    <t>PMC7791441</t>
  </si>
  <si>
    <t>Ouédraogo A</t>
  </si>
  <si>
    <t>Ozen M</t>
  </si>
  <si>
    <t>Pacak CA</t>
  </si>
  <si>
    <t>PMC3182350</t>
  </si>
  <si>
    <t>Pack AI</t>
  </si>
  <si>
    <t>PALISADE Group of Clinical Investigators</t>
  </si>
  <si>
    <t>Pallanti S</t>
  </si>
  <si>
    <t>Pan Q</t>
  </si>
  <si>
    <t>PMC7097508</t>
  </si>
  <si>
    <t>Pandolfino JE</t>
  </si>
  <si>
    <t>Panteliadou M</t>
  </si>
  <si>
    <t>Papin JF</t>
  </si>
  <si>
    <t>PMC3169153</t>
  </si>
  <si>
    <t>Parati G</t>
  </si>
  <si>
    <t>Parikh K</t>
  </si>
  <si>
    <t>Pariser DM</t>
  </si>
  <si>
    <t>Park KY</t>
  </si>
  <si>
    <t>Parker S</t>
  </si>
  <si>
    <t>Parkman HP</t>
  </si>
  <si>
    <t>PMC4099968</t>
  </si>
  <si>
    <t>Pasnoor M</t>
  </si>
  <si>
    <t>PMC4932232</t>
  </si>
  <si>
    <t>Passaro A</t>
  </si>
  <si>
    <t>PMC7978268</t>
  </si>
  <si>
    <t>Paster RZ</t>
  </si>
  <si>
    <t>(lisinopril challenge)</t>
  </si>
  <si>
    <t>Pathan SA</t>
  </si>
  <si>
    <t>Paul M</t>
  </si>
  <si>
    <t>PMC381218</t>
  </si>
  <si>
    <t>PMC156012</t>
  </si>
  <si>
    <t>Penazzato M</t>
  </si>
  <si>
    <t>Peng AW</t>
  </si>
  <si>
    <t>PMC6420359</t>
  </si>
  <si>
    <t>Pérez-Olmeda M</t>
  </si>
  <si>
    <t>Pérez-Rangel I</t>
  </si>
  <si>
    <t>Peteranderl C</t>
  </si>
  <si>
    <t>PMC7174870</t>
  </si>
  <si>
    <t>Petersen JA</t>
  </si>
  <si>
    <t>Peterson DE</t>
  </si>
  <si>
    <t>Pfirrmann M</t>
  </si>
  <si>
    <t>analysis guidelines (not a challenge trial)</t>
  </si>
  <si>
    <t>Phelps A</t>
  </si>
  <si>
    <t>models novel smallpox vaccine in mice (animal study)</t>
  </si>
  <si>
    <t>Philandrianos C</t>
  </si>
  <si>
    <t>PMC5764003</t>
  </si>
  <si>
    <t>Piatti G</t>
  </si>
  <si>
    <t>Pichler G</t>
  </si>
  <si>
    <t>Piona C</t>
  </si>
  <si>
    <t>Pirie RS</t>
  </si>
  <si>
    <t>Plosker GL</t>
  </si>
  <si>
    <t>Plow EB</t>
  </si>
  <si>
    <t>PMC3852558</t>
  </si>
  <si>
    <t>Plummer S</t>
  </si>
  <si>
    <t>PMC4809608</t>
  </si>
  <si>
    <t>Pondo T</t>
  </si>
  <si>
    <t>PMC5761064</t>
  </si>
  <si>
    <t>Poole P</t>
  </si>
  <si>
    <t>PMC6527426</t>
  </si>
  <si>
    <t>PMC5874036</t>
  </si>
  <si>
    <t>Porter KA</t>
  </si>
  <si>
    <t>PMC3264273</t>
  </si>
  <si>
    <t>Poudel N</t>
  </si>
  <si>
    <t>Povey M</t>
  </si>
  <si>
    <t>Prasad K</t>
  </si>
  <si>
    <t>PMC4916936</t>
  </si>
  <si>
    <t>Praz F</t>
  </si>
  <si>
    <t>observational study, but not a challenge trial</t>
  </si>
  <si>
    <t>Purington N</t>
  </si>
  <si>
    <t>PMC6160556</t>
  </si>
  <si>
    <t>retrospective review</t>
  </si>
  <si>
    <t>Pyatak EA</t>
  </si>
  <si>
    <t>PMC5253301</t>
  </si>
  <si>
    <t>assesses effects of lapse of care in type 1 diabetes</t>
  </si>
  <si>
    <t>Qi WX</t>
  </si>
  <si>
    <t>PMC4236487</t>
  </si>
  <si>
    <t>Qureshi AI</t>
  </si>
  <si>
    <t>Radunz S</t>
  </si>
  <si>
    <t>Ragazzoni A</t>
  </si>
  <si>
    <t>Ramaekers BLT</t>
  </si>
  <si>
    <t>PMC6021474</t>
  </si>
  <si>
    <t>Ramaswamy V</t>
  </si>
  <si>
    <t>Ramsay RE</t>
  </si>
  <si>
    <t>Rana F</t>
  </si>
  <si>
    <t>Rans TS</t>
  </si>
  <si>
    <t>Ravaud A</t>
  </si>
  <si>
    <t>PMC3868201</t>
  </si>
  <si>
    <t>Reddy S</t>
  </si>
  <si>
    <t>Redman MG</t>
  </si>
  <si>
    <t>Reeve BB</t>
  </si>
  <si>
    <t>PMC5301979</t>
  </si>
  <si>
    <t>PMC5374011</t>
  </si>
  <si>
    <t>multicenter study (not a challenge trial)</t>
  </si>
  <si>
    <t>Rehan HS</t>
  </si>
  <si>
    <t>observational study of adverse drug reactions (not a challenge trial)</t>
  </si>
  <si>
    <t>Reid SR</t>
  </si>
  <si>
    <t>Reier-Nilsen T</t>
  </si>
  <si>
    <t>Reinhart K</t>
  </si>
  <si>
    <t>Reinstadler SJ</t>
  </si>
  <si>
    <t>Renjun G</t>
  </si>
  <si>
    <t>PMC7249909</t>
  </si>
  <si>
    <t>Rennard SI</t>
  </si>
  <si>
    <t>symposium discussion (not a challenge trial)</t>
  </si>
  <si>
    <t>Rennie P</t>
  </si>
  <si>
    <t>PMC1885256</t>
  </si>
  <si>
    <t>Resnick B</t>
  </si>
  <si>
    <t>PMC4863239</t>
  </si>
  <si>
    <t>Reynolds CF 3rd</t>
  </si>
  <si>
    <t>Ricci EB</t>
  </si>
  <si>
    <t>Richter S</t>
  </si>
  <si>
    <t>Riddle CC</t>
  </si>
  <si>
    <t>Rigopoulos D</t>
  </si>
  <si>
    <t>Riley A</t>
  </si>
  <si>
    <t>Riley W</t>
  </si>
  <si>
    <t>data collection and analysis (not a challenge trial)</t>
  </si>
  <si>
    <t>Rimmer E</t>
  </si>
  <si>
    <t>assesses efficacy of novel sepsis therapy</t>
  </si>
  <si>
    <t>Rimmer EK</t>
  </si>
  <si>
    <t>Robinson JA</t>
  </si>
  <si>
    <t>PMC5821271</t>
  </si>
  <si>
    <t>Rocamora V</t>
  </si>
  <si>
    <t>Rogawski ET</t>
  </si>
  <si>
    <t>PMC5853827</t>
  </si>
  <si>
    <t>Rogers ZR</t>
  </si>
  <si>
    <t>Rombopoulos G</t>
  </si>
  <si>
    <t>Rooks DS</t>
  </si>
  <si>
    <t>PMC5659065</t>
  </si>
  <si>
    <t>Ropero-Álvarez AM</t>
  </si>
  <si>
    <t>PMC3141598</t>
  </si>
  <si>
    <t>E.coli autovaccine (likely not a challenge trial, but should review and discuss)</t>
  </si>
  <si>
    <t>Rosenthal RR</t>
  </si>
  <si>
    <t>Röth A</t>
  </si>
  <si>
    <t>PMC7082616</t>
  </si>
  <si>
    <t>Roux M</t>
  </si>
  <si>
    <t>RTS,S Clinical Trials Partnership</t>
  </si>
  <si>
    <t>assesses efficacy of malaria vaccine</t>
  </si>
  <si>
    <t>Ruscitti P</t>
  </si>
  <si>
    <t>PMC6742232</t>
  </si>
  <si>
    <t>Russo AT</t>
  </si>
  <si>
    <t>PMC6151088</t>
  </si>
  <si>
    <t>Rzany B</t>
  </si>
  <si>
    <t>Saadatian-Elahi M</t>
  </si>
  <si>
    <t>Sackner-Bernstein JD</t>
  </si>
  <si>
    <t>Saeed O</t>
  </si>
  <si>
    <t>Saha SP</t>
  </si>
  <si>
    <t>Sailler L</t>
  </si>
  <si>
    <t>Sajatovic M</t>
  </si>
  <si>
    <t>Salih MA</t>
  </si>
  <si>
    <t>Salim A</t>
  </si>
  <si>
    <t>Sallach JA</t>
  </si>
  <si>
    <t xml:space="preserve">assesses relationship between right atrial volume and chronic systolic heart failure </t>
  </si>
  <si>
    <t>Salman S</t>
  </si>
  <si>
    <t>PMC4432140</t>
  </si>
  <si>
    <t>assesses novel malaria treatment</t>
  </si>
  <si>
    <t>Samandari T</t>
  </si>
  <si>
    <t>Sami NA</t>
  </si>
  <si>
    <t>Sanabria C</t>
  </si>
  <si>
    <t>Sandborn WJ</t>
  </si>
  <si>
    <t>Sandhu VK</t>
  </si>
  <si>
    <t>Santagostino E</t>
  </si>
  <si>
    <t>PMC6850056</t>
  </si>
  <si>
    <t>Santos C</t>
  </si>
  <si>
    <t>Sanz Herrero F</t>
  </si>
  <si>
    <t>Sarfo FS</t>
  </si>
  <si>
    <t>Sattar S</t>
  </si>
  <si>
    <t>PMC3314008</t>
  </si>
  <si>
    <t>Sauer S</t>
  </si>
  <si>
    <t>PMC7183692</t>
  </si>
  <si>
    <t>Scaggs Huang F</t>
  </si>
  <si>
    <t>PMC7899675</t>
  </si>
  <si>
    <t>assesses safety of novel vaccine</t>
  </si>
  <si>
    <t>Scardi S</t>
  </si>
  <si>
    <t>Scarpa R</t>
  </si>
  <si>
    <t>PMC3145085</t>
  </si>
  <si>
    <t>Schachtel B</t>
  </si>
  <si>
    <t>PMC4227086</t>
  </si>
  <si>
    <t>Schachtel BP</t>
  </si>
  <si>
    <t>assesses efficacy of novel pain management strategy</t>
  </si>
  <si>
    <t>Schapira AH</t>
  </si>
  <si>
    <t>Scharrer I</t>
  </si>
  <si>
    <t>Scherger S</t>
  </si>
  <si>
    <t>PMC7320867</t>
  </si>
  <si>
    <t>discussion of COVID-19 treatment (not a challenge trial)</t>
  </si>
  <si>
    <t>Schistad EI</t>
  </si>
  <si>
    <t>Schmidt BM</t>
  </si>
  <si>
    <t>PMC7203601</t>
  </si>
  <si>
    <t>Schmidt KJ</t>
  </si>
  <si>
    <t>Schmitz T</t>
  </si>
  <si>
    <t>PMC6373166</t>
  </si>
  <si>
    <t>Schoub BD</t>
  </si>
  <si>
    <t>meeting discussion (not a challenge trial)</t>
  </si>
  <si>
    <t>Schreckinger M</t>
  </si>
  <si>
    <t>Schrijver EJ</t>
  </si>
  <si>
    <t>PMC4161272</t>
  </si>
  <si>
    <t>Schröder O</t>
  </si>
  <si>
    <t>Schulze J</t>
  </si>
  <si>
    <t>PMC3445853</t>
  </si>
  <si>
    <t>Allergen challenge (assuming this will be excluded, but flagged just in case)</t>
  </si>
  <si>
    <t>Schuster DP</t>
  </si>
  <si>
    <t>Schwameis M</t>
  </si>
  <si>
    <t>Schwartz L</t>
  </si>
  <si>
    <t>Scott P</t>
  </si>
  <si>
    <t>Screaton G</t>
  </si>
  <si>
    <t>Sehatzadeh S</t>
  </si>
  <si>
    <t>PMC3384373</t>
  </si>
  <si>
    <t>Seitz DP</t>
  </si>
  <si>
    <t>Serebruany V</t>
  </si>
  <si>
    <t>secondary analysis (not a challenge trial)</t>
  </si>
  <si>
    <t>Serebruany VL</t>
  </si>
  <si>
    <t>comment (not a challenge trial)</t>
  </si>
  <si>
    <t>Serhal L</t>
  </si>
  <si>
    <t>Severi S</t>
  </si>
  <si>
    <t>Sevilla-Sánchez D</t>
  </si>
  <si>
    <t>challenges for pharmacies during COVID pandemic (not a challenge trial)</t>
  </si>
  <si>
    <t>Shahid I</t>
  </si>
  <si>
    <t>Shao S</t>
  </si>
  <si>
    <t>PMC7836759</t>
  </si>
  <si>
    <t>Shapiro M</t>
  </si>
  <si>
    <t>PMC2673205</t>
  </si>
  <si>
    <t>"lessons learned" (not a challenge trial)</t>
  </si>
  <si>
    <t>Sharma V</t>
  </si>
  <si>
    <t>PMC7714149</t>
  </si>
  <si>
    <t>survey results (not a challenge trial)</t>
  </si>
  <si>
    <t>Shasthry SM</t>
  </si>
  <si>
    <t>Shaw PA</t>
  </si>
  <si>
    <t>Sheaves B</t>
  </si>
  <si>
    <t>PMC6088775</t>
  </si>
  <si>
    <t>Shephard A</t>
  </si>
  <si>
    <t>Sherrill JT</t>
  </si>
  <si>
    <t>Shet A</t>
  </si>
  <si>
    <t>PMC3948746</t>
  </si>
  <si>
    <t>prospective cohort analysis (not a challenge trial)</t>
  </si>
  <si>
    <t>Sheth SH</t>
  </si>
  <si>
    <t>PMC2906460</t>
  </si>
  <si>
    <t>Shey M</t>
  </si>
  <si>
    <t>Shi L</t>
  </si>
  <si>
    <t>PMC7873662</t>
  </si>
  <si>
    <t>Shi M</t>
  </si>
  <si>
    <t>PMC3659658</t>
  </si>
  <si>
    <t>Shiu J</t>
  </si>
  <si>
    <t>Shlomovitz E</t>
  </si>
  <si>
    <t>PMC1780095</t>
  </si>
  <si>
    <t>Shorr AF</t>
  </si>
  <si>
    <t>Shumaker RC</t>
  </si>
  <si>
    <t>Siemens W</t>
  </si>
  <si>
    <t>Signorovitch JE</t>
  </si>
  <si>
    <t>proposes novel method for testing psoriasis therapies (file under assesses)</t>
  </si>
  <si>
    <t>Sihra BS</t>
  </si>
  <si>
    <t>PMC1758561</t>
  </si>
  <si>
    <t>Silber JH</t>
  </si>
  <si>
    <t>PMC3623296</t>
  </si>
  <si>
    <t>study of medical and financial risks associated with surgery (not a challenge trial)</t>
  </si>
  <si>
    <t>Silva G</t>
  </si>
  <si>
    <t>PMC3267165</t>
  </si>
  <si>
    <t>Silva LAD</t>
  </si>
  <si>
    <t>PMC6748345</t>
  </si>
  <si>
    <t>systematic review of post-prostatectomy urinary incontinence</t>
  </si>
  <si>
    <t>Silverberg SJ</t>
  </si>
  <si>
    <t>Silverstein BE</t>
  </si>
  <si>
    <t>Sim IW</t>
  </si>
  <si>
    <t>Simon A</t>
  </si>
  <si>
    <t>Simpson CR</t>
  </si>
  <si>
    <t>PMC7311023</t>
  </si>
  <si>
    <t>decribes protocol for study (not a challenge trial)</t>
  </si>
  <si>
    <t>Simpson RW</t>
  </si>
  <si>
    <t>Singh B</t>
  </si>
  <si>
    <t>Sites BD</t>
  </si>
  <si>
    <t>Slankamenac K</t>
  </si>
  <si>
    <t>Smith AD</t>
  </si>
  <si>
    <t>Smith TR</t>
  </si>
  <si>
    <t>Smitherman TA</t>
  </si>
  <si>
    <t>Smolensky MH</t>
  </si>
  <si>
    <t>Sodhi S</t>
  </si>
  <si>
    <t>Song JC</t>
  </si>
  <si>
    <t>PMC5815794</t>
  </si>
  <si>
    <t>Søreide K</t>
  </si>
  <si>
    <t>PMC4320594</t>
  </si>
  <si>
    <t>Soriano V</t>
  </si>
  <si>
    <t>discussion of hepatitis treatments (not a challenge trial)</t>
  </si>
  <si>
    <t>Sorli C</t>
  </si>
  <si>
    <t>Sparrow E</t>
  </si>
  <si>
    <t>PMC5357764</t>
  </si>
  <si>
    <t>Spivak JL</t>
  </si>
  <si>
    <t>Sposito AC</t>
  </si>
  <si>
    <t>PMC6292070</t>
  </si>
  <si>
    <t>Staab D</t>
  </si>
  <si>
    <t>Stabile E</t>
  </si>
  <si>
    <t>Starr PA</t>
  </si>
  <si>
    <t>Stebbing J</t>
  </si>
  <si>
    <t>PMC7775747</t>
  </si>
  <si>
    <t>assesses novel treatment for COVID</t>
  </si>
  <si>
    <t>Stehle S</t>
  </si>
  <si>
    <t>Stemler J</t>
  </si>
  <si>
    <t>PMC7316674</t>
  </si>
  <si>
    <t>Stern A</t>
  </si>
  <si>
    <t>PMC6486210</t>
  </si>
  <si>
    <t>PMC6353178</t>
  </si>
  <si>
    <t>Stickney DR</t>
  </si>
  <si>
    <t>Strand V</t>
  </si>
  <si>
    <t>PMC4704538</t>
  </si>
  <si>
    <t>Strohmeier Y</t>
  </si>
  <si>
    <t>Sturm S</t>
  </si>
  <si>
    <t>PMC5809351</t>
  </si>
  <si>
    <t>Subramaniam K</t>
  </si>
  <si>
    <t>data analysis and review (not a challenge trial)</t>
  </si>
  <si>
    <t>Subramanian GM</t>
  </si>
  <si>
    <t>Sugarman J</t>
  </si>
  <si>
    <t>PMC3972281</t>
  </si>
  <si>
    <t>assesses ethical issues in studies involving people who inject drugs</t>
  </si>
  <si>
    <t>Sun R</t>
  </si>
  <si>
    <t>Sur D</t>
  </si>
  <si>
    <t>Suthar AB</t>
  </si>
  <si>
    <t>Sutton TC</t>
  </si>
  <si>
    <t>PMC5709608</t>
  </si>
  <si>
    <t>Svetitsky S</t>
  </si>
  <si>
    <t>PMC2764163</t>
  </si>
  <si>
    <t>Swanson J</t>
  </si>
  <si>
    <t>Tagarro A</t>
  </si>
  <si>
    <t>Tait AR</t>
  </si>
  <si>
    <t>Takahashi R</t>
  </si>
  <si>
    <t>PMC7656559</t>
  </si>
  <si>
    <t>Takaoka Y</t>
  </si>
  <si>
    <t>Takeuchi H</t>
  </si>
  <si>
    <t>Tam CM</t>
  </si>
  <si>
    <t>Tamborlane WV</t>
  </si>
  <si>
    <t>Tan DHS</t>
  </si>
  <si>
    <t>PMC7982877</t>
  </si>
  <si>
    <t>Tanigawa J</t>
  </si>
  <si>
    <t>Tanjasiri SP</t>
  </si>
  <si>
    <t>PMC5142847</t>
  </si>
  <si>
    <t>assesses method of increasing rates of Pap testing among pacific islander women</t>
  </si>
  <si>
    <t>Tanmoy AM</t>
  </si>
  <si>
    <t>PMC6234861</t>
  </si>
  <si>
    <t>field study (not a challenge trial)</t>
  </si>
  <si>
    <t>Tao X</t>
  </si>
  <si>
    <t>Tashima T</t>
  </si>
  <si>
    <t>Tate SR</t>
  </si>
  <si>
    <t>PMC3821388</t>
  </si>
  <si>
    <t>assesses role of substance use in depression treatment</t>
  </si>
  <si>
    <t>Tauschmann M</t>
  </si>
  <si>
    <t>PMC6182127</t>
  </si>
  <si>
    <t>Taylor A</t>
  </si>
  <si>
    <t>PMC4810561</t>
  </si>
  <si>
    <t>assesses effect of gene deletion on ross river virus</t>
  </si>
  <si>
    <t>Taylor AW</t>
  </si>
  <si>
    <t>PMC3606726</t>
  </si>
  <si>
    <t>Taylor SC</t>
  </si>
  <si>
    <t>te Vruchte D</t>
  </si>
  <si>
    <t>PMC3934186</t>
  </si>
  <si>
    <t>evaluated commercial tool (not a challenge trial)</t>
  </si>
  <si>
    <t>TEMPRANO ANRS 12136 Study Group</t>
  </si>
  <si>
    <t>Tenforde MW</t>
  </si>
  <si>
    <t>PMC6513250</t>
  </si>
  <si>
    <t>Tessarek J</t>
  </si>
  <si>
    <t>Thibodeaux BA</t>
  </si>
  <si>
    <t>PMC3331901</t>
  </si>
  <si>
    <t>assesses novel yellow fever therapy in mice</t>
  </si>
  <si>
    <t>Thiboutot D</t>
  </si>
  <si>
    <t>Thompson BW</t>
  </si>
  <si>
    <t>PMC2795081</t>
  </si>
  <si>
    <t>Thompson GR</t>
  </si>
  <si>
    <t>Thompson MA</t>
  </si>
  <si>
    <t>Tiberi S</t>
  </si>
  <si>
    <t>PMC6733754</t>
  </si>
  <si>
    <t>Tie HT</t>
  </si>
  <si>
    <t>Timsit JF</t>
  </si>
  <si>
    <t>PMC5487537</t>
  </si>
  <si>
    <t>review of practices</t>
  </si>
  <si>
    <t>Todd MM</t>
  </si>
  <si>
    <t>Tong S</t>
  </si>
  <si>
    <t>Topaz O</t>
  </si>
  <si>
    <t>Toth PP</t>
  </si>
  <si>
    <t>reports results of a clinical trial (not a challenge trial)</t>
  </si>
  <si>
    <t>Touati N</t>
  </si>
  <si>
    <t>Tran KT</t>
  </si>
  <si>
    <t>Trigo P</t>
  </si>
  <si>
    <t>PMC3267401</t>
  </si>
  <si>
    <t>Trinchet JC</t>
  </si>
  <si>
    <t>Tsai MY</t>
  </si>
  <si>
    <t>PMC4800128</t>
  </si>
  <si>
    <t>study protocol for clinical trial (not a challenge trial)</t>
  </si>
  <si>
    <t>Tseng WH</t>
  </si>
  <si>
    <t>Tulkens PM</t>
  </si>
  <si>
    <t>PMC3585838</t>
  </si>
  <si>
    <t>assesses efficacy of common antibiotic</t>
  </si>
  <si>
    <t>Tulman DB</t>
  </si>
  <si>
    <t>PMC3727280</t>
  </si>
  <si>
    <t>Turakhia M</t>
  </si>
  <si>
    <t>Turbí C</t>
  </si>
  <si>
    <t>Turrini F</t>
  </si>
  <si>
    <t>PMC2805643</t>
  </si>
  <si>
    <t>Tye-Din JA</t>
  </si>
  <si>
    <t>PMC7690153</t>
  </si>
  <si>
    <t>assesses coeliac immune reaction to gluten</t>
  </si>
  <si>
    <t>Tyring SK</t>
  </si>
  <si>
    <t>Uckun FM</t>
  </si>
  <si>
    <t>Udell JA</t>
  </si>
  <si>
    <t>Udy AA</t>
  </si>
  <si>
    <t>Umeda Y</t>
  </si>
  <si>
    <t>Usmani ZA</t>
  </si>
  <si>
    <t>PMC6464539</t>
  </si>
  <si>
    <t>Vacher-Coponat H</t>
  </si>
  <si>
    <t>Valentino LA</t>
  </si>
  <si>
    <t>Väliaho J</t>
  </si>
  <si>
    <t>Valipour A</t>
  </si>
  <si>
    <t>PMC7389258</t>
  </si>
  <si>
    <t>van der Kolk NM</t>
  </si>
  <si>
    <t>van der Wouden CH</t>
  </si>
  <si>
    <t>PMC7331826</t>
  </si>
  <si>
    <t>study design considerations (not a challenge trial)</t>
  </si>
  <si>
    <t>van Gelder T</t>
  </si>
  <si>
    <t>van Westrhenen N</t>
  </si>
  <si>
    <t>PMC6374007</t>
  </si>
  <si>
    <t>evaluates novel therapy for traumatized children</t>
  </si>
  <si>
    <t>van Winden MEC</t>
  </si>
  <si>
    <t>Varenhorst C</t>
  </si>
  <si>
    <t>Vasey B</t>
  </si>
  <si>
    <t>PMC7380649</t>
  </si>
  <si>
    <t>Vaughn PR</t>
  </si>
  <si>
    <t>Vavuranakis M</t>
  </si>
  <si>
    <t>Vaz Fragoso CA</t>
  </si>
  <si>
    <t>PMC6519718</t>
  </si>
  <si>
    <t>Velázquez RF</t>
  </si>
  <si>
    <t>PMC5237165</t>
  </si>
  <si>
    <t>Vena GA</t>
  </si>
  <si>
    <t>Venekamp RP</t>
  </si>
  <si>
    <t>PMC6494623</t>
  </si>
  <si>
    <t>Verhagen HJ</t>
  </si>
  <si>
    <t>Versiani M</t>
  </si>
  <si>
    <t>Vianello A</t>
  </si>
  <si>
    <t>multicenter study (not a challenge trial)]</t>
  </si>
  <si>
    <t>Villamor E</t>
  </si>
  <si>
    <t>Villar JC</t>
  </si>
  <si>
    <t>PMC7154579</t>
  </si>
  <si>
    <t>Vincenzi B</t>
  </si>
  <si>
    <t>PMC7045265</t>
  </si>
  <si>
    <t>Visco AG</t>
  </si>
  <si>
    <t>PMC4684726</t>
  </si>
  <si>
    <t>Vittrup AS</t>
  </si>
  <si>
    <t>Vogelmeier C</t>
  </si>
  <si>
    <t>Volbeda M</t>
  </si>
  <si>
    <t>PMC4483251</t>
  </si>
  <si>
    <t>Volpe D</t>
  </si>
  <si>
    <t>PMC3685562</t>
  </si>
  <si>
    <t>Vonlanthen R</t>
  </si>
  <si>
    <t>Vossen ARJV</t>
  </si>
  <si>
    <t>Voysey M</t>
  </si>
  <si>
    <t>PMC7723445</t>
  </si>
  <si>
    <t>Vranken JH</t>
  </si>
  <si>
    <t>article on neuropathic pain (not a challenge trial)</t>
  </si>
  <si>
    <t>Vujanovic AA</t>
  </si>
  <si>
    <t>PMC2981012</t>
  </si>
  <si>
    <t>PMC6382772</t>
  </si>
  <si>
    <t>Walker AS</t>
  </si>
  <si>
    <t>PMC2858802</t>
  </si>
  <si>
    <t>Walker J</t>
  </si>
  <si>
    <t>Walters GD</t>
  </si>
  <si>
    <t>PMC6956643</t>
  </si>
  <si>
    <t>Wan YD</t>
  </si>
  <si>
    <t>Wang AY</t>
  </si>
  <si>
    <t>Wang C</t>
  </si>
  <si>
    <t>PMC4213495</t>
  </si>
  <si>
    <t>Wang H</t>
  </si>
  <si>
    <t>PMC5265990</t>
  </si>
  <si>
    <t>Wang J</t>
  </si>
  <si>
    <t>method proposal (not a challenge trial)</t>
  </si>
  <si>
    <t>Wang S</t>
  </si>
  <si>
    <t>PMC4986962</t>
  </si>
  <si>
    <t>Wang WT</t>
  </si>
  <si>
    <t>PMC4645663</t>
  </si>
  <si>
    <t>clinical study, but not a challenge trial</t>
  </si>
  <si>
    <t>Wang Y</t>
  </si>
  <si>
    <t>PMC7190303</t>
  </si>
  <si>
    <t>PMC5100943</t>
  </si>
  <si>
    <t>challenge trial, but not with humans</t>
  </si>
  <si>
    <t>PMC6486092</t>
  </si>
  <si>
    <t>Wang Z</t>
  </si>
  <si>
    <t>PMC6429909</t>
  </si>
  <si>
    <t>Warttig S</t>
  </si>
  <si>
    <t>PMC6353245</t>
  </si>
  <si>
    <t>Watkins PB</t>
  </si>
  <si>
    <t>Weber MA</t>
  </si>
  <si>
    <t>Wei D</t>
  </si>
  <si>
    <t>PMC6513393</t>
  </si>
  <si>
    <t>Wei XX</t>
  </si>
  <si>
    <t>PMC6067936</t>
  </si>
  <si>
    <t>Weischendorff S</t>
  </si>
  <si>
    <t>Weitz I</t>
  </si>
  <si>
    <t>Welch MJ</t>
  </si>
  <si>
    <t>Wenzel SE</t>
  </si>
  <si>
    <t>(allergen/asthma challenge)</t>
  </si>
  <si>
    <t>Wherrett DK</t>
  </si>
  <si>
    <t>PMC3580128</t>
  </si>
  <si>
    <t>Wigal SB</t>
  </si>
  <si>
    <t>PMC5651935</t>
  </si>
  <si>
    <t>Wigal T</t>
  </si>
  <si>
    <t>Wigley FM</t>
  </si>
  <si>
    <t>Wilding JPH</t>
  </si>
  <si>
    <t>Williams NP</t>
  </si>
  <si>
    <t>PMC6064093</t>
  </si>
  <si>
    <t>Wilson R</t>
  </si>
  <si>
    <t>PMC2104610</t>
  </si>
  <si>
    <t>Winearls CG</t>
  </si>
  <si>
    <t>Winner P</t>
  </si>
  <si>
    <t>Wohland T</t>
  </si>
  <si>
    <t>Wolahan SM</t>
  </si>
  <si>
    <t>Wolff N</t>
  </si>
  <si>
    <t>backward inhibition paradigm (not a challenge trial)</t>
  </si>
  <si>
    <t>Wollacott AM</t>
  </si>
  <si>
    <t>PMC4816807</t>
  </si>
  <si>
    <t>Wolz M</t>
  </si>
  <si>
    <t>Wong L</t>
  </si>
  <si>
    <t>Woodcock A</t>
  </si>
  <si>
    <t>Wooding DJ</t>
  </si>
  <si>
    <t>PMC7417293</t>
  </si>
  <si>
    <t>Woolacott N</t>
  </si>
  <si>
    <t>Writing Group for the CHECKLIST-ICU Investigators and the Brazilian Research in Intensive Care Network (BRICNet)</t>
  </si>
  <si>
    <t>Xeuatvongsa A</t>
  </si>
  <si>
    <t>PMC4414524</t>
  </si>
  <si>
    <t>"lessons learned" from pandemic vaccine deployment (file under evaluates)</t>
  </si>
  <si>
    <t>Xiangyong Y</t>
  </si>
  <si>
    <t>PMC4669368</t>
  </si>
  <si>
    <t>Xiao W</t>
  </si>
  <si>
    <t>PMC4717919</t>
  </si>
  <si>
    <t>Yang D</t>
  </si>
  <si>
    <t>PMC7173405</t>
  </si>
  <si>
    <t>Yang H</t>
  </si>
  <si>
    <t>PMC7489703</t>
  </si>
  <si>
    <t>Yang S</t>
  </si>
  <si>
    <t>Yang Y</t>
  </si>
  <si>
    <t>Yanju B</t>
  </si>
  <si>
    <t>Yao JC</t>
  </si>
  <si>
    <t>PMC4208619</t>
  </si>
  <si>
    <t>Ye S</t>
  </si>
  <si>
    <t>Yeo B</t>
  </si>
  <si>
    <t>Yeo LLL</t>
  </si>
  <si>
    <t>Yepes-Nuñez JJ</t>
  </si>
  <si>
    <t>PMC7004415</t>
  </si>
  <si>
    <t>Yiu ZZN</t>
  </si>
  <si>
    <t>PMC6916305</t>
  </si>
  <si>
    <t>Zaccherini G</t>
  </si>
  <si>
    <t>Zafack JG</t>
  </si>
  <si>
    <t>Zalewski NL</t>
  </si>
  <si>
    <t>PMC6440254</t>
  </si>
  <si>
    <t>descriptive analysis (not a challenge trial)</t>
  </si>
  <si>
    <t>Zaman K</t>
  </si>
  <si>
    <t>Zanchetti A</t>
  </si>
  <si>
    <t>Zanini B</t>
  </si>
  <si>
    <t>PMC3664588</t>
  </si>
  <si>
    <t>Zapata JC</t>
  </si>
  <si>
    <t>PMC3209703</t>
  </si>
  <si>
    <t>Zeller T</t>
  </si>
  <si>
    <t>PMC3936931</t>
  </si>
  <si>
    <t>PMC5610565</t>
  </si>
  <si>
    <t>Zeuzem S</t>
  </si>
  <si>
    <t>Zhanel GG</t>
  </si>
  <si>
    <t>Zhang C</t>
  </si>
  <si>
    <t>PMC6913053</t>
  </si>
  <si>
    <t>preliminary imaging study (not a challenge trial)</t>
  </si>
  <si>
    <t>Zhang J</t>
  </si>
  <si>
    <t>Zhang L</t>
  </si>
  <si>
    <t>PMC6485976</t>
  </si>
  <si>
    <t>Zhang S</t>
  </si>
  <si>
    <t>Zhang W</t>
  </si>
  <si>
    <t>PMC4962949</t>
  </si>
  <si>
    <t>PMC5469256</t>
  </si>
  <si>
    <t>novel model for CVA10 infection (file under assesses)</t>
  </si>
  <si>
    <t>Zhong H</t>
  </si>
  <si>
    <t>PMC7192121</t>
  </si>
  <si>
    <t>Zhou X</t>
  </si>
  <si>
    <t>PMC6558912</t>
  </si>
  <si>
    <t>Zhu GQ</t>
  </si>
  <si>
    <t>PMC4694950</t>
  </si>
  <si>
    <t>Zhu HH</t>
  </si>
  <si>
    <t>Zielinski CC</t>
  </si>
  <si>
    <t>Zinchuk A</t>
  </si>
  <si>
    <t>PMC7005379</t>
  </si>
  <si>
    <t>Zink RC</t>
  </si>
  <si>
    <t>Zwager CL</t>
  </si>
  <si>
    <t>PMC6868741</t>
  </si>
  <si>
    <t>Helsby NA</t>
  </si>
  <si>
    <t>PMC6983507</t>
  </si>
  <si>
    <t>Not a challenge trial</t>
  </si>
  <si>
    <t>Moik F</t>
  </si>
  <si>
    <t>PMC7003382</t>
  </si>
  <si>
    <t>Wenger DS</t>
  </si>
  <si>
    <t>PMC7035790</t>
  </si>
  <si>
    <t>Reyes E</t>
  </si>
  <si>
    <t>PMC7031215</t>
  </si>
  <si>
    <t>Winner PK</t>
  </si>
  <si>
    <t>PMC7065250</t>
  </si>
  <si>
    <t>Randomized controlled trial (not a challenge trial)</t>
  </si>
  <si>
    <t>Yao RQ</t>
  </si>
  <si>
    <t>PMC7097913</t>
  </si>
  <si>
    <t>Meta-analysis (file under review)</t>
  </si>
  <si>
    <t>Kang WH</t>
  </si>
  <si>
    <t>Worm M</t>
  </si>
  <si>
    <t>Clinical trial, but not a challenge trial</t>
  </si>
  <si>
    <t>Tziakas D</t>
  </si>
  <si>
    <t>Editorial (file under review)</t>
  </si>
  <si>
    <t>Ehlert A</t>
  </si>
  <si>
    <t>PMC7272492</t>
  </si>
  <si>
    <t>Observational study (not a challenge trial)</t>
  </si>
  <si>
    <t>Liu M</t>
  </si>
  <si>
    <t>Ravandi F</t>
  </si>
  <si>
    <t>PMC7271599</t>
  </si>
  <si>
    <t>Multicenter study (not a challenge trial)</t>
  </si>
  <si>
    <t>Aceves-Martins M</t>
  </si>
  <si>
    <t>PMC7317792</t>
  </si>
  <si>
    <t>Systematic review</t>
  </si>
  <si>
    <t>Reiter J</t>
  </si>
  <si>
    <t>PMC7198356</t>
  </si>
  <si>
    <t>PMC7295425</t>
  </si>
  <si>
    <t>Jung JM</t>
  </si>
  <si>
    <t>Lind T</t>
  </si>
  <si>
    <t>PMC8115197</t>
  </si>
  <si>
    <t>Masoli JAH</t>
  </si>
  <si>
    <t>PMC7444671</t>
  </si>
  <si>
    <t>Labeur TA</t>
  </si>
  <si>
    <t>PMC7485346</t>
  </si>
  <si>
    <t>Seyger M</t>
  </si>
  <si>
    <t>PMC7496170</t>
  </si>
  <si>
    <t>Uygur-Kucukseymen E</t>
  </si>
  <si>
    <t>PMC7494538</t>
  </si>
  <si>
    <t>Tannous A</t>
  </si>
  <si>
    <t>PMC7508610</t>
  </si>
  <si>
    <t>Danne T</t>
  </si>
  <si>
    <t>PMC7540568</t>
  </si>
  <si>
    <t>Gelbenegger G</t>
  </si>
  <si>
    <t>PMC7649063</t>
  </si>
  <si>
    <t>Uranga A</t>
  </si>
  <si>
    <t>PMC7538840</t>
  </si>
  <si>
    <t>Caselli RJ</t>
  </si>
  <si>
    <t>assesses role of amyloid beta and amyloid precursor protein system in the pathogenesis of Alzheimer's disease</t>
  </si>
  <si>
    <t>Tamisier R</t>
  </si>
  <si>
    <t>Soll RF</t>
  </si>
  <si>
    <t>Article on Cochrane Neonatal (file under review)</t>
  </si>
  <si>
    <t>Ziogas DC</t>
  </si>
  <si>
    <t>PMC7607607</t>
  </si>
  <si>
    <t>Lee SU</t>
  </si>
  <si>
    <t>PMC7659046</t>
  </si>
  <si>
    <t>Kaul S</t>
  </si>
  <si>
    <t>Xu Z</t>
  </si>
  <si>
    <t>PMC7821346</t>
  </si>
  <si>
    <t>Proposes study design (file under assesses)</t>
  </si>
  <si>
    <t>Wranke A</t>
  </si>
  <si>
    <t>Vasques F</t>
  </si>
  <si>
    <t>Koster TD</t>
  </si>
  <si>
    <t>Puig-Asensio M</t>
  </si>
  <si>
    <t>PMC7744986</t>
  </si>
  <si>
    <t>PMC7793717</t>
  </si>
  <si>
    <t>Cunningham CO</t>
  </si>
  <si>
    <t>PMC7778768</t>
  </si>
  <si>
    <t>Longitudinal cohort study (not a challenge trial)</t>
  </si>
  <si>
    <t>Benetou DR</t>
  </si>
  <si>
    <t>Kuwana M</t>
  </si>
  <si>
    <t>Machtei EE</t>
  </si>
  <si>
    <t>Zhang X</t>
  </si>
  <si>
    <t>Jacob JB</t>
  </si>
  <si>
    <t>PMC7781454</t>
  </si>
  <si>
    <t>Li X</t>
  </si>
  <si>
    <t>PMC7789484</t>
  </si>
  <si>
    <t>Metsemakers WJ</t>
  </si>
  <si>
    <t>PMC7797092</t>
  </si>
  <si>
    <t>De A</t>
  </si>
  <si>
    <t>Talley NJ</t>
  </si>
  <si>
    <t>Beyer-Westendorf J</t>
  </si>
  <si>
    <t>Muntané-Carol G</t>
  </si>
  <si>
    <t>Curtis LM</t>
  </si>
  <si>
    <t>PMC7918188</t>
  </si>
  <si>
    <t>Krassenburg LAP</t>
  </si>
  <si>
    <t>PMC7935378</t>
  </si>
  <si>
    <t>evaluates data on sustained virologic response related to Hepatitis C virus infection</t>
  </si>
  <si>
    <t>Hulbert S</t>
  </si>
  <si>
    <t>Juarez M</t>
  </si>
  <si>
    <t>Hemmingsen B</t>
  </si>
  <si>
    <t>PMC8094220</t>
  </si>
  <si>
    <t>Satici S</t>
  </si>
  <si>
    <t>Fahim A</t>
  </si>
  <si>
    <t>evaluates data on idiopathic pulmonary fibrosis therapeutic landscape</t>
  </si>
  <si>
    <t>PMC8054157</t>
  </si>
  <si>
    <t>Bhattacharya D</t>
  </si>
  <si>
    <t>PMC8075031</t>
  </si>
  <si>
    <t>INSPIRATION Investigators</t>
  </si>
  <si>
    <t>PMC7974835</t>
  </si>
  <si>
    <t>Hosogaya N</t>
  </si>
  <si>
    <t>PMC8080096</t>
  </si>
  <si>
    <t>Protocol for randomized controlled trial (not a challenge trial)</t>
  </si>
  <si>
    <t>Cheng D</t>
  </si>
  <si>
    <t>Kaka AS</t>
  </si>
  <si>
    <t>PMC7901604</t>
  </si>
  <si>
    <t>Salisch NC</t>
  </si>
  <si>
    <t>Clinical trial (not a challenge trial)</t>
  </si>
  <si>
    <t>Lasch F</t>
  </si>
  <si>
    <t>PMC8014297</t>
  </si>
  <si>
    <t>assesses impact of COVID-19 pandemic on clinical trials</t>
  </si>
  <si>
    <t>Blood Pressure Lowering Treatment Trialists' Collaboration</t>
  </si>
  <si>
    <t>PMC8102467</t>
  </si>
  <si>
    <t>Wei F</t>
  </si>
  <si>
    <t>PMC8101688</t>
  </si>
  <si>
    <t>Pilot study for treatment of COVID-19 (not a challenge trial)</t>
  </si>
  <si>
    <t>Dubé MP</t>
  </si>
  <si>
    <t>PMC8149390</t>
  </si>
  <si>
    <t>Pomara C</t>
  </si>
  <si>
    <t>PMC8229116</t>
  </si>
  <si>
    <t>evaluates relationship between adverse events following immunization (AEFI) and COVID-19 vaccination</t>
  </si>
  <si>
    <t>Ohlin A</t>
  </si>
  <si>
    <t>Sun G</t>
  </si>
  <si>
    <t>Fadnes LT</t>
  </si>
  <si>
    <t>PMC8205181</t>
  </si>
  <si>
    <t>Silveira MAD</t>
  </si>
  <si>
    <t>PMC7980186</t>
  </si>
  <si>
    <t>Monteiro VCL</t>
  </si>
  <si>
    <t>PMC8173866</t>
  </si>
  <si>
    <t>Chaparro M</t>
  </si>
  <si>
    <t>PMC8182220</t>
  </si>
  <si>
    <t>Prospective registry study (not a challenge trial)</t>
  </si>
  <si>
    <t>Lu JW</t>
  </si>
  <si>
    <t>PMC8183777</t>
  </si>
  <si>
    <t>Sadoff J</t>
  </si>
  <si>
    <t>PMC8220996</t>
  </si>
  <si>
    <t>Macey R</t>
  </si>
  <si>
    <t>PMC8428329</t>
  </si>
  <si>
    <t>Li H</t>
  </si>
  <si>
    <t>Analysis of pollution in Beijing (not a challenge trial)</t>
  </si>
  <si>
    <t>Jamrozik E</t>
  </si>
  <si>
    <t>PMC8250497</t>
  </si>
  <si>
    <t>Case studies and ethical implications of vaccine-enhanced diseases (not a challenge trial)</t>
  </si>
  <si>
    <t>Guptill JT</t>
  </si>
  <si>
    <t>PMC8218613</t>
  </si>
  <si>
    <t>Trefry JC</t>
  </si>
  <si>
    <t>PMC8259972</t>
  </si>
  <si>
    <t>Özdirik B</t>
  </si>
  <si>
    <t>PMC8213300</t>
  </si>
  <si>
    <t>Shah M</t>
  </si>
  <si>
    <t>PMC8245319</t>
  </si>
  <si>
    <t>Hollingsworth R</t>
  </si>
  <si>
    <t>Greco R</t>
  </si>
  <si>
    <t>PMC8143059</t>
  </si>
  <si>
    <t>van Moort I</t>
  </si>
  <si>
    <t>Andrés-Jensen L</t>
  </si>
  <si>
    <t>Schuppan D</t>
  </si>
  <si>
    <t>Clinical trial with gluten challenge (not a challenge trial)</t>
  </si>
  <si>
    <t>Dong J</t>
  </si>
  <si>
    <t>PMC8308073</t>
  </si>
  <si>
    <t>Wu SS</t>
  </si>
  <si>
    <t>PMC8382475</t>
  </si>
  <si>
    <t>Kulikowski CA</t>
  </si>
  <si>
    <t>PMC8416199</t>
  </si>
  <si>
    <t>History of past pandemics (file under review)</t>
  </si>
  <si>
    <t>Kluger MT</t>
  </si>
  <si>
    <t>Tleyjeh IM</t>
  </si>
  <si>
    <t>PMC8076756</t>
  </si>
  <si>
    <t>Elalamy I</t>
  </si>
  <si>
    <t>PMC8322589</t>
  </si>
  <si>
    <t>Panel of experts discussion of SAR-CoV-2 vaccine and thrombosis (file under review)</t>
  </si>
  <si>
    <t>Rauer MJ</t>
  </si>
  <si>
    <t>Williams V</t>
  </si>
  <si>
    <t>PMC8314831</t>
  </si>
  <si>
    <t>Alshammari MA</t>
  </si>
  <si>
    <t>PMC8188780</t>
  </si>
  <si>
    <t>Ferrari A</t>
  </si>
  <si>
    <t>GBD 2020, Release 1, Vaccine Coverage Collaborators</t>
  </si>
  <si>
    <t>PMC8358924</t>
  </si>
  <si>
    <t>Analysis of childhood vaccination coverage (not a challenge trial)</t>
  </si>
  <si>
    <t>Shanmugaraj B</t>
  </si>
  <si>
    <t>PMC8400130</t>
  </si>
  <si>
    <t>Hilligan KL</t>
  </si>
  <si>
    <t>PMC8423217</t>
  </si>
  <si>
    <t>Preprint; animal challenge</t>
  </si>
  <si>
    <t>Zhu Y</t>
  </si>
  <si>
    <t>Agin-Liebes G</t>
  </si>
  <si>
    <t>PMC8367798</t>
  </si>
  <si>
    <t>Johnson AM</t>
  </si>
  <si>
    <t>PMC8127167</t>
  </si>
  <si>
    <t>Ratzki-Leewing AA</t>
  </si>
  <si>
    <t>PMC8413474</t>
  </si>
  <si>
    <t>Analyzes data on impact of COVID-19 pandemic on diabetes management (not a challenge trial)</t>
  </si>
  <si>
    <t>Cruz FCSG</t>
  </si>
  <si>
    <t>PMC8382149</t>
  </si>
  <si>
    <t>Castro-Ávila AC</t>
  </si>
  <si>
    <t>PMC8438573</t>
  </si>
  <si>
    <t>Gómez-Carballa A</t>
  </si>
  <si>
    <t>PMC8423994</t>
  </si>
  <si>
    <t>Chandramohan D</t>
  </si>
  <si>
    <t>Koc ÖM</t>
  </si>
  <si>
    <t>Hwang JH</t>
  </si>
  <si>
    <t>Ehresman J</t>
  </si>
  <si>
    <t>Number of results =</t>
  </si>
  <si>
    <t xml:space="preserve">% screened = </t>
  </si>
  <si>
    <t xml:space="preserve">% eligible = </t>
  </si>
  <si>
    <t>case reports, reviews, not written in English, or did not assess a cohort of participants that met the criteria for human challenge trial</t>
  </si>
  <si>
    <t>Assesses role of amyloid beta and amyloid precursor protein system in the pathogenesis of Alzheimer's disease</t>
  </si>
  <si>
    <t>Poliovirus vaccine challenge; will be excluded but should be noted separately</t>
  </si>
  <si>
    <t>Evaluates data on sustained virologic response related to Hepatitis C virus infection</t>
  </si>
  <si>
    <t>Evaluates data on idiopathic pulmonary fibrosis therapeutic landscape</t>
  </si>
  <si>
    <t>Assesses impact of COVID-19 pandemic on clinical trials</t>
  </si>
  <si>
    <t>Evaluates relationship between adverse events following immunization (AEFI) and COVID-19 vaccination</t>
  </si>
  <si>
    <t xml:space="preserve">study assesses a cohort of participants willingly exposed to a pathogen of interest for the express purpose of testing or assessing a therapy or preventative measure for the pathogen
</t>
  </si>
  <si>
    <t>Exlcusion criteria:</t>
  </si>
  <si>
    <t>reports events of epidemic</t>
  </si>
  <si>
    <t>models encephalomyelitis in macques</t>
  </si>
  <si>
    <t>assesses malaria in orangutang</t>
  </si>
  <si>
    <t>models neurodegeneration in mice</t>
  </si>
  <si>
    <t>models colitis in rats</t>
  </si>
  <si>
    <t>presents novel approach to monitoring clinical trial outcomes</t>
  </si>
  <si>
    <t>maps a virus protein</t>
  </si>
  <si>
    <t>assessed role of IL-6 in low T3 syndrome</t>
  </si>
  <si>
    <t>epidemologicsl survey of upper respiratory tract disease</t>
  </si>
  <si>
    <t>surveys knowledge of lyme disease</t>
  </si>
  <si>
    <t>characterizes fungal enzyme</t>
  </si>
  <si>
    <t>characterizes long term management of haemophilia</t>
  </si>
  <si>
    <t>characterizes role of mongoose in rabies</t>
  </si>
  <si>
    <t>characterizes role of rats in rift valley fever</t>
  </si>
  <si>
    <t>characterizes tolerabilty of vaccine</t>
  </si>
  <si>
    <t>infects blood samples with pathogen, but does infect participants with pathogen</t>
  </si>
  <si>
    <t>not in English</t>
  </si>
  <si>
    <t>guidelines</t>
  </si>
  <si>
    <t>models respiratory infection in rats</t>
  </si>
  <si>
    <r>
      <t xml:space="preserve">PDF link: </t>
    </r>
    <r>
      <rPr>
        <u/>
        <sz val="10"/>
        <color rgb="FF1155CC"/>
        <rFont val="Arial"/>
      </rPr>
      <t>https://www.researchgate.net/profile/James-Patrie/publication/24233124_Effects_of_dietary_supplementation_with_conjugated_linoleic_acid_on_experimental_human_rhinovirus_infection_and_illness/links/5a2935464585155dd428ba6f/Effects-of-dietary-supplementation-with-conjugated-linoleic-acid-on-experimental-human-rhinovirus-infection-and-illness.pdf</t>
    </r>
  </si>
  <si>
    <t>editorial</t>
  </si>
  <si>
    <t>maybe?</t>
  </si>
  <si>
    <t>identifies genotype at risk for human African trypanosomiasis</t>
  </si>
  <si>
    <t>comment on study</t>
  </si>
  <si>
    <t>characterizes CD14 signalling</t>
  </si>
  <si>
    <t>experimental wounds, but no exposure to pathogen</t>
  </si>
  <si>
    <t>develop anitgen-presenting cells from deer mice</t>
  </si>
  <si>
    <t>mathematical model on the use of antivirals against seasonal influenza</t>
  </si>
  <si>
    <t>identical to PMID 21631747</t>
  </si>
  <si>
    <t>drug trial in healthy volunteers</t>
  </si>
  <si>
    <t>examines the role of a protein in hepatitis</t>
  </si>
  <si>
    <t>mental health program</t>
  </si>
  <si>
    <t>field study on malaria parasite transmission to mosquitoes</t>
  </si>
  <si>
    <t>Full Text</t>
  </si>
  <si>
    <t>meeting report</t>
  </si>
  <si>
    <t>conference summary</t>
  </si>
  <si>
    <t>conference report</t>
  </si>
  <si>
    <t>collection of abstracts</t>
  </si>
  <si>
    <t>reports result of clinical trial</t>
  </si>
  <si>
    <t>preprint</t>
  </si>
  <si>
    <t>yes clinical trial, but not a challenge trial</t>
  </si>
  <si>
    <t>book chapter</t>
  </si>
  <si>
    <t>meta-analysis</t>
  </si>
  <si>
    <t>challenge study, but not in humans</t>
  </si>
  <si>
    <t>clinical trial, but not for humans</t>
  </si>
  <si>
    <t>describes protocol for study</t>
  </si>
  <si>
    <t>compares male and female clientele in medical marijuana dispensaries</t>
  </si>
  <si>
    <t xml:space="preserve">study assesses a cohort of participants willingly exposed to a cohort of participants willingly exposed to a pathogen of interest for the express purpose of testing or assessing a therapy or preventative measure for the pathogen
</t>
  </si>
  <si>
    <t>Eligible for full-text review</t>
  </si>
  <si>
    <t>novel model for factor VIII replacement therapy</t>
  </si>
  <si>
    <t>fMRI study of smoking cues in smokers</t>
  </si>
  <si>
    <t>protocol for meta-analysis</t>
  </si>
  <si>
    <t>protocol for clinical trial</t>
  </si>
  <si>
    <t>non-english</t>
  </si>
  <si>
    <t>comparative study of endovascular aortic anyuerism repair outcomes</t>
  </si>
  <si>
    <t>comment</t>
  </si>
  <si>
    <t>summarizes study protocol for clinical trial</t>
  </si>
  <si>
    <t>practice guideline</t>
  </si>
  <si>
    <t>novel therapy for ance scars</t>
  </si>
  <si>
    <t>compares efficacy of different medications in eldery thromboembolism</t>
  </si>
  <si>
    <t>bayseian analysis of brain-computer interfaces</t>
  </si>
  <si>
    <t>characterizes mass vaccination capacities</t>
  </si>
  <si>
    <t>assesse efficacy of medication against hepatitis b</t>
  </si>
  <si>
    <t>discrete choice experiment for different health models</t>
  </si>
  <si>
    <t>longitudinal study of melioidosis in australia</t>
  </si>
  <si>
    <t>describes outcomes of patients with calcified coronary arteries</t>
  </si>
  <si>
    <t>meta-analysis, non-english</t>
  </si>
  <si>
    <t>provides recommendations for COVID clinical trials</t>
  </si>
  <si>
    <t>models novel smallpox vaccine in mice</t>
  </si>
  <si>
    <t>observational study of adverse drug reactions</t>
  </si>
  <si>
    <t>assesse efficacy of malaria vaccine</t>
  </si>
  <si>
    <t>reports saftey of novel vaccine</t>
  </si>
  <si>
    <t>proposes novel method for testing psoriasis therapies</t>
  </si>
  <si>
    <t>decribes protocol for study</t>
  </si>
  <si>
    <t>reports results of a clinical trial</t>
  </si>
  <si>
    <t>"lessons learned" from pandemic vaccine deployment</t>
  </si>
  <si>
    <t>novel model for CVA10 infection</t>
  </si>
  <si>
    <t>Captured by 4.14.21 Search?</t>
  </si>
  <si>
    <t>Title</t>
  </si>
  <si>
    <t>Authors</t>
  </si>
  <si>
    <t>Citation</t>
  </si>
  <si>
    <t>Journal/Book</t>
  </si>
  <si>
    <t>Create Date</t>
  </si>
  <si>
    <t>NIHMS ID</t>
  </si>
  <si>
    <t>DOI</t>
  </si>
  <si>
    <t>Algorithm:</t>
  </si>
  <si>
    <t>((human challenge AND trial) OR (human challenge AND vaccine) OR (controlled AND human AND infection AND model)) AND (severe AND events) AND (1980:2021[pdat])</t>
  </si>
  <si>
    <t>Postexertional airway rewarming and thermally induced asthma. New insights into pathophysiology and possible pathogenesis</t>
  </si>
  <si>
    <t>McFadden ER Jr, Lenner KA, Strohl KP.</t>
  </si>
  <si>
    <t>J Clin Invest. 1986 Jul;78(1):18-25. doi: 10.1172/JCI112549.</t>
  </si>
  <si>
    <t>J Clin Invest</t>
  </si>
  <si>
    <t>10.1172/JCI112549</t>
  </si>
  <si>
    <t>Nicardipine in the treatment of Raynaud's phenomenon. Dissociation of platelet activation from vasospasm</t>
  </si>
  <si>
    <t>Wigley FM, Wise RA, Malamet R, Scott TE.</t>
  </si>
  <si>
    <t>Arthritis Rheum. 1987 Mar;30(3):281-6. doi: 10.1002/art.1780300306.</t>
  </si>
  <si>
    <t>Arthritis Rheum</t>
  </si>
  <si>
    <t>10.1002/art.1780300306</t>
  </si>
  <si>
    <t>Biobehavioral variables and mortality or cardiac arrest in the Cardiac Arrhythmia Pilot Study (CAPS)</t>
  </si>
  <si>
    <t>Ahern DK, Gorkin L, Anderson JL, Tierney C, Hallstrom A, Ewart C, Capone RJ, Schron E, Kornfeld D, Herd JA, et al.</t>
  </si>
  <si>
    <t>Am J Cardiol. 1990 Jul 1;66(1):59-62. doi: 10.1016/0002-9149(90)90736-k.</t>
  </si>
  <si>
    <t>Am J Cardiol</t>
  </si>
  <si>
    <t>10.1016/0002-9149(90)90736-k</t>
  </si>
  <si>
    <t>Protective effect of loratadine on specific conjunctival provocation test</t>
  </si>
  <si>
    <t>Ciprandi G, Buscaglia S, Pesce GP, Marchesi E, Canonica GW.</t>
  </si>
  <si>
    <t>Int Arch Allergy Appl Immunol. 1991;96(4):344-7. doi: 10.1159/000235519.</t>
  </si>
  <si>
    <t>Int Arch Allergy Appl Immunol</t>
  </si>
  <si>
    <t>10.1159/000235519</t>
  </si>
  <si>
    <t>Treatment of severe alcoholic hepatitis by infusion of insulin and glucagon: a multicenter sequential trial</t>
  </si>
  <si>
    <t>Trinchet JC, Balkau B, Poupon RE, Heintzmann F, Callard P, Gotheil C, Grange JD, Vetter D, Pauwels A, Labadie H, et al.</t>
  </si>
  <si>
    <t>Hepatology. 1992 Jan;15(1):76-81. doi: 10.1002/hep.1840150115.</t>
  </si>
  <si>
    <t>Hepatology</t>
  </si>
  <si>
    <t>10.1002/hep.1840150115</t>
  </si>
  <si>
    <t>Protective effect of different doses of terfenadine on the conjunctival provocation test</t>
  </si>
  <si>
    <t>Ciprandi G, Buscaglia S, Iudice A, Canonica GW.</t>
  </si>
  <si>
    <t>Allergy. 1992 Aug;47(4 Pt 1):309-12. doi: 10.1111/j.1398-9995.1992.tb02059.x.</t>
  </si>
  <si>
    <t>Allergy</t>
  </si>
  <si>
    <t>10.1111/j.1398-9995.1992.tb02059.x</t>
  </si>
  <si>
    <t>Protective effect of loratadine on late phase reaction induced by conjunctival provocation test</t>
  </si>
  <si>
    <t>Ciprandi G, Buscaglia S, Marchesi E, Danzig M, Cuss F, Canonica GW.</t>
  </si>
  <si>
    <t>Int Arch Allergy Immunol. 1993;100(2):185-9. doi: 10.1159/000236407.</t>
  </si>
  <si>
    <t>Int Arch Allergy Immunol</t>
  </si>
  <si>
    <t>10.1159/000236407</t>
  </si>
  <si>
    <t>Protective effects of deflazacort on allergen-specific conjunctival challenge</t>
  </si>
  <si>
    <t>Ciprandi G, Buscaglia S, Iudice A, Pesce GP, Bagnasco M, Canonica GW.</t>
  </si>
  <si>
    <t>Eur J Clin Pharmacol. 1993;45 Suppl 1:S35-41. doi: 10.1007/BF01844202.</t>
  </si>
  <si>
    <t>Eur J Clin Pharmacol</t>
  </si>
  <si>
    <t>10.1007/BF01844202</t>
  </si>
  <si>
    <t>Opportunities for neuroprotective drugs in clinical management of head injury</t>
  </si>
  <si>
    <t>Bullock R.</t>
  </si>
  <si>
    <t>J Emerg Med. 1993;11 Suppl 1:23-30.</t>
  </si>
  <si>
    <t>J Emerg Med</t>
  </si>
  <si>
    <t>Plasma exchange morbidity in Guillain-Barré syndrome: results from the French prospective, randomized, multicenter study. The French Cooperative Group</t>
  </si>
  <si>
    <t>Bouget J, Chevret S, Chastang C, Raphael JC.</t>
  </si>
  <si>
    <t>Crit Care Med. 1993 May;21(5):651-8. doi: 10.1097/00003246-199305000-00006.</t>
  </si>
  <si>
    <t>Crit Care Med</t>
  </si>
  <si>
    <t>10.1097/00003246-199305000-00006</t>
  </si>
  <si>
    <t>Lamotrigine. A review of its pharmacological properties and clinical efficacy in epilepsy</t>
  </si>
  <si>
    <t>Goa KL, Ross SR, Chrisp P.</t>
  </si>
  <si>
    <t>Drugs. 1993 Jul;46(1):152-76. doi: 10.2165/00003495-199346010-00009.</t>
  </si>
  <si>
    <t>Drugs</t>
  </si>
  <si>
    <t>10.2165/00003495-199346010-00009</t>
  </si>
  <si>
    <t>Prophylactic administration of respiratory syncytial virus immune globulin to high-risk infants and young children. The Respiratory Syncytial Virus Immune Globulin Study Group</t>
  </si>
  <si>
    <t>Groothuis JR, Simoes EA, Levin MJ, Hall CB, Long CE, Rodriguez WJ, Arrobio J, Meissner HC, Fulton DR, Welliver RC, et al.</t>
  </si>
  <si>
    <t>N Engl J Med. 1993 Nov 18;329(21):1524-30. doi: 10.1056/NEJM199311183292102.</t>
  </si>
  <si>
    <t>N Engl J Med</t>
  </si>
  <si>
    <t>10.1056/NEJM199311183292102</t>
  </si>
  <si>
    <t>Diagnostic and prognostic value of dipyridamole echocardiography in patients with suspected coronary artery disease. Comparison with exercise electrocardiography</t>
  </si>
  <si>
    <t>Severi S, Picano E, Michelassi C, Lattanzi F, Landi P, Distante A, L'Abbate A.</t>
  </si>
  <si>
    <t>Circulation. 1994 Mar;89(3):1160-73. doi: 10.1161/01.cir.89.3.1160.</t>
  </si>
  <si>
    <t>Circulation</t>
  </si>
  <si>
    <t>10.1161/01.cir.89.3.1160</t>
  </si>
  <si>
    <t>Physiologic responses and histamine release after nasal antigen challenge. Effect of atropine</t>
  </si>
  <si>
    <t>Baroody FM, Ford S, Lichtenstein LM, Kagey-Sobotka A, Naclerio RM.</t>
  </si>
  <si>
    <t>Am J Respir Crit Care Med. 1994 Jun;149(6):1457-65. doi: 10.1164/ajrccm.149.6.7516250.</t>
  </si>
  <si>
    <t>Am J Respir Crit Care Med</t>
  </si>
  <si>
    <t>10.1164/ajrccm.149.6.7516250</t>
  </si>
  <si>
    <t>Clinical efficacy and safety of gabapentin</t>
  </si>
  <si>
    <t>Ramsay RE.</t>
  </si>
  <si>
    <t>Neurology. 1994 Jun;44(6 Suppl 5):S23-30; discussion S31-2.</t>
  </si>
  <si>
    <t>Neurology</t>
  </si>
  <si>
    <t>Platelet-activating factor receptor antagonist BN 52021 in the treatment of severe sepsis: a randomized, double-blind, placebo-controlled, multicenter clinical trial. BN 52021 Sepsis Study Group</t>
  </si>
  <si>
    <t>Dhainaut JF, Tenaillon A, Le Tulzo Y, Schlemmer B, Solet JP, Wolff M, Holzapfel L, Zeni F, Dreyfuss D, Mira JP, et al.</t>
  </si>
  <si>
    <t>Crit Care Med. 1994 Nov;22(11):1720-8.</t>
  </si>
  <si>
    <t>Carbapenems in paediatrics</t>
  </si>
  <si>
    <t>Blumer JL.</t>
  </si>
  <si>
    <t>Scand J Infect Dis Suppl. 1995;96:38-44.</t>
  </si>
  <si>
    <t>Scand J Infect Dis Suppl</t>
  </si>
  <si>
    <t>Leukemic cell growth in SCID mice as a predictor of relapse in high-risk B-lineage acute lymphoblastic leukemia</t>
  </si>
  <si>
    <t>Uckun FM, Sather H, Reaman G, Shuster J, Land V, Trigg M, Gunther R, Chelstrom L, Bleyer A, Gaynon P, et al.</t>
  </si>
  <si>
    <t>Blood. 1995 Feb 15;85(4):873-8.</t>
  </si>
  <si>
    <t>Blood</t>
  </si>
  <si>
    <t>In vitro and in vivo activity of topotecan against human B-lineage acute lymphoblastic leukemia cells</t>
  </si>
  <si>
    <t>Uckun FM, Stewart CF, Reaman G, Chelstrom LM, Jin J, Chandan-Langlie M, Waddick KG, White J, Evans WE.</t>
  </si>
  <si>
    <t>Blood. 1995 May 15;85(10):2817-28.</t>
  </si>
  <si>
    <t>Very-high-dose short-term chemotherapy for poor-risk peripheral primitive neuroectodermal tumors, including Ewing's sarcoma, in children and young adults</t>
  </si>
  <si>
    <t>Kushner BH, Meyers PA, Gerald WL, Healey JH, La Quaglia MP, Boland P, Wollner N, Casper ES, Aledo A, Heller G, et al.</t>
  </si>
  <si>
    <t>J Clin Oncol. 1995 Nov;13(11):2796-804. doi: 10.1200/JCO.1995.13.11.2796.</t>
  </si>
  <si>
    <t>J Clin Oncol</t>
  </si>
  <si>
    <t>10.1200/JCO.1995.13.11.2796</t>
  </si>
  <si>
    <t>Evaluation of cetirizine in patients with allergic rhinitis and perennial asthma</t>
  </si>
  <si>
    <t>Aaronson DW.</t>
  </si>
  <si>
    <t>Ann Allergy Asthma Immunol. 1996 May;76(5):440-6. doi: 10.1016/S1081-1206(10)63461-8.</t>
  </si>
  <si>
    <t>Ann Allergy Asthma Immunol</t>
  </si>
  <si>
    <t>10.1016/S1081-1206(10)63461-8</t>
  </si>
  <si>
    <t>Intranasal levocabastine provides fast and effective protection from nasal allergen challenge</t>
  </si>
  <si>
    <t>Bachert C, Wagenmann M, Vossen-Holzenkamp S.</t>
  </si>
  <si>
    <t>Rhinology. 1996 Sep;34(3):140-3.</t>
  </si>
  <si>
    <t>Rhinology</t>
  </si>
  <si>
    <t>[Therapy of arterial hypertension: benefits, costs, challenges]</t>
  </si>
  <si>
    <t>Zanchetti A.</t>
  </si>
  <si>
    <t>Ann Ital Med Int. 1996 Oct;11 Suppl 2:75S-81S.</t>
  </si>
  <si>
    <t>Ann Ital Med Int</t>
  </si>
  <si>
    <t>Comparison of continuous infusion of fentanyl to bolus dosing in neonates after surgery</t>
  </si>
  <si>
    <t>Vaughn PR, Townsend SF, Thilo EH, McKenzie S, Moreland S, Denver KK.</t>
  </si>
  <si>
    <t>J Pediatr Surg. 1996 Dec;31(12):1616-23. doi: 10.1016/s0022-3468(96)90033-0.</t>
  </si>
  <si>
    <t>J Pediatr Surg</t>
  </si>
  <si>
    <t>10.1016/s0022-3468(96)90033-0</t>
  </si>
  <si>
    <t>Implications and results of the Diabetes Control and Complications Trial</t>
  </si>
  <si>
    <t>Tamborlane WV, Ahern J.</t>
  </si>
  <si>
    <t>Pediatr Clin North Am. 1997 Apr;44(2):285-300. doi: 10.1016/s0031-3955(05)70477-6.</t>
  </si>
  <si>
    <t>Pediatr Clin North Am</t>
  </si>
  <si>
    <t>10.1016/s0031-3955(05)70477-6</t>
  </si>
  <si>
    <t>Effect of cyclosporin A on the allergen-induced late asthmatic reaction</t>
  </si>
  <si>
    <t>Sihra BS, Kon OM, Durham SR, Walker S, Barnes NC, Kay AB.</t>
  </si>
  <si>
    <t>Thorax. 1997 May;52(5):447-52. doi: 10.1136/thx.52.5.447.</t>
  </si>
  <si>
    <t>Thorax</t>
  </si>
  <si>
    <t>10.1136/thx.52.5.447</t>
  </si>
  <si>
    <t>p55 Tumor necrosis factor receptor fusion protein in the treatment of patients with severe sepsis and septic shock. A randomized controlled multicenter trial. Ro 45-2081 Study Group</t>
  </si>
  <si>
    <t>Abraham E, Glauser MP, Butler T, Garbino J, Gelmont D, Laterre PF, Kudsk K, Bruining HA, Otto C, Tobin E, Zwingelstein C, Lesslauer W, Leighton A.</t>
  </si>
  <si>
    <t>JAMA. 1997 May 21;277(19):1531-8.</t>
  </si>
  <si>
    <t>JAMA</t>
  </si>
  <si>
    <t>Prevention of thromboembolic events in atrial fibrillation</t>
  </si>
  <si>
    <t>Koefoed BG, Gulløv AL, Petersen P.</t>
  </si>
  <si>
    <t>Thromb Haemost. 1997 Jul;78(1):377-81.</t>
  </si>
  <si>
    <t>Thromb Haemost</t>
  </si>
  <si>
    <t>Hydroxyurea therapy for diverse pediatric populations with sickle cell disease</t>
  </si>
  <si>
    <t>Rogers ZR.</t>
  </si>
  <si>
    <t>Semin Hematol. 1997 Jul;34(3 Suppl 3):42-7.</t>
  </si>
  <si>
    <t>Semin Hematol</t>
  </si>
  <si>
    <t>Zafirlukast: the first leukotriene-receptor antagonist approved for the treatment of asthma</t>
  </si>
  <si>
    <t>Kelloway JS.</t>
  </si>
  <si>
    <t>Ann Pharmacother. 1997 Sep;31(9):1012-21. doi: 10.1177/106002809703100912.</t>
  </si>
  <si>
    <t>Ann Pharmacother</t>
  </si>
  <si>
    <t>10.1177/106002809703100912</t>
  </si>
  <si>
    <t>Dose-ranging study of the clinical efficacy of twice-daily triamcinolone acetonide inhalation aerosol in moderately severe asthma</t>
  </si>
  <si>
    <t>Welch MJ, Levy S, Smith JA, Feiss G, Farrar JR.</t>
  </si>
  <si>
    <t>Chest. 1997 Sep;112(3):597-606. doi: 10.1378/chest.112.3.597.</t>
  </si>
  <si>
    <t>Chest</t>
  </si>
  <si>
    <t>10.1378/chest.112.3.597</t>
  </si>
  <si>
    <t>Treatment of major depression in later life: a life cycle perspective</t>
  </si>
  <si>
    <t>Reynolds CF 3rd.</t>
  </si>
  <si>
    <t>Psychiatr Q. 1997 Fall;68(3):221-46. doi: 10.1023/a:1025484123244.</t>
  </si>
  <si>
    <t>Psychiatr Q</t>
  </si>
  <si>
    <t>10.1023/a:1025484123244</t>
  </si>
  <si>
    <t>Recombinant human erythropoietin: 10 years of clinical experience</t>
  </si>
  <si>
    <t>Winearls CG.</t>
  </si>
  <si>
    <t>Nephrol Dial Transplant. 1998;13 Suppl 2:3-8. doi: 10.1093/ndt/13.suppl_2.3.</t>
  </si>
  <si>
    <t>Nephrol Dial Transplant</t>
  </si>
  <si>
    <t>10.1093/ndt/13.suppl_2.3</t>
  </si>
  <si>
    <t>A randomized, placebo-controlled comparison of oral valacyclovir and acyclovir in immunocompetent patients with recurrent genital herpes infections. The Valaciclovir International Study Group</t>
  </si>
  <si>
    <t>Tyring SK, Douglas JM Jr, Corey L, Spruance SL, Esmann J.</t>
  </si>
  <si>
    <t>Arch Dermatol. 1998 Feb;134(2):185-91. doi: 10.1001/archderm.134.2.185.</t>
  </si>
  <si>
    <t>Arch Dermatol</t>
  </si>
  <si>
    <t>10.1001/archderm.134.2.185</t>
  </si>
  <si>
    <t>Prognostic importance of gram-negative intestinal colonization preceding pancreatic infection in severe acute pancreatitis. Results of a controlled clinical trial of selective decontamination</t>
  </si>
  <si>
    <t>Luiten EJ, Hop WC, Endtz HP, Bruining HA.</t>
  </si>
  <si>
    <t>Intensive Care Med. 1998 May;24(5):438-45. doi: 10.1007/s001340050593.</t>
  </si>
  <si>
    <t>Intensive Care Med</t>
  </si>
  <si>
    <t>10.1007/s001340050593</t>
  </si>
  <si>
    <t>The compromised traveler</t>
  </si>
  <si>
    <t>Mileno MD, Bia FJ.</t>
  </si>
  <si>
    <t>Infect Dis Clin North Am. 1998 Jun;12(2):369-412. doi: 10.1016/s0891-5520(05)70010-6.</t>
  </si>
  <si>
    <t>Infect Dis Clin North Am</t>
  </si>
  <si>
    <t>10.1016/s0891-5520(05)70010-6</t>
  </si>
  <si>
    <t>The role of chemotherapy in polymorphonuclear phagocytosis in pneumonia</t>
  </si>
  <si>
    <t>Piatti G, Gazzola T, Allegra L.</t>
  </si>
  <si>
    <t>J Chemother. 1998 Jun;10(3):231-5. doi: 10.1179/joc.1998.10.3.231.</t>
  </si>
  <si>
    <t>J Chemother</t>
  </si>
  <si>
    <t>10.1179/joc.1998.10.3.231</t>
  </si>
  <si>
    <t>Use of carvedilol in chronic heart failure: challenges in therapeutic management</t>
  </si>
  <si>
    <t>Sackner-Bernstein JD.</t>
  </si>
  <si>
    <t>Prog Cardiovasc Dis. 1998 Jul-Aug;41(1 Suppl 1):53-8. doi: 10.1016/s0033-0620(98)80031-5.</t>
  </si>
  <si>
    <t>Prog Cardiovasc Dis</t>
  </si>
  <si>
    <t>10.1016/s0033-0620(98)80031-5</t>
  </si>
  <si>
    <t>Palivizumab, a humanized respiratory syncytial virus monoclonal antibody, reduces hospitalization from respiratory syncytial virus infection in high-risk infants. The IMpact-RSV Study Group</t>
  </si>
  <si>
    <t>Pediatrics. 1998 Sep;102(3 Pt 1):531-7.</t>
  </si>
  <si>
    <t>Pediatrics</t>
  </si>
  <si>
    <t>Use of losartan in the treatment of hypertensive patients with a history of cough induced by angiotensin-converting enzyme inhibitors</t>
  </si>
  <si>
    <t>Paster RZ, Snavely DB, Sweet AR, Draper RA, Goldberg AI, Soffer BA, Sweet CS.</t>
  </si>
  <si>
    <t>Clin Ther. 1998 Sep-Oct;20(5):978-89. doi: 10.1016/s0149-2918(98)80079-9.</t>
  </si>
  <si>
    <t>Clin Ther</t>
  </si>
  <si>
    <t>10.1016/s0149-2918(98)80079-9</t>
  </si>
  <si>
    <t>Psychiatric impairment, social contact, and violent behavior: evidence from a study of outpatient-committed persons with severe mental disorder</t>
  </si>
  <si>
    <t>Swanson J, Swartz M, Estroff S, Borum R, Wagner R, Hiday V.</t>
  </si>
  <si>
    <t>Soc Psychiatry Psychiatr Epidemiol. 1998 Dec;33 Suppl 1:S86-94. doi: 10.1007/s001270050215.</t>
  </si>
  <si>
    <t>Soc Psychiatry Psychiatr Epidemiol</t>
  </si>
  <si>
    <t>10.1007/s001270050215</t>
  </si>
  <si>
    <t>The ethics of using placebo in hypertension clinical trials</t>
  </si>
  <si>
    <t>Weber MA.</t>
  </si>
  <si>
    <t>J Hypertens. 1999 Jan;17(1):5-8. doi: 10.1097/00004872-199917010-00002.</t>
  </si>
  <si>
    <t>J Hypertens</t>
  </si>
  <si>
    <t>10.1097/00004872-199917010-00002</t>
  </si>
  <si>
    <t>Optimal experimental design for event-related fMRI</t>
  </si>
  <si>
    <t>Dale AM.</t>
  </si>
  <si>
    <t>Hum Brain Mapp. 1999;8(2-3):109-14. doi: 10.1002/(SICI)1097-0193(1999)8:2/3&amp;#x0003c;109::AID-HBM7&amp;#x0003e;3.0.CO;2-W.</t>
  </si>
  <si>
    <t>Hum Brain Mapp</t>
  </si>
  <si>
    <t>10.1002/(SICI)1097-0193(1999)8:2/3&amp;#x0003c;109::AID-HBM7&amp;#x0003e;3.0.CO;2-W</t>
  </si>
  <si>
    <t>The absence of relation between anxiety sensitivity and fear conditioning using 20% versus 13% CO2-enriched air as unconditioned stimuli</t>
  </si>
  <si>
    <t>Forsyth JP, Palav A, Duff K.</t>
  </si>
  <si>
    <t>Behav Res Ther. 1999 Feb;37(2):143-53. doi: 10.1016/s0005-7967(98)00113-2.</t>
  </si>
  <si>
    <t>Behav Res Ther</t>
  </si>
  <si>
    <t>10.1016/s0005-7967(98)00113-2</t>
  </si>
  <si>
    <t>Chronopharmacology and chronotherapy of cardiovascular medications: relevance to prevention and treatment of coronary heart disease</t>
  </si>
  <si>
    <t>Smolensky MH, Portaluppi F.</t>
  </si>
  <si>
    <t>Am Heart J. 1999 Apr;137(4 Pt 2):S14-S24. doi: 10.1016/s0002-8703(99)70392-3.</t>
  </si>
  <si>
    <t>Am Heart J</t>
  </si>
  <si>
    <t>10.1016/s0002-8703(99)70392-3</t>
  </si>
  <si>
    <t>Problems assessing nonserious adverse drug reactions: antidepressant drug therapy and sexual dysfunction</t>
  </si>
  <si>
    <t>Michels KB.</t>
  </si>
  <si>
    <t>Pharmacotherapy. 1999 Apr;19(4):424-9. doi: 10.1592/phco.19.6.424.31048.</t>
  </si>
  <si>
    <t>Pharmacotherapy</t>
  </si>
  <si>
    <t>10.1592/phco.19.6.424.31048</t>
  </si>
  <si>
    <t>Safety and pharmacokinetics of an intramuscular monoclonal antibody (SB 209763) against respiratory syncytial virus (RSV) in infants and young children at risk for severe RSV disease</t>
  </si>
  <si>
    <t>Meissner HC, Groothuis JR, Rodriguez WJ, Welliver RC, Hogg G, Gray PH, Loh R, Simoes EA, Sly P, Miller AK, Nichols AI, Jorkasky DK, Everitt DE, Thompson KA.</t>
  </si>
  <si>
    <t>Antimicrob Agents Chemother. 1999 May;43(5):1183-8. doi: 10.1128/AAC.43.5.1183.</t>
  </si>
  <si>
    <t>Antimicrob Agents Chemother</t>
  </si>
  <si>
    <t>10.1128/AAC.43.5.1183</t>
  </si>
  <si>
    <t>Predicting response: noradrenaline reuptake inhibition</t>
  </si>
  <si>
    <t>Montgomery SA.</t>
  </si>
  <si>
    <t>Int Clin Psychopharmacol. 1999 May;14 Suppl 1:S21-6. doi: 10.1097/00004850-199905001-00005.</t>
  </si>
  <si>
    <t>Int Clin Psychopharmacol</t>
  </si>
  <si>
    <t>10.1097/00004850-199905001-00005</t>
  </si>
  <si>
    <t>Cisapride 20 mg b.d. for preventing symptoms of GERD induced by a provocative meal. The CIS-USA-89 Study Group</t>
  </si>
  <si>
    <t>Castell D, Silvers D, Littlejohn T, Orr W, Napolitano J, Oleka N, Jokubaitis L.</t>
  </si>
  <si>
    <t>Aliment Pharmacol Ther. 1999 Jun;13(6):787-94. doi: 10.1046/j.1365-2036.1999.00525.x.</t>
  </si>
  <si>
    <t>Aliment Pharmacol Ther</t>
  </si>
  <si>
    <t>10.1046/j.1365-2036.1999.00525.x</t>
  </si>
  <si>
    <t>Safety and efficacy of amphotericin B colloidal dispersion. An overview</t>
  </si>
  <si>
    <t>Herbrecht R, Letscher V, Andres E, Cavalier A.</t>
  </si>
  <si>
    <t>Chemotherapy. 1999 Jun;45 Suppl 1:67-76. doi: 10.1159/000048472.</t>
  </si>
  <si>
    <t>Chemotherapy</t>
  </si>
  <si>
    <t>10.1159/000048472</t>
  </si>
  <si>
    <t>Continuous intravenous dobutamine is associated with an increased risk of death in patients with advanced heart failure: insights from the Flolan International Randomized Survival Trial (FIRST)</t>
  </si>
  <si>
    <t>O'Connor CM, Gattis WA, Uretsky BF, Adams KF Jr, McNulty SE, Grossman SH, McKenna WJ, Zannad F, Swedberg K, Gheorghiade M, Califf RM.</t>
  </si>
  <si>
    <t>Am Heart J. 1999 Jul;138(1 Pt 1):78-86. doi: 10.1016/s0002-8703(99)70250-4.</t>
  </si>
  <si>
    <t>10.1016/s0002-8703(99)70250-4</t>
  </si>
  <si>
    <t>Recombinant factor VIIa for patients with inhibitors to factor VIII or IX or factor VII deficiency</t>
  </si>
  <si>
    <t>Scharrer I.</t>
  </si>
  <si>
    <t>Haemophilia. 1999 Jul;5(4):253-9. doi: 10.1046/j.1365-2516.1999.00319.x.</t>
  </si>
  <si>
    <t>Haemophilia</t>
  </si>
  <si>
    <t>10.1046/j.1365-2516.1999.00319.x</t>
  </si>
  <si>
    <t>Effectiveness of live, attenuated intranasal influenza virus vaccine in healthy, working adults: a randomized controlled trial</t>
  </si>
  <si>
    <t>Nichol KL, Mendelman PM, Mallon KP, Jackson LA, Gorse GJ, Belshe RB, Glezen WP, Wittes J.</t>
  </si>
  <si>
    <t>JAMA. 1999 Jul 14;282(2):137-44. doi: 10.1001/jama.282.2.137.</t>
  </si>
  <si>
    <t>10.1001/jama.282.2.137</t>
  </si>
  <si>
    <t>Long-term follow-up after percutaneous transluminal coronary angioplasty was not performed based on intravascular ultrasound findings: importance of lumen dimensions</t>
  </si>
  <si>
    <t>Abizaid AS, Mintz GS, Mehran R, Abizaid A, Lansky AJ, Pichard AD, Satler LF, Wu H, Pappas C, Kent KM, Leon MB.</t>
  </si>
  <si>
    <t>Circulation. 1999 Jul 20;100(3):256-61. doi: 10.1161/01.cir.100.3.256.</t>
  </si>
  <si>
    <t>10.1161/01.cir.100.3.256</t>
  </si>
  <si>
    <t>A randomized double-blind, multicenter plasma concentration controlled study of the safety and efficacy of oral mycophenolate mofetil for the prevention of acute rejection after kidney transplantation</t>
  </si>
  <si>
    <t>van Gelder T, Hilbrands LB, Vanrenterghem Y, Weimar W, de Fijter JW, Squifflet JP, Hené RJ, Verpooten GA, Navarro MT, Hale MD, Nicholls AJ.</t>
  </si>
  <si>
    <t>Transplantation. 1999 Jul 27;68(2):261-6. doi: 10.1097/00007890-199907270-00018.</t>
  </si>
  <si>
    <t>Transplantation</t>
  </si>
  <si>
    <t>10.1097/00007890-199907270-00018</t>
  </si>
  <si>
    <t>Effect of long-term salmeterol therapy compared with as-needed albuterol use on airway hyperresponsiveness</t>
  </si>
  <si>
    <t>Rosenthal RR, Busse WW, Kemp JP, Baker JW, Kalberg C, Emmett A, Rickard KA.</t>
  </si>
  <si>
    <t>Chest. 1999 Sep;116(3):595-602. doi: 10.1378/chest.116.3.595.</t>
  </si>
  <si>
    <t>10.1378/chest.116.3.595</t>
  </si>
  <si>
    <t>Continuous subcutaneous insulin infusion. A new way to lower risk of severe hypoglycemia, improve metabolic control, and enhance coping in adolescents with type 1 diabetes</t>
  </si>
  <si>
    <t>Boland EA, Grey M, Oesterle A, Fredrickson L, Tamborlane WV.</t>
  </si>
  <si>
    <t>Diabetes Care. 1999 Nov;22(11):1779-84. doi: 10.2337/diacare.22.11.1779.</t>
  </si>
  <si>
    <t>Diabetes Care</t>
  </si>
  <si>
    <t>10.2337/diacare.22.11.1779</t>
  </si>
  <si>
    <t>Adverse events during use of intranasal desmopressin acetate for haemophilia A and von Willebrand disease: a case report and review of 40 patients</t>
  </si>
  <si>
    <t>Dunn AL, Powers JR, Ribeiro MJ, Rickles FR, Abshire TC.</t>
  </si>
  <si>
    <t>Haemophilia. 2000 Jan;6(1):11-4. doi: 10.1046/j.1365-2516.2000.00367.x.</t>
  </si>
  <si>
    <t>10.1046/j.1365-2516.2000.00367.x</t>
  </si>
  <si>
    <t>[Is a more efficient operative strategy feasible for the emergency management of the patient with acute chest pain?]</t>
  </si>
  <si>
    <t>Cassin M, Badano LP, Solinas L, Macor F, Burelli C, Antonini-Canterin F, Cappelletti P, Rubin D, Tropeano P, Deganuto L, Nicolosi GL.</t>
  </si>
  <si>
    <t>Ital Heart J Suppl. 2000 Feb;1(2):186-201.</t>
  </si>
  <si>
    <t>Ital Heart J Suppl</t>
  </si>
  <si>
    <t>Stroke: antithrombin versus antiplatelet therapy</t>
  </si>
  <si>
    <t>Bednar MM.</t>
  </si>
  <si>
    <t>Expert Opin Investig Drugs. 2000 Feb;9(2):355-69. doi: 10.1517/13543784.9.2.355.</t>
  </si>
  <si>
    <t>Expert Opin Investig Drugs</t>
  </si>
  <si>
    <t>10.1517/13543784.9.2.355</t>
  </si>
  <si>
    <t>[Antiarrhythmic therapy in patients with heart failure]</t>
  </si>
  <si>
    <t>Faber TS, Zehender M.</t>
  </si>
  <si>
    <t>Ther Umsch. 2000 May;57(5):324-32. doi: 10.1024/0040-5930.57.5.324.</t>
  </si>
  <si>
    <t>Ther Umsch</t>
  </si>
  <si>
    <t>10.1024/0040-5930.57.5.324</t>
  </si>
  <si>
    <t>Smoking and gastro-oesophageal reflux disease</t>
  </si>
  <si>
    <t>Pandolfino JE, Kahrilas PJ.</t>
  </si>
  <si>
    <t>Eur J Gastroenterol Hepatol. 2000 Aug;12(8):837-42. doi: 10.1097/00042737-200012080-00002.</t>
  </si>
  <si>
    <t>Eur J Gastroenterol Hepatol</t>
  </si>
  <si>
    <t>10.1097/00042737-200012080-00002</t>
  </si>
  <si>
    <t>Nevirapine: a review of its use in the prevention and treatment of paediatric HIV infection</t>
  </si>
  <si>
    <t>Bardsley-Elliot A, Perry CM.</t>
  </si>
  <si>
    <t>Paediatr Drugs. 2000 Sep-Oct;2(5):373-407. doi: 10.2165/00128072-200002050-00005.</t>
  </si>
  <si>
    <t>Paediatr Drugs</t>
  </si>
  <si>
    <t>10.2165/00128072-200002050-00005</t>
  </si>
  <si>
    <t>Peginterferon alfa-2a in patients with chronic hepatitis C</t>
  </si>
  <si>
    <t>Zeuzem S, Feinman SV, Rasenack J, Heathcote EJ, Lai MY, Gane E, O'Grady J, Reichen J, Diago M, Lin A, Hoffman J, Brunda MJ.</t>
  </si>
  <si>
    <t>N Engl J Med. 2000 Dec 7;343(23):1666-72. doi: 10.1056/NEJM200012073432301.</t>
  </si>
  <si>
    <t>10.1056/NEJM200012073432301</t>
  </si>
  <si>
    <t>Toward the early diagnosis of neonatal sepsis and sepsis-like illness using novel heart rate analysis</t>
  </si>
  <si>
    <t>Griffin MP, Moorman JR.</t>
  </si>
  <si>
    <t>Pediatrics. 2001 Jan;107(1):97-104. doi: 10.1542/peds.107.1.97.</t>
  </si>
  <si>
    <t>10.1542/peds.107.1.97</t>
  </si>
  <si>
    <t>Human dermal safety studies with eflornithine HCl 13.9% cream (Vaniqa), a novel treatment for excessive facial hair</t>
  </si>
  <si>
    <t>Hickman JG, Huber F, Palmisano M.</t>
  </si>
  <si>
    <t>Curr Med Res Opin. 2001;16(4):235-44. doi: 10.1185/030079901750176735.</t>
  </si>
  <si>
    <t>Curr Med Res Opin</t>
  </si>
  <si>
    <t>10.1185/030079901750176735</t>
  </si>
  <si>
    <t>A randomized, double-blind, placebo-controlled trial of psychostimulants for the treatment of fatigue in ambulatory patients with human immunodeficiency virus disease</t>
  </si>
  <si>
    <t>Breitbart W, Rosenfeld B, Kaim M, Funesti-Esch J.</t>
  </si>
  <si>
    <t>Arch Intern Med. 2001 Feb 12;161(3):411-20. doi: 10.1001/archinte.161.3.411.</t>
  </si>
  <si>
    <t>Arch Intern Med</t>
  </si>
  <si>
    <t>10.1001/archinte.161.3.411</t>
  </si>
  <si>
    <t>Virulence factors of Helicobacter pylori</t>
  </si>
  <si>
    <t>Dundon WG, de Bernard M, Montecucco C.</t>
  </si>
  <si>
    <t>Int J Med Microbiol. 2001 Mar;290(8):647-58. doi: 10.1016/s1438-4221(01)80002-3.</t>
  </si>
  <si>
    <t>Int J Med Microbiol</t>
  </si>
  <si>
    <t>10.1016/s1438-4221(01)80002-3</t>
  </si>
  <si>
    <t>Clinical utility of the platelet function analyzer (PFA-100) for the assessment of the platelet status in patients with congestive heart failure (EPCOT trial)</t>
  </si>
  <si>
    <t>Serebruany VL, Alford AB, Meister AF, Fuzaylov SY, Gattis WA, Gurbel PA, O'Connor CM.</t>
  </si>
  <si>
    <t>Thromb Res. 2001 Mar 15;101(6):427-33. doi: 10.1016/s0049-3848(00)00431-x.</t>
  </si>
  <si>
    <t>Thromb Res</t>
  </si>
  <si>
    <t>10.1016/s0049-3848(00)00431-x</t>
  </si>
  <si>
    <t>Randomized placebo-controlled evaluation of intramuscular interferon beta treatment of recurrent human papillomavirus</t>
  </si>
  <si>
    <t>Gonzalez-Sanchez JL, Martinez-Chequer JC, Hernandez-Celaya ME, Barahona-Bustillos E, Andrade-Manzano AF.</t>
  </si>
  <si>
    <t>Obstet Gynecol. 2001 Apr;97(4):621-4. doi: 10.1016/s0029-7844(00)01201-1.</t>
  </si>
  <si>
    <t>Obstet Gynecol</t>
  </si>
  <si>
    <t>10.1016/s0029-7844(00)01201-1</t>
  </si>
  <si>
    <t>Troglitazone improves ovulation and hirsutism in the polycystic ovary syndrome: a multicenter, double blind, placebo-controlled trial</t>
  </si>
  <si>
    <t>Azziz R, Ehrmann D, Legro RS, Whitcomb RW, Hanley R, Fereshetian AG, O'Keefe M, Ghazzi MN; PCOS/Troglitazone Study Group.</t>
  </si>
  <si>
    <t>J Clin Endocrinol Metab. 2001 Apr;86(4):1626-32. doi: 10.1210/jcem.86.4.7375.</t>
  </si>
  <si>
    <t>J Clin Endocrinol Metab</t>
  </si>
  <si>
    <t>10.1210/jcem.86.4.7375</t>
  </si>
  <si>
    <t>Molecular epidemiology of viral pathogens and tracing of transmission routes: hepatitis-, calici- and hantaviruses</t>
  </si>
  <si>
    <t>Lappalainen M, Chen RW, Maunula L, von Bonsdorff C, Plyusnin A, Vaheri A.</t>
  </si>
  <si>
    <t>J Clin Virol. 2001 Jun;21(3):177-85. doi: 10.1016/s1386-6532(00)00162-1.</t>
  </si>
  <si>
    <t>J Clin Virol</t>
  </si>
  <si>
    <t>10.1016/s1386-6532(00)00162-1</t>
  </si>
  <si>
    <t>Bactericidal/permeability-increasing protein--lessons learned from the phase III, randomized, clinical trial of rBPI21 for adjunctive treatment of children with severe meningococcemia</t>
  </si>
  <si>
    <t>Giroir BP, Scannon PJ, Levin M.</t>
  </si>
  <si>
    <t>Crit Care Med. 2001 Jul;29(7 Suppl):S130-5. doi: 10.1097/00003246-200107001-00039.</t>
  </si>
  <si>
    <t>10.1097/00003246-200107001-00039</t>
  </si>
  <si>
    <t>Evaluating psychological debriefing: are we measuring the right outcomes?</t>
  </si>
  <si>
    <t>Deahl MP, Srinivasan M, Jones N, Neblett C, Jolly A.</t>
  </si>
  <si>
    <t>J Trauma Stress. 2001 Jul;14(3):527-9. doi: 10.1023/A:1011160606866.</t>
  </si>
  <si>
    <t>J Trauma Stress</t>
  </si>
  <si>
    <t>10.1023/A:1011160606866</t>
  </si>
  <si>
    <t>Risk factors for perioperative adverse respiratory events in children with upper respiratory tract infections</t>
  </si>
  <si>
    <t>Tait AR, Malviya S, Voepel-Lewis T, Munro HM, Seiwert M, Pandit UA.</t>
  </si>
  <si>
    <t>Anesthesiology. 2001 Aug;95(2):299-306. doi: 10.1097/00000542-200108000-00008.</t>
  </si>
  <si>
    <t>Anesthesiology</t>
  </si>
  <si>
    <t>10.1097/00000542-200108000-00008</t>
  </si>
  <si>
    <t>Adherence to treatment regimen in depressed patients treated with amitriptyline or fluoxetine</t>
  </si>
  <si>
    <t>Demyttenaere K, Mesters P, Boulanger B, Dewe W, Delsemme MH, Gregoire J, Van Ganse E.</t>
  </si>
  <si>
    <t>J Affect Disord. 2001 Aug;65(3):243-52. doi: 10.1016/s0165-0327(00)00225-1.</t>
  </si>
  <si>
    <t>J Affect Disord</t>
  </si>
  <si>
    <t>10.1016/s0165-0327(00)00225-1</t>
  </si>
  <si>
    <t>Effectiveness of CPAP treatment in daytime function in sleep apnea syndrome: a randomized controlled study with an optimized placebo</t>
  </si>
  <si>
    <t>Montserrat JM, Ferrer M, Hernandez L, Farré R, Vilagut G, Navajas D, Badia JR, Carrasco E, De Pablo J, Ballester E.</t>
  </si>
  <si>
    <t>Am J Respir Crit Care Med. 2001 Aug 15;164(4):608-13. doi: 10.1164/ajrccm.164.4.2006034.</t>
  </si>
  <si>
    <t>10.1164/ajrccm.164.4.2006034</t>
  </si>
  <si>
    <t>Administration of aerosolized antibiotics in cystic fibrosis patients</t>
  </si>
  <si>
    <t>Moss RB.</t>
  </si>
  <si>
    <t>Chest. 2001 Sep;120(3 Suppl):107S-113S. doi: 10.1378/chest.120.3_suppl.107s.</t>
  </si>
  <si>
    <t>10.1378/chest.120.3_suppl.107s</t>
  </si>
  <si>
    <t>[Antimicrobial prophylaxis of bacterial infections in pediatric oncology patients]</t>
  </si>
  <si>
    <t>Simon A, Fleischhack G, Marklein G, Ritter J.</t>
  </si>
  <si>
    <t>Klin Padiatr. 2001 Sep;213 Suppl 1:A22-37. doi: 10.1055/s-2001-17500.</t>
  </si>
  <si>
    <t>Klin Padiatr</t>
  </si>
  <si>
    <t>10.1055/s-2001-17500</t>
  </si>
  <si>
    <t>Assessment of the safety of recombinant tissue factor pathway inhibitor in patients with severe sepsis: a multicenter, randomized, placebo-controlled, single-blind, dose escalation study</t>
  </si>
  <si>
    <t>Abraham E, Reinhart K, Svoboda P, Seibert A, Olthoff D, Dal Nogare A, Postier R, Hempelmann G, Butler T, Martin E, Zwingelstein C, Percell S, Shu V, Leighton A, Creasey AA.</t>
  </si>
  <si>
    <t>Crit Care Med. 2001 Nov;29(11):2081-9. doi: 10.1097/00003246-200111000-00007.</t>
  </si>
  <si>
    <t>10.1097/00003246-200111000-00007</t>
  </si>
  <si>
    <t>A meta-analysis using individual patient data of trials comparing artemether with quinine in the treatment of severe falciparum malaria</t>
  </si>
  <si>
    <t>Artemether-Quinine Meta-analysis Study Group.</t>
  </si>
  <si>
    <t>Trans R Soc Trop Med Hyg. 2001 Nov-Dec;95(6):637-50. doi: 10.1016/s0035-9203(01)90104-x.</t>
  </si>
  <si>
    <t>Trans R Soc Trop Med Hyg</t>
  </si>
  <si>
    <t>10.1016/s0035-9203(01)90104-x</t>
  </si>
  <si>
    <t>Comparative onset of action and symptom relief with cetirizine, loratadine, or placebo in an environmental exposure unit in subjects with seasonal allergic rhinitis: confirmation of a test system</t>
  </si>
  <si>
    <t>Day JH, Briscoe M, Rafeiro E, Chapman D, Kramer B.</t>
  </si>
  <si>
    <t>Ann Allergy Asthma Immunol. 2001 Dec;87(6):474-81. doi: 10.1016/S1081-1206(10)62260-0.</t>
  </si>
  <si>
    <t>10.1016/S1081-1206(10)62260-0</t>
  </si>
  <si>
    <t>Pancreatic surgical complications--the case for prophylaxis</t>
  </si>
  <si>
    <t>Gouillat C, Gigot JF.</t>
  </si>
  <si>
    <t>Gut. 2001 Dec;49 Suppl 4(Suppl 4):iv32-9. doi: 10.1136/gut.49.suppl_4.iv29.</t>
  </si>
  <si>
    <t>Gut</t>
  </si>
  <si>
    <t>10.1136/gut.49.suppl_4.iv29</t>
  </si>
  <si>
    <t>Analysis of recurrent failure times data: should the baseline hazard be stratified?</t>
  </si>
  <si>
    <t>Mahé C, Chevret S.</t>
  </si>
  <si>
    <t>Stat Med. 2001 Dec 30;20(24):3807-15. doi: 10.1002/sim.909.</t>
  </si>
  <si>
    <t>Stat Med</t>
  </si>
  <si>
    <t>10.1002/sim.909</t>
  </si>
  <si>
    <t>Reboxetine, a selective norepinephrine reuptake inhibitor, is an effective and well-tolerated treatment for panic disorder</t>
  </si>
  <si>
    <t>Versiani M, Cassano G, Perugi G, Benedetti A, Mastalli L, Nardi A, Savino M.</t>
  </si>
  <si>
    <t>J Clin Psychiatry. 2002 Jan;63(1):31-7. doi: 10.4088/jcp.v63n0107.</t>
  </si>
  <si>
    <t>J Clin Psychiatry</t>
  </si>
  <si>
    <t>10.4088/jcp.v63n0107</t>
  </si>
  <si>
    <t>Antibiotics versus control for toxoplasma retinochoroiditis</t>
  </si>
  <si>
    <t>Gilbert RE, See SE, Jones LV, Stanford MS.</t>
  </si>
  <si>
    <t>Cochrane Database Syst Rev. 2002;(1):CD002218. doi: 10.1002/14651858.CD002218.</t>
  </si>
  <si>
    <t>Cochrane Database Syst Rev</t>
  </si>
  <si>
    <t>10.1002/14651858.CD002218</t>
  </si>
  <si>
    <t>[Coronary angioplasty in subgroups at risk: patients treated with bypass]</t>
  </si>
  <si>
    <t>La Vecchia L.</t>
  </si>
  <si>
    <t>Ital Heart J Suppl. 2002 Jan;3(1):16-25.</t>
  </si>
  <si>
    <t>Rifapentine and isoniazid in the continuation phase of a 6-month regimen. Final report at 5 years: prognostic value of various measures</t>
  </si>
  <si>
    <t>Tam CM, Chan SL, Kam KM, Goodall RL, Mitchison DA.</t>
  </si>
  <si>
    <t>Int J Tuberc Lung Dis. 2002 Jan;6(1):3-10.</t>
  </si>
  <si>
    <t>Int J Tuberc Lung Dis</t>
  </si>
  <si>
    <t>Theodore E. Woodward Award. How bacterial enterotoxins work: insights from in vivo studies</t>
  </si>
  <si>
    <t>Lamont JT.</t>
  </si>
  <si>
    <t>Trans Am Clin Climatol Assoc. 2002;113:167-80; discussion 180-1.</t>
  </si>
  <si>
    <t>Trans Am Clin Climatol Assoc</t>
  </si>
  <si>
    <t>Paracetamol for treating fever in children</t>
  </si>
  <si>
    <t>Meremikwu M, Oyo-Ita A.</t>
  </si>
  <si>
    <t>Cochrane Database Syst Rev. 2002;2002(2):CD003676. doi: 10.1002/14651858.CD003676.</t>
  </si>
  <si>
    <t>10.1002/14651858.CD003676</t>
  </si>
  <si>
    <t>Failure of platelet parameters and biomarkers to correlate platelet function to severity and etiology of heart failure in patients enrolled in the EPCOT trial. With special reference to the Hemodyne hemostatic analyzer. Whole Blood Impedance Aggregometry for the Assessment of Platelet Function in Patients with Congestive Heart Failure</t>
  </si>
  <si>
    <t>Serebruany VL, McKenzie ME, Meister AF, Fuzaylov SY, Gurbel PA, Atar D, Gattis WA, O'Connor CM.</t>
  </si>
  <si>
    <t>Pathophysiol Haemost Thromb. 2002 Jan-Feb;32(1):8-15. doi: 10.1159/000057283.</t>
  </si>
  <si>
    <t>Pathophysiol Haemost Thromb</t>
  </si>
  <si>
    <t>10.1159/000057283</t>
  </si>
  <si>
    <t>Effects on lung function, symptoms, and bronchial hyperreactivity of low-dose inhaled beclomethasone dipropionate given with HFA-134a or CFC propellant</t>
  </si>
  <si>
    <t>Woodcock A, Williams A, Batty L, Masterson C, Rossetti A, Cantini L.</t>
  </si>
  <si>
    <t>J Aerosol Med. 2002 Winter;15(4):407-14. doi: 10.1089/08942680260473489.</t>
  </si>
  <si>
    <t>J Aerosol Med</t>
  </si>
  <si>
    <t>10.1089/08942680260473489</t>
  </si>
  <si>
    <t>Randomized, double-masked, placebo-controlled comparison of the efficacy of emedastine difumarate 0.05% ophthalmic solution and ketotifen fumarate 0.025% ophthalmic solution in the human conjunctival allergen challenge model</t>
  </si>
  <si>
    <t>D'Arienzo PA, Leonardi A, Bensch G.</t>
  </si>
  <si>
    <t>Clin Ther. 2002 Mar;24(3):409-16. doi: 10.1016/s0149-2918(02)85042-1.</t>
  </si>
  <si>
    <t>10.1016/s0149-2918(02)85042-1</t>
  </si>
  <si>
    <t>Improved clinical outcomes for liver transplant recipients using cyclosporine monitoring based on 2-hr post-dose levels (C2)</t>
  </si>
  <si>
    <t>Levy G, Burra P, Cavallari A, Duvoux C, Lake J, Mayer AD, Mies S, Pollard SG, Varo E, Villamil F, Johnston A.</t>
  </si>
  <si>
    <t>Transplantation. 2002 Mar 27;73(6):953-9. doi: 10.1097/00007890-200203270-00022.</t>
  </si>
  <si>
    <t>10.1097/00007890-200203270-00022</t>
  </si>
  <si>
    <t>Evaluation of a parental training program for the management of childhood atopic dermatitis</t>
  </si>
  <si>
    <t>Staab D, von Rueden U, Kehrt R, Erhart M, Wenninger K, Kamtsiuris P, Wahn U.</t>
  </si>
  <si>
    <t>Pediatr Allergy Immunol. 2002 Apr;13(2):84-90. doi: 10.1034/j.1399-3038.2002.01005.x.</t>
  </si>
  <si>
    <t>Pediatr Allergy Immunol</t>
  </si>
  <si>
    <t>10.1034/j.1399-3038.2002.01005.x</t>
  </si>
  <si>
    <t>Cardiac imaging in women: use of radionuclide myocardial perfusion imaging and echocardiography for acute chest pain</t>
  </si>
  <si>
    <t>Mobasseri S, Hendel RC.</t>
  </si>
  <si>
    <t>Cardiol Rev. 2002 May-Jun;10(3):149-60. doi: 10.1097/00045415-200205000-00003.</t>
  </si>
  <si>
    <t>Cardiol Rev</t>
  </si>
  <si>
    <t>10.1097/00045415-200205000-00003</t>
  </si>
  <si>
    <t>Management of the acute respiratory distress syndrome</t>
  </si>
  <si>
    <t>Conrad SA, Bidani A.</t>
  </si>
  <si>
    <t>Chest Surg Clin N Am. 2002 May;12(2):325-54. doi: 10.1016/s1052-3359(02)00012-1.</t>
  </si>
  <si>
    <t>Chest Surg Clin N Am</t>
  </si>
  <si>
    <t>10.1016/s1052-3359(02)00012-1</t>
  </si>
  <si>
    <t>Mass casualty management of a large-scale bioterrorist event: an epidemiological approach that shapes triage decisions</t>
  </si>
  <si>
    <t>Burkle FM Jr.</t>
  </si>
  <si>
    <t>Emerg Med Clin North Am. 2002 May;20(2):409-36. doi: 10.1016/s0733-8627(01)00008-6.</t>
  </si>
  <si>
    <t>Emerg Med Clin North Am</t>
  </si>
  <si>
    <t>10.1016/s0733-8627(01)00008-6</t>
  </si>
  <si>
    <t>Severe, demyelinating leukoencephalopathy in AIDS patients on antiretroviral therapy</t>
  </si>
  <si>
    <t>Langford TD, Letendre SL, Marcotte TD, Ellis RJ, McCutchan JA, Grant I, Mallory ME, Hansen LA, Archibald S, Jernigan T, Masliah E; HNRC Group.</t>
  </si>
  <si>
    <t>AIDS. 2002 May 3;16(7):1019-29. doi: 10.1097/00002030-200205030-00008.</t>
  </si>
  <si>
    <t>AIDS</t>
  </si>
  <si>
    <t>NIHMS432666</t>
  </si>
  <si>
    <t>10.1097/00002030-200205030-00008</t>
  </si>
  <si>
    <t>Treatment approaches to major depressive disorder relapse. Part 2: reinitiation of antidepressant treatment</t>
  </si>
  <si>
    <t>Fava M, Schmidt ME, Zhang S, Gonzales J, Raute NJ, Judge R.</t>
  </si>
  <si>
    <t>Psychother Psychosom. 2002 Jul-Aug;71(4):195-9. doi: 10.1159/000063644.</t>
  </si>
  <si>
    <t>Psychother Psychosom</t>
  </si>
  <si>
    <t>10.1159/000063644</t>
  </si>
  <si>
    <t>Nonsomatic treatment of depression</t>
  </si>
  <si>
    <t>Sherrill JT, Kovacs M.</t>
  </si>
  <si>
    <t>Child Adolesc Psychiatr Clin N Am. 2002 Jul;11(3):579-93. doi: 10.1016/s1056-4993(02)00009-3.</t>
  </si>
  <si>
    <t>Child Adolesc Psychiatr Clin N Am</t>
  </si>
  <si>
    <t>10.1016/s1056-4993(02)00009-3</t>
  </si>
  <si>
    <t>Effect of treatment with low doses of hydrocortisone and fludrocortisone on mortality in patients with septic shock</t>
  </si>
  <si>
    <t>Annane D, Sébille V, Charpentier C, Bollaert PE, François B, Korach JM, Capellier G, Cohen Y, Azoulay E, Troché G, Chaumet-Riffaud P, Bellissant E.</t>
  </si>
  <si>
    <t>JAMA. 2002 Aug 21;288(7):862-71. doi: 10.1001/jama.288.7.862.</t>
  </si>
  <si>
    <t>10.1001/jama.288.7.862</t>
  </si>
  <si>
    <t>Zinc supplementation as adjunct therapy in children with measles accompanied by pneumonia: a double-blind, randomized controlled trial</t>
  </si>
  <si>
    <t>Mahalanabis D, Chowdhury A, Jana S, Bhattacharya MK, Chakrabarti MK, Wahed MA, Khaled MA.</t>
  </si>
  <si>
    <t>Am J Clin Nutr. 2002 Sep;76(3):604-7. doi: 10.1093/ajcn/76.3.604.</t>
  </si>
  <si>
    <t>Am J Clin Nutr</t>
  </si>
  <si>
    <t>10.1093/ajcn/76.3.604</t>
  </si>
  <si>
    <t>Efficacy of quetiapine and risperidone against depressive symptoms in outpatients with psychosis</t>
  </si>
  <si>
    <t>Sajatovic M, Mullen JA, Sweitzer DE.</t>
  </si>
  <si>
    <t>J Clin Psychiatry. 2002 Dec;63(12):1156-63. doi: 10.4088/jcp.v63n1211.</t>
  </si>
  <si>
    <t>10.4088/jcp.v63n1211</t>
  </si>
  <si>
    <t>Drotrecogin alfa (activated) administration across clinically important subgroups of patients with severe sepsis</t>
  </si>
  <si>
    <t>Ely EW, Laterre PF, Angus DC, Helterbrand JD, Levy H, Dhainaut JF, Vincent JL, Macias WL, Bernard GR; PROWESS Investigators.</t>
  </si>
  <si>
    <t>Crit Care Med. 2003 Jan;31(1):12-9. doi: 10.1097/00003246-200301000-00002.</t>
  </si>
  <si>
    <t>10.1097/00003246-200301000-00002</t>
  </si>
  <si>
    <t>Endotoxin tolerance: is there a clinical relevance?</t>
  </si>
  <si>
    <t>Cavaillon JM, Adrie C, Fitting C, Adib-Conquy M.</t>
  </si>
  <si>
    <t>J Endotoxin Res. 2003;9(2):101-7. doi: 10.1179/096805103125001487.</t>
  </si>
  <si>
    <t>J Endotoxin Res</t>
  </si>
  <si>
    <t>10.1179/096805103125001487</t>
  </si>
  <si>
    <t>Chronic myeloproliferative disorders</t>
  </si>
  <si>
    <t>Spivak JL, Barosi G, Tognoni G, Barbui T, Finazzi G, Marchioli R, Marchetti M.</t>
  </si>
  <si>
    <t>Hematology Am Soc Hematol Educ Program. 2003:200-24. doi: 10.1182/asheducation-2003.1.200.</t>
  </si>
  <si>
    <t>Hematology Am Soc Hematol Educ Program</t>
  </si>
  <si>
    <t>10.1182/asheducation-2003.1.200</t>
  </si>
  <si>
    <t>Infection complications associated with the use of biologic agents</t>
  </si>
  <si>
    <t>Bresnihan B, Cunnane G.</t>
  </si>
  <si>
    <t>Rheum Dis Clin North Am. 2003 Feb;29(1):185-202. doi: 10.1016/s0889-857x(02)00101-1.</t>
  </si>
  <si>
    <t>Rheum Dis Clin North Am</t>
  </si>
  <si>
    <t>10.1016/s0889-857x(02)00101-1</t>
  </si>
  <si>
    <t>Randomized comparison of photodynamic therapy with topical 5-fluorouracil in Bowen's disease</t>
  </si>
  <si>
    <t>Salim A, Leman JA, McColl JH, Chapman R, Morton CA.</t>
  </si>
  <si>
    <t>Br J Dermatol. 2003 Mar;148(3):539-43. doi: 10.1046/j.1365-2133.2003.05033.x.</t>
  </si>
  <si>
    <t>Br J Dermatol</t>
  </si>
  <si>
    <t>10.1046/j.1365-2133.2003.05033.x</t>
  </si>
  <si>
    <t>Trace elements and host defense: recent advances and continuing challenges</t>
  </si>
  <si>
    <t>Failla ML.</t>
  </si>
  <si>
    <t>J Nutr. 2003 May;133(5 Suppl 1):1443S-7S. doi: 10.1093/jn/133.5.1443S.</t>
  </si>
  <si>
    <t>J Nutr</t>
  </si>
  <si>
    <t>10.1093/jn/133.5.1443S</t>
  </si>
  <si>
    <t>Pegylated IFN-alpha2b plus ribavirin as therapy for chronic hepatitis C in HIV-infected patients</t>
  </si>
  <si>
    <t>Pérez-Olmeda M, Núñez M, Romero M, González J, Castro A, Arribas JR, Pedreira J, Barreiro P, García-Samaniego J, Martín-Carbonero L, Jiménez-Nácher I, Soriano V.</t>
  </si>
  <si>
    <t>AIDS. 2003 May 2;17(7):1023-8. doi: 10.1097/00002030-200305020-00011.</t>
  </si>
  <si>
    <t>10.1097/00002030-200305020-00011</t>
  </si>
  <si>
    <t>Beta lactam monotherapy versus beta lactam-aminoglycoside combination therapy for fever with neutropenia: systematic review and meta-analysis</t>
  </si>
  <si>
    <t>Paul M, Soares-Weiser K, Leibovici L.</t>
  </si>
  <si>
    <t>BMJ. 2003 May 24;326(7399):1111. doi: 10.1136/bmj.326.7399.1111.</t>
  </si>
  <si>
    <t>BMJ</t>
  </si>
  <si>
    <t>10.1136/bmj.326.7399.1111</t>
  </si>
  <si>
    <t>Drotrecogin alfa (activated) in the treatment of severe sepsis patients with multiple-organ dysfunction: data from the PROWESS trial</t>
  </si>
  <si>
    <t>Dhainaut JF, Laterre PF, Janes JM, Bernard GR, Artigas A, Bakker J, Riess H, Basson BR, Charpentier J, Utterback BG, Vincent JL; Recombinant Human Activated Protein C Worldwide Evaluation in Severe Sepsis (PROWESS) Study Group.</t>
  </si>
  <si>
    <t>Intensive Care Med. 2003 Jun;29(6):894-903. doi: 10.1007/s00134-003-1731-1. Epub 2003 Apr 24.</t>
  </si>
  <si>
    <t>10.1007/s00134-003-1731-1</t>
  </si>
  <si>
    <t>Safe treatment of head/neck AD with tacrolimus ointment</t>
  </si>
  <si>
    <t>Kang S, Paller A, Soter N, Satoi Y, Rico MJ, Hanifin JM.</t>
  </si>
  <si>
    <t>J Dermatolog Treat. 2003 Jun;14(2):86-94. doi: 10.1080/09546630310004324.</t>
  </si>
  <si>
    <t>J Dermatolog Treat</t>
  </si>
  <si>
    <t>10.1080/09546630310004324</t>
  </si>
  <si>
    <t>Recombinant platelet-activating factor acetylhydrolase to prevent acute respiratory distress syndrome and mortality in severe sepsis: Phase IIb, multicenter, randomized, placebo-controlled, clinical trial</t>
  </si>
  <si>
    <t>Schuster DP, Metzler M, Opal S, Lowry S, Balk R, Abraham E, Levy H, Slotman G, Coyne E, Souza S, Pribble J; Pafase ARDS Prevention Study Group.</t>
  </si>
  <si>
    <t>Crit Care Med. 2003 Jun;31(6):1612-9. doi: 10.1097/01.CCM.0000063267.79824.DB.</t>
  </si>
  <si>
    <t>10.1097/01.CCM.0000063267.79824.DB</t>
  </si>
  <si>
    <t>Efficacy and safety of a new triple-combination agent for the treatment of facial melasma</t>
  </si>
  <si>
    <t>Taylor SC, Torok H, Jones T, Lowe N, Rich P, Tschen E, Menter A, Baumann L, Wieder JJ, Jarratt MM, Pariser D, Martin D, Weiss J, Shavin J, Ramirez N.</t>
  </si>
  <si>
    <t>Cutis. 2003 Jul;72(1):67-72.</t>
  </si>
  <si>
    <t>Cutis</t>
  </si>
  <si>
    <t>Efficacy of dexpanthenol in skin protection against irritation: a double-blind, placebo-controlled study</t>
  </si>
  <si>
    <t>Biro K, Thaçi D, Ochsendorf FR, Kaufmann R, Boehncke WH.</t>
  </si>
  <si>
    <t>Contact Dermatitis. 2003 Aug;49(2):80-4. doi: 10.1111/j.0105-1873.2003.00184.x.</t>
  </si>
  <si>
    <t>Contact Dermatitis</t>
  </si>
  <si>
    <t>10.1111/j.0105-1873.2003.00184.x</t>
  </si>
  <si>
    <t>Inhaled corticosteroids: past lessons and future issues</t>
  </si>
  <si>
    <t>Allen DB, Bielory L, Derendorf H, Dluhy R, Colice GL, Szefler SJ.</t>
  </si>
  <si>
    <t>J Allergy Clin Immunol. 2003 Sep;112(3 Suppl):S1-40. doi: 10.1016/s0091-6749(03)01859-1.</t>
  </si>
  <si>
    <t>J Allergy Clin Immunol</t>
  </si>
  <si>
    <t>10.1016/s0091-6749(03)01859-1</t>
  </si>
  <si>
    <t>Resistance of gram-positive pathogens to antibiotics is a therapeutic challenge after liver transplantation: clinical experience in one center with linezolid</t>
  </si>
  <si>
    <t>Odakowska-Jedynak U, Paczek L, Krawczyk M, Zieniewicz K, Nyckowski P, Pawlak J, Patkowski W, Skwarek A, Paczkowska A.</t>
  </si>
  <si>
    <t>Transplant Proc. 2003 Sep;35(6):2304-6. doi: 10.1016/s0041-1345(03)00806-6.</t>
  </si>
  <si>
    <t>Transplant Proc</t>
  </si>
  <si>
    <t>10.1016/s0041-1345(03)00806-6</t>
  </si>
  <si>
    <t>A randomized trial of aspirin on the risk of embolic events in patients with infective endocarditis</t>
  </si>
  <si>
    <t>Chan KL, Dumesnil JG, Cujec B, Sanfilippo AJ, Jue J, Turek MA, Robinson TI, Moher D; Investigators of the Multicenter Aspirin Study in Infective Endocarditis.</t>
  </si>
  <si>
    <t>J Am Coll Cardiol. 2003 Sep 3;42(5):775-80. doi: 10.1016/s0735-1097(03)00829-5.</t>
  </si>
  <si>
    <t>J Am Coll Cardiol</t>
  </si>
  <si>
    <t>10.1016/s0735-1097(03)00829-5</t>
  </si>
  <si>
    <t>Meeting the challenge to improve the treatment of hypertension in blacks</t>
  </si>
  <si>
    <t>Lopes AA, James SA, Port FK, Ojo AO, Agodoa LY, Jamerson KA.</t>
  </si>
  <si>
    <t>J Clin Hypertens (Greenwich). 2003 Nov-Dec;5(6):393-401. doi: 10.1111/j.1524-6175.2003.01736.x.</t>
  </si>
  <si>
    <t>J Clin Hypertens (Greenwich)</t>
  </si>
  <si>
    <t>10.1111/j.1524-6175.2003.01736.x</t>
  </si>
  <si>
    <t>Gemcitabine, anthracycline, and taxane combinations for advanced breast cancer</t>
  </si>
  <si>
    <t>Zielinski CC.</t>
  </si>
  <si>
    <t>Oncology (Williston Park). 2003 Dec;17(12 Suppl 14):36-40.</t>
  </si>
  <si>
    <t>Oncology (Williston Park)</t>
  </si>
  <si>
    <t>Evaluation of outpatient treatment with ertapenem in a double blind controlled clinical trial of complicated skin/skin structure infections</t>
  </si>
  <si>
    <t>Gesser RM, McCarroll KA, Woods GL.</t>
  </si>
  <si>
    <t>J Infect. 2004 Jan;48(1):32-8. doi: 10.1016/j.jinf.2003.10.001.</t>
  </si>
  <si>
    <t>J Infect</t>
  </si>
  <si>
    <t>10.1016/j.jinf.2003.10.001</t>
  </si>
  <si>
    <t>Infectious and uterus related complications during pregnancy and development of atopic and nonatopic asthma in children</t>
  </si>
  <si>
    <t>Calvani M, Alessandri C, Sopo SM, Panetta V, Tripodi S, Torre A, Pingitore G, Frediani T, Volterrani A; Lazio Association of Pediatric Allergology (APAL) Study Group.</t>
  </si>
  <si>
    <t>Allergy. 2004 Jan;59(1):99-106. doi: 10.1046/j.1398-9995.2003.00338.x.</t>
  </si>
  <si>
    <t>10.1046/j.1398-9995.2003.00338.x</t>
  </si>
  <si>
    <t>Challenges for providing effective hemostasis in surgery and trauma</t>
  </si>
  <si>
    <t>Lawson JH, Murphy MP.</t>
  </si>
  <si>
    <t>Semin Hematol. 2004 Jan;41(1 Suppl 1):55-64. doi: 10.1053/j.seminhematol.2003.11.012.</t>
  </si>
  <si>
    <t>10.1053/j.seminhematol.2003.11.012</t>
  </si>
  <si>
    <t>Efficacy and tolerability of ophthalmic epinastine assessed using the conjunctival antigen challenge model in patients with a history of allergic conjunctivitis</t>
  </si>
  <si>
    <t>Abelson MB, Gomes P, Crampton HJ, Schiffman RM, Bradford RR, Whitcup SM.</t>
  </si>
  <si>
    <t>Clin Ther. 2004 Jan;26(1):35-47. doi: 10.1016/s0149-2918(04)90004-5.</t>
  </si>
  <si>
    <t>10.1016/s0149-2918(04)90004-5</t>
  </si>
  <si>
    <t>Randomized double-blind comparison of cetirizine and fexofenadine after pollen challenge in the Environmental Exposure Unit: duration of effect in subjects with seasonal allergic rhinitis</t>
  </si>
  <si>
    <t>Day JH, Briscoe MP, Rafeiro E, Hewlett D Jr, Chapman D, Kramer B.</t>
  </si>
  <si>
    <t>Allergy Asthma Proc. 2004 Jan-Feb;25(1):59-68.</t>
  </si>
  <si>
    <t>Allergy Asthma Proc</t>
  </si>
  <si>
    <t>Repaglinide : a pharmacoeconomic review of its use in type 2 diabetes mellitus</t>
  </si>
  <si>
    <t>Plosker GL, Figgitt DP.</t>
  </si>
  <si>
    <t>Pharmacoeconomics. 2004;22(6):389-411. doi: 10.2165/00019053-200422060-00005.</t>
  </si>
  <si>
    <t>Pharmacoeconomics</t>
  </si>
  <si>
    <t>10.2165/00019053-200422060-00005</t>
  </si>
  <si>
    <t>Therapeutic potential of anticytokine therapy in congestive heart failure</t>
  </si>
  <si>
    <t>Aukrust P, Yndestad A, Damås JK, Gullestad L.</t>
  </si>
  <si>
    <t>Am J Cardiovasc Drugs. 2004;4(3):169-77. doi: 10.2165/00129784-200404030-00004.</t>
  </si>
  <si>
    <t>Am J Cardiovasc Drugs</t>
  </si>
  <si>
    <t>10.2165/00129784-200404030-00004</t>
  </si>
  <si>
    <t>Biodefense research: can secrecy and safety coexist?</t>
  </si>
  <si>
    <t>Kahn LH.</t>
  </si>
  <si>
    <t>Biosecur Bioterror. 2004;2(2):81-5. doi: 10.1089/153871304323146379.</t>
  </si>
  <si>
    <t>Biosecur Bioterror</t>
  </si>
  <si>
    <t>10.1089/153871304323146379</t>
  </si>
  <si>
    <t>Antibiotics for preventing recurrent urinary tract infection in non-pregnant women</t>
  </si>
  <si>
    <t>Albert X, Huertas I, Pereiró II, Sanfélix J, Gosalbes V, Perrota C.</t>
  </si>
  <si>
    <t>Cochrane Database Syst Rev. 2004;2004(3):CD001209. doi: 10.1002/14651858.CD001209.pub2.</t>
  </si>
  <si>
    <t>10.1002/14651858.CD001209.pub2</t>
  </si>
  <si>
    <t>Compliance and satisfaction with raloxifene versus alendronate for the treatment of postmenopausal osteoporosis in clinical practice: An open-label, prospective, nonrandomized, observational study</t>
  </si>
  <si>
    <t>Turbí C, Herrero-Beaumont G, Acebes JC, Torrijos A, Graña J, Miguélez R, Sacristán J, Marín F.</t>
  </si>
  <si>
    <t>Clin Ther. 2004 Feb;26(2):245-56. doi: 10.1016/s0149-2918(04)90023-9.</t>
  </si>
  <si>
    <t>10.1016/s0149-2918(04)90023-9</t>
  </si>
  <si>
    <t>Clozapine improves dyskinesias in Parkinson disease: a double-blind, placebo-controlled study</t>
  </si>
  <si>
    <t>Durif F, Debilly B, Galitzky M, Morand D, Viallet F, Borg M, Thobois S, Broussolle E, Rascol O.</t>
  </si>
  <si>
    <t>Neurology. 2004 Feb 10;62(3):381-8. doi: 10.1212/01.wnl.0000110317.52453.6c.</t>
  </si>
  <si>
    <t>10.1212/01.wnl.0000110317.52453.6c</t>
  </si>
  <si>
    <t>Excimer laser angioplasty in acute myocardial infarction (the CARMEL multicenter trial)</t>
  </si>
  <si>
    <t>Topaz O, Ebersole D, Das T, Alderman EL, Madyoon H, Vora K, Baker JD, Hilton D, Dahm JB; CARMEL multicenter trial.</t>
  </si>
  <si>
    <t>Am J Cardiol. 2004 Mar 15;93(6):694-701. doi: 10.1016/j.amjcard.2003.11.050.</t>
  </si>
  <si>
    <t>10.1016/j.amjcard.2003.11.050</t>
  </si>
  <si>
    <t>Beta lactam monotherapy versus beta lactam-aminoglycoside combination therapy for sepsis in immunocompetent patients: systematic review and meta-analysis of randomised trials</t>
  </si>
  <si>
    <t>Paul M, Benuri-Silbiger I, Soares-Weiser K, Leibovici L.</t>
  </si>
  <si>
    <t>BMJ. 2004 Mar 20;328(7441):668. doi: 10.1136/bmj.38028.520995.63. Epub 2004 Mar 2.</t>
  </si>
  <si>
    <t>10.1136/bmj.38028.520995.63</t>
  </si>
  <si>
    <t>Mizolastine and fexofenadine modulate cytokine pattern after nasal allergen challenge</t>
  </si>
  <si>
    <t>Ciprandi G, Cirillo I, Vizzaccaro A.</t>
  </si>
  <si>
    <t>Eur Ann Allergy Clin Immunol. 2004 Apr;36(4):146-50.</t>
  </si>
  <si>
    <t>Eur Ann Allergy Clin Immunol</t>
  </si>
  <si>
    <t>Repetitive transcranial magnetic stimulation: a putative add-on treatment for major depression in elderly patients</t>
  </si>
  <si>
    <t>Mosimann UP, Schmitt W, Greenberg BD, Kosel M, Müri RM, Berkhoff M, Hess CW, Fisch HU, Schlaepfer TE.</t>
  </si>
  <si>
    <t>Psychiatry Res. 2004 Apr 30;126(2):123-33. doi: 10.1016/j.psychres.2003.10.006.</t>
  </si>
  <si>
    <t>Psychiatry Res</t>
  </si>
  <si>
    <t>10.1016/j.psychres.2003.10.006</t>
  </si>
  <si>
    <t>CD14 receptor occupancy in severe sepsis: results of a phase I clinical trial with a recombinant chimeric CD14 monoclonal antibody (IC14)</t>
  </si>
  <si>
    <t>Reinhart K, Glück T, Ligtenberg J, Tschaikowsky K, Bruining A, Bakker J, Opal S, Moldawer LL, Axtelle T, Turner T, Souza S, Pribble J.</t>
  </si>
  <si>
    <t>Crit Care Med. 2004 May;32(5):1100-8. doi: 10.1097/01.ccm.0000124870.42312.c4.</t>
  </si>
  <si>
    <t>10.1097/01.ccm.0000124870.42312.c4</t>
  </si>
  <si>
    <t>Challenges and opportunities in pandemic influenza planning: lessons learned from recent infectious disease preparedness and response efforts</t>
  </si>
  <si>
    <t>Gensheimer KF.</t>
  </si>
  <si>
    <t>Int Congr Ser. 2004 Jun;1263:809-812. doi: 10.1016/j.ics.2004.01.021. Epub 2004 Jun 30.</t>
  </si>
  <si>
    <t>Int Congr Ser</t>
  </si>
  <si>
    <t>10.1016/j.ics.2004.01.021</t>
  </si>
  <si>
    <t>Emerging therapeutic strategies for the management of dyslipidemia in patients with the metabolic syndrome</t>
  </si>
  <si>
    <t>Davidson MH.</t>
  </si>
  <si>
    <t>Am J Cardiol. 2004 Jun 3;93(11A):3C-11C. doi: 10.1016/j.amjcard.2004.02.006.</t>
  </si>
  <si>
    <t>10.1016/j.amjcard.2004.02.006</t>
  </si>
  <si>
    <t>A topical metronidazole gel used to treat malodorous wounds</t>
  </si>
  <si>
    <t>Bale S, Tebbie N, Price P.</t>
  </si>
  <si>
    <t>Br J Nurs. 2004 Jun 10;13(11):S4-11. doi: 10.12968/bjon.2004.13.Sup2.13233.</t>
  </si>
  <si>
    <t>Br J Nurs</t>
  </si>
  <si>
    <t>10.12968/bjon.2004.13.Sup2.13233</t>
  </si>
  <si>
    <t>[Neurobiology and pharmacotherapy of social phobia]</t>
  </si>
  <si>
    <t>Aouizerate B, Martin-Guehl C, Tignol J.</t>
  </si>
  <si>
    <t>Encephale. 2004 Jul-Aug;30(4):301-13. doi: 10.1016/s0013-7006(04)95442-5.</t>
  </si>
  <si>
    <t>Encephale</t>
  </si>
  <si>
    <t>10.1016/s0013-7006(04)95442-5</t>
  </si>
  <si>
    <t>[New perspectives for anticoagulation in non-rheumatic atrial fibrillation: oral antithrombins]</t>
  </si>
  <si>
    <t>Scardi S, Giansante C.</t>
  </si>
  <si>
    <t>Ital Heart J Suppl. 2004 Sep;5(9):705-11.</t>
  </si>
  <si>
    <t>A single injection ultrasound-assisted femoral nerve block provides side effect-sparing analgesia when compared with intrathecal morphine in patients undergoing total knee arthroplasty</t>
  </si>
  <si>
    <t>Sites BD, Beach M, Gallagher JD, Jarrett RA, Sparks MB, Lundberg CJF.</t>
  </si>
  <si>
    <t>Anesth Analg. 2004 Nov;99(5):1539-1543. doi: 10.1213/01.ANE.0000136470.51029.52.</t>
  </si>
  <si>
    <t>Anesth Analg</t>
  </si>
  <si>
    <t>10.1213/01.ANE.0000136470.51029.52</t>
  </si>
  <si>
    <t>A prospective, randomized, controlled clinical trial of placement of the artificial bowel sphincter (Acticon Neosphincter) for the control of fecal incontinence</t>
  </si>
  <si>
    <t>O'Brien PE, Dixon JB, Skinner S, Laurie C, Khera A, Fonda D.</t>
  </si>
  <si>
    <t>Dis Colon Rectum. 2004 Nov;47(11):1852-60. doi: 10.1007/s10350-004-0717-6.</t>
  </si>
  <si>
    <t>Dis Colon Rectum</t>
  </si>
  <si>
    <t>10.1007/s10350-004-0717-6</t>
  </si>
  <si>
    <t>A case-series of adverse events, positive re-challenge of symptoms, and events in identical twins following hepatitis B vaccination: analysis of the Vaccine Adverse Event Reporting System (VAERS) database and literature review</t>
  </si>
  <si>
    <t>Geier MR, Geier DA.</t>
  </si>
  <si>
    <t>Clin Exp Rheumatol. 2004 Nov-Dec;22(6):749-55.</t>
  </si>
  <si>
    <t>Clin Exp Rheumatol</t>
  </si>
  <si>
    <t>Preventive and curative effects of acupuncture on the common cold: a multicentre randomized controlled trial in Japan</t>
  </si>
  <si>
    <t>Kawakita K, Shichidou T, Inoue E, Nabeta T, Kitakouji H, Aizawa S, Nishida A, Yamaguchi N, Takahashi N, Yano T, Tanzawa S.</t>
  </si>
  <si>
    <t>Complement Ther Med. 2004 Dec;12(4):181-8. doi: 10.1016/j.ctim.2004.10.004.</t>
  </si>
  <si>
    <t>Complement Ther Med</t>
  </si>
  <si>
    <t>10.1016/j.ctim.2004.10.004</t>
  </si>
  <si>
    <t>Assessment of markers for identifying patients at risk for life-threatening arrhythmic events in Brugada syndrome</t>
  </si>
  <si>
    <t>Ajiro Y, Hagiwara N, Kasanuki H.</t>
  </si>
  <si>
    <t>J Cardiovasc Electrophysiol. 2005 Jan;16(1):45-51. doi: 10.1046/j.1540-8167.2005.04313.x.</t>
  </si>
  <si>
    <t>J Cardiovasc Electrophysiol</t>
  </si>
  <si>
    <t>10.1046/j.1540-8167.2005.04313.x</t>
  </si>
  <si>
    <t>Rotavirus vaccines and intussusception risk</t>
  </si>
  <si>
    <t>Bines JE.</t>
  </si>
  <si>
    <t>Curr Opin Gastroenterol. 2005 Jan;21(1):20-5.</t>
  </si>
  <si>
    <t>Curr Opin Gastroenterol</t>
  </si>
  <si>
    <t>A randomized open label clinical trial to compare the efficacy and safety of intravenous quinine followed by oral malarone vs. intravenous quinine followed by oral quinine in the treatment of severe malaria</t>
  </si>
  <si>
    <t>Esamai F, Tenge CN, Ayuo PO, Ong'or WO, Obala A, Jakait B.</t>
  </si>
  <si>
    <t>J Trop Pediatr. 2005 Feb;51(1):17-24. doi: 10.1093/tropej/fmh069. Epub 2004 Dec 15.</t>
  </si>
  <si>
    <t>J Trop Pediatr</t>
  </si>
  <si>
    <t>10.1093/tropej/fmh069</t>
  </si>
  <si>
    <t>Levofloxacin for treatment of ventilator-associated pneumonia: a subgroup analysis from a randomized trial</t>
  </si>
  <si>
    <t>Shorr AF, Zadeikis N, Jackson WL, Ramage AS, Wu SC, Tennenberg AM, Kollef MH.</t>
  </si>
  <si>
    <t>Clin Infect Dis. 2005 Feb 15;40 Suppl 2:S123-9. doi: 10.1086/426192.</t>
  </si>
  <si>
    <t>Clin Infect Dis</t>
  </si>
  <si>
    <t>10.1086/426192</t>
  </si>
  <si>
    <t>Benefits of omalizumab as add-on therapy in patients with severe persistent asthma who are inadequately controlled despite best available therapy (GINA 2002 step 4 treatment): INNOVATE</t>
  </si>
  <si>
    <t>Humbert M, Beasley R, Ayres J, Slavin R, Hébert J, Bousquet J, Beeh KM, Ramos S, Canonica GW, Hedgecock S, Fox H, Blogg M, Surrey K.</t>
  </si>
  <si>
    <t>Allergy. 2005 Mar;60(3):309-16. doi: 10.1111/j.1398-9995.2004.00772.x.</t>
  </si>
  <si>
    <t>10.1111/j.1398-9995.2004.00772.x</t>
  </si>
  <si>
    <t>Microbial keratitis in prospective studies of extended wear with disposable hydrogel contact lenses</t>
  </si>
  <si>
    <t>Holden BA, Sankaridurg PR, Sweeney DF, Stretton S, Naduvilath TJ, Rao GN.</t>
  </si>
  <si>
    <t>Cornea. 2005 Mar;24(2):156-61. doi: 10.1097/01.ico.0000138844.90668.91.</t>
  </si>
  <si>
    <t>Cornea</t>
  </si>
  <si>
    <t>10.1097/01.ico.0000138844.90668.91</t>
  </si>
  <si>
    <t>Gemifloxacin for the treatment of respiratory tract infections: in vitro susceptibility, pharmacokinetics and pharmacodynamics, clinical efficacy, and safety</t>
  </si>
  <si>
    <t>Bhavnani SM, Andes DR.</t>
  </si>
  <si>
    <t>Pharmacotherapy. 2005 May;25(5):717-40. doi: 10.1592/phco.25.5.717.63583.</t>
  </si>
  <si>
    <t>10.1592/phco.25.5.717.63583</t>
  </si>
  <si>
    <t>Systematic review comparing meropenem with imipenem plus cilastatin in the treatment of severe infections</t>
  </si>
  <si>
    <t>Edwards SJ, Emmas CE, Campbell HE.</t>
  </si>
  <si>
    <t>Curr Med Res Opin. 2005 May;21(5):785-94. doi: 10.1185/030079905X46223.</t>
  </si>
  <si>
    <t>10.1185/030079905X46223</t>
  </si>
  <si>
    <t>Prevention of postoperative abdominal adhesions by a novel, glycerol/sodium hyaluronate/carboxymethylcellulose-based bioresorbable membrane: a prospective, randomized, evaluator-blinded multicenter study</t>
  </si>
  <si>
    <t>Cohen Z, Senagore AJ, Dayton MT, Koruda MJ, Beck DE, Wolff BG, Fleshner PR, Thirlby RC, Ludwig KA, Larach SW, Weiss EG, Bauer JJ, Holmdahl L.</t>
  </si>
  <si>
    <t>Dis Colon Rectum. 2005 Jun;48(6):1130-9. doi: 10.1007/s10350-004-0954-8.</t>
  </si>
  <si>
    <t>10.1007/s10350-004-0954-8</t>
  </si>
  <si>
    <t>A phase 1 study of PAmAb, a fully human monoclonal antibody against Bacillus anthracis protective antigen, in healthy volunteers</t>
  </si>
  <si>
    <t>Subramanian GM, Cronin PW, Poley G, Weinstein A, Stoughton SM, Zhong J, Ou Y, Zmuda JF, Osborn BL, Freimuth WW.</t>
  </si>
  <si>
    <t>Clin Infect Dis. 2005 Jul 1;41(1):12-20. doi: 10.1086/430708. Epub 2005 May 24.</t>
  </si>
  <si>
    <t>10.1086/430708</t>
  </si>
  <si>
    <t>Plasma filtration adsorption dialysis (PFAD): a new technology for blood purification</t>
  </si>
  <si>
    <t>Nalesso F.</t>
  </si>
  <si>
    <t>Int J Artif Organs. 2005 Jul;28(7):731-8. doi: 10.1177/039139880502800712.</t>
  </si>
  <si>
    <t>Int J Artif Organs</t>
  </si>
  <si>
    <t>10.1177/039139880502800712</t>
  </si>
  <si>
    <t>Cellular mucosal defense during Helicobacter pylori infection: a review of the role of glutathione and the oxidative pentose pathway</t>
  </si>
  <si>
    <t>Matthews GM, Butler RN.</t>
  </si>
  <si>
    <t>Helicobacter. 2005 Aug;10(4):298-306. doi: 10.1111/j.1523-5378.2005.00327.x.</t>
  </si>
  <si>
    <t>Helicobacter</t>
  </si>
  <si>
    <t>10.1111/j.1523-5378.2005.00327.x</t>
  </si>
  <si>
    <t>Inflammatory basis of exercise-induced bronchoconstriction</t>
  </si>
  <si>
    <t>Hallstrand TS, Moody MW, Wurfel MM, Schwartz LB, Henderson WR Jr, Aitken ML.</t>
  </si>
  <si>
    <t>Am J Respir Crit Care Med. 2005 Sep 15;172(6):679-86. doi: 10.1164/rccm.200412-1667OC. Epub 2005 Jun 9.</t>
  </si>
  <si>
    <t>NIHMS30431</t>
  </si>
  <si>
    <t>10.1164/rccm.200412-1667OC</t>
  </si>
  <si>
    <t>Evaluation of imiquimod 5% cream to modify the natural history of herpes labialis: a pilot study</t>
  </si>
  <si>
    <t>Bernstein DI, Spruance SL, Arora SS, Schroeder JL, Meng TC.</t>
  </si>
  <si>
    <t>Clin Infect Dis. 2005 Sep 15;41(6):808-14. doi: 10.1086/432802. Epub 2005 Aug 10.</t>
  </si>
  <si>
    <t>10.1086/432802</t>
  </si>
  <si>
    <t>Vitamin supplements, socioeconomic status, and morbidity events as predictors of wasting in HIV-infected women from Tanzania</t>
  </si>
  <si>
    <t>Villamor E, Saathoff E, Manji K, Msamanga G, Hunter DJ, Fawzi WW.</t>
  </si>
  <si>
    <t>Am J Clin Nutr. 2005 Oct;82(4):857-65. doi: 10.1093/ajcn/82.4.857.</t>
  </si>
  <si>
    <t>10.1093/ajcn/82.4.857</t>
  </si>
  <si>
    <t>The nonreplicating smallpox candidate vaccines defective vaccinia Lister (dVV-L) and modified vaccinia Ankara (MVA) elicit robust long-term protection</t>
  </si>
  <si>
    <t>Coulibaly S, Brühl P, Mayrhofer J, Schmid K, Gerencer M, Falkner FG.</t>
  </si>
  <si>
    <t>Virology. 2005 Oct 10;341(1):91-101. doi: 10.1016/j.virol.2005.06.043.</t>
  </si>
  <si>
    <t>Virology</t>
  </si>
  <si>
    <t>10.1016/j.virol.2005.06.043</t>
  </si>
  <si>
    <t>Short-term safety and pharmacodynamics of amdoxovir in HIV-infected patients</t>
  </si>
  <si>
    <t>Thompson MA, Kessler HA, Eron JJ Jr, Jacobson JM, Adda N, Shen G, Zong J, Harris J, Moxham C, Rousseau FS; DAPD-101 Study Group.</t>
  </si>
  <si>
    <t>AIDS. 2005 Oct 14;19(15):1607-15. doi: 10.1097/01.aids.0000186822.68606.05.</t>
  </si>
  <si>
    <t>10.1097/01.aids.0000186822.68606.05</t>
  </si>
  <si>
    <t>Chemoprophylaxis and intermittent treatment for preventing malaria in children</t>
  </si>
  <si>
    <t>Meremikwu MM, Omari AA, Garner P.</t>
  </si>
  <si>
    <t>Cochrane Database Syst Rev. 2005 Oct 19;(4):CD003756. doi: 10.1002/14651858.CD003756.pub2.</t>
  </si>
  <si>
    <t>10.1002/14651858.CD003756.pub2</t>
  </si>
  <si>
    <t>Topical antibiotics without steroids for chronically discharging ears with underlying eardrum perforations</t>
  </si>
  <si>
    <t>Macfadyen CA, Acuin JM, Gamble C.</t>
  </si>
  <si>
    <t>Cochrane Database Syst Rev. 2005 Oct 19;2005(4):CD004618. doi: 10.1002/14651858.CD004618.pub2.</t>
  </si>
  <si>
    <t>10.1002/14651858.CD004618.pub2</t>
  </si>
  <si>
    <t>Epidemiology: dimensions of superspreading</t>
  </si>
  <si>
    <t>Galvani AP, May RM.</t>
  </si>
  <si>
    <t>Nature. 2005 Nov 17;438(7066):293-5. doi: 10.1038/438293a.</t>
  </si>
  <si>
    <t>Nature</t>
  </si>
  <si>
    <t>10.1038/438293a</t>
  </si>
  <si>
    <t>Treatment of unprotected left main coronary artery stenosis in the drug-eluting stent era</t>
  </si>
  <si>
    <t>Tanigawa J, Sutaria N, Goktekin O, Di Mario C.</t>
  </si>
  <si>
    <t>J Interv Cardiol. 2005 Dec;18(6):455-65. doi: 10.1111/j.1540-8183.2005.00086.x.</t>
  </si>
  <si>
    <t>J Interv Cardiol</t>
  </si>
  <si>
    <t>10.1111/j.1540-8183.2005.00086.x</t>
  </si>
  <si>
    <t>A single dose, three-arm, placebo-controlled, phase I study of the bradykinin B2 receptor antagonist Anatibant (LF16-0687Ms) in patients with severe traumatic brain injury</t>
  </si>
  <si>
    <t>Marmarou A, Guy M, Murphey L, Roy F, Layani L, Combal JP, Marquer C; American Brain Injury Consortium.</t>
  </si>
  <si>
    <t>J Neurotrauma. 2005 Dec;22(12):1444-55. doi: 10.1089/neu.2005.22.1444.</t>
  </si>
  <si>
    <t>J Neurotrauma</t>
  </si>
  <si>
    <t>10.1089/neu.2005.22.1444</t>
  </si>
  <si>
    <t>Endovascular aortic aneurysm repair with the Zenith AAA Endovascular Graft: does gender affect procedural success, postoperative morbidity, or early survival?</t>
  </si>
  <si>
    <t>Biebl M, Hakaim AG, Hugl B, Oldenburg WA, Paz-Fumagalli R, McKinney JM, Greenberg R, Chuter T; Zenith Investigators.</t>
  </si>
  <si>
    <t>Am Surg. 2005 Dec;71(12):1001-8.</t>
  </si>
  <si>
    <t>Am Surg</t>
  </si>
  <si>
    <t>Menopause: a review of botanical dietary supplements</t>
  </si>
  <si>
    <t>Low Dog T.</t>
  </si>
  <si>
    <t>Am J Med. 2005 Dec 19;118 Suppl 12B:98-108. doi: 10.1016/j.amjmed.2005.09.044.</t>
  </si>
  <si>
    <t>Am J Med</t>
  </si>
  <si>
    <t>10.1016/j.amjmed.2005.09.044</t>
  </si>
  <si>
    <t>Combining infliximab with methotrexate for the induction and maintenance of remission in refractory Crohn's disease: a controlled pilot study</t>
  </si>
  <si>
    <t>Schröder O, Blumenstein I, Stein J.</t>
  </si>
  <si>
    <t>Eur J Gastroenterol Hepatol. 2006 Jan;18(1):11-6. doi: 10.1097/00042737-200601000-00003.</t>
  </si>
  <si>
    <t>10.1097/00042737-200601000-00003</t>
  </si>
  <si>
    <t>Meta-analysis: Methods, strengths, weaknesses, and political uses</t>
  </si>
  <si>
    <t>Noble JH Jr.</t>
  </si>
  <si>
    <t>J Lab Clin Med. 2006 Jan;147(1):7-20. doi: 10.1016/j.lab.2005.08.006.</t>
  </si>
  <si>
    <t>J Lab Clin Med</t>
  </si>
  <si>
    <t>10.1016/j.lab.2005.08.006</t>
  </si>
  <si>
    <t>Zofenopril plus hydrochlorothiazide: Combination therapy for the treatment of mild to moderate hypertension</t>
  </si>
  <si>
    <t>Zanchetti A, Parati G, Malacco E.</t>
  </si>
  <si>
    <t>Drugs. 2006;66(8):1107-15. doi: 10.2165/00003495-200666080-00006.</t>
  </si>
  <si>
    <t>10.2165/00003495-200666080-00006</t>
  </si>
  <si>
    <t>Beyond small molecule drugs for heart failure: prospects for gene therapy</t>
  </si>
  <si>
    <t>Chien KR.</t>
  </si>
  <si>
    <t>Novartis Found Symp. 2006;274:244-56; discussion 256-9, 272-6.</t>
  </si>
  <si>
    <t>Novartis Found Symp</t>
  </si>
  <si>
    <t>Bedtime administration of graded-release diltiazem in patients with inadequate BP control: a tolerability and efficacy study</t>
  </si>
  <si>
    <t>Fitchett DH, Casanova A, Jaffer S, Tan M, Kornilova O, Goodman SG, Langer A; Outpatient Program with Tiazac XC in the Management of Hypertension (OPTIM) Investigators.</t>
  </si>
  <si>
    <t>Am J Cardiovasc Drugs. 2006;6(6):393-400. doi: 10.2165/00129784-200606060-00006.</t>
  </si>
  <si>
    <t>10.2165/00129784-200606060-00006</t>
  </si>
  <si>
    <t>T cell responses and dengue haemorrhagic fever</t>
  </si>
  <si>
    <t>Screaton G, Mongkolsapaya J.</t>
  </si>
  <si>
    <t>Novartis Found Symp. 2006;277:164-71; discussion 171-6, 251-3.</t>
  </si>
  <si>
    <t>Chinese herbs combined with Western medicine for severe acute respiratory syndrome (SARS)</t>
  </si>
  <si>
    <t>Liu X, Zhang M, He L, Li YP, Kang YK.</t>
  </si>
  <si>
    <t>Cochrane Database Syst Rev. 2006 Jan 25;(1):CD004882. doi: 10.1002/14651858.CD004882.pub2.</t>
  </si>
  <si>
    <t>10.1002/14651858.CD004882.pub2</t>
  </si>
  <si>
    <t>Chronic antithrombotic therapy in post-myocardial infarction patients</t>
  </si>
  <si>
    <t>Sodhi S, Lee R, Ezekowitz M.</t>
  </si>
  <si>
    <t>Clin Geriatr Med. 2006 Feb;22(1):167-82, x. doi: 10.1016/j.cger.2005.09.013.</t>
  </si>
  <si>
    <t>Clin Geriatr Med</t>
  </si>
  <si>
    <t>10.1016/j.cger.2005.09.013</t>
  </si>
  <si>
    <t>Group debriefing for people with chronic diseases during the SARS pandemic: Strength-Focused and Meaning-Oriented Approach for Resilience and Transformation (SMART)</t>
  </si>
  <si>
    <t>Ng SM, Chan TH, Chan CL, Lee AM, Yau JK, Chan CH, Lau J.</t>
  </si>
  <si>
    <t>Community Ment Health J. 2006 Feb;42(1):53-63. doi: 10.1007/s10597-005-9002-y.</t>
  </si>
  <si>
    <t>Community Ment Health J</t>
  </si>
  <si>
    <t>10.1007/s10597-005-9002-y</t>
  </si>
  <si>
    <t>Clobetasol propionate 0.05% in a novel foam formulation is safe and effective in the short-term treatment of patients with delayed pressure urticaria: a randomized, double-blind, placebo-controlled trial</t>
  </si>
  <si>
    <t>Vena GA, Cassano N, D'Argento V, Milani M.</t>
  </si>
  <si>
    <t>Br J Dermatol. 2006 Feb;154(2):353-6. doi: 10.1111/j.1365-2133.2005.06986.x.</t>
  </si>
  <si>
    <t>10.1111/j.1365-2133.2005.06986.x</t>
  </si>
  <si>
    <t>A randomized controlled study of preemptive lamivudine in patients receiving transarterial chemo-lipiodolization</t>
  </si>
  <si>
    <t>Jang JW, Choi JY, Bae SH, Yoon SK, Chang UI, Kim CW, Cho SH, Han JY, Lee YS.</t>
  </si>
  <si>
    <t>Hepatology. 2006 Feb;43(2):233-40. doi: 10.1002/hep.21024.</t>
  </si>
  <si>
    <t>10.1002/hep.21024</t>
  </si>
  <si>
    <t>The gastrointestinal safety and effect on disease activity of etoricoxib, a selective cox-2 inhibitor in inflammatory bowel diseases</t>
  </si>
  <si>
    <t>El Miedany Y, Youssef S, Ahmed I, El Gaafary M.</t>
  </si>
  <si>
    <t>Am J Gastroenterol. 2006 Feb;101(2):311-7. doi: 10.1111/j.1572-0241.2006.00384.x.</t>
  </si>
  <si>
    <t>Am J Gastroenterol</t>
  </si>
  <si>
    <t>10.1111/j.1572-0241.2006.00384.x</t>
  </si>
  <si>
    <t>Diagnostic approach and management strategy of childhood stroke</t>
  </si>
  <si>
    <t>Salih MA, Abdel-Gader AG.</t>
  </si>
  <si>
    <t>Saudi Med J. 2006 Mar;27 Suppl 1:S4-11.</t>
  </si>
  <si>
    <t>Saudi Med J</t>
  </si>
  <si>
    <t>Antibiotic treatment and factors influencing short and long term outcomes of acute exacerbations of chronic bronchitis</t>
  </si>
  <si>
    <t>Wilson R, Jones P, Schaberg T, Arvis P, Duprat-Lomon I, Sagnier PP; MOSAIC Study Group.</t>
  </si>
  <si>
    <t>Thorax. 2006 Apr;61(4):337-42. doi: 10.1136/thx.2005.045930. Epub 2006 Jan 31.</t>
  </si>
  <si>
    <t>10.1136/thx.2005.045930</t>
  </si>
  <si>
    <t>Brain injury in the infant: the old, the new, and the uncertain</t>
  </si>
  <si>
    <t>Badr Zahr LK, Purdy I.</t>
  </si>
  <si>
    <t>J Perinat Neonatal Nurs. 2006 Apr-Jun;20(2):163-75; quiz 176-7. doi: 10.1097/00005237-200604000-00011.</t>
  </si>
  <si>
    <t>J Perinat Neonatal Nurs</t>
  </si>
  <si>
    <t>10.1097/00005237-200604000-00011</t>
  </si>
  <si>
    <t>Recombinant human activated protein C for severe sepsis in neonates</t>
  </si>
  <si>
    <t>Kylat RI, Ohlsson A.</t>
  </si>
  <si>
    <t>Cochrane Database Syst Rev. 2006 Apr 19;(2):CD005385. doi: 10.1002/14651858.CD005385.pub2.</t>
  </si>
  <si>
    <t>10.1002/14651858.CD005385.pub2</t>
  </si>
  <si>
    <t>Vaccines for preventing malaria (SPf66)</t>
  </si>
  <si>
    <t>Graves P, Gelband H.</t>
  </si>
  <si>
    <t>Cochrane Database Syst Rev. 2006 Apr 19;2006(2):CD005966. doi: 10.1002/14651858.CD005966.</t>
  </si>
  <si>
    <t>10.1002/14651858.CD005966</t>
  </si>
  <si>
    <t>Drug-eluting stents in the treatment of intermediate lesions: pooled analysis from four randomized trials</t>
  </si>
  <si>
    <t>Moses JW, Stone GW, Nikolsky E, Mintz GS, Dangas G, Grube E, Ellis SG, Lansky AJ, Weisz G, Fahy M, Na Y, Russell ME, Donohoe D, Leon MB, Mehran R.</t>
  </si>
  <si>
    <t>J Am Coll Cardiol. 2006 Jun 6;47(11):2164-71. doi: 10.1016/j.jacc.2006.01.068. Epub 2006 May 15.</t>
  </si>
  <si>
    <t>10.1016/j.jacc.2006.01.068</t>
  </si>
  <si>
    <t>Enteroviral meningitis: natural history and outcome of pleconaril therapy</t>
  </si>
  <si>
    <t>Desmond RA, Accortt NA, Talley L, Villano SA, Soong SJ, Whitley RJ.</t>
  </si>
  <si>
    <t>Antimicrob Agents Chemother. 2006 Jul;50(7):2409-14. doi: 10.1128/AAC.00227-06.</t>
  </si>
  <si>
    <t>10.1128/AAC.00227-06</t>
  </si>
  <si>
    <t>Systematic review: the safety and tolerability of pharmacological agents for treatment of irritable bowel syndrome--a European perspective</t>
  </si>
  <si>
    <t>Heading R, Bardhan K, Hollerbach S, Lanas A, Fisher G.</t>
  </si>
  <si>
    <t>Aliment Pharmacol Ther. 2006 Jul 15;24(2):207-36. doi: 10.1111/j.1365-2036.2006.02937.x.</t>
  </si>
  <si>
    <t>10.1111/j.1365-2036.2006.02937.x</t>
  </si>
  <si>
    <t>Surgical interventions for bilateral congenital cataract</t>
  </si>
  <si>
    <t>Long V, Chen S, Hatt S.</t>
  </si>
  <si>
    <t>Cochrane Database Syst Rev. 2006 Jul 19;(3):CD003171. doi: 10.1002/14651858.CD003171.pub2.</t>
  </si>
  <si>
    <t>10.1002/14651858.CD003171.pub2</t>
  </si>
  <si>
    <t>Mite immunotherapy</t>
  </si>
  <si>
    <t>Fernández-Caldas E, Iraola V, Boquete M, Nieto A, Casanovas M.</t>
  </si>
  <si>
    <t>Curr Allergy Asthma Rep. 2006 Sep;6(5):413-9. doi: 10.1007/s11882-996-0015-6.</t>
  </si>
  <si>
    <t>Curr Allergy Asthma Rep</t>
  </si>
  <si>
    <t>10.1007/s11882-996-0015-6</t>
  </si>
  <si>
    <t>Rising to the challenge of treating high-risk patients</t>
  </si>
  <si>
    <t>Guthrie RM.</t>
  </si>
  <si>
    <t>Am J Manag Care. 2006 Oct;12(11 Suppl):S318-24.</t>
  </si>
  <si>
    <t>Am J Manag Care</t>
  </si>
  <si>
    <t>Safety of the intranasal toll-like receptor 4 agonist CRX-675 in allergic rhinitis</t>
  </si>
  <si>
    <t>Casale TB, Kessler J, Romero FA.</t>
  </si>
  <si>
    <t>Ann Allergy Asthma Immunol. 2006 Oct;97(4):454-6. doi: 10.1016/S1081-1206(10)60934-9.</t>
  </si>
  <si>
    <t>10.1016/S1081-1206(10)60934-9</t>
  </si>
  <si>
    <t>Vaccines for preventing malaria (pre-erythrocytic)</t>
  </si>
  <si>
    <t>Cochrane Database Syst Rev. 2006 Oct 18;2006(4):CD006198. doi: 10.1002/14651858.CD006198.</t>
  </si>
  <si>
    <t>10.1002/14651858.CD006198</t>
  </si>
  <si>
    <t>A DNA vaccine for Ebola virus is safe and immunogenic in a phase I clinical trial</t>
  </si>
  <si>
    <t>Martin JE, Sullivan NJ, Enama ME, Gordon IJ, Roederer M, Koup RA, Bailer RT, Chakrabarti BK, Bailey MA, Gomez PL, Andrews CA, Moodie Z, Gu L, Stein JA, Nabel GJ, Graham BS.</t>
  </si>
  <si>
    <t>Clin Vaccine Immunol. 2006 Nov;13(11):1267-77. doi: 10.1128/CVI.00162-06. Epub 2006 Sep 20.</t>
  </si>
  <si>
    <t>Clin Vaccine Immunol</t>
  </si>
  <si>
    <t>10.1128/CVI.00162-06</t>
  </si>
  <si>
    <t>Intraindividual, right-left comparison of topical methyl aminolaevulinate-photodynamic therapy and cryotherapy in subjects with actinic keratoses: a multicentre, randomized controlled study</t>
  </si>
  <si>
    <t>Morton C, Campbell S, Gupta G, Keohane S, Lear J, Zaki I, Walton S, Kerrouche N, Thomas G, Soto P; AKtion Investigators.</t>
  </si>
  <si>
    <t>Br J Dermatol. 2006 Nov;155(5):1029-36. doi: 10.1111/j.1365-2133.2006.07470.x.</t>
  </si>
  <si>
    <t>10.1111/j.1365-2133.2006.07470.x</t>
  </si>
  <si>
    <t>Etanercept and efalizumab for the treatment of psoriasis: a systematic review</t>
  </si>
  <si>
    <t>Woolacott N, Hawkins N, Mason A, Kainth A, Khadjesari Z, Vergel YB, Misso K, Light K, Chalmers R, Sculpher M, Riemsma R.</t>
  </si>
  <si>
    <t>Health Technol Assess. 2006 Nov;10(46):1-233, i-iv. doi: 10.3310/hta10460.</t>
  </si>
  <si>
    <t>Health Technol Assess</t>
  </si>
  <si>
    <t>10.3310/hta10460</t>
  </si>
  <si>
    <t>Prophylaxis and treatment of pregnant women for emerging infections and bioterrorism emergencies</t>
  </si>
  <si>
    <t>Cono J, Cragan JD, Jamieson DJ, Rasmussen SA.</t>
  </si>
  <si>
    <t>Emerg Infect Dis. 2006 Nov;12(11):1631-7. doi: 10.3201/eid1211.060618.</t>
  </si>
  <si>
    <t>Emerg Infect Dis</t>
  </si>
  <si>
    <t>10.3201/eid1211.060618</t>
  </si>
  <si>
    <t>BTKbase: the mutation database for X-linked agammaglobulinemia</t>
  </si>
  <si>
    <t>Väliaho J, Smith CI, Vihinen M.</t>
  </si>
  <si>
    <t>Hum Mutat. 2006 Dec;27(12):1209-17. doi: 10.1002/humu.20410.</t>
  </si>
  <si>
    <t>Hum Mutat</t>
  </si>
  <si>
    <t>10.1002/humu.20410</t>
  </si>
  <si>
    <t>[Rheumatoid arthritis: current status of therapy]</t>
  </si>
  <si>
    <t>El Bahri DM, Meddeb N, Sellami S.</t>
  </si>
  <si>
    <t>Tunis Med. 2007 Jan;85(1):1-8.</t>
  </si>
  <si>
    <t>Tunis Med</t>
  </si>
  <si>
    <t>Epidemiology, diagnosis and management of mixed mania</t>
  </si>
  <si>
    <t>González-Pinto A, Aldama A, Mosquera F, González Gómez C.</t>
  </si>
  <si>
    <t>CNS Drugs. 2007;21(8):611-26. doi: 10.2165/00023210-200721080-00001.</t>
  </si>
  <si>
    <t>CNS Drugs</t>
  </si>
  <si>
    <t>10.2165/00023210-200721080-00001</t>
  </si>
  <si>
    <t>A human rhinovirus model of chronic obstructive pulmonary disease exacerbations</t>
  </si>
  <si>
    <t>Contoli M, Caramori G, Mallia P, Papi A, Johnston SL.</t>
  </si>
  <si>
    <t>Contrib Microbiol. 2007;14:101-112. doi: 10.1159/000107057.</t>
  </si>
  <si>
    <t>Contrib Microbiol</t>
  </si>
  <si>
    <t>10.1159/000107057</t>
  </si>
  <si>
    <t>Effects of high doses of selenium, as sodium selenite, in septic shock patients a placebo-controlled, randomized, double-blind, multi-center phase II study--selenium and sepsis</t>
  </si>
  <si>
    <t>Forceville X.</t>
  </si>
  <si>
    <t>J Trace Elem Med Biol. 2007;21 Suppl 1:62-5. doi: 10.1016/j.jtemb.2007.09.021. Epub 2007 Oct 31.</t>
  </si>
  <si>
    <t>J Trace Elem Med Biol</t>
  </si>
  <si>
    <t>10.1016/j.jtemb.2007.09.021</t>
  </si>
  <si>
    <t>Randomized, placebo-controlled trial of Saforis for prevention and treatment of oral mucositis in breast cancer patients receiving anthracycline-based chemotherapy</t>
  </si>
  <si>
    <t>Peterson DE, Jones JB, Petit RG 2nd.</t>
  </si>
  <si>
    <t>Cancer. 2007 Jan 15;109(2):322-31. doi: 10.1002/cncr.22384.</t>
  </si>
  <si>
    <t>Cancer</t>
  </si>
  <si>
    <t>10.1002/cncr.22384</t>
  </si>
  <si>
    <t>Severe necrotizing pancreatitis following combined hepatitis A and B vaccination</t>
  </si>
  <si>
    <t>Shlomovitz E, Davies W, Cairns E, Brintnell WC, Goldszmidt M, Dresser GK.</t>
  </si>
  <si>
    <t>CMAJ. 2007 Jan 30;176(3):339-42. doi: 10.1503/cmaj.060360.</t>
  </si>
  <si>
    <t>CMAJ</t>
  </si>
  <si>
    <t>10.1503/cmaj.060360</t>
  </si>
  <si>
    <t>The effect of oral glutamine on 5-fluorouracil/leucovorin-induced mucositis/stomatitis assessed by intestinal permeability test</t>
  </si>
  <si>
    <t>Choi K, Lee SS, Oh SJ, Lim SY, Lim SY, Jeon WK, Oh TY, Kim JW.</t>
  </si>
  <si>
    <t>Clin Nutr. 2007 Feb;26(1):57-62. doi: 10.1016/j.clnu.2006.07.003. Epub 2006 Sep 1.</t>
  </si>
  <si>
    <t>Clin Nutr</t>
  </si>
  <si>
    <t>10.1016/j.clnu.2006.07.003</t>
  </si>
  <si>
    <t>[Rituximab (anti-CD20) for the treatment of autoimmune bullous diseases]</t>
  </si>
  <si>
    <t>Kasperkiewicz M, Zillikens D.</t>
  </si>
  <si>
    <t>Hautarzt. 2007 Feb;58(2):115-6, 118-21. doi: 10.1007/s00105-007-1284-2.</t>
  </si>
  <si>
    <t>Hautarzt</t>
  </si>
  <si>
    <t>10.1007/s00105-007-1284-2</t>
  </si>
  <si>
    <t>Thrombus aspiration with export catheter in ST elevation myocardial infarction</t>
  </si>
  <si>
    <t>Margheri M, Vittori G, Chechi T, Falchetti E, Cosgrave J, Spaziani G, Ricceri I, Giglioli C, Valente S, Gensini GF.</t>
  </si>
  <si>
    <t>J Interv Cardiol. 2007 Feb;20(1):38-43. doi: 10.1111/j.1540-8183.2007.00221.x.</t>
  </si>
  <si>
    <t>10.1111/j.1540-8183.2007.00221.x</t>
  </si>
  <si>
    <t>Aripiprazole for treatment-resistant schizophrenia: results of a multicenter, randomized, double-blind, comparison study versus perphenazine</t>
  </si>
  <si>
    <t>Kane JM, Meltzer HY, Carson WH Jr, McQuade RD, Marcus RN, Sanchez R; Aripiprazole Study Group.</t>
  </si>
  <si>
    <t>J Clin Psychiatry. 2007 Feb;68(2):213-23.</t>
  </si>
  <si>
    <t>Drotrecogin alfa (activated) in children with severe sepsis: a multicentre phase III randomised controlled trial</t>
  </si>
  <si>
    <t>Nadel S, Goldstein B, Williams MD, Dalton H, Peters M, Macias WL, Abd-Allah SA, Levy H, Angle R, Wang D, Sundin DP, Giroir B; REsearching severe Sepsis and Organ dysfunction in children: a gLobal perspective (RESOLVE) study group.</t>
  </si>
  <si>
    <t>Lancet. 2007 Mar 10;369(9564):836-843. doi: 10.1016/S0140-6736(07)60411-5.</t>
  </si>
  <si>
    <t>Lancet</t>
  </si>
  <si>
    <t>10.1016/S0140-6736(07)60411-5</t>
  </si>
  <si>
    <t>Drug-eluting stents versus bare metal stents following rotational atherectomy for heavily calcified coronary lesions: late angiographic and clinical follow-up results</t>
  </si>
  <si>
    <t>Khattab AA, Otto A, Hochadel M, Toelg R, Geist V, Richardt G.</t>
  </si>
  <si>
    <t>J Interv Cardiol. 2007 Apr;20(2):100-6. doi: 10.1111/j.1540-8183.2007.00243.x.</t>
  </si>
  <si>
    <t>10.1111/j.1540-8183.2007.00243.x</t>
  </si>
  <si>
    <t>Rupatadine in the treatment of chronic idiopathic urticaria: a double-blind, randomized, placebo-controlled multicentre study</t>
  </si>
  <si>
    <t>Gimenez-Arnau A, Pujol RM, Ianosi S, Kaszuba A, Malbran A, Poop G, Donado E, Perez I, Izquierdo I, Arnaiz E; Rupatadine Urticaria Study Group.</t>
  </si>
  <si>
    <t>Allergy. 2007 May;62(5):539-46. doi: 10.1111/j.1398-9995.2007.01330.x.</t>
  </si>
  <si>
    <t>10.1111/j.1398-9995.2007.01330.x</t>
  </si>
  <si>
    <t>Aripiprazole effects in patients with acute schizophrenia experiencing higher or lower agitation: a post hoc analysis of 4 randomized, placebo-controlled clinical trials</t>
  </si>
  <si>
    <t>Marder SR, West B, Lau GS, Pultz JA, Pikalov A, Marcus RN, Gutierrez-Esteinou R, Crandall DT.</t>
  </si>
  <si>
    <t>J Clin Psychiatry. 2007 May;68(5):662-8. doi: 10.4088/jcp.v68n0503.</t>
  </si>
  <si>
    <t>10.4088/jcp.v68n0503</t>
  </si>
  <si>
    <t>Low pH gel intranasal sprays inactivate influenza viruses in vitro and protect ferrets against influenza infection</t>
  </si>
  <si>
    <t>Rennie P, Bowtell P, Hull D, Charbonneau D, Lambkin-Williams R, Oxford J.</t>
  </si>
  <si>
    <t>Respir Res. 2007 May 17;8(1):38. doi: 10.1186/1465-9921-8-38.</t>
  </si>
  <si>
    <t>Respir Res</t>
  </si>
  <si>
    <t>10.1186/1465-9921-8-38</t>
  </si>
  <si>
    <t>Intraperitoneal chemotherapy for patients with advanced ovarian cancer: a review of the evidence and standards for the delivery of care</t>
  </si>
  <si>
    <t>Fung-Kee-Fung M, Provencher D, Rosen B, Hoskins P, Rambout L, Oliver T, Gotlieb W, Covens A; IP Chemotherapy Working Group/Society of Gynecologic Oncologists of Canada.</t>
  </si>
  <si>
    <t>Gynecol Oncol. 2007 Jun;105(3):747-56. doi: 10.1016/j.ygyno.2007.02.015. Epub 2007 Mar 21.</t>
  </si>
  <si>
    <t>Gynecol Oncol</t>
  </si>
  <si>
    <t>10.1016/j.ygyno.2007.02.015</t>
  </si>
  <si>
    <t>Efficacy and comfort of olopatadine 0.2% versus epinastine 0.05% ophthalmic solution for treating itching and redness induced by conjunctival allergen challenge</t>
  </si>
  <si>
    <t>Mah FS, Rosenwasser LJ, Townsend WD, Greiner JV, Bensch G.</t>
  </si>
  <si>
    <t>Curr Med Res Opin. 2007 Jun;23(6):1445-52. doi: 10.1185/030079907X188206. Epub 2007 May 18.</t>
  </si>
  <si>
    <t>10.1185/030079907X188206</t>
  </si>
  <si>
    <t>Anaphylaxis as an adverse event following immunisation</t>
  </si>
  <si>
    <t>Erlewyn-Lajeunesse M, Bonhoeffer J, Ruggeberg JU, Heath PT.</t>
  </si>
  <si>
    <t>J Clin Pathol. 2007 Jul;60(7):737-9. doi: 10.1136/jcp.2006.037457. Epub 2007 May 4.</t>
  </si>
  <si>
    <t>J Clin Pathol</t>
  </si>
  <si>
    <t>10.1136/jcp.2006.037457</t>
  </si>
  <si>
    <t>Population pharmacokinetics of tafenoquine during malaria prophylaxis in healthy subjects</t>
  </si>
  <si>
    <t>Charles BG, Miller AK, Nasveld PE, Reid MG, Harris IE, Edstein MD.</t>
  </si>
  <si>
    <t>Antimicrob Agents Chemother. 2007 Aug;51(8):2709-15. doi: 10.1128/AAC.01183-06. Epub 2007 May 21.</t>
  </si>
  <si>
    <t>10.1128/AAC.01183-06</t>
  </si>
  <si>
    <t>Implications of circadian clocks for the rhythmic delivery of cancer therapeutics</t>
  </si>
  <si>
    <t>Lévi F, Focan C, Karaboué A, de la Valette V, Focan-Henrard D, Baron B, Kreutz F, Giacchetti S.</t>
  </si>
  <si>
    <t>Adv Drug Deliv Rev. 2007 Aug 31;59(9-10):1015-35. doi: 10.1016/j.addr.2006.11.001. Epub 2007 Jul 4.</t>
  </si>
  <si>
    <t>Adv Drug Deliv Rev</t>
  </si>
  <si>
    <t>10.1016/j.addr.2006.11.001</t>
  </si>
  <si>
    <t>Phase I clinical trial in healthy adults of a nasal vaccine candidate containing recombinant hepatitis B surface and core antigens</t>
  </si>
  <si>
    <t>Betancourt AA, Delgado CA, Estévez ZC, Martínez JC, Ríos GV, Aureoles-Roselló SR, Zaldívar RA, Guzmán MA, Baile NF, Reyes PA, Ruano LO, Fernández AC, Lobaina-Matos Y, Fernández AD, Madrazo AI, Martínez MI, Baños ML, Alvarez NP, Baldo MD, Mestre RE, Pérez MV, Martínez ME, Escobar DA, Guanche MJ, Cáceres LM, Betancourt RS, Rando EH, Nieto GE, González VL, Rubido JC.</t>
  </si>
  <si>
    <t>Int J Infect Dis. 2007 Sep;11(5):394-401. doi: 10.1016/j.ijid.2006.09.010. Epub 2007 Jan 24.</t>
  </si>
  <si>
    <t>Int J Infect Dis</t>
  </si>
  <si>
    <t>10.1016/j.ijid.2006.09.010</t>
  </si>
  <si>
    <t>Prophylaxis of Pneumocystis pneumonia in immunocompromised non-HIV-infected patients: systematic review and meta-analysis of randomized controlled trials</t>
  </si>
  <si>
    <t>Green H, Paul M, Vidal L, Leibovici L.</t>
  </si>
  <si>
    <t>Mayo Clin Proc. 2007 Sep;82(9):1052-9. doi: 10.4065/82.9.1052.</t>
  </si>
  <si>
    <t>Mayo Clin Proc</t>
  </si>
  <si>
    <t>10.4065/82.9.1052</t>
  </si>
  <si>
    <t>A 24-week, multicenter, randomized, double-blind, placebo-controlled, parallel-group study of the efficacy and tolerability of combination therapy with rosiglitazone and sulfonylurea in African American and Hispanic American patients with type 2 diabetes inadequately controlled with sulfonylurea monotherapy</t>
  </si>
  <si>
    <t>Davidson JA, McMorn SO, Waterhouse BR, Cobitz AR.</t>
  </si>
  <si>
    <t>Clin Ther. 2007 Sep;29(9):1900-14. doi: 10.1016/j.clinthera.2007.09.011.</t>
  </si>
  <si>
    <t>10.1016/j.clinthera.2007.09.011</t>
  </si>
  <si>
    <t>Cinacalcet hydrochloride reduces the serum calcium concentration in inoperable parathyroid carcinoma</t>
  </si>
  <si>
    <t>Silverberg SJ, Rubin MR, Faiman C, Peacock M, Shoback DM, Smallridge RC, Schwanauer LE, Olson KA, Klassen P, Bilezikian JP.</t>
  </si>
  <si>
    <t>J Clin Endocrinol Metab. 2007 Oct;92(10):3803-8. doi: 10.1210/jc.2007-0585. Epub 2007 Jul 31.</t>
  </si>
  <si>
    <t>10.1210/jc.2007-0585</t>
  </si>
  <si>
    <t>Paclitaxel, carboplatin, 5-fluorouracil, and radiation for locally advanced esophageal cancer: phase II results of preliminary pharmacologic and molecular efforts to mitigate toxicity and predict outcomes: North Central Cancer Treatment Group (N0044)</t>
  </si>
  <si>
    <t>Jatoi A, Martenson JA, Foster NR, McLeod HL, Lair BS, Nichols F, Tschetter LK, Moore DF Jr, Fitch TR, Alberts SR; North Central Cancer Treatment Group (N0044).</t>
  </si>
  <si>
    <t>Am J Clin Oncol. 2007 Oct;30(5):507-13. doi: 10.1097/COC.0b013e31805c139a.</t>
  </si>
  <si>
    <t>Am J Clin Oncol</t>
  </si>
  <si>
    <t>10.1097/COC.0b013e31805c139a</t>
  </si>
  <si>
    <t>Safety of long-acting beta2-agonists in the treatment of asthma</t>
  </si>
  <si>
    <t>Cazzola M, Matera MG.</t>
  </si>
  <si>
    <t>Ther Adv Respir Dis. 2007 Oct;1(1):35-46. doi: 10.1177/1753465807081747.</t>
  </si>
  <si>
    <t>Ther Adv Respir Dis</t>
  </si>
  <si>
    <t>10.1177/1753465807081747</t>
  </si>
  <si>
    <t>Combined corticosteroid and long-acting beta-agonist in one inhaler versus long-acting beta-agonists for chronic obstructive pulmonary disease</t>
  </si>
  <si>
    <t>Nannini LJ, Cates CJ, Lasserson TJ, Poole P.</t>
  </si>
  <si>
    <t>Cochrane Database Syst Rev. 2007 Oct 17;(4):CD006829. doi: 10.1002/14651858.CD006829.</t>
  </si>
  <si>
    <t>10.1002/14651858.CD006829</t>
  </si>
  <si>
    <t>Assessment of a vesicular stomatitis virus-based vaccine by use of the mouse model of Ebola virus hemorrhagic fever</t>
  </si>
  <si>
    <t>Jones SM, Stroher U, Fernando L, Qiu X, Alimonti J, Melito P, Bray M, Klenk HD, Feldmann H.</t>
  </si>
  <si>
    <t>J Infect Dis. 2007 Nov 15;196 Suppl 2:S404-12. doi: 10.1086/520591.</t>
  </si>
  <si>
    <t>J Infect Dis</t>
  </si>
  <si>
    <t>10.1086/520591</t>
  </si>
  <si>
    <t>A study to evaluate safety and efficacy of mepolizumab in patients with moderate persistent asthma</t>
  </si>
  <si>
    <t>Flood-Page P, Swenson C, Faiferman I, Matthews J, Williams M, Brannick L, Robinson D, Wenzel S, Busse W, Hansel TT, Barnes NC; International Mepolizumab Study Group.</t>
  </si>
  <si>
    <t>Am J Respir Crit Care Med. 2007 Dec 1;176(11):1062-71. doi: 10.1164/rccm.200701-085OC. Epub 2007 Sep 13.</t>
  </si>
  <si>
    <t>10.1164/rccm.200701-085OC</t>
  </si>
  <si>
    <t>Exacerbation-free COPD: a goal too far?</t>
  </si>
  <si>
    <t>Rennard SI, Higenbottam T.</t>
  </si>
  <si>
    <t>Proc Am Thorac Soc. 2007 Dec;4(8):583-5. doi: 10.1513/pats.200707-098TH.</t>
  </si>
  <si>
    <t>Proc Am Thorac Soc</t>
  </si>
  <si>
    <t>10.1513/pats.200707-098TH</t>
  </si>
  <si>
    <t>Efficacy of insulin glargine and glimepiride in controlling blood glucose of ethnic Japanese patients with type 2 diabetes mellitus</t>
  </si>
  <si>
    <t>Kawamori R, Eliaschewitz FG, Takayama H, Hayashida CY.</t>
  </si>
  <si>
    <t>Diabetes Res Clin Pract. 2008 Jan;79(1):97-102. doi: 10.1016/j.diabres.2007.08.007. Epub 2007 Oct 4.</t>
  </si>
  <si>
    <t>Diabetes Res Clin Pract</t>
  </si>
  <si>
    <t>10.1016/j.diabres.2007.08.007</t>
  </si>
  <si>
    <t>Safety of triflusal (antiplatelet drug) in patients with aspirin-exacerbated respiratory diseases</t>
  </si>
  <si>
    <t>Fraj J, Valero A, Vives R, Pérez I, Borja J, Izquierdo I, Picado C.</t>
  </si>
  <si>
    <t>Allergy. 2008 Jan;63(1):112-5. doi: 10.1111/j.1398-9995.2007.01473.x.</t>
  </si>
  <si>
    <t>10.1111/j.1398-9995.2007.01473.x</t>
  </si>
  <si>
    <t>Fractional photothermolysis for the treatment of acne scars: a report of 27 Korean patients</t>
  </si>
  <si>
    <t>Lee HS, Lee JH, Ahn GY, Lee DH, Shin JW, Kim DH, Chung JH.</t>
  </si>
  <si>
    <t>J Dermatolog Treat. 2008;19(1):45-9. doi: 10.1080/09546630701691244.</t>
  </si>
  <si>
    <t>10.1080/09546630701691244</t>
  </si>
  <si>
    <t>Pharmacogenetics of oral anticoagulants: a basis for dose individualization</t>
  </si>
  <si>
    <t>Stehle S, Kirchheiner J, Lazar A, Fuhr U.</t>
  </si>
  <si>
    <t>Clin Pharmacokinet. 2008;47(9):565-94. doi: 10.2165/00003088-200847090-00002.</t>
  </si>
  <si>
    <t>Clin Pharmacokinet</t>
  </si>
  <si>
    <t>10.2165/00003088-200847090-00002</t>
  </si>
  <si>
    <t>Short- versus long-course antibacterial therapy for community-acquired pneumonia : a meta-analysis</t>
  </si>
  <si>
    <t>Dimopoulos G, Matthaiou DK, Karageorgopoulos DE, Grammatikos AP, Athanassa Z, Falagas ME.</t>
  </si>
  <si>
    <t>Drugs. 2008;68(13):1841-54. doi: 10.2165/00003495-200868130-00004.</t>
  </si>
  <si>
    <t>10.2165/00003495-200868130-00004</t>
  </si>
  <si>
    <t>Short communication safety, tolerability and pharmacokinetics of enfuvirtide administered by a needle-free injection system compared with subcutaneous injection</t>
  </si>
  <si>
    <t>Gottlieb M, Thommes JA; WAND Study Team.</t>
  </si>
  <si>
    <t>Antivir Ther. 2008;13(5):723-7.</t>
  </si>
  <si>
    <t>Antivir Ther</t>
  </si>
  <si>
    <t>Prepandemic influenza vaccine H5N1 (split virion, inactivated, adjuvanted) [Prepandrix]: a review of its use as an active immunization against influenza A subtype H5N1 virus</t>
  </si>
  <si>
    <t>Carter NJ, Plosker GL.</t>
  </si>
  <si>
    <t>BioDrugs. 2008;22(5):279-92. doi: 10.2165/00063030-200822050-00001.</t>
  </si>
  <si>
    <t>BioDrugs</t>
  </si>
  <si>
    <t>10.2165/00063030-200822050-00001</t>
  </si>
  <si>
    <t>ATG-Fresenius or daclizumab induction therapy in immunologically high risk kidney recipients: a prospective randomized pilot trial</t>
  </si>
  <si>
    <t>Kim MJ, Tsinalis D, Franz S, Binet I, Gürke L, Mihatsch MJ, Steiger J, Thiel G, Dickenmann M.</t>
  </si>
  <si>
    <t>Ann Transplant. 2008;13(4):21-7.</t>
  </si>
  <si>
    <t>Ann Transplant</t>
  </si>
  <si>
    <t>Efficacy and safety of ambroxol lozenges in the treatment of acute uncomplicated sore throat. EBM-based clinical documentation</t>
  </si>
  <si>
    <t>de Mey C, Peil H, Kölsch S, Bubeck J, Vix JM.</t>
  </si>
  <si>
    <t>Arzneimittelforschung. 2008;58(11):557-68. doi: 10.1055/s-0031-1296557.</t>
  </si>
  <si>
    <t>Arzneimittelforschung</t>
  </si>
  <si>
    <t>10.1055/s-0031-1296557</t>
  </si>
  <si>
    <t>Corticosteroids for managing tuberculous meningitis</t>
  </si>
  <si>
    <t>Prasad K, Singh MB.</t>
  </si>
  <si>
    <t>Cochrane Database Syst Rev. 2008 Jan 23;(1):CD002244. doi: 10.1002/14651858.CD002244.pub3.</t>
  </si>
  <si>
    <t>10.1002/14651858.CD002244.pub3</t>
  </si>
  <si>
    <t>Integrated care for co-occurring disorders: psychiatric symptoms, social functioning, and service costs at 18 months</t>
  </si>
  <si>
    <t>Craig TK, Johnson S, McCrone P, Afuwape S, Hughes E, Gournay K, White I, Wanigaratne S, Leese M, Thornicroft G.</t>
  </si>
  <si>
    <t>Psychiatr Serv. 2008 Mar;59(3):276-82. doi: 10.1176/ps.2008.59.3.276.</t>
  </si>
  <si>
    <t>Psychiatr Serv</t>
  </si>
  <si>
    <t>10.1176/ps.2008.59.3.276</t>
  </si>
  <si>
    <t>Parietaria sublingual allergoid immunotherapy with a co-seasonal treatment schedule</t>
  </si>
  <si>
    <t>D'Anneo RW, Arena A, Gammeri E, Bruno ME, Falagiani P, Riva G, Leonardi S, La Rosa M.</t>
  </si>
  <si>
    <t>Allergol Immunopathol (Madr). 2008 Mar-Apr;36(2):79-84. doi: 10.1157/13120392.</t>
  </si>
  <si>
    <t>Allergol Immunopathol (Madr)</t>
  </si>
  <si>
    <t>10.1157/13120392</t>
  </si>
  <si>
    <t>A randomized, placebo-controlled trial of repeated IV antibiotic therapy for Lyme encephalopathy</t>
  </si>
  <si>
    <t>Fallon BA, Keilp JG, Corbera KM, Petkova E, Britton CB, Dwyer E, Slavov I, Cheng J, Dobkin J, Nelson DR, Sackeim HA.</t>
  </si>
  <si>
    <t>Neurology. 2008 Mar 25;70(13):992-1003. doi: 10.1212/01.WNL.0000284604.61160.2d. Epub 2007 Oct 10.</t>
  </si>
  <si>
    <t>10.1212/01.WNL.0000284604.61160.2d</t>
  </si>
  <si>
    <t>Effect of single doses of maraviroc on the QT/QTc interval in healthy subjects</t>
  </si>
  <si>
    <t>Davis JD, Hackman F, Layton G, Higgins T, Sudworth D, Weissgerber G.</t>
  </si>
  <si>
    <t>Br J Clin Pharmacol. 2008 Apr;65 Suppl 1(Suppl 1):68-75. doi: 10.1111/j.1365-2125.2008.03138.x.</t>
  </si>
  <si>
    <t>Br J Clin Pharmacol</t>
  </si>
  <si>
    <t>10.1111/j.1365-2125.2008.03138.x</t>
  </si>
  <si>
    <t>Sublingual immunotherapy for latex allergy: tolerability and safety profile of rush build-up phase</t>
  </si>
  <si>
    <t>Nucera E, Schiavino D, Sabato V, Colagiovanni A, Pecora V, Rizzi A, Aruanno A, Milani M, Pollastrini E, Patriarca G.</t>
  </si>
  <si>
    <t>Curr Med Res Opin. 2008 Apr;24(4):1147-54. doi: 10.1185/030079908x291903. Epub 2008 Mar 10.</t>
  </si>
  <si>
    <t>10.1185/030079908x291903</t>
  </si>
  <si>
    <t>Meremikwu MM, Donegan S, Esu E.</t>
  </si>
  <si>
    <t>Cochrane Database Syst Rev. 2008 Apr 16;(2):CD003756. doi: 10.1002/14651858.CD003756.pub3.</t>
  </si>
  <si>
    <t>10.1002/14651858.CD003756.pub3</t>
  </si>
  <si>
    <t>Meta-analysis: ertapenem for complicated intra-abdominal infections</t>
  </si>
  <si>
    <t>Falagas ME, Peppas G, Makris GC, Karageorgopoulos DE, Matthaiou DK.</t>
  </si>
  <si>
    <t>Aliment Pharmacol Ther. 2008 May;27(10):919-31. doi: 10.1111/j.1365-2036.2008.03642.x. Epub 2008 Feb 9.</t>
  </si>
  <si>
    <t>10.1111/j.1365-2036.2008.03642.x</t>
  </si>
  <si>
    <t>Concurrent comparison of outcomes of primary angioplasty and of stent placement in high-risk patients with symptomatic intracranial stenosis</t>
  </si>
  <si>
    <t>Qureshi AI, Hussein HM, El-Gengaihy A, Abdelmoula M, K Suri MF.</t>
  </si>
  <si>
    <t>Neurosurgery. 2008 May;62(5):1053-60; discussion 1060-2. doi: 10.1227/01.neu.0000325867.06764.3a.</t>
  </si>
  <si>
    <t>Neurosurgery</t>
  </si>
  <si>
    <t>10.1227/01.neu.0000325867.06764.3a</t>
  </si>
  <si>
    <t>[Pilot study of a new matrix therapy agent (RGTA OTR4120) in treatment-resistant corneal ulcers and corneal dystrophy]</t>
  </si>
  <si>
    <t>Chebbi CK, Kichenin K, Amar N, Nourry H, Warnet JM, Barritault D, Baudouin C.</t>
  </si>
  <si>
    <t>J Fr Ophtalmol. 2008 May;31(5):465-71. doi: 10.1016/s0181-5512(08)72462-8.</t>
  </si>
  <si>
    <t>J Fr Ophtalmol</t>
  </si>
  <si>
    <t>10.1016/s0181-5512(08)72462-8</t>
  </si>
  <si>
    <t>18-month occurrence of severe events among early diagnosed HIV-infected children before antiretroviral therapy in Abidjan, Côte d'Ivoire: a cohort study</t>
  </si>
  <si>
    <t>Harambat J, Fassinou P, Becquet R, Touré P, Rouet F, Dabis F, Msellati P, Blanche S, Timité-Konan M, Salamon R, Leroy V; ANRS 1201/1202 Ditrame Plus Study Group.</t>
  </si>
  <si>
    <t>BMC Public Health. 2008 May 20;8:169. doi: 10.1186/1471-2458-8-169.</t>
  </si>
  <si>
    <t>BMC Public Health</t>
  </si>
  <si>
    <t>10.1186/1471-2458-8-169</t>
  </si>
  <si>
    <t>Clinical trial: a phase II, randomized study evaluating the safety, pharmacokinetics and anti-viral activity of clevudine for 12 weeks in patients with chronic hepatitis B</t>
  </si>
  <si>
    <t>Lim SG, Leung N, Hann HW, Lau GK, Trepo C, Mommeja-Marin H, Moxham C, Sorbel J, Snow A, Blum MR, Rousseau F, Marcellin P.</t>
  </si>
  <si>
    <t>Aliment Pharmacol Ther. 2008 Jun;27(12):1282-92. doi: 10.1111/j.1365-2036.2008.03686.x. Epub 2008 Mar 22.</t>
  </si>
  <si>
    <t>10.1111/j.1365-2036.2008.03686.x</t>
  </si>
  <si>
    <t>Efficacy and tolerability of adapalene 0.3% gel compared to tazarotene 0.1% gel in the treatment of acne vulgaris</t>
  </si>
  <si>
    <t>Thiboutot D, Arsonnaud S, Soto P.</t>
  </si>
  <si>
    <t>J Drugs Dermatol. 2008 Jun;7(6 Suppl):s3-10.</t>
  </si>
  <si>
    <t>J Drugs Dermatol</t>
  </si>
  <si>
    <t>Irinotecan plus cisplatin and dexamethasone (ICD) combination chemotherapy for patients with diffuse large B-cell lymphoma previously treated with Rituximab plus CHOP</t>
  </si>
  <si>
    <t>Kang HJ, Kim WS, Suh C, Park YH, Kim BS, Yuh YJ, Ryoo BY.</t>
  </si>
  <si>
    <t>Cancer Chemother Pharmacol. 2008 Jul;62(2):299-304. doi: 10.1007/s00280-007-0607-4. Epub 2007 Oct 9.</t>
  </si>
  <si>
    <t>Cancer Chemother Pharmacol</t>
  </si>
  <si>
    <t>10.1007/s00280-007-0607-4</t>
  </si>
  <si>
    <t>ECNP consensus meeting. Bipolar depression. Nice, March 2007</t>
  </si>
  <si>
    <t>Goodwin GM, Anderson I, Arango C, Bowden CL, Henry C, Mitchell PB, Nolen WA, Vieta E, Wittchen HU.</t>
  </si>
  <si>
    <t>Eur Neuropsychopharmacol. 2008 Jul;18(7):535-49. doi: 10.1016/j.euroneuro.2008.03.003. Epub 2008 May 23.</t>
  </si>
  <si>
    <t>Eur Neuropsychopharmacol</t>
  </si>
  <si>
    <t>10.1016/j.euroneuro.2008.03.003</t>
  </si>
  <si>
    <t>When T cells and macrophages do not talk: the hemophagocytic syndromes</t>
  </si>
  <si>
    <t>Arceci RJ.</t>
  </si>
  <si>
    <t>Curr Opin Hematol. 2008 Jul;15(4):359-67. doi: 10.1097/MOH.0b013e3282f97f88.</t>
  </si>
  <si>
    <t>Curr Opin Hematol</t>
  </si>
  <si>
    <t>10.1097/MOH.0b013e3282f97f88</t>
  </si>
  <si>
    <t>Phototherapy in the treatment of acne vulgaris</t>
  </si>
  <si>
    <t>Sami NA, Attia AT, Badawi AM.</t>
  </si>
  <si>
    <t>J Drugs Dermatol. 2008 Jul;7(7):627-32.</t>
  </si>
  <si>
    <t>Maraviroc: a CCR5-receptor antagonist for the treatment of HIV-1 infection</t>
  </si>
  <si>
    <t>Lieberman-Blum SS, Fung HB, Bandres JC.</t>
  </si>
  <si>
    <t>Clin Ther. 2008 Jul;30(7):1228-50. doi: 10.1016/s0149-2918(08)80048-3.</t>
  </si>
  <si>
    <t>10.1016/s0149-2918(08)80048-3</t>
  </si>
  <si>
    <t>Prolonged-release oxycodone enhances the effects of existing gabapentin therapy in painful diabetic neuropathy patients</t>
  </si>
  <si>
    <t>Hanna M, O'Brien C, Wilson MC.</t>
  </si>
  <si>
    <t>Eur J Pain. 2008 Aug;12(6):804-13. doi: 10.1016/j.ejpain.2007.12.010. Epub 2008 Feb 8.</t>
  </si>
  <si>
    <t>Eur J Pain</t>
  </si>
  <si>
    <t>10.1016/j.ejpain.2007.12.010</t>
  </si>
  <si>
    <t>Evaluation of the efficacy and safety of infliximab on psoriatic nails: an unblinded, nonrandomized, open-label study</t>
  </si>
  <si>
    <t>Rigopoulos D, Gregoriou S, Stratigos A, Larios G, Korfitis C, Papaioannou D, Antoniou C, Ioannides D.</t>
  </si>
  <si>
    <t>Br J Dermatol. 2008 Aug;159(2):453-6. doi: 10.1111/j.1365-2133.2008.08686.x. Epub 2008 Jun 28.</t>
  </si>
  <si>
    <t>10.1111/j.1365-2133.2008.08686.x</t>
  </si>
  <si>
    <t>A randomized controlled trial of the efficacy and safety of a fixed triple combination (fluocinolone acetonide 0.01%, hydroquinone 4%, tretinoin 0.05%) compared with hydroquinone 4% cream in Asian patients with moderate to severe melasma</t>
  </si>
  <si>
    <t>Chan R, Park KC, Lee MH, Lee ES, Chang SE, Leow YH, Tay YK, Legarda-Montinola F, Tsai RY, Tsai TH, Shek S, Kerrouche N, Thomas G, Verallo-Rowell V.</t>
  </si>
  <si>
    <t>Br J Dermatol. 2008 Sep;159(3):697-703. doi: 10.1111/j.1365-2133.2008.08717.x. Epub 2008 Jul 4.</t>
  </si>
  <si>
    <t>10.1111/j.1365-2133.2008.08717.x</t>
  </si>
  <si>
    <t>[The kidneys and hypertension]</t>
  </si>
  <si>
    <t>Hausberg M, Mann J, Kühn K.</t>
  </si>
  <si>
    <t>Dtsch Med Wochenschr. 2008 Sep;133(37):1853-6. doi: 10.1055/s-0028-1082809. Epub 2008 Sep 3.</t>
  </si>
  <si>
    <t>Dtsch Med Wochenschr</t>
  </si>
  <si>
    <t>10.1055/s-0028-1082809</t>
  </si>
  <si>
    <t>Dosing and safety of cyclosporine in patients with severe brain injury</t>
  </si>
  <si>
    <t>Hatton J, Rosbolt B, Empey P, Kryscio R, Young B.</t>
  </si>
  <si>
    <t>J Neurosurg. 2008 Oct;109(4):699-707. doi: 10.3171/JNS/2008/109/10/0699.</t>
  </si>
  <si>
    <t>J Neurosurg</t>
  </si>
  <si>
    <t>NIHMS151494</t>
  </si>
  <si>
    <t>10.3171/JNS/2008/109/10/0699</t>
  </si>
  <si>
    <t>Pharmacology of traumatic brain injury: where is the "golden bullet"?</t>
  </si>
  <si>
    <t>Beauchamp K, Mutlak H, Smith WR, Shohami E, Stahel PF.</t>
  </si>
  <si>
    <t>Mol Med. 2008 Nov-Dec;14(11-12):731-40. doi: 10.2119/2008-00050.Beauchamp. Epub 2008 Aug 18.</t>
  </si>
  <si>
    <t>Mol Med</t>
  </si>
  <si>
    <t>10.2119/2008-00050.Beauchamp</t>
  </si>
  <si>
    <t>A predictive model of health state utilities for HIV patients in the modern era of highly active antiretroviral therapy</t>
  </si>
  <si>
    <t>Kauf TL, Roskell N, Shearer A, Gazzard B, Mauskopf J, Davis EA, Nimsch C.</t>
  </si>
  <si>
    <t>Value Health. 2008 Dec;11(7):1144-53. doi: 10.1111/j.1524-4733.2008.00326.x. Epub 2008 May 20.</t>
  </si>
  <si>
    <t>Value Health</t>
  </si>
  <si>
    <t>10.1111/j.1524-4733.2008.00326.x</t>
  </si>
  <si>
    <t>Brain-computer interface in paralysis</t>
  </si>
  <si>
    <t>Birbaumer N, Murguialday AR, Cohen L.</t>
  </si>
  <si>
    <t>Curr Opin Neurol. 2008 Dec;21(6):634-8. doi: 10.1097/WCO.0b013e328315ee2d.</t>
  </si>
  <si>
    <t>Curr Opin Neurol</t>
  </si>
  <si>
    <t>10.1097/WCO.0b013e328315ee2d</t>
  </si>
  <si>
    <t>Inactivated rotavirus vaccines: a priority for accelerated vaccine development</t>
  </si>
  <si>
    <t>Jiang B, Gentsch JR, Glass RI.</t>
  </si>
  <si>
    <t>Vaccine. 2008 Dec 9;26(52):6754-8. doi: 10.1016/j.vaccine.2008.10.008. Epub 2008 Oct 23.</t>
  </si>
  <si>
    <t>10.1016/j.vaccine.2008.10.008</t>
  </si>
  <si>
    <t>Liposomal amphotericin B: a review of its use as empirical therapy in febrile neutropenia and in the treatment of invasive fungal infections</t>
  </si>
  <si>
    <t>Moen MD, Lyseng-Williamson KA, Scott LJ.</t>
  </si>
  <si>
    <t>Drugs. 2009;69(3):361-92. doi: 10.2165/00003495-200969030-00010.</t>
  </si>
  <si>
    <t>10.2165/00003495-200969030-00010</t>
  </si>
  <si>
    <t>Study design considerations in a large COPD trial comparing effects of tiotropium with salmeterol on exacerbations</t>
  </si>
  <si>
    <t>Beeh KM, Hederer B, Glaab T, Müller A, Rutten-van Moelken M, Kesten S, Vogelmeier C.</t>
  </si>
  <si>
    <t>Int J Chron Obstruct Pulmon Dis. 2009;4:119-25. Epub 2009 Apr 15.</t>
  </si>
  <si>
    <t>Int J Chron Obstruct Pulmon Dis</t>
  </si>
  <si>
    <t>Pharmacovigilance of biopharmaceuticals: challenges remain</t>
  </si>
  <si>
    <t>Giezen TJ, Mantel-Teeuwisse AK, Leufkens HG.</t>
  </si>
  <si>
    <t>Drug Saf. 2009;32(10):811-7. doi: 10.2165/11316550-000000000-00000.</t>
  </si>
  <si>
    <t>Drug Saf</t>
  </si>
  <si>
    <t>10.2165/11316550-000000000-00000</t>
  </si>
  <si>
    <t>Demystifying neuropsychiatric lupus--is it possible?</t>
  </si>
  <si>
    <t>Hanly JG.</t>
  </si>
  <si>
    <t>Bull NYU Hosp Jt Dis. 2009;67(3):276-80.</t>
  </si>
  <si>
    <t>Bull NYU Hosp Jt Dis</t>
  </si>
  <si>
    <t>Ultraviolet Phototherapy Management of Moderate-to-Severe Plaque Psoriasis: An Evidence-Based Analysis</t>
  </si>
  <si>
    <t>Medical Advisory Secretariat.</t>
  </si>
  <si>
    <t>Ont Health Technol Assess Ser. 2009;9(27):1-66. Epub 2009 Nov 1.</t>
  </si>
  <si>
    <t>Ont Health Technol Assess Ser</t>
  </si>
  <si>
    <t>Granulocyte transfusions for preventing infections in patients with neutropenia or neutrophil dysfunction</t>
  </si>
  <si>
    <t>Massey E, Paulus U, Doree C, Stanworth S.</t>
  </si>
  <si>
    <t>Cochrane Database Syst Rev. 2009 Jan 21;(1):CD005341. doi: 10.1002/14651858.CD005341.pub2.</t>
  </si>
  <si>
    <t>10.1002/14651858.CD005341.pub2</t>
  </si>
  <si>
    <t>MALVAC 2008: Measures of efficacy of malaria vaccines in phase 2b and phase 3 trials--scientific, regulatory and public health perspectives</t>
  </si>
  <si>
    <t>Moorthy VS, Reed Z, Smith PG; WHO Malaria Vaccine Advisory Committee.</t>
  </si>
  <si>
    <t>Vaccine. 2009 Jan 29;27(5):624-8. doi: 10.1016/j.vaccine.2008.11.034. Epub 2008 Dec 4.</t>
  </si>
  <si>
    <t>10.1016/j.vaccine.2008.11.034</t>
  </si>
  <si>
    <t>Recombinant modified vaccinia virus Ankara expressing the hemagglutinin gene confers protection against homologous and heterologous H5N1 influenza virus infections in macaques</t>
  </si>
  <si>
    <t>Kreijtz JH, Suezer Y, de Mutsert G, van den Brand JM, van Amerongen G, Schnierle BS, Kuiken T, Fouchier RA, Löwer J, Osterhaus AD, Sutter G, Rimmelzwaan GF.</t>
  </si>
  <si>
    <t>J Infect Dis. 2009 Feb 1;199(3):405-13. doi: 10.1086/595984.</t>
  </si>
  <si>
    <t>10.1086/595984</t>
  </si>
  <si>
    <t>C-reactive protein and coronary heart disease: predictive test or therapeutic target?</t>
  </si>
  <si>
    <t>Hingorani AD, Shah T, Casas JP, Humphries SE, Talmud PJ.</t>
  </si>
  <si>
    <t>Clin Chem. 2009 Feb;55(2):239-55. doi: 10.1373/clinchem.2008.115923. Epub 2008 Dec 29.</t>
  </si>
  <si>
    <t>Clin Chem</t>
  </si>
  <si>
    <t>10.1373/clinchem.2008.115923</t>
  </si>
  <si>
    <t>Effectiveness and safety of short vs. long duration of antibiotic therapy for acute bacterial sinusitis: a meta-analysis of randomized trials</t>
  </si>
  <si>
    <t>Falagas ME, Karageorgopoulos DE, Grammatikos AP, Matthaiou DK.</t>
  </si>
  <si>
    <t>Br J Clin Pharmacol. 2009 Feb;67(2):161-71. doi: 10.1111/j.1365-2125.2008.03306.x. Epub 2008 Sep 19.</t>
  </si>
  <si>
    <t>10.1111/j.1365-2125.2008.03306.x</t>
  </si>
  <si>
    <t>Safety and immunogenicity of SC599, an oral live attenuated Shigella dysenteriae type-1 vaccine in healthy volunteers: results of a Phase 2, randomized, double-blind placebo-controlled trial</t>
  </si>
  <si>
    <t>Launay O, Sadorge C, Jolly N, Poirier B, Béchet S, van der Vliet D, Seffer V, Fenner N, Dowling K, Giemza R, Johnson J, Ndiaye A, Vray M, Sansonetti P, Morand P, Poyart C, Lewis D, Gougeon ML.</t>
  </si>
  <si>
    <t>Vaccine. 2009 Feb 18;27(8):1184-91. doi: 10.1016/j.vaccine.2008.12.021. Epub 2009 Jan 9.</t>
  </si>
  <si>
    <t>10.1016/j.vaccine.2008.12.021</t>
  </si>
  <si>
    <t>Priming of CD4+ and CD8+ T cell responses using a HCV core ISCOMATRIX vaccine: a phase I study in healthy volunteers</t>
  </si>
  <si>
    <t>Drane D, Maraskovsky E, Gibson R, Mitchell S, Barnden M, Moskwa A, Shaw D, Gervase B, Coates S, Houghton M, Basser R.</t>
  </si>
  <si>
    <t>Hum Vaccin. 2009 Mar;5(3):151-7. doi: 10.4161/hv.5.3.6614. Epub 2009 Mar 15.</t>
  </si>
  <si>
    <t>Hum Vaccin</t>
  </si>
  <si>
    <t>10.4161/hv.5.3.6614</t>
  </si>
  <si>
    <t>Obstructive sleep apnea and cardiovascular disease: a perspective and future directions</t>
  </si>
  <si>
    <t>Pack AI, Gislason T.</t>
  </si>
  <si>
    <t>Prog Cardiovasc Dis. 2009 Mar-Apr;51(5):434-51. doi: 10.1016/j.pcad.2009.01.002.</t>
  </si>
  <si>
    <t>10.1016/j.pcad.2009.01.002</t>
  </si>
  <si>
    <t>Terlipressin for hepatorenal syndrome: A meta-analysis of randomized trials</t>
  </si>
  <si>
    <t>Fabrizi F, Dixit V, Messa P, Martin P.</t>
  </si>
  <si>
    <t>Int J Artif Organs. 2009 Mar;32(3):133-40.</t>
  </si>
  <si>
    <t>Mechanisms and treatment of neuropathic pain</t>
  </si>
  <si>
    <t>Vranken JH.</t>
  </si>
  <si>
    <t>Cent Nerv Syst Agents Med Chem. 2009 Mar;9(1):71-8. doi: 10.2174/187152409787601932.</t>
  </si>
  <si>
    <t>Cent Nerv Syst Agents Med Chem</t>
  </si>
  <si>
    <t>10.2174/187152409787601932</t>
  </si>
  <si>
    <t>Use of oseltamivir after influenza infection is associated with reduced incidence of recurrent adverse cardiovascular outcomes among military health system beneficiaries with prior cardiovascular diseases</t>
  </si>
  <si>
    <t>Casscells SW, Granger E, Kress AM, Linton A, Madjid M, Cottrell L.</t>
  </si>
  <si>
    <t>Circ Cardiovasc Qual Outcomes. 2009 Mar;2(2):108-15. doi: 10.1161/CIRCOUTCOMES.108.820357. Epub 2009 Mar 5.</t>
  </si>
  <si>
    <t>Circ Cardiovasc Qual Outcomes</t>
  </si>
  <si>
    <t>10.1161/CIRCOUTCOMES.108.820357</t>
  </si>
  <si>
    <t>Human papillomavirus (HPV) vaccination for the prevention of HPV 16/18 induced cervical cancer and its precursors</t>
  </si>
  <si>
    <t>Damm O, Nocon M, Roll S, Vauth C, Willich S, Greiner W.</t>
  </si>
  <si>
    <t>GMS Health Technol Assess. 2009 Mar 11;5:Doc04. doi: 10.3205/hta000066.</t>
  </si>
  <si>
    <t>GMS Health Technol Assess</t>
  </si>
  <si>
    <t>10.3205/hta000066</t>
  </si>
  <si>
    <t>The child and adolescent psychiatry trials network (CAPTN): infrastructure development and lessons learned</t>
  </si>
  <si>
    <t>Shapiro M, Silva SG, Compton S, Chrisman A, DeVeaugh-Geiss J, Breland-Noble A, Kondo D, Kirchner J, March JS.</t>
  </si>
  <si>
    <t>Child Adolesc Psychiatry Ment Health. 2009 Mar 25;3(1):12. doi: 10.1186/1753-2000-3-12.</t>
  </si>
  <si>
    <t>Child Adolesc Psychiatry Ment Health</t>
  </si>
  <si>
    <t>10.1186/1753-2000-3-12</t>
  </si>
  <si>
    <t>Endurant stent-graft system: preliminary report on an innovative treatment for challenging abdominal aortic aneurysm</t>
  </si>
  <si>
    <t>Verhagen HJ, Torsello G, De Vries JP, Cuypers PH, Van Herwaarden JA, Florek HJ, Scheinert D, Eckstein HH, Moll FL.</t>
  </si>
  <si>
    <t>J Cardiovasc Surg (Torino). 2009 Apr;50(2):153-8.</t>
  </si>
  <si>
    <t>J Cardiovasc Surg (Torino)</t>
  </si>
  <si>
    <t>Is there a need for anti-rabies vaccine and immunoglobulins rationing in Europe?</t>
  </si>
  <si>
    <t>Bourhy H, Goudal M, Mailles A, Sadkowska-Todys M, Dacheux L, Zeller H.</t>
  </si>
  <si>
    <t>Euro Surveill. 2009 Apr 2;14(13):19166.</t>
  </si>
  <si>
    <t>Euro Surveill</t>
  </si>
  <si>
    <t>Antiamoebic drugs for treating amoebic colitis</t>
  </si>
  <si>
    <t>Gonzales ML, Dans LF, Martinez EG.</t>
  </si>
  <si>
    <t>Cochrane Database Syst Rev. 2009 Apr 15;(2):CD006085. doi: 10.1002/14651858.CD006085.pub2.</t>
  </si>
  <si>
    <t>10.1002/14651858.CD006085.pub2</t>
  </si>
  <si>
    <t>Perioperative fever and outcome in surgical patients with aneurysmal subarachnoid hemorrhage</t>
  </si>
  <si>
    <t>Todd MM, Hindman BJ, Clarke WR, Torner JC, Weeks JB, Bayman EO, Shi Q, Spofford CM; IHAST Investigators.</t>
  </si>
  <si>
    <t>Neurosurgery. 2009 May;64(5):897-908; discussion 908. doi: 10.1227/01.NEU.0000341903.11527.2F.</t>
  </si>
  <si>
    <t>10.1227/01.NEU.0000341903.11527.2F</t>
  </si>
  <si>
    <t>Right atrial volume index in chronic systolic heart failure and prognosis</t>
  </si>
  <si>
    <t>Sallach JA, Tang WH, Borowski AG, Tong W, Porter T, Martin MG, Jasper SE, Shrestha K, Troughton RW, Klein AL.</t>
  </si>
  <si>
    <t>JACC Cardiovasc Imaging. 2009 May;2(5):527-34. doi: 10.1016/j.jcmg.2009.01.012.</t>
  </si>
  <si>
    <t>JACC Cardiovasc Imaging</t>
  </si>
  <si>
    <t>10.1016/j.jcmg.2009.01.012</t>
  </si>
  <si>
    <t>The evolution of gene therapy in X-linked severe combined immunodeficiency</t>
  </si>
  <si>
    <t>Rans TS, England R.</t>
  </si>
  <si>
    <t>Ann Allergy Asthma Immunol. 2009 May;102(5):357-62; quiz 363-5, 402. doi: 10.1016/S1081-1206(10)60504-2.</t>
  </si>
  <si>
    <t>10.1016/S1081-1206(10)60504-2</t>
  </si>
  <si>
    <t>Randomized double-blind, placebo-controlled trial of sublingual immunotherapy with a Pru p 3 quantified peach extract</t>
  </si>
  <si>
    <t>Fernández-Rivas M, Garrido Fernández S, Nadal JA, Díaz de Durana MD, García BE, González-Mancebo E, Martín S, Barber D, Rico P, Tabar AI.</t>
  </si>
  <si>
    <t>Allergy. 2009 Jun;64(6):876-83. doi: 10.1111/j.1398-9995.2008.01921.x. Epub 2009 Jan 21.</t>
  </si>
  <si>
    <t>10.1111/j.1398-9995.2008.01921.x</t>
  </si>
  <si>
    <t>Event adjudication and data monitoring in an intensive care unit observational study of thromboprophylaxis</t>
  </si>
  <si>
    <t>Cook D, Sinuff T, Zytaruk N, Rabbat C, Lee A, O'Donnell M, Thabane L, Linkins L, Treleaven D, Patel R, Meade M, Crowther M, Marshall JC, Douketis J; DIRECT Investigators and Canadian Critical Care Trials Group.</t>
  </si>
  <si>
    <t>J Crit Care. 2009 Jun;24(2):168-75. doi: 10.1016/j.jcrc.2009.01.010. Epub 2009 Mar 27.</t>
  </si>
  <si>
    <t>J Crit Care</t>
  </si>
  <si>
    <t>10.1016/j.jcrc.2009.01.010</t>
  </si>
  <si>
    <t>Abetimus sodium: a medication for the prevention of lupus nephritis flares</t>
  </si>
  <si>
    <t>Horowitz DM, Furie RA.</t>
  </si>
  <si>
    <t>Expert Opin Pharmacother. 2009 Jun;10(9):1501-7. doi: 10.1517/14656560902946419.</t>
  </si>
  <si>
    <t>Expert Opin Pharmacother</t>
  </si>
  <si>
    <t>10.1517/14656560902946419</t>
  </si>
  <si>
    <t>Tumor necrosis factor inhibitors in pediatric asthma</t>
  </si>
  <si>
    <t>Gjurow D, Grzelewski T, Sobocińska A, Stelmach I.</t>
  </si>
  <si>
    <t>Recent Pat Inflamm Allergy Drug Discov. 2009 Jun;3(2):143-8. doi: 10.2174/187221309788489797.</t>
  </si>
  <si>
    <t>Recent Pat Inflamm Allergy Drug Discov</t>
  </si>
  <si>
    <t>10.2174/187221309788489797</t>
  </si>
  <si>
    <t>Update on the use of rituximab for intractable rheumatoid arthritis</t>
  </si>
  <si>
    <t>Looney RJ.</t>
  </si>
  <si>
    <t>Open Access Rheumatol. 2009 Jun 26;1:83-94. doi: 10.2147/oarrr.s4968. eCollection 2009.</t>
  </si>
  <si>
    <t>Open Access Rheumatol</t>
  </si>
  <si>
    <t>10.2147/oarrr.s4968</t>
  </si>
  <si>
    <t>Satisfaction and compliance in hormonal contraception: the result of a multicentre clinical study on women's experience with the ethinylestradiol/norelgestromin contraceptive patch in Italy</t>
  </si>
  <si>
    <t>Crosignani PG, Nappi C, Ronsini S, Bruni V, Marelli S, Sonnino D; Italian EVRA Contrast Study Group.</t>
  </si>
  <si>
    <t>BMC Womens Health. 2009 Jun 30;9:18. doi: 10.1186/1472-6874-9-18.</t>
  </si>
  <si>
    <t>BMC Womens Health</t>
  </si>
  <si>
    <t>10.1186/1472-6874-9-18</t>
  </si>
  <si>
    <t>Pollen challenge study of a phototherapy device for reducing the symptoms of hay fever</t>
  </si>
  <si>
    <t>Emberlin JC, Lewis RA.</t>
  </si>
  <si>
    <t>Curr Med Res Opin. 2009 Jul;25(7):1635-44. doi: 10.1185/03007990903024699.</t>
  </si>
  <si>
    <t>10.1185/03007990903024699</t>
  </si>
  <si>
    <t>Antibiotics for treating chronic osteomyelitis in adults</t>
  </si>
  <si>
    <t>Conterno LO, da Silva Filho CR.</t>
  </si>
  <si>
    <t>Cochrane Database Syst Rev. 2009 Jul 8;(3):CD004439. doi: 10.1002/14651858.CD004439.pub2.</t>
  </si>
  <si>
    <t>10.1002/14651858.CD004439.pub2</t>
  </si>
  <si>
    <t>A combination drug of abacavir-lamivudine-zidovudine (Trizivir) for treating HIV infection and AIDS</t>
  </si>
  <si>
    <t>Shey M, Kongnyuy EJ, Shang J, Wiysonge CS.</t>
  </si>
  <si>
    <t>Cochrane Database Syst Rev. 2009 Jul 8;(3):CD005481. doi: 10.1002/14651858.CD005481.pub2.</t>
  </si>
  <si>
    <t>10.1002/14651858.CD005481.pub2</t>
  </si>
  <si>
    <t>Dramatic reduction in infective endocarditis-related mortality with a management-based approach</t>
  </si>
  <si>
    <t>Botelho-Nevers E, Thuny F, Casalta JP, Richet H, Gouriet F, Collart F, Riberi A, Habib G, Raoult D.</t>
  </si>
  <si>
    <t>Arch Intern Med. 2009 Jul 27;169(14):1290-8. doi: 10.1001/archinternmed.2009.192.</t>
  </si>
  <si>
    <t>10.1001/archinternmed.2009.192</t>
  </si>
  <si>
    <t>Evaluation of vaccines for H5N1 influenza virus in ferrets reveals the potential for protective single-shot immunization</t>
  </si>
  <si>
    <t>Middleton D, Rockman S, Pearse M, Barr I, Lowther S, Klippel J, Ryan D, Brown L.</t>
  </si>
  <si>
    <t>J Virol. 2009 Aug;83(15):7770-8. doi: 10.1128/JVI.00241-09. Epub 2009 May 20.</t>
  </si>
  <si>
    <t>J Virol</t>
  </si>
  <si>
    <t>10.1128/JVI.00241-09</t>
  </si>
  <si>
    <t>Emerging infections: a tribute to the one medicine, one health concept</t>
  </si>
  <si>
    <t>Kahn RE, Clouser DF, Richt JA.</t>
  </si>
  <si>
    <t>Zoonoses Public Health. 2009 Aug;56(6-7):407-28. doi: 10.1111/j.1863-2378.2009.01255.x.</t>
  </si>
  <si>
    <t>Zoonoses Public Health</t>
  </si>
  <si>
    <t>10.1111/j.1863-2378.2009.01255.x</t>
  </si>
  <si>
    <t>[Anesthesia with transfemoral and transapical aortic valve implantation. Periinterventional management and hemodynamic observations]</t>
  </si>
  <si>
    <t>Bergmann L, Kottenberg E, Heine T, Kahlert P, Eggebrecht H, Wendt D, Thielmann M, Jakob H, Erbel R, Peters J.</t>
  </si>
  <si>
    <t>Herz. 2009 Aug;34(5):381-7. doi: 10.1007/s00059-009-3258-x.</t>
  </si>
  <si>
    <t>Herz</t>
  </si>
  <si>
    <t>10.1007/s00059-009-3258-x</t>
  </si>
  <si>
    <t>Non-invasive coronary flow reserve after successful primary angioplasty for acute anterior myocardial infarction is an independent predictor of left ventricular recovery and in-hospital cardiac events</t>
  </si>
  <si>
    <t>Meimoun P, Malaquin D, Benali T, Boulanger J, Zemir H, Sayah S, Luycx-Bore A, Doutrelan L, Tribouilloy C.</t>
  </si>
  <si>
    <t>J Am Soc Echocardiogr. 2009 Sep;22(9):1071-9. doi: 10.1016/j.echo.2009.05.017. Epub 2009 Jul 31.</t>
  </si>
  <si>
    <t>J Am Soc Echocardiogr</t>
  </si>
  <si>
    <t>10.1016/j.echo.2009.05.017</t>
  </si>
  <si>
    <t>Exposure to smoking cues during an emotion recognition task can modulate limbic fMRI activation in cigarette smokers</t>
  </si>
  <si>
    <t>Artiges E, Ricalens E, Berthoz S, Krebs MO, Penttilä J, Trichard C, Martinot JL.</t>
  </si>
  <si>
    <t>Addict Biol. 2009 Sep;14(4):469-77. doi: 10.1111/j.1369-1600.2009.00167.x. Epub 2009 Jul 24.</t>
  </si>
  <si>
    <t>Addict Biol</t>
  </si>
  <si>
    <t>10.1111/j.1369-1600.2009.00167.x</t>
  </si>
  <si>
    <t>Epidural analgesia compared with intravenous analgesia after pediatric posterior spinal fusion</t>
  </si>
  <si>
    <t>Gauger VT, Voepel-Lewis TD, Burke CN, Kostrzewa AJ, Caird MS, Wagner DS, Farley FA.</t>
  </si>
  <si>
    <t>J Pediatr Orthop. 2009 Sep;29(6):588-93. doi: 10.1097/BPO.0b013e3181b2ba08.</t>
  </si>
  <si>
    <t>J Pediatr Orthop</t>
  </si>
  <si>
    <t>10.1097/BPO.0b013e3181b2ba08</t>
  </si>
  <si>
    <t>Time to onset and duration of action of the antihistamine bepotastine besilate ophthalmic solutions 1.0% and 1.5% in allergic conjunctivitis: a phase III, single-center, prospective, randomized, double-masked, placebo-controlled, conjunctival allergen challenge assessment in adults and children</t>
  </si>
  <si>
    <t>Abelson MB, Torkildsen GL, Williams JI, Gow JA, Gomes PJ, McNamara TR; Bepotastine Besilate Ophthalmic Solutions Clinical Study Group.</t>
  </si>
  <si>
    <t>Clin Ther. 2009 Sep;31(9):1908-21. doi: 10.1016/j.clinthera.2009.09.001.</t>
  </si>
  <si>
    <t>10.1016/j.clinthera.2009.09.001</t>
  </si>
  <si>
    <t>Obstructive sleep apnea/hypopnea and systemic hypertension</t>
  </si>
  <si>
    <t>Durán-Cantolla J, Aizpuru F, Martínez-Null C, Barbé-Illa F.</t>
  </si>
  <si>
    <t>Sleep Med Rev. 2009 Oct;13(5):323-31. doi: 10.1016/j.smrv.2008.11.001. Epub 2009 Jun 9.</t>
  </si>
  <si>
    <t>Sleep Med Rev</t>
  </si>
  <si>
    <t>10.1016/j.smrv.2008.11.001</t>
  </si>
  <si>
    <t>Colectomy rate comparison after treatment of ulcerative colitis with placebo or infliximab</t>
  </si>
  <si>
    <t>Sandborn WJ, Rutgeerts P, Feagan BG, Reinisch W, Olson A, Johanns J, Lu J, Horgan K, Rachmilewitz D, Hanauer SB, Lichtenstein GR, de Villiers WJ, Present D, Sands BE, Colombel JF.</t>
  </si>
  <si>
    <t>Gastroenterology. 2009 Oct;137(4):1250-60; quiz 1520. doi: 10.1053/j.gastro.2009.06.061. Epub 2009 Jul 28.</t>
  </si>
  <si>
    <t>Gastroenterology</t>
  </si>
  <si>
    <t>10.1053/j.gastro.2009.06.061</t>
  </si>
  <si>
    <t>Comparative efficacy and safety of vancomycin versus teicoplanin: systematic review and meta-analysis</t>
  </si>
  <si>
    <t>Svetitsky S, Leibovici L, Paul M.</t>
  </si>
  <si>
    <t>Antimicrob Agents Chemother. 2009 Oct;53(10):4069-79. doi: 10.1128/AAC.00341-09. Epub 2009 Jul 13.</t>
  </si>
  <si>
    <t>10.1128/AAC.00341-09</t>
  </si>
  <si>
    <t>UV-A1 therapy for nephrogenic systemic fibrosis</t>
  </si>
  <si>
    <t>Tran KT, Prather HB, Cockerell CJ, Jacobe H.</t>
  </si>
  <si>
    <t>Arch Dermatol. 2009 Oct;145(10):1170-4. doi: 10.1001/archdermatol.2009.245.</t>
  </si>
  <si>
    <t>10.1001/archdermatol.2009.245</t>
  </si>
  <si>
    <t>Population pharmacokinetics of oral levofloxacin 500 mg once-daily dosage in community-acquired lower respiratory tract infections: results of a prospective multicenter study in China</t>
  </si>
  <si>
    <t>Zhang J, Xu JF, Liu YB, Xiao ZK, Huang JA, Si B, Sun SH, Xia QM, Wu XJ, Cao GY, Shi YG, Zhang YY.</t>
  </si>
  <si>
    <t>J Infect Chemother. 2009 Oct;15(5):293-300. doi: 10.1007/s10156-009-0714-8. Epub 2009 Oct 24.</t>
  </si>
  <si>
    <t>J Infect Chemother</t>
  </si>
  <si>
    <t>10.1007/s10156-009-0714-8</t>
  </si>
  <si>
    <t>[The impact of glutamine-enhanced enteral nutrition on clinical outcome of patients with critical illness: a systematic review of randomized controlled trials]</t>
  </si>
  <si>
    <t>Jiang H, Chen W, Hu W, Cai B, Liao RJ.</t>
  </si>
  <si>
    <t>Zhonghua Shao Shang Za Zhi. 2009 Oct;25(5):325-30.</t>
  </si>
  <si>
    <t>Zhonghua Shao Shang Za Zhi</t>
  </si>
  <si>
    <t>Anticoagulation in the treatment of established venous thromboembolism in patients with cancer</t>
  </si>
  <si>
    <t>Lee AY.</t>
  </si>
  <si>
    <t>J Clin Oncol. 2009 Oct 10;27(29):4895-901. doi: 10.1200/JCO.2009.22.3958. Epub 2009 Sep 8.</t>
  </si>
  <si>
    <t>10.1200/JCO.2009.22.3958</t>
  </si>
  <si>
    <t>Preclinical evaluation of a modified vaccinia virus Ankara (MVA)-based vaccine against influenza A/H5N1 viruses</t>
  </si>
  <si>
    <t>Vaccine. 2009 Oct 23;27(45):6296-9. doi: 10.1016/j.vaccine.2009.03.020.</t>
  </si>
  <si>
    <t>10.1016/j.vaccine.2009.03.020</t>
  </si>
  <si>
    <t>Efficacy of the 5-HT1A agonist tandospirone citrate in improving symptoms of patients with functional dyspepsia: a randomized controlled trial</t>
  </si>
  <si>
    <t>Miwa H, Nagahara A, Tominaga K, Yokoyama T, Sawada Y, Inoue K, Ashida K, Fukuchi T, Hojo M, Yamashita H, Tomita T, Hori K, Oshima T.</t>
  </si>
  <si>
    <t>Am J Gastroenterol. 2009 Nov;104(11):2779-87. doi: 10.1038/ajg.2009.427. Epub 2009 Jul 28.</t>
  </si>
  <si>
    <t>10.1038/ajg.2009.427</t>
  </si>
  <si>
    <t>A review of photodynamic therapy (PDT) for the treatment of acne vulgaris</t>
  </si>
  <si>
    <t>Riddle CC, Terrell SN, Menser MB, Aires DJ, Schweiger ES.</t>
  </si>
  <si>
    <t>J Drugs Dermatol. 2009 Nov;8(11):1010-9.</t>
  </si>
  <si>
    <t>Intravesical therapy for urothelial carcinoma of the urinary bladder: a critical review</t>
  </si>
  <si>
    <t>Chade DC, Shariat SF, Dalbagni G.</t>
  </si>
  <si>
    <t>Int Braz J Urol. 2009 Nov-Dec;35(6):640-50; discussion 651. doi: 10.1590/s1677-55382009000600002.</t>
  </si>
  <si>
    <t>Int Braz J Urol</t>
  </si>
  <si>
    <t>NIHMS629705</t>
  </si>
  <si>
    <t>10.1590/s1677-55382009000600002</t>
  </si>
  <si>
    <t>Efficacy and safety of a modified killed-whole-cell oral cholera vaccine in India: an interim analysis of a cluster-randomised, double-blind, placebo-controlled trial</t>
  </si>
  <si>
    <t>Sur D, Lopez AL, Kanungo S, Paisley A, Manna B, Ali M, Niyogi SK, Park JK, Sarkar B, Puri MK, Kim DR, Deen JL, Holmgren J, Carbis R, Rao R, Nguyen TV, Donner A, Ganguly NK, Nair GB, Bhattacharya SK, Clemens JD.</t>
  </si>
  <si>
    <t>Lancet. 2009 Nov 14;374(9702):1694-702. doi: 10.1016/S0140-6736(09)61297-6. Epub 2009 Oct 8.</t>
  </si>
  <si>
    <t>10.1016/S0140-6736(09)61297-6</t>
  </si>
  <si>
    <t>The Toronto prehospital hypertonic resuscitation-head injury and multi organ dysfunction trial (TOPHR HIT)--methods and data collection tools</t>
  </si>
  <si>
    <t>Morrison LJ, Rizoli SB, Schwartz B, Rhind SG, Simitciu M, Perreira T, Macdonald R, Trompeo A, Stuss DT, Black SE, Kiss A, Baker AJ.</t>
  </si>
  <si>
    <t>Trials. 2009 Nov 20;10:105. doi: 10.1186/1745-6215-10-105.</t>
  </si>
  <si>
    <t>Trials</t>
  </si>
  <si>
    <t>10.1186/1745-6215-10-105</t>
  </si>
  <si>
    <t>Reduction of chemotherapy-induced anorexia, nausea, and emesis through a structured nursing intervention: a cluster-randomized multicenter trial</t>
  </si>
  <si>
    <t>Jahn P, Renz P, Stukenkemper J, Book K, Kuss O, Jordan K, Horn I, Thoke-Colberg A, Schmoll HJ, Landenberger M.</t>
  </si>
  <si>
    <t>Support Care Cancer. 2009 Dec;17(12):1543-52. doi: 10.1007/s00520-009-0698-z. Epub 2009 Jul 23.</t>
  </si>
  <si>
    <t>Support Care Cancer</t>
  </si>
  <si>
    <t>10.1007/s00520-009-0698-z</t>
  </si>
  <si>
    <t>Contemporary management of traumatic intracranial hypertension: is there a role for therapeutic hypothermia?</t>
  </si>
  <si>
    <t>Schreckinger M, Marion DW.</t>
  </si>
  <si>
    <t>Neurocrit Care. 2009 Dec;11(3):427-36. doi: 10.1007/s12028-009-9256-2.</t>
  </si>
  <si>
    <t>Neurocrit Care</t>
  </si>
  <si>
    <t>10.1007/s12028-009-9256-2</t>
  </si>
  <si>
    <t>Differential effects of tri-allelic 5-HTTLPR polymorphisms in healthy subjects on mood and stress performance after tryptophan challenge</t>
  </si>
  <si>
    <t>Markus CR, Firk C.</t>
  </si>
  <si>
    <t>Neuropsychopharmacology. 2009 Dec;34(13):2667-74. doi: 10.1038/npp.2009.92. Epub 2009 Aug 12.</t>
  </si>
  <si>
    <t>Neuropsychopharmacology</t>
  </si>
  <si>
    <t>10.1038/npp.2009.92</t>
  </si>
  <si>
    <t>One-year outcome of percutaneous rotational atherectomy with aspiration in infrainguinal peripheral arterial occlusive disease: the multicenter pathway PVD trial</t>
  </si>
  <si>
    <t>Zeller T, Krankenberg H, Steinkamp H, Rastan A, Sixt S, Schmidt A, Sievert H, Minar E, Bosiers M, Peeters P, Balzer JO, Gray W, Tübler T, Wissgott C, Schwarzwälder U, Scheinert D.</t>
  </si>
  <si>
    <t>J Endovasc Ther. 2009 Dec;16(6):653-62. doi: 10.1583/09-2826.1.</t>
  </si>
  <si>
    <t>J Endovasc Ther</t>
  </si>
  <si>
    <t>10.1583/09-2826.1</t>
  </si>
  <si>
    <t>Screening asymptomatic patients with diabetes for unknown coronary artery disease: does it reduce risk? An open-label randomized trial comparing a strategy based on exercise testing aimed at revascularization with management based on pharmacological/behavioural treatment of traditional risk factors. DADDY-D Trial (Does coronary Atherosclerosis Deserve to be Diagnosed and treated early in Diabetics?)</t>
  </si>
  <si>
    <t>Turrini F, Messora R, Giovanardi P, Tondi S, Magnavacchi P, Cavani R, Tosoni G, Cappelli C, Pellegrini E, Romano S, Baldini A, Zennaro RG, Bondi M.</t>
  </si>
  <si>
    <t>Trials. 2009 Dec 23;10:119. doi: 10.1186/1745-6215-10-119.</t>
  </si>
  <si>
    <t>10.1186/1745-6215-10-119</t>
  </si>
  <si>
    <t>Correlation of inhibition of platelet aggregation after clopidogrel with post discharge bleeding events: assessment by different bleeding classifications</t>
  </si>
  <si>
    <t>Serebruany V, Rao SV, Silva MA, Donovan JL, Kannan AO, Makarov L, Goto S, Atar D.</t>
  </si>
  <si>
    <t>Eur Heart J. 2010 Jan;31(2):227-35. doi: 10.1093/eurheartj/ehp434. Epub 2009 Oct 23.</t>
  </si>
  <si>
    <t>Eur Heart J</t>
  </si>
  <si>
    <t>10.1093/eurheartj/ehp434</t>
  </si>
  <si>
    <t>Clinical utility of desvenlafaxine 50 mg/d for treating MDD: a review of two randomized placebo-controlled trials for the practicing physician</t>
  </si>
  <si>
    <t>Reddy S, Kane C, Pitrosky B, Musgnung J, Ninan PT, Guico-Pabia CJ.</t>
  </si>
  <si>
    <t>Curr Med Res Opin. 2010 Jan;26(1):139-50. doi: 10.1185/03007990903408678.</t>
  </si>
  <si>
    <t>10.1185/03007990903408678</t>
  </si>
  <si>
    <t>Clevidipine for the treatment of severe hypertension in adults</t>
  </si>
  <si>
    <t>Nguyen HM, Ma K, Pham DQ.</t>
  </si>
  <si>
    <t>Clin Ther. 2010 Jan;32(1):11-23. doi: 10.1016/j.clinthera.2010.01.025.</t>
  </si>
  <si>
    <t>10.1016/j.clinthera.2010.01.025</t>
  </si>
  <si>
    <t>Time to pain relief after immediate-release morphine in episodic pain: the TIME study</t>
  </si>
  <si>
    <t>Lo Presti C, Roscetti A, Muriess D, Mammucari M.</t>
  </si>
  <si>
    <t>Clin Drug Investig. 2010;30 Suppl 2:49-55. doi: 10.2165/1158412-S0-000000000-00000.</t>
  </si>
  <si>
    <t>Clin Drug Investig</t>
  </si>
  <si>
    <t>10.2165/1158412-S0-000000000-00000</t>
  </si>
  <si>
    <t>Comparative effectiveness without head-to-head trials: a method for matching-adjusted indirect comparisons applied to psoriasis treatment with adalimumab or etanercept</t>
  </si>
  <si>
    <t>Signorovitch JE, Wu EQ, Yu AP, Gerrits CM, Kantor E, Bao Y, Gupta SR, Mulani PM.</t>
  </si>
  <si>
    <t>Pharmacoeconomics. 2010;28(10):935-45. doi: 10.2165/11538370-000000000-00000.</t>
  </si>
  <si>
    <t>10.2165/11538370-000000000-00000</t>
  </si>
  <si>
    <t>Ribavirin plus interferon versus interferon for chronic hepatitis C</t>
  </si>
  <si>
    <t>Brok J, Gluud LL, Gluud C.</t>
  </si>
  <si>
    <t>Cochrane Database Syst Rev. 2010 Jan 20;(1):CD005445. doi: 10.1002/14651858.CD005445.pub2.</t>
  </si>
  <si>
    <t>10.1002/14651858.CD005445.pub2</t>
  </si>
  <si>
    <t>Psoriasis in patients with HIV infection: from the medical board of the National Psoriasis Foundation</t>
  </si>
  <si>
    <t>Menon K, Van Voorhees AS, Bebo BF Jr, Gladman DD, Hsu S, Kalb RE, Lebwohl MG, Strober BE; National Psoriasis Foundation.</t>
  </si>
  <si>
    <t>J Am Acad Dermatol. 2010 Feb;62(2):291-9. doi: 10.1016/j.jaad.2009.03.047. Epub 2009 Jul 31.</t>
  </si>
  <si>
    <t>J Am Acad Dermatol</t>
  </si>
  <si>
    <t>10.1016/j.jaad.2009.03.047</t>
  </si>
  <si>
    <t>The pediatric hydroxyurea phase III clinical trial (BABY HUG): challenges of study design</t>
  </si>
  <si>
    <t>Thompson BW, Miller ST, Rogers ZR, Rees RC, Ware RE, Waclawiw MA, Iyer RV, Casella JF, Luchtman-Jones L, Rana S, Thornburg CD, Kalpatthi RV, Barredo JC, Brown RC, Sarnaik S, Howard TH, Luck L, Wang WC.</t>
  </si>
  <si>
    <t>Pediatr Blood Cancer. 2010 Feb;54(2):250-5. doi: 10.1002/pbc.22269.</t>
  </si>
  <si>
    <t>Pediatr Blood Cancer</t>
  </si>
  <si>
    <t>NIHMS144361</t>
  </si>
  <si>
    <t>10.1002/pbc.22269</t>
  </si>
  <si>
    <t>Prophylactic antibiotics for burns patients: systematic review and meta-analysis</t>
  </si>
  <si>
    <t>Avni T, Levcovich A, Ad-El DD, Leibovici L, Paul M.</t>
  </si>
  <si>
    <t>BMJ. 2010 Feb 15;340:c241. doi: 10.1136/bmj.c241.</t>
  </si>
  <si>
    <t>10.1136/bmj.c241</t>
  </si>
  <si>
    <t>Toxicity of sorafenib: clinical and molecular aspects</t>
  </si>
  <si>
    <t>Blanchet B, Billemont B, Barete S, Garrigue H, Cabanes L, Coriat R, Francès C, Knebelmann B, Goldwasser F.</t>
  </si>
  <si>
    <t>Expert Opin Drug Saf. 2010 Mar;9(2):275-87. doi: 10.1517/14740330903510608.</t>
  </si>
  <si>
    <t>Expert Opin Drug Saf</t>
  </si>
  <si>
    <t>10.1517/14740330903510608</t>
  </si>
  <si>
    <t>Inhalation device allows novel administration of apomorphine in men with erectile dysfunction-efficacy and safety findings</t>
  </si>
  <si>
    <t>Riley A, Main M, Morgan F.</t>
  </si>
  <si>
    <t>J Sex Med. 2010 Apr;7(4 Pt 1):1508-17. doi: 10.1111/j.1743-6109.2009.01540.x. Epub 2009 Oct 20.</t>
  </si>
  <si>
    <t>J Sex Med</t>
  </si>
  <si>
    <t>10.1111/j.1743-6109.2009.01540.x</t>
  </si>
  <si>
    <t>Peptide vaccination elicits leukemia-associated antigen-specific cytotoxic CD8+ T-cell responses in patients with chronic lymphocytic leukemia</t>
  </si>
  <si>
    <t>Giannopoulos K, Dmoszynska A, Kowal M, Rolinski J, Gostick E, Price DA, Greiner J, Rojewski M, Stilgenbauer S, Döhner H, Schmitt M.</t>
  </si>
  <si>
    <t>Leukemia. 2010 Apr;24(4):798-805. doi: 10.1038/leu.2010.29. Epub 2010 Mar 11.</t>
  </si>
  <si>
    <t>Leukemia</t>
  </si>
  <si>
    <t>10.1038/leu.2010.29</t>
  </si>
  <si>
    <t>Daily co-trimoxazole prophylaxis in severely immunosuppressed HIV-infected adults in Africa started on combination antiretroviral therapy: an observational analysis of the DART cohort</t>
  </si>
  <si>
    <t>Walker AS, Ford D, Gilks CF, Munderi P, Ssali F, Reid A, Katabira E, Grosskurth H, Mugyenyi P, Hakim J, Darbyshire JH, Gibb DM, Babiker AG.</t>
  </si>
  <si>
    <t>Lancet. 2010 Apr 10;375(9722):1278-86. doi: 10.1016/S0140-6736(10)60057-8. Epub 2010 Mar 27.</t>
  </si>
  <si>
    <t>10.1016/S0140-6736(10)60057-8</t>
  </si>
  <si>
    <t>Electrical stimulation of the anterior nucleus of thalamus for treatment of refractory epilepsy</t>
  </si>
  <si>
    <t>Fisher R, Salanova V, Witt T, Worth R, Henry T, Gross R, Oommen K, Osorio I, Nazzaro J, Labar D, Kaplitt M, Sperling M, Sandok E, Neal J, Handforth A, Stern J, DeSalles A, Chung S, Shetter A, Bergen D, Bakay R, Henderson J, French J, Baltuch G, Rosenfeld W, Youkilis A, Marks W, Garcia P, Barbaro N, Fountain N, Bazil C, Goodman R, McKhann G, Babu Krishnamurthy K, Papavassiliou S, Epstein C, Pollard J, Tonder L, Grebin J, Coffey R, Graves N; SANTE Study Group.</t>
  </si>
  <si>
    <t>Epilepsia. 2010 May;51(5):899-908. doi: 10.1111/j.1528-1167.2010.02536.x. Epub 2010 Mar 17.</t>
  </si>
  <si>
    <t>Epilepsia</t>
  </si>
  <si>
    <t>10.1111/j.1528-1167.2010.02536.x</t>
  </si>
  <si>
    <t>Prognostic value of coronary computed tomographic angiography in diabetic patients without known coronary artery disease</t>
  </si>
  <si>
    <t>Hadamitzky M, Hein F, Meyer T, Bischoff B, Martinoff S, Schömig A, Hausleiter J.</t>
  </si>
  <si>
    <t>Diabetes Care. 2010 Jun;33(6):1358-63. doi: 10.2337/dc09-2104. Epub 2010 Mar 3.</t>
  </si>
  <si>
    <t>10.2337/dc09-2104</t>
  </si>
  <si>
    <t>A phase 2, randomized, double-blind safety and pharmacokinetic assessment of respiratory syncytial virus (RSV) prophylaxis with motavizumab and palivizumab administered in the same season</t>
  </si>
  <si>
    <t>Fernández P, Trenholme A, Abarca K, Griffin MP, Hultquist M, Harris B, Losonsky GA; Motavizumab Study Group.</t>
  </si>
  <si>
    <t>BMC Pediatr. 2010 Jun 3;10:38. doi: 10.1186/1471-2431-10-38.</t>
  </si>
  <si>
    <t>BMC Pediatr</t>
  </si>
  <si>
    <t>10.1186/1471-2431-10-38</t>
  </si>
  <si>
    <t>Bone morphogenetic protein (BMP) for fracture healing in adults</t>
  </si>
  <si>
    <t>Garrison KR, Shemilt I, Donell S, Ryder JJ, Mugford M, Harvey I, Song F, Alt V.</t>
  </si>
  <si>
    <t>Cochrane Database Syst Rev. 2010 Jun 16;2010(6):CD006950. doi: 10.1002/14651858.CD006950.pub2.</t>
  </si>
  <si>
    <t>10.1002/14651858.CD006950.pub2</t>
  </si>
  <si>
    <t>The efficacy and safety of insulin-sensitizing drugs in HIV-associated lipodystrophy syndrome: a meta-analysis of randomized trials</t>
  </si>
  <si>
    <t>Sheth SH, Larson RJ.</t>
  </si>
  <si>
    <t>BMC Infect Dis. 2010 Jun 23;10:183. doi: 10.1186/1471-2334-10-183.</t>
  </si>
  <si>
    <t>BMC Infect Dis</t>
  </si>
  <si>
    <t>10.1186/1471-2334-10-183</t>
  </si>
  <si>
    <t>Role of vildagliptin in managing type 2 diabetes mellitus in the elderly</t>
  </si>
  <si>
    <t>Halimi S, Raccah D, Schweizer A, Dejager S.</t>
  </si>
  <si>
    <t>Curr Med Res Opin. 2010 Jul;26(7):1647-56. doi: 10.1185/03007995.2010.485881.</t>
  </si>
  <si>
    <t>10.1185/03007995.2010.485881</t>
  </si>
  <si>
    <t>Injections that kill: nosocomial bacteraemia and degedege in Tanzania</t>
  </si>
  <si>
    <t>Reid SR.</t>
  </si>
  <si>
    <t>Rural Remote Health. 2010 Jul-Sep;10(3):1463. Epub 2010 Sep 20.</t>
  </si>
  <si>
    <t>Rural Remote Health</t>
  </si>
  <si>
    <t>Evidences of protection against blood-stage infection of Plasmodium falciparum by the novel protein vaccine SE36</t>
  </si>
  <si>
    <t>Horii T, Shirai H, Jie L, Ishii KJ, Palacpac NQ, Tougan T, Hato M, Ohta N, Bobogare A, Arakaki N, Matsumoto Y, Namazue J, Ishikawa T, Ueda S, Takahashi M.</t>
  </si>
  <si>
    <t>Parasitol Int. 2010 Sep;59(3):380-6. doi: 10.1016/j.parint.2010.05.002. Epub 2010 May 20.</t>
  </si>
  <si>
    <t>Parasitol Int</t>
  </si>
  <si>
    <t>10.1016/j.parint.2010.05.002</t>
  </si>
  <si>
    <t>Efficacy and long-term safety of mometasone furoate nasal spray in children with perennial allergic rhinitis</t>
  </si>
  <si>
    <t>Baena-Cagnani CE, Patel P.</t>
  </si>
  <si>
    <t>Curr Med Res Opin. 2010 Sep;26(9):2047-55. doi: 10.1185/03007995.2010.487661.</t>
  </si>
  <si>
    <t>10.1185/03007995.2010.487661</t>
  </si>
  <si>
    <t>Management of neuropsychiatric symptoms in people with dementia</t>
  </si>
  <si>
    <t>Ballard C, Corbett A.</t>
  </si>
  <si>
    <t>CNS Drugs. 2010 Sep;24(9):729-39. doi: 10.2165/11319240-000000000-00000.</t>
  </si>
  <si>
    <t>10.2165/11319240-000000000-00000</t>
  </si>
  <si>
    <t>Albinterferon Alfa-2b was not inferior to pegylated interferon-α in a randomized trial of patients with chronic hepatitis C virus genotype 1</t>
  </si>
  <si>
    <t>Zeuzem S, Sulkowski MS, Lawitz EJ, Rustgi VK, Rodriguez-Torres M, Bacon BR, Grigorescu M, Tice AD, Lurie Y, Cianciara J, Muir AJ, Cronin PW, Pulkstenis E, Subramanian GM, McHutchison JG; ACHIEVE-1 Study Team.</t>
  </si>
  <si>
    <t>Gastroenterology. 2010 Oct;139(4):1257-66. doi: 10.1053/j.gastro.2010.06.066. Epub 2010 Jun 27.</t>
  </si>
  <si>
    <t>10.1053/j.gastro.2010.06.066</t>
  </si>
  <si>
    <t>Efficacy and tolerability of olmesartan/amlodipine combination therapy in patients with mild-to-severe hypertension: focus on 24-h blood pressure control</t>
  </si>
  <si>
    <t>Parati G, Ochoa JE, Ramos C, Hoshide S, Lonati L, Bilo G.</t>
  </si>
  <si>
    <t>Ther Adv Cardiovasc Dis. 2010 Oct;4(5):301-13. doi: 10.1177/1753944710380228.</t>
  </si>
  <si>
    <t>Ther Adv Cardiovasc Dis</t>
  </si>
  <si>
    <t>10.1177/1753944710380228</t>
  </si>
  <si>
    <t>[New challenges in community-acquired pneumonia]</t>
  </si>
  <si>
    <t>Sanz Herrero F, Malanda NM, Veiga BM, Sanjuán López MP.</t>
  </si>
  <si>
    <t>Arch Bronconeumol. 2010 Oct;46 Suppl 6:22-6. doi: 10.1016/S0300-2896(10)70039-9.</t>
  </si>
  <si>
    <t>Arch Bronconeumol</t>
  </si>
  <si>
    <t>10.1016/S0300-2896(10)70039-9</t>
  </si>
  <si>
    <t>Effects of AIN457, a fully human antibody to interleukin-17A, on psoriasis, rheumatoid arthritis, and uveitis</t>
  </si>
  <si>
    <t>Hueber W, Patel DD, Dryja T, Wright AM, Koroleva I, Bruin G, Antoni C, Draelos Z, Gold MH; Psoriasis Study Group, Durez P, Tak PP, Gomez-Reino JJ; Rheumatoid Arthritis Study Group, Foster CS, Kim RY, Samson CM, Falk NS, Chu DS, Callanan D, Nguyen QD; Uveitis Study Group, Rose K, Haider A, Di Padova F.</t>
  </si>
  <si>
    <t>Sci Transl Med. 2010 Oct 6;2(52):52ra72. doi: 10.1126/scitranslmed.3001107.</t>
  </si>
  <si>
    <t>Sci Transl Med</t>
  </si>
  <si>
    <t>10.1126/scitranslmed.3001107</t>
  </si>
  <si>
    <t>Novel suspension cell-based vaccine production systems for Rift Valley fever virus-like particles</t>
  </si>
  <si>
    <t>Mandell RB, Koukuntla R, Mogler LJ, Carzoli AK, Holbrook MR, Martin BK, Vahanian N, Link CJ, Flick R.</t>
  </si>
  <si>
    <t>J Virol Methods. 2010 Nov;169(2):259-68. doi: 10.1016/j.jviromet.2010.07.015. Epub 2010 Jul 22.</t>
  </si>
  <si>
    <t>J Virol Methods</t>
  </si>
  <si>
    <t>10.1016/j.jviromet.2010.07.015</t>
  </si>
  <si>
    <t>Levetiracetam for levodopa-induced dyskinesia in Parkinson's disease: a randomized, double-blind, placebo-controlled trial</t>
  </si>
  <si>
    <t>Wolz M, Löhle M, Strecker K, Schwanebeck U, Schneider C, Reichmann H, Grählert X, Schwarz J, Storch A.</t>
  </si>
  <si>
    <t>J Neural Transm (Vienna). 2010 Nov;117(11):1279-86. doi: 10.1007/s00702-010-0472-x. Epub 2010 Aug 29.</t>
  </si>
  <si>
    <t>J Neural Transm (Vienna)</t>
  </si>
  <si>
    <t>10.1007/s00702-010-0472-x</t>
  </si>
  <si>
    <t>Posttraumatic stress symptoms and cigarette deprivation in the prediction of anxious responding among trauma-exposed smokers: a laboratory test</t>
  </si>
  <si>
    <t>Vujanovic AA, Marshall-Berenz EC, Beckham JC, Bernstein A, Zvolensky MJ.</t>
  </si>
  <si>
    <t>Nicotine Tob Res. 2010 Nov;12(11):1080-8. doi: 10.1093/ntr/ntq154. Epub 2010 Sep 16.</t>
  </si>
  <si>
    <t>Nicotine Tob Res</t>
  </si>
  <si>
    <t>10.1093/ntr/ntq154</t>
  </si>
  <si>
    <t>NIH Roundtable on Emergency Trauma Research</t>
  </si>
  <si>
    <t>Cairns CB, Maier RV, Adeoye O, Baptiste D, Barsan WG, Blackbourne L, Burd R, Carpenter C, Chang D, Cioffi W, Cornwell E, Dean JM, Dyer C, Jaffe D, Manley G, Meurer WJ, Neumar R, Silbergleit R, Stevens M, Wang M, Weiner D, Wright D; Roundtable External Participants and Roundtable Steering Committee and Federal Participants.</t>
  </si>
  <si>
    <t>Ann Emerg Med. 2010 Nov;56(5):538-50. doi: 10.1016/j.annemergmed.2010.05.029.</t>
  </si>
  <si>
    <t>Ann Emerg Med</t>
  </si>
  <si>
    <t>10.1016/j.annemergmed.2010.05.029</t>
  </si>
  <si>
    <t>Nebulized dehydroepiandrosterone-3-sulfate improves asthma control in the moderate-to-severe asthma results of a 6-week, randomized, double-blind, placebo-controlled study</t>
  </si>
  <si>
    <t>Wenzel SE, Robinson CB, Leonard JM, Panettieri RA Jr.</t>
  </si>
  <si>
    <t>Allergy Asthma Proc. 2010 Nov-Dec;31(6):461-71. doi: 10.2500/aap.2010.31.3384.</t>
  </si>
  <si>
    <t>10.2500/aap.2010.31.3384</t>
  </si>
  <si>
    <t>Facing the threat of influenza pandemic - roles of and implications to general practitioners</t>
  </si>
  <si>
    <t>Lee A, Chuh AA.</t>
  </si>
  <si>
    <t>BMC Public Health. 2010 Nov 2;10:661. doi: 10.1186/1471-2458-10-661.</t>
  </si>
  <si>
    <t>10.1186/1471-2458-10-661</t>
  </si>
  <si>
    <t>Serotonin function in pathological gambling: blunted growth hormone response to sumatriptan</t>
  </si>
  <si>
    <t>Pallanti S, Bernardi S, Allen A, Hollander E.</t>
  </si>
  <si>
    <t>J Psychopharmacol. 2010 Dec;24(12):1802-9. doi: 10.1177/0269881109106907. Epub 2009 Oct 13.</t>
  </si>
  <si>
    <t>J Psychopharmacol</t>
  </si>
  <si>
    <t>10.1177/0269881109106907</t>
  </si>
  <si>
    <t>Demonstration of the analgesic efficacy and dose-response of acetylsalicylic acid with pseudoephedrine</t>
  </si>
  <si>
    <t>Schachtel BP, Voelker M, Sanner KM, Gagney D, Bey M, Schachtel EJ, Becka M.</t>
  </si>
  <si>
    <t>J Clin Pharmacol. 2010 Dec;50(12):1429-37. doi: 10.1177/0091270009360978. Epub 2010 Mar 29.</t>
  </si>
  <si>
    <t>J Clin Pharmacol</t>
  </si>
  <si>
    <t>10.1177/0091270009360978</t>
  </si>
  <si>
    <t>Microcrystalline cellulose membrane for re-epithelisation of chronic leg wounds: a prospective open study</t>
  </si>
  <si>
    <t>Ricci EB, Cassino R, Di Campli C.</t>
  </si>
  <si>
    <t>Int Wound J. 2010 Dec;7(6):438-47. doi: 10.1111/j.1742-481X.2010.00707.x.</t>
  </si>
  <si>
    <t>Int Wound J</t>
  </si>
  <si>
    <t>PMC7951508</t>
  </si>
  <si>
    <t>10.1111/j.1742-481X.2010.00707.x</t>
  </si>
  <si>
    <t>Preliminary clinical findings on NEUMUNE as a potential treatment for acute radiation syndrome</t>
  </si>
  <si>
    <t>Stickney DR, Groothuis JR, Ahlem C, Kennedy M, Miller BS, Onizuka-Handa N, Schlangen KM, Destiche D, Reading C, Garsd A, Frincke JM.</t>
  </si>
  <si>
    <t>J Radiol Prot. 2010 Dec;30(4):687-98. doi: 10.1088/0952-4746/30/4/004. Epub 2010 Dec 8.</t>
  </si>
  <si>
    <t>J Radiol Prot</t>
  </si>
  <si>
    <t>10.1088/0952-4746/30/4/004</t>
  </si>
  <si>
    <t>A randomised, partially observer blind, multicentre, head-to-head comparison of a two-dose regimen of Baxter and GlaxoSmithKline H1N1 pandemic vaccines, administered 21 days apart</t>
  </si>
  <si>
    <t>Nicholson KG, Abrams KR, Batham S, Clark TW, Hoschler K, Lim WS, Medina M, Nguyen-Van-Tam JS, Read RC, Warren FC, Zambon M.</t>
  </si>
  <si>
    <t>Health Technol Assess. 2010 Dec;14(55):193-334. doi: 10.3310/hta14550-04.</t>
  </si>
  <si>
    <t>10.3310/hta14550-04</t>
  </si>
  <si>
    <t>Addition of aerosolized deoxycholate amphotericin B to systemic prophylaxis to prevent airways invasive fungal infections in allogeneic hematopoietic SCT: a single-center retrospective study</t>
  </si>
  <si>
    <t>Morello E, Pagani L, Coser P, Cavattoni I, Cortelazzo S, Casini M, Billio A, Rossi G.</t>
  </si>
  <si>
    <t>Bone Marrow Transplant. 2011 Jan;46(1):132-6. doi: 10.1038/bmt.2010.76. Epub 2010 Apr 12.</t>
  </si>
  <si>
    <t>Bone Marrow Transplant</t>
  </si>
  <si>
    <t>10.1038/bmt.2010.76</t>
  </si>
  <si>
    <t>Treatment-associated adverse event management in the advanced renal cell carcinoma patient treated with targeted therapies</t>
  </si>
  <si>
    <t>Ravaud A.</t>
  </si>
  <si>
    <t>Oncologist. 2011;16 Suppl 2(Suppl 2):32-44. doi: 10.1634/theoncologist.2011-S2-32.</t>
  </si>
  <si>
    <t>Oncologist</t>
  </si>
  <si>
    <t>10.1634/theoncologist.2011-S2-32</t>
  </si>
  <si>
    <t>Efficacy and tolerability of besifloxacin ophthalmic suspension 0.6% administered twice daily for 3 days in the treatment of bacterial conjunctivitis: a multicenter, randomized, double-masked, vehicle-controlled, parallel-group study in adults and children</t>
  </si>
  <si>
    <t>Silverstein BE, Allaire C, Bateman KM, Gearinger LS, Morris TW, Comstock TL.</t>
  </si>
  <si>
    <t>Clin Ther. 2011 Jan;33(1):13-26. doi: 10.1016/j.clinthera.2010.12.004.</t>
  </si>
  <si>
    <t>10.1016/j.clinthera.2010.12.004</t>
  </si>
  <si>
    <t>[Carotid and femoral intima-media thickness as an early atherosclerotic marker. Advantages and limits]</t>
  </si>
  <si>
    <t>Bernetti M, Abbate R, Cerini G, Gensini GF, Poggesi L, Boddi M.</t>
  </si>
  <si>
    <t>G Ital Cardiol (Rome). 2011 Jan;12(1):72-81.</t>
  </si>
  <si>
    <t>G Ital Cardiol (Rome)</t>
  </si>
  <si>
    <t>Liposomal cytarabine is effective and tolerable in the treatment of central nervous system relapse of acute lymphoblastic leukemia and very aggressive lymphoma</t>
  </si>
  <si>
    <t>Gökbuget N, Hartog CM, Bassan R, Derigs HG, Dombret H, Greil R, Hernández-Rivas JM, Huguet F, Intermesoli T, Jourdan E, Junghanss C, Leimer L, Moreno MJ, Reichle A, Ribera J, Schmid M, Serve H, Stelljes M, Stuhlmann R, Hoelzer D; German Multicenter Study Group for Adult ALL and the European Working Group for Adult ALL.</t>
  </si>
  <si>
    <t>Haematologica. 2011 Feb;96(2):238-44. doi: 10.3324/haematol.2010.028092. Epub 2010 Oct 15.</t>
  </si>
  <si>
    <t>Haematologica</t>
  </si>
  <si>
    <t>10.3324/haematol.2010.028092</t>
  </si>
  <si>
    <t>Current perspectives on diagnosis of heart failure in long-term dialysis patients</t>
  </si>
  <si>
    <t>Wang AY, Sanderson JE.</t>
  </si>
  <si>
    <t>Am J Kidney Dis. 2011 Feb;57(2):308-19. doi: 10.1053/j.ajkd.2010.07.019. Epub 2010 Nov 5.</t>
  </si>
  <si>
    <t>Am J Kidney Dis</t>
  </si>
  <si>
    <t>10.1053/j.ajkd.2010.07.019</t>
  </si>
  <si>
    <t>Meganucleases and other tools for targeted genome engineering: perspectives and challenges for gene therapy</t>
  </si>
  <si>
    <t>Silva G, Poirot L, Galetto R, Smith J, Montoya G, Duchateau P, Pâques F.</t>
  </si>
  <si>
    <t>Curr Gene Ther. 2011 Feb;11(1):11-27. doi: 10.2174/156652311794520111.</t>
  </si>
  <si>
    <t>Curr Gene Ther</t>
  </si>
  <si>
    <t>10.2174/156652311794520111</t>
  </si>
  <si>
    <t>A systematic review and economic evaluation of the use of tumour necrosis factor-alpha (TNF-α) inhibitors, adalimumab and infliximab, for Crohn's disease</t>
  </si>
  <si>
    <t>Dretzke J, Edlin R, Round J, Connock M, Hulme C, Czeczot J, Fry-Smith A, McCabe C, Meads C.</t>
  </si>
  <si>
    <t>Health Technol Assess. 2011 Feb;15(6):1-244. doi: 10.3310/hta15060.</t>
  </si>
  <si>
    <t>10.3310/hta15060</t>
  </si>
  <si>
    <t>Intermittent preventive treatment of malaria provides substantial protection against malaria in children already protected by an insecticide-treated bednet in Burkina Faso: a randomised, double-blind, placebo-controlled trial</t>
  </si>
  <si>
    <t>Konaté AT, Yaro JB, Ouédraogo AZ, Diarra A, Gansané A, Soulama I, Kangoyé DT, Kaboré Y, Ouédraogo E, Ouédraogo A, Tiono AB, Ouédraogo IN, Chandramohan D, Cousens S, Milligan PJ, Sirima SB, Greenwood B, Diallo DA.</t>
  </si>
  <si>
    <t>PLoS Med. 2011 Feb 1;8(2):e1000408. doi: 10.1371/journal.pmed.1000408.</t>
  </si>
  <si>
    <t>PLoS Med</t>
  </si>
  <si>
    <t>10.1371/journal.pmed.1000408</t>
  </si>
  <si>
    <t>Everolimus for advanced pancreatic neuroendocrine tumors</t>
  </si>
  <si>
    <t>Yao JC, Shah MH, Ito T, Bohas CL, Wolin EM, Van Cutsem E, Hobday TJ, Okusaka T, Capdevila J, de Vries EG, Tomassetti P, Pavel ME, Hoosen S, Haas T, Lincy J, Lebwohl D, Öberg K; RAD001 in Advanced Neuroendocrine Tumors, Third Trial (RADIANT-3) Study Group.</t>
  </si>
  <si>
    <t>N Engl J Med. 2011 Feb 10;364(6):514-23. doi: 10.1056/NEJMoa1009290.</t>
  </si>
  <si>
    <t>NIHMS633685</t>
  </si>
  <si>
    <t>10.1056/NEJMoa1009290</t>
  </si>
  <si>
    <t>Antidepressants for agitation and psychosis in dementia</t>
  </si>
  <si>
    <t>Seitz DP, Adunuri N, Gill SS, Gruneir A, Herrmann N, Rochon P.</t>
  </si>
  <si>
    <t>Cochrane Database Syst Rev. 2011 Feb 16;(2):CD008191. doi: 10.1002/14651858.CD008191.pub2.</t>
  </si>
  <si>
    <t>10.1002/14651858.CD008191.pub2</t>
  </si>
  <si>
    <t>Efficacy and safety of belimumab in patients with active systemic lupus erythematosus: a randomised, placebo-controlled, phase 3 trial</t>
  </si>
  <si>
    <t>Navarra SV, Guzmán RM, Gallacher AE, Hall S, Levy RA, Jimenez RE, Li EK, Thomas M, Kim HY, León MG, Tanasescu C, Nasonov E, Lan JL, Pineda L, Zhong ZJ, Freimuth W, Petri MA; BLISS-52 Study Group.</t>
  </si>
  <si>
    <t>Lancet. 2011 Feb 26;377(9767):721-31. doi: 10.1016/S0140-6736(10)61354-2. Epub 2011 Feb 4.</t>
  </si>
  <si>
    <t>10.1016/S0140-6736(10)61354-2</t>
  </si>
  <si>
    <t>Modeling and public health emergency responses: lessons from SARS</t>
  </si>
  <si>
    <t>Glasser JW, Hupert N, McCauley MM, Hatchett R.</t>
  </si>
  <si>
    <t>Epidemics. 2011 Mar;3(1):32-7. doi: 10.1016/j.epidem.2011.01.001. Epub 2011 Jan 28.</t>
  </si>
  <si>
    <t>Epidemics</t>
  </si>
  <si>
    <t>10.1016/j.epidem.2011.01.001</t>
  </si>
  <si>
    <t>Effect size of lisdexamfetamine dimesylate in adults with attention-deficit/hyperactivity disorder</t>
  </si>
  <si>
    <t>Wigal T, Brams M, Gasior M, Gao J, Giblin J.</t>
  </si>
  <si>
    <t>Postgrad Med. 2011 Mar;123(2):169-76. doi: 10.3810/pgm.2011.03.2275.</t>
  </si>
  <si>
    <t>Postgrad Med</t>
  </si>
  <si>
    <t>10.3810/pgm.2011.03.2275</t>
  </si>
  <si>
    <t>Tiotropium versus salmeterol for the prevention of exacerbations of COPD</t>
  </si>
  <si>
    <t>Vogelmeier C, Hederer B, Glaab T, Schmidt H, Rutten-van Mölken MP, Beeh KM, Rabe KF, Fabbri LM; POET-COPD Investigators.</t>
  </si>
  <si>
    <t>N Engl J Med. 2011 Mar 24;364(12):1093-1103. doi: 10.1056/NEJMoa1008378.</t>
  </si>
  <si>
    <t>10.1056/NEJMoa1008378</t>
  </si>
  <si>
    <t>House dust mite sublingual immunotherapy: results of a US trial</t>
  </si>
  <si>
    <t>Bush RK, Swenson C, Fahlberg B, Evans MD, Esch R, Morris M, Busse WW.</t>
  </si>
  <si>
    <t>J Allergy Clin Immunol. 2011 Apr;127(4):974-81.e1-7. doi: 10.1016/j.jaci.2010.11.045. Epub 2011 Feb 18.</t>
  </si>
  <si>
    <t>10.1016/j.jaci.2010.11.045</t>
  </si>
  <si>
    <t>MAP0004, orally inhaled DHE: a randomized, controlled study in the acute treatment of migraine</t>
  </si>
  <si>
    <t>Aurora SK, Silberstein SD, Kori SH, Tepper SJ, Borland SW, Wang M, Dodick DW.</t>
  </si>
  <si>
    <t>Headache. 2011 Apr;51(4):507-17. doi: 10.1111/j.1526-4610.2011.01869.x.</t>
  </si>
  <si>
    <t>Headache</t>
  </si>
  <si>
    <t>10.1111/j.1526-4610.2011.01869.x</t>
  </si>
  <si>
    <t>Randomized study of intradermal compared to intramuscular hepatitis B vaccination in HIV-infected children without severe immunosuppression</t>
  </si>
  <si>
    <t>Bunupuradah T, Ananworanich J, Pancharoen C, Petoumenos K, Prasitsuebsai W, Wongngam W, Ubolyam S, Sriheara C, Lange J, Phanuphak P, Puthanakit T.</t>
  </si>
  <si>
    <t>Vaccine. 2011 Apr 5;29(16):2962-7. doi: 10.1016/j.vaccine.2011.01.114. Epub 2011 Feb 15.</t>
  </si>
  <si>
    <t>10.1016/j.vaccine.2011.01.114</t>
  </si>
  <si>
    <t>Injectable extended-release naltrexone for opioid dependence: a double-blind, placebo-controlled, multicentre randomised trial</t>
  </si>
  <si>
    <t>Krupitsky E, Nunes EV, Ling W, Illeperuma A, Gastfriend DR, Silverman BL.</t>
  </si>
  <si>
    <t>Lancet. 2011 Apr 30;377(9776):1506-13. doi: 10.1016/S0140-6736(11)60358-9.</t>
  </si>
  <si>
    <t>10.1016/S0140-6736(11)60358-9</t>
  </si>
  <si>
    <t>Efficacy and safety of an extended-release oxycodone (Remoxy) formulation in patients with moderate to severe osteoarthritic pain</t>
  </si>
  <si>
    <t>Friedmann N, Klutzaritz V, Webster L.</t>
  </si>
  <si>
    <t>J Opioid Manag. 2011 May-Jun;7(3):193-202. doi: 10.5055/jom.2011.0062.</t>
  </si>
  <si>
    <t>J Opioid Manag</t>
  </si>
  <si>
    <t>10.5055/jom.2011.0062</t>
  </si>
  <si>
    <t>6-month versus 36-month isoniazid preventive treatment for tuberculosis in adults with HIV infection in Botswana: a randomised, double-blind, placebo-controlled trial</t>
  </si>
  <si>
    <t>Samandari T, Agizew TB, Nyirenda S, Tedla Z, Sibanda T, Shang N, Mosimaneotsile B, Motsamai OI, Bozeman L, Davis MK, Talbot EA, Moeti TL, Moffat HJ, Kilmarx PH, Castro KG, Wells CD.</t>
  </si>
  <si>
    <t>Lancet. 2011 May 7;377(9777):1588-98. doi: 10.1016/S0140-6736(11)60204-3. Epub 2011 Apr 12.</t>
  </si>
  <si>
    <t>10.1016/S0140-6736(11)60204-3</t>
  </si>
  <si>
    <t>Leptospirosis: a re-emerging infection</t>
  </si>
  <si>
    <t>Lim VK.</t>
  </si>
  <si>
    <t>Malays J Pathol. 2011 Jun;33(1):1-5.</t>
  </si>
  <si>
    <t>Malays J Pathol</t>
  </si>
  <si>
    <t>Safety, tolerability, and impact on allergic inflammation of autologous E.coli autovaccine in the treatment of house dust mite asthma--a prospective open clinical trial</t>
  </si>
  <si>
    <t>Rose MA, Weigand B, Schubert R, Schulze J, Zielen S.</t>
  </si>
  <si>
    <t>BMC Complement Altern Med. 2011 Jun 3;11:45. doi: 10.1186/1472-6882-11-45.</t>
  </si>
  <si>
    <t>BMC Complement Altern Med</t>
  </si>
  <si>
    <t>10.1186/1472-6882-11-45</t>
  </si>
  <si>
    <t>Colon salvage therapy for acute severe colitis: cyclosporine or infliximab?</t>
  </si>
  <si>
    <t>Burger DC, Travis S.</t>
  </si>
  <si>
    <t>Curr Opin Gastroenterol. 2011 Jul;27(4):358-62. doi: 10.1097/MOG.0b013e32834586e3.</t>
  </si>
  <si>
    <t>10.1097/MOG.0b013e32834586e3</t>
  </si>
  <si>
    <t>Efficacy of low-dose celecoxib in patients with acute pain</t>
  </si>
  <si>
    <t>Schachtel BP, McCabe D, Berger M, Zhang R, Sanner KM, Savino L, Rizouk J, Schachtel EP.</t>
  </si>
  <si>
    <t>J Pain. 2011 Jul;12(7):756-63. doi: 10.1016/j.jpain.2010.12.014. Epub 2011 Apr 2.</t>
  </si>
  <si>
    <t>J Pain</t>
  </si>
  <si>
    <t>10.1016/j.jpain.2010.12.014</t>
  </si>
  <si>
    <t>Measles vaccination in HIV-infected children: systematic review and meta-analysis of safety and immunogenicity</t>
  </si>
  <si>
    <t>Scott P, Moss WJ, Gilani Z, Low N.</t>
  </si>
  <si>
    <t>J Infect Dis. 2011 Jul;204 Suppl 1:S164-78. doi: 10.1093/infdis/jir071.</t>
  </si>
  <si>
    <t>10.1093/infdis/jir071</t>
  </si>
  <si>
    <t>Predictors of treatment retention for substance-dependent adults with co-occurring depression</t>
  </si>
  <si>
    <t>Tate SR, Mrnak-Meyer J, Shriver CL, Atkinson JH, Robinson SK, Brown SA.</t>
  </si>
  <si>
    <t>Am J Addict. 2011 Jul-Aug;20(4):357-65. doi: 10.1111/j.1521-0391.2011.00137.x. Epub 2011 May 31.</t>
  </si>
  <si>
    <t>Am J Addict</t>
  </si>
  <si>
    <t>NIHMS502231</t>
  </si>
  <si>
    <t>10.1111/j.1521-0391.2011.00137.x</t>
  </si>
  <si>
    <t>Antigen-based therapy with glutamic acid decarboxylase (GAD) vaccine in patients with recent-onset type 1 diabetes: a randomised double-blind trial</t>
  </si>
  <si>
    <t>Wherrett DK, Bundy B, Becker DJ, DiMeglio LA, Gitelman SE, Goland R, Gottlieb PA, Greenbaum CJ, Herold KC, Marks JB, Monzavi R, Moran A, Orban T, Palmer JP, Raskin P, Rodriguez H, Schatz D, Wilson DM, Krischer JP, Skyler JS; Type 1 Diabetes TrialNet GAD Study Group.</t>
  </si>
  <si>
    <t>Lancet. 2011 Jul 23;378(9788):319-27. doi: 10.1016/S0140-6736(11)60895-7. Epub 2011 Jun 27.</t>
  </si>
  <si>
    <t>NIHMS315091</t>
  </si>
  <si>
    <t>10.1016/S0140-6736(11)60895-7</t>
  </si>
  <si>
    <t>Efficacy and safety of linezolid in liver transplant patients</t>
  </si>
  <si>
    <t>Radunz S, Juntermanns B, Kaiser GM, Treckmann J, Mathe Z, Paul A, Saner FH.</t>
  </si>
  <si>
    <t>Transpl Infect Dis. 2011 Aug;13(4):353-8. doi: 10.1111/j.1399-3062.2011.00617.x. Epub 2011 Feb 28.</t>
  </si>
  <si>
    <t>Transpl Infect Dis</t>
  </si>
  <si>
    <t>10.1111/j.1399-3062.2011.00617.x</t>
  </si>
  <si>
    <t>The effectiveness and safety of TNF-alpha blockers in the treatment of early psoriatic arthritis: an Italian multicentre longitudinal observational pilot study</t>
  </si>
  <si>
    <t>Scarpa R, Atteno M, Lubrano E, Provenzano G, D'Angelo S, Spadaro A, Costa L, Olivieri I.</t>
  </si>
  <si>
    <t>Clin Rheumatol. 2011 Aug;30(8):1063-7. doi: 10.1007/s10067-011-1680-y. Epub 2011 Mar 1.</t>
  </si>
  <si>
    <t>Clin Rheumatol</t>
  </si>
  <si>
    <t>10.1007/s10067-011-1680-y</t>
  </si>
  <si>
    <t>Iron-containing micronutrient powder provided to children with moderate-to-severe malnutrition increases hemoglobin concentrations but not the risk of infectious morbidity: a randomized, double-blind, placebo-controlled, noninferiority safety trial</t>
  </si>
  <si>
    <t>Lemaire M, Islam QS, Shen H, Khan MA, Parveen M, Abedin F, Haseen F, Hyder Z, Cook RJ, Zlotkin SH.</t>
  </si>
  <si>
    <t>Am J Clin Nutr. 2011 Aug;94(2):585-93. doi: 10.3945/ajcn.110.009316. Epub 2011 Jun 29.</t>
  </si>
  <si>
    <t>10.3945/ajcn.110.009316</t>
  </si>
  <si>
    <t>Didactic and simulation nontechnical skills team training to improve perinatal patient outcomes in a community hospital</t>
  </si>
  <si>
    <t>Riley W, Davis S, Miller K, Hansen H, Sainfort F, Sweet R.</t>
  </si>
  <si>
    <t>Jt Comm J Qual Patient Saf. 2011 Aug;37(8):357-64. doi: 10.1016/s1553-7250(11)37046-8.</t>
  </si>
  <si>
    <t>Jt Comm J Qual Patient Saf</t>
  </si>
  <si>
    <t>10.1016/s1553-7250(11)37046-8</t>
  </si>
  <si>
    <t>Prevention of HIV-1 infection with early antiretroviral therapy</t>
  </si>
  <si>
    <t>Cohen MS, Chen YQ, McCauley M, Gamble T, Hosseinipour MC, Kumarasamy N, Hakim JG, Kumwenda J, Grinsztejn B, Pilotto JH, Godbole SV, Mehendale S, Chariyalertsak S, Santos BR, Mayer KH, Hoffman IF, Eshleman SH, Piwowar-Manning E, Wang L, Makhema J, Mills LA, de Bruyn G, Sanne I, Eron J, Gallant J, Havlir D, Swindells S, Ribaudo H, Elharrar V, Burns D, Taha TE, Nielsen-Saines K, Celentano D, Essex M, Fleming TR; HPTN 052 Study Team.</t>
  </si>
  <si>
    <t>N Engl J Med. 2011 Aug 11;365(6):493-505. doi: 10.1056/NEJMoa1105243. Epub 2011 Jul 18.</t>
  </si>
  <si>
    <t>NIHMS320818</t>
  </si>
  <si>
    <t>10.1056/NEJMoa1105243</t>
  </si>
  <si>
    <t>Efficacy and safety of high-dose peanut oral immunotherapy with factors predicting outcome</t>
  </si>
  <si>
    <t>Anagnostou K, Clark A, King Y, Islam S, Deighton J, Ewan P.</t>
  </si>
  <si>
    <t>Clin Exp Allergy. 2011 Sep;41(9):1273-81. doi: 10.1111/j.1365-2222.2011.03699.x. Epub 2011 Mar 18.</t>
  </si>
  <si>
    <t>Clin Exp Allergy</t>
  </si>
  <si>
    <t>10.1111/j.1365-2222.2011.03699.x</t>
  </si>
  <si>
    <t>Recommendations to meet statistical challenges arising from endpoints beyond overall survival in clinical trials on chronic myeloid leukemia</t>
  </si>
  <si>
    <t>Pfirrmann M, Hochhaus A, Lauseker M, Saussele S, Hehlmann R, Hasford J.</t>
  </si>
  <si>
    <t>Leukemia. 2011 Sep;25(9):1433-8. doi: 10.1038/leu.2011.116. Epub 2011 May 20.</t>
  </si>
  <si>
    <t>10.1038/leu.2011.116</t>
  </si>
  <si>
    <t>An examination of the relation between traumatic event exposure and panic-relevant biological challenge responding among adolescents</t>
  </si>
  <si>
    <t>Hawks E, Blumenthal H, Feldner MT, Leen-Feldner EW, Jones R.</t>
  </si>
  <si>
    <t>Behav Ther. 2011 Sep;42(3):427-38. doi: 10.1016/j.beth.2010.11.002. Epub 2011 Mar 16.</t>
  </si>
  <si>
    <t>Behav Ther</t>
  </si>
  <si>
    <t>10.1016/j.beth.2010.11.002</t>
  </si>
  <si>
    <t>AAV vectors for cardiac gene transfer: experimental tools and clinical opportunities</t>
  </si>
  <si>
    <t>Pacak CA, Byrne BJ.</t>
  </si>
  <si>
    <t>Mol Ther. 2011 Sep;19(9):1582-90. doi: 10.1038/mt.2011.124. Epub 2011 Jul 26.</t>
  </si>
  <si>
    <t>Mol Ther</t>
  </si>
  <si>
    <t>10.1038/mt.2011.124</t>
  </si>
  <si>
    <t>Berlin Heart EXCOR Pediatric ventricular assist device Investigational Device Exemption study: study design and rationale</t>
  </si>
  <si>
    <t>Almond CS, Buchholz H, Massicotte P, Ichord R, Rosenthal DN, Uzark K, Jaquiss RD, Kroslowitz R, Kepler MB, Lobbestael A, Bellinger D, Blume ED, Fraser CD Jr, Bartlett RH, Thiagarajan R, Jenkins K.</t>
  </si>
  <si>
    <t>Am Heart J. 2011 Sep;162(3):425-35.e6. doi: 10.1016/j.ahj.2011.05.026. Epub 2011 Jul 30.</t>
  </si>
  <si>
    <t>10.1016/j.ahj.2011.05.026</t>
  </si>
  <si>
    <t>The use of human albumin for the treatment of ascites in patients with liver cirrhosis: item of safety, facts, controversies and perspectives</t>
  </si>
  <si>
    <t>Facciorusso A, Nacchiero MC, Rosania R, Laonigro G, Longo N, Panella C, Ierardi E.</t>
  </si>
  <si>
    <t>Curr Drug Saf. 2011 Sep 1;6(4):267-74. doi: 10.2174/157488611798280906.</t>
  </si>
  <si>
    <t>Curr Drug Saf</t>
  </si>
  <si>
    <t>10.2174/157488611798280906</t>
  </si>
  <si>
    <t>Recombinant Rift Valley fever vaccines induce protective levels of antibody in baboons and resistance to lethal challenge in mice</t>
  </si>
  <si>
    <t>Papin JF, Verardi PH, Jones LA, Monge-Navarro F, Brault AC, Holbrook MR, Worthy MN, Freiberg AN, Yilma TD.</t>
  </si>
  <si>
    <t>Proc Natl Acad Sci U S A. 2011 Sep 6;108(36):14926-31. doi: 10.1073/pnas.1112149108. Epub 2011 Aug 23.</t>
  </si>
  <si>
    <t>Proc Natl Acad Sci U S A</t>
  </si>
  <si>
    <t>10.1073/pnas.1112149108</t>
  </si>
  <si>
    <t>Antibiotic treatment for Clostridium difficile-associated diarrhea in adults</t>
  </si>
  <si>
    <t>Nelson RL, Kelsey P, Leeman H, Meardon N, Patel H, Paul K, Rees R, Taylor B, Wood E, Malakun R.</t>
  </si>
  <si>
    <t>Cochrane Database Syst Rev. 2011 Sep 7;(9):CD004610. doi: 10.1002/14651858.CD004610.pub4.</t>
  </si>
  <si>
    <t>10.1002/14651858.CD004610.pub4</t>
  </si>
  <si>
    <t>Antiviral activity, safety, and pharmacokinetics/pharmacodynamics of dolutegravir as 10-day monotherapy in HIV-1-infected adults</t>
  </si>
  <si>
    <t>Min S, Sloan L, DeJesus E, Hawkins T, McCurdy L, Song I, Stroder R, Chen S, Underwood M, Fujiwara T, Piscitelli S, Lalezari J.</t>
  </si>
  <si>
    <t>AIDS. 2011 Sep 10;25(14):1737-45. doi: 10.1097/QAD.0b013e32834a1dd9.</t>
  </si>
  <si>
    <t>10.1097/QAD.0b013e32834a1dd9</t>
  </si>
  <si>
    <t>Natural history, management and pharmacokinetics of everolimus-induced-oral ulcers: insights into compliance issues</t>
  </si>
  <si>
    <t>Ferté C, Paci A, Zizi M, Gonzales DB, Goubar A, Gomez-Roca C, Massard C, Sahmoud T, André F, Soria JC.</t>
  </si>
  <si>
    <t>Eur J Cancer. 2011 Oct;47(15):2249-55. doi: 10.1016/j.ejca.2011.03.017. Epub 2011 Apr 12.</t>
  </si>
  <si>
    <t>Eur J Cancer</t>
  </si>
  <si>
    <t>10.1016/j.ejca.2011.03.017</t>
  </si>
  <si>
    <t>Communicating environmental risks: Clarifying the severity effect in interpretations of verbal probability expressions</t>
  </si>
  <si>
    <t>Harris AJ, Corner A.</t>
  </si>
  <si>
    <t>J Exp Psychol Learn Mem Cogn. 2011 Nov;37(6):1571-8. doi: 10.1037/a0024195. Epub 2011 Jul 18.</t>
  </si>
  <si>
    <t>J Exp Psychol Learn Mem Cogn</t>
  </si>
  <si>
    <t>10.1037/a0024195</t>
  </si>
  <si>
    <t>Lymphocytic choriomeningitis virus (LCMV) infection of macaques: a model for Lassa fever</t>
  </si>
  <si>
    <t>Zapata JC, Pauza CD, Djavani MM, Rodas JD, Moshkoff D, Bryant J, Ateh E, Garcia C, Lukashevich IS, Salvato MS.</t>
  </si>
  <si>
    <t>Antiviral Res. 2011 Nov;92(2):125-38. doi: 10.1016/j.antiviral.2011.07.015. Epub 2011 Jul 27.</t>
  </si>
  <si>
    <t>Antiviral Res</t>
  </si>
  <si>
    <t>NIHMS314633</t>
  </si>
  <si>
    <t>10.1016/j.antiviral.2011.07.015</t>
  </si>
  <si>
    <t>Predicting clinical outcomes using baseline and follow-up laboratory data from the hepatitis C long-term treatment against cirrhosis trial</t>
  </si>
  <si>
    <t>Ghany MG, Kim HY, Stoddard A, Wright EC, Seeff LB, Lok AS; HALT-C Trial Group.</t>
  </si>
  <si>
    <t>Hepatology. 2011 Nov;54(5):1527-37. doi: 10.1002/hep.24550.</t>
  </si>
  <si>
    <t>NIHMS310107</t>
  </si>
  <si>
    <t>10.1002/hep.24550</t>
  </si>
  <si>
    <t>Concurrent administration of liposomal doxorubicin improves the survival of patients with invasive bladder cancer undergoing hypofractionated accelerated radiotherapy (HypoARC)</t>
  </si>
  <si>
    <t>Panteliadou M, Touloupidis S, Giatromanolaki A, Pistevou K, Kyrgias G, Tsoutsou P, Kalaitzis C, Koukourakis MI.</t>
  </si>
  <si>
    <t>Med Oncol. 2011 Dec;28(4):1356-62. doi: 10.1007/s12032-010-9544-x. Epub 2010 Apr 28.</t>
  </si>
  <si>
    <t>Med Oncol</t>
  </si>
  <si>
    <t>10.1007/s12032-010-9544-x</t>
  </si>
  <si>
    <t>Vaccines and other immunological approaches for cancer immunoprevention</t>
  </si>
  <si>
    <t>Lollini PL, Nicoletti G, Landuzzi L, Cavallo F, Forni G, De Giovanni C, Nanni P.</t>
  </si>
  <si>
    <t>Curr Drug Targets. 2011 Dec;12(13):1957-73. doi: 10.2174/138945011798184146.</t>
  </si>
  <si>
    <t>Curr Drug Targets</t>
  </si>
  <si>
    <t>10.2174/138945011798184146</t>
  </si>
  <si>
    <t>The impact of complications on costs of major surgical procedures: a cost analysis of 1200 patients</t>
  </si>
  <si>
    <t>Vonlanthen R, Slankamenac K, Breitenstein S, Puhan MA, Muller MK, Hahnloser D, Hauri D, Graf R, Clavien PA.</t>
  </si>
  <si>
    <t>Ann Surg. 2011 Dec;254(6):907-13. doi: 10.1097/SLA.0b013e31821d4a43.</t>
  </si>
  <si>
    <t>Ann Surg</t>
  </si>
  <si>
    <t>10.1097/SLA.0b013e31821d4a43</t>
  </si>
  <si>
    <t>A randomized, observer-blinded, comparison of combined 1064-nm Q-switched neodymium-doped yttrium-aluminium-garnet laser plus 30% glycolic acid peel vs. laser monotherapy to treat melasma</t>
  </si>
  <si>
    <t>Park KY, Kim DH, Kim HK, Li K, Seo SJ, Hong CK.</t>
  </si>
  <si>
    <t>Clin Exp Dermatol. 2011 Dec;36(8):864-70. doi: 10.1111/j.1365-2230.2011.04150.x. Epub 2011 Oct 5.</t>
  </si>
  <si>
    <t>Clin Exp Dermatol</t>
  </si>
  <si>
    <t>10.1111/j.1365-2230.2011.04150.x</t>
  </si>
  <si>
    <t>Interferon alpha for chronic hepatitis D</t>
  </si>
  <si>
    <t>Abbas Z, Khan MA, Salih M, Jafri W.</t>
  </si>
  <si>
    <t>Cochrane Database Syst Rev. 2011 Dec 7;2011(12):CD006002. doi: 10.1002/14651858.CD006002.pub2.</t>
  </si>
  <si>
    <t>10.1002/14651858.CD006002.pub2</t>
  </si>
  <si>
    <t>Nonparametric estimation for cumulative duration of adverse events</t>
  </si>
  <si>
    <t>Wang J, Quartey G.</t>
  </si>
  <si>
    <t>Biom J. 2012 Jan;54(1):61-74. doi: 10.1002/bimj.201000256. Epub 2011 Dec 14.</t>
  </si>
  <si>
    <t>Biom J</t>
  </si>
  <si>
    <t>10.1002/bimj.201000256</t>
  </si>
  <si>
    <t>Standardizing failure, success, and survival decisions in clinical studies of ceramic and metal-ceramic fixed dental prostheses</t>
  </si>
  <si>
    <t>Anusavice KJ.</t>
  </si>
  <si>
    <t>Dent Mater. 2012 Jan;28(1):102-11. doi: 10.1016/j.dental.2011.09.012.</t>
  </si>
  <si>
    <t>Dent Mater</t>
  </si>
  <si>
    <t>NIHMS329555</t>
  </si>
  <si>
    <t>10.1016/j.dental.2011.09.012</t>
  </si>
  <si>
    <t>Challenges in the design and analysis of sequentially monitored postmarket safety surveillance evaluations using electronic observational health care data</t>
  </si>
  <si>
    <t>Nelson JC, Cook AJ, Yu O, Dominguez C, Zhao S, Greene SK, Fireman BH, Jacobsen SJ, Weintraub ES, Jackson LA.</t>
  </si>
  <si>
    <t>Pharmacoepidemiol Drug Saf. 2012 Jan;21 Suppl 1:62-71. doi: 10.1002/pds.2324.</t>
  </si>
  <si>
    <t>Pharmacoepidemiol Drug Saf</t>
  </si>
  <si>
    <t>10.1002/pds.2324</t>
  </si>
  <si>
    <t>Managing atrial fibrillation in the elderly: critical appraisal of dronedarone</t>
  </si>
  <si>
    <t>Trigo P, Fischer GW.</t>
  </si>
  <si>
    <t>Clin Interv Aging. 2012;7:1-13. doi: 10.2147/CIA.S16677. Epub 2011 Dec 30.</t>
  </si>
  <si>
    <t>Clin Interv Aging</t>
  </si>
  <si>
    <t>10.2147/CIA.S16677</t>
  </si>
  <si>
    <t>Diagnosis, management and outcomes of adults hospitalized with influenza</t>
  </si>
  <si>
    <t>Lee N, Ison MG.</t>
  </si>
  <si>
    <t>Antivir Ther. 2012;17(1 Pt B):143-57. doi: 10.3851/IMP2059. Epub 2012 Feb 3.</t>
  </si>
  <si>
    <t>10.3851/IMP2059</t>
  </si>
  <si>
    <t>Edema index-guided disease management improves 6-month outcomes of patients with acute heart failure</t>
  </si>
  <si>
    <t>Liu MH, Wang CH, Huang YY, Tung TH, Lee CM, Yang NI, Wang JS, Kuo LT, Cherng WJ.</t>
  </si>
  <si>
    <t>Int Heart J. 2012;53(1):11-7. doi: 10.1536/ihj.53.11.</t>
  </si>
  <si>
    <t>Int Heart J</t>
  </si>
  <si>
    <t>10.1536/ihj.53.11</t>
  </si>
  <si>
    <t>Efficacy of a high-dose in addition to daily low-dose vitamin A in children suffering from severe acute malnutrition with other illnesses</t>
  </si>
  <si>
    <t>Sattar S, Ahmed T, Rasul CH, Saha D, Salam MA, Hossain MI.</t>
  </si>
  <si>
    <t>PLoS One. 2012;7(3):e33112. doi: 10.1371/journal.pone.0033112. Epub 2012 Mar 27.</t>
  </si>
  <si>
    <t>PLoS One</t>
  </si>
  <si>
    <t>10.1371/journal.pone.0033112</t>
  </si>
  <si>
    <t>Correction of tear troughs and periorbital lines with a range of customized hyaluronic acid fillers</t>
  </si>
  <si>
    <t>Rzany B, Cartier H, Kestermont P, Trevidic P, Sattler G, Kerrouche N, Dhuin JC.</t>
  </si>
  <si>
    <t>J Drugs Dermatol. 2012 Jan;11(1 Suppl):s27-34.</t>
  </si>
  <si>
    <t>Hospital-at-home programs for patients with acute exacerbations of chronic obstructive pulmonary disease (COPD): an evidence-based analysis</t>
  </si>
  <si>
    <t>McCurdy BR.</t>
  </si>
  <si>
    <t>Ont Health Technol Assess Ser. 2012;12(10):1-65. Epub 2012 Mar 1.</t>
  </si>
  <si>
    <t>Influenza and pneumococcal vaccinations for patients with chronic obstructive pulmonary disease (COPD): an evidence-based review</t>
  </si>
  <si>
    <t>Sehatzadeh S.</t>
  </si>
  <si>
    <t>Ont Health Technol Assess Ser. 2012;12(3):1-64. Epub 2012 Mar 1.</t>
  </si>
  <si>
    <t>Efficacy and tolerability of telaprevir for chronic hepatitis virus C genotype 1 infection: a meta-analysis</t>
  </si>
  <si>
    <t>Kong Y, Wang X, Shang Y, Schroder PM, Liang W, Ling X, Guo Z, He X.</t>
  </si>
  <si>
    <t>PLoS One. 2012;7(12):e52158. doi: 10.1371/journal.pone.0052158. Epub 2012 Dec 20.</t>
  </si>
  <si>
    <t>10.1371/journal.pone.0052158</t>
  </si>
  <si>
    <t>Pandemic influenza vaccination: lessons learned from Latin America and the Caribbean</t>
  </si>
  <si>
    <t>Ropero-Álvarez AM, Whittembury A, Kurtis HJ, dos Santos T, Danovaro-Holliday MC, Ruiz-Matus C.</t>
  </si>
  <si>
    <t>Vaccine. 2012 Jan 20;30(5):916-21. doi: 10.1016/j.vaccine.2011.11.092. Epub 2011 Dec 11.</t>
  </si>
  <si>
    <t>10.1016/j.vaccine.2011.11.092</t>
  </si>
  <si>
    <t>HIV-1 protease inhibitors and clinical malaria: a secondary analysis of the AIDS Clinical Trials Group A5208 study</t>
  </si>
  <si>
    <t>Porter KA, Cole SR, Eron JJ Jr, Zheng Y, Hughes MD, Lockman S, Poole C, Skinner-Adams TS, Hosseinipour M, Shaffer D, D'Amico R, Sawe FK, Siika A, Stringer E, Currier JS, Chipato T, Salata R, McCarthy JS, Meshnick SR.</t>
  </si>
  <si>
    <t>Antimicrob Agents Chemother. 2012 Feb;56(2):995-1000. doi: 10.1128/AAC.05322-11. Epub 2011 Nov 28.</t>
  </si>
  <si>
    <t>10.1128/AAC.05322-11</t>
  </si>
  <si>
    <t>Antibiotics for leptospirosis</t>
  </si>
  <si>
    <t>Brett-Major DM, Coldren R.</t>
  </si>
  <si>
    <t>Cochrane Database Syst Rev. 2012 Feb 15;(2):CD008264. doi: 10.1002/14651858.CD008264.pub2.</t>
  </si>
  <si>
    <t>10.1002/14651858.CD008264.pub2</t>
  </si>
  <si>
    <t>A randomized trial with steroids and antithymocyte globulins comparing cyclosporine/azathioprine versus tacrolimus/mycophenolate mofetil (CATM2) in renal transplantation</t>
  </si>
  <si>
    <t>Vacher-Coponat H, Moal V, Indreies M, Purgus R, Loundou A, Burtey S, Brunet P, Moussi-Frances J, Daniel L, Dussol B, Berland Y.</t>
  </si>
  <si>
    <t>Transplantation. 2012 Feb 27;93(4):437-43. doi: 10.1097/TP.0b013e31824215b7.</t>
  </si>
  <si>
    <t>10.1097/TP.0b013e31824215b7</t>
  </si>
  <si>
    <t>Clinical study of transcutaneous vaccination using a hydrogel patch for tetanus and diphtheria</t>
  </si>
  <si>
    <t>Hirobe S, Matsuo K, Quan YS, Kamiyama F, Morito H, Asada H, Takaya Y, Mukai Y, Okada N, Nakagawa S.</t>
  </si>
  <si>
    <t>Vaccine. 2012 Feb 27;30(10):1847-54. doi: 10.1016/j.vaccine.2011.12.130. Epub 2012 Jan 9.</t>
  </si>
  <si>
    <t>10.1016/j.vaccine.2011.12.130</t>
  </si>
  <si>
    <t>Low-dose dobutamine test associated with interventricular dyssynchrony: a useful tool to identify cardiac resynchronization therapy responders: data from the LOw dose DObutamine stress-echo test in Cardiac Resynchronization Therapy (LODO-CRT) phase 2 study</t>
  </si>
  <si>
    <t>Gasparini M, Muto C, Iacopino S, Zanon F, Dicandia C, Distefano G, Favale S, Peraldo Neja C, Bragato R, Davinelli M, Mangoni L, Denaro A.</t>
  </si>
  <si>
    <t>Am Heart J. 2012 Mar;163(3):422-9. doi: 10.1016/j.ahj.2011.11.015. Epub 2012 Jan 20.</t>
  </si>
  <si>
    <t>10.1016/j.ahj.2011.11.015</t>
  </si>
  <si>
    <t>Quality and safety of integrated community case management of malaria using rapid diagnostic tests and pneumonia by community health workers</t>
  </si>
  <si>
    <t>Hamer DH, Brooks ET, Semrau K, Pilingana P, MacLeod WB, Siazeele K, Sabin LL, Thea DM, Yeboah-Antwi K.</t>
  </si>
  <si>
    <t>Pathog Glob Health. 2012 Mar;106(1):32-9. doi: 10.1179/1364859411Y.0000000042.</t>
  </si>
  <si>
    <t>Pathog Glob Health</t>
  </si>
  <si>
    <t>10.1179/1364859411Y.0000000042</t>
  </si>
  <si>
    <t>Is non-ablative 1550-nm fractional photothermolysis an effective modality to treat melasma? Results from a prospective controlled single-blinded trial in 51 patients</t>
  </si>
  <si>
    <t>Karsai S, Fischer T, Pohl L, Schmitt L, Buhck H, Jünger M, Raulin C.</t>
  </si>
  <si>
    <t>J Eur Acad Dermatol Venereol. 2012 Apr;26(4):470-6. doi: 10.1111/j.1468-3083.2011.04100.x. Epub 2011 May 14.</t>
  </si>
  <si>
    <t>J Eur Acad Dermatol Venereol</t>
  </si>
  <si>
    <t>10.1111/j.1468-3083.2011.04100.x</t>
  </si>
  <si>
    <t>Twelve-month tolerability and efficacy study of NP101, the sumatriptan iontophoretic transdermal system</t>
  </si>
  <si>
    <t>Smith TR, Goldstein J, Singer R, Pugach N, Silberstein S, Pierce MW.</t>
  </si>
  <si>
    <t>Headache. 2012 Apr;52(4):612-24. doi: 10.1111/j.1526-4610.2012.02094.x. Epub 2012 Feb 21.</t>
  </si>
  <si>
    <t>10.1111/j.1526-4610.2012.02094.x</t>
  </si>
  <si>
    <t>A humanized IgG but not IgM antibody is effective in prophylaxis and therapy of yellow fever infection in an AG129/17D-204 peripheral challenge mouse model</t>
  </si>
  <si>
    <t>Thibodeaux BA, Garbino NC, Liss NM, Piper J, Schlesinger JJ, Blair CD, Roehrig JT.</t>
  </si>
  <si>
    <t>Antiviral Res. 2012 Apr;94(1):1-8. doi: 10.1016/j.antiviral.2012.02.001. Epub 2012 Feb 15.</t>
  </si>
  <si>
    <t>NIHMS357690</t>
  </si>
  <si>
    <t>10.1016/j.antiviral.2012.02.001</t>
  </si>
  <si>
    <t>Impact of completeness of revascularization on long-term cardiovascular outcomes in patients with type 2 diabetes mellitus: results from the Bypass Angioplasty Revascularization Investigation 2 Diabetes (BARI 2D)</t>
  </si>
  <si>
    <t>Schwartz L, Bertolet M, Feit F, Fuentes F, Sako EY, Toosi MS, Davidson CJ, Ikeno F, King SB 3rd.</t>
  </si>
  <si>
    <t>Circ Cardiovasc Interv. 2012 Apr;5(2):166-73. doi: 10.1161/CIRCINTERVENTIONS.111.963512. Epub 2012 Apr 10.</t>
  </si>
  <si>
    <t>Circ Cardiovasc Interv</t>
  </si>
  <si>
    <t>10.1161/CIRCINTERVENTIONS.111.963512</t>
  </si>
  <si>
    <t>Invasive aspergillosis in pediatric oncology patients: a rare event with poor prognosis--case analysis to plan better targeted prophylactic or therapeutic measurement</t>
  </si>
  <si>
    <t>Babor F, Schuster F, Mackenzie C, Meisel R, Schaper J, Sabir H, Siepermann M, Wessalowski R, Janßen G, Borkhardt A, Laws HJ.</t>
  </si>
  <si>
    <t>Klin Padiatr. 2012 Apr;224(3):160-5. doi: 10.1055/s-0032-1304625. Epub 2012 Apr 13.</t>
  </si>
  <si>
    <t>10.1055/s-0032-1304625</t>
  </si>
  <si>
    <t>Side effects of anti-angiogenic drugs</t>
  </si>
  <si>
    <t>Elice F, Rodeghiero F.</t>
  </si>
  <si>
    <t>Thromb Res. 2012 Apr;129 Suppl 1:S50-3. doi: 10.1016/S0049-3848(12)70016-6.</t>
  </si>
  <si>
    <t>10.1016/S0049-3848(12)70016-6</t>
  </si>
  <si>
    <t>Virus-drug interactions--molecular insight into immunosuppression and HCV</t>
  </si>
  <si>
    <t>Pan Q, Tilanus HW, Metselaar HJ, Janssen HL, van der Laan LJ.</t>
  </si>
  <si>
    <t>Nat Rev Gastroenterol Hepatol. 2012 Apr 17;9(6):355-62. doi: 10.1038/nrgastro.2012.67.</t>
  </si>
  <si>
    <t>Nat Rev Gastroenterol Hepatol</t>
  </si>
  <si>
    <t>10.1038/nrgastro.2012.67</t>
  </si>
  <si>
    <t>Cochrane Database Syst Rev. 2012 Apr 18;2012(4):CD005385. doi: 10.1002/14651858.CD005385.pub3.</t>
  </si>
  <si>
    <t>10.1002/14651858.CD005385.pub3</t>
  </si>
  <si>
    <t>Methodology and lessons-learned from the efficacy clinical trial of the pentavalent rotavirus vaccine in Bangladesh</t>
  </si>
  <si>
    <t>Zaman K, Yunus M, El Arifeen S, Azim T, Faruque AS, Huq E, Hossain I, Luby SP, Victor JC, Dallas MJ, Lewis KD, Rivers SB, Steele AD, Neuzil KM, Ciarlet M, Sack DA.</t>
  </si>
  <si>
    <t>Vaccine. 2012 Apr 27;30 Suppl 1:A94-100. doi: 10.1016/j.vaccine.2011.07.117.</t>
  </si>
  <si>
    <t>10.1016/j.vaccine.2011.07.117</t>
  </si>
  <si>
    <t>A novel approach to the evaluation of bleeding-related episodes in patients with chronic immune thrombocytopenia</t>
  </si>
  <si>
    <t>Weitz I, Sanz MA, Henry D, Schipperus M, Godeau B, Northridge K, Gleeson M, Danese M, Deuson R.</t>
  </si>
  <si>
    <t>Curr Med Res Opin. 2012 May;28(5):789-96. doi: 10.1185/03007995.2012.684046. Epub 2012 Apr 25.</t>
  </si>
  <si>
    <t>10.1185/03007995.2012.684046</t>
  </si>
  <si>
    <t>Advances in management of acute hypertension: a concise review</t>
  </si>
  <si>
    <t>Tulman DB, Stawicki SP, Papadimos TJ, Murphy CV, Bergese SD.</t>
  </si>
  <si>
    <t>Discov Med. 2012 May;13(72):375-83.</t>
  </si>
  <si>
    <t>Discov Med</t>
  </si>
  <si>
    <t>NIHMS473228</t>
  </si>
  <si>
    <t>Assessment of efficacy and safety of pandemic A/H1N1/2009 influenza vaccine in a group of health care workers</t>
  </si>
  <si>
    <t>Mascagni P, Vicenzi E, Kajaste-Rudnitski A, Pellicciotta G, Monti A, Cervi C, Vitalucci R, Toffoletto F.</t>
  </si>
  <si>
    <t>Med Lav. 2012 May-Jun;103(3):220-9.</t>
  </si>
  <si>
    <t>Med Lav</t>
  </si>
  <si>
    <t>Integrated phase III trials of bepotastine besilate ophthalmic solution 1.5% for ocular itching associated with allergic conjunctivitis</t>
  </si>
  <si>
    <t>Meier EJ, Torkildsen GL, Gow JA, McNamara TR, Gomes PJ, Williams JI; Bepotastine Besilate Ophthalmic Solutions Study Group.</t>
  </si>
  <si>
    <t>Allergy Asthma Proc. 2012 May-Jun;33(3):265-74. doi: 10.2500/aap.2012.33.3570.</t>
  </si>
  <si>
    <t>10.2500/aap.2012.33.3570</t>
  </si>
  <si>
    <t>Does ramosetron reduce postoperative emesis and pain after TKA?</t>
  </si>
  <si>
    <t>Koh IJ, Chang CB, Jeon YT, Ryu JH, Kim TK.</t>
  </si>
  <si>
    <t>Clin Orthop Relat Res. 2012 Jun;470(6):1718-27. doi: 10.1007/s11999-011-2208-0. Epub 2011 Dec 13.</t>
  </si>
  <si>
    <t>Clin Orthop Relat Res</t>
  </si>
  <si>
    <t>10.1007/s11999-011-2208-0</t>
  </si>
  <si>
    <t>Canagliflozin improves glycaemic control over 28 days in subjects with type 2 diabetes not optimally controlled on insulin</t>
  </si>
  <si>
    <t>Devineni D, Morrow L, Hompesch M, Skee D, Vandebosch A, Murphy J, Ways K, Schwartz S.</t>
  </si>
  <si>
    <t>Diabetes Obes Metab. 2012 Jun;14(6):539-45. doi: 10.1111/j.1463-1326.2012.01558.x. Epub 2012 Feb 8.</t>
  </si>
  <si>
    <t>Diabetes Obes Metab</t>
  </si>
  <si>
    <t>10.1111/j.1463-1326.2012.01558.x</t>
  </si>
  <si>
    <t>First agreement analysis and day-to-day comparison of pharyngeal pH monitoring with pH/impedance monitoring in patients with suspected laryngopharyngeal reflux</t>
  </si>
  <si>
    <t>Becker V, Graf S, Schlag C, Schuster T, Feussner H, Schmid RM, Bajbouj M.</t>
  </si>
  <si>
    <t>J Gastrointest Surg. 2012 Jun;16(6):1096-101. doi: 10.1007/s11605-012-1866-x. Epub 2012 Mar 27.</t>
  </si>
  <si>
    <t>J Gastrointest Surg</t>
  </si>
  <si>
    <t>10.1007/s11605-012-1866-x</t>
  </si>
  <si>
    <t>Moxifloxacin safety: an analysis of 14 years of clinical data</t>
  </si>
  <si>
    <t>Tulkens PM, Arvis P, Kruesmann F.</t>
  </si>
  <si>
    <t>Drugs R D. 2012 Jun 1;12(2):71-100. doi: 10.2165/11634300-000000000-00000.</t>
  </si>
  <si>
    <t>Drugs R D</t>
  </si>
  <si>
    <t>10.2165/11634300-000000000-00000</t>
  </si>
  <si>
    <t>[Comparison of peg-interferon monotherapy to peg-interferon and nucleoside analogue combination therapy for hepatitis B: a meta-analysis of randomized controlled trials]</t>
  </si>
  <si>
    <t>Li MY, Yuan XL, Zhang DZ.</t>
  </si>
  <si>
    <t>Zhonghua Gan Zang Bing Za Zhi. 2012 Jun;20(6):442-7. doi: 10.3760/cma.j.issn.1007-3418.2012.06.013.</t>
  </si>
  <si>
    <t>Zhonghua Gan Zang Bing Za Zhi</t>
  </si>
  <si>
    <t>10.3760/cma.j.issn.1007-3418.2012.06.013</t>
  </si>
  <si>
    <t>Medical and financial risks associated with surgery in the elderly obese</t>
  </si>
  <si>
    <t>Silber JH, Rosenbaum PR, Kelz RR, Reinke CE, Neuman MD, Ross RN, Even-Shoshan O, David G, Saynisch PA, Kyle FA, Bratzler DW, Fleisher LA.</t>
  </si>
  <si>
    <t>Ann Surg. 2012 Jul;256(1):79-86. doi: 10.1097/SLA.0b013e31825375ef.</t>
  </si>
  <si>
    <t>NIHMS449700</t>
  </si>
  <si>
    <t>10.1097/SLA.0b013e31825375ef</t>
  </si>
  <si>
    <t>A prospective randomized study comparing fibrin sealant to manual compression for the treatment of anastomotic suture-hole bleeding in expanded polytetrafluoroethylene grafts</t>
  </si>
  <si>
    <t>Saha SP, Muluk S, Schenk W 3rd, Dennis JW, Ploder B, Grigorian A, Presch I, Goppelt A.</t>
  </si>
  <si>
    <t>J Vasc Surg. 2012 Jul;56(1):134-41. doi: 10.1016/j.jvs.2012.01.009. Epub 2012 May 25.</t>
  </si>
  <si>
    <t>J Vasc Surg</t>
  </si>
  <si>
    <t>10.1016/j.jvs.2012.01.009</t>
  </si>
  <si>
    <t>Methylphenidate for gait hypokinesia and freezing in patients with Parkinson's disease undergoing subthalamic stimulation: a multicentre, parallel, randomised, placebo-controlled trial</t>
  </si>
  <si>
    <t>Moreau C, Delval A, Defebvre L, Dujardin K, Duhamel A, Petyt G, Vuillaume I, Corvol JC, Brefel-Courbon C, Ory-Magne F, Guehl D, Eusebio A, Fraix V, Saulnier PJ, Lagha-Boukbiza O, Durif F, Faighel M, Giordana C, Drapier S, Maltête D, Tranchant C, Houeto JL, Debû B, Sablonniere B, Azulay JP, Tison F, Rascol O, Vidailhet M, Destée A, Bloem BR, Bordet R, Devos D; Parkgait-II study group.</t>
  </si>
  <si>
    <t>Lancet Neurol. 2012 Jul;11(7):589-96. doi: 10.1016/S1474-4422(12)70106-0. Epub 2012 Jun 1.</t>
  </si>
  <si>
    <t>Lancet Neurol</t>
  </si>
  <si>
    <t>10.1016/S1474-4422(12)70106-0</t>
  </si>
  <si>
    <t>European Registry of Carotid Artery Stenting: results from a prospective registry of eight high volume EUROPEAN institutions</t>
  </si>
  <si>
    <t>Stabile E, Garg P, Cremonesi A, Bosiers M, Reimers B, Setacci C, Cao P, Schmidt A, Sievert H, Peeters P, Nikas D, Werner M, de Donato G, Parlani G, Castriota F, Hornung M, Mauri L, Rubino P.</t>
  </si>
  <si>
    <t>Catheter Cardiovasc Interv. 2012 Aug 1;80(2):329-34. doi: 10.1002/ccd.24348. Epub 2012 May 3.</t>
  </si>
  <si>
    <t>Catheter Cardiovasc Interv</t>
  </si>
  <si>
    <t>10.1002/ccd.24348</t>
  </si>
  <si>
    <t>Safety and pharmacokinetics of an anti-PcrV PEGylated monoclonal antibody fragment in mechanically ventilated patients colonized with Pseudomonas aeruginosa: a randomized,double-blind, placebo-controlled trial</t>
  </si>
  <si>
    <t>François B, Luyt CE, Dugard A, Wolff M, Diehl JL, Jaber S, Forel JM, Garot D, Kipnis E, Mebazaa A, Misset B, Andremont A, Ploy MC, Jacobs A, Yarranton G, Pearce T, Fagon JY, Chastre J.</t>
  </si>
  <si>
    <t>Crit Care Med. 2012 Aug;40(8):2320-6. doi: 10.1097/CCM.0b013e31825334f6.</t>
  </si>
  <si>
    <t>10.1097/CCM.0b013e31825334f6</t>
  </si>
  <si>
    <t>Combined corticosteroid and long-acting beta(2)-agonist in one inhaler versus long-acting beta(2)-agonists for chronic obstructive pulmonary disease</t>
  </si>
  <si>
    <t>Nannini LJ, Lasserson TJ, Poole P.</t>
  </si>
  <si>
    <t>Cochrane Database Syst Rev. 2012 Sep 12;2012(9):CD006829. doi: 10.1002/14651858.CD006829.pub2.</t>
  </si>
  <si>
    <t>EMS58485</t>
  </si>
  <si>
    <t>10.1002/14651858.CD006829.pub2</t>
  </si>
  <si>
    <t>Allergen-specific oral immunotherapy for peanut allergy</t>
  </si>
  <si>
    <t>Nurmatov U, Venderbosch I, Devereux G, Simons FE, Sheikh A.</t>
  </si>
  <si>
    <t>Cochrane Database Syst Rev. 2012 Sep 12;(9):CD009014. doi: 10.1002/14651858.CD009014.pub2.</t>
  </si>
  <si>
    <t>10.1002/14651858.CD009014.pub2</t>
  </si>
  <si>
    <t>Airway responses and inflammation in subjects with asthma after four days of repeated high-single-dose allergen challenge</t>
  </si>
  <si>
    <t>Schulze J, Voss S, Zissler U, Rose MA, Zielen S, Schubert R.</t>
  </si>
  <si>
    <t>Respir Res. 2012 Sep 19;13(1):78. doi: 10.1186/1465-9921-13-78.</t>
  </si>
  <si>
    <t>10.1186/1465-9921-13-78</t>
  </si>
  <si>
    <t>Caring for the older person with chronic obstructive pulmonary disease</t>
  </si>
  <si>
    <t>Fried TR, Vaz Fragoso CA, Rabow MW.</t>
  </si>
  <si>
    <t>JAMA. 2012 Sep 26;308(12):1254-63. doi: 10.1001/jama.2012.12422.</t>
  </si>
  <si>
    <t>NIHMS522785</t>
  </si>
  <si>
    <t>10.1001/jama.2012.12422</t>
  </si>
  <si>
    <t>Efficacy and safety of sorafenib in patients with advanced hepatocellular carcinoma: subanalyses of a phase III trial</t>
  </si>
  <si>
    <t>Bruix J, Raoul JL, Sherman M, Mazzaferro V, Bolondi L, Craxi A, Galle PR, Santoro A, Beaugrand M, Sangiovanni A, Porta C, Gerken G, Marrero JA, Nadel A, Shan M, Moscovici M, Voliotis D, Llovet JM.</t>
  </si>
  <si>
    <t>J Hepatol. 2012 Oct;57(4):821-9. doi: 10.1016/j.jhep.2012.06.014. Epub 2012 Jun 19.</t>
  </si>
  <si>
    <t>J Hepatol</t>
  </si>
  <si>
    <t>10.1016/j.jhep.2012.06.014</t>
  </si>
  <si>
    <t>A randomized, double-blind study of larazotide acetate to prevent the activation of celiac disease during gluten challenge</t>
  </si>
  <si>
    <t>Leffler DA, Kelly CP, Abdallah HZ, Colatrella AM, Harris LA, Leon F, Arterburn LA, Paterson BM, Lan ZH, Murray JA.</t>
  </si>
  <si>
    <t>Am J Gastroenterol. 2012 Oct;107(10):1554-62. doi: 10.1038/ajg.2012.211. Epub 2012 Jul 24.</t>
  </si>
  <si>
    <t>10.1038/ajg.2012.211</t>
  </si>
  <si>
    <t>A nonhuman primate model of the hematopoietic acute radiation syndrome plus medical management</t>
  </si>
  <si>
    <t>Farese AM, Cohen MV, Katz BP, Smith CP, Jackson W 3rd, Cohen DM, MacVittie TJ.</t>
  </si>
  <si>
    <t>Health Phys. 2012 Oct;103(4):367-82. doi: 10.1097/HP.0b013e31825f75a7.</t>
  </si>
  <si>
    <t>Health Phys</t>
  </si>
  <si>
    <t>NIHMS386316</t>
  </si>
  <si>
    <t>10.1097/HP.0b013e31825f75a7</t>
  </si>
  <si>
    <t>Human mesenchymal stem cell transfusion is safe and improves liver function in acute-on-chronic liver failure patients</t>
  </si>
  <si>
    <t>Shi M, Zhang Z, Xu R, Lin H, Fu J, Zou Z, Zhang A, Shi J, Chen L, Lv S, He W, Geng H, Jin L, Liu Z, Wang FS.</t>
  </si>
  <si>
    <t>Stem Cells Transl Med. 2012 Oct;1(10):725-31. doi: 10.5966/sctm.2012-0034. Epub 2012 Oct 11.</t>
  </si>
  <si>
    <t>Stem Cells Transl Med</t>
  </si>
  <si>
    <t>10.5966/sctm.2012-0034</t>
  </si>
  <si>
    <t>Liu X, Zhang M, He L, Li Y.</t>
  </si>
  <si>
    <t>Cochrane Database Syst Rev. 2012 Oct 17;10(10):CD004882. doi: 10.1002/14651858.CD004882.pub3.</t>
  </si>
  <si>
    <t>10.1002/14651858.CD004882.pub3</t>
  </si>
  <si>
    <t>Busulfan, fludarabine, and alemtuzumab as a reduced toxicity regimen for children with malignant and nonmalignant diseases improves engraftment and graft-versus-host disease without delaying immune reconstitution</t>
  </si>
  <si>
    <t>Law J, Cowan MJ, Dvorak CC, Musick L, Long-Boyle JR, Baxter-Lowe LA, Horn B.</t>
  </si>
  <si>
    <t>Biol Blood Marrow Transplant. 2012 Nov;18(11):1656-63. doi: 10.1016/j.bbmt.2012.05.006. Epub 2012 May 15.</t>
  </si>
  <si>
    <t>Biol Blood Marrow Transplant</t>
  </si>
  <si>
    <t>10.1016/j.bbmt.2012.05.006</t>
  </si>
  <si>
    <t>Activated protein C and septic shock: a propensity-matched cohort study*</t>
  </si>
  <si>
    <t>Rimmer E, Kumar A, Doucette S, Marshall J, Dial S, Gurka D, Dellinger RP, Sharma S, Penner C, Kramer A, Wood K, Ronald J, Kumar A, Turgeon AF, Houston DS, Zarychanski R; Co-operative Antimicrobial Therapy of Septic Shock (CATSS) Database Research Group.</t>
  </si>
  <si>
    <t>Crit Care Med. 2012 Nov;40(11):2974-81. doi: 10.1097/CCM.0b013e31825fd6d9.</t>
  </si>
  <si>
    <t>10.1097/CCM.0b013e31825fd6d9</t>
  </si>
  <si>
    <t>Topical 0.5% ivermectin lotion for treatment of head lice</t>
  </si>
  <si>
    <t>Pariser DM, Meinking TL, Bell M, Ryan WG.</t>
  </si>
  <si>
    <t>N Engl J Med. 2012 Nov 1;367(18):1687-93. doi: 10.1056/NEJMoa1200107.</t>
  </si>
  <si>
    <t>10.1056/NEJMoa1200107</t>
  </si>
  <si>
    <t>Comparing methods of respiratory event detection during the treatment of obstructive sleep apnea</t>
  </si>
  <si>
    <t>Fields BG, Kuna ST.</t>
  </si>
  <si>
    <t>J Comp Eff Res. 2012 Nov;1(6):489-99. doi: 10.2217/cer.12.58.</t>
  </si>
  <si>
    <t>J Comp Eff Res</t>
  </si>
  <si>
    <t>10.2217/cer.12.58</t>
  </si>
  <si>
    <t>Safety and hemostatic efficacy of fibrin pad in partial nephrectomy: results of an open-label phase I and a randomized, standard-of-care-controlled phase I/II study</t>
  </si>
  <si>
    <t>Nativ O, Patel B, Shen J, Batiller J, Horn S, Hart JC.</t>
  </si>
  <si>
    <t>BMC Nephrol. 2012 Nov 8;13:147. doi: 10.1186/1471-2369-13-147.</t>
  </si>
  <si>
    <t>BMC Nephrol</t>
  </si>
  <si>
    <t>10.1186/1471-2369-13-147</t>
  </si>
  <si>
    <t>PNPLA3 I148M (rs738409) genetic variant is associated with hepatocellular carcinoma in obese individuals</t>
  </si>
  <si>
    <t>Burza MA, Pirazzi C, Maglio C, Sjöholm K, Mancina RM, Svensson PA, Jacobson P, Adiels M, Baroni MG, Borén J, Ginanni Corradini S, Montalcini T, Sjöström L, Carlsson LM, Romeo S.</t>
  </si>
  <si>
    <t>Dig Liver Dis. 2012 Dec;44(12):1037-41. doi: 10.1016/j.dld.2012.05.006. Epub 2012 Jun 15.</t>
  </si>
  <si>
    <t>Dig Liver Dis</t>
  </si>
  <si>
    <t>10.1016/j.dld.2012.05.006</t>
  </si>
  <si>
    <t>Viewpoint: reversible nature of platelet binding causing transfusion-related acute lung injury (TRALI) syndrome may explain dyspnea after ticagrelor and elinogrel</t>
  </si>
  <si>
    <t>Serebruany VL.</t>
  </si>
  <si>
    <t>Thromb Haemost. 2012 Dec;108(6):1024-7. doi: 10.1160/TH12-03-0180. Epub 2012 Oct 16.</t>
  </si>
  <si>
    <t>10.1160/TH12-03-0180</t>
  </si>
  <si>
    <t>A network meta-analysis of antibiotics for treatment of hospitalised patients with suspected or proven meticillin-resistant Staphylococcus aureus infection</t>
  </si>
  <si>
    <t>Bally M, Dendukuri N, Sinclair A, Ahern SP, Poisson M, Brophy J.</t>
  </si>
  <si>
    <t>Int J Antimicrob Agents. 2012 Dec;40(6):479-95. doi: 10.1016/j.ijantimicag.2012.08.004. Epub 2012 Oct 25.</t>
  </si>
  <si>
    <t>Int J Antimicrob Agents</t>
  </si>
  <si>
    <t>10.1016/j.ijantimicag.2012.08.004</t>
  </si>
  <si>
    <t>Human recombinant protein C for severe sepsis and septic shock in adult and paediatric patients</t>
  </si>
  <si>
    <t>Martí-Carvajal AJ, Solà I, Gluud C, Lathyris D, Cardona AF.</t>
  </si>
  <si>
    <t>Cochrane Database Syst Rev. 2012 Dec 12;12(12):CD004388. doi: 10.1002/14651858.CD004388.pub6.</t>
  </si>
  <si>
    <t>10.1002/14651858.CD004388.pub6</t>
  </si>
  <si>
    <t>Managed alcohol as a harm reduction intervention for alcohol addiction in populations at high risk for substance abuse</t>
  </si>
  <si>
    <t>Muckle W, Muckle J, Welch V, Tugwell P.</t>
  </si>
  <si>
    <t>Cochrane Database Syst Rev. 2012 Dec 12;12:CD006747. doi: 10.1002/14651858.CD006747.pub2.</t>
  </si>
  <si>
    <t>10.1002/14651858.CD006747.pub2</t>
  </si>
  <si>
    <t>A phase 3 trial of RTS,S/AS01 malaria vaccine in African infants</t>
  </si>
  <si>
    <t>RTS,S Clinical Trials Partnership, Agnandji ST, Lell B, Fernandes JF, Abossolo BP, Methogo BG, Kabwende AL, Adegnika AA, Mordmüller B, Issifou S, Kremsner PG, Sacarlal J, Aide P, Lanaspa M, Aponte JJ, Machevo S, Acacio S, Bulo H, Sigauque B, Macete E, Alonso P, Abdulla S, Salim N, Minja R, Mpina M, Ahmed S, Ali AM, Mtoro AT, Hamad AS, Mutani P, Tanner M, Tinto H, D'Alessandro U, Sorgho H, Valea I, Bihoun B, Guiraud I, Kaboré B, Sombié O, Guiguemdé RT, Ouédraogo JB, Hamel MJ, Kariuki S, Oneko M, Odero C, Otieno K, Awino N, McMorrow M, Muturi-Kioi V, Laserson KF, Slutsker L, Otieno W, Otieno L, Otsyula N, Gondi S, Otieno A, Owira V, Oguk E, Odongo G, Woods JB, Ogutu B, Njuguna P, Chilengi R, Akoo P, Kerubo C, Maingi C, Lang T, Olotu A, Bejon P, Marsh K, Mwambingu G, Owusu-Agyei S, Asante KP, Osei-Kwakye K, Boahen O, Dosoo D, Asante I, Adjei G, Kwara E, Chandramohan D, Greenwood B, Lusingu J, Gesase S, Malabeja A, Abdul O, Mahende C, Liheluka E, Malle L, Lemnge M, Theander TG, Drakeley C, Ansong D, Agbenyega T, Adjei S, Boateng HO, Rettig T, Bawa J, Sylverken J, Sambian D, Sarfo A, et al.</t>
  </si>
  <si>
    <t>N Engl J Med. 2012 Dec 13;367(24):2284-95. doi: 10.1056/NEJMoa1208394. Epub 2012 Nov 9.</t>
  </si>
  <si>
    <t>10.1056/NEJMoa1208394</t>
  </si>
  <si>
    <t>2009 Pandemic influenza A virus subtype H1N1 vaccination in Africa--successes and challenges</t>
  </si>
  <si>
    <t>Mihigo R, Torrealba CV, Coninx K, Nshimirimana D, Kieny MP, Carrasco P, Hedman L, Widdowson MA.</t>
  </si>
  <si>
    <t>J Infect Dis. 2012 Dec 15;206 Suppl 1:S22-8. doi: 10.1093/infdis/jis535.</t>
  </si>
  <si>
    <t>10.1093/infdis/jis535</t>
  </si>
  <si>
    <t>Safety and efficacy of autologous cell therapy in critical limb ischemia: a systematic review</t>
  </si>
  <si>
    <t>Benoit E, O'Donnell TF, Patel AN.</t>
  </si>
  <si>
    <t>Cell Transplant. 2013;22(3):545-62. doi: 10.3727/096368912X636777. Epub 2012 Mar 28.</t>
  </si>
  <si>
    <t>Cell Transplant</t>
  </si>
  <si>
    <t>10.3727/096368912X636777</t>
  </si>
  <si>
    <t>Short-term efficacy of tacrolimus in steroid-refractory ulcerative colitis - experience in 130 patients</t>
  </si>
  <si>
    <t>Schmidt KJ, Herrlinger KR, Emmrich J, Barthel D, Koc H, Lehnert H, Stange EF, Fellermann K, Büning J.</t>
  </si>
  <si>
    <t>Aliment Pharmacol Ther. 2013 Jan;37(1):129-36. doi: 10.1111/apt.12118. Epub 2012 Nov 5.</t>
  </si>
  <si>
    <t>10.1111/apt.12118</t>
  </si>
  <si>
    <t>Larazotide acetate in patients with coeliac disease undergoing a gluten challenge: a randomised placebo-controlled study</t>
  </si>
  <si>
    <t>Kelly CP, Green PH, Murray JA, Dimarino A, Colatrella A, Leffler DA, Alexander T, Arsenescu R, Leon F, Jiang JG, Arterburn LA, Paterson BM, Fedorak RN; Larazotide Acetate Celiac Disease Study Group.</t>
  </si>
  <si>
    <t>Aliment Pharmacol Ther. 2013 Jan;37(2):252-62. doi: 10.1111/apt.12147. Epub 2012 Nov 19.</t>
  </si>
  <si>
    <t>10.1111/apt.12147</t>
  </si>
  <si>
    <t>Efficacy of vildagliptin in combination with insulin in patients with type 2 diabetes and severe renal impairment</t>
  </si>
  <si>
    <t>Lukashevich V, Schweizer A, Foley JE, Dickinson S, Groop PH, Kothny W.</t>
  </si>
  <si>
    <t>Vasc Health Risk Manag. 2013;9:21-8. doi: 10.2147/VHRM.S39300. Epub 2013 Jan 23.</t>
  </si>
  <si>
    <t>Vasc Health Risk Manag</t>
  </si>
  <si>
    <t>10.2147/VHRM.S39300</t>
  </si>
  <si>
    <t>Safety of benzathine penicillin for preventing congenital syphilis: a systematic review</t>
  </si>
  <si>
    <t>Galvao TF, Silva MT, Serruya SJ, Newman LM, Klausner JD, Pereira MG, Fescina R.</t>
  </si>
  <si>
    <t>PLoS One. 2013;8(2):e56463. doi: 10.1371/journal.pone.0056463. Epub 2013 Feb 21.</t>
  </si>
  <si>
    <t>10.1371/journal.pone.0056463</t>
  </si>
  <si>
    <t>DNA prime/Adenovirus boost malaria vaccine encoding P. falciparum CSP and AMA1 induces sterile protection associated with cell-mediated immunity</t>
  </si>
  <si>
    <t>Chuang I, Sedegah M, Cicatelli S, Spring M, Polhemus M, Tamminga C, Patterson N, Guerrero M, Bennett JW, McGrath S, Ganeshan H, Belmonte M, Farooq F, Abot E, Banania JG, Huang J, Newcomer R, Rein L, Litilit D, Richie NO, Wood C, Murphy J, Sauerwein R, Hermsen CC, McCoy AJ, Kamau E, Cummings J, Komisar J, Sutamihardja A, Shi M, Epstein JE, Maiolatesi S, Tosh D, Limbach K, Angov E, Bergmann-Leitner E, Bruder JT, Doolan DL, King CR, Carucci D, Dutta S, Soisson L, Diggs C, Hollingdale MR, Ockenhouse CF, Richie TL.</t>
  </si>
  <si>
    <t>PLoS One. 2013;8(2):e55571. doi: 10.1371/journal.pone.0055571. Epub 2013 Feb 14.</t>
  </si>
  <si>
    <t>10.1371/journal.pone.0055571</t>
  </si>
  <si>
    <t>Pregnancy outcomes in HIV-infected women receiving long-term isoniazid prophylaxis for tuberculosis and antiretroviral therapy</t>
  </si>
  <si>
    <t>Taylor AW, Mosimaneotsile B, Mathebula U, Mathoma A, Moathlodi R, Theebetsile I, Samandari T.</t>
  </si>
  <si>
    <t>Infect Dis Obstet Gynecol. 2013;2013:195637. doi: 10.1155/2013/195637. Epub 2013 Mar 7.</t>
  </si>
  <si>
    <t>Infect Dis Obstet Gynecol</t>
  </si>
  <si>
    <t>10.1155/2013/195637</t>
  </si>
  <si>
    <t>Interferon for interferon nonresponding and relapsing patients with chronic hepatitis C</t>
  </si>
  <si>
    <t>Koretz RL, Pleguezuelo M, Arvaniti V, Barrera Baena P, Ciria R, Gurusamy KS, Davidson BR, Burroughs AK.</t>
  </si>
  <si>
    <t>Cochrane Database Syst Rev. 2013 Jan 31;2013(1):CD003617. doi: 10.1002/14651858.CD003617.pub2.</t>
  </si>
  <si>
    <t>10.1002/14651858.CD003617.pub2</t>
  </si>
  <si>
    <t>Oral food desensitization in children with IgE-mediated hen's egg allergy: a new protocol with raw hen's egg</t>
  </si>
  <si>
    <t>Meglio P, Giampietro PG, Carello R, Gabriele I, Avitabile S, Galli E.</t>
  </si>
  <si>
    <t>Pediatr Allergy Immunol. 2013 Feb;24(1):75-83. doi: 10.1111/j.1399-3038.2012.01341.x. Epub 2012 Aug 13.</t>
  </si>
  <si>
    <t>10.1111/j.1399-3038.2012.01341.x</t>
  </si>
  <si>
    <t>When to start antiretroviral therapy during tuberculosis treatment?</t>
  </si>
  <si>
    <t>Naidoo K, Baxter C, Abdool Karim SS.</t>
  </si>
  <si>
    <t>Curr Opin Infect Dis. 2013 Feb;26(1):35-42. doi: 10.1097/QCO.0b013e32835ba8f9.</t>
  </si>
  <si>
    <t>Curr Opin Infect Dis</t>
  </si>
  <si>
    <t>NIHMS448558</t>
  </si>
  <si>
    <t>10.1097/QCO.0b013e32835ba8f9</t>
  </si>
  <si>
    <t>Down-regulation of interferon signature in systemic lupus erythematosus patients by active immunization with interferon α-kinoid</t>
  </si>
  <si>
    <t>Lauwerys BR, Hachulla E, Spertini F, Lazaro E, Jorgensen C, Mariette X, Haelterman E, Grouard-Vogel G, Fanget B, Dhellin O, Vandepapelière P, Houssiau FA.</t>
  </si>
  <si>
    <t>Arthritis Rheum. 2013 Feb;65(2):447-56. doi: 10.1002/art.37785.</t>
  </si>
  <si>
    <t>10.1002/art.37785</t>
  </si>
  <si>
    <t>A first-in-man study of the role of flexible robotics in overcoming navigation challenges in the iliofemoral arteries</t>
  </si>
  <si>
    <t>Bismuth J, Duran C, Stankovic M, Gersak B, Lumsden AB.</t>
  </si>
  <si>
    <t>J Vasc Surg. 2013 Feb;57(2 Suppl):14S-9S. doi: 10.1016/j.jvs.2012.08.124.</t>
  </si>
  <si>
    <t>10.1016/j.jvs.2012.08.124</t>
  </si>
  <si>
    <t>Intralymphatic allergen-specific immunotherapy: an effective and safe alternative treatment route for pollen-induced allergic rhinitis</t>
  </si>
  <si>
    <t>Hylander T, Latif L, Petersson-Westin U, Cardell LO.</t>
  </si>
  <si>
    <t>J Allergy Clin Immunol. 2013 Feb;131(2):412-20. doi: 10.1016/j.jaci.2012.10.056.</t>
  </si>
  <si>
    <t>10.1016/j.jaci.2012.10.056</t>
  </si>
  <si>
    <t>Hydroxyethyl starch 130/0.38-0.45 versus crystalloid or albumin in patients with sepsis: systematic review with meta-analysis and trial sequential analysis</t>
  </si>
  <si>
    <t>Haase N, Perner A, Hennings LI, Siegemund M, Lauridsen B, Wetterslev M, Wetterslev J.</t>
  </si>
  <si>
    <t>BMJ. 2013 Feb 15;346:f839. doi: 10.1136/bmj.f839.</t>
  </si>
  <si>
    <t>10.1136/bmj.f839</t>
  </si>
  <si>
    <t>Dapagliflozin add-on to metformin in type 2 diabetes inadequately controlled with metformin: a randomized, double-blind, placebo-controlled 102-week trial</t>
  </si>
  <si>
    <t>Bailey CJ, Gross JL, Hennicken D, Iqbal N, Mansfield TA, List JF.</t>
  </si>
  <si>
    <t>BMC Med. 2013 Feb 20;11:43. doi: 10.1186/1741-7015-11-43.</t>
  </si>
  <si>
    <t>BMC Med</t>
  </si>
  <si>
    <t>10.1186/1741-7015-11-43</t>
  </si>
  <si>
    <t>Expanded allogeneic adipose-derived stem cells (eASCs) for the treatment of complex perianal fistula in Crohn's disease: results from a multicenter phase I/IIa clinical trial</t>
  </si>
  <si>
    <t>de la Portilla F, Alba F, García-Olmo D, Herrerías JM, González FX, Galindo A.</t>
  </si>
  <si>
    <t>Int J Colorectal Dis. 2013 Mar;28(3):313-23. doi: 10.1007/s00384-012-1581-9. Epub 2012 Sep 29.</t>
  </si>
  <si>
    <t>Int J Colorectal Dis</t>
  </si>
  <si>
    <t>10.1007/s00384-012-1581-9</t>
  </si>
  <si>
    <t>Extracorporeal albumin dialysis with the molecular adsorbent recirculating system in acute-on-chronic liver failure: the RELIEF trial</t>
  </si>
  <si>
    <t>Bañares R, Nevens F, Larsen FS, Jalan R, Albillos A, Dollinger M, Saliba F, Sauerbruch T, Klammt S, Ockenga J, Pares A, Wendon J, Brünnler T, Kramer L, Mathurin P, de la Mata M, Gasbarrini A, Müllhaupt B, Wilmer A, Laleman W, Eefsen M, Sen S, Zipprich A, Tenorio T, Pavesi M, Schmidt HH, Mitzner S, Williams R, Arroyo V; RELIEF study group.</t>
  </si>
  <si>
    <t>Hepatology. 2013 Mar;57(3):1153-62. doi: 10.1002/hep.26185. Epub 2013 Feb 15.</t>
  </si>
  <si>
    <t>10.1002/hep.26185</t>
  </si>
  <si>
    <t>Evaluation of early percutaneous coronary intervention vs. standard therapy after fibrinolysis for ST-segment elevation myocardial infarction: contribution of weighting the composite endpoint</t>
  </si>
  <si>
    <t>Bakal JA, Westerhout CM, Cantor WJ, Fernández-Avilés F, Welsh RC, Fitchett D, Goodman SG, Armstrong PW.</t>
  </si>
  <si>
    <t>Eur Heart J. 2013 Mar;34(12):903-8. doi: 10.1093/eurheartj/ehs438. Epub 2012 Dec 19.</t>
  </si>
  <si>
    <t>10.1093/eurheartj/ehs438</t>
  </si>
  <si>
    <t>Adjudication of bleeding outcomes in an international thromboprophylaxis trial in critical illness</t>
  </si>
  <si>
    <t>Arnold DM, Lauzier F, Rabbat C, Zytaruk N, Barlow Cash B, Clarke F, Heels-Ansdell D, Guyatt G, Walter SD, Davies A, Cook DJ; PROTECT Investigators, on behalf of the Canadian Critical Care Trials Group and the Australian and New Zealand Intensive Care Society Clinical Trials Group.</t>
  </si>
  <si>
    <t>Thromb Res. 2013 Mar;131(3):204-9. doi: 10.1016/j.thromres.2012.12.005. Epub 2013 Jan 12.</t>
  </si>
  <si>
    <t>10.1016/j.thromres.2012.12.005</t>
  </si>
  <si>
    <t>Continuous versus intermittent infusions of antibiotics for the treatment of severe acute infections</t>
  </si>
  <si>
    <t>Shiu J, Wang E, Tejani AM, Wasdell M.</t>
  </si>
  <si>
    <t>Cochrane Database Syst Rev. 2013 Mar 28;(3):CD008481. doi: 10.1002/14651858.CD008481.pub2.</t>
  </si>
  <si>
    <t>10.1002/14651858.CD008481.pub2</t>
  </si>
  <si>
    <t>Pathogen-reduced platelets for the prevention of bleeding</t>
  </si>
  <si>
    <t>Butler C, Doree C, Estcourt LJ, Trivella M, Hopewell S, Brunskill SJ, Stanworth S, Murphy MF.</t>
  </si>
  <si>
    <t>Cochrane Database Syst Rev. 2013 Mar 28;(3):CD009072. doi: 10.1002/14651858.CD009072.pub2.</t>
  </si>
  <si>
    <t>10.1002/14651858.CD009072.pub2</t>
  </si>
  <si>
    <t>Efficacy and safety of oral desensitization in children with cow's milk allergy according to their serum specific IgE level</t>
  </si>
  <si>
    <t>García-Ara C, Pedrosa M, Belver MT, Martín-Muñoz MF, Quirce S, Boyano-Martínez T.</t>
  </si>
  <si>
    <t>Ann Allergy Asthma Immunol. 2013 Apr;110(4):290-4. doi: 10.1016/j.anai.2013.01.013. Epub 2013 Feb 14.</t>
  </si>
  <si>
    <t>10.1016/j.anai.2013.01.013</t>
  </si>
  <si>
    <t>Adverse events following yellow fever preventive vaccination campaigns in eight African countries from 2007 to 2010</t>
  </si>
  <si>
    <t>Breugelmans JG, Lewis RF, Agbenu E, Veit O, Jackson D, Domingo C, Böthe M, Perea W, Niedrig M, Gessner BD, Yactayo S; YF AEFI group.</t>
  </si>
  <si>
    <t>Vaccine. 2013 Apr 3;31(14):1819-29. doi: 10.1016/j.vaccine.2013.01.054. Epub 2013 Feb 7.</t>
  </si>
  <si>
    <t>10.1016/j.vaccine.2013.01.054</t>
  </si>
  <si>
    <t>Early identification of patients at risk for difficult intubation in the intensive care unit: development and validation of the MACOCHA score in a multicenter cohort study</t>
  </si>
  <si>
    <t>De Jong A, Molinari N, Terzi N, Mongardon N, Arnal JM, Guitton C, Allaouchiche B, Paugam-Burtz C, Constantin JM, Lefrant JY, Leone M, Papazian L, Asehnoune K, Maziers N, Azoulay E, Pradel G, Jung B, Jaber S; AzuRéa Network for the Frida-Réa Study Group.</t>
  </si>
  <si>
    <t>Am J Respir Crit Care Med. 2013 Apr 15;187(8):832-9. doi: 10.1164/rccm.201210-1851OC.</t>
  </si>
  <si>
    <t>10.1164/rccm.201210-1851OC</t>
  </si>
  <si>
    <t>Pharmacological interventions for self-injurious behaviour in adults with intellectual disabilities</t>
  </si>
  <si>
    <t>Rana F, Gormez A, Varghese S.</t>
  </si>
  <si>
    <t>Cochrane Database Syst Rev. 2013 Apr 30;(4):CD009084. doi: 10.1002/14651858.CD009084.pub2.</t>
  </si>
  <si>
    <t>10.1002/14651858.CD009084.pub2</t>
  </si>
  <si>
    <t>Emerging low-density lipoprotein (LDL) therapies: Management of severely elevated LDL cholesterol--the role of LDL-apheresis</t>
  </si>
  <si>
    <t>McGowan MP.</t>
  </si>
  <si>
    <t>J Clin Lipidol. 2013 May-Jun;7(3 Suppl):S21-6. doi: 10.1016/j.jacl.2013.03.002. Epub 2013 Mar 26.</t>
  </si>
  <si>
    <t>J Clin Lipidol</t>
  </si>
  <si>
    <t>10.1016/j.jacl.2013.03.002</t>
  </si>
  <si>
    <t>Emerging LDL therapies: Mipomersen-antisense oligonucleotide therapy in the management of hypercholesterolemia</t>
  </si>
  <si>
    <t>Toth PP.</t>
  </si>
  <si>
    <t>J Clin Lipidol. 2013 May-Jun;7(3 Suppl):S6-10. doi: 10.1016/j.jacl.2013.02.004. Epub 2013 Mar 27.</t>
  </si>
  <si>
    <t>10.1016/j.jacl.2013.02.004</t>
  </si>
  <si>
    <t>Search for atoxic cereals: a single blind, cross-over study on the safety of a single dose of Triticum monococcum, in patients with celiac disease</t>
  </si>
  <si>
    <t>Zanini B, Petroboni B, Not T, Di Toro N, Villanacci V, Lanzarotto F, Pogna N, Ricci C, Lanzini A.</t>
  </si>
  <si>
    <t>BMC Gastroenterol. 2013 May 24;13:92. doi: 10.1186/1471-230X-13-92.</t>
  </si>
  <si>
    <t>BMC Gastroenterol</t>
  </si>
  <si>
    <t>10.1186/1471-230X-13-92</t>
  </si>
  <si>
    <t>Mitoxantrone for multiple sclerosis</t>
  </si>
  <si>
    <t>Martinelli Boneschi F, Vacchi L, Rovaris M, Capra R, Comi G.</t>
  </si>
  <si>
    <t>Cochrane Database Syst Rev. 2013 May 31;(5):CD002127. doi: 10.1002/14651858.CD002127.pub3.</t>
  </si>
  <si>
    <t>10.1002/14651858.CD002127.pub3</t>
  </si>
  <si>
    <t>Probiotics for the prevention of Clostridium difficile-associated diarrhea in adults and children</t>
  </si>
  <si>
    <t>Goldenberg JZ, Ma SS, Saxton JD, Martzen MR, Vandvik PO, Thorlund K, Guyatt GH, Johnston BC.</t>
  </si>
  <si>
    <t>Cochrane Database Syst Rev. 2013 May 31;(5):CD006095. doi: 10.1002/14651858.CD006095.pub3.</t>
  </si>
  <si>
    <t>10.1002/14651858.CD006095.pub3</t>
  </si>
  <si>
    <t>Safety and feasibility of orbital atherectomy for the treatment of calcified coronary lesions: the ORBIT I trial</t>
  </si>
  <si>
    <t>Parikh K, Chandra P, Choksi N, Khanna P, Chambers J.</t>
  </si>
  <si>
    <t>Catheter Cardiovasc Interv. 2013 Jun 1;81(7):1134-9. doi: 10.1002/ccd.24700. Epub 2013 Mar 5.</t>
  </si>
  <si>
    <t>10.1002/ccd.24700</t>
  </si>
  <si>
    <t>GrowthHormone Research Society workshop summary: consensus guidelines for recombinant human growth hormone therapy in Prader-Willi syndrome</t>
  </si>
  <si>
    <t>Deal CL, Tony M, Höybye C, Allen DB, Tauber M, Christiansen JS; 2011 Growth Hormone in Prader-Willi Syndrome Clinical Care Guidelines Workshop Participants.</t>
  </si>
  <si>
    <t>J Clin Endocrinol Metab. 2013 Jun;98(6):E1072-87. doi: 10.1210/jc.2012-3888. Epub 2013 Mar 29.</t>
  </si>
  <si>
    <t>10.1210/jc.2012-3888</t>
  </si>
  <si>
    <t>A split-face comparison of low-fluence Q-switched Nd: YAG laser plus 1550 nm fractional photothermolysis vs. Q-switched Nd: YAG monotherapy for facial melasma in Asian skin</t>
  </si>
  <si>
    <t>Kim HS, Kim EK, Jung KE, Park YM, Kim HO, Lee JY.</t>
  </si>
  <si>
    <t>J Cosmet Laser Ther. 2013 Jun;15(3):143-9. doi: 10.3109/14764172.2013.769274. Epub 2013 Apr 22.</t>
  </si>
  <si>
    <t>J Cosmet Laser Ther</t>
  </si>
  <si>
    <t>10.3109/14764172.2013.769274</t>
  </si>
  <si>
    <t>A comparison of Irish set dancing and exercises for people with Parkinson's disease: a phase II feasibility study</t>
  </si>
  <si>
    <t>Volpe D, Signorini M, Marchetto A, Lynch T, Morris ME.</t>
  </si>
  <si>
    <t>BMC Geriatr. 2013 Jun 4;13:54. doi: 10.1186/1471-2318-13-54.</t>
  </si>
  <si>
    <t>BMC Geriatr</t>
  </si>
  <si>
    <t>10.1186/1471-2318-13-54</t>
  </si>
  <si>
    <t>[Treatment of giant cell arteritis]</t>
  </si>
  <si>
    <t>Sailler L, Pugnet G, Bienvenu B.</t>
  </si>
  <si>
    <t>Rev Med Interne. 2013 Jul;34(7):431-7. doi: 10.1016/j.revmed.2013.02.032. Epub 2013 Apr 4.</t>
  </si>
  <si>
    <t>Rev Med Interne</t>
  </si>
  <si>
    <t>10.1016/j.revmed.2013.02.032</t>
  </si>
  <si>
    <t>High disease activity: an independent factor for reduced immunogenicity of the pandemic influenza a vaccine in patients with juvenile systemic lupus erythematosus</t>
  </si>
  <si>
    <t>Campos LM, Silva CA, Aikawa NE, Jesus AA, Moraes JC, Miraglia J, Ishida MA, Bueno C, Pereira RM, Bonfa E.</t>
  </si>
  <si>
    <t>Arthritis Care Res (Hoboken). 2013 Jul;65(7):1121-7. doi: 10.1002/acr.21948.</t>
  </si>
  <si>
    <t>Arthritis Care Res (Hoboken)</t>
  </si>
  <si>
    <t>10.1002/acr.21948</t>
  </si>
  <si>
    <t>Treatment of acne scars with hyaluronic acid: an improved approach</t>
  </si>
  <si>
    <t>Halachmi S, Ben Amitai D, Lapidoth M.</t>
  </si>
  <si>
    <t>J Drugs Dermatol. 2013 Jul 1;12(7):e121-3.</t>
  </si>
  <si>
    <t>Pegylated liposomal doxorubicin for relapsed epithelial ovarian cancer</t>
  </si>
  <si>
    <t>Lawrie TA, Bryant A, Cameron A, Gray E, Morrison J.</t>
  </si>
  <si>
    <t>Cochrane Database Syst Rev. 2013 Jul 9;2013(7):CD006910. doi: 10.1002/14651858.CD006910.pub2.</t>
  </si>
  <si>
    <t>10.1002/14651858.CD006910.pub2</t>
  </si>
  <si>
    <t>Partial liquid ventilation for preventing death and morbidity in adults with acute lung injury and acute respiratory distress syndrome</t>
  </si>
  <si>
    <t>Galvin IM, Steel A, Pinto R, Ferguson ND, Davies MW.</t>
  </si>
  <si>
    <t>Cochrane Database Syst Rev. 2013 Jul 23;2013(7):CD003707. doi: 10.1002/14651858.CD003707.pub3.</t>
  </si>
  <si>
    <t>10.1002/14651858.CD003707.pub3</t>
  </si>
  <si>
    <t>Nebulised hypertonic saline solution for acute bronchiolitis in infants</t>
  </si>
  <si>
    <t>Zhang L, Mendoza-Sassi RA, Wainwright C, Klassen TP.</t>
  </si>
  <si>
    <t>Cochrane Database Syst Rev. 2013 Jul 31;(7):CD006458. doi: 10.1002/14651858.CD006458.pub3.</t>
  </si>
  <si>
    <t>10.1002/14651858.CD006458.pub3</t>
  </si>
  <si>
    <t>Uniextrapedicular kyphoplasty for the treatment of thoracic osteoporotic vertebral fractures</t>
  </si>
  <si>
    <t>Ge Z, Ma R, Chen Z, Zhang H, Ding H, Liang S, Suo Z.</t>
  </si>
  <si>
    <t>Orthopedics. 2013 Aug;36(8):e1020-4. doi: 10.3928/01477447-20130724-17.</t>
  </si>
  <si>
    <t>Orthopedics</t>
  </si>
  <si>
    <t>10.3928/01477447-20130724-17</t>
  </si>
  <si>
    <t>Afriflu2--second international workshop on influenza vaccination in the African continent--8 November 2012, Cape Town (South Africa)</t>
  </si>
  <si>
    <t>Schoub BD, Gessner BD, Ampofo W, Cohen AL, Steffen CA.</t>
  </si>
  <si>
    <t>Vaccine. 2013 Aug 2;31(35):3461-6. doi: 10.1016/j.vaccine.2013.04.021. Epub 2013 Apr 18.</t>
  </si>
  <si>
    <t>10.1016/j.vaccine.2013.04.021</t>
  </si>
  <si>
    <t>A phase 2 dose-ranging study of subcutaneous tabalumab for the treatment of patients with active rheumatoid arthritis and an inadequate response to methotrexate</t>
  </si>
  <si>
    <t>Genovese MC, Lee E, Satterwhite J, Veenhuizen M, Disch D, Berclaz PY, Myers S, Sides G, Benichou O.</t>
  </si>
  <si>
    <t>Ann Rheum Dis. 2013 Sep 1;72(9):1453-60. doi: 10.1136/annrheumdis-2012-202864. Epub 2013 Apr 18.</t>
  </si>
  <si>
    <t>Ann Rheum Dis</t>
  </si>
  <si>
    <t>10.1136/annrheumdis-2012-202864</t>
  </si>
  <si>
    <t>Escitalopram in the treatment of adolescent depression: a randomized, double-blind, placebo-controlled extension trial</t>
  </si>
  <si>
    <t>Findling RL, Robb A, Bose A.</t>
  </si>
  <si>
    <t>J Child Adolesc Psychopharmacol. 2013 Sep;23(7):468-80. doi: 10.1089/cap.2012.0023.</t>
  </si>
  <si>
    <t>J Child Adolesc Psychopharmacol</t>
  </si>
  <si>
    <t>10.1089/cap.2012.0023</t>
  </si>
  <si>
    <t>Conterno LO, Turchi MD.</t>
  </si>
  <si>
    <t>Cochrane Database Syst Rev. 2013 Sep 6;(9):CD004439. doi: 10.1002/14651858.CD004439.pub3.</t>
  </si>
  <si>
    <t>10.1002/14651858.CD004439.pub3</t>
  </si>
  <si>
    <t>Medical management of critical limb ischaemia: where do we stand today?</t>
  </si>
  <si>
    <t>Lambert MA, Belch JJ.</t>
  </si>
  <si>
    <t>J Intern Med. 2013 Oct;274(4):295-307. doi: 10.1111/joim.12102. Epub 2013 Jul 22.</t>
  </si>
  <si>
    <t>J Intern Med</t>
  </si>
  <si>
    <t>10.1111/joim.12102</t>
  </si>
  <si>
    <t>Phase II study of personalized peptide vaccination for refractory bone and soft tissue sarcoma patients</t>
  </si>
  <si>
    <t>Takahashi R, Ishibashi Y, Hiraoka K, Matsueda S, Kawano K, Kawahara A, Kage M, Ohshima K, Yamanaka R, Shichijo S, Shirouzu K, Itoh K, Sasada T.</t>
  </si>
  <si>
    <t>Cancer Sci. 2013 Oct;104(10):1285-94. doi: 10.1111/cas.12226. Epub 2013 Aug 6.</t>
  </si>
  <si>
    <t>Cancer Sci</t>
  </si>
  <si>
    <t>10.1111/cas.12226</t>
  </si>
  <si>
    <t>Cardiac resynchronization therapy device implantation using a new sensor-based navigation system: results from the first human use study</t>
  </si>
  <si>
    <t>Richter S, Döring M, Gaspar T, John S, Rolf S, Sommer P, Hindricks G, Piorkowski C.</t>
  </si>
  <si>
    <t>Circ Arrhythm Electrophysiol. 2013 Oct;6(5):917-23. doi: 10.1161/CIRCEP.113.000066. Epub 2013 Sep 3.</t>
  </si>
  <si>
    <t>Circ Arrhythm Electrophysiol</t>
  </si>
  <si>
    <t>10.1161/CIRCEP.113.000066</t>
  </si>
  <si>
    <t>Effectiveness and neural mechanisms associated with tDCS delivered to premotor cortex in stroke rehabilitation: study protocol for a randomized controlled trial</t>
  </si>
  <si>
    <t>Plow EB, Cunningham DA, Beall E, Jones S, Wyant A, Bonnett C, Yue GH, Lowe M, Wang XF, Sakaie K, Machado A.</t>
  </si>
  <si>
    <t>Trials. 2013 Oct 12;14:331. doi: 10.1186/1745-6215-14-331.</t>
  </si>
  <si>
    <t>10.1186/1745-6215-14-331</t>
  </si>
  <si>
    <t>Vitamin C for asthma and exercise-induced bronchoconstriction</t>
  </si>
  <si>
    <t>Milan SJ, Hart A, Wilkinson M.</t>
  </si>
  <si>
    <t>Cochrane Database Syst Rev. 2013 Oct 23;2013(10):CD010391. doi: 10.1002/14651858.CD010391.pub2.</t>
  </si>
  <si>
    <t>10.1002/14651858.CD010391.pub2</t>
  </si>
  <si>
    <t>Phase IIa randomized double-blind, placebo-controlled study of inhaled apomorphine as acute challenge for rescuing 'off' periods in patients with established Parkinson's disease</t>
  </si>
  <si>
    <t>Grosset KA, Malek N, Morgan F, Grosset DG.</t>
  </si>
  <si>
    <t>Eur J Neurol. 2013 Nov;20(11):1445-50. doi: 10.1111/ene.12091. Epub 2013 Jan 28.</t>
  </si>
  <si>
    <t>Eur J Neurol</t>
  </si>
  <si>
    <t>10.1111/ene.12091</t>
  </si>
  <si>
    <t>Antithrombotic strategy in the three first months following bioprosthetic heart valve implantation</t>
  </si>
  <si>
    <t>Durães AR, Durães MA, Correia LC, Aras R.</t>
  </si>
  <si>
    <t>Arq Bras Cardiol. 2013 Nov;101(5):466-72. doi: 10.5935/abc.20130202. Epub 2013 Oct 8.</t>
  </si>
  <si>
    <t>Arq Bras Cardiol</t>
  </si>
  <si>
    <t>10.5935/abc.20130202</t>
  </si>
  <si>
    <t>Efficacy and safety of RPL554, a dual PDE3 and PDE4 inhibitor, in healthy volunteers and in patients with asthma or chronic obstructive pulmonary disease: findings from four clinical trials</t>
  </si>
  <si>
    <t>Franciosi LG, Diamant Z, Banner KH, Zuiker R, Morelli N, Kamerling IM, de Kam ML, Burggraaf J, Cohen AF, Cazzola M, Calzetta L, Singh D, Spina D, Walker MJ, Page CP.</t>
  </si>
  <si>
    <t>Lancet Respir Med. 2013 Nov;1(9):714-27. doi: 10.1016/S2213-2600(13)70187-5. Epub 2013 Oct 25.</t>
  </si>
  <si>
    <t>Lancet Respir Med</t>
  </si>
  <si>
    <t>10.1016/S2213-2600(13)70187-5</t>
  </si>
  <si>
    <t>Sunitinib versus sorafenib in advanced hepatocellular cancer: results of a randomized phase III trial</t>
  </si>
  <si>
    <t>Cheng AL, Kang YK, Lin DY, Park JW, Kudo M, Qin S, Chung HC, Song X, Xu J, Poggi G, Omata M, Pitman Lowenthal S, Lanzalone S, Yang L, Lechuga MJ, Raymond E.</t>
  </si>
  <si>
    <t>J Clin Oncol. 2013 Nov 10;31(32):4067-75. doi: 10.1200/JCO.2012.45.8372. Epub 2013 Sep 30.</t>
  </si>
  <si>
    <t>10.1200/JCO.2012.45.8372</t>
  </si>
  <si>
    <t>A phase 1b randomized, controlled, double-blinded dosage-escalation trial to evaluate the safety, reactogenicity and immunogenicity of an adenovirus type 35 based circumsporozoite malaria vaccine in Burkinabe healthy adults 18 to 45 years of age</t>
  </si>
  <si>
    <t>Ouédraogo A, Tiono AB, Kargougou D, Yaro JB, Ouédraogo E, Kaboré Y, Kangoye D, Bougouma EC, Gansane A, Henri N, Diarra A, Sanon S, Soulama I, Konate AT, Watson NL, Brown V, Hendriks J, Pau MG, Versteege I, Wiesken E, Sadoff J, Nebie I, Sirima SB.</t>
  </si>
  <si>
    <t>PLoS One. 2013 Nov 11;8(11):e78679. doi: 10.1371/journal.pone.0078679. eCollection 2013.</t>
  </si>
  <si>
    <t>10.1371/journal.pone.0078679</t>
  </si>
  <si>
    <t>Scopolamine detoxification technique for heroin dependence: a randomized trial</t>
  </si>
  <si>
    <t>Liu S, Li L, Shen W, Shen X, Yang G, Zhou W.</t>
  </si>
  <si>
    <t>CNS Drugs. 2013 Dec;27(12):1093-102. doi: 10.1007/s40263-013-0111-9.</t>
  </si>
  <si>
    <t>10.1007/s40263-013-0111-9</t>
  </si>
  <si>
    <t>Exercise programs for people with dementia</t>
  </si>
  <si>
    <t>Forbes D, Thiessen EJ, Blake CM, Forbes SC, Forbes S.</t>
  </si>
  <si>
    <t>Cochrane Database Syst Rev. 2013 Dec 4;(12):CD006489. doi: 10.1002/14651858.CD006489.pub3.</t>
  </si>
  <si>
    <t>10.1002/14651858.CD006489.pub3</t>
  </si>
  <si>
    <t>A multi-center, randomized, clinical trial comparing adhesive polyurethane foam dressing and adhesive hydrocolloid dressing in patients with grade II pressure ulcers in primary care and nursing homes</t>
  </si>
  <si>
    <t>Guillén-Solà M, Soler Mieras A, Tomàs-Vidal AM; GAUPP-Expert Panel.</t>
  </si>
  <si>
    <t>BMC Fam Pract. 2013 Dec 21;14:196. doi: 10.1186/1471-2296-14-196.</t>
  </si>
  <si>
    <t>BMC Fam Pract</t>
  </si>
  <si>
    <t>10.1186/1471-2296-14-196</t>
  </si>
  <si>
    <t>Effect of nortriptyline on symptoms of idiopathic gastroparesis: the NORIG randomized clinical trial</t>
  </si>
  <si>
    <t>Parkman HP, Van Natta ML, Abell TL, McCallum RW, Sarosiek I, Nguyen L, Snape WJ, Koch KL, Hasler WL, Farrugia G, Lee L, Unalp-Arida A, Tonascia J, Hamilton F, Pasricha PJ.</t>
  </si>
  <si>
    <t>JAMA. 2013 Dec 25;310(24):2640-9. doi: 10.1001/jama.2013.282833.</t>
  </si>
  <si>
    <t>NIHMS598429</t>
  </si>
  <si>
    <t>10.1001/jama.2013.282833</t>
  </si>
  <si>
    <t>Vaccine for prevention of mild and moderate-to-severe influenza in children</t>
  </si>
  <si>
    <t>Jain VK, Rivera L, Zaman K, Espos RA Jr, Sirivichayakul C, Quiambao BP, Rivera-Medina DM, Kerdpanich P, Ceyhan M, Dinleyici EC, Cravioto A, Yunus M, Chanthavanich P, Limkittikul K, Kurugol Z, Alhan E, Caplanusi A, Durviaux S, Boutet P, Ofori-Anyinam O, Chandrasekaran V, Dbaibo G, Innis BL.</t>
  </si>
  <si>
    <t>N Engl J Med. 2013 Dec 26;369(26):2481-91. doi: 10.1056/NEJMoa1215817. Epub 2013 Dec 11.</t>
  </si>
  <si>
    <t>10.1056/NEJMoa1215817</t>
  </si>
  <si>
    <t>The first recombinant FVIII produced in human cells--an update on its clinical development programme</t>
  </si>
  <si>
    <t>Valentino LA, Negrier C, Kohla G, Tiede A, Liesner R, Hart D, Knaub S.</t>
  </si>
  <si>
    <t>Haemophilia. 2014 Jan;20 Suppl 1:1-9. doi: 10.1111/hae.12322.</t>
  </si>
  <si>
    <t>10.1111/hae.12322</t>
  </si>
  <si>
    <t>Hydroxyethyl starch in sepsis</t>
  </si>
  <si>
    <t>Haase NR.</t>
  </si>
  <si>
    <t>Dan Med J. 2014 Jan;61(1):B4764.</t>
  </si>
  <si>
    <t>Dan Med J</t>
  </si>
  <si>
    <t>Preprocessing by a Bayesian single-trial event-related potential estimation technique allows feasibility of an assistive single-channel P300-based brain-computer interface</t>
  </si>
  <si>
    <t>Goljahani A, D'Avanzo C, Silvoni S, Tonin P, Piccione F, Sparacino G.</t>
  </si>
  <si>
    <t>Comput Math Methods Med. 2014;2014:731046. doi: 10.1155/2014/731046. Epub 2014 Jul 7.</t>
  </si>
  <si>
    <t>Comput Math Methods Med</t>
  </si>
  <si>
    <t>10.1155/2014/731046</t>
  </si>
  <si>
    <t>Cendoroglo MS.</t>
  </si>
  <si>
    <t>Sao Paulo Med J. 2014;132(3):195-6. doi: 10.1590/1516-3180.20141323t2.</t>
  </si>
  <si>
    <t>Sao Paulo Med J</t>
  </si>
  <si>
    <t>10.1590/1516-3180.20141323t2</t>
  </si>
  <si>
    <t>[Ergoferon liquid dosage form--efficacious and safe treatment for childhood acute respiratory infections. Interim outcomes of a multi-center, randomized, double-blind, placebo-controlled clinical trial]</t>
  </si>
  <si>
    <t>Geppe NA, Kondiurina EG, Galustian AN, Pak TE, Bal'tserovich NB, Zhiglinskaia OV, Kamaev AV, Lazareva SG, Laléko SL, Mel'nikova IM, Perminova OA, Sabitov AU.</t>
  </si>
  <si>
    <t>Antibiot Khimioter. 2014;59(5-6):6-14.</t>
  </si>
  <si>
    <t>Antibiot Khimioter</t>
  </si>
  <si>
    <t>Real-world effectiveness of abatacept for rheumatoid arthritis treatment in European and Canadian populations: a 6-month interim analysis of the 2-year, observational, prospective ACTION study</t>
  </si>
  <si>
    <t>Nüßlein HG, Alten R, Galeazzi M, Lorenz HM, Boumpas D, Nurmohamed MT, Bensen WG, Burmester GR, Peter HH, Rainer F, Pavelka K, Chartier M, Poncet C, Rauch C, Bars ML.</t>
  </si>
  <si>
    <t>BMC Musculoskelet Disord. 2014 Jan 11;15:14. doi: 10.1186/1471-2474-15-14.</t>
  </si>
  <si>
    <t>BMC Musculoskelet Disord</t>
  </si>
  <si>
    <t>10.1186/1471-2474-15-14</t>
  </si>
  <si>
    <t>Phase I safety trial of intravenous ascorbic acid in patients with severe sepsis</t>
  </si>
  <si>
    <t>Fowler AA 3rd, Syed AA, Knowlson S, Sculthorpe R, Farthing D, DeWilde C, Farthing CA, Larus TL, Martin E, Brophy DF, Gupta S; Medical Respiratory Intensive Care Unit Nursing, Fisher BJ, Natarajan R.</t>
  </si>
  <si>
    <t>J Transl Med. 2014 Jan 31;12:32. doi: 10.1186/1479-5876-12-32.</t>
  </si>
  <si>
    <t>J Transl Med</t>
  </si>
  <si>
    <t>10.1186/1479-5876-12-32</t>
  </si>
  <si>
    <t>Adverse events of surgical extrusion in treatment for crown-root and cervical root fractures: a systematic review of case series/reports</t>
  </si>
  <si>
    <t>Elkhadem A, Mickan S, Richards D.</t>
  </si>
  <si>
    <t>Dent Traumatol. 2014 Feb;30(1):1-14. doi: 10.1111/edt.12051. Epub 2013 Jun 25.</t>
  </si>
  <si>
    <t>Dent Traumatol</t>
  </si>
  <si>
    <t>10.1111/edt.12051</t>
  </si>
  <si>
    <t>Evidence for continuous glucose monitoring: sufficient for reimbursement?</t>
  </si>
  <si>
    <t>Heinemann L, DeVries JH.</t>
  </si>
  <si>
    <t>Diabet Med. 2014 Feb;31(2):122-5. doi: 10.1111/dme.12341.</t>
  </si>
  <si>
    <t>Diabet Med</t>
  </si>
  <si>
    <t>10.1111/dme.12341</t>
  </si>
  <si>
    <t>Postoperative respiratory failure: pathogenesis, prediction, and prevention</t>
  </si>
  <si>
    <t>Canet J, Gallart L.</t>
  </si>
  <si>
    <t>Curr Opin Crit Care. 2014 Feb;20(1):56-62. doi: 10.1097/MCC.0000000000000045.</t>
  </si>
  <si>
    <t>Curr Opin Crit Care</t>
  </si>
  <si>
    <t>10.1097/MCC.0000000000000045</t>
  </si>
  <si>
    <t>Tocilizumab in rheumatoid arthritis: a meta-analysis of efficacy and selected clinical conundrums</t>
  </si>
  <si>
    <t>Navarro G, Taroumian S, Barroso N, Duan L, Furst D.</t>
  </si>
  <si>
    <t>Semin Arthritis Rheum. 2014 Feb;43(4):458-69. doi: 10.1016/j.semarthrit.2013.08.001. Epub 2013 Nov 18.</t>
  </si>
  <si>
    <t>Semin Arthritis Rheum</t>
  </si>
  <si>
    <t>10.1016/j.semarthrit.2013.08.001</t>
  </si>
  <si>
    <t>IN.PACT Amphirion paclitaxel eluting balloon versus standard percutaneous transluminal angioplasty for infrapopliteal revascularization of critical limb ischemia: rationale and protocol for an ongoing randomized controlled trial</t>
  </si>
  <si>
    <t>Zeller T, Baumgartner I, Scheinert D, Brodmann M, Bosiers M, Micari A, Peeters P, Vermassen F, Landini M; IN.PACT DEEP Trial Investigators.</t>
  </si>
  <si>
    <t>Trials. 2014 Feb 19;15:63. doi: 10.1186/1745-6215-15-63.</t>
  </si>
  <si>
    <t>10.1186/1745-6215-15-63</t>
  </si>
  <si>
    <t>Anti-IP-10 antibody (BMS-936557) for ulcerative colitis: a phase II randomised study</t>
  </si>
  <si>
    <t>Mayer L, Sandborn WJ, Stepanov Y, Geboes K, Hardi R, Yellin M, Tao X, Xu LA, Salter-Cid L, Gujrathi S, Aranda R, Luo AY.</t>
  </si>
  <si>
    <t>Gut. 2014 Mar;63(3):442-50. doi: 10.1136/gutjnl-2012-303424. Epub 2013 Mar 5.</t>
  </si>
  <si>
    <t>10.1136/gutjnl-2012-303424</t>
  </si>
  <si>
    <t>A systematic review and meta-analysis on the use of traditional Chinese medicine compound kushen injection for bone cancer pain</t>
  </si>
  <si>
    <t>Yanju B, Yang L, Hua B, Hou W, Shi Z, Li W, Li C, Chen C, Liu R, Qin Y, Lv W.</t>
  </si>
  <si>
    <t>Support Care Cancer. 2014 Mar;22(3):825-36. doi: 10.1007/s00520-013-2063-5. Epub 2013 Nov 26.</t>
  </si>
  <si>
    <t>10.1007/s00520-013-2063-5</t>
  </si>
  <si>
    <t>Relative acidic compartment volume as a lysosomal storage disorder-associated biomarker</t>
  </si>
  <si>
    <t>te Vruchte D, Speak AO, Wallom KL, Al Eisa N, Smith DA, Hendriksz CJ, Simmons L, Lachmann RH, Cousins A, Hartung R, Mengel E, Runz H, Beck M, Amraoui Y, Imrie J, Jacklin E, Riddick K, Yanjanin NM, Wassif CA, Rolfs A, Rimmele F, Wright N, Taylor C, Ramaswami U, Cox TM, Hastings C, Jiang X, Sidhu R, Ory DS, Arias B, Jeyakumar M, Sillence DJ, Wraith JE, Porter FD, Cortina-Borja M, Platt FM.</t>
  </si>
  <si>
    <t>J Clin Invest. 2014 Mar;124(3):1320-8. doi: 10.1172/JCI72835.</t>
  </si>
  <si>
    <t>10.1172/JCI72835</t>
  </si>
  <si>
    <t>Quality-of-life-adjusted hazard of death: a formulation of the quality-adjusted life-years model of use in benefit-risk assessment</t>
  </si>
  <si>
    <t>Garcia-Hernandez A.</t>
  </si>
  <si>
    <t>Value Health. 2014 Mar;17(2):275-9. doi: 10.1016/j.jval.2013.11.013.</t>
  </si>
  <si>
    <t>10.1016/j.jval.2013.11.013</t>
  </si>
  <si>
    <t>Yellow fever vaccine-associated adverse events following extensive immunization in Argentina</t>
  </si>
  <si>
    <t>Biscayart C, Carrega ME, Sagradini S, Gentile A, Stecher D, Orduna T, Bentancourt S, Jiménez SG, Flynn LP, Arce GP, Uboldi MA, Bugna L, Morales MA, Digilio C, Fabbri C, Enría D, Diosque M, Vizzotti C.</t>
  </si>
  <si>
    <t>Vaccine. 2014 Mar 5;32(11):1266-72. doi: 10.1016/j.vaccine.2014.01.015. Epub 2014 Jan 21.</t>
  </si>
  <si>
    <t>10.1016/j.vaccine.2014.01.015</t>
  </si>
  <si>
    <t>Influence of adverse drug reactions on treatment success: prospective cohort analysis of HIV-infected individuals initiating first-line antiretroviral therapy in India</t>
  </si>
  <si>
    <t>Shet A, Antony J, Arumugam K, Kumar Dodderi S, Rodrigues R, DeCosta A.</t>
  </si>
  <si>
    <t>PLoS One. 2014 Mar 10;9(3):e91028. doi: 10.1371/journal.pone.0091028. eCollection 2014.</t>
  </si>
  <si>
    <t>10.1371/journal.pone.0091028</t>
  </si>
  <si>
    <t>Managing hyperglycemia in patients with Cushing's disease treated with pasireotide: medical expert recommendations</t>
  </si>
  <si>
    <t>Colao A, De Block C, Gaztambide MS, Kumar S, Seufert J, Casanueva FF.</t>
  </si>
  <si>
    <t>Pituitary. 2014 Apr;17(2):180-6. doi: 10.1007/s11102-013-0483-3.</t>
  </si>
  <si>
    <t>Pituitary</t>
  </si>
  <si>
    <t>10.1007/s11102-013-0483-3</t>
  </si>
  <si>
    <t>Ethical issues in HIV prevention research with people who inject drugs</t>
  </si>
  <si>
    <t>Sugarman J, Rose SM, Metzger D.</t>
  </si>
  <si>
    <t>Clin Trials. 2014 Apr;11(2):239-45. doi: 10.1177/1740774513505157. Epub 2013 Oct 14.</t>
  </si>
  <si>
    <t>Clin Trials</t>
  </si>
  <si>
    <t>NIHMS518719</t>
  </si>
  <si>
    <t>10.1177/1740774513505157</t>
  </si>
  <si>
    <t>Effects of early versus delayed initiation of antiretroviral treatment on clinical outcomes of HIV-1 infection: results from the phase 3 HPTN 052 randomised controlled trial</t>
  </si>
  <si>
    <t>Grinsztejn B, Hosseinipour MC, Ribaudo HJ, Swindells S, Eron J, Chen YQ, Wang L, Ou SS, Anderson M, McCauley M, Gamble T, Kumarasamy N, Hakim JG, Kumwenda J, Pilotto JH, Godbole SV, Chariyalertsak S, de Melo MG, Mayer KH, Eshleman SH, Piwowar-Manning E, Makhema J, Mills LA, Panchia R, Sanne I, Gallant J, Hoffman I, Taha TE, Nielsen-Saines K, Celentano D, Essex M, Havlir D, Cohen MS; HPTN 052-ACTG Study Team.</t>
  </si>
  <si>
    <t>Lancet Infect Dis. 2014 Apr;14(4):281-90. doi: 10.1016/S1473-3099(13)70692-3. Epub 2014 Mar 4.</t>
  </si>
  <si>
    <t>Lancet Infect Dis</t>
  </si>
  <si>
    <t>NIHMS619296</t>
  </si>
  <si>
    <t>10.1016/S1473-3099(13)70692-3</t>
  </si>
  <si>
    <t>[Uptodate in the management and treatment of ANCA-associated vasculitis]</t>
  </si>
  <si>
    <t>Belaconi IN, Toma CL, Bogdan MA.</t>
  </si>
  <si>
    <t>Pneumologia. 2014 Apr-Jun;63(2):78-80, 83-6.</t>
  </si>
  <si>
    <t>Pneumologia</t>
  </si>
  <si>
    <t>Impact of once- versus twice-daily perphenazine dosing on clinical outcomes: an analysis of the CATIE data</t>
  </si>
  <si>
    <t>Takeuchi H, Fervaha G, Uchida H, Suzuki T, Bies RR, Grönte D, Remington G.</t>
  </si>
  <si>
    <t>J Clin Psychiatry. 2014 May;75(5):506-11. doi: 10.4088/JCP.13m08695.</t>
  </si>
  <si>
    <t>10.4088/JCP.13m08695</t>
  </si>
  <si>
    <t>Early predictors of colectomy and long-term maintenance of remission in ulcerative colitis patients treated using anti-tumour necrosis factor therapy</t>
  </si>
  <si>
    <t>Subramaniam K, Richardson A, Dodd J, Platten J, Shadbolt B, Pavli P.</t>
  </si>
  <si>
    <t>Intern Med J. 2014 May;44(5):464-70. doi: 10.1111/imj.12397.</t>
  </si>
  <si>
    <t>Intern Med J</t>
  </si>
  <si>
    <t>10.1111/imj.12397</t>
  </si>
  <si>
    <t>Effects of combination antiretroviral therapies on the risk of myocardial infarction among HIV patients</t>
  </si>
  <si>
    <t>Brouwer ES, Napravnik S, Eron JJ Jr, Stalzer B, Floris-Moore M, Simpson RJ Jr, Stürmer T.</t>
  </si>
  <si>
    <t>Epidemiology. 2014 May;25(3):406-17. doi: 10.1097/EDE.0000000000000041.</t>
  </si>
  <si>
    <t>Epidemiology</t>
  </si>
  <si>
    <t>NIHMS610192</t>
  </si>
  <si>
    <t>10.1097/EDE.0000000000000041</t>
  </si>
  <si>
    <t>Treatment with metadoxine and its impact on early mortality in patients with severe alcoholic hepatitis</t>
  </si>
  <si>
    <t>Higuera-de la Tijera F, Servín-Caamaño AI, Cruz-Herrera J, Serralde-Zúñiga AE, Abdo-Francis JM, Gutiérrez-Reyes G, Pérez-Hernández JL.</t>
  </si>
  <si>
    <t>Ann Hepatol. 2014 May-Jun;13(3):343-52.</t>
  </si>
  <si>
    <t>Ann Hepatol</t>
  </si>
  <si>
    <t>Sphenopalatine ganglion stimulation for the treatment of cluster headache</t>
  </si>
  <si>
    <t>Láinez MJ, Puche M, Garcia A, Gascón F.</t>
  </si>
  <si>
    <t>Ther Adv Neurol Disord. 2014 May;7(3):162-8. doi: 10.1177/1756285613510961.</t>
  </si>
  <si>
    <t>Ther Adv Neurol Disord</t>
  </si>
  <si>
    <t>10.1177/1756285613510961</t>
  </si>
  <si>
    <t>Insufficient pain management after spine surgery</t>
  </si>
  <si>
    <t>Nielsen RV, Fomsgaard JS, Dahl JB, Mathiesen O.</t>
  </si>
  <si>
    <t>Dan Med J. 2014 May;61(5):A4835.</t>
  </si>
  <si>
    <t>Challenges and future opportunities for transcatheter aortic valve therapy</t>
  </si>
  <si>
    <t>Leon MB, Gada H, Fontana GP.</t>
  </si>
  <si>
    <t>Prog Cardiovasc Dis. 2014 May-Jun;56(6):635-45. doi: 10.1016/j.pcad.2014.03.004. Epub 2014 Mar 11.</t>
  </si>
  <si>
    <t>10.1016/j.pcad.2014.03.004</t>
  </si>
  <si>
    <t>Pivotal trial to evaluate the safety and efficacy of the orbital atherectomy system in treating de novo, severely calcified coronary lesions (ORBIT II)</t>
  </si>
  <si>
    <t>Chambers JW, Feldman RL, Himmelstein SI, Bhatheja R, Villa AE, Strickman NE, Shlofmitz RA, Dulas DD, Arab D, Khanna PK, Lee AC, Ghali MG, Shah RR, Davis TP, Kim CY, Tai Z, Patel KC, Puma JA, Makam P, Bertolet BD, Nseir GY.</t>
  </si>
  <si>
    <t>JACC Cardiovasc Interv. 2014 May;7(5):510-8. doi: 10.1016/j.jcin.2014.01.158.</t>
  </si>
  <si>
    <t>JACC Cardiovasc Interv</t>
  </si>
  <si>
    <t>10.1016/j.jcin.2014.01.158</t>
  </si>
  <si>
    <t>Optimisation of antiretroviral therapy in HIV-infected children under 3 years of age</t>
  </si>
  <si>
    <t>Penazzato M, Prendergast AJ, Muhe LM, Tindyebwa D, Abrams E.</t>
  </si>
  <si>
    <t>Cochrane Database Syst Rev. 2014 May 22;(5):CD004772. doi: 10.1002/14651858.CD004772.pub4.</t>
  </si>
  <si>
    <t>10.1002/14651858.CD004772.pub4</t>
  </si>
  <si>
    <t>Trypanocidal drugs for chronic asymptomatic Trypanosoma cruzi infection</t>
  </si>
  <si>
    <t>Villar JC, Perez JG, Cortes OL, Riarte A, Pepper M, Marin-Neto JA, Guyatt GH.</t>
  </si>
  <si>
    <t>Cochrane Database Syst Rev. 2014 May 27;2014(5):CD003463. doi: 10.1002/14651858.CD003463.pub2.</t>
  </si>
  <si>
    <t>10.1002/14651858.CD003463.pub2</t>
  </si>
  <si>
    <t>An open-label study to evaluate sildenafil for the treatment of lymphatic malformations</t>
  </si>
  <si>
    <t>Danial C, Tichy AL, Tariq U, Swetman GL, Khuu P, Leung TH, Benjamin L, Teng J, Vasanawala SS, Lane AT.</t>
  </si>
  <si>
    <t>J Am Acad Dermatol. 2014 Jun;70(6):1050-7. doi: 10.1016/j.jaad.2014.02.005. Epub 2014 Mar 20.</t>
  </si>
  <si>
    <t>NIHMS567884</t>
  </si>
  <si>
    <t>10.1016/j.jaad.2014.02.005</t>
  </si>
  <si>
    <t>Effect of lenvatinib (E7080) on the QTc interval: results from a thorough QT study in healthy volunteers</t>
  </si>
  <si>
    <t>Shumaker RC, Zhou M, Ren M, Fan J, Martinez G, Aluri J, Darpo B.</t>
  </si>
  <si>
    <t>Cancer Chemother Pharmacol. 2014 Jun;73(6):1109-17. doi: 10.1007/s00280-014-2444-6.</t>
  </si>
  <si>
    <t>10.1007/s00280-014-2444-6</t>
  </si>
  <si>
    <t>Live attenuated tetravalent dengue virus host range vaccine is immunogenic in African green monkeys following a single vaccination</t>
  </si>
  <si>
    <t>Briggs CM, Smith KM, Piper A, Huitt E, Spears CJ, Quiles M, Ribeiro M, Thomas ME, Brown DT, Hernandez R.</t>
  </si>
  <si>
    <t>J Virol. 2014 Jun;88(12):6729-42. doi: 10.1128/JVI.00541-14. Epub 2014 Apr 2.</t>
  </si>
  <si>
    <t>10.1128/JVI.00541-14</t>
  </si>
  <si>
    <t>Orbital atherectomy system in treating calcified coronary lesions: 3-Year follow-up in first human use study (ORBIT I trial)</t>
  </si>
  <si>
    <t>Bhatt P, Parikh P, Patel A, Chag M, Chandarana A, Parikh R, Parikh K.</t>
  </si>
  <si>
    <t>Cardiovasc Revasc Med. 2014 Jun;15(4):204-8. doi: 10.1016/j.carrev.2014.03.004. Epub 2014 Mar 19.</t>
  </si>
  <si>
    <t>Cardiovasc Revasc Med</t>
  </si>
  <si>
    <t>10.1016/j.carrev.2014.03.004</t>
  </si>
  <si>
    <t>Monitoring Ara h 1, 2 and 3-sIgE and sIgG4 antibodies in peanut allergic children receiving oral rush immunotherapy</t>
  </si>
  <si>
    <t>Nozawa A, Okamoto Y, Movérare R, Borres MP, Kurihara K.</t>
  </si>
  <si>
    <t>Pediatr Allergy Immunol. 2014 Jun;25(4):323-8. doi: 10.1111/pai.12243.</t>
  </si>
  <si>
    <t>10.1111/pai.12243</t>
  </si>
  <si>
    <t>Gait training early after stroke with a new exoskeleton--the hybrid assistive limb: a study of safety and feasibility</t>
  </si>
  <si>
    <t>Nilsson A, Vreede KS, Häglund V, Kawamoto H, Sankai Y, Borg J.</t>
  </si>
  <si>
    <t>J Neuroeng Rehabil. 2014 Jun 2;11:92. doi: 10.1186/1743-0003-11-92.</t>
  </si>
  <si>
    <t>J Neuroeng Rehabil</t>
  </si>
  <si>
    <t>10.1186/1743-0003-11-92</t>
  </si>
  <si>
    <t>Dietary pyridoxine controls efficacy of vitamin B6-auxotrophic tuberculosis vaccine bacillus Calmette-Guérin ΔureC::hly Δpdx1 in mice</t>
  </si>
  <si>
    <t>Gengenbacher M, Vogelzang A, Schuerer S, Lazar D, Kaiser P, Kaufmann SH.</t>
  </si>
  <si>
    <t>mBio. 2014 Jun 3;5(3):e01262-14. doi: 10.1128/mBio.01262-14.</t>
  </si>
  <si>
    <t>mBio</t>
  </si>
  <si>
    <t>10.1128/mBio.01262-14</t>
  </si>
  <si>
    <t>Evaluation of sex, race, body mass index and pre-vaccination serum progesterone levels and post-vaccination serum anti-anthrax protective immunoglobulin G on injection site adverse events following anthrax vaccine adsorbed (AVA) in the CDC AVA human clinical trial</t>
  </si>
  <si>
    <t>Pondo T, Rose CE Jr, Martin SW, Keitel WA, Keyserling HL, Babcock J, Parker S, Jacobson RM, Poland GA, McNeil MM.</t>
  </si>
  <si>
    <t>Vaccine. 2014 Jun 12;32(28):3548-54. doi: 10.1016/j.vaccine.2014.04.025. Epub 2014 Apr 24.</t>
  </si>
  <si>
    <t>NIHMS930251</t>
  </si>
  <si>
    <t>10.1016/j.vaccine.2014.04.025</t>
  </si>
  <si>
    <t>Information and communication technology based prompting for treatment compliance for people with serious mental illness</t>
  </si>
  <si>
    <t>Kauppi K, Välimäki M, Hätönen HM, Kuosmanen LM, Warwick-Smith K, Adams CE.</t>
  </si>
  <si>
    <t>Cochrane Database Syst Rev. 2014 Jun 17;2014(6):CD009960. doi: 10.1002/14651858.CD009960.pub2.</t>
  </si>
  <si>
    <t>PMC8078321</t>
  </si>
  <si>
    <t>10.1002/14651858.CD009960.pub2</t>
  </si>
  <si>
    <t>ECG morphological variability in beat space for risk stratification after acute coronary syndrome</t>
  </si>
  <si>
    <t>Liu Y, Syed Z, Scirica BM, Morrow DA, Guttag JV, Stultz CM.</t>
  </si>
  <si>
    <t>J Am Heart Assoc. 2014 Jun 24;3(3):e000981. doi: 10.1161/JAHA.114.000981.</t>
  </si>
  <si>
    <t>J Am Heart Assoc</t>
  </si>
  <si>
    <t>10.1161/JAHA.114.000981</t>
  </si>
  <si>
    <t>Antibiotic prophylaxis for preventing recurrent cellulitis: a systematic review and meta-analysis</t>
  </si>
  <si>
    <t>Oh CC, Ko HC, Lee HY, Safdar N, Maki DG, Chlebicki MP.</t>
  </si>
  <si>
    <t>J Infect. 2014 Jul;69(1):26-34. doi: 10.1016/j.jinf.2014.02.011. Epub 2014 Feb 24.</t>
  </si>
  <si>
    <t>10.1016/j.jinf.2014.02.011</t>
  </si>
  <si>
    <t>Therapeutic effects, tolerability and safety of a multi-strain probiotic in Iranian adults with irritable bowel syndrome and bloating</t>
  </si>
  <si>
    <t>Jafari E, Vahedi H, Merat S, Momtahen S, Riahi A.</t>
  </si>
  <si>
    <t>Arch Iran Med. 2014 Jul;17(7):466-70.</t>
  </si>
  <si>
    <t>Arch Iran Med</t>
  </si>
  <si>
    <t>The efficacy and safety of efinaconazole 10% solution for treatment of mild to moderate onychomycosis: a pooled analysis of two phase 3 randomized trials</t>
  </si>
  <si>
    <t>Gupta AK, Elewski BE, Sugarman JL, Ieda C, Kawabata H, Kang R, Pillai R, Olin JT, Watanabe S.</t>
  </si>
  <si>
    <t>J Drugs Dermatol. 2014 Jul;13(7):815-20.</t>
  </si>
  <si>
    <t>Safety of Vaccines Used for Routine Immunization in the United States</t>
  </si>
  <si>
    <t>Maglione MA, Gidengil C, Das L, Raaen L, Smith A, Chari R, Newberry S, Hempel S, Shanman R, Perry T, Goetz MB.</t>
  </si>
  <si>
    <t>Evid Rep Technol Assess (Full Rep). 2014 Jul;(215):1-740. doi: 10.23970/AHRQEPCERTA215.</t>
  </si>
  <si>
    <t>Evid Rep Technol Assess (Full Rep)</t>
  </si>
  <si>
    <t>10.23970/AHRQEPCERTA215</t>
  </si>
  <si>
    <t>Utility of the sore throat pain model in a multiple-dose assessment of the acute analgesic flurbiprofen: a randomized controlled study</t>
  </si>
  <si>
    <t>Schachtel B, Aspley S, Shephard A, Shea T, Smith G, Schachtel E.</t>
  </si>
  <si>
    <t>Trials. 2014 Jul 3;15:263. doi: 10.1186/1745-6215-15-263.</t>
  </si>
  <si>
    <t>10.1186/1745-6215-15-263</t>
  </si>
  <si>
    <t>Praziquantel, mefloquine-praziquantel, and mefloquine-artesunate-praziquantel against Schistosoma haematobium: a randomized, exploratory, open-label trial</t>
  </si>
  <si>
    <t>Keiser J, Silué KD, Adiossan LK, N'Guessan NA, Monsan N, Utzinger J, N'Goran EK.</t>
  </si>
  <si>
    <t>PLoS Negl Trop Dis. 2014 Jul 17;8(7):e2975. doi: 10.1371/journal.pntd.0002975. eCollection 2014 Jul.</t>
  </si>
  <si>
    <t>PLoS Negl Trop Dis</t>
  </si>
  <si>
    <t>10.1371/journal.pntd.0002975</t>
  </si>
  <si>
    <t>Mycophenolate mofetil versus methotrexate for prevention of graft-versus-host disease in people receiving allogeneic hematopoietic stem cell transplantation</t>
  </si>
  <si>
    <t>Kharfan-Dabaja M, Mhaskar R, Reljic T, Pidala J, Perkins JB, Djulbegovic B, Kumar A.</t>
  </si>
  <si>
    <t>Cochrane Database Syst Rev. 2014 Jul 25;(7):CD010280. doi: 10.1002/14651858.CD010280.pub2.</t>
  </si>
  <si>
    <t>10.1002/14651858.CD010280.pub2</t>
  </si>
  <si>
    <t>Antibiotics for acute pyelonephritis in children</t>
  </si>
  <si>
    <t>Strohmeier Y, Hodson EM, Willis NS, Webster AC, Craig JC.</t>
  </si>
  <si>
    <t>Cochrane Database Syst Rev. 2014 Jul 28;(7):CD003772. doi: 10.1002/14651858.CD003772.pub4.</t>
  </si>
  <si>
    <t>10.1002/14651858.CD003772.pub4</t>
  </si>
  <si>
    <t>Oral GS-5806 activity in a respiratory syncytial virus challenge study</t>
  </si>
  <si>
    <t>DeVincenzo JP, Whitley RJ, Mackman RL, Scaglioni-Weinlich C, Harrison L, Farrell E, McBride S, Lambkin-Williams R, Jordan R, Xin Y, Ramanathan S, O'Riordan T, Lewis SA, Li X, Toback SL, Lin SL, Chien JW.</t>
  </si>
  <si>
    <t>N Engl J Med. 2014 Aug 21;371(8):711-22. doi: 10.1056/NEJMoa1401184.</t>
  </si>
  <si>
    <t>10.1056/NEJMoa1401184</t>
  </si>
  <si>
    <t>Efficacy and safety of haloperidol prophylaxis for delirium prevention in older medical and surgical at-risk patients acutely admitted to hospital through the emergency department: study protocol of a multicenter, randomised, double-blind, placebo-controlled clinical trial</t>
  </si>
  <si>
    <t>Schrijver EJ, de Vries OJ, Verburg A, de Graaf K, Bet PM, van de Ven PM, Kamper AM, Diepeveen SH, Anten S, Siegel A, Kuipéri E, Lagaay AM, van Marum RJ, van Strien AM, Boelaarts L, Pons D, Kramer MH, Nanayakkara PW.</t>
  </si>
  <si>
    <t>BMC Geriatr. 2014 Aug 28;14:96. doi: 10.1186/1471-2318-14-96.</t>
  </si>
  <si>
    <t>10.1186/1471-2318-14-96</t>
  </si>
  <si>
    <t>A randomized, split-face clinical trial of low-fluence Q-switched neodymium-doped yttrium aluminum garnet (1,064 nm) laser versus low-fluence Q-switched alexandrite laser (755 nm) for the treatment of facial melasma</t>
  </si>
  <si>
    <t>Fabi SG, Friedmann DP, Niwa Massaki AB, Goldman MP.</t>
  </si>
  <si>
    <t>Lasers Surg Med. 2014 Sep;46(7):531-7. doi: 10.1002/lsm.22263. Epub 2014 Jun 4.</t>
  </si>
  <si>
    <t>Lasers Surg Med</t>
  </si>
  <si>
    <t>10.1002/lsm.22263</t>
  </si>
  <si>
    <t>Health economic evaluation of patients treated for nosocomial pneumonia caused by methicillin-resistant Staphylococcus aureus: secondary analysis of a multicenter randomized clinical trial of vancomycin and linezolid</t>
  </si>
  <si>
    <t>Niederman MS, Chastre J, Solem CT, Wan Y, Gao X, Myers DE, Haider S, Li JZ, Stephens JM.</t>
  </si>
  <si>
    <t>Clin Ther. 2014 Sep 1;36(9):1233-1243.e1. doi: 10.1016/j.clinthera.2014.06.029. Epub 2014 Jul 25.</t>
  </si>
  <si>
    <t>10.1016/j.clinthera.2014.06.029</t>
  </si>
  <si>
    <t>Timing of surgery in valvular heart disease: prophylactic surgery vs watchful waiting in the asymptomatic patient</t>
  </si>
  <si>
    <t>Gillam LD, Marcoff L, Shames S.</t>
  </si>
  <si>
    <t>Can J Cardiol. 2014 Sep;30(9):1035-45. doi: 10.1016/j.cjca.2014.06.019. Epub 2014 Jul 2.</t>
  </si>
  <si>
    <t>Can J Cardiol</t>
  </si>
  <si>
    <t>10.1016/j.cjca.2014.06.019</t>
  </si>
  <si>
    <t>Integrated collaborative care for major depression comorbid with a poor prognosis cancer (SMaRT Oncology-3): a multicentre randomised controlled trial in patients with lung cancer</t>
  </si>
  <si>
    <t>Walker J, Hansen CH, Martin P, Symeonides S, Gourley C, Wall L, Weller D, Murray G, Sharpe M; SMaRT (Symptom Management Research Trials) Oncology-3 Team.</t>
  </si>
  <si>
    <t>Lancet Oncol. 2014 Sep;15(10):1168-76. doi: 10.1016/S1470-2045(14)70343-2. Epub 2014 Aug 27.</t>
  </si>
  <si>
    <t>Lancet Oncol</t>
  </si>
  <si>
    <t>10.1016/S1470-2045(14)70343-2</t>
  </si>
  <si>
    <t>The efficacy and safety of probiotics in people with cancer: a systematic review</t>
  </si>
  <si>
    <t>Redman MG, Ward EJ, Phillips RS.</t>
  </si>
  <si>
    <t>Ann Oncol. 2014 Oct;25(10):1919-1929. doi: 10.1093/annonc/mdu106. Epub 2014 Mar 11.</t>
  </si>
  <si>
    <t>Ann Oncol</t>
  </si>
  <si>
    <t>10.1093/annonc/mdu106</t>
  </si>
  <si>
    <t>Severe events in the first 6 months of life in a cohort of HIV-unexposed infants from South Africa: effects of low birthweight and breastfeeding status</t>
  </si>
  <si>
    <t>Doherty T, Jackson D, Swanevelder S, Lombard C, Engebretsen IM, Tylleskär T, Goga A, Ekström EC, Sanders D; PROMISE EBF study group.</t>
  </si>
  <si>
    <t>Trop Med Int Health. 2014 Oct;19(10):1162-9. doi: 10.1111/tmi.12355. Epub 2014 Jul 23.</t>
  </si>
  <si>
    <t>Trop Med Int Health</t>
  </si>
  <si>
    <t>10.1111/tmi.12355</t>
  </si>
  <si>
    <t>Interventional MRI-guided deep brain stimulation in pediatric dystonia: first experience with the ClearPoint system</t>
  </si>
  <si>
    <t>Starr PA, Markun LC, Larson PS, Volz MM, Martin AJ, Ostrem JL.</t>
  </si>
  <si>
    <t>J Neurosurg Pediatr. 2014 Oct;14(4):400-8. doi: 10.3171/2014.6.PEDS13605. Epub 2014 Aug 1.</t>
  </si>
  <si>
    <t>J Neurosurg Pediatr</t>
  </si>
  <si>
    <t>10.3171/2014.6.PEDS13605</t>
  </si>
  <si>
    <t>Efficacy of olopatadine versus epinastine for treating allergic conjunctivitis caused by Japanese cedar pollen: a double-blind randomized controlled trial</t>
  </si>
  <si>
    <t>Fukushima A, Ebihara N.</t>
  </si>
  <si>
    <t>Adv Ther. 2014 Oct;31(10):1045-58. doi: 10.1007/s12325-014-0156-2. Epub 2014 Oct 1.</t>
  </si>
  <si>
    <t>Adv Ther</t>
  </si>
  <si>
    <t>10.1007/s12325-014-0156-2</t>
  </si>
  <si>
    <t>The clinical effectiveness and cost-effectiveness of peginterferon alfa and ribavirin for the treatment of chronic hepatitis C in children and young people: a systematic review and economic evaluation</t>
  </si>
  <si>
    <t>Hartwell D, Cooper K, Frampton GK, Baxter L, Loveman E.</t>
  </si>
  <si>
    <t>Health Technol Assess. 2014 Oct;18(65):i-xxii, 1-202. doi: 10.3310/hta18650.</t>
  </si>
  <si>
    <t>10.3310/hta18650</t>
  </si>
  <si>
    <t>The challenge of changing the inactivated poliomyelitis vaccine in Latin America: declaration of the Latin American Society of Pediatric Infectious Diseases (SLIPE)</t>
  </si>
  <si>
    <t>Falleiros-Arlant LH, Avila-Agüero ML, Brea del Castillo J, Mariño C.</t>
  </si>
  <si>
    <t>Rev Chilena Infectol. 2014 Oct;31(5):590-603. doi: 10.4067/S0716-10182014000500012.</t>
  </si>
  <si>
    <t>Rev Chilena Infectol</t>
  </si>
  <si>
    <t>10.4067/S0716-10182014000500012</t>
  </si>
  <si>
    <t>Heparin therapy reduces 28-day mortality in adult severe sepsis patients: a systematic review and meta-analysis</t>
  </si>
  <si>
    <t>Wang C, Chi C, Guo L, Wang X, Guo L, Sun J, Sun B, Liu S, Chang X, Li E.</t>
  </si>
  <si>
    <t>Crit Care. 2014 Oct 16;18(5):563. doi: 10.1186/s13054-014-0563-4.</t>
  </si>
  <si>
    <t>Crit Care</t>
  </si>
  <si>
    <t>10.1186/s13054-014-0563-4</t>
  </si>
  <si>
    <t>Efficacy and safety of pateclizumab (anti-lymphotoxin-α) compared to adalimumab in rheumatoid arthritis: a head-to-head phase 2 randomized controlled study (The ALTARA Study)</t>
  </si>
  <si>
    <t>Kennedy WP, Simon JA, Offutt C, Horn P, Herman A, Townsend MJ, Tang MT, Grogan JL, Hsieh F, Davis JC.</t>
  </si>
  <si>
    <t>Arthritis Res Ther. 2014 Oct 30;16(5):467. doi: 10.1186/s13075-014-0467-3.</t>
  </si>
  <si>
    <t>Arthritis Res Ther</t>
  </si>
  <si>
    <t>10.1186/s13075-014-0467-3</t>
  </si>
  <si>
    <t>Causes of mortality with ticagrelor compared with clopidogrel in acute coronary syndromes</t>
  </si>
  <si>
    <t>Varenhorst C, Alström U, Braun OÖ, Storey RF, Mahaffey KW, Bertilsson M, Cannon CP, Scirica BM, Himmelmann A, James SK, Wallentin L, Held C.</t>
  </si>
  <si>
    <t>Heart. 2014 Nov;100(22):1762-9. doi: 10.1136/heartjnl-2014-305619. Epub 2014 Jun 23.</t>
  </si>
  <si>
    <t>Heart</t>
  </si>
  <si>
    <t>10.1136/heartjnl-2014-305619</t>
  </si>
  <si>
    <t>Alleviation of moral disgust, shame, and guilt in posttraumatic stress reactions: an evaluation of comprehensive distancing</t>
  </si>
  <si>
    <t>Ojserkis R, McKay D, Badour CL, Feldner MT, Arocho J, Dutton C.</t>
  </si>
  <si>
    <t>Behav Modif. 2014 Nov;38(6):801-36. doi: 10.1177/0145445514543465. Epub 2014 Jul 18.</t>
  </si>
  <si>
    <t>Behav Modif</t>
  </si>
  <si>
    <t>10.1177/0145445514543465</t>
  </si>
  <si>
    <t>Co-administration of the broad-spectrum antiviral, brincidofovir (CMX001), with smallpox vaccine does not compromise vaccine protection in mice challenged with ectromelia virus</t>
  </si>
  <si>
    <t>Parker S, Crump R, Foster S, Hartzler H, Hembrador E, Lanier ER, Painter G, Schriewer J, Trost LC, Buller RM.</t>
  </si>
  <si>
    <t>Antiviral Res. 2014 Nov;111:42-52. doi: 10.1016/j.antiviral.2014.08.003. Epub 2014 Aug 13.</t>
  </si>
  <si>
    <t>10.1016/j.antiviral.2014.08.003</t>
  </si>
  <si>
    <t>Efficacy and safety of linagliptin in subjects with long-standing type 2 diabetes mellitus (&gt;10 years): evidence from pooled data of randomized, double-blind, placebo-controlled, phase III trials</t>
  </si>
  <si>
    <t>Lajara R, Aguilar R, Hehnke U, Woerle HJ, von Eynatten M.</t>
  </si>
  <si>
    <t>Clin Ther. 2014 Nov 1;36(11):1595-605. doi: 10.1016/j.clinthera.2014.07.020. Epub 2014 Sep 16.</t>
  </si>
  <si>
    <t>10.1016/j.clinthera.2014.07.020</t>
  </si>
  <si>
    <t>Efficacy and safety of ustekinumab treatment in elderly patients with psoriasis</t>
  </si>
  <si>
    <t>Hayashi M, Umezawa Y, Fukuchi O, Ito T, Saeki H, Nakagawa H.</t>
  </si>
  <si>
    <t>J Dermatol. 2014 Nov;41(11):974-80. doi: 10.1111/1346-8138.12653.</t>
  </si>
  <si>
    <t>J Dermatol</t>
  </si>
  <si>
    <t>10.1111/1346-8138.12653</t>
  </si>
  <si>
    <t>The comprehensive complication index: a novel and more sensitive endpoint for assessing outcome and reducing sample size in randomized controlled trials</t>
  </si>
  <si>
    <t>Slankamenac K, Nederlof N, Pessaux P, de Jonge J, Wijnhoven BP, Breitenstein S, Oberkofler CE, Graf R, Puhan MA, Clavien PA.</t>
  </si>
  <si>
    <t>Ann Surg. 2014 Nov;260(5):757-62; discussion 762-3. doi: 10.1097/SLA.0000000000000948.</t>
  </si>
  <si>
    <t>10.1097/SLA.0000000000000948</t>
  </si>
  <si>
    <t>Incidence and risk of severe infections associated with anti-epidermal growth factor receptor monoclonal antibodies in cancer patients: a systematic review and meta-analysis</t>
  </si>
  <si>
    <t>Qi WX, Fu S, Zhang Q, Guo XM.</t>
  </si>
  <si>
    <t>BMC Med. 2014 Nov 5;12:203. doi: 10.1186/s12916-014-0203-5.</t>
  </si>
  <si>
    <t>10.1186/s12916-014-0203-5</t>
  </si>
  <si>
    <t>A transdiagnostic community-based mental health treatment for comorbid disorders: development and outcomes of a randomized controlled trial among Burmese refugees in Thailand</t>
  </si>
  <si>
    <t>Bolton P, Lee C, Haroz EE, Murray L, Dorsey S, Robinson C, Ugueto AM, Bass J.</t>
  </si>
  <si>
    <t>PLoS Med. 2014 Nov 11;11(11):e1001757. doi: 10.1371/journal.pmed.1001757. eCollection 2014 Nov.</t>
  </si>
  <si>
    <t>10.1371/journal.pmed.1001757</t>
  </si>
  <si>
    <t>Velocity ratio predicts outcomes in patients with low gradient severe aortic stenosis and preserved EF</t>
  </si>
  <si>
    <t>Jander N, Hochholzer W, Kaufmann BA, Bahlmann E, Gerdts E, Boman K, Chambers JB, Nienaber CA, Ray S, Rossebo A, Pedersen TR, Wachtell K, Gohlke-Bärwolf C, Neumann FJ, Minners J.</t>
  </si>
  <si>
    <t>Heart. 2014 Dec;100(24):1946-53. doi: 10.1136/heartjnl-2014-305763. Epub 2014 Sep 12.</t>
  </si>
  <si>
    <t>10.1136/heartjnl-2014-305763</t>
  </si>
  <si>
    <t>Safety and effectiveness of injection of calcium hydroxylapatite via blunt cannula compared to injection by needle for correction of nasolabial folds</t>
  </si>
  <si>
    <t>Beer KR.</t>
  </si>
  <si>
    <t>J Cosmet Dermatol. 2014 Dec;13(4):288-96. doi: 10.1111/jocd.12115.</t>
  </si>
  <si>
    <t>J Cosmet Dermatol</t>
  </si>
  <si>
    <t>10.1111/jocd.12115</t>
  </si>
  <si>
    <t>Safety and immunogenicity of a modified-vaccinia-virus-Ankara-based influenza A H5N1 vaccine: a randomised, double-blind phase 1/2a clinical trial</t>
  </si>
  <si>
    <t>Kreijtz JH, Goeijenbier M, Moesker FM, van den Dries L, Goeijenbier S, De Gruyter HL, Lehmann MH, Mutsert Gd, van de Vijver DA, Volz A, Fouchier RA, van Gorp EC, Rimmelzwaan GF, Sutter G, Osterhaus AD.</t>
  </si>
  <si>
    <t>Lancet Infect Dis. 2014 Dec;14(12):1196-207. doi: 10.1016/S1473-3099(14)70963-6. Epub 2014 Oct 30.</t>
  </si>
  <si>
    <t>10.1016/S1473-3099(14)70963-6</t>
  </si>
  <si>
    <t>Evaluation of intravenous peramivir for treatment of influenza in hospitalized patients</t>
  </si>
  <si>
    <t>de Jong MD, Ison MG, Monto AS, Metev H, Clark C, O'Neil B, Elder J, McCullough A, Collis P, Sheridan WP.</t>
  </si>
  <si>
    <t>Clin Infect Dis. 2014 Dec 15;59(12):e172-85. doi: 10.1093/cid/ciu632. Epub 2014 Aug 12.</t>
  </si>
  <si>
    <t>10.1093/cid/ciu632</t>
  </si>
  <si>
    <t>Fixed dose artesunate amodiaquine - a phase IIb, randomized comparative trial with non-fixed artesunate amodiaquine</t>
  </si>
  <si>
    <t>Ogutu B, Juma E, Obonyo C, Jullien V, Carn G, Vaillant M, Taylor WR, Kiechel JR.</t>
  </si>
  <si>
    <t>Malar J. 2014 Dec 16;13:498. doi: 10.1186/1475-2875-13-498.</t>
  </si>
  <si>
    <t>Malar J</t>
  </si>
  <si>
    <t>10.1186/1475-2875-13-498</t>
  </si>
  <si>
    <t>Randomised, double-blind, placebo-controlled studies on flurbiprofen 8.75 mg lozenges in patients with/without group A or C streptococcal throat infection, with an assessment of clinicians' prediction of 'strep throat'</t>
  </si>
  <si>
    <t>Shephard A, Smith G, Aspley S, Schachtel BP.</t>
  </si>
  <si>
    <t>Int J Clin Pract. 2015 Jan;69(1):59-71. doi: 10.1111/ijcp.12536. Epub 2014 Oct 9.</t>
  </si>
  <si>
    <t>Int J Clin Pract</t>
  </si>
  <si>
    <t>10.1111/ijcp.12536</t>
  </si>
  <si>
    <t>Type and severity of intimate partner violence and its relationship with PTSD in HIV-infected women</t>
  </si>
  <si>
    <t>Hansrod F, Spies G, Seedat S.</t>
  </si>
  <si>
    <t>Psychol Health Med. 2015;20(6):697-709. doi: 10.1080/13548506.2014.967702. Epub 2014 Oct 10.</t>
  </si>
  <si>
    <t>Psychol Health Med</t>
  </si>
  <si>
    <t>10.1080/13548506.2014.967702</t>
  </si>
  <si>
    <t>Circulating presepsin (soluble CD14 subtype) as a marker of host response in patients with severe sepsis or septic shock: data from the multicenter, randomized ALBIOS trial</t>
  </si>
  <si>
    <t>Masson S, Caironi P, Fanizza C, Thomae R, Bernasconi R, Noto A, Oggioni R, Pasetti GS, Romero M, Tognoni G, Latini R, Gattinoni L.</t>
  </si>
  <si>
    <t>Intensive Care Med. 2015 Jan;41(1):12-20. doi: 10.1007/s00134-014-3514-2. Epub 2014 Oct 16.</t>
  </si>
  <si>
    <t>10.1007/s00134-014-3514-2</t>
  </si>
  <si>
    <t>Redefining secondary injury after subarachnoid hemorrhage in light of multimodal advanced neuroimaging, intracranial and transcranial neuromonitoring: beyond vasospasm</t>
  </si>
  <si>
    <t>Kapinos G.</t>
  </si>
  <si>
    <t>Acta Neurochir Suppl. 2015;120:259-67. doi: 10.1007/978-3-319-04981-6_44.</t>
  </si>
  <si>
    <t>Acta Neurochir Suppl</t>
  </si>
  <si>
    <t>10.1007/978-3-319-04981-6_44</t>
  </si>
  <si>
    <t>Probiotics for the prevention of pediatric upper respiratory tract infections: a systematic review</t>
  </si>
  <si>
    <t>Ozen M, Kocabas Sandal G, Dinleyici EC.</t>
  </si>
  <si>
    <t>Expert Opin Biol Ther. 2015 Jan;15(1):9-20. doi: 10.1517/14712598.2015.980233. Epub 2014 Nov 28.</t>
  </si>
  <si>
    <t>Expert Opin Biol Ther</t>
  </si>
  <si>
    <t>10.1517/14712598.2015.980233</t>
  </si>
  <si>
    <t>Pharmacokinetics of a novel sublingual spray formulation of the antimalarial drug artemether in African children with malaria</t>
  </si>
  <si>
    <t>Salman S, Bendel D, Lee TC, Templeton D, Davis TM.</t>
  </si>
  <si>
    <t>Antimicrob Agents Chemother. 2015;59(6):3208-15. doi: 10.1128/AAC.05014-14. Epub 2015 Mar 23.</t>
  </si>
  <si>
    <t>10.1128/AAC.05014-14</t>
  </si>
  <si>
    <t>Animal Models for Concussion: Molecular and Cognitive Assessments—Relevance to Sport and Military Concussions</t>
  </si>
  <si>
    <t>Bolouri H, Zetterberg H.</t>
  </si>
  <si>
    <t>In: Kobeissy FH, editor. Brain Neurotrauma: Molecular, Neuropsychological, and Rehabilitation Aspects. Boca Raton (FL): CRC Press/Taylor &amp; Francis; 2015. Chapter 46.</t>
  </si>
  <si>
    <t>Brain Neurotrauma: Molecular, Neuropsychological, and Rehabilitation Aspects</t>
  </si>
  <si>
    <t>Translational Metabolomics of Head Injury: Exploring Dysfunctional Cerebral Metabolism with Ex Vivo NMR Spectroscopy-Based Metabolite Quantification</t>
  </si>
  <si>
    <t>Wolahan SM, Hirt D, Glenn TC.</t>
  </si>
  <si>
    <t>In: Kobeissy FH, editor. Brain Neurotrauma: Molecular, Neuropsychological, and Rehabilitation Aspects. Boca Raton (FL): CRC Press/Taylor &amp; Francis; 2015. Chapter 25.</t>
  </si>
  <si>
    <t>New Ways of Detecting ADRs in Neonates and Children</t>
  </si>
  <si>
    <t>Jimenez R, Smith A, Carleton B.</t>
  </si>
  <si>
    <t>Curr Pharm Des. 2015;21(39):5643-9. doi: 10.2174/1381612821666150901105555.</t>
  </si>
  <si>
    <t>Curr Pharm Des</t>
  </si>
  <si>
    <t>10.2174/1381612821666150901105555</t>
  </si>
  <si>
    <t>[Role of Immunotherapy in Pediatric Oncology]</t>
  </si>
  <si>
    <t>Bajčiová V.</t>
  </si>
  <si>
    <t>Klin Onkol. 2015;28 Suppl 4:4S38-43. doi: 10.14735/amko20154s38.</t>
  </si>
  <si>
    <t>Klin Onkol</t>
  </si>
  <si>
    <t>10.14735/amko20154s38</t>
  </si>
  <si>
    <t>Neuroprotection for ischaemic stroke: current status and challenges</t>
  </si>
  <si>
    <t>Moretti A, Ferrari F, Villa RF.</t>
  </si>
  <si>
    <t>Pharmacol Ther. 2015 Feb;146:23-34. doi: 10.1016/j.pharmthera.2014.09.003. Epub 2014 Sep 6.</t>
  </si>
  <si>
    <t>Pharmacol Ther</t>
  </si>
  <si>
    <t>10.1016/j.pharmthera.2014.09.003</t>
  </si>
  <si>
    <t>Emergency surgery in the elderly: the balance between function, frailty, fatality and futility</t>
  </si>
  <si>
    <t>Søreide K, Desserud KF.</t>
  </si>
  <si>
    <t>Scand J Trauma Resusc Emerg Med. 2015 Feb 3;23:10. doi: 10.1186/s13049-015-0099-x.</t>
  </si>
  <si>
    <t>Scand J Trauma Resusc Emerg Med</t>
  </si>
  <si>
    <t>10.1186/s13049-015-0099-x</t>
  </si>
  <si>
    <t>Efficacy and safety of artemether-lumefantrine for the treatment of uncomplicated malaria in the setting of three different chemopreventive regimens</t>
  </si>
  <si>
    <t>Kapisi J, Bigira V, Clark T, Kinara S, Mwangwa F, Achan J, Kamya M, Soremekun S, Dorsey G.</t>
  </si>
  <si>
    <t>Malar J. 2015 Feb 5;14:53. doi: 10.1186/s12936-015-0583-9.</t>
  </si>
  <si>
    <t>10.1186/s12936-015-0583-9</t>
  </si>
  <si>
    <t>Experience of primary care among homeless individuals with mental health conditions</t>
  </si>
  <si>
    <t>Chrystal JG, Glover DL, Young AS, Whelan F, Austin EL, Johnson NK, Pollio DE, Holt CL, Stringfellow E, Gordon AJ, Kim TA, Daigle SG, Steward JL, Kertesz SG.</t>
  </si>
  <si>
    <t>PLoS One. 2015 Feb 6;10(2):e0117395. doi: 10.1371/journal.pone.0117395. eCollection 2015.</t>
  </si>
  <si>
    <t>10.1371/journal.pone.0117395</t>
  </si>
  <si>
    <t>Treatment for preventing bleeding in people with haemophilia or other congenital bleeding disorders undergoing surgery</t>
  </si>
  <si>
    <t>Coppola A, Windyga J, Tufano A, Yeung C, Di Minno MN.</t>
  </si>
  <si>
    <t>Cochrane Database Syst Rev. 2015 Feb 9;(2):CD009961. doi: 10.1002/14651858.CD009961.pub2.</t>
  </si>
  <si>
    <t>10.1002/14651858.CD009961.pub2</t>
  </si>
  <si>
    <t>Pharmacological interventions for those who have sexually offended or are at risk of offending</t>
  </si>
  <si>
    <t>Khan O, Ferriter M, Huband N, Powney MJ, Dennis JA, Duggan C.</t>
  </si>
  <si>
    <t>Cochrane Database Syst Rev. 2015 Feb 18;2015(2):CD007989. doi: 10.1002/14651858.CD007989.pub2.</t>
  </si>
  <si>
    <t>10.1002/14651858.CD007989.pub2</t>
  </si>
  <si>
    <t>Comparison of routes for achieving parenteral access with a focus on the management of patients with Ebola virus disease</t>
  </si>
  <si>
    <t>Ker K, Tansley G, Beecher D, Perner A, Shakur H, Harris T, Roberts I.</t>
  </si>
  <si>
    <t>Cochrane Database Syst Rev. 2015 Feb 26;2015(2):CD011386. doi: 10.1002/14651858.CD011386.pub2.</t>
  </si>
  <si>
    <t>10.1002/14651858.CD011386.pub2</t>
  </si>
  <si>
    <t>Advances in pharmacotherapy for opioid-induced constipation - a systematic review</t>
  </si>
  <si>
    <t>Siemens W, Gaertner J, Becker G.</t>
  </si>
  <si>
    <t>Expert Opin Pharmacother. 2015 Mar;16(4):515-32. doi: 10.1517/14656566.2015.995625. Epub 2014 Dec 24.</t>
  </si>
  <si>
    <t>10.1517/14656566.2015.995625</t>
  </si>
  <si>
    <t>Safety and efficacy of allogeneic umbilical cord red blood cell transfusion for children with severe anaemia in a Kenyan hospital: an open-label single-arm trial</t>
  </si>
  <si>
    <t>Hassall OW, Thitiri J, Fegan G, Hamid F, Mwarumba S, Denje D, Wambua K, Mandaliya K, Maitland K, Bates I.</t>
  </si>
  <si>
    <t>Lancet Haematol. 2015 Mar;2(3):e101-7. doi: 10.1016/S2352-3026(15)00005-8. Epub 2015 Feb 13.</t>
  </si>
  <si>
    <t>Lancet Haematol</t>
  </si>
  <si>
    <t>10.1016/S2352-3026(15)00005-8</t>
  </si>
  <si>
    <t>Leukotriene inhibitors for bronchiolitis in infants and young children</t>
  </si>
  <si>
    <t>Liu F, Ouyang J, Sharma AN, Liu S, Yang B, Xiong W, Xu R.</t>
  </si>
  <si>
    <t>Cochrane Database Syst Rev. 2015 Mar 16;(3):CD010636. doi: 10.1002/14651858.CD010636.pub2.</t>
  </si>
  <si>
    <t>10.1002/14651858.CD010636.pub2</t>
  </si>
  <si>
    <t>Occipital nerve stimulation for chronic migraine--a systematic review and meta-analysis</t>
  </si>
  <si>
    <t>Chen YF, Bramley G, Unwin G, Hanu-Cernat D, Dretzke J, Moore D, Bayliss S, Cummins C, Lilford R.</t>
  </si>
  <si>
    <t>PLoS One. 2015 Mar 20;10(3):e0116786. doi: 10.1371/journal.pone.0116786. eCollection 2015.</t>
  </si>
  <si>
    <t>10.1371/journal.pone.0116786</t>
  </si>
  <si>
    <t>Evaluating the efficacy, safety and evolution of renal function with early initiation of everolimus-facilitated tacrolimus reduction in de novo liver transplant recipients: Study protocol for a randomized controlled trial</t>
  </si>
  <si>
    <t>Nashan B, Schemmer P, Braun F, Dworak M, Wimmer P, Schlitt H.</t>
  </si>
  <si>
    <t>Trials. 2015 Mar 26;16:118. doi: 10.1186/s13063-015-0626-0.</t>
  </si>
  <si>
    <t>10.1186/s13063-015-0626-0</t>
  </si>
  <si>
    <t>Adverse events among seniors receiving spinal manipulation and exercise in a randomized clinical trial</t>
  </si>
  <si>
    <t>Maiers M, Evans R, Hartvigsen J, Schulz C, Bronfort G.</t>
  </si>
  <si>
    <t>Man Ther. 2015 Apr;20(2):335-41. doi: 10.1016/j.math.2014.10.003. Epub 2014 Oct 14.</t>
  </si>
  <si>
    <t>Man Ther</t>
  </si>
  <si>
    <t>10.1016/j.math.2014.10.003</t>
  </si>
  <si>
    <t>New oral anticoagulants in severe trauma patients: enemy at the gates?</t>
  </si>
  <si>
    <t>Egea-Guerrero JJ, Quintana Díaz M.</t>
  </si>
  <si>
    <t>Med Intensiva. 2015 Apr;39(3):167-71. doi: 10.1016/j.medin.2014.09.008. Epub 2014 Dec 13.</t>
  </si>
  <si>
    <t>Med Intensiva</t>
  </si>
  <si>
    <t>10.1016/j.medin.2014.09.008</t>
  </si>
  <si>
    <t>Saxagliptin and cardiovascular outcomes in patients with type 2 diabetes and moderate or severe renal impairment: observations from the SAVOR-TIMI 53 Trial</t>
  </si>
  <si>
    <t>Udell JA, Bhatt DL, Braunwald E, Cavender MA, Mosenzon O, Steg PG, Davidson JA, Nicolau JC, Corbalan R, Hirshberg B, Frederich R, Im K, Umez-Eronini AA, He P, McGuire DK, Leiter LA, Raz I, Scirica BM; SAVOR-TIMI 53 Steering Committee and Investigators.</t>
  </si>
  <si>
    <t>Diabetes Care. 2015 Apr;38(4):696-705. doi: 10.2337/dc14-1850. Epub 2014 Dec 31.</t>
  </si>
  <si>
    <t>10.2337/dc14-1850</t>
  </si>
  <si>
    <t>Predicting the impact of adverse events and treatment duration on medical resource utilization-related costs in hepatitis C genotype 1 treatment-naïve patients receiving antiviral therapy</t>
  </si>
  <si>
    <t>Akpo EI, Cerri K, Kleintjens J.</t>
  </si>
  <si>
    <t>Pharmacoeconomics. 2015 Apr;33(4):409-22. doi: 10.1007/s40273-014-0249-4.</t>
  </si>
  <si>
    <t>10.1007/s40273-014-0249-4</t>
  </si>
  <si>
    <t>Getting the balance right: adverse events of therapy in anti-neutrophil cytoplasm antibody vasculitis</t>
  </si>
  <si>
    <t>Wong L, Harper L, Little MA.</t>
  </si>
  <si>
    <t>Nephrol Dial Transplant. 2015 Apr;30 Suppl 1:i164-70. doi: 10.1093/ndt/gfu406. Epub 2015 Jan 12.</t>
  </si>
  <si>
    <t>10.1093/ndt/gfu406</t>
  </si>
  <si>
    <t>Co-trimoxazole prophylaxis in adults, including pregnant women, with HIV: a systematic review and meta-analysis</t>
  </si>
  <si>
    <t>Suthar AB, Vitoria MA, Nagata JM, Anglaret X, Mbori-Ngacha D, Sued O, Kaplan JE, Doherty MC.</t>
  </si>
  <si>
    <t>Lancet HIV. 2015 Apr;2(4):e137-50. doi: 10.1016/S2352-3018(15)00005-3. Epub 2015 Mar 3.</t>
  </si>
  <si>
    <t>Lancet HIV</t>
  </si>
  <si>
    <t>10.1016/S2352-3018(15)00005-3</t>
  </si>
  <si>
    <t>The ameliorative effects of a hypnotic bromvalerylurea in sepsis</t>
  </si>
  <si>
    <t>Kikuchi S, Nishihara T, Kawasaki S, Abe N, Kuwabara J, Choudhury ME, Takahashi H, Yano H, Nagaro T, Watanabe Y, Aibiki M, Tanaka J.</t>
  </si>
  <si>
    <t>Biochem Biophys Res Commun. 2015 Apr 3;459(2):319-326. doi: 10.1016/j.bbrc.2015.02.111. Epub 2015 Feb 28.</t>
  </si>
  <si>
    <t>Biochem Biophys Res Commun</t>
  </si>
  <si>
    <t>10.1016/j.bbrc.2015.02.111</t>
  </si>
  <si>
    <t>The Lao Experience in Deploying Influenza A(H1N1)pdm09 Vaccine: Lessons Made Relevant in Preparing for Present Day Pandemic Threats</t>
  </si>
  <si>
    <t>Xeuatvongsa A, Mirza S, Winter C, Feldon K, Vongphrachanh P, Phonekeo D, Denny J, Khanthamaly V, Kounnavong B, Lylianou D, Phousavath S, Norasingh S, Boutta N, Olsen S, Bresee J, Moen A, Corwin A.</t>
  </si>
  <si>
    <t>PLoS One. 2015 Apr 29;10(4):e0121717. doi: 10.1371/journal.pone.0121717. eCollection 2015.</t>
  </si>
  <si>
    <t>10.1371/journal.pone.0121717</t>
  </si>
  <si>
    <t>Peanut oral immunotherapy in adolescents: study protocol for a randomized controlled trial</t>
  </si>
  <si>
    <t>Michaud E, Evrard B, Pereira B, Rochette E, Bernard L, Rouzaire PO, Gourdon-Dubois N, Merlin E, Fauquert JL.</t>
  </si>
  <si>
    <t>Trials. 2015 Apr 29;16:197. doi: 10.1186/s13063-015-0717-y.</t>
  </si>
  <si>
    <t>10.1186/s13063-015-0717-y</t>
  </si>
  <si>
    <t>Impact of Procedure-Related Complications on Long-term Islet Transplantation Outcome</t>
  </si>
  <si>
    <t>Caiazzo R, Vantyghem MC, Raverdi V, Bonner C, Gmyr V, Defrance F, Leroy C, Sergent G, Hubert T, Ernst O, Noel C, Kerr-Conte J, Pattou F.</t>
  </si>
  <si>
    <t>Transplantation. 2015 May;99(5):979-84. doi: 10.1097/TP.0000000000000458.</t>
  </si>
  <si>
    <t>10.1097/TP.0000000000000458</t>
  </si>
  <si>
    <t>Effects of performing morning versus afternoon exercise on glycemic control and hypoglycemia frequency in type 1 diabetes patients on sensor-augmented insulin pump therapy</t>
  </si>
  <si>
    <t>Gomez AM, Gomez C, Aschner P, Veloza A, Muñoz O, Rubio C, Vallejo S.</t>
  </si>
  <si>
    <t>J Diabetes Sci Technol. 2015 May;9(3):619-24. doi: 10.1177/1932296814566233. Epub 2015 Jan 1.</t>
  </si>
  <si>
    <t>J Diabetes Sci Technol</t>
  </si>
  <si>
    <t>10.1177/1932296814566233</t>
  </si>
  <si>
    <t>CTLA-4 blockade with ipilimumab: biology, safety, efficacy, and future considerations</t>
  </si>
  <si>
    <t>Camacho LH.</t>
  </si>
  <si>
    <t>Cancer Med. 2015 May;4(5):661-72. doi: 10.1002/cam4.371. Epub 2015 Jan 25.</t>
  </si>
  <si>
    <t>Cancer Med</t>
  </si>
  <si>
    <t>10.1002/cam4.371</t>
  </si>
  <si>
    <t>Intravascular ultrasound evaluation of JETSTREAM atherectomy removal of superficial calcium in peripheral arteries</t>
  </si>
  <si>
    <t>Maehara A, Mintz GS, Shimshak TM, Ricotta JJ 2nd, Ramaiah V, Foster MT 3rd, Davis TP, Gray WA.</t>
  </si>
  <si>
    <t>EuroIntervention. 2015 May;11(1):96-103. doi: 10.4244/EIJV11I1A17.</t>
  </si>
  <si>
    <t>EuroIntervention</t>
  </si>
  <si>
    <t>10.4244/EIJV11I1A17</t>
  </si>
  <si>
    <t>Anti-IL-12/23p40 antibodies for induction of remission in Crohn's disease</t>
  </si>
  <si>
    <t>Khanna R, Preiss JC, MacDonald JK, Timmer A.</t>
  </si>
  <si>
    <t>Cochrane Database Syst Rev. 2015 May 5;(5):CD007572. doi: 10.1002/14651858.CD007572.pub2.</t>
  </si>
  <si>
    <t>10.1002/14651858.CD007572.pub2</t>
  </si>
  <si>
    <t>Bevacizumab increases the risk of infections in cancer patients: A systematic review and pooled analysis of 41 randomized controlled trials</t>
  </si>
  <si>
    <t>Crit Rev Oncol Hematol. 2015 Jun;94(3):323-36. doi: 10.1016/j.critrevonc.2015.02.007. Epub 2015 Feb 19.</t>
  </si>
  <si>
    <t>Crit Rev Oncol Hematol</t>
  </si>
  <si>
    <t>10.1016/j.critrevonc.2015.02.007</t>
  </si>
  <si>
    <t>Combination of granulocyte colony-stimulating factor and erythropoietin improves outcomes of patients with decompensated cirrhosis</t>
  </si>
  <si>
    <t>Kedarisetty CK, Anand L, Bhardwaj A, Bhadoria AS, Kumar G, Vyas AK, David P, Trehanpati N, Rastogi A, Bihari C, Maiwall R, Garg HK, Vashishtha C, Kumar M, Bhatia V, Sarin SK.</t>
  </si>
  <si>
    <t>Gastroenterology. 2015 Jun;148(7):1362-70.e7. doi: 10.1053/j.gastro.2015.02.054. Epub 2015 Mar 4.</t>
  </si>
  <si>
    <t>10.1053/j.gastro.2015.02.054</t>
  </si>
  <si>
    <t>Postinjury fibrinolysis shutdown: Rationale for selective tranexamic acid</t>
  </si>
  <si>
    <t>Moore EE, Moore HB, Gonzalez E, Chapman MP, Hansen KC, Sauaia A, Silliman CC, Banerjee A.</t>
  </si>
  <si>
    <t>J Trauma Acute Care Surg. 2015 Jun;78(6 Suppl 1):S65-9. doi: 10.1097/TA.0000000000000634.</t>
  </si>
  <si>
    <t>J Trauma Acute Care Surg</t>
  </si>
  <si>
    <t>NIHMS666574</t>
  </si>
  <si>
    <t>10.1097/TA.0000000000000634</t>
  </si>
  <si>
    <t>Protocol for a multicentre randomised controlled trial of early and sustained prophylactic hypothermia in the management of traumatic brain injury</t>
  </si>
  <si>
    <t>Nichol A, Gantner D, Presneill J, Murray L, Trapani T, Bernard S, Cameron P, Capellier G, Forbes A, McArthur C, Newby L, Rashford S, Rosenfeld JV, Smith T, Stephenson M, Varma D, Walker T, Webb S, Cooper DJ.</t>
  </si>
  <si>
    <t>Crit Care Resusc. 2015 Jun;17(2):92-100.</t>
  </si>
  <si>
    <t>Crit Care Resusc</t>
  </si>
  <si>
    <t>Topical antihistamines and mast cell stabilisers for treating seasonal and perennial allergic conjunctivitis</t>
  </si>
  <si>
    <t>Castillo M, Scott NW, Mustafa MZ, Mustafa MS, Azuara-Blanco A.</t>
  </si>
  <si>
    <t>Cochrane Database Syst Rev. 2015 Jun 1;(6):CD009566. doi: 10.1002/14651858.CD009566.pub2.</t>
  </si>
  <si>
    <t>10.1002/14651858.CD009566.pub2</t>
  </si>
  <si>
    <t>Exercise rehabilitation following intensive care unit discharge for recovery from critical illness</t>
  </si>
  <si>
    <t>Connolly B, Salisbury L, O'Neill B, Geneen L, Douiri A, Grocott MP, Hart N, Walsh TS, Blackwood B; ERACIP Group.</t>
  </si>
  <si>
    <t>Cochrane Database Syst Rev. 2015 Jun 22;2015(6):CD008632. doi: 10.1002/14651858.CD008632.pub2.</t>
  </si>
  <si>
    <t>10.1002/14651858.CD008632.pub2</t>
  </si>
  <si>
    <t>Interventions for bereaved parents following a child's death: A systematic review</t>
  </si>
  <si>
    <t>Endo K, Yonemoto N, Yamada M.</t>
  </si>
  <si>
    <t>Palliat Med. 2015 Jul;29(7):590-604. doi: 10.1177/0269216315576674. Epub 2015 Mar 24.</t>
  </si>
  <si>
    <t>Palliat Med</t>
  </si>
  <si>
    <t>10.1177/0269216315576674</t>
  </si>
  <si>
    <t>Adoptive immunotherapy of cancer utilizing genetically engineered lymphocytes</t>
  </si>
  <si>
    <t>Ikeda H, Shiku H.</t>
  </si>
  <si>
    <t>Cancer Immunol Immunother. 2015 Jul;64(7):903-9. doi: 10.1007/s00262-015-1718-0. Epub 2015 Jun 4.</t>
  </si>
  <si>
    <t>Cancer Immunol Immunother</t>
  </si>
  <si>
    <t>10.1007/s00262-015-1718-0</t>
  </si>
  <si>
    <t>Systematic Review of Radiation Therapy Toxicity Reporting in Randomized Controlled Trials of Rectal Cancer: A Comparison of Patient-Reported Outcomes and Clinician Toxicity Reporting</t>
  </si>
  <si>
    <t>Gilbert A, Ziegler L, Martland M, Davidson S, Efficace F, Sebag-Montefiore D, Velikova G.</t>
  </si>
  <si>
    <t>Int J Radiat Oncol Biol Phys. 2015 Jul 1;92(3):555-67. doi: 10.1016/j.ijrobp.2015.02.021.</t>
  </si>
  <si>
    <t>Int J Radiat Oncol Biol Phys</t>
  </si>
  <si>
    <t>10.1016/j.ijrobp.2015.02.021</t>
  </si>
  <si>
    <t>Glucocorticosteroids for sepsis: systematic review with meta-analysis and trial sequential analysis</t>
  </si>
  <si>
    <t>Volbeda M, Wetterslev J, Gluud C, Zijlstra JG, van der Horst IC, Keus F.</t>
  </si>
  <si>
    <t>Intensive Care Med. 2015 Jul;41(7):1220-34. doi: 10.1007/s00134-015-3899-6. Epub 2015 Jun 23.</t>
  </si>
  <si>
    <t>10.1007/s00134-015-3899-6</t>
  </si>
  <si>
    <t>Effects of ASM-024, a modulator of acetylcholine receptor function, on airway responsiveness and allergen-induced responses in patients with mild asthma</t>
  </si>
  <si>
    <t>Boulet LP, Gauvreau GM, Cockcroft DW, Davis B, Vachon L, Cormier Y, O'Byrne PM.</t>
  </si>
  <si>
    <t>Can Respir J. 2015 Jul-Aug;22(4):230-4. doi: 10.1155/2015/832865.</t>
  </si>
  <si>
    <t>Can Respir J</t>
  </si>
  <si>
    <t>10.1155/2015/832865</t>
  </si>
  <si>
    <t>Goal-directed Fluid Therapy May Improve Hemodynamic Stability of Parturient with Hypertensive Disorders of Pregnancy Under Combined Spinal Epidural Anesthesia for Cesarean Delivery and the Well-being of Newborns</t>
  </si>
  <si>
    <t>Xiao W, Duan QF, Fu WY, Chi XZ, Wang FY, Ma DQ, Wang TL, Zhao L.</t>
  </si>
  <si>
    <t>Chin Med J (Engl). 2015 Jul 20;128(14):1922-31. doi: 10.4103/0366-6999.160546.</t>
  </si>
  <si>
    <t>Chin Med J (Engl)</t>
  </si>
  <si>
    <t>10.4103/0366-6999.160546</t>
  </si>
  <si>
    <t>First-line eradication rates comparing two shortened non-bismuth quadruple regimens against Helicobacter pylori: an open-label, randomized, multicentre clinical trial</t>
  </si>
  <si>
    <t>Cuadrado-Lavín A, Salcines-Caviedes JR, Diaz-Perez A, Carrascosa MF, Ochagavía M, Fernandez-Forcelledo JL, Cobo M, Fernández-Gil P, Ayestarán B, Sánchez B, Campo C, Llorca J, Lorenzo S, Illaro A.</t>
  </si>
  <si>
    <t>J Antimicrob Chemother. 2015 Aug;70(8):2376-81. doi: 10.1093/jac/dkv089. Epub 2015 Apr 7.</t>
  </si>
  <si>
    <t>J Antimicrob Chemother</t>
  </si>
  <si>
    <t>10.1093/jac/dkv089</t>
  </si>
  <si>
    <t>Saline in acute bronchiolitis RCT and economic evaluation: hypertonic saline in acute bronchiolitis - randomised controlled trial and systematic review</t>
  </si>
  <si>
    <t>Everard ML, Hind D, Ugonna K, Freeman J, Bradburn M, Dixon S, Maguire C, Cantrill H, Alexander J, Lenney W, McNamara P, Elphick H, Chetcuti PA, Moya EF, Powell C, Garside JP, Chadha LK, Kurian M, Lehal RS, MacFarlane PI, Cooper CL, Cross E.</t>
  </si>
  <si>
    <t>Health Technol Assess. 2015 Aug;19(66):1-130. doi: 10.3310/hta19660.</t>
  </si>
  <si>
    <t>10.3310/hta19660</t>
  </si>
  <si>
    <t>Collagenase Clostridium histolyticum for the pharmacological management of Peyronie's disease</t>
  </si>
  <si>
    <t>Anaissie J, Powers MK, Hellstrom WJ, Yafi FA.</t>
  </si>
  <si>
    <t>Drugs Today (Barc). 2015 Aug;51(8):457-68. doi: 10.1358/dot.2015.51.8.2375756.</t>
  </si>
  <si>
    <t>Drugs Today (Barc)</t>
  </si>
  <si>
    <t>10.1358/dot.2015.51.8.2375756</t>
  </si>
  <si>
    <t>Methotrexate for maintenance of remission in ulcerative colitis</t>
  </si>
  <si>
    <t>Wang Y, MacDonald JK, Vandermeer B, Griffiths AM, El-Matary W.</t>
  </si>
  <si>
    <t>Cochrane Database Syst Rev. 2015 Aug 11;2015(8):CD007560. doi: 10.1002/14651858.CD007560.pub3.</t>
  </si>
  <si>
    <t>10.1002/14651858.CD007560.pub3</t>
  </si>
  <si>
    <t>A Trial of Early Antiretrovirals and Isoniazid Preventive Therapy in Africa</t>
  </si>
  <si>
    <t>TEMPRANO ANRS 12136 Study Group, Danel C, Moh R, Gabillard D, Badje A, Le Carrou J, Ouassa T, Ouattara E, Anzian A, Ntakpé JB, Minga A, Kouame GM, Bouhoussou F, Emieme A, Kouamé A, Inwoley A, Toni TD, Ahiboh H, Kabran M, Rabe C, Sidibé B, Nzunetu G, Konan R, Gnokoro J, Gouesse P, Messou E, Dohoun L, Kamagate S, Yao A, Amon S, Kouame AB, Koua A, Kouamé E, Ndri Y, Ba-Gomis O, Daligou M, Ackoundzé S, Hawerlander D, Ani A, Dembélé F, Koné F, Guéhi C, Kanga C, Koule S, Séri J, Oyebi M, Mbakop N, Makaila O, Babatunde C, Babatounde N, Bleoué G, Tchoutedjem M, Kouadio AC, Sena G, Yededji SY, Assi R, Bakayoko A, Mahassadi A, Attia A, Oussou A, Mobio M, Bamba D, Koman M, Horo A, Deschamps N, Chenal H, Sassan-Morokro M, Konate S, Aka K, Aoussi E, Journot V, Nchot C, Karcher S, Chaix ML, Rouzioux C, Sow PS, Perronne C, Girard PM, Menan H, Bissagnene E, Kadio A, Ettiegne-Traore V, Moh-Semdé C, Kouame A, Massumbuko JM, Chêne G, Dosso M, Domoua SK, N'Dri-Yoman T, Salamon R, Eholié SP, Anglaret X.</t>
  </si>
  <si>
    <t>N Engl J Med. 2015 Aug 27;373(9):808-22. doi: 10.1056/NEJMoa1507198. Epub 2015 Jul 20.</t>
  </si>
  <si>
    <t>10.1056/NEJMoa1507198</t>
  </si>
  <si>
    <t>Risk of Serious Infection With Biologic and Systemic Treatment of Psoriasis: Results From the Psoriasis Longitudinal Assessment and Registry (PSOLAR)</t>
  </si>
  <si>
    <t>Kalb RE, Fiorentino DF, Lebwohl MG, Toole J, Poulin Y, Cohen AD, Goyal K, Fakharzadeh S, Calabro S, Chevrier M, Langholff W, You Y, Leonardi CL.</t>
  </si>
  <si>
    <t>JAMA Dermatol. 2015 Sep;151(9):961-9. doi: 10.1001/jamadermatol.2015.0718.</t>
  </si>
  <si>
    <t>JAMA Dermatol</t>
  </si>
  <si>
    <t>10.1001/jamadermatol.2015.0718</t>
  </si>
  <si>
    <t>Improvement in cerebral hemodynamic parameters and outcomes after superficial temporal artery-middle cerebral artery bypass in patients with severe stenoocclusive disease of the intracranial internal carotid or middle cerebral arteries</t>
  </si>
  <si>
    <t>Low SW, Teo K, Lwin S, Yeo LL, Paliwal PR, Ahmad A, Sinha AK, Teoh HL, Wong LY, Chong VF, Seet RC, Chan BP, Yeo TT, Chou N, Sharma VK.</t>
  </si>
  <si>
    <t>J Neurosurg. 2015 Sep;123(3):662-9. doi: 10.3171/2014.11.JNS141553. Epub 2015 May 29.</t>
  </si>
  <si>
    <t>10.3171/2014.11.JNS141553</t>
  </si>
  <si>
    <t>Evaluation of an Anal Insert Device for the Conservative Management of Fecal Incontinence</t>
  </si>
  <si>
    <t>Lukacz ES, Segall MM, Wexner SD.</t>
  </si>
  <si>
    <t>Dis Colon Rectum. 2015 Sep;58(9):892-8. doi: 10.1097/DCR.0000000000000427.</t>
  </si>
  <si>
    <t>10.1097/DCR.0000000000000427</t>
  </si>
  <si>
    <t>Antithrombotic therapy in TAVI patients: changing concepts</t>
  </si>
  <si>
    <t>Gargiulo G, Collet JP, Valgimigli M.</t>
  </si>
  <si>
    <t>EuroIntervention. 2015 Sep;11 Suppl W:W92-5. doi: 10.4244/EIJV11SWA28.</t>
  </si>
  <si>
    <t>10.4244/EIJV11SWA28</t>
  </si>
  <si>
    <t>A network meta-analysis of the efficacy and side effects of UDCA-based therapies for primary sclerosing cholangitis</t>
  </si>
  <si>
    <t>Zhu GQ, Shi KQ, Huang GQ, Wang LR, Lin YQ, Braddock M, Chen YP, Zhou MT, Zheng MH.</t>
  </si>
  <si>
    <t>Oncotarget. 2015 Sep 29;6(29):26757-69. doi: 10.18632/oncotarget.5610.</t>
  </si>
  <si>
    <t>Oncotarget</t>
  </si>
  <si>
    <t>10.18632/oncotarget.5610</t>
  </si>
  <si>
    <t>Pharmaceutical care of adolescents with diabetes mellitus type 1: the DIADEMA study, a randomized controlled trial</t>
  </si>
  <si>
    <t>Obarcanin E, Krüger M, Müller P, Nemitz V, Schwender H, Hasanbegovic S, Kalajdzisalihovic S, Läer S.</t>
  </si>
  <si>
    <t>Int J Clin Pharm. 2015 Oct;37(5):790-8. doi: 10.1007/s11096-015-0122-3. Epub 2015 Apr 28.</t>
  </si>
  <si>
    <t>Int J Clin Pharm</t>
  </si>
  <si>
    <t>10.1007/s11096-015-0122-3</t>
  </si>
  <si>
    <t>Arterial blood pressure and heart rate regulation in shock state</t>
  </si>
  <si>
    <t>DellaVolpe JD, Moore JE, Pinsky MR.</t>
  </si>
  <si>
    <t>Curr Opin Crit Care. 2015 Oct;21(5):376-80. doi: 10.1097/MCC.0000000000000239.</t>
  </si>
  <si>
    <t>10.1097/MCC.0000000000000239</t>
  </si>
  <si>
    <t>CBPR-Informed Recruitment and Retention Adaptations in a Randomized Study of Pap Testing Among Pacific Islanders in Southern California</t>
  </si>
  <si>
    <t>Tanjasiri SP, Weiss JW, Santos L, Flores P, Flores P, Lacsamana JD, Paige C, Mouttapa M, Quitugua L, Taito P, May VT, Tupua M, Vaikona E, Vaivao D, Vunileva I.</t>
  </si>
  <si>
    <t>Prog Community Health Partnersh. 2015 Autumn;9(3):389-96. doi: 10.1353/cpr.2015.0067.</t>
  </si>
  <si>
    <t>Prog Community Health Partnersh</t>
  </si>
  <si>
    <t>NIHMS831532</t>
  </si>
  <si>
    <t>10.1353/cpr.2015.0067</t>
  </si>
  <si>
    <t>Medicinal clays improve the endurance of loaded inspiratory muscles in COPD: a randomized clinical trial of nonpharmacological treatment</t>
  </si>
  <si>
    <t>Baldi S, Pinna GD, Bruschi C, Caldara F, Maestri R, Dacosto E, Rezzani A, Popovich E, Bellinzona E, Crotti P, Montemartini S, Fracchia C.</t>
  </si>
  <si>
    <t>Int J Chron Obstruct Pulmon Dis. 2015 Oct 23;10:2235-48. doi: 10.2147/COPD.S87999. eCollection 2015.</t>
  </si>
  <si>
    <t>10.2147/COPD.S87999</t>
  </si>
  <si>
    <t>Safety and Hemostatic Effectiveness of the Fibrin Pad for Severe Soft-Tissue Bleeding During Abdominal, Retroperitoneal, Pelvic, and Thoracic (Non-cardiac) Surgery: A Randomized, Controlled, Superiority Trial</t>
  </si>
  <si>
    <t>Koea J, Baldwin P, Shen J, Patel B, Batiller J, Arnaud A, Hart J, Hammond J, Fischer C, James Garden O.</t>
  </si>
  <si>
    <t>World J Surg. 2015 Nov;39(11):2663-9. doi: 10.1007/s00268-015-3106-5.</t>
  </si>
  <si>
    <t>World J Surg</t>
  </si>
  <si>
    <t>10.1007/s00268-015-3106-5</t>
  </si>
  <si>
    <t>Pulmonary Rehabilitation in COPD: Effect of 2 Aerobic Exercise Intensities on Subject-Centered Outcomes--A Randomized Controlled Trial</t>
  </si>
  <si>
    <t>Santos C, Rodrigues F, Santos J, Morais L, Bárbara C.</t>
  </si>
  <si>
    <t>Respir Care. 2015 Nov;60(11):1603-9. doi: 10.4187/respcare.03663. Epub 2015 Jul 28.</t>
  </si>
  <si>
    <t>Respir Care</t>
  </si>
  <si>
    <t>10.4187/respcare.03663</t>
  </si>
  <si>
    <t>A Note on the Validity and Reliability of Multi-Criteria Decision Analysis for the Benefit-Risk Assessment of Medicines</t>
  </si>
  <si>
    <t>Drug Saf. 2015 Nov;38(11):1049-57. doi: 10.1007/s40264-015-0344-2.</t>
  </si>
  <si>
    <t>10.1007/s40264-015-0344-2</t>
  </si>
  <si>
    <t>Y-Box Binding Protein 1 Stabilizes Hepatitis C Virus NS5A via Phosphorylation-Mediated Interaction with NS5A To Regulate Viral Propagation</t>
  </si>
  <si>
    <t>Wang WT, Tsai TY, Chao CH, Lai BY, Wu Lee YH.</t>
  </si>
  <si>
    <t>J Virol. 2015 Nov;89(22):11584-602. doi: 10.1128/JVI.01513-15. Epub 2015 Sep 9.</t>
  </si>
  <si>
    <t>10.1128/JVI.01513-15</t>
  </si>
  <si>
    <t>Physical Activity Program Is Helpful for Improving Quality of Life in Patients with Systemic Lupus Erythematosus</t>
  </si>
  <si>
    <t>Bogdanovic G, Stojanovich L, Djokovic A, Stanisavljevic N.</t>
  </si>
  <si>
    <t>Tohoku J Exp Med. 2015 Nov;237(3):193-9. doi: 10.1620/tjem.237.193.</t>
  </si>
  <si>
    <t>Tohoku J Exp Med</t>
  </si>
  <si>
    <t>10.1620/tjem.237.193</t>
  </si>
  <si>
    <t>Nitrous oxide-based techniques versus nitrous oxide-free techniques for general anaesthesia</t>
  </si>
  <si>
    <t>Sun R, Jia WQ, Zhang P, Yang K, Tian JH, Ma B, Liu Y, Jia RH, Luo XF, Kuriyama A.</t>
  </si>
  <si>
    <t>Cochrane Database Syst Rev. 2015 Nov 6;(11):CD008984. doi: 10.1002/14651858.CD008984.pub2.</t>
  </si>
  <si>
    <t>10.1002/14651858.CD008984.pub2</t>
  </si>
  <si>
    <t>Immunotherapy (oral and sublingual) for food allergy to fruits</t>
  </si>
  <si>
    <t>Yepes-Nuñez JJ, Zhang Y, Roqué i Figuls M, Bartra Tomas J, Reyes JM, Pineda de la Losa F, Enrique E.</t>
  </si>
  <si>
    <t>Cochrane Database Syst Rev. 2015 Nov 9;2015(11):CD010522. doi: 10.1002/14651858.CD010522.pub2.</t>
  </si>
  <si>
    <t>10.1002/14651858.CD010522.pub2</t>
  </si>
  <si>
    <t>Activity of Oral ALS-008176 in a Respiratory Syncytial Virus Challenge Study</t>
  </si>
  <si>
    <t>DeVincenzo JP, McClure MW, Symons JA, Fathi H, Westland C, Chanda S, Lambkin-Williams R, Smith P, Zhang Q, Beigelman L, Blatt LM, Fry J.</t>
  </si>
  <si>
    <t>N Engl J Med. 2015 Nov 19;373(21):2048-58. doi: 10.1056/NEJMoa1413275.</t>
  </si>
  <si>
    <t>10.1056/NEJMoa1413275</t>
  </si>
  <si>
    <t>Hypertonic saline (HS) for acute bronchiolitis: Systematic review and meta-analysis</t>
  </si>
  <si>
    <t>Maguire C, Cantrill H, Hind D, Bradburn M, Everard ML.</t>
  </si>
  <si>
    <t>BMC Pulm Med. 2015 Nov 23;15:148. doi: 10.1186/s12890-015-0140-x.</t>
  </si>
  <si>
    <t>BMC Pulm Med</t>
  </si>
  <si>
    <t>10.1186/s12890-015-0140-x</t>
  </si>
  <si>
    <t>A systematic review of adverse events following immunization during pregnancy and the newborn period</t>
  </si>
  <si>
    <t>Fulton TR, Narayanan D, Bonhoeffer J, Ortiz JR, Lambach P, Omer SB.</t>
  </si>
  <si>
    <t>Vaccine. 2015 Nov 25;33(47):6453-65. doi: 10.1016/j.vaccine.2015.08.043. Epub 2015 Sep 26.</t>
  </si>
  <si>
    <t>PMC8290429</t>
  </si>
  <si>
    <t>NIHMS1714969</t>
  </si>
  <si>
    <t>10.1016/j.vaccine.2015.08.043</t>
  </si>
  <si>
    <t>Thyroid surgery for Graves' disease and Graves' ophthalmopathy</t>
  </si>
  <si>
    <t>Liu ZW, Masterson L, Fish B, Jani P, Chatterjee K.</t>
  </si>
  <si>
    <t>Cochrane Database Syst Rev. 2015 Nov 25;(11):CD010576. doi: 10.1002/14651858.CD010576.pub2.</t>
  </si>
  <si>
    <t>10.1002/14651858.CD010576.pub2</t>
  </si>
  <si>
    <t>Safety and immunogenicity of RV3-BB human neonatal rotavirus vaccine administered at birth or in infancy: a randomised, double-blind, placebo-controlled trial</t>
  </si>
  <si>
    <t>Bines JE, Danchin M, Jackson P, Handley A, Watts E, Lee KJ, West A, Cowley D, Chen MY, Barnes GL, Justice F, Buttery JP, Carlin JB, Bishop RF, Taylor B, Kirkwood CD; RV3 Rotavirus Vaccine Program.</t>
  </si>
  <si>
    <t>Lancet Infect Dis. 2015 Dec;15(12):1389-97. doi: 10.1016/S1473-3099(15)00227-3. Epub 2015 Aug 26.</t>
  </si>
  <si>
    <t>10.1016/S1473-3099(15)00227-3</t>
  </si>
  <si>
    <t>Systematic review and meta-analysis of serious infections with tofacitinib and biologic disease-modifying antirheumatic drug treatment in rheumatoid arthritis clinical trials</t>
  </si>
  <si>
    <t>Strand V, Ahadieh S, French J, Geier J, Krishnaswami S, Menon S, Checchio T, Tensfeldt TG, Hoffman E, Riese R, Boy M, Gómez-Reino JJ.</t>
  </si>
  <si>
    <t>Arthritis Res Ther. 2015 Dec 15;17:362. doi: 10.1186/s13075-015-0880-2.</t>
  </si>
  <si>
    <t>10.1186/s13075-015-0880-2</t>
  </si>
  <si>
    <t>Trans-sectoral care in patients with colorectal cancer: Protocol of the randomized controlled multi-center trial Supportive Cancer Care Networkers (SCAN)</t>
  </si>
  <si>
    <t>Bauer A, Vordermark D, Seufferlein T, Schmoll HJ, Dralle H, Mau W, Unverzagt S, Boese S, Fach EM, Landenberger M.</t>
  </si>
  <si>
    <t>BMC Cancer. 2015 Dec 22;15:997. doi: 10.1186/s12885-015-2002-6.</t>
  </si>
  <si>
    <t>BMC Cancer</t>
  </si>
  <si>
    <t>10.1186/s12885-015-2002-6</t>
  </si>
  <si>
    <t>External application of traditional Chinese medicine in the treatment of bone cancer pain: a meta-analysis</t>
  </si>
  <si>
    <t>Xiangyong Y, Zhongsheng Y, Wenchao L, Hui D, Shuzhou Q, Gang C, XiaoHui W, Lian Z.</t>
  </si>
  <si>
    <t>Support Care Cancer. 2016 Jan;24(1):11-17. doi: 10.1007/s00520-015-2737-2. Epub 2015 Apr 19.</t>
  </si>
  <si>
    <t>10.1007/s00520-015-2737-2</t>
  </si>
  <si>
    <t>Testicular fine-needle aspiration for the assessment of intratesticular hormone concentrations</t>
  </si>
  <si>
    <t>Lee AP, Roth MY, Nya-Ngatchou JJ, Lin K, Walsh TJ, Page ST, Matsumoto AM, Bremner WJ, Amory JK, Anawalt BD.</t>
  </si>
  <si>
    <t>Asian J Androl. 2016 Jan-Feb;18(1):21-4. doi: 10.4103/1008-682X.156637.</t>
  </si>
  <si>
    <t>Asian J Androl</t>
  </si>
  <si>
    <t>10.4103/1008-682X.156637</t>
  </si>
  <si>
    <t>Efficacy and Safety of Corticosteroids for Community-Acquired Pneumonia: A Systematic Review and Meta-Analysis</t>
  </si>
  <si>
    <t>Wan YD, Sun TW, Liu ZQ, Zhang SG, Wang LX, Kan QC.</t>
  </si>
  <si>
    <t>Chest. 2016 Jan;149(1):209-19. doi: 10.1378/chest.15-1733. Epub 2016 Jan 6.</t>
  </si>
  <si>
    <t>10.1378/chest.15-1733</t>
  </si>
  <si>
    <t>Adherence to Oral Therapy for Urgency Urinary Incontinence: Results from the Anticholinergic Versus Botox Comparison (ABC) Trial</t>
  </si>
  <si>
    <t>Visco AG, Brubaker L, Jelovsek JE, Wilson TS, Norton P, Zyczynski HM, Spino C, Sirls L, Nguyen JN, Rahn DD, Meikle SF, Nolen TL; Pelvic Floor Disorders Network.</t>
  </si>
  <si>
    <t>Female Pelvic Med Reconstr Surg. 2016 Jan-Feb;22(1):24-8. doi: 10.1097/SPV.0000000000000215.</t>
  </si>
  <si>
    <t>Female Pelvic Med Reconstr Surg</t>
  </si>
  <si>
    <t>NIHMS711443</t>
  </si>
  <si>
    <t>10.1097/SPV.0000000000000215</t>
  </si>
  <si>
    <t>New hepatitis C therapies for special patient populations</t>
  </si>
  <si>
    <t>Soriano V, Labarga P, de Mendoza C, Fernández-Montero JV, Esposito I, Benítez-Gutiérrez L, Peña JM, Barreiro P.</t>
  </si>
  <si>
    <t>Expert Opin Pharmacother. 2016;17(2):217-29. doi: 10.1517/14656566.2016.1112790. Epub 2015 Nov 23.</t>
  </si>
  <si>
    <t>10.1517/14656566.2016.1112790</t>
  </si>
  <si>
    <t>Atrial Fibrillation During or After TAVI: Incidence, Implications and Therapeutical Considerations</t>
  </si>
  <si>
    <t>Vavuranakis M, Kolokathis AM, Vrachatis DA, Kalogeras K, Magkoutis NA, Fradi S, Ghostine S, Karamanou M, Tousoulis D.</t>
  </si>
  <si>
    <t>Curr Pharm Des. 2016;22(13):1896-903. doi: 10.2174/1381612822666151208123050.</t>
  </si>
  <si>
    <t>10.2174/1381612822666151208123050</t>
  </si>
  <si>
    <t>Guidance for the management of venous thrombosis in unusual sites</t>
  </si>
  <si>
    <t>Ageno W, Beyer-Westendorf J, Garcia DA, Lazo-Langner A, McBane RD, Paciaroni M.</t>
  </si>
  <si>
    <t>J Thromb Thrombolysis. 2016 Jan;41(1):129-43. doi: 10.1007/s11239-015-1308-1.</t>
  </si>
  <si>
    <t>J Thromb Thrombolysis</t>
  </si>
  <si>
    <t>10.1007/s11239-015-1308-1</t>
  </si>
  <si>
    <t>Risk of chemotherapy-induced neutropenic complications when treating patients with non-Hodgkin lymphoma</t>
  </si>
  <si>
    <t>Lyman GH, Poniewierski MS, Culakova E.</t>
  </si>
  <si>
    <t>Expert Opin Drug Saf. 2016;15(4):483-92. doi: 10.1517/14740338.2016.1146675. Epub 2016 Mar 11.</t>
  </si>
  <si>
    <t>10.1517/14740338.2016.1146675</t>
  </si>
  <si>
    <t>Successful Treatment of Hepatitis C with Simeprevir, Sofosbuvir, and Ribavirin in an HIV Coinfected Liver Transplant Patient with Advanced Chronic Kidney Disease</t>
  </si>
  <si>
    <t>Maruyama A, Hussaini T, Partovi N, Erb SR, Azalgara VM, Zalunardo N, Pick N, Hull M, Yoshida EM.</t>
  </si>
  <si>
    <t>Can J Infect Dis Med Microbiol. 2016;2016:8372835. doi: 10.1155/2016/8372835. Epub 2016 Mar 30.</t>
  </si>
  <si>
    <t>Can J Infect Dis Med Microbiol</t>
  </si>
  <si>
    <t>10.1155/2016/8372835</t>
  </si>
  <si>
    <t>Ongoing life stressors and suicidal ideation among HIV-infected adults with depression</t>
  </si>
  <si>
    <t>O'Donnell JK, Gaynes BN, Cole SR, Edmonds A, Thielman NM, Quinlivan EB, Shirey K, Heine AD, Modi R, Pence BW.</t>
  </si>
  <si>
    <t>J Affect Disord. 2016 Jan 15;190:322-328. doi: 10.1016/j.jad.2015.09.054. Epub 2015 Nov 3.</t>
  </si>
  <si>
    <t>NIHMS736082</t>
  </si>
  <si>
    <t>10.1016/j.jad.2015.09.054</t>
  </si>
  <si>
    <t>Antifungal agents for preventing fungal infections in non-neutropenic critically ill patients</t>
  </si>
  <si>
    <t>Cortegiani A, Russotto V, Maggiore A, Attanasio M, Naro AR, Raineri SM, Giarratano A.</t>
  </si>
  <si>
    <t>Cochrane Database Syst Rev. 2016 Jan 16;2016(1):CD004920. doi: 10.1002/14651858.CD004920.pub3.</t>
  </si>
  <si>
    <t>10.1002/14651858.CD004920.pub3</t>
  </si>
  <si>
    <t>A 17-year, single-centre experience with the Ross procedure: fulfilling the promise of a durable option without anticoagulation?</t>
  </si>
  <si>
    <t>Miskovic A, Monsefi N, Karimian-Tabrizi A, Zierer A, Moritz A.</t>
  </si>
  <si>
    <t>Eur J Cardiothorac Surg. 2016 Feb;49(2):514-9; discussion 519. doi: 10.1093/ejcts/ezv074. Epub 2015 Mar 8.</t>
  </si>
  <si>
    <t>Eur J Cardiothorac Surg</t>
  </si>
  <si>
    <t>10.1093/ejcts/ezv074</t>
  </si>
  <si>
    <t>Efficacy and safety of praziquantel for the treatment of human schistosomiasis during pregnancy: a phase 2, randomised, double-blind, placebo-controlled trial</t>
  </si>
  <si>
    <t>Olveda RM, Acosta LP, Tallo V, Baltazar PI, Lesiguez JL, Estanislao GG, Ayaso EB, Monterde DB, Ida A, Watson N, McDonald EA, Wu HW, Kurtis JD, Friedman JF.</t>
  </si>
  <si>
    <t>Lancet Infect Dis. 2016 Feb;16(2):199-208. doi: 10.1016/S1473-3099(15)00345-X. Epub 2015 Nov 2.</t>
  </si>
  <si>
    <t>NIHMS737742</t>
  </si>
  <si>
    <t>10.1016/S1473-3099(15)00345-X</t>
  </si>
  <si>
    <t>Randomized Controlled Pilot Trial of Behavioral Insomnia Treatment for Chronic Migraine With Comorbid Insomnia</t>
  </si>
  <si>
    <t>Smitherman TA, Walters AB, Davis RE, Ambrose CE, Roland M, Houle TT, Rains JC.</t>
  </si>
  <si>
    <t>Headache. 2016 Feb;56(2):276-91. doi: 10.1111/head.12760. Epub 2016 Jan 27.</t>
  </si>
  <si>
    <t>10.1111/head.12760</t>
  </si>
  <si>
    <t>Mortality prediction in patients with severe septic shock: a pilot study using a target metabolomics approach</t>
  </si>
  <si>
    <t>Ferrario M, Cambiaghi A, Brunelli L, Giordano S, Caironi P, Guatteri L, Raimondi F, Gattinoni L, Latini R, Masson S, Ristagno G, Pastorelli R.</t>
  </si>
  <si>
    <t>Sci Rep. 2016 Feb 5;6:20391. doi: 10.1038/srep20391.</t>
  </si>
  <si>
    <t>Sci Rep</t>
  </si>
  <si>
    <t>10.1038/srep20391</t>
  </si>
  <si>
    <t>Vaccination with Replication Deficient Adenovectors Encoding YF-17D Antigens Induces Long-Lasting Protection from Severe Yellow Fever Virus Infection in Mice</t>
  </si>
  <si>
    <t>Bassi MR, Larsen MA, Kongsgaard M, Rasmussen M, Buus S, Stryhn A, Thomsen AR, Christensen JP.</t>
  </si>
  <si>
    <t>PLoS Negl Trop Dis. 2016 Feb 17;10(2):e0004464. doi: 10.1371/journal.pntd.0004464. eCollection 2016 Feb.</t>
  </si>
  <si>
    <t>10.1371/journal.pntd.0004464</t>
  </si>
  <si>
    <t>Classification and rates of adverse events in a Malawi male circumcision program: impact of quality improvement training</t>
  </si>
  <si>
    <t>Kohler PK, Namate D, Barnhart S, Chimbwandira F, Tippet-Barr BA, Perdue T, Chilongozi DA, Tenthani L, Phiri O, Msungama W, Holmes KK, Krieger JN.</t>
  </si>
  <si>
    <t>BMC Health Serv Res. 2016 Feb 17;16:61. doi: 10.1186/s12913-016-1305-x.</t>
  </si>
  <si>
    <t>BMC Health Serv Res</t>
  </si>
  <si>
    <t>10.1186/s12913-016-1305-x</t>
  </si>
  <si>
    <t>Results and lessons from the Spironolactone To Prevent Cardiovascular Events in Early Stage Chronic Kidney Disease (STOP-CKD) randomised controlled trial</t>
  </si>
  <si>
    <t>Ng KP, Jain P, Gill PS, Heer G, Townend JN, Freemantle N, Greenfield S, McManus RJ, Ferro CJ.</t>
  </si>
  <si>
    <t>BMJ Open. 2016 Feb 25;6(2):e010519. doi: 10.1136/bmjopen-2015-010519.</t>
  </si>
  <si>
    <t>BMJ Open</t>
  </si>
  <si>
    <t>10.1136/bmjopen-2015-010519</t>
  </si>
  <si>
    <t>Safety and Durability of RBX2660 (Microbiota Suspension) for Recurrent Clostridium difficile Infection: Results of the PUNCH CD Study</t>
  </si>
  <si>
    <t>Orenstein R, Dubberke E, Hardi R, Ray A, Mullane K, Pardi DS, Ramesh MS; PUNCH CD Investigators.</t>
  </si>
  <si>
    <t>Clin Infect Dis. 2016 Mar 1;62(5):596-602. doi: 10.1093/cid/civ938. Epub 2015 Nov 12.</t>
  </si>
  <si>
    <t>10.1093/cid/civ938</t>
  </si>
  <si>
    <t>Current standard treatment of adult acute promyelocytic leukaemia</t>
  </si>
  <si>
    <t>Lo-Coco F, Cicconi L, Breccia M.</t>
  </si>
  <si>
    <t>Br J Haematol. 2016 Mar;172(6):841-54. doi: 10.1111/bjh.13890. Epub 2015 Dec 21.</t>
  </si>
  <si>
    <t>Br J Haematol</t>
  </si>
  <si>
    <t>10.1111/bjh.13890</t>
  </si>
  <si>
    <t>Safety and Upper Respiratory Pharmacokinetics of the Hemagglutinin Stalk-Binding Antibody VIS410 Support Treatment and Prophylaxis Based on Population Modeling of Seasonal Influenza A Outbreaks</t>
  </si>
  <si>
    <t>Wollacott AM, Boni MF, Szretter KJ, Sloan SE, Yousofshahi M, Viswanathan K, Bedard S, Hay CA, Smith PF, Shriver Z, Trevejo JM.</t>
  </si>
  <si>
    <t>EBioMedicine. 2016 Feb 26;5:147-55. doi: 10.1016/j.ebiom.2016.02.021. eCollection 2016 Mar.</t>
  </si>
  <si>
    <t>EBioMedicine</t>
  </si>
  <si>
    <t>10.1016/j.ebiom.2016.02.021</t>
  </si>
  <si>
    <t>Study protocol for a single-blind, placebo-controlled randomised trial of Tianjiu effects in patients with intradialytic hypotension</t>
  </si>
  <si>
    <t>Tsai MY, Su YJ, Ng HY, Chen SY, Huang YC, Wu CH, Chen YH.</t>
  </si>
  <si>
    <t>BMJ Open. 2016 Mar 10;6(3):e009976. doi: 10.1136/bmjopen-2015-009976.</t>
  </si>
  <si>
    <t>10.1136/bmjopen-2015-009976</t>
  </si>
  <si>
    <t>Zinc as an adjunct to antibiotics for the treatment of severe pneumonia in children &lt;5 years: a meta-analysis of randomised-controlled trials</t>
  </si>
  <si>
    <t>Tie HT, Tan Q, Luo MZ, Li Q, Yu JL, Wu QC.</t>
  </si>
  <si>
    <t>Br J Nutr. 2016 Mar 14;115(5):807-16. doi: 10.1017/S0007114515005449. Epub 2016 Jan 26.</t>
  </si>
  <si>
    <t>Br J Nutr</t>
  </si>
  <si>
    <t>10.1017/S0007114515005449</t>
  </si>
  <si>
    <t>The Neuroprotective Properties of the Amyloid Precursor Protein Following Traumatic Brain Injury</t>
  </si>
  <si>
    <t>Plummer S, Van den Heuvel C, Thornton E, Corrigan F, Cappai R.</t>
  </si>
  <si>
    <t>Aging Dis. 2016 Mar 15;7(2):163-79. doi: 10.14336/AD.2015.0907. eCollection 2016 Mar.</t>
  </si>
  <si>
    <t>Aging Dis</t>
  </si>
  <si>
    <t>10.14336/AD.2015.0907</t>
  </si>
  <si>
    <t>Baricitinib in Patients with Refractory Rheumatoid Arthritis</t>
  </si>
  <si>
    <t>Genovese MC, Kremer J, Zamani O, Ludivico C, Krogulec M, Xie L, Beattie SD, Koch AE, Cardillo TE, Rooney TP, Macias WL, de Bono S, Schlichting DE, Smolen JS.</t>
  </si>
  <si>
    <t>N Engl J Med. 2016 Mar 31;374(13):1243-52. doi: 10.1056/NEJMoa1507247.</t>
  </si>
  <si>
    <t>10.1056/NEJMoa1507247</t>
  </si>
  <si>
    <t>Risks of phase I research with healthy participants: A systematic review</t>
  </si>
  <si>
    <t>Johnson RA, Rid A, Emanuel E, Wendler D.</t>
  </si>
  <si>
    <t>Clin Trials. 2016 Apr;13(2):149-60. doi: 10.1177/1740774515602868. Epub 2015 Sep 8.</t>
  </si>
  <si>
    <t>NIHMS714048</t>
  </si>
  <si>
    <t>10.1177/1740774515602868</t>
  </si>
  <si>
    <t>For which peripheral lesions could we consider drug eluting stents?</t>
  </si>
  <si>
    <t>Tessarek J.</t>
  </si>
  <si>
    <t>J Cardiovasc Surg (Torino). 2016 Apr;57(2):257-65. Epub 2015 Dec 16.</t>
  </si>
  <si>
    <t>Verum versus sham manual acupuncture for migraine: a systematic review of randomised controlled trials</t>
  </si>
  <si>
    <t>Yang Y, Que Q, Ye X, Zheng Gh.</t>
  </si>
  <si>
    <t>Acupunct Med. 2016 Apr;34(2):76-83. doi: 10.1136/acupmed-2015-010903. Epub 2015 Dec 30.</t>
  </si>
  <si>
    <t>Acupunct Med</t>
  </si>
  <si>
    <t>10.1136/acupmed-2015-010903</t>
  </si>
  <si>
    <t>Targets and Mechanisms Associated with Protection from Severe Plasmodium falciparum Malaria in Kenyan Children</t>
  </si>
  <si>
    <t>Murungi LM, Sondén K, Llewellyn D, Rono J, Guleid F, Williams AR, Ogada E, Thairu A, Färnert A, Marsh K, Draper SJ, Osier FHA.</t>
  </si>
  <si>
    <t>Infect Immun. 2016 Mar 24;84(4):950-963. doi: 10.1128/IAI.01120-15. Print 2016 Apr.</t>
  </si>
  <si>
    <t>Infect Immun</t>
  </si>
  <si>
    <t>10.1128/IAI.01120-15</t>
  </si>
  <si>
    <t>Antithrombin III for critically ill patients: a systematic review with meta-analysis and trial sequential analysis</t>
  </si>
  <si>
    <t>Allingstrup M, Wetterslev J, Ravn FB, Møller AM, Afshari A.</t>
  </si>
  <si>
    <t>Intensive Care Med. 2016 Apr;42(4):505-520. doi: 10.1007/s00134-016-4225-7. Epub 2016 Feb 9.</t>
  </si>
  <si>
    <t>10.1007/s00134-016-4225-7</t>
  </si>
  <si>
    <t>Effects of an In-Frame Deletion of the 6k Gene Locus from the Genome of Ross River Virus</t>
  </si>
  <si>
    <t>Taylor A, Melton JV, Herrero LJ, Thaa B, Karo-Astover L, Gage PW, Nelson MA, Sheng KC, Lidbury BA, Ewart GD, McInerney GM, Merits A, Mahalingam S.</t>
  </si>
  <si>
    <t>J Virol. 2016 Mar 28;90(8):4150-4159. doi: 10.1128/JVI.03192-15. Print 2016 Apr.</t>
  </si>
  <si>
    <t>10.1128/JVI.03192-15</t>
  </si>
  <si>
    <t>Comprehensive safety assessment of a human inactivated diploid enterovirus 71 vaccine based on a phase III clinical trial</t>
  </si>
  <si>
    <t>Zhang W, Kong Y, Jiang Z, Li C, Wang L, Xia J.</t>
  </si>
  <si>
    <t>Hum Vaccin Immunother. 2016 Apr 2;12(4):922-30. doi: 10.1080/21645515.2015.1115934. Epub 2016 Feb 2.</t>
  </si>
  <si>
    <t>Hum Vaccin Immunother</t>
  </si>
  <si>
    <t>10.1080/21645515.2015.1115934</t>
  </si>
  <si>
    <t>Effect of a Quality Improvement Intervention With Daily Round Checklists, Goal Setting, and Clinician Prompting on Mortality of Critically Ill Patients: A Randomized Clinical Trial</t>
  </si>
  <si>
    <t>Writing Group for the CHECKLIST-ICU Investigators and the Brazilian Research in Intensive Care Network (BRICNet), Cavalcanti AB, Bozza FA, Machado FR, Salluh JI, Campagnucci VP, Vendramim P, Guimaraes HP, Normilio-Silva K, Damiani LP, Romano E, Carrara F, Lubarino Diniz de Souza J, Silva AR, Ramos GV, Teixeira C, Brandão da Silva N, Chang CC, Angus DC, Berwanger O.</t>
  </si>
  <si>
    <t>JAMA. 2016 Apr 12;315(14):1480-90. doi: 10.1001/jama.2016.3463.</t>
  </si>
  <si>
    <t>10.1001/jama.2016.3463</t>
  </si>
  <si>
    <t>Infraorbital nerve block for postoperative pain following cleft lip repair in children</t>
  </si>
  <si>
    <t>Feriani G, Hatanaka E, Torloni MR, da Silva EM.</t>
  </si>
  <si>
    <t>Cochrane Database Syst Rev. 2016 Apr 13;4(4):CD011131. doi: 10.1002/14651858.CD011131.pub2.</t>
  </si>
  <si>
    <t>10.1002/14651858.CD011131.pub2</t>
  </si>
  <si>
    <t>Feasibility and acceptability of oral cholera vaccine mass vaccination campaign in response to an outbreak and floods in Malawi</t>
  </si>
  <si>
    <t>Msyamboza KP, M'bang'ombe M, Hausi H, Chijuwa A, Nkukumila V, Kubwalo HW, Desai S, Pezzoli L, Legros D.</t>
  </si>
  <si>
    <t>Pan Afr Med J. 2016 Apr 20;23:203. doi: 10.11604/pamj.2016.23.203.8346. eCollection 2016.</t>
  </si>
  <si>
    <t>Pan Afr Med J</t>
  </si>
  <si>
    <t>10.11604/pamj.2016.23.203.8346</t>
  </si>
  <si>
    <t>36th International Symposium on Intensive Care and Emergency Medicine : Brussels, Belgium. 15-18 March 2016</t>
  </si>
  <si>
    <t>Bateman RM, Sharpe MD, Jagger JE, Ellis CG, Solé-Violán J, López-Rodríguez M, Herrera-Ramos E, Ruíz-Hernández J, Borderías L, Horcajada J, González-Quevedo N, Rajas O, Briones M, Rodríguez de Castro F, Rodríguez Gallego C, Esen F, Orhun G, Ergin Ozcan P, Senturk E, Ugur Yilmaz C, Orhan N, Arican N, Kaya M, Kucukerden M, Giris M, Akcan U, Bilgic Gazioglu S, Tuzun E, Riff R, Naamani O, Douvdevani A, Takegawa R, Yoshida H, Hirose T, Yamamoto N, Hagiya H, Ojima M, Akeda Y, Tasaki O, Tomono K, Shimazu T, Ono S, Kubo T, Suda S, Ueno T, Ikeda T, Hirose T, Ogura H, Takahashi H, Ojima M, Kang J, Nakamura Y, Kojima T, Shimazu T, Ikeda T, Suda S, Izutani Y, Ueno T, Ono S, Taniguchi T, O M, Dinter C, Lotz J, Eilers B, Wissmann C, Lott R, Meili MM, Schuetz PS, Hawa H, Sharshir M, Aburageila M, Salahuddin N, Chantziara V, Georgiou S, Tsimogianni A, Alexandropoulos P, Vassi A, Lagiou F, Valta M, Micha G, Chinou E, Michaloudis G, Kodaira A, Ikeda T, Ono S, Ueno T, Suda S, Izutani Y, Imaizumi H, De la Torre-Prados MV, Garcia-De la Torre A, Enguix-Armada A, Puerto-Morlan A, Perez-Valero V, Garcia-Alcantara A, Bolton N, Dudziak J, Bonney S, Tridente A, Nee P, et al.</t>
  </si>
  <si>
    <t>Crit Care. 2016 Apr 20;20(Suppl 2):94. doi: 10.1186/s13054-016-1208-6.</t>
  </si>
  <si>
    <t>10.1186/s13054-016-1208-6</t>
  </si>
  <si>
    <t>Self management interventions for type 2 diabetes in adult people with severe mental illness</t>
  </si>
  <si>
    <t>McBain H, Mulligan K, Haddad M, Flood C, Jones J, Simpson A.</t>
  </si>
  <si>
    <t>Cochrane Database Syst Rev. 2016 Apr 27;4:CD011361. doi: 10.1002/14651858.CD011361.pub2.</t>
  </si>
  <si>
    <t>10.1002/14651858.CD011361.pub2</t>
  </si>
  <si>
    <t>Prasad K, Singh MB, Ryan H.</t>
  </si>
  <si>
    <t>Cochrane Database Syst Rev. 2016 Apr 28;4(4):CD002244. doi: 10.1002/14651858.CD002244.pub4.</t>
  </si>
  <si>
    <t>10.1002/14651858.CD002244.pub4</t>
  </si>
  <si>
    <t>A multicenter, epidemiological study of the treatment patterns, comorbidities and hypoglycemia events of patients with type 2 diabetes and moderate or severe chronic kidney disease - the 'LEARN' study</t>
  </si>
  <si>
    <t>Rombopoulos G, Panitti E, Varounis C, Katsinas C, Stefanidis I, Goumenos D.</t>
  </si>
  <si>
    <t>Curr Med Res Opin. 2016 May;32(5):939-47. doi: 10.1185/03007995.2016.1151777. Epub 2016 Mar 9.</t>
  </si>
  <si>
    <t>10.1185/03007995.2016.1151777</t>
  </si>
  <si>
    <t>Predictors of major amputation despite patent bypass grafts</t>
  </si>
  <si>
    <t>Smith AD, Hawkins AT, Schaumeier MJ, de Vos MS, Conte MS, Nguyen LL.</t>
  </si>
  <si>
    <t>J Vasc Surg. 2016 May;63(5):1279-88. doi: 10.1016/j.jvs.2015.10.101. Epub 2016 Feb 6.</t>
  </si>
  <si>
    <t>10.1016/j.jvs.2015.10.101</t>
  </si>
  <si>
    <t>Feasibility and Efficacy of Function-Focused Care for Orthopedic Trauma Patients</t>
  </si>
  <si>
    <t>Resnick B, Wells C, Galik E, Holtzman L, Zhu S, Gamertsfelder E, Laidlow T, Boltz M.</t>
  </si>
  <si>
    <t>J Trauma Nurs. 2016 May-Jun;23(3):144-55. doi: 10.1097/JTN.0000000000000203.</t>
  </si>
  <si>
    <t>J Trauma Nurs</t>
  </si>
  <si>
    <t>NIHMS766029</t>
  </si>
  <si>
    <t>10.1097/JTN.0000000000000203</t>
  </si>
  <si>
    <t>Delivering safe and effective analgesia for management of renal colic in the emergency department: a double-blind, multigroup, randomised controlled trial</t>
  </si>
  <si>
    <t>Pathan SA, Mitra B, Straney LD, Afzal MS, Anjum S, Shukla D, Morley K, Al Hilli SA, Al Rumaihi K, Thomas SH, Cameron PA.</t>
  </si>
  <si>
    <t>Lancet. 2016 May 14;387(10032):1999-2007. doi: 10.1016/S0140-6736(16)00652-8. Epub 2016 Mar 16.</t>
  </si>
  <si>
    <t>10.1016/S0140-6736(16)00652-8</t>
  </si>
  <si>
    <t>Nonselective β-blockers do not affect mortality in cirrhosis patients with ascites: Post Hoc analysis of three randomized controlled trials with 1198 patients</t>
  </si>
  <si>
    <t>Bossen L, Krag A, Vilstrup H, Watson H, Jepsen P.</t>
  </si>
  <si>
    <t>Hepatology. 2016 Jun;63(6):1968-76. doi: 10.1002/hep.28352. Epub 2016 Jan 5.</t>
  </si>
  <si>
    <t>10.1002/hep.28352</t>
  </si>
  <si>
    <t>Advancing drug discovery for neuropsychiatric disorders using patient-specific stem cell models</t>
  </si>
  <si>
    <t>Haggarty SJ, Silva MC, Cross A, Brandon NJ, Perlis RH.</t>
  </si>
  <si>
    <t>Mol Cell Neurosci. 2016 Jun;73:104-15. doi: 10.1016/j.mcn.2016.01.011. Epub 2016 Jan 28.</t>
  </si>
  <si>
    <t>Mol Cell Neurosci</t>
  </si>
  <si>
    <t>NIHMS758028</t>
  </si>
  <si>
    <t>10.1016/j.mcn.2016.01.011</t>
  </si>
  <si>
    <t>The association of melioidosis with climatic factors in Darwin, Australia: A 23-year time-series analysis</t>
  </si>
  <si>
    <t>Kaestli M, Grist EPM, Ward L, Hill A, Mayo M, Currie BJ.</t>
  </si>
  <si>
    <t>J Infect. 2016 Jun;72(6):687-697. doi: 10.1016/j.jinf.2016.02.015. Epub 2016 Mar 3.</t>
  </si>
  <si>
    <t>10.1016/j.jinf.2016.02.015</t>
  </si>
  <si>
    <t>Single-dose Live Oral Cholera Vaccine CVD 103-HgR Protects Against Human Experimental Infection With Vibrio cholerae O1 El Tor</t>
  </si>
  <si>
    <t>Chen WH, Cohen MB, Kirkpatrick BD, Brady RC, Galloway D, Gurwith M, Hall RH, Kessler RA, Lock M, Haney D, Lyon CE, Pasetti MF, Simon JK, Szabo F, Tennant S, Levine MM.</t>
  </si>
  <si>
    <t>Clin Infect Dis. 2016 Jun 1;62(11):1329-1335. doi: 10.1093/cid/ciw145. Epub 2016 Mar 21.</t>
  </si>
  <si>
    <t>10.1093/cid/ciw145</t>
  </si>
  <si>
    <t>Pain assessment in the critically ill adult: Recent evidence and new trends</t>
  </si>
  <si>
    <t>Gélinas C.</t>
  </si>
  <si>
    <t>Intensive Crit Care Nurs. 2016 Jun;34:1-11. doi: 10.1016/j.iccn.2016.03.001. Epub 2016 Apr 5.</t>
  </si>
  <si>
    <t>Intensive Crit Care Nurs</t>
  </si>
  <si>
    <t>10.1016/j.iccn.2016.03.001</t>
  </si>
  <si>
    <t>Checkpoint Inhibitors and Other Immune Therapies for Hodgkin and Non-Hodgkin Lymphoma</t>
  </si>
  <si>
    <t>Matsuki E, Younes A.</t>
  </si>
  <si>
    <t>Curr Treat Options Oncol. 2016 Jun;17(6):31. doi: 10.1007/s11864-016-0401-9.</t>
  </si>
  <si>
    <t>Curr Treat Options Oncol</t>
  </si>
  <si>
    <t>NIHMS897904</t>
  </si>
  <si>
    <t>10.1007/s11864-016-0401-9</t>
  </si>
  <si>
    <t>[A bispecific antibody mimicking factor VIII in hemophilia A therapy]</t>
  </si>
  <si>
    <t>Nogami K.</t>
  </si>
  <si>
    <t>Rinsho Ketsueki. 2016 Jun;57(6):709-14. doi: 10.11406/rinketsu.57.709.</t>
  </si>
  <si>
    <t>Rinsho Ketsueki</t>
  </si>
  <si>
    <t>10.11406/rinketsu.57.709</t>
  </si>
  <si>
    <t>Rationale and design of the SYNTAX II trial evaluating the short to long-term outcomes of state-of-the-art percutaneous coronary revascularisation in patients with de novo three-vessel disease</t>
  </si>
  <si>
    <t>Escaned J, Banning A, Farooq V, Echavarria-Pinto M, Onuma Y, Ryan N, Cavalcante R, Campos CM, Stanetic BM, Ishibashi Y, Suwannasom P, Kappetein AP, Taggart D, Morel MA, van Es GA, Serruys PW.</t>
  </si>
  <si>
    <t>EuroIntervention. 2016 Jun 12;12(2):e224-34. doi: 10.4244/EIJV12I2A36.</t>
  </si>
  <si>
    <t>10.4244/EIJV12I2A36</t>
  </si>
  <si>
    <t>Point-of-care thromboelastography/thromboelastometry-based coagulation management in cardiac surgery: a meta-analysis of 8332 patients</t>
  </si>
  <si>
    <t>Deppe AC, Weber C, Zimmermann J, Kuhn EW, Slottosch I, Liakopoulos OJ, Choi YH, Wahlers T.</t>
  </si>
  <si>
    <t>J Surg Res. 2016 Jun 15;203(2):424-33. doi: 10.1016/j.jss.2016.03.008. Epub 2016 Mar 26.</t>
  </si>
  <si>
    <t>J Surg Res</t>
  </si>
  <si>
    <t>10.1016/j.jss.2016.03.008</t>
  </si>
  <si>
    <t>Efficacy and tolerability of zolmitriptan nasal spray for the treatment of acute migraine in adolescents: Results of a randomized, double-blind, multi-center, parallel-group study (TEENZ)</t>
  </si>
  <si>
    <t>Winner P, Farkas V, Štillová H, Woodruff B, Liss C, Lillieborg S, Raines S; TEENZ Study Group.</t>
  </si>
  <si>
    <t>Headache. 2016 Jul;56(7):1107-19. doi: 10.1111/head.12859. Epub 2016 Jun 22.</t>
  </si>
  <si>
    <t>10.1111/head.12859</t>
  </si>
  <si>
    <t>A randomized controlled trial of methotrexate for patients with generalized myasthenia gravis</t>
  </si>
  <si>
    <t>Pasnoor M, He J, Herbelin L, Burns TM, Nations S, Bril V, Wang AK, Elsheikh BH, Kissel JT, Saperstein D, Shaibani JA, Jackson C, Swenson A, Howard JF Jr, Goyal N, David W, Wicklund M, Pulley M, Becker M, Mozaffar T, Benatar M, Pazcuzzi R, Simpson E, Rosenfeld J, Dimachkie MM, Statland JM, Barohn RJ; Methotrexate in MG Investigators of the Muscle Study Group.</t>
  </si>
  <si>
    <t>Neurology. 2016 Jul 5;87(1):57-64. doi: 10.1212/WNL.0000000000002795. Epub 2016 Jun 15.</t>
  </si>
  <si>
    <t>10.1212/WNL.0000000000002795</t>
  </si>
  <si>
    <t>Mosquito bite immunization with radiation-attenuated Plasmodium falciparum sporozoites: safety, tolerability, protective efficacy and humoral immunogenicity</t>
  </si>
  <si>
    <t>Hickey BW, Lumsden JM, Reyes S, Sedegah M, Hollingdale MR, Freilich DA, Luke TC, Charoenvit Y, Goh LM, Berzins MP, Bebris L, Sacci JB Jr, De La Vega P, Wang R, Ganeshan H, Abot EN, Carucci DJ, Doolan DL, Brice GT, Kumar A, Aguiar J, Nutman TB, Leitman SF, Hoffman SL, Epstein JE, Richie TL.</t>
  </si>
  <si>
    <t>Malar J. 2016 Jul 22;15(1):377. doi: 10.1186/s12936-016-1435-y.</t>
  </si>
  <si>
    <t>10.1186/s12936-016-1435-y</t>
  </si>
  <si>
    <t>A phase I, placebo-controlled, randomized, double-blind, single ascending dose-ranging study to evaluate the safety and tolerability of a novel biophysical bronchodilator (S-1226) administered by nebulization in healthy volunteers</t>
  </si>
  <si>
    <t>Green FH, Leigh R, Fadayomi M, Lalli G, Chiu A, Shrestha G, ElShahat SG, Nelson DE, El Mays TY, Pieron CA, Dennis JH.</t>
  </si>
  <si>
    <t>Trials. 2016 Jul 28;17:361. doi: 10.1186/s13063-016-1489-8.</t>
  </si>
  <si>
    <t>10.1186/s13063-016-1489-8</t>
  </si>
  <si>
    <t>Idebenone reduces respiratory complications in patients with Duchenne muscular dystrophy</t>
  </si>
  <si>
    <t>McDonald CM, Meier T, Voit T, Schara U, Straathof CS, D'Angelo MG, Bernert G, Cuisset JM, Finkel RS, Goemans N, Rummey C, Leinonen M, Spagnolo P, Buyse GM; DELOS Study Group.</t>
  </si>
  <si>
    <t>Neuromuscul Disord. 2016 Aug;26(8):473-80. doi: 10.1016/j.nmd.2016.05.008. Epub 2016 May 12.</t>
  </si>
  <si>
    <t>Neuromuscul Disord</t>
  </si>
  <si>
    <t>10.1016/j.nmd.2016.05.008</t>
  </si>
  <si>
    <t>Antithrombotic therapy in heart failure patients with and without atrial fibrillation: update and future challenges</t>
  </si>
  <si>
    <t>Ferreira JP, Girerd N, Alshalash S, Konstam MA, Zannad F.</t>
  </si>
  <si>
    <t>Eur Heart J. 2016 Aug;37(31):2455-64. doi: 10.1093/eurheartj/ehw213. Epub 2016 Jun 1.</t>
  </si>
  <si>
    <t>10.1093/eurheartj/ehw213</t>
  </si>
  <si>
    <t>Efficacy and safety of sublingual tablets of house dust mite allergen extracts: Results of a dose-ranging study in an environmental exposure chamber</t>
  </si>
  <si>
    <t>Roux M, Devillier P, Yang WH, Montagut A, Abiteboul K, Viatte A, Zeldin RK.</t>
  </si>
  <si>
    <t>J Allergy Clin Immunol. 2016 Aug;138(2):451-458.e5. doi: 10.1016/j.jaci.2016.03.039. Epub 2016 May 6.</t>
  </si>
  <si>
    <t>10.1016/j.jaci.2016.03.039</t>
  </si>
  <si>
    <t>Human Influenza Virus Infections</t>
  </si>
  <si>
    <t>Peteranderl C, Herold S, Schmoldt C.</t>
  </si>
  <si>
    <t>Semin Respir Crit Care Med. 2016 Aug;37(4):487-500. doi: 10.1055/s-0036-1584801. Epub 2016 Aug 3.</t>
  </si>
  <si>
    <t>Semin Respir Crit Care Med</t>
  </si>
  <si>
    <t>10.1055/s-0036-1584801</t>
  </si>
  <si>
    <t>Efficacy and Safety of Once-Daily Dapsone Gel, 7.5% for Treatment of Adolescents and Adults With Acne Vulgaris: Second of Two Identically Designed, Large, Multicenter, Randomized, Vehicle-Controlled Trials</t>
  </si>
  <si>
    <t>Eichenfield LF, Lain T, Frankel EH, Jones TM, Chang-Lin JE, Berk DR, Ruan S, Kaoukhov A.</t>
  </si>
  <si>
    <t>J Drugs Dermatol. 2016 Aug 1;15(8):962-9.</t>
  </si>
  <si>
    <t>Systematic Review: Adverse Events of Fecal Microbiota Transplantation</t>
  </si>
  <si>
    <t>Wang S, Xu M, Wang W, Cao X, Piao M, Khan S, Yan F, Cao H, Wang B.</t>
  </si>
  <si>
    <t>PLoS One. 2016 Aug 16;11(8):e0161174. doi: 10.1371/journal.pone.0161174. eCollection 2016.</t>
  </si>
  <si>
    <t>10.1371/journal.pone.0161174</t>
  </si>
  <si>
    <t>Experience of a new high-purity factor X concentrate in subjects with hereditary factor X deficiency undergoing surgery</t>
  </si>
  <si>
    <t>Escobar MA, Auerswald G, Austin S, Huang JN, Norton M, Millar CM.</t>
  </si>
  <si>
    <t>Haemophilia. 2016 Sep;22(5):713-20. doi: 10.1111/hae.12954. Epub 2016 May 24.</t>
  </si>
  <si>
    <t>10.1111/hae.12954</t>
  </si>
  <si>
    <t>Safety, tolerability, and immunogenicity of a recombinant toxic shock syndrome toxin (rTSST)-1 variant vaccine: a randomised, double-blind, adjuvant-controlled, dose escalation first-in-man trial</t>
  </si>
  <si>
    <t>Schwameis M, Roppenser B, Firbas C, Gruener CS, Model N, Stich N, Roetzer A, Buchtele N, Jilma B, Eibl MM.</t>
  </si>
  <si>
    <t>Lancet Infect Dis. 2016 Sep;16(9):1036-1044. doi: 10.1016/S1473-3099(16)30115-3. Epub 2016 Jun 10.</t>
  </si>
  <si>
    <t>10.1016/S1473-3099(16)30115-3</t>
  </si>
  <si>
    <t>Transdermal Buprenorphine Relieves Neuropathic Pain: A Randomized, Double-Blind, Parallel-Group, Placebo-Controlled Trial in Diabetic Peripheral Neuropathic Pain</t>
  </si>
  <si>
    <t>Simpson RW, Wlodarczyk JH.</t>
  </si>
  <si>
    <t>Diabetes Care. 2016 Sep;39(9):1493-500. doi: 10.2337/dc16-0123. Epub 2016 Jun 16.</t>
  </si>
  <si>
    <t>10.2337/dc16-0123</t>
  </si>
  <si>
    <t>A double blind, randomized, placebo controlled trial of the efficacy, quality of life and safety of food allergen-specific sublingual immunotherapy in client owned dogs with adverse food reactions: a small pilot study</t>
  </si>
  <si>
    <t>Maina E, Cox E.</t>
  </si>
  <si>
    <t>Vet Dermatol. 2016 Oct;27(5):361-e91. doi: 10.1111/vde.12358. Epub 2016 Jul 18.</t>
  </si>
  <si>
    <t>Vet Dermatol</t>
  </si>
  <si>
    <t>10.1111/vde.12358</t>
  </si>
  <si>
    <t>Efficacy, Safety, and Tolerability of 4% 5-Fluorouracil Cream in a Novel Patented Aqueous Cream Containing Peanut Oil Once Daily Compared With 5% 5-Fluorouracil Cream Twice Daily: Meeting the Challenge in the Treatment of Actinic Keratosis</t>
  </si>
  <si>
    <t>Dohil MA.</t>
  </si>
  <si>
    <t>J Drugs Dermatol. 2016 Oct 1;15(10):1218-1224.</t>
  </si>
  <si>
    <t>Long term follow-up of "full metal jacket" of de novo coronary lesions with new generation Zotarolimus-eluting stents</t>
  </si>
  <si>
    <t>Durante A, Foglia Manzillo G, Burzotta F, Trani C, Aurigemma C, Summaria F, Patrizi R, Talarico GP, Latib A, Figini F, Romagnoli E, De Vita M, Fantoni C, My L, Larosa C, Manzoli A, Turturo M, Berni A, Corrado G.</t>
  </si>
  <si>
    <t>Int J Cardiol. 2016 Oct 15;221:1008-12. doi: 10.1016/j.ijcard.2016.07.050. Epub 2016 Jul 5.</t>
  </si>
  <si>
    <t>Int J Cardiol</t>
  </si>
  <si>
    <t>10.1016/j.ijcard.2016.07.050</t>
  </si>
  <si>
    <t>Passive immunization for influenza through antibody therapies, a review of the pipeline, challenges and potential applications</t>
  </si>
  <si>
    <t>Sparrow E, Friede M, Sheikh M, Torvaldsen S, Newall AT.</t>
  </si>
  <si>
    <t>Vaccine. 2016 Oct 26;34(45):5442-5448. doi: 10.1016/j.vaccine.2016.08.057. Epub 2016 Sep 9.</t>
  </si>
  <si>
    <t>10.1016/j.vaccine.2016.08.057</t>
  </si>
  <si>
    <t>Alternative agents to prophylactic platelet transfusion for preventing bleeding in people with thrombocytopenia due to chronic bone marrow failure: a meta-analysis and systematic review</t>
  </si>
  <si>
    <t>Desborough M, Hadjinicolaou AV, Chaimani A, Trivella M, Vyas P, Doree C, Hopewell S, Stanworth SJ, Estcourt LJ.</t>
  </si>
  <si>
    <t>Cochrane Database Syst Rev. 2016 Oct 31;10(10):CD012055. doi: 10.1002/14651858.CD012055.pub2.</t>
  </si>
  <si>
    <t>EMS71232</t>
  </si>
  <si>
    <t>10.1002/14651858.CD012055.pub2</t>
  </si>
  <si>
    <t>Ethical considerations and challenges in first-in-human research</t>
  </si>
  <si>
    <t>Koonrungsesomboon N, Laothavorn J, Karbwang J.</t>
  </si>
  <si>
    <t>Transl Res. 2016 Nov;177:6-18. doi: 10.1016/j.trsl.2016.05.006. Epub 2016 Jun 6.</t>
  </si>
  <si>
    <t>Transl Res</t>
  </si>
  <si>
    <t>10.1016/j.trsl.2016.05.006</t>
  </si>
  <si>
    <t>TRUST trial: BAY 86-6150 use in haemophilia with inhibitors and assessment for immunogenicity</t>
  </si>
  <si>
    <t>Mahlangu J, Paz P, Hardtke M, Aswad F, Schroeder J.</t>
  </si>
  <si>
    <t>Haemophilia. 2016 Nov;22(6):873-879. doi: 10.1111/hae.12994. Epub 2016 Aug 8.</t>
  </si>
  <si>
    <t>10.1111/hae.12994</t>
  </si>
  <si>
    <t>Skin Vaccination against Rotavirus Using Microneedles: Proof of Concept in Gnotobiotic Piglets</t>
  </si>
  <si>
    <t>Wang Y, Vlasova A, Velasquez DE, Saif LJ, Kandasamy S, Kochba E, Levin Y, Jiang B.</t>
  </si>
  <si>
    <t>PLoS One. 2016 Nov 8;11(11):e0166038. doi: 10.1371/journal.pone.0166038. eCollection 2016.</t>
  </si>
  <si>
    <t>10.1371/journal.pone.0166038</t>
  </si>
  <si>
    <t>Pertussis: Biology, epidemiology and prevention</t>
  </si>
  <si>
    <t>Saadatian-Elahi M, Plotkin S, Mills KHG, Halperin SA, McIntyre PB, Picot V, Louis J, Johnson DR.</t>
  </si>
  <si>
    <t>Vaccine. 2016 Nov 21;34(48):5819-5826. doi: 10.1016/j.vaccine.2016.10.029. Epub 2016 Oct 22.</t>
  </si>
  <si>
    <t>10.1016/j.vaccine.2016.10.029</t>
  </si>
  <si>
    <t>Acute kidney injury during colistin therapy: a prospective study in patients with extensively-drug resistant Acinetobacter baumannii infections</t>
  </si>
  <si>
    <t>Durante-Mangoni E, Andini R, Signoriello S, Cavezza G, Murino P, Buono S, De Cristofaro M, Taglialatela C, Bassetti M, Malacarne P, Petrosillo N, Corcione A, Viscoli C, Utili R, Gallo C.</t>
  </si>
  <si>
    <t>Clin Microbiol Infect. 2016 Dec;22(12):984-989. doi: 10.1016/j.cmi.2016.08.004. Epub 2016 Aug 18.</t>
  </si>
  <si>
    <t>Clin Microbiol Infect</t>
  </si>
  <si>
    <t>10.1016/j.cmi.2016.08.004</t>
  </si>
  <si>
    <t>Autologous stem cell-based therapy for sickle cell leg ulcer: a pilot study</t>
  </si>
  <si>
    <t>Meneses JV, Fortuna V, de Souza ES, Daltro GC, Meyer R, Minniti CP, Borojevic R.</t>
  </si>
  <si>
    <t>Br J Haematol. 2016 Dec;175(5):949-955. doi: 10.1111/bjh.14326. Epub 2016 Sep 8.</t>
  </si>
  <si>
    <t>10.1111/bjh.14326</t>
  </si>
  <si>
    <t>We think you can dance! A pilot randomised controlled trial of dance for nursing home residents with moderate to severe dementia</t>
  </si>
  <si>
    <t>Low LF, Carroll S, Merom D, Baker JR, Kochan N, Moran F, Brodaty H.</t>
  </si>
  <si>
    <t>Complement Ther Med. 2016 Dec;29:42-44. doi: 10.1016/j.ctim.2016.09.005. Epub 2016 Sep 5.</t>
  </si>
  <si>
    <t>10.1016/j.ctim.2016.09.005</t>
  </si>
  <si>
    <t>Combination of butylphthalide with umbilical mesenchymal stem cells for the treatment of delayed encephalopathy after carbon monoxide poisoning</t>
  </si>
  <si>
    <t>Wang H, Li Y, Wu Q, Xu C, Liu Q.</t>
  </si>
  <si>
    <t>Medicine (Baltimore). 2016 Dec;95(49):e5412. doi: 10.1097/MD.0000000000005412.</t>
  </si>
  <si>
    <t>Medicine (Baltimore)</t>
  </si>
  <si>
    <t>10.1097/MD.0000000000005412</t>
  </si>
  <si>
    <t>Association of smoking with myocardial injury and clinical outcome in patients undergoing mechanical reperfusion for ST-elevation myocardial infarction</t>
  </si>
  <si>
    <t>Reinstadler SJ, Eitel C, Fuernau G, de Waha S, Desch S, Mende M, Metzler B, Schuler G, Thiele H, Eitel I.</t>
  </si>
  <si>
    <t>Eur Heart J Cardiovasc Imaging. 2017 Jan;18(1):39-45. doi: 10.1093/ehjci/jew030. Epub 2016 Mar 13.</t>
  </si>
  <si>
    <t>Eur Heart J Cardiovasc Imaging</t>
  </si>
  <si>
    <t>10.1093/ehjci/jew030</t>
  </si>
  <si>
    <t>An Evaluation of Indian Consumers' Reporting of Suspected Adverse Drug Reactions with a Designated Reporting Form</t>
  </si>
  <si>
    <t>Rehan HS, Sah R, Gupta A, Nagar P.</t>
  </si>
  <si>
    <t>Curr Drug Saf. 2017;12(1):51-56. doi: 10.2174/1574886311666160518121033.</t>
  </si>
  <si>
    <t>10.2174/1574886311666160518121033</t>
  </si>
  <si>
    <t>Increased risk of severe infections in non-small-cell lung cancer patients treated with pemetrexed: a meta-analysis of randomized controlled trials</t>
  </si>
  <si>
    <t>Tong S, Fan K, Jiang K, Zhai W, Fang B, Wang SH, Wang JJ.</t>
  </si>
  <si>
    <t>Curr Med Res Opin. 2017 Jan;33(1):31-37. doi: 10.1080/03007995.2016.1232705. Epub 2016 Sep 22.</t>
  </si>
  <si>
    <t>10.1080/03007995.2016.1232705</t>
  </si>
  <si>
    <t>Vasopressin versus Norepinephrine in Patients with Vasoplegic Shock after Cardiac Surgery: The VANCS Randomized Controlled Trial</t>
  </si>
  <si>
    <t>Hajjar LA, Vincent JL, Barbosa Gomes Galas FR, Rhodes A, Landoni G, Osawa EA, Melo RR, Sundin MR, Grande SM, Gaiotto FA, Pomerantzeff PM, Dallan LO, Franco RA, Nakamura RE, Lisboa LA, de Almeida JP, Gerent AM, Souza DH, Gaiane MA, Fukushima JT, Park CL, Zambolim C, Rocha Ferreira GS, Strabelli TM, Fernandes FL, Camara L, Zeferino S, Santos VG, Piccioni MA, Jatene FB, Costa Auler JO Jr, Filho RK.</t>
  </si>
  <si>
    <t>Anesthesiology. 2017 Jan;126(1):85-93. doi: 10.1097/ALN.0000000000001434.</t>
  </si>
  <si>
    <t>10.1097/ALN.0000000000001434</t>
  </si>
  <si>
    <t>New-onset focal epilepsy in adults: Antiepileptic drug treatment</t>
  </si>
  <si>
    <t>Murthy JM.</t>
  </si>
  <si>
    <t>Neurol India. 2017;65(Supplement):S78-S82. doi: 10.4103/neuroindia.NI_69_17.</t>
  </si>
  <si>
    <t>Neurol India</t>
  </si>
  <si>
    <t>10.4103/neuroindia.NI_69_17</t>
  </si>
  <si>
    <t>Stem cell-derived retinal pigment epithelium transplantation for treatment of retinal disease</t>
  </si>
  <si>
    <t>Nommiste B, Fynes K, Tovell VE, Ramsden C, da Cruz L, Coffey P.</t>
  </si>
  <si>
    <t>Prog Brain Res. 2017;231:225-244. doi: 10.1016/bs.pbr.2017.03.003. Epub 2017 May 19.</t>
  </si>
  <si>
    <t>Prog Brain Res</t>
  </si>
  <si>
    <t>10.1016/bs.pbr.2017.03.003</t>
  </si>
  <si>
    <t>Zika Virus Disease</t>
  </si>
  <si>
    <t>Al-Afaleq AI.</t>
  </si>
  <si>
    <t>Saudi J Med Med Sci. 2017 Jan-Apr;5(1):2-8. doi: 10.4103/1658-631X.194260. Epub 2016 Nov 16.</t>
  </si>
  <si>
    <t>Saudi J Med Med Sci</t>
  </si>
  <si>
    <t>10.4103/1658-631X.194260</t>
  </si>
  <si>
    <t>Systemic immunization with rPotD reduces Streptococcus pneumoniae nasopharyngeal colonization in mice</t>
  </si>
  <si>
    <t>Converso TR, Goulart C, Rodriguez D, Darrieux M, Leite LC.</t>
  </si>
  <si>
    <t>Vaccine. 2017 Jan 3;35(1):149-155. doi: 10.1016/j.vaccine.2016.11.027. Epub 2016 Nov 21.</t>
  </si>
  <si>
    <t>10.1016/j.vaccine.2016.11.027</t>
  </si>
  <si>
    <t>Safety, tolerability, and immunogenicity of a single dose 4-antigen or 3-antigen Staphylococcus aureus vaccine in healthy older adults: Results of a randomised trial</t>
  </si>
  <si>
    <t>Creech CB, Frenck RW Jr, Sheldon EA, Seiden DJ, Kankam MK, Zito ET, Girgenti D, Severs JM, Immermann FW, McNeil LK, Cooper D, Jansen KU, Gruber W, Eiden J, Anderson AS, Baber J.</t>
  </si>
  <si>
    <t>Vaccine. 2017 Jan 5;35(2):385-394. doi: 10.1016/j.vaccine.2016.11.032. Epub 2016 Nov 17.</t>
  </si>
  <si>
    <t>10.1016/j.vaccine.2016.11.032</t>
  </si>
  <si>
    <t>Efficacy, safety and effectiveness of licensed rotavirus vaccines: a systematic review and meta-analysis for Latin America and the Caribbean</t>
  </si>
  <si>
    <t>Velázquez RF, Linhares AC, Muñoz S, Seron P, Lorca P, DeAntonio R, Ortega-Barria E.</t>
  </si>
  <si>
    <t>BMC Pediatr. 2017 Jan 13;17(1):14. doi: 10.1186/s12887-016-0771-y.</t>
  </si>
  <si>
    <t>10.1186/s12887-016-0771-y</t>
  </si>
  <si>
    <t>Two-step egg introduction for prevention of egg allergy in high-risk infants with eczema (PETIT): a randomised, double-blind, placebo-controlled trial</t>
  </si>
  <si>
    <t>Natsume O, Kabashima S, Nakazato J, Yamamoto-Hanada K, Narita M, Kondo M, Saito M, Kishino A, Takimoto T, Inoue E, Tang J, Kido H, Wong GW, Matsumoto K, Saito H, Ohya Y; PETIT Study Team.</t>
  </si>
  <si>
    <t>Lancet. 2017 Jan 21;389(10066):276-286. doi: 10.1016/S0140-6736(16)31418-0. Epub 2016 Dec 9.</t>
  </si>
  <si>
    <t>10.1016/S0140-6736(16)31418-0</t>
  </si>
  <si>
    <t>Incorporation and Remodeling of Bone Block Allografts in the Maxillary Reconstruction: A Randomized Clinical Trial</t>
  </si>
  <si>
    <t>Deluiz D, Santos Oliveira L, Ramôa Pires F, Reiner T, Armada L, Nunes MA, Muniz Barretto Tinoco E.</t>
  </si>
  <si>
    <t>Clin Implant Dent Relat Res. 2017 Feb;19(1):180-194. doi: 10.1111/cid.12441. Epub 2016 Sep 8.</t>
  </si>
  <si>
    <t>Clin Implant Dent Relat Res</t>
  </si>
  <si>
    <t>10.1111/cid.12441</t>
  </si>
  <si>
    <t>Impact of elosulfase alfa in patients with morquio A syndrome who have limited ambulation: An open-label, phase 2 study</t>
  </si>
  <si>
    <t>Harmatz PR, Mengel E, Geberhiwot T, Muschol N, Hendriksz CJ, Burton BK, Jameson E, Berger KI, Jester A, Treadwell M, Sisic Z, Decker C.</t>
  </si>
  <si>
    <t>Am J Med Genet A. 2017 Feb;173(2):375-383. doi: 10.1002/ajmg.a.38014. Epub 2016 Oct 24.</t>
  </si>
  <si>
    <t>Am J Med Genet A</t>
  </si>
  <si>
    <t>10.1002/ajmg.a.38014</t>
  </si>
  <si>
    <t>Double-blind placebo-controlled challenge showed that peanut oral immunotherapy was effective for severe allergy without negative effects on airway inflammation</t>
  </si>
  <si>
    <t>Kukkonen AK, Uotila R, Malmberg LP, Pelkonen AS, Mäkelä MJ.</t>
  </si>
  <si>
    <t>Acta Paediatr. 2017 Feb;106(2):274-281. doi: 10.1111/apa.13668.</t>
  </si>
  <si>
    <t>Acta Paediatr</t>
  </si>
  <si>
    <t>10.1111/apa.13668</t>
  </si>
  <si>
    <t>Clinical and Psychosocial Outcomes of a Structured Transition Program Among Young Adults With Type 1 Diabetes</t>
  </si>
  <si>
    <t>Pyatak EA, Sequeira PA, Vigen CL, Weigensberg MJ, Wood JR, Montoya L, Ruelas V, Peters AL.</t>
  </si>
  <si>
    <t>J Adolesc Health. 2017 Feb;60(2):212-218. doi: 10.1016/j.jadohealth.2016.09.004. Epub 2016 Nov 23.</t>
  </si>
  <si>
    <t>J Adolesc Health</t>
  </si>
  <si>
    <t>NIHMS818914</t>
  </si>
  <si>
    <t>10.1016/j.jadohealth.2016.09.004</t>
  </si>
  <si>
    <t>Assessment of Safety and Efficacy of Safinamide as a Levodopa Adjunct in Patients With Parkinson Disease and Motor Fluctuations: A Randomized Clinical Trial</t>
  </si>
  <si>
    <t>Schapira AH, Fox SH, Hauser RA, Jankovic J, Jost WH, Kenney C, Kulisevsky J, Pahwa R, Poewe W, Anand R.</t>
  </si>
  <si>
    <t>JAMA Neurol. 2017 Feb 1;74(2):216-224. doi: 10.1001/jamaneurol.2016.4467.</t>
  </si>
  <si>
    <t>JAMA Neurol</t>
  </si>
  <si>
    <t>10.1001/jamaneurol.2016.4467</t>
  </si>
  <si>
    <t>Correlation between severe infection and breast cancer metastases in the EORTC 10994/BIG 1-00 trial: Investigating innate immunity as a tumour suppressor in breast cancer</t>
  </si>
  <si>
    <t>Touati N, Tryfonidis K, Caramia F, Bonnefoi H, Cameron D, Slaets L, Parker BS, Loi S.</t>
  </si>
  <si>
    <t>Eur J Cancer. 2017 Feb;72:95-102. doi: 10.1016/j.ejca.2016.11.015. Epub 2016 Dec 24.</t>
  </si>
  <si>
    <t>10.1016/j.ejca.2016.11.015</t>
  </si>
  <si>
    <t>A Multicenter Study of Early Anti-inflammatory Treatment in Patients With Acute Anterior Cruciate Ligament Tear</t>
  </si>
  <si>
    <t>Lattermann C, Jacobs CA, Proffitt Bunnell M, Huston LJ, Gammon LG, Johnson DL, Reinke EK, Huebner JL, Kraus VB, Spindler KP.</t>
  </si>
  <si>
    <t>Am J Sports Med. 2017 Feb;45(2):325-333. doi: 10.1177/0363546516666818. Epub 2016 Oct 7.</t>
  </si>
  <si>
    <t>Am J Sports Med</t>
  </si>
  <si>
    <t>10.1177/0363546516666818</t>
  </si>
  <si>
    <t>Selective versus routine use of episiotomy for vaginal birth</t>
  </si>
  <si>
    <t>Jiang H, Qian X, Carroli G, Garner P.</t>
  </si>
  <si>
    <t>Cochrane Database Syst Rev. 2017 Feb 8;2(2):CD000081. doi: 10.1002/14651858.CD000081.pub3.</t>
  </si>
  <si>
    <t>10.1002/14651858.CD000081.pub3</t>
  </si>
  <si>
    <t>Pilot, double-blind, randomized, placebo-controlled clinical trial of the supplement food Nyaditum resae® in adults with or without latent TB infection: Safety and immunogenicity</t>
  </si>
  <si>
    <t>Montané E, Barriocanal AM, Arellano AL, Valderrama A, Sanz Y, Perez-Alvarez N, Cardona P, Vilaplana C, Cardona PJ.</t>
  </si>
  <si>
    <t>PLoS One. 2017 Feb 9;12(2):e0171294. doi: 10.1371/journal.pone.0171294. eCollection 2017.</t>
  </si>
  <si>
    <t>10.1371/journal.pone.0171294</t>
  </si>
  <si>
    <t>Masitinib for treatment of severely symptomatic indolent systemic mastocytosis: a randomised, placebo-controlled, phase 3 study</t>
  </si>
  <si>
    <t>Lortholary O, Chandesris MO, Bulai Livideanu C, Paul C, Guillet G, Jassem E, Niedoszytko M, Barete S, Verstovsek S, Grattan C, Damaj G, Canioni D, Fraitag S, Lhermitte L, Georgin Lavialle S, Frenzel L, Afrin LB, Hanssens K, Agopian J, Gaillard R, Kinet JP, Auclair C, Mansfield C, Moussy A, Dubreuil P, Hermine O.</t>
  </si>
  <si>
    <t>Lancet. 2017 Feb 11;389(10069):612-620. doi: 10.1016/S0140-6736(16)31403-9. Epub 2017 Jan 7.</t>
  </si>
  <si>
    <t>NIHMS969259</t>
  </si>
  <si>
    <t>10.1016/S0140-6736(16)31403-9</t>
  </si>
  <si>
    <t>Advances in Continuous Flow Left Ventricular Assist Device Support for End-Stage Heart Failure: A Therapy in Evolution</t>
  </si>
  <si>
    <t>Saeed O, Jorde UP.</t>
  </si>
  <si>
    <t>Cardiol Rev. 2017 Mar/Apr;25(2):84-88. doi: 10.1097/CRD.0000000000000117.</t>
  </si>
  <si>
    <t>10.1097/CRD.0000000000000117</t>
  </si>
  <si>
    <t>Eliciting the child's voice in adverse event reporting in oncology trials: Cognitive interview findings from the Pediatric Patient-Reported Outcomes version of the Common Terminology Criteria for Adverse Events initiative</t>
  </si>
  <si>
    <t>Reeve BB, McFatrich M, Pinheiro LC, Weaver MS, Sung L, Withycombe JS, Baker JN, Mack JW, Waldron MK, Gibson D, Tomlinson D, Freyer DR, Mowbray C, Jacobs S, Palma D, Martens CE, Gold SH, Jackson KD, Hinds PS.</t>
  </si>
  <si>
    <t>Pediatr Blood Cancer. 2017 Mar;64(3):10.1002/pbc.26261. doi: 10.1002/pbc.26261. Epub 2016 Sep 21.</t>
  </si>
  <si>
    <t>NIHMS843685</t>
  </si>
  <si>
    <t>10.1002/pbc.26261</t>
  </si>
  <si>
    <t>Long-term adherence to topical psoriasis treatment can be abysmal: a 1-year randomized intervention study using objective electronic adherence monitoring</t>
  </si>
  <si>
    <t>Alinia H, Moradi Tuchayi S, Smith JA, Richardson IM, Bahrami N, Jaros SC, Sandoval LF, Farhangian ME, Anderson KL, Huang KE, Feldman SR.</t>
  </si>
  <si>
    <t>Br J Dermatol. 2017 Mar;176(3):759-764. doi: 10.1111/bjd.15085. Epub 2016 Nov 29.</t>
  </si>
  <si>
    <t>10.1111/bjd.15085</t>
  </si>
  <si>
    <t>How to make insulin-producing pancreatic β cells for diabetes treatment</t>
  </si>
  <si>
    <t>Lu J, Xia Q, Zhou Q.</t>
  </si>
  <si>
    <t>Sci China Life Sci. 2017 Mar;60(3):239-248. doi: 10.1007/s11427-016-0211-3. Epub 2016 Oct 27.</t>
  </si>
  <si>
    <t>Sci China Life Sci</t>
  </si>
  <si>
    <t>10.1007/s11427-016-0211-3</t>
  </si>
  <si>
    <t>Efficacy and safety of high-dose rush oral immunotherapy in persistent egg allergic children: A randomized clinical trial</t>
  </si>
  <si>
    <t>Pérez-Rangel I, Rodríguez Del Río P, Escudero C, Sánchez-García S, Sánchez-Hernández JJ, Ibáñez MD.</t>
  </si>
  <si>
    <t>Ann Allergy Asthma Immunol. 2017 Mar;118(3):356-364.e3. doi: 10.1016/j.anai.2016.11.023. Epub 2017 Jan 10.</t>
  </si>
  <si>
    <t>10.1016/j.anai.2016.11.023</t>
  </si>
  <si>
    <t>Antibiotic treatment for Clostridium difficile-associated diarrhoea in adults</t>
  </si>
  <si>
    <t>Nelson RL, Suda KJ, Evans CT.</t>
  </si>
  <si>
    <t>Cochrane Database Syst Rev. 2017 Mar 3;3(3):CD004610. doi: 10.1002/14651858.CD004610.pub5.</t>
  </si>
  <si>
    <t>10.1002/14651858.CD004610.pub5</t>
  </si>
  <si>
    <t>Immunogenicity and safety of an AS03-adjuvanted H7N1 vaccine in healthy adults: A phase I/II, observer-blind, randomized, controlled trial</t>
  </si>
  <si>
    <t>Madan A, Ferguson M, Sheldon E, Segall N, Chu L, Toma A, Rheault P, Friel D, Soni J, Li P, Innis BL, Schuind A.</t>
  </si>
  <si>
    <t>Vaccine. 2017 Mar 7;35(10):1431-1439. doi: 10.1016/j.vaccine.2017.01.054. Epub 2017 Feb 7.</t>
  </si>
  <si>
    <t>10.1016/j.vaccine.2017.01.054</t>
  </si>
  <si>
    <t>Effect of ileal bile acid transporter inhibitor GSK2330672 on pruritus in primary biliary cholangitis: a double-blind, randomised, placebo-controlled, crossover, phase 2a study</t>
  </si>
  <si>
    <t>Hegade VS, Kendrick SF, Dobbins RL, Miller SR, Thompson D, Richards D, Storey J, Dukes GE, Corrigan M, Oude Elferink RP, Beuers U, Hirschfield GM, Jones DE.</t>
  </si>
  <si>
    <t>Lancet. 2017 Mar 18;389(10074):1114-1123. doi: 10.1016/S0140-6736(17)30319-7. Epub 2017 Feb 8.</t>
  </si>
  <si>
    <t>10.1016/S0140-6736(17)30319-7</t>
  </si>
  <si>
    <t>Pharmacological interventions for acute hepatitis B infection: an attempted network meta-analysis</t>
  </si>
  <si>
    <t>Mantzoukis K, Rodríguez-Perálvarez M, Buzzetti E, Thorburn D, Davidson BR, Tsochatzis E, Gurusamy KS.</t>
  </si>
  <si>
    <t>Cochrane Database Syst Rev. 2017 Mar 21;3(3):CD011645. doi: 10.1002/14651858.CD011645.pub2.</t>
  </si>
  <si>
    <t>10.1002/14651858.CD011645.pub2</t>
  </si>
  <si>
    <t>Psychological therapies for the treatment of anxiety disorders in chronic obstructive pulmonary disease</t>
  </si>
  <si>
    <t>Usmani ZA, Carson KV, Heslop K, Esterman AJ, De Soyza A, Smith BJ.</t>
  </si>
  <si>
    <t>Cochrane Database Syst Rev. 2017 Mar 21;3(3):CD010673. doi: 10.1002/14651858.CD010673.pub2.</t>
  </si>
  <si>
    <t>10.1002/14651858.CD010673.pub2</t>
  </si>
  <si>
    <t>AZALEP a randomized controlled trial of azathioprine to treat leprosy nerve damage and Type 1 reactions in India: Main findings</t>
  </si>
  <si>
    <t>Lockwood DN, Darlong J, Govindharaj P, Kurian R, Sundarrao P, John AS.</t>
  </si>
  <si>
    <t>PLoS Negl Trop Dis. 2017 Mar 30;11(3):e0005348. doi: 10.1371/journal.pntd.0005348. eCollection 2017 Mar.</t>
  </si>
  <si>
    <t>10.1371/journal.pntd.0005348</t>
  </si>
  <si>
    <t>Rifaximin Reduces the Number and Severity of Intestinal Lesions Associated With Use of Nonsteroidal Anti-Inflammatory Drugs in Humans</t>
  </si>
  <si>
    <t>Scarpignato C, Dolak W, Lanas A, Matzneller P, Renzulli C, Grimaldi M, Zeitlinger M, Bjarnason I.</t>
  </si>
  <si>
    <t>Gastroenterology. 2017 Apr;152(5):980-982.e3. doi: 10.1053/j.gastro.2016.12.007. Epub 2016 Dec 19.</t>
  </si>
  <si>
    <t>10.1053/j.gastro.2016.12.007</t>
  </si>
  <si>
    <t>Cognitive Interview-Based Validation of the Patient-Reported Outcomes Version of the Common Terminology Criteria for Adverse Events in Adolescents with Cancer</t>
  </si>
  <si>
    <t>Reeve BB, McFatrich M, Pinheiro LC, Freyer DR, Basch EM, Baker JN, Withycombe JS, Sung L, Mack JW, Waldron MK, Mowbray C, Palma D, Hinds PS.</t>
  </si>
  <si>
    <t>J Pain Symptom Manage. 2017 Apr;53(4):759-766. doi: 10.1016/j.jpainsymman.2016.11.006. Epub 2017 Jan 3.</t>
  </si>
  <si>
    <t>J Pain Symptom Manage</t>
  </si>
  <si>
    <t>NIHMS843708</t>
  </si>
  <si>
    <t>10.1016/j.jpainsymman.2016.11.006</t>
  </si>
  <si>
    <t>Efficacy and safety of once-weekly semaglutide monotherapy versus placebo in patients with type 2 diabetes (SUSTAIN 1): a double-blind, randomised, placebo-controlled, parallel-group, multinational, multicentre phase 3a trial</t>
  </si>
  <si>
    <t>Sorli C, Harashima SI, Tsoukas GM, Unger J, Karsbøl JD, Hansen T, Bain SC.</t>
  </si>
  <si>
    <t>Lancet Diabetes Endocrinol. 2017 Apr;5(4):251-260. doi: 10.1016/S2213-8587(17)30013-X. Epub 2017 Jan 17.</t>
  </si>
  <si>
    <t>Lancet Diabetes Endocrinol</t>
  </si>
  <si>
    <t>10.1016/S2213-8587(17)30013-X</t>
  </si>
  <si>
    <t>Single- and Multiple-Dose Study To Determine the Safety, Tolerability, Pharmacokinetics, and Food Effect of Oral MRX-I versus Linezolid in Healthy Adult Subjects</t>
  </si>
  <si>
    <t>Eckburg PB, Ge Y, Hafkin B.</t>
  </si>
  <si>
    <t>Antimicrob Agents Chemother. 2017 Mar 24;61(4):e02181-16. doi: 10.1128/AAC.02181-16. Print 2017 Apr.</t>
  </si>
  <si>
    <t>10.1128/AAC.02181-16</t>
  </si>
  <si>
    <t>Avoiding diagnostic pitfalls in neuropsychiatric lupus: the importance of attribution</t>
  </si>
  <si>
    <t>Lupus. 2017 Apr;26(5):497-503. doi: 10.1177/0961203317690244.</t>
  </si>
  <si>
    <t>Lupus</t>
  </si>
  <si>
    <t>10.1177/0961203317690244</t>
  </si>
  <si>
    <t>Immunogenicity and safety of an AS03-adjuvanted H7N1 vaccine in adults 65years of age and older: A phase II, observer-blind, randomized, controlled trial</t>
  </si>
  <si>
    <t>Madan A, Ferguson M, Rheault P, Seiden D, Toma A, Friel D, Soni J, Li P, Innis BL, Schuind A.</t>
  </si>
  <si>
    <t>Vaccine. 2017 Apr 4;35(15):1865-1872. doi: 10.1016/j.vaccine.2017.02.057. Epub 2017 Mar 13.</t>
  </si>
  <si>
    <t>10.1016/j.vaccine.2017.02.057</t>
  </si>
  <si>
    <t>Pharmacological interventions for acute pancreatitis</t>
  </si>
  <si>
    <t>Moggia E, Koti R, Belgaumkar AP, Fazio F, Pereira SP, Davidson BR, Gurusamy KS.</t>
  </si>
  <si>
    <t>Cochrane Database Syst Rev. 2017 Apr 21;4(4):CD011384. doi: 10.1002/14651858.CD011384.pub2.</t>
  </si>
  <si>
    <t>10.1002/14651858.CD011384.pub2</t>
  </si>
  <si>
    <t>Antibiotics Versus Surgical Therapy for Uncomplicated Appendicitis: Systematic Review and Meta-analysis of Controlled Trials (PROSPERO 2015: CRD42015016882)</t>
  </si>
  <si>
    <t>Harnoss JC, Zelienka I, Probst P, Grummich K, Müller-Lantzsch C, Harnoss JM, Ulrich A, Büchler MW, Diener MK.</t>
  </si>
  <si>
    <t>Ann Surg. 2017 May;265(5):889-900. doi: 10.1097/SLA.0000000000002039.</t>
  </si>
  <si>
    <t>10.1097/SLA.0000000000002039</t>
  </si>
  <si>
    <t>New risk and protective factors for severe hypoglycaemia in people with type 1 diabetes</t>
  </si>
  <si>
    <t>Wohland T, Holstein JD, Patzer OM, Mende M, Tiemann T, Koch-Tessarek C, Kovacs P, Holstein A.</t>
  </si>
  <si>
    <t>Nutr Metab Cardiovasc Dis. 2017 May;27(5):407-414. doi: 10.1016/j.numecd.2016.12.006. Epub 2016 Dec 24.</t>
  </si>
  <si>
    <t>Nutr Metab Cardiovasc Dis</t>
  </si>
  <si>
    <t>10.1016/j.numecd.2016.12.006</t>
  </si>
  <si>
    <t>Oral antiplatelet drugs in patients with chronic kidney disease (CKD): a review</t>
  </si>
  <si>
    <t>Ibrahim H, Rao SV.</t>
  </si>
  <si>
    <t>J Thromb Thrombolysis. 2017 May;43(4):519-527. doi: 10.1007/s11239-017-1483-3.</t>
  </si>
  <si>
    <t>10.1007/s11239-017-1483-3</t>
  </si>
  <si>
    <t>Safety and immunogenicity of the Na-GST-1 hookworm vaccine in Brazilian and American adults</t>
  </si>
  <si>
    <t>Diemert DJ, Freire J, Valente V, Fraga CG, Talles F, Grahek S, Campbell D, Jariwala A, Periago MV, Enk M, Gazzinelli MF, Bottazzi ME, Hamilton R, Brelsford J, Yakovleva A, Li G, Peng J, Correa-Oliveira R, Hotez P, Bethony J.</t>
  </si>
  <si>
    <t>PLoS Negl Trop Dis. 2017 May 2;11(5):e0005574. doi: 10.1371/journal.pntd.0005574. eCollection 2017 May.</t>
  </si>
  <si>
    <t>10.1371/journal.pntd.0005574</t>
  </si>
  <si>
    <t>Platelet desialylation is a novel mechanism and a therapeutic target in thrombocytopenia during sepsis: an open-label, multicenter, randomized controlled trial</t>
  </si>
  <si>
    <t>Li MF, Li XL, Fan KL, Yu YY, Gong J, Geng SY, Liang YF, Huang L, Qiu JH, Tian XH, Wang WT, Zhang XL, Yu QX, Zhang YF, Lin P, Wang LN, Li X, Hou M, Liu LY, Peng J.</t>
  </si>
  <si>
    <t>J Hematol Oncol. 2017 May 11;10(1):104. doi: 10.1186/s13045-017-0476-1.</t>
  </si>
  <si>
    <t>J Hematol Oncol</t>
  </si>
  <si>
    <t>10.1186/s13045-017-0476-1</t>
  </si>
  <si>
    <t>Results of an International Postmarketing Surveillance Study of pl-VEGF165 Safety and Efficacy in 210 Patients with Peripheral Arterial Disease</t>
  </si>
  <si>
    <t>Deev R, Plaksa I, Bozo I, Isaev A.</t>
  </si>
  <si>
    <t>Am J Cardiovasc Drugs. 2017 Jun;17(3):235-242. doi: 10.1007/s40256-016-0210-3.</t>
  </si>
  <si>
    <t>10.1007/s40256-016-0210-3</t>
  </si>
  <si>
    <t>Use of nanofractional radiofrequency for the treatment of acne scars in Indian skin</t>
  </si>
  <si>
    <t>Goel A, Gatne V.</t>
  </si>
  <si>
    <t>J Cosmet Dermatol. 2017 Jun;16(2):186-192. doi: 10.1111/jocd.12311. Epub 2017 Mar 23.</t>
  </si>
  <si>
    <t>10.1111/jocd.12311</t>
  </si>
  <si>
    <t>Dexamethasone for Parapneumonic Pleural Effusion: A Randomized, Double-Blind, Clinical Trial</t>
  </si>
  <si>
    <t>Tagarro A, Otheo E, Baquero-Artigao F, Navarro ML, Velasco R, Ruiz M, Penín M, Moreno D, Rojo P, Madero R; CORTEEC Study Group.</t>
  </si>
  <si>
    <t>J Pediatr. 2017 Jun;185:117-123.e6. doi: 10.1016/j.jpeds.2017.02.043. Epub 2017 Mar 28.</t>
  </si>
  <si>
    <t>J Pediatr</t>
  </si>
  <si>
    <t>10.1016/j.jpeds.2017.02.043</t>
  </si>
  <si>
    <t>Associations between levels of insulin-like growth factor 1 and sinusoidal obstruction syndrome after allogeneic haematopoietic stem cell transplantation</t>
  </si>
  <si>
    <t>Weischendorff S, Kielsen K, Sengeløv H, Jordan K, Nielsen CH, Pedersen AE, Ryder LP, Juul A, Müller KG.</t>
  </si>
  <si>
    <t>Bone Marrow Transplant. 2017 Jun;52(6):863-869. doi: 10.1038/bmt.2017.43. Epub 2017 Apr 24.</t>
  </si>
  <si>
    <t>10.1038/bmt.2017.43</t>
  </si>
  <si>
    <t>Outpatient Closed-Loop Control with Unannounced Moderate Exercise in Adolescents Using Zone Model Predictive Control</t>
  </si>
  <si>
    <t>Huyett LM, Ly TT, Forlenza GP, Reuschel-DiVirgilio S, Messer LH, Wadwa RP, Gondhalekar R, Doyle FJ 3rd, Pinsker JE, Maahs DM, Buckingham BA, Dassau E.</t>
  </si>
  <si>
    <t>Diabetes Technol Ther. 2017 Jun;19(6):331-339. doi: 10.1089/dia.2016.0399. Epub 2017 May 1.</t>
  </si>
  <si>
    <t>Diabetes Technol Ther</t>
  </si>
  <si>
    <t>10.1089/dia.2016.0399</t>
  </si>
  <si>
    <t>Keratinocyte growth factor for the treatment of the acute respiratory distress syndrome (KARE): a randomised, double-blind, placebo-controlled phase 2 trial</t>
  </si>
  <si>
    <t>McAuley DF, Cross LM, Hamid U, Gardner E, Elborn JS, Cullen KM, Dushianthan A, Grocott MP, Matthay MA, O'Kane CM.</t>
  </si>
  <si>
    <t>Lancet Respir Med. 2017 Jun;5(6):484-491. doi: 10.1016/S2213-2600(17)30171-6. Epub 2017 May 16.</t>
  </si>
  <si>
    <t>10.1016/S2213-2600(17)30171-6</t>
  </si>
  <si>
    <t>An 8-Week Neuromuscular Exercise Program for Patients With Mild to Moderate Knee Osteoarthritis: A Case Series Drawn From a Registered Clinical Trial</t>
  </si>
  <si>
    <t>Clausen B, Holsgaard-Larsen A, Roos EM.</t>
  </si>
  <si>
    <t>J Athl Train. 2017 Jun 2;52(6):592-605. doi: 10.4085/1062-6050-52.5.06.</t>
  </si>
  <si>
    <t>J Athl Train</t>
  </si>
  <si>
    <t>10.4085/1062-6050-52.5.06</t>
  </si>
  <si>
    <t>The STOP-AB trial protocol: efficacy and safety of discontinuing patient antibiotic treatment when physicians no longer consider it necessary</t>
  </si>
  <si>
    <t>Llor C, Moragas A, Bayona C, Cots JM, Molero JM, Ribas J, Fóthy JF, Gutiérrez I, Sánchez C, Ortega J, Arranz J, Botanes J, Robles P.</t>
  </si>
  <si>
    <t>BMJ Open. 2017 Jun 6;7(5):e015814. doi: 10.1136/bmjopen-2016-015814.</t>
  </si>
  <si>
    <t>10.1136/bmjopen-2016-015814</t>
  </si>
  <si>
    <t>Preclinical and Clinical Demonstration of Immunogenicity by mRNA Vaccines against H10N8 and H7N9 Influenza Viruses</t>
  </si>
  <si>
    <t>Bahl K, Senn JJ, Yuzhakov O, Bulychev A, Brito LA, Hassett KJ, Laska ME, Smith M, Almarsson Ö, Thompson J, Ribeiro AM, Watson M, Zaks T, Ciaramella G.</t>
  </si>
  <si>
    <t>Mol Ther. 2017 Jun 7;25(6):1316-1327. doi: 10.1016/j.ymthe.2017.03.035. Epub 2017 Apr 27.</t>
  </si>
  <si>
    <t>10.1016/j.ymthe.2017.03.035</t>
  </si>
  <si>
    <t>Early palliative care for adults with advanced cancer</t>
  </si>
  <si>
    <t>Haun MW, Estel S, Rücker G, Friederich HC, Villalobos M, Thomas M, Hartmann M.</t>
  </si>
  <si>
    <t>Cochrane Database Syst Rev. 2017 Jun 12;6(6):CD011129. doi: 10.1002/14651858.CD011129.pub2.</t>
  </si>
  <si>
    <t>10.1002/14651858.CD011129.pub2</t>
  </si>
  <si>
    <t>Arbaclofen in fragile X syndrome: results of phase 3 trials</t>
  </si>
  <si>
    <t>Berry-Kravis E, Hagerman R, Visootsak J, Budimirovic D, Kaufmann WE, Cherubini M, Zarevics P, Walton-Bowen K, Wang P, Bear MF, Carpenter RL.</t>
  </si>
  <si>
    <t>J Neurodev Disord. 2017 Jun 12;9:3. doi: 10.1186/s11689-016-9181-6. eCollection 2017.</t>
  </si>
  <si>
    <t>J Neurodev Disord</t>
  </si>
  <si>
    <t>10.1186/s11689-016-9181-6</t>
  </si>
  <si>
    <t>Stroke minimization through additive anti-atherosclerotic agents in routine treatment (SMAART): A pilot trial concept for improving stroke outcomes in sub-Saharan Africa</t>
  </si>
  <si>
    <t>Sarfo FS, Ovbiagele B.</t>
  </si>
  <si>
    <t>J Neurol Sci. 2017 Jun 15;377:167-173. doi: 10.1016/j.jns.2017.04.012. Epub 2017 Apr 12.</t>
  </si>
  <si>
    <t>J Neurol Sci</t>
  </si>
  <si>
    <t>10.1016/j.jns.2017.04.012</t>
  </si>
  <si>
    <t>Synchronous cardiocerebral infarction in the era of endovascular therapy: which to treat first?</t>
  </si>
  <si>
    <t>Yeo LLL, Andersson T, Yee KW, Tan BYQ, Paliwal P, Gopinathan A, Nadarajah M, Ting E, Teoh HL, Cherian R, Lundström E, Tay ELW, Sharma VK.</t>
  </si>
  <si>
    <t>J Thromb Thrombolysis. 2017 Jul;44(1):104-111. doi: 10.1007/s11239-017-1484-2.</t>
  </si>
  <si>
    <t>10.1007/s11239-017-1484-2</t>
  </si>
  <si>
    <t>C-reactive protein and cold-pressor tolerance in the general population: the Tromsø Study</t>
  </si>
  <si>
    <t>Schistad EI, Stubhaug A, Furberg AS, Engdahl BL, Nielsen CS.</t>
  </si>
  <si>
    <t>Pain. 2017 Jul;158(7):1280-1288. doi: 10.1097/j.pain.0000000000000912.</t>
  </si>
  <si>
    <t>Pain</t>
  </si>
  <si>
    <t>10.1097/j.pain.0000000000000912</t>
  </si>
  <si>
    <t>Protective Efficacies of Formaldehyde-Inactivated Whole-Virus Vaccine and Antivirals in a Murine Model of Coxsackievirus A10 Infection</t>
  </si>
  <si>
    <t>Zhang Z, Dong Z, Li J, Carr MJ, Zhuang D, Wang J, Zhang Y, Ding S, Tong Y, Li D, Shi W.</t>
  </si>
  <si>
    <t>J Virol. 2017 Jun 9;91(13):e00333-17. doi: 10.1128/JVI.00333-17. Print 2017 Jul 1.</t>
  </si>
  <si>
    <t>10.1128/JVI.00333-17</t>
  </si>
  <si>
    <t>Appropriate endpoints for evaluation of new antibiotic therapies for severe infections: a perspective from COMBACTE's STAT-Net</t>
  </si>
  <si>
    <t>Timsit JF, de Kraker MEA, Sommer H, Weiss E, Bettiol E, Wolkewitz M, Nikolakopoulos S, Wilson D, Harbarth S; COMBACTE-NET consortium.</t>
  </si>
  <si>
    <t>Intensive Care Med. 2017 Jul;43(7):1002-1012. doi: 10.1007/s00134-017-4802-4. Epub 2017 May 2.</t>
  </si>
  <si>
    <t>10.1007/s00134-017-4802-4</t>
  </si>
  <si>
    <t>The role of comorbidity in the management and prognosis in nonsmall cell lung cancer: a population-based study</t>
  </si>
  <si>
    <t>Nilsson J, Berglund A, Bergström S, Bergqvist M, Lambe M.</t>
  </si>
  <si>
    <t>Acta Oncol. 2017 Jul;56(7):949-956. doi: 10.1080/0284186X.2017.1324213. Epub 2017 May 9.</t>
  </si>
  <si>
    <t>Acta Oncol</t>
  </si>
  <si>
    <t>10.1080/0284186X.2017.1324213</t>
  </si>
  <si>
    <t>Association of Vegetable Nitrate Intake With Carotid Atherosclerosis and Ischemic Cerebrovascular Disease in Older Women</t>
  </si>
  <si>
    <t>Bondonno CP, Blekkenhorst LC, Prince RL, Ivey KL, Lewis JR, Devine A, Woodman RJ, Lundberg JO, Croft KD, Thompson PL, Hodgson JM.</t>
  </si>
  <si>
    <t>Stroke. 2017 Jul;48(7):1724-1729. doi: 10.1161/STROKEAHA.117.016844. Epub 2017 Jun 8.</t>
  </si>
  <si>
    <t>Stroke</t>
  </si>
  <si>
    <t>10.1161/STROKEAHA.117.016844</t>
  </si>
  <si>
    <t>Comparative Efficacy of Intramuscular and Scarification Routes of Administration of Live Smallpox Vaccine in a Murine Challenge Model</t>
  </si>
  <si>
    <t>Phelps A, Gates AJ, Eastaugh L, Hillier M, Ulaeto DO.</t>
  </si>
  <si>
    <t>Vaccine. 2017 Jul 5;35(31):3889-3896. doi: 10.1016/j.vaccine.2017.05.058. Epub 2017 Jun 9.</t>
  </si>
  <si>
    <t>10.1016/j.vaccine.2017.05.058</t>
  </si>
  <si>
    <t>Use of the ShangRing circumcision device in boys below 18 years old in Kenya: results from a pilot study</t>
  </si>
  <si>
    <t>Awori QD, Lee RK, Li PS, Moguche JN, Ouma D, Sambai B, Goldstein M, Barone MA.</t>
  </si>
  <si>
    <t>J Int AIDS Soc. 2017 Jul 12;20(1):21588. doi: 10.7448/IAS.20.1.21588.</t>
  </si>
  <si>
    <t>J Int AIDS Soc</t>
  </si>
  <si>
    <t>10.7448/IAS.20.1.21588</t>
  </si>
  <si>
    <t>Medulloblastoma: From Myth to Molecular</t>
  </si>
  <si>
    <t>Ramaswamy V, Taylor MD.</t>
  </si>
  <si>
    <t>J Clin Oncol. 2017 Jul 20;35(21):2355-2363. doi: 10.1200/JCO.2017.72.7842. Epub 2017 Jun 22.</t>
  </si>
  <si>
    <t>10.1200/JCO.2017.72.7842</t>
  </si>
  <si>
    <t>Investigating the heterogeneity of alkylating agents' efficacy and toxicity between sexes: A systematic review and meta-analysis of randomized trials comparing cyclophosphamide and ifosfamide (MAIAGE study)</t>
  </si>
  <si>
    <t>Fresneau B, Hackshaw A, Hawkins DS, Paulussen M, Anderson JR, Judson I, Litière S, Dirksen U, Lewis I, van den Berg H, Gaspar N, Gelderblom H, Whelan J, Boddy AV, Wheatley K, Pignon JP, De Vathaire F, Le Deley MC, Le Teuff G.</t>
  </si>
  <si>
    <t>Pediatr Blood Cancer. 2017 Aug;64(8). doi: 10.1002/pbc.26457. Epub 2017 Jan 23.</t>
  </si>
  <si>
    <t>10.1002/pbc.26457</t>
  </si>
  <si>
    <t>Re-evaluate the Efficacy and Safety of Human Urinary Kallidinogenase (RESK): Protocol for an Open-Label, Single-Arm, Multicenter Phase IV Trial for the Treatment of Acute Ischemic Stroke in Chinese Patients</t>
  </si>
  <si>
    <t>Ni J, Qu J, Yao M, Zhang Z, Zhong X, Cui L; RESK investigators.</t>
  </si>
  <si>
    <t>Transl Stroke Res. 2017 Aug;8(4):341-346. doi: 10.1007/s12975-017-0527-5. Epub 2017 Mar 6.</t>
  </si>
  <si>
    <t>Transl Stroke Res</t>
  </si>
  <si>
    <t>10.1007/s12975-017-0527-5</t>
  </si>
  <si>
    <t>Effect of Nebulized Hypertonic Saline Treatment in Emergency Departments on the Hospitalization Rate for Acute Bronchiolitis: A Randomized Clinical Trial</t>
  </si>
  <si>
    <t>Angoulvant F, Bellêttre X, Milcent K, Teglas JP, Claudet I, Le Guen CG, de Pontual L, Minodier P, Dubos F, Brouard J, Soussan-Banini V, Degas-Bussiere V, Gatin A, Schweitzer C, Epaud R, Ryckewaert A, Cros P, Marot Y, Flahaut P, Saunier P, Babe P, Patteau G, Delebarre M, Titomanlio L, Vrignaud B, Trieu TV, Tahir A, Regnard D, Micheau P, Charara O, Henry S, Ploin D, Panjo H, Vabret A, Bouyer J, Gajdos V; Efficacy of 3% Hypertonic Saline in Acute Viral Bronchiolitis (GUERANDE) Study Group.</t>
  </si>
  <si>
    <t>JAMA Pediatr. 2017 Aug 7;171(8):e171333. doi: 10.1001/jamapediatrics.2017.1333. Epub 2017 Aug 7.</t>
  </si>
  <si>
    <t>JAMA Pediatr</t>
  </si>
  <si>
    <t>10.1001/jamapediatrics.2017.1333</t>
  </si>
  <si>
    <t>Compassionate use of the PASCAL transcatheter mitral valve repair system for patients with severe mitral regurgitation: a multicentre, prospective, observational, first-in-man study</t>
  </si>
  <si>
    <t>Praz F, Spargias K, Chrissoheris M, Büllesfeld L, Nickenig G, Deuschl F, Schueler R, Fam NP, Moss R, Makar M, Boone R, Edwards J, Moschovitis A, Kar S, Webb J, Schäfer U, Feldman T, Windecker S.</t>
  </si>
  <si>
    <t>Lancet. 2017 Aug 19;390(10096):773-780. doi: 10.1016/S0140-6736(17)31600-8.</t>
  </si>
  <si>
    <t>10.1016/S0140-6736(17)31600-8</t>
  </si>
  <si>
    <t>Antibiotics for persistent cough or wheeze following acute bronchiolitis in children</t>
  </si>
  <si>
    <t>McCallum GB, Plumb EJ, Morris PS, Chang AB.</t>
  </si>
  <si>
    <t>Cochrane Database Syst Rev. 2017 Aug 22;8(8):CD009834. doi: 10.1002/14651858.CD009834.pub3.</t>
  </si>
  <si>
    <t>10.1002/14651858.CD009834.pub3</t>
  </si>
  <si>
    <t>Ten-year study of postoperative complications following dental extractions in patients with inherited bleeding disorders</t>
  </si>
  <si>
    <t>Hsieh JT, Klein K, Batstone M.</t>
  </si>
  <si>
    <t>Int J Oral Maxillofac Surg. 2017 Sep;46(9):1147-1150. doi: 10.1016/j.ijom.2017.04.016. Epub 2017 May 9.</t>
  </si>
  <si>
    <t>Int J Oral Maxillofac Surg</t>
  </si>
  <si>
    <t>10.1016/j.ijom.2017.04.016</t>
  </si>
  <si>
    <t>Clinical neurophysiology of prolonged disorders of consciousness: From diagnostic stimulation to therapeutic neuromodulation</t>
  </si>
  <si>
    <t>Ragazzoni A, Cincotta M, Giovannelli F, Cruse D, Young GB, Miniussi C, Rossi S.</t>
  </si>
  <si>
    <t>Clin Neurophysiol. 2017 Sep;128(9):1629-1646. doi: 10.1016/j.clinph.2017.06.037. Epub 2017 Jun 29.</t>
  </si>
  <si>
    <t>Clin Neurophysiol</t>
  </si>
  <si>
    <t>10.1016/j.clinph.2017.06.037</t>
  </si>
  <si>
    <t>Clinical development of CAR T cells-challenges and opportunities in translating innovative treatment concepts</t>
  </si>
  <si>
    <t>Hartmann J, Schüßler-Lenz M, Bondanza A, Buchholz CJ.</t>
  </si>
  <si>
    <t>EMBO Mol Med. 2017 Sep;9(9):1183-1197. doi: 10.15252/emmm.201607485.</t>
  </si>
  <si>
    <t>EMBO Mol Med</t>
  </si>
  <si>
    <t>10.15252/emmm.201607485</t>
  </si>
  <si>
    <t>Risk of Recurrence of Adverse Events Following Immunization: A Systematic Review</t>
  </si>
  <si>
    <t>Zafack JG, De Serres G, Kiely M, Gariépy MC, Rouleau I, Top KA; Canadian Immunization Research Network.</t>
  </si>
  <si>
    <t>Pediatrics. 2017 Sep;140(3):e20163707. doi: 10.1542/peds.2016-3707.</t>
  </si>
  <si>
    <t>10.1542/peds.2016-3707</t>
  </si>
  <si>
    <t>Directional Atherectomy Followed by a Paclitaxel-Coated Balloon to Inhibit Restenosis and Maintain Vessel Patency: Twelve-Month Results of the DEFINITIVE AR Study</t>
  </si>
  <si>
    <t>Zeller T, Langhoff R, Rocha-Singh KJ, Jaff MR, Blessing E, Amann-Vesti B, Krzanowski M, Peeters P, Scheinert D, Torsello G, Sixt S, Tepe G; DEFINITIVE AR Investigators.</t>
  </si>
  <si>
    <t>Circ Cardiovasc Interv. 2017 Sep;10(9):e004848. doi: 10.1161/CIRCINTERVENTIONS.116.004848.</t>
  </si>
  <si>
    <t>10.1161/CIRCINTERVENTIONS.116.004848</t>
  </si>
  <si>
    <t>The care and feeding of a commercial liposomal product: liposomal amphotericin B (AmBisome(®))</t>
  </si>
  <si>
    <t>Jensen GM.</t>
  </si>
  <si>
    <t>J Liposome Res. 2017 Sep;27(3):173-179. doi: 10.1080/08982104.2017.1380664.</t>
  </si>
  <si>
    <t>J Liposome Res</t>
  </si>
  <si>
    <t>10.1080/08982104.2017.1380664</t>
  </si>
  <si>
    <t>Advances in paediatrics in 2016: current practices and challenges in allergy, autoimmune diseases, cardiology, endocrinology, gastroenterology, infectious diseases, neonatology, nephrology, neurology, nutrition, pulmonology</t>
  </si>
  <si>
    <t>Caffarelli C, Santamaria F, Di Mauro D, Mastrorilli C, Montella S, Bernasconi S.</t>
  </si>
  <si>
    <t>Ital J Pediatr. 2017 Sep 16;43(1):80. doi: 10.1186/s13052-017-0401-9.</t>
  </si>
  <si>
    <t>Ital J Pediatr</t>
  </si>
  <si>
    <t>10.1186/s13052-017-0401-9</t>
  </si>
  <si>
    <t>Rituximab after Autologous Stem-Cell Transplantation in Mantle-Cell Lymphoma</t>
  </si>
  <si>
    <t>Le Gouill S, Thieblemont C, Oberic L, Moreau A, Bouabdallah K, Dartigeas C, Damaj G, Gastinne T, Ribrag V, Feugier P, Casasnovas O, Zerazhi H, Haioun C, Maisonneuve H, Houot R, Jardin F, Van Den Neste E, Tournilhac O, Le Dû K, Morschhauser F, Cartron G, Fornecker LM, Canioni D, Callanan M, Béné MC, Salles G, Tilly H, Lamy T, Gressin R, Hermine O; LYSA Group.</t>
  </si>
  <si>
    <t>N Engl J Med. 2017 Sep 28;377(13):1250-1260. doi: 10.1056/NEJMoa1701769.</t>
  </si>
  <si>
    <t>10.1056/NEJMoa1701769</t>
  </si>
  <si>
    <t>Efficacy and Safety of FOLFIRINOX in Locally Advanced Pancreatic Cancer. A Single Center Experience</t>
  </si>
  <si>
    <t>Lakatos G, Petranyi A, Szűcs A, Nehéz L, Harsanyi L, Hegyi P, Bodoky G.</t>
  </si>
  <si>
    <t>Pathol Oncol Res. 2017 Oct;23(4):753-759. doi: 10.1007/s12253-016-0176-0. Epub 2017 Jan 6.</t>
  </si>
  <si>
    <t>Pathol Oncol Res</t>
  </si>
  <si>
    <t>10.1007/s12253-016-0176-0</t>
  </si>
  <si>
    <t>Pathogenic variants in the healthy elderly: unique ethical and practical challenges</t>
  </si>
  <si>
    <t>Lacaze P, Ryan J, Woods R, Winship I, McNeil J.</t>
  </si>
  <si>
    <t>J Med Ethics. 2017 Oct;43(10):714-722. doi: 10.1136/medethics-2016-103967. Epub 2017 Mar 24.</t>
  </si>
  <si>
    <t>J Med Ethics</t>
  </si>
  <si>
    <t>10.1136/medethics-2016-103967</t>
  </si>
  <si>
    <t>Efficacy and Safety of a Chewable Methylphenidate Extended-Release Tablet in Children with Attention-Deficit/Hyperactivity Disorder</t>
  </si>
  <si>
    <t>Wigal SB, Childress A, Berry SA, Belden H, Walters F, Chappell P, Sherman N, Orazem J, Palumbo D.</t>
  </si>
  <si>
    <t>J Child Adolesc Psychopharmacol. 2017 Oct;27(8):690-699. doi: 10.1089/cap.2016.0177. Epub 2017 May 30.</t>
  </si>
  <si>
    <t>10.1089/cap.2016.0177</t>
  </si>
  <si>
    <t>Effect of bimagrumab on thigh muscle volume and composition in men with casting-induced atrophy</t>
  </si>
  <si>
    <t>Rooks DS, Laurent D, Praestgaard J, Rasmussen S, Bartlett M, Tankó LB.</t>
  </si>
  <si>
    <t>J Cachexia Sarcopenia Muscle. 2017 Oct;8(5):727-734. doi: 10.1002/jcsm.12205. Epub 2017 Sep 14.</t>
  </si>
  <si>
    <t>J Cachexia Sarcopenia Muscle</t>
  </si>
  <si>
    <t>10.1002/jcsm.12205</t>
  </si>
  <si>
    <t>Oral all-trans retinoic acid plus danazol versus danazol as second-line treatment in adults with primary immune thrombocytopenia: a multicentre, randomised, open-label, phase 2 trial</t>
  </si>
  <si>
    <t>Feng FE, Feng R, Wang M, Zhang JM, Jiang H, Jiang Q, Lu J, Liu H, Peng J, Hou M, Shen JL, Wang JW, Xu LP, Liu KY, Huang XJ, Zhang XH.</t>
  </si>
  <si>
    <t>Lancet Haematol. 2017 Oct;4(10):e487-e496. doi: 10.1016/S2352-3026(17)30170-9. Epub 2017 Sep 13.</t>
  </si>
  <si>
    <t>10.1016/S2352-3026(17)30170-9</t>
  </si>
  <si>
    <t>Risk Factors for Failure of Bone Grafting of Tibia Nonunions and Segmental Bone Defects: A New Preoperative Risk Assessment Score</t>
  </si>
  <si>
    <t>Maceroli MA, Gage MJ, Wise BT, Connelly D, Ordonio K, Castillo RC, Jarman MP, Nascone JW, OʼToole RV, Sciadini MF.</t>
  </si>
  <si>
    <t>J Orthop Trauma. 2017 Oct;31 Suppl 5:S55-S59. doi: 10.1097/BOT.0000000000000982.</t>
  </si>
  <si>
    <t>J Orthop Trauma</t>
  </si>
  <si>
    <t>10.1097/BOT.0000000000000982</t>
  </si>
  <si>
    <t>Impact of Music Therapy on Dementia Behaviors: A Literature Review</t>
  </si>
  <si>
    <t>Fakhoury N, Wilhelm N, Sobota KF, Kroustos KR.</t>
  </si>
  <si>
    <t>Consult Pharm. 2017 Oct 1;32(10):623-628. doi: 10.4140/TCP.n.2017.623.</t>
  </si>
  <si>
    <t>Consult Pharm</t>
  </si>
  <si>
    <t>10.4140/TCP.n.2017.623</t>
  </si>
  <si>
    <t>Interventions for managing medication-related osteonecrosis of the jaw</t>
  </si>
  <si>
    <t>Beth-Tasdogan NH, Mayer B, Hussein H, Zolk O.</t>
  </si>
  <si>
    <t>Cochrane Database Syst Rev. 2017 Oct 6;10(10):CD012432. doi: 10.1002/14651858.CD012432.pub2.</t>
  </si>
  <si>
    <t>10.1002/14651858.CD012432.pub2</t>
  </si>
  <si>
    <t>Autogenic drainage for airway clearance in cystic fibrosis</t>
  </si>
  <si>
    <t>McCormack P, Burnham P, Southern KW.</t>
  </si>
  <si>
    <t>Cochrane Database Syst Rev. 2017 Oct 6;10(10):CD009595. doi: 10.1002/14651858.CD009595.pub2.</t>
  </si>
  <si>
    <t>10.1002/14651858.CD009595.pub2</t>
  </si>
  <si>
    <t>Complete response of secukinumab in palmoplantar psoriasis</t>
  </si>
  <si>
    <t>Rocamora V, Garcías-Ladaria J.</t>
  </si>
  <si>
    <t>Dermatol Online J. 2017 Oct 15;23(10):13030/qt7q6952t1.</t>
  </si>
  <si>
    <t>Dermatol Online J</t>
  </si>
  <si>
    <t>A phase 1 study to evaluate the safety and pharmacokinetics of MEDI8852, an anti-influenza A monoclonal antibody, in healthy adult volunteers</t>
  </si>
  <si>
    <t>Mallory RM, Ali SO, Takas T, Kankam M, Dubovsky F, Tseng L.</t>
  </si>
  <si>
    <t>Biologicals. 2017 Nov;50:81-86. doi: 10.1016/j.biologicals.2017.08.007. Epub 2017 Aug 23.</t>
  </si>
  <si>
    <t>Biologicals</t>
  </si>
  <si>
    <t>10.1016/j.biologicals.2017.08.007</t>
  </si>
  <si>
    <t>Secukinumab sustains improvement in signs and symptoms of psoriatic arthritis: 2 year results from the phase 3 FUTURE 2 study</t>
  </si>
  <si>
    <t>McInnes IB, Mease PJ, Ritchlin CT, Rahman P, Gottlieb AB, Kirkham B, Kajekar R, Delicha EM, Pricop L, Mpofu S.</t>
  </si>
  <si>
    <t>Rheumatology (Oxford). 2017 Nov 1;56(11):1993-2003. doi: 10.1093/rheumatology/kex301.</t>
  </si>
  <si>
    <t>Rheumatology (Oxford)</t>
  </si>
  <si>
    <t>10.1093/rheumatology/kex301</t>
  </si>
  <si>
    <t>Low end-tidal CO2 as a real-time severity marker of intra-anaesthetic acute hypersensitivity reactions</t>
  </si>
  <si>
    <t>Gouel-Chéron A, de Chaisemartin L, Jönsson F, Nicaise-Roland P, Granger V, Sabahov A, Guinnepain MT, Chollet-Martin S, Bruhns P, Neukirch C, Longrois D; NASA study group.</t>
  </si>
  <si>
    <t>Br J Anaesth. 2017 Nov 1;119(5):908-917. doi: 10.1093/bja/aex260.</t>
  </si>
  <si>
    <t>Br J Anaesth</t>
  </si>
  <si>
    <t>10.1093/bja/aex260</t>
  </si>
  <si>
    <t>Dabigatran versus Warfarin for Acute Venous Thromboembolism in Elderly or Impaired Renal Function Patients: Pooled Analysis of RE-COVER and RE-COVER II</t>
  </si>
  <si>
    <t>Goldhaber SZ, Schulman S, Eriksson H, Feuring M, Fraessdorf M, Kreuzer J, Schüler E, Schellong S, Kakkar A.</t>
  </si>
  <si>
    <t>Thromb Haemost. 2017 Nov;117(11):2045-2052. doi: 10.1160/TH17-03-0176. Epub 2017 Oct 4.</t>
  </si>
  <si>
    <t>10.1160/TH17-03-0176</t>
  </si>
  <si>
    <t>Routine antibiotic prophylaxis after normal vaginal birth for reducing maternal infectious morbidity</t>
  </si>
  <si>
    <t>Bonet M, Ota E, Chibueze CE, Oladapo OT.</t>
  </si>
  <si>
    <t>Cochrane Database Syst Rev. 2017 Nov 13;11(11):CD012137. doi: 10.1002/14651858.CD012137.pub2.</t>
  </si>
  <si>
    <t>10.1002/14651858.CD012137.pub2</t>
  </si>
  <si>
    <t>Using a monitoring and evaluation framework to improve study efficiency and quality during a prospective cohort study in infants receiving rotavirus vaccination in El Alto, Bolivia: the Infant Nutrition, Inflammation, and Diarrheal Illness (NIDI) study</t>
  </si>
  <si>
    <t>Aceituno AM, Stanhope KK, Rebolledo PA, Burke RM, Revollo R, Iñiguez V, Suchdev PS, Leon JS.</t>
  </si>
  <si>
    <t>BMC Public Health. 2017 Nov 28;17(1):911. doi: 10.1186/s12889-017-4904-5.</t>
  </si>
  <si>
    <t>10.1186/s12889-017-4904-5</t>
  </si>
  <si>
    <t>Infections Up to 76 Days After Stroke Increase Disability and Death</t>
  </si>
  <si>
    <t>Learoyd AE, Woodhouse L, Shaw L, Sprigg N, Bereczki D, Berge E, Caso V, Christensen H, Collins R, Czlonkowska A, El Etribi A, Farr TD, Gommans J, Laska AC, Ntaios G, Ozturk S, Pocock SJ, Prasad K, Wardlaw JM, Fone KC, Bath PM, Trueman RC; ENOS Trial investigators.</t>
  </si>
  <si>
    <t>Transl Stroke Res. 2017 Dec;8(6):541-548. doi: 10.1007/s12975-017-0553-3. Epub 2017 Jul 27.</t>
  </si>
  <si>
    <t>EMS75952</t>
  </si>
  <si>
    <t>10.1007/s12975-017-0553-3</t>
  </si>
  <si>
    <t>Effect of Transfusion on Mortality and Other Adverse Events Among Critically Ill Septic Patients: An Observational Study Using a Marginal Structural Cox Model</t>
  </si>
  <si>
    <t>Dupuis C, Garrouste-Orgeas M, Bailly S, Adrie C, Goldgran-Toledano D, Azoulay E, Ruckly S, Marcotte G, Souweine B, Darmon M, Cohen Y, Schwebel C, Lacave G, Bouadma L, Timsit JF; OUTCOMEREA Study Group.</t>
  </si>
  <si>
    <t>Crit Care Med. 2017 Dec;45(12):1972-1980. doi: 10.1097/CCM.0000000000002688.</t>
  </si>
  <si>
    <t>10.1097/CCM.0000000000002688</t>
  </si>
  <si>
    <t>Efficacy and safety of a novel picosecond laser using combination of 1 064 and 595 nm on patients with melasma: A prospective, randomized, multicenter, split-face, 2% hydroquinone cream-controlled clinical trial</t>
  </si>
  <si>
    <t>Choi YJ, Nam JH, Kim JY, Min JH, Park KY, Ko EJ, Kim BJ, Kim WS.</t>
  </si>
  <si>
    <t>Lasers Surg Med. 2017 Dec;49(10):899-907. doi: 10.1002/lsm.22735. Epub 2017 Sep 14.</t>
  </si>
  <si>
    <t>10.1002/lsm.22735</t>
  </si>
  <si>
    <t>Recommendations on managing lenvatinib and everolimus in patients with advanced or metastatic renal cell carcinoma</t>
  </si>
  <si>
    <t>Grande E, Glen H, Aller J, Argenziano G, Lamas MJ, Ruszniewski P, Zamorano JL, Edmonds K, Sarker S, Staehler M, Larkin J.</t>
  </si>
  <si>
    <t>Expert Opin Drug Saf. 2017 Dec;16(12):1413-1426. doi: 10.1080/14740338.2017.1380624. Epub 2017 Sep 28.</t>
  </si>
  <si>
    <t>10.1080/14740338.2017.1380624</t>
  </si>
  <si>
    <t>Impact of adding hand-washing and water disinfection promotion to oral cholera vaccination on diarrhoea-associated hospitalization in Dhaka, Bangladesh: evidence from a cluster randomized control trial</t>
  </si>
  <si>
    <t>Najnin N, Leder K, Qadri F, Forbes A, Unicomb L, Winch PJ, Ram PK, Leontsini E, Nizame FA, Arman S, Begum F, Biswas SK, Clemens JD, Ali M, Cravioto A, Luby SP.</t>
  </si>
  <si>
    <t>Int J Epidemiol. 2017 Dec 1;46(6):2056-2066. doi: 10.1093/ije/dyx187.</t>
  </si>
  <si>
    <t>Int J Epidemiol</t>
  </si>
  <si>
    <t>10.1093/ije/dyx187</t>
  </si>
  <si>
    <t>Economic Evaluation of Implementing a Novel Pharmacogenomic Test (IDgenetix(®)) to Guide Treatment of Patients with Depression and/or Anxiety</t>
  </si>
  <si>
    <t>Najafzadeh M, Garces JA, Maciel A.</t>
  </si>
  <si>
    <t>Pharmacoeconomics. 2017 Dec;35(12):1297-1310. doi: 10.1007/s40273-017-0587-0.</t>
  </si>
  <si>
    <t>10.1007/s40273-017-0587-0</t>
  </si>
  <si>
    <t>Advances in treating psoriasis in the elderly with small molecule inhibitors</t>
  </si>
  <si>
    <t>Cline A, Cardwell LA, Feldman SR.</t>
  </si>
  <si>
    <t>Expert Opin Pharmacother. 2017 Dec;18(18):1965-1973. doi: 10.1080/14656566.2017.1409205. Epub 2017 Nov 27.</t>
  </si>
  <si>
    <t>10.1080/14656566.2017.1409205</t>
  </si>
  <si>
    <t>Brain metastasis in a patient with melanoma receiving Pembrolizumab therapy: A case report and review of the literature</t>
  </si>
  <si>
    <t>Song JC, Ding XL, Sun XH, Safi M, Tian J.</t>
  </si>
  <si>
    <t>Medicine (Baltimore). 2017 Dec;96(50):e9278. doi: 10.1097/MD.0000000000009278.</t>
  </si>
  <si>
    <t>10.1097/MD.0000000000009278</t>
  </si>
  <si>
    <t>Corticosteroids for pneumonia</t>
  </si>
  <si>
    <t>Stern A, Skalsky K, Avni T, Carrara E, Leibovici L, Paul M.</t>
  </si>
  <si>
    <t>Cochrane Database Syst Rev. 2017 Dec 13;12(12):CD007720. doi: 10.1002/14651858.CD007720.pub3.</t>
  </si>
  <si>
    <t>10.1002/14651858.CD007720.pub3</t>
  </si>
  <si>
    <t>In Vitro Neutralization Is Not Predictive of Prophylactic Efficacy of Broadly Neutralizing Monoclonal Antibodies CR6261 and CR9114 against Lethal H2 Influenza Virus Challenge in Mice</t>
  </si>
  <si>
    <t>Sutton TC, Lamirande EW, Bock KW, Moore IN, Koudstaal W, Rehman M, Weverling GJ, Goudsmit J, Subbarao K.</t>
  </si>
  <si>
    <t>J Virol. 2017 Nov 30;91(24):e01603-17. doi: 10.1128/JVI.01603-17. Print 2017 Dec 15.</t>
  </si>
  <si>
    <t>10.1128/JVI.01603-17</t>
  </si>
  <si>
    <t>Goldenberg JZ, Yap C, Lytvyn L, Lo CK, Beardsley J, Mertz D, Johnston BC.</t>
  </si>
  <si>
    <t>Cochrane Database Syst Rev. 2017 Dec 19;12(12):CD006095. doi: 10.1002/14651858.CD006095.pub4.</t>
  </si>
  <si>
    <t>10.1002/14651858.CD006095.pub4</t>
  </si>
  <si>
    <t>Cochrane Database Syst Rev. 2017 Dec 21;12(12):CD006458. doi: 10.1002/14651858.CD006458.pub4.</t>
  </si>
  <si>
    <t>10.1002/14651858.CD006458.pub4</t>
  </si>
  <si>
    <t>Safety, tolerability, and pharmacokinetics of radavirsen (AVI-7100), an antisense oligonucleotide targeting influenza a M1/M2 translation</t>
  </si>
  <si>
    <t>Beigel JH, Voell J, Muñoz P, Kumar P, Brooks KM, Zhang J, Iversen P, Heald A, Wong M, Davey RT.</t>
  </si>
  <si>
    <t>Br J Clin Pharmacol. 2018 Jan;84(1):25-34. doi: 10.1111/bcp.13405. Epub 2017 Sep 22.</t>
  </si>
  <si>
    <t>10.1111/bcp.13405</t>
  </si>
  <si>
    <t>CNTO6785, a Fully Human Antiinterleukin 17 Monoclonal Antibody, in Patients with Rheumatoid Arthritis with Inadequate Response to Methotrexate: A Randomized, Placebo-controlled, Phase II, Dose-ranging Study</t>
  </si>
  <si>
    <t>Mease PJ, Jeka S, Jaller JJ, Kitumnuaypong T, Louthrenoo W, Mann H, Matsievskaia G, Soriano ER, Jia B, Wang C, Nie J, Hsia E.</t>
  </si>
  <si>
    <t>J Rheumatol. 2018 Jan;45(1):22-31. doi: 10.3899/jrheum.161238. Epub 2017 Nov 1.</t>
  </si>
  <si>
    <t>J Rheumatol</t>
  </si>
  <si>
    <t>10.3899/jrheum.161238</t>
  </si>
  <si>
    <t>A randomised pragmatic trial of corticosteroid optimization in severe asthma using a composite biomarker algorithm to adjust corticosteroid dose versus standard care: study protocol for a randomised trial</t>
  </si>
  <si>
    <t>Hanratty CE, Matthews JG, Arron JR, Choy DF, Pavord ID, Bradding P, Brightling CE, Chaudhuri R, Cowan DC, Djukanovic R, Gallagher N, Fowler SJ, Hardman TC, Harrison T, Holweg CT, Howarth PH, Lordan J, Mansur AH, Menzies-Gow A, Mosesova S, Niven RM, Robinson DS, Shaw DE, Walker S, Woodcock A, Heaney LG; RASP-UK (Refractory Asthma Stratification Programme) Consortium.</t>
  </si>
  <si>
    <t>Trials. 2018 Jan 4;19(1):5. doi: 10.1186/s13063-017-2384-7.</t>
  </si>
  <si>
    <t>10.1186/s13063-017-2384-7</t>
  </si>
  <si>
    <t>First clinical case report of local microinjection of autologous fat and adipose-derived stromal vascular fraction for perianal fistula in Crohn's disease</t>
  </si>
  <si>
    <t>Philandrianos C, Serrero M, Grimaud F, Magalon J, Visée C, Velier M, Francois P, Orsoni P, Magalon G, Grimaud JC, Desjeux A, Véran J, Sabatier F.</t>
  </si>
  <si>
    <t>Stem Cell Res Ther. 2018 Jan 10;9(1):4. doi: 10.1186/s13287-017-0736-6.</t>
  </si>
  <si>
    <t>Stem Cell Res Ther</t>
  </si>
  <si>
    <t>10.1186/s13287-017-0736-6</t>
  </si>
  <si>
    <t>Eliciting adverse effects data from participants in clinical trials</t>
  </si>
  <si>
    <t>Allen EN, Chandler CI, Mandimika N, Leisegang C, Barnes K.</t>
  </si>
  <si>
    <t>Cochrane Database Syst Rev. 2018 Jan 16;1(1):MR000039. doi: 10.1002/14651858.MR000039.pub2.</t>
  </si>
  <si>
    <t>10.1002/14651858.MR000039.pub2</t>
  </si>
  <si>
    <t>Comparison of the Pharmacokinetics and Pharmacodynamics of Single-Dose Tenofovir Vaginal Film and Gel Formulation (FAME 05)</t>
  </si>
  <si>
    <t>Robinson JA, Marzinke MA, Fuchs EJ, Bakshi RP, Spiegel HML, Coleman JS, Rohan LC, Hendrix CW.</t>
  </si>
  <si>
    <t>J Acquir Immune Defic Syndr. 2018 Feb 1;77(2):175-182. doi: 10.1097/QAI.0000000000001587.</t>
  </si>
  <si>
    <t>J Acquir Immune Defic Syndr</t>
  </si>
  <si>
    <t>NIHMS917323</t>
  </si>
  <si>
    <t>10.1097/QAI.0000000000001587</t>
  </si>
  <si>
    <t>Anticoagulation strategies in patients with atrial fibrillation after PCI or with ACS : The end of triple therapy?</t>
  </si>
  <si>
    <t>Fluschnik N, Becher PM, Schnabel R, Blankenberg S, Westermann D.</t>
  </si>
  <si>
    <t>Herz. 2018 Feb;43(1):20-25. doi: 10.1007/s00059-017-4649-z.</t>
  </si>
  <si>
    <t>10.1007/s00059-017-4649-z</t>
  </si>
  <si>
    <t>Anti-IgE treatment with oral immunotherapy in multifood allergic participants: a double-blind, randomised, controlled trial</t>
  </si>
  <si>
    <t>Andorf S, Purington N, Block WM, Long AJ, Tupa D, Brittain E, Rudman Spergel A, Desai M, Galli SJ, Nadeau KC, Chinthrajah RS.</t>
  </si>
  <si>
    <t>Lancet Gastroenterol Hepatol. 2018 Feb;3(2):85-94. doi: 10.1016/S2468-1253(17)30392-8. Epub 2017 Dec 12.</t>
  </si>
  <si>
    <t>Lancet Gastroenterol Hepatol</t>
  </si>
  <si>
    <t>NIHMS928691</t>
  </si>
  <si>
    <t>10.1016/S2468-1253(17)30392-8</t>
  </si>
  <si>
    <t>Antibiotics for asymptomatic bacteriuria in kidney transplant recipients</t>
  </si>
  <si>
    <t>Coussement J, Scemla A, Abramowicz D, Nagler EV, Webster AC.</t>
  </si>
  <si>
    <t>Cochrane Database Syst Rev. 2018 Feb 1;2(2):CD011357. doi: 10.1002/14651858.CD011357.pub2.</t>
  </si>
  <si>
    <t>10.1002/14651858.CD011357.pub2</t>
  </si>
  <si>
    <t>Early warning score challenges and opportunities in the care of deteriorating patients</t>
  </si>
  <si>
    <t>Petersen JA.</t>
  </si>
  <si>
    <t>Dan Med J. 2018 Feb;65(2):B5439.</t>
  </si>
  <si>
    <t>Clinical features and outcomes of patients with type 2 myocardial infarction: Insights from the Thrombin Receptor Antagonist for Clinical Event Reduction in Acute Coronary Syndrome (TRACER) trial</t>
  </si>
  <si>
    <t>Guimarães PO, Leonardi S, Huang Z, Wallentin L, de Werf FV, Aylward PE, Held C, Harrington RA, Moliterno DJ, Armstrong PW, White HD, Alexander KP, Lopes RD, Mahaffey KW, Tricoci P.</t>
  </si>
  <si>
    <t>Am Heart J. 2018 Feb;196:28-35. doi: 10.1016/j.ahj.2017.10.007. Epub 2017 Oct 16.</t>
  </si>
  <si>
    <t>10.1016/j.ahj.2017.10.007</t>
  </si>
  <si>
    <t>A randomized feasibility trial comparing four antimalarial drug regimens to induce Plasmodium falciparum gametocytemia in the controlled human malaria infection model</t>
  </si>
  <si>
    <t>Reuling IJ, van de Schans LA, Coffeng LE, Lanke K, Meerstein-Kessel L, Graumans W, van Gemert GJ, Teelen K, Siebelink-Stoter R, van de Vegte-Bolmer M, de Mast Q, van der Ven AJ, Ivinson K, Hermsen CC, de Vlas S, Bradley J, Collins KA, Ockenhouse CF, McCarthy J, Sauerwein RW, Bousema T.</t>
  </si>
  <si>
    <t>Elife. 2018 Feb 27;7:e31549. doi: 10.7554/eLife.31549.</t>
  </si>
  <si>
    <t>Elife</t>
  </si>
  <si>
    <t>10.7554/eLife.31549</t>
  </si>
  <si>
    <t>Real-world challenges for hepatitis C virus medications: a critical overview</t>
  </si>
  <si>
    <t>Shahid I, AlMalki WH, Hassan S, Hafeez MH.</t>
  </si>
  <si>
    <t>Crit Rev Microbiol. 2018 Mar;44(2):143-160. doi: 10.1080/1040841X.2017.1329277. Epub 2017 May 25.</t>
  </si>
  <si>
    <t>Crit Rev Microbiol</t>
  </si>
  <si>
    <t>10.1080/1040841X.2017.1329277</t>
  </si>
  <si>
    <t>Efficacy and Safety of AR101 in Oral Immunotherapy for Peanut Allergy: Results of ARC001, a Randomized, Double-Blind, Placebo-Controlled Phase 2 Clinical Trial</t>
  </si>
  <si>
    <t>Bird JA, Spergel JM, Jones SM, Rachid R, Assa'ad AH, Wang J, Leonard SA, Laubach SS, Kim EH, Vickery BP, Davis BP, Heimall J, Cianferoni A, MacGinnitie AJ, Crestani E, Burks AW; ARC001 Study Group.</t>
  </si>
  <si>
    <t>J Allergy Clin Immunol Pract. 2018 Mar-Apr;6(2):476-485.e3. doi: 10.1016/j.jaip.2017.09.016. Epub 2017 Oct 31.</t>
  </si>
  <si>
    <t>J Allergy Clin Immunol Pract</t>
  </si>
  <si>
    <t>10.1016/j.jaip.2017.09.016</t>
  </si>
  <si>
    <t>Results and evaluation of a first-in-human study of RG7342, an mGlu5 positive allosteric modulator, utilizing Bayesian adaptive methods</t>
  </si>
  <si>
    <t>Sturm S, Delporte ML, Hadi S, Schobel S, Lindemann L, Weikert R, Jaeschke G, Derks M, Palermo G.</t>
  </si>
  <si>
    <t>Br J Clin Pharmacol. 2018 Mar;84(3):445-455. doi: 10.1111/bcp.13466. Epub 2017 Dec 18.</t>
  </si>
  <si>
    <t>10.1111/bcp.13466</t>
  </si>
  <si>
    <t>Biomarker-related risk for myocardial infarction and serious infections in patients with rheumatoid arthritis: a population-based study</t>
  </si>
  <si>
    <t>Curtis JR, Xie F, Chen L, Saag KG, Yun H, Muntner P.</t>
  </si>
  <si>
    <t>Ann Rheum Dis. 2018 Mar;77(3):386-392. doi: 10.1136/annrheumdis-2017-211727. Epub 2017 Dec 21.</t>
  </si>
  <si>
    <t>10.1136/annrheumdis-2017-211727</t>
  </si>
  <si>
    <t>Sucrose octasulfate dressing versus control dressing in patients with neuroischaemic diabetic foot ulcers (Explorer): an international, multicentre, double-blind, randomised, controlled trial</t>
  </si>
  <si>
    <t>Edmonds M, Lázaro-Martínez JL, Alfayate-García JM, Martini J, Petit JM, Rayman G, Lobmann R, Uccioli L, Sauvadet A, Bohbot S, Kerihuel JC, Piaggesi A.</t>
  </si>
  <si>
    <t>Lancet Diabetes Endocrinol. 2018 Mar;6(3):186-196. doi: 10.1016/S2213-8587(17)30438-2. Epub 2017 Dec 20.</t>
  </si>
  <si>
    <t>10.1016/S2213-8587(17)30438-2</t>
  </si>
  <si>
    <t>Positive behaviour support training for staff for treating challenging behaviour in people with intellectual disabilities: a cluster RCT</t>
  </si>
  <si>
    <t>Hassiotis A, Poppe M, Strydom A, Vickerstaff V, Hall I, Crabtree J, Omar R, King M, Hunter R, Bosco A, Biswas A, Ratti V, Blickwedel J, Cooper V, Howie W, Crawford M.</t>
  </si>
  <si>
    <t>Health Technol Assess. 2018 Mar;22(15):1-110. doi: 10.3310/hta22150.</t>
  </si>
  <si>
    <t>10.3310/hta22150</t>
  </si>
  <si>
    <t>Sources of Safety Data and Statistical Strategies for Design and Analysis: Clinical Trials</t>
  </si>
  <si>
    <t>Zink RC, Marchenko O, Sanchez-Kam M, Ma H, Jiang Q.</t>
  </si>
  <si>
    <t>Ther Innov Regul Sci. 2018 Mar;52(2):141-158. doi: 10.1177/2168479017738980. Epub 2017 Nov 12.</t>
  </si>
  <si>
    <t>Ther Innov Regul Sci</t>
  </si>
  <si>
    <t>10.1177/2168479017738980</t>
  </si>
  <si>
    <t>Quantifying the Impact of Natural Immunity on Rotavirus Vaccine Efficacy Estimates: A Clinical Trial in Dhaka, Bangladesh (PROVIDE) and a Simulation Study</t>
  </si>
  <si>
    <t>Rogawski ET, Platts-Mills JA, Colgate ER, Haque R, Zaman K, Petri WA, Kirkpatrick BD.</t>
  </si>
  <si>
    <t>J Infect Dis. 2018 Mar 5;217(6):861-868. doi: 10.1093/infdis/jix668.</t>
  </si>
  <si>
    <t>10.1093/infdis/jix668</t>
  </si>
  <si>
    <t>Pragmatic RAndomised controlled trial of a trauma-focused guided self-help Programme versus InDividual trauma-focused cognitive Behavioural therapy for post-traumatic stress disorder (RAPID): trial protocol</t>
  </si>
  <si>
    <t>Nollett C, Lewis C, Kitchiner N, Roberts N, Addison K, Brookes-Howell L, Cosgrove S, Cullen K, Ehlers A, Heke S, Kelson M, Lovell K, Madden K, McEwan K, McNamara R, Phillips C, Pickles T, Simon N, Bisson J.</t>
  </si>
  <si>
    <t>BMC Psychiatry. 2018 Mar 27;18(1):77. doi: 10.1186/s12888-018-1665-3.</t>
  </si>
  <si>
    <t>BMC Psychiatry</t>
  </si>
  <si>
    <t>10.1186/s12888-018-1665-3</t>
  </si>
  <si>
    <t>Clinical endpoints in the controlled human challenge model for Shigella: A call for standardization and the development of a disease severity score</t>
  </si>
  <si>
    <t>Porter CK, Lynen A, Riddle MS, Talaat K, Sack D, Gutiérrez RL, McKenzie R, DeNearing B, Feijoo B, Kaminski RW, Taylor DN, Kirkpatrick BD, Bourgeois AL.</t>
  </si>
  <si>
    <t>PLoS One. 2018 Mar 28;13(3):e0194325. doi: 10.1371/journal.pone.0194325. eCollection 2018.</t>
  </si>
  <si>
    <t>10.1371/journal.pone.0194325</t>
  </si>
  <si>
    <t>Predicting reactivity threshold in children with anaphylaxis to peanut</t>
  </si>
  <si>
    <t>Reier-Nilsen T, Michelsen MM, Lødrup Carlsen KC, Carlsen KH, Mowinckel P, Nygaard UC, Namork E, Borres MP, Håland G.</t>
  </si>
  <si>
    <t>Clin Exp Allergy. 2018 Apr;48(4):415-423. doi: 10.1111/cea.13078. Epub 2018 Jan 25.</t>
  </si>
  <si>
    <t>10.1111/cea.13078</t>
  </si>
  <si>
    <t>Safety and tolerability of a novel, polyclonal human anti-MERS coronavirus antibody produced from transchromosomic cattle: a phase 1 randomised, double-blind, single-dose-escalation study</t>
  </si>
  <si>
    <t>Beigel JH, Voell J, Kumar P, Raviprakash K, Wu H, Jiao JA, Sullivan E, Luke T, Davey RT Jr.</t>
  </si>
  <si>
    <t>Lancet Infect Dis. 2018 Apr;18(4):410-418. doi: 10.1016/S1473-3099(18)30002-1. Epub 2018 Jan 9.</t>
  </si>
  <si>
    <t>NIHMS935573</t>
  </si>
  <si>
    <t>10.1016/S1473-3099(18)30002-1</t>
  </si>
  <si>
    <t>Chemoprevention in Patients with Peutz-Jeghers Syndrome: Lessons Learned</t>
  </si>
  <si>
    <t>de Brabander J, Eskens FALM, Korsse SE, Dekker E, Dewint P, van Leerdam ME, van Eeden S, Klümpen HJ.</t>
  </si>
  <si>
    <t>Oncologist. 2018 Apr;23(4):399-e33. doi: 10.1634/theoncologist.2017-0682. Epub 2018 Jan 25.</t>
  </si>
  <si>
    <t>10.1634/theoncologist.2017-0682</t>
  </si>
  <si>
    <t>The effects of a CCR3 inhibitor, AXP1275, on allergen-induced airway responses in adults with mild-to-moderate atopic asthma</t>
  </si>
  <si>
    <t>Gauvreau GM, FitzGerald JM, Boulet LP, Watson RM, Hui L, Villineuve H, Scime TX, Schlatman AR, Obminski C, Kum J, Boehme S, Ly TW, Bacon KB, O'Byrne PM.</t>
  </si>
  <si>
    <t>Clin Exp Allergy. 2018 Apr;48(4):445-451. doi: 10.1111/cea.13114. Epub 2018 Mar 13.</t>
  </si>
  <si>
    <t>10.1111/cea.13114</t>
  </si>
  <si>
    <t>Multicenter Registry of Real-World Patients With Severely Calcified Coronary Lesions Undergoing Orbital Atherectomy: 1-Year Outcomes</t>
  </si>
  <si>
    <t>Lee MS, Shlofmitz E, Goldberg A, Shlofmitz R.</t>
  </si>
  <si>
    <t>J Invasive Cardiol. 2018 Apr;30(4):121-124.</t>
  </si>
  <si>
    <t>J Invasive Cardiol</t>
  </si>
  <si>
    <t>The dark side of granulocyte-colony stimulating factor: a supportive therapy with potential to promote tumour progression</t>
  </si>
  <si>
    <t>Yeo B, Redfern AD, Mouchemore KA, Hamilton JA, Anderson RL.</t>
  </si>
  <si>
    <t>Clin Exp Metastasis. 2018 Apr;35(4):255-267. doi: 10.1007/s10585-018-9917-7. Epub 2018 Jul 2.</t>
  </si>
  <si>
    <t>Clin Exp Metastasis</t>
  </si>
  <si>
    <t>10.1007/s10585-018-9917-7</t>
  </si>
  <si>
    <t>A controlled human malaria infection model enabling evaluation of transmission-blocking interventions</t>
  </si>
  <si>
    <t>Collins KA, Wang CY, Adams M, Mitchell H, Rampton M, Elliott S, Reuling IJ, Bousema T, Sauerwein R, Chalon S, Möhrle JJ, McCarthy JS.</t>
  </si>
  <si>
    <t>J Clin Invest. 2018 Apr 2;128(4):1551-1562. doi: 10.1172/JCI98012. Epub 2018 Mar 12.</t>
  </si>
  <si>
    <t>10.1172/JCI98012</t>
  </si>
  <si>
    <t>Interventions for infantile haemangiomas of the skin</t>
  </si>
  <si>
    <t>Novoa M, Baselga E, Beltran S, Giraldo L, Shahbaz A, Pardo-Hernandez H, Arevalo-Rodriguez I.</t>
  </si>
  <si>
    <t>Cochrane Database Syst Rev. 2018 Apr 18;4(4):CD006545. doi: 10.1002/14651858.CD006545.pub3.</t>
  </si>
  <si>
    <t>10.1002/14651858.CD006545.pub3</t>
  </si>
  <si>
    <t>Shorter treatment for minimal tuberculosis (TB) in children (SHINE): a study protocol for a randomised controlled trial</t>
  </si>
  <si>
    <t>Chabala C, Turkova A, Thomason MJ, Wobudeya E, Hissar S, Mave V, van der Zalm M, Palmer M, Kapasa M, Bhavani PK, Balaji S, Raichur PA, Demers AM, Hoddinott G, Owen-Powell E, Kinikar A, Musoke P, Mulenga V, Aarnoutse R, McIlleron H, Hesseling A, Crook AM, Cotton M, Gibb DM; SHINE trial team.</t>
  </si>
  <si>
    <t>Trials. 2018 Apr 19;19(1):237. doi: 10.1186/s13063-018-2608-5.</t>
  </si>
  <si>
    <t>10.1186/s13063-018-2608-5</t>
  </si>
  <si>
    <t>Efficacy of an over-the-scope clip for preventing adverse events after duodenal endoscopic submucosal dissection: a prospective interventional study</t>
  </si>
  <si>
    <t>Tashima T, Ohata K, Sakai E, Misumi Y, Takita M, Minato Y, Matsuyama Y, Muramoto T, Satodate H, Horiuchi H, Matsuhashi N, Nonaka K, Ryozawa S.</t>
  </si>
  <si>
    <t>Endoscopy. 2018 May;50(5):487-496. doi: 10.1055/s-0044-102255. Epub 2018 Mar 2.</t>
  </si>
  <si>
    <t>Endoscopy</t>
  </si>
  <si>
    <t>10.1055/s-0044-102255</t>
  </si>
  <si>
    <t>Transcranial Magnetic Stimulation for Migraine Prevention in Adolescents: A Pilot Open-Label Study</t>
  </si>
  <si>
    <t>Irwin SL, Qubty W, Allen IE, Patniyot I, Goadsby PJ, Gelfand AA.</t>
  </si>
  <si>
    <t>Headache. 2018 May;58(5):724-731. doi: 10.1111/head.13284. Epub 2018 Mar 12.</t>
  </si>
  <si>
    <t>10.1111/head.13284</t>
  </si>
  <si>
    <t>Recent clinically relevant highlights from the Diabetic Retinopathy Clinical Research Network</t>
  </si>
  <si>
    <t>Krick TW, Bressler NM.</t>
  </si>
  <si>
    <t>Curr Opin Ophthalmol. 2018 May;29(3):199-205. doi: 10.1097/ICU.0000000000000472.</t>
  </si>
  <si>
    <t>Curr Opin Ophthalmol</t>
  </si>
  <si>
    <t>10.1097/ICU.0000000000000472</t>
  </si>
  <si>
    <t>Improved Health-Related Quality of Life in a Phase 3 Islet Transplantation Trial in Type 1 Diabetes Complicated by Severe Hypoglycemia</t>
  </si>
  <si>
    <t>Foster ED, Bridges ND, Feurer ID, Eggerman TL, Hunsicker LG, Alejandro R; Clinical Islet Transplantation Consortium.</t>
  </si>
  <si>
    <t>Diabetes Care. 2018 May;41(5):1001-1008. doi: 10.2337/dc17-1779. Epub 2018 Mar 21.</t>
  </si>
  <si>
    <t>10.2337/dc17-1779</t>
  </si>
  <si>
    <t>PrEP-001 prophylactic effect against rhinovirus and influenza virus - RESULTS of 2 randomized trials</t>
  </si>
  <si>
    <t>Malcolm BA, Aerts CA, Dubois KJ, Geurts FJ, Marien K, Rusch S, Van Dijck AH, Verloes R, Vingerhoets J.</t>
  </si>
  <si>
    <t>Antiviral Res. 2018 May;153:70-77. doi: 10.1016/j.antiviral.2018.03.005. Epub 2018 Mar 19.</t>
  </si>
  <si>
    <t>10.1016/j.antiviral.2018.03.005</t>
  </si>
  <si>
    <t>First-in-human topical microbiome transplantation with Roseomonas mucosa for atopic dermatitis</t>
  </si>
  <si>
    <t>Myles IA, Earland NJ, Anderson ED, Moore IN, Kieh MD, Williams KW, Saleem A, Fontecilla NM, Welch PA, Darnell DA, Barnhart LA, Sun AA, Uzel G, Datta SK.</t>
  </si>
  <si>
    <t>JCI Insight. 2018 May 3;3(9):e120608. doi: 10.1172/jci.insight.120608.</t>
  </si>
  <si>
    <t>JCI Insight</t>
  </si>
  <si>
    <t>10.1172/jci.insight.120608</t>
  </si>
  <si>
    <t>Grommets (ventilation tubes) for recurrent acute otitis media in children</t>
  </si>
  <si>
    <t>Venekamp RP, Mick P, Schilder AG, Nunez DA.</t>
  </si>
  <si>
    <t>Cochrane Database Syst Rev. 2018 May 9;5(5):CD012017. doi: 10.1002/14651858.CD012017.pub2.</t>
  </si>
  <si>
    <t>10.1002/14651858.CD012017.pub2</t>
  </si>
  <si>
    <t>The Rationale and Evidence for Use of Inhaled Antibiotics to Control Pseudomonas aeruginosa Infection in Non-cystic Fibrosis Bronchiectasis</t>
  </si>
  <si>
    <t>Dhand R.</t>
  </si>
  <si>
    <t>J Aerosol Med Pulm Drug Deliv. 2018 Jun;31(3):121-138. doi: 10.1089/jamp.2017.1415. Epub 2017 Oct 27.</t>
  </si>
  <si>
    <t>J Aerosol Med Pulm Drug Deliv</t>
  </si>
  <si>
    <t>10.1089/jamp.2017.1415</t>
  </si>
  <si>
    <t>Goshajinkigan for reducing chemotherapy-induced peripheral neuropathy: a systematic review and meta-analysis</t>
  </si>
  <si>
    <t>Hoshino N, Ganeko R, Hida K, Sakai Y.</t>
  </si>
  <si>
    <t>Int J Clin Oncol. 2018 Jun;23(3):434-442. doi: 10.1007/s10147-017-1229-4. Epub 2017 Dec 21.</t>
  </si>
  <si>
    <t>Int J Clin Oncol</t>
  </si>
  <si>
    <t>10.1007/s10147-017-1229-4</t>
  </si>
  <si>
    <t>Clinical impact of an additional left ventricular lead in cardiac resynchronization therapy nonresponders: The V(3) trial</t>
  </si>
  <si>
    <t>Bordachar P, Gras D, Clementy N, Defaye P, Mondoly P, Boveda S, Anselme F, Klug D, Piot O, Sadoul N, Babuty D, Leclercq C.</t>
  </si>
  <si>
    <t>Heart Rhythm. 2018 Jun;15(6):870-876. doi: 10.1016/j.hrthm.2017.12.028. Epub 2017 Dec 26.</t>
  </si>
  <si>
    <t>Heart Rhythm</t>
  </si>
  <si>
    <t>10.1016/j.hrthm.2017.12.028</t>
  </si>
  <si>
    <t>Efficacy and Safety of Fosmidomycin-Piperaquine as Nonartemisinin-Based Combination Therapy for Uncomplicated Falciparum Malaria: A Single-Arm, Age De-escalation Proof-of-Concept Study in Gabon</t>
  </si>
  <si>
    <t>Mombo-Ngoma G, Remppis J, Sievers M, Zoleko Manego R, Endamne L, Kabwende L, Veletzky L, Nguyen TT, Groger M, Lötsch F, Mischlinger J, Flohr L, Kim J, Cattaneo C, Hutchinson D, Duparc S, Moehrle J, Velavan TP, Lell B, Ramharter M, Adegnika AA, Mordmüller B, Kremsner PG.</t>
  </si>
  <si>
    <t>Clin Infect Dis. 2018 Jun 1;66(12):1823-1830. doi: 10.1093/cid/cix1122.</t>
  </si>
  <si>
    <t>10.1093/cid/cix1122</t>
  </si>
  <si>
    <t>A Phase II Trial of Selinexor, an Oral Selective Inhibitor of Nuclear Export Compound, in Abiraterone- and/or Enzalutamide-Refractory Metastatic Castration-Resistant Prostate Cancer</t>
  </si>
  <si>
    <t>Wei XX, Siegel AP, Aggarwal R, Lin AM, Friedlander TW, Fong L, Kim W, Louttit M, Chang E, Zhang L, Ryan CJ.</t>
  </si>
  <si>
    <t>Oncologist. 2018 Jun;23(6):656-e64. doi: 10.1634/theoncologist.2017-0624. Epub 2018 Feb 27.</t>
  </si>
  <si>
    <t>10.1634/theoncologist.2017-0624</t>
  </si>
  <si>
    <t>Improving the prognosis of patients with severely decreased glomerular filtration rate (CKD G4+): conclusions from a Kidney Disease: Improving Global Outcomes (KDIGO) Controversies Conference</t>
  </si>
  <si>
    <t>Eckardt KU, Bansal N, Coresh J, Evans M, Grams ME, Herzog CA, James MT, Heerspink HJL, Pollock CA, Stevens PE, Tamura MK, Tonelli MA, Wheeler DC, Winkelmayer WC, Cheung M, Hemmelgarn BR; Conference Participants.</t>
  </si>
  <si>
    <t>Kidney Int. 2018 Jun;93(6):1281-1292. doi: 10.1016/j.kint.2018.02.006. Epub 2018 Apr 12.</t>
  </si>
  <si>
    <t>Kidney Int</t>
  </si>
  <si>
    <t>NIHMS972815</t>
  </si>
  <si>
    <t>10.1016/j.kint.2018.02.006</t>
  </si>
  <si>
    <t>Outpatient transition to extended-release injectable naltrexone for patients with opioid use disorder: A phase 3 randomized trial</t>
  </si>
  <si>
    <t>Bisaga A, Mannelli P, Yu M, Nangia N, Graham CE, Tompkins DA, Kosten TR, Akerman SC, Silverman BL, Sullivan MA.</t>
  </si>
  <si>
    <t>Drug Alcohol Depend. 2018 Jun 1;187:171-178. doi: 10.1016/j.drugalcdep.2018.02.023. Epub 2018 Apr 10.</t>
  </si>
  <si>
    <t>Drug Alcohol Depend</t>
  </si>
  <si>
    <t>10.1016/j.drugalcdep.2018.02.023</t>
  </si>
  <si>
    <t>Alternative tumour necrosis factor inhibitors (TNFi) or abatacept or rituximab following failure of initial TNFi in rheumatoid arthritis: the SWITCH RCT</t>
  </si>
  <si>
    <t>Brown S, Everett CC, Naraghi K, Davies C, Dawkins B, Hulme C, McCabe C, Pavitt S, Emery P, Sharples L, Buch MH.</t>
  </si>
  <si>
    <t>Health Technol Assess. 2018 Jun;22(34):1-280. doi: 10.3310/hta22340.</t>
  </si>
  <si>
    <t>10.3310/hta22340</t>
  </si>
  <si>
    <t>Automated monitoring compared to standard care for the early detection of sepsis in critically ill patients</t>
  </si>
  <si>
    <t>Warttig S, Alderson P, Evans DJ, Lewis SR, Kourbeti IS, Smith AF.</t>
  </si>
  <si>
    <t>Cochrane Database Syst Rev. 2018 Jun 25;6(6):CD012404. doi: 10.1002/14651858.CD012404.pub2.</t>
  </si>
  <si>
    <t>10.1002/14651858.CD012404.pub2</t>
  </si>
  <si>
    <t>Stabilising sleep for patients admitted at acute crisis to a psychiatric hospital (OWLS): an assessor-blind pilot randomised controlled trial</t>
  </si>
  <si>
    <t>Sheaves B, Freeman D, Isham L, McInerney J, Nickless A, Yu LM, Rek S, Bradley J, Reeve S, Attard C, Espie CA, Foster R, Wirz-Justice A, Chadwick E, Barrera A.</t>
  </si>
  <si>
    <t>Psychol Med. 2018 Jul;48(10):1694-1704. doi: 10.1017/S0033291717003191. Epub 2017 Nov 7.</t>
  </si>
  <si>
    <t>Psychol Med</t>
  </si>
  <si>
    <t>10.1017/S0033291717003191</t>
  </si>
  <si>
    <t>Topical benzydamine hydrochloride for prevention of postoperative sore throat in adults undergoing tracheal intubation for elective surgery: a systematic review and meta-analysis</t>
  </si>
  <si>
    <t>Kuriyama A, Aga M, Maeda H.</t>
  </si>
  <si>
    <t>Anaesthesia. 2018 Jul;73(7):889-900. doi: 10.1111/anae.14224. Epub 2018 Jan 29.</t>
  </si>
  <si>
    <t>Anaesthesia</t>
  </si>
  <si>
    <t>10.1111/anae.14224</t>
  </si>
  <si>
    <t>Two-Year Outcomes of Sacral Neuromodulation Versus OnabotulinumtoxinA for Refractory Urgency Urinary Incontinence: A Randomized Trial</t>
  </si>
  <si>
    <t>Amundsen CL, Komesu YM, Chermansky C, Gregory WT, Myers DL, Honeycutt EF, Vasavada SP, Nguyen JN, Wilson TS, Harvie HS, Wallace D; Pelvic Floor Disorders Network.</t>
  </si>
  <si>
    <t>Eur Urol. 2018 Jul;74(1):66-73. doi: 10.1016/j.eururo.2018.02.011. Epub 2018 Feb 24.</t>
  </si>
  <si>
    <t>Eur Urol</t>
  </si>
  <si>
    <t>NIHMS946024</t>
  </si>
  <si>
    <t>10.1016/j.eururo.2018.02.011</t>
  </si>
  <si>
    <t>Mechanistic Investigations of Diarrhea Toxicity Induced by Anti-HER2/3 Combination Therapy</t>
  </si>
  <si>
    <t>Moisan A, Michielin F, Jacob W, Kronenberg S, Wilson S, Avignon B, Gérard R, Benmansour F, McIntyre C, Meneses-Lorente G, Hasmann M, Schneeweiss A, Weisser M, Adessi C.</t>
  </si>
  <si>
    <t>Mol Cancer Ther. 2018 Jul;17(7):1464-1474. doi: 10.1158/1535-7163.MCT-17-1268. Epub 2018 Apr 13.</t>
  </si>
  <si>
    <t>Mol Cancer Ther</t>
  </si>
  <si>
    <t>10.1158/1535-7163.MCT-17-1268</t>
  </si>
  <si>
    <t>Peanut gastrointestinal delivery oral immunotherapy in adolescents: Results of the build-up phase of a randomized, double-blind, placebo-controlled trial (PITA study)</t>
  </si>
  <si>
    <t>Fauquert JL, Michaud E, Pereira B, Bernard L, Gourdon-Dubois N, Rouzaire PO, Rochette E, Merlin E, Evrard B; PITA Group.</t>
  </si>
  <si>
    <t>Clin Exp Allergy. 2018 Jul;48(7):862-874. doi: 10.1111/cea.13148. Epub 2018 May 29.</t>
  </si>
  <si>
    <t>10.1111/cea.13148</t>
  </si>
  <si>
    <t>Oral arsenic plus retinoic acid versus intravenous arsenic plus retinoic acid for non-high-risk acute promyelocytic leukaemia: a non-inferiority, randomised phase 3 trial</t>
  </si>
  <si>
    <t>Zhu HH, Wu DP, Du X, Zhang X, Liu L, Ma J, Shao ZH, Ren HY, Hu JD, Xu KL, Wang JW, Song YP, Fang MY, Li J, Yan XY, Huang XJ.</t>
  </si>
  <si>
    <t>Lancet Oncol. 2018 Jul;19(7):871-879. doi: 10.1016/S1470-2045(18)30295-X. Epub 2018 Jun 5.</t>
  </si>
  <si>
    <t>10.1016/S1470-2045(18)30295-X</t>
  </si>
  <si>
    <t>Interventions for the treatment of brain radionecrosis after radiotherapy or radiosurgery</t>
  </si>
  <si>
    <t>Chung C, Bryant A, Brown PD.</t>
  </si>
  <si>
    <t>Cochrane Database Syst Rev. 2018 Jul 9;7(7):CD011492. doi: 10.1002/14651858.CD011492.pub2.</t>
  </si>
  <si>
    <t>10.1002/14651858.CD011492.pub2</t>
  </si>
  <si>
    <t>The Future of Islet Transplantation Is Now</t>
  </si>
  <si>
    <t>Bottino R, Knoll MF, Knoll CA, Bertera S, Trucco MM.</t>
  </si>
  <si>
    <t>Front Med (Lausanne). 2018 Jul 13;5:202. doi: 10.3389/fmed.2018.00202. eCollection 2018.</t>
  </si>
  <si>
    <t>Front Med (Lausanne)</t>
  </si>
  <si>
    <t>10.3389/fmed.2018.00202</t>
  </si>
  <si>
    <t>Antiviral Activity of Oral JNJ-53718678 in Healthy Adult Volunteers Challenged With Respiratory Syncytial Virus: A Placebo-Controlled Study</t>
  </si>
  <si>
    <t>Stevens M, Rusch S, DeVincenzo J, Kim YI, Harrison L, Meals EA, Boyers A, Fok-Seang J, Huntjens D, Lounis N, Mari N K, Remmerie B, Roymans D, Koul A, Verloes R.</t>
  </si>
  <si>
    <t>J Infect Dis. 2018 Jul 24;218(5):748-756. doi: 10.1093/infdis/jiy227.</t>
  </si>
  <si>
    <t>10.1093/infdis/jiy227</t>
  </si>
  <si>
    <t>Treatment for HIV-associated cryptococcal meningitis</t>
  </si>
  <si>
    <t>Tenforde MW, Shapiro AE, Rouse B, Jarvis JN, Li T, Eshun-Wilson I, Ford N.</t>
  </si>
  <si>
    <t>Cochrane Database Syst Rev. 2018 Jul 25;7(7):CD005647. doi: 10.1002/14651858.CD005647.pub3.</t>
  </si>
  <si>
    <t>10.1002/14651858.CD005647.pub3</t>
  </si>
  <si>
    <t>Impact of radiologically stratified exacerbations: insights into pneumonia aetiology in COPD</t>
  </si>
  <si>
    <t>Williams NP, Ostridge K, Devaster JM, Kim V, Coombs NA, Bourne S, Clarke SC, Harden S, Abbas A, Aris E, Lambert C, Tuck A, Williams A, Wootton S, Staples KJ, Wilkinson TMA; AERIS Study Group.</t>
  </si>
  <si>
    <t>Respir Res. 2018 Jul 28;19(1):143. doi: 10.1186/s12931-018-0842-8.</t>
  </si>
  <si>
    <t>10.1186/s12931-018-0842-8</t>
  </si>
  <si>
    <t>Isoniazid for the Prevention of Tuberculosis in HIV-Infected Children: A Systematic Review and Meta-Analysis</t>
  </si>
  <si>
    <t>Charan J, Goyal JP, Reljic T, Emmanuel P, Patel A, Kumar A.</t>
  </si>
  <si>
    <t>Pediatr Infect Dis J. 2018 Aug;37(8):773-780. doi: 10.1097/INF.0000000000001879.</t>
  </si>
  <si>
    <t>Pediatr Infect Dis J</t>
  </si>
  <si>
    <t>NIHMS929919</t>
  </si>
  <si>
    <t>10.1097/INF.0000000000001879</t>
  </si>
  <si>
    <t>Ixekizumab for Treating Moderate-to-Severe Plaque Psoriasis: An Evidence Review Group Perspective of a NICE Single Technology Appraisal</t>
  </si>
  <si>
    <t>Ramaekers BLT, Wolff RF, Pouwels X, Oosterhoff M, Van Giessen A, Worthy G, Noake C, Armstrong N, Kleijnen J, Joore MA.</t>
  </si>
  <si>
    <t>Pharmacoeconomics. 2018 Aug;36(8):917-927. doi: 10.1007/s40273-018-0629-2.</t>
  </si>
  <si>
    <t>10.1007/s40273-018-0629-2</t>
  </si>
  <si>
    <t>A systematic review and meta-analysis of revascularization outcomes of infrainguinal chronic limb-threatening ischemia</t>
  </si>
  <si>
    <t>Almasri J, Adusumalli J, Asi N, Lakis S, Alsawas M, Prokop LJ, Bradbury A, Kolh P, Conte MS, Murad MH.</t>
  </si>
  <si>
    <t>J Vasc Surg. 2018 Aug;68(2):624-633. doi: 10.1016/j.jvs.2018.01.066. Epub 2018 May 24.</t>
  </si>
  <si>
    <t>10.1016/j.jvs.2018.01.066</t>
  </si>
  <si>
    <t>Macimorelin as a Diagnostic Test for Adult GH Deficiency</t>
  </si>
  <si>
    <t>Garcia JM, Biller BMK, Korbonits M, Popovic V, Luger A, Strasburger CJ, Chanson P, Medic-Stojanoska M, Schopohl J, Zakrzewska A, Pekic S, Bolanowski M, Swerdloff R, Wang C, Blevins T, Marcelli M, Ammer N, Sachse R, Yuen KCJ.</t>
  </si>
  <si>
    <t>J Clin Endocrinol Metab. 2018 Aug 1;103(8):3083-3093. doi: 10.1210/jc.2018-00665.</t>
  </si>
  <si>
    <t>10.1210/jc.2018-00665</t>
  </si>
  <si>
    <t>The Lack of Effect of Food on the Pharmacokinetics of ZX008 (Fenfluramine Oral Solution): Results of a Single-dose, Two-period Crossover Study</t>
  </si>
  <si>
    <t>Gammaitoni A, Smith S, Boyd B.</t>
  </si>
  <si>
    <t>Clin Ther. 2018 Aug;40(8):1338-1346. doi: 10.1016/j.clinthera.2018.05.013. Epub 2018 Jun 23.</t>
  </si>
  <si>
    <t>10.1016/j.clinthera.2018.05.013</t>
  </si>
  <si>
    <t>Assessment of Safety and Effectiveness of the Extracorporeal Continuous-Flow Ventricular Assist Device (BR16010) Use as a Bridge-to-Decision Therapy for Severe Heart Failure or Refractory Cardiogenic Shock: Study Protocol for Single-Arm Non-randomized, Uncontrolled, and Investigator-Initiated Clinical Trial</t>
  </si>
  <si>
    <t>Fukushima N, Tatsumi E, Seguchi O, Takewa Y, Hamasaki T, Onda K, Yamamoto H, Hayashi T, Fujita T, Kobayashi J.</t>
  </si>
  <si>
    <t>Cardiovasc Drugs Ther. 2018 Aug;32(4):373-379. doi: 10.1007/s10557-018-6796-8.</t>
  </si>
  <si>
    <t>Cardiovasc Drugs Ther</t>
  </si>
  <si>
    <t>10.1007/s10557-018-6796-8</t>
  </si>
  <si>
    <t>Use of composite outcomes to assess risk-benefit in clinical trials</t>
  </si>
  <si>
    <t>Shaw PA.</t>
  </si>
  <si>
    <t>Clin Trials. 2018 Aug;15(4):352-358. doi: 10.1177/1740774518784010.</t>
  </si>
  <si>
    <t>10.1177/1740774518784010</t>
  </si>
  <si>
    <t>An overview of the efficacy and safety of systemic treatments for psoriasis in the elderly</t>
  </si>
  <si>
    <t>Di Lernia V, Goldust M.</t>
  </si>
  <si>
    <t>Expert Opin Biol Ther. 2018 Aug;18(8):897-903. doi: 10.1080/14712598.2018.1504016. Epub 2018 Jul 26.</t>
  </si>
  <si>
    <t>10.1080/14712598.2018.1504016</t>
  </si>
  <si>
    <t>Bleeding by the numbers: The utility and the limitations of bleeding scores, bleeding prediction tools, and bleeding case definitions</t>
  </si>
  <si>
    <t>Rimmer EK, Houston DS.</t>
  </si>
  <si>
    <t>Transfus Apher Sci. 2018 Aug;57(4):458-462. doi: 10.1016/j.transci.2018.07.004. Epub 2018 Jul 21.</t>
  </si>
  <si>
    <t>Transfus Apher Sci</t>
  </si>
  <si>
    <t>10.1016/j.transci.2018.07.004</t>
  </si>
  <si>
    <t>Cell therapy induced regeneration of severely atrophied mandibular bone in a clinical trial</t>
  </si>
  <si>
    <t>Gjerde C, Mustafa K, Hellem S, Rojewski M, Gjengedal H, Yassin MA, Feng X, Skaale S, Berge T, Rosen A, Shi XQ, Ahmed AB, Gjertsen BT, Schrezenmeier H, Layrolle P.</t>
  </si>
  <si>
    <t>Stem Cell Res Ther. 2018 Aug 9;9(1):213. doi: 10.1186/s13287-018-0951-9.</t>
  </si>
  <si>
    <t>10.1186/s13287-018-0951-9</t>
  </si>
  <si>
    <t>Probiotics for the prevention or treatment of chemotherapy- or radiotherapy-related diarrhoea in people with cancer</t>
  </si>
  <si>
    <t>Wei D, Heus P, van de Wetering FT, van Tienhoven G, Verleye L, Scholten RJ.</t>
  </si>
  <si>
    <t>Cochrane Database Syst Rev. 2018 Aug 31;8(8):CD008831. doi: 10.1002/14651858.CD008831.pub3.</t>
  </si>
  <si>
    <t>10.1002/14651858.CD008831.pub3</t>
  </si>
  <si>
    <t>A multilayer biomaterial for osteochondral regeneration shows superiority vs microfractures for the treatment of osteochondral lesions in a multicentre randomized trial at 2 years</t>
  </si>
  <si>
    <t>Kon E, Filardo G, Brittberg M, Busacca M, Condello V, Engebretsen L, Marlovits S, Niemeyer P, Platzer P, Posthumus M, Verdonk P, Verdonk R, Victor J, van der Merwe W, Widuchowski W, Zorzi C, Marcacci M.</t>
  </si>
  <si>
    <t>Knee Surg Sports Traumatol Arthrosc. 2018 Sep;26(9):2704-2715. doi: 10.1007/s00167-017-4707-3. Epub 2017 Sep 14.</t>
  </si>
  <si>
    <t>Knee Surg Sports Traumatol Arthrosc</t>
  </si>
  <si>
    <t>10.1007/s00167-017-4707-3</t>
  </si>
  <si>
    <t>When repetitive mental sets increase cognitive flexibility in adolescent obsessive-compulsive disorder</t>
  </si>
  <si>
    <t>Wolff N, Giller F, Buse J, Roessner V, Beste C.</t>
  </si>
  <si>
    <t>J Child Psychol Psychiatry. 2018 Sep;59(9):1024-1032. doi: 10.1111/jcpp.12901. Epub 2018 Mar 30.</t>
  </si>
  <si>
    <t>J Child Psychol Psychiatry</t>
  </si>
  <si>
    <t>10.1111/jcpp.12901</t>
  </si>
  <si>
    <t>An international, multicenter, comparative trial of EUS-guided gastrogastrostomy-assisted ERCP versus enteroscopy-assisted ERCP in patients with Roux-en-Y gastric bypass anatomy</t>
  </si>
  <si>
    <t>Bukhari M, Kowalski T, Nieto J, Kunda R, Ahuja NK, Irani S, Shah A, Loren D, Brewer O, Sanaei O, Chen YI, Ngamruengphong S, Kumbhari V, Singh V, Aridi HD, Khashab MA.</t>
  </si>
  <si>
    <t>Gastrointest Endosc. 2018 Sep;88(3):486-494. doi: 10.1016/j.gie.2018.04.2356. Epub 2018 May 3.</t>
  </si>
  <si>
    <t>Gastrointest Endosc</t>
  </si>
  <si>
    <t>10.1016/j.gie.2018.04.2356</t>
  </si>
  <si>
    <t>Improvement of maternal and fetal outcomes in women with sickle cell disease treated with early prophylactic erythrocytapheresis</t>
  </si>
  <si>
    <t>Vianello A, Vencato E, Cantini M, Zanconato G, Manfrin E, Zamo A, Zorzi F, Mazzi F, Martinelli N, Cavaliere E, Monari F, Venturelli D, Ferrara F, Olivieri O, De Franceschi L.</t>
  </si>
  <si>
    <t>Transfusion. 2018 Sep;58(9):2192-2201. doi: 10.1111/trf.14767. Epub 2018 Jul 8.</t>
  </si>
  <si>
    <t>Transfusion</t>
  </si>
  <si>
    <t>10.1111/trf.14767</t>
  </si>
  <si>
    <t>Atherosclerosis in cholesterol-fed rabbits and in homozygous and heterozygous LDL receptor-deficient humans</t>
  </si>
  <si>
    <t>Thompson GR.</t>
  </si>
  <si>
    <t>Atherosclerosis. 2018 Sep;276:148-154. doi: 10.1016/j.atherosclerosis.2018.07.032. Epub 2018 Jul 26.</t>
  </si>
  <si>
    <t>Atherosclerosis</t>
  </si>
  <si>
    <t>10.1016/j.atherosclerosis.2018.07.032</t>
  </si>
  <si>
    <t>A scalable, integrated intervention to engage people who inject drugs in HIV care and medication-assisted treatment (HPTN 074): a randomised, controlled phase 3 feasibility and efficacy study</t>
  </si>
  <si>
    <t>Miller WC, Hoffman IF, Hanscom BS, Ha TV, Dumchev K, Djoerban Z, Rose SM, Latkin CA, Metzger DS, Lancaster KE, Go VF, Dvoriak S, Mollan KR, Reifeis SA, Piwowar-Manning EM, Richardson P, Hudgens MG, Hamilton EL, Sugarman J, Eshleman SH, Susami H, Chu VA, Djauzi S, Kiriazova T, Bui DD, Strathdee SA, Burns DN.</t>
  </si>
  <si>
    <t>Lancet. 2018 Sep 1;392(10149):747-759. doi: 10.1016/S0140-6736(18)31487-9.</t>
  </si>
  <si>
    <t>NIHMS1506084</t>
  </si>
  <si>
    <t>10.1016/S0140-6736(18)31487-9</t>
  </si>
  <si>
    <t>Restricted fluid bolus versus current practice in children with septic shock: the FiSh feasibility study and pilot RCT</t>
  </si>
  <si>
    <t>Inwald D, Canter RR, Woolfall K, O'Hara CB, Mouncey PR, Zenasni Z, Hudson N, Saunders S, Carter A, Jones N, Lyttle MD, Nadel S, Peters MJ, Harrison DA, Rowan KM.</t>
  </si>
  <si>
    <t>Health Technol Assess. 2018 Sep;22(51):1-106. doi: 10.3310/hta22510.</t>
  </si>
  <si>
    <t>10.3310/hta22510</t>
  </si>
  <si>
    <t>Antibiotic therapy for skin and soft tissue infections: a protocol for a systematic review and network meta-analysis</t>
  </si>
  <si>
    <t>Bartoszko JJ, Mertz D, Thabane L, Loeb M.</t>
  </si>
  <si>
    <t>Syst Rev. 2018 Sep 11;7(1):138. doi: 10.1186/s13643-018-0804-8.</t>
  </si>
  <si>
    <t>Syst Rev</t>
  </si>
  <si>
    <t>10.1186/s13643-018-0804-8</t>
  </si>
  <si>
    <t>Eliciting Dose and Safety Outcomes From a Large Dataset of Standardized Multiple Food Challenges</t>
  </si>
  <si>
    <t>Purington N, Chinthrajah RS, Long A, Sindher S, Andorf S, O'Laughlin K, Woch MA, Scheiber A, Assa'ad A, Pongracic J, Spergel JM, Tam J, Tilles S, Wang J, Galli SJ, Desai M, Nadeau KC.</t>
  </si>
  <si>
    <t>Front Immunol. 2018 Sep 21;9:2057. doi: 10.3389/fimmu.2018.02057. eCollection 2018.</t>
  </si>
  <si>
    <t>Front Immunol</t>
  </si>
  <si>
    <t>10.3389/fimmu.2018.02057</t>
  </si>
  <si>
    <t>Effects of Treatment Delay on Efficacy of Tecovirimat Following Lethal Aerosol Monkeypox Virus Challenge in Cynomolgus Macaques</t>
  </si>
  <si>
    <t>Russo AT, Grosenbach DW, Brasel TL, Baker RO, Cawthon AG, Reynolds E, Bailey T, Kuehl PJ, Sugita V, Agans K, Hruby DE.</t>
  </si>
  <si>
    <t>J Infect Dis. 2018 Sep 22;218(9):1490-1499. doi: 10.1093/infdis/jiy326.</t>
  </si>
  <si>
    <t>10.1093/infdis/jiy326</t>
  </si>
  <si>
    <t>Double-blind, placebo-controlled study with alginate suspension for laryngopharyngeal reflux disease</t>
  </si>
  <si>
    <t>Tseng WH, Tseng PH, Wu JF, Hsu YC, Lee TY, Ni YH, Wang HP, Hsiao TY, Hsu WC.</t>
  </si>
  <si>
    <t>Laryngoscope. 2018 Oct;128(10):2252-2260. doi: 10.1002/lary.27111. Epub 2018 Feb 5.</t>
  </si>
  <si>
    <t>Laryngoscope</t>
  </si>
  <si>
    <t>10.1002/lary.27111</t>
  </si>
  <si>
    <t>Respiratory depression in low acuity hospital settings-Seeking answers from the PRODIGY trial</t>
  </si>
  <si>
    <t>Khanna AK, Overdyk FJ, Greening C, Di Stefano P, Buhre WF.</t>
  </si>
  <si>
    <t>J Crit Care. 2018 Oct;47:80-87. doi: 10.1016/j.jcrc.2018.06.014. Epub 2018 Jun 18.</t>
  </si>
  <si>
    <t>10.1016/j.jcrc.2018.06.014</t>
  </si>
  <si>
    <t>Preliminary experience with tigecycline treatment for severe infection in children</t>
  </si>
  <si>
    <t>Ye S, Zhang C, Lin S.</t>
  </si>
  <si>
    <t>Eur J Pediatr. 2018 Oct;177(10):1489-1496. doi: 10.1007/s00431-018-3208-9. Epub 2018 Jul 14.</t>
  </si>
  <si>
    <t>Eur J Pediatr</t>
  </si>
  <si>
    <t>10.1007/s00431-018-3208-9</t>
  </si>
  <si>
    <t>Brentuximab vedotin for paediatric relapsed or refractory Hodgkin's lymphoma and anaplastic large-cell lymphoma: a multicentre, open-label, phase 1/2 study</t>
  </si>
  <si>
    <t>Locatelli F, Mauz-Koerholz C, Neville K, Llort A, Beishuizen A, Daw S, Pillon M, Aladjidi N, Klingebiel T, Landman-Parker J, Medina-Sanson A, August K, Sachs J, Hoffman K, Kinley J, Song S, Song G, Zhang S, Suri A, Gore L.</t>
  </si>
  <si>
    <t>Lancet Haematol. 2018 Oct;5(10):e450-e461. doi: 10.1016/S2352-3026(18)30153-4.</t>
  </si>
  <si>
    <t>10.1016/S2352-3026(18)30153-4</t>
  </si>
  <si>
    <t>P2Y(12)-ADP Receptor Blockade in Chronic Kidney Disease Patients With Acute Coronary Syndromes</t>
  </si>
  <si>
    <t>Bonello L, Angiolillo DJ, Aradi D, Sibbing D.</t>
  </si>
  <si>
    <t>Circulation. 2018 Oct 9;138(15):1582-1596. doi: 10.1161/CIRCULATIONAHA.118.032078.</t>
  </si>
  <si>
    <t>10.1161/CIRCULATIONAHA.118.032078</t>
  </si>
  <si>
    <t>Closed-loop insulin delivery in suboptimally controlled type 1 diabetes: a multicentre, 12-week randomised trial</t>
  </si>
  <si>
    <t>Tauschmann M, Thabit H, Bally L, Allen JM, Hartnell S, Wilinska ME, Ruan Y, Sibayan J, Kollman C, Cheng P, Beck RW, Acerini CL, Evans ML, Dunger DB, Elleri D, Campbell F, Bergenstal RM, Criego A, Shah VN, Leelarathna L, Hovorka R; APCam11 Consortium.</t>
  </si>
  <si>
    <t>Lancet. 2018 Oct 13;392(10155):1321-1329. doi: 10.1016/S0140-6736(18)31947-0. Epub 2018 Oct 3.</t>
  </si>
  <si>
    <t>10.1016/S0140-6736(18)31947-0</t>
  </si>
  <si>
    <t>Non-adjunctive flash glucose monitoring system use during summer-camp in children with type 1 diabetes: The free-summer study</t>
  </si>
  <si>
    <t>Piona C, Dovc K, Mutlu GY, Grad K, Gregorc P, Battelino T, Bratina N.</t>
  </si>
  <si>
    <t>Pediatr Diabetes. 2018 Nov;19(7):1285-1293. doi: 10.1111/pedi.12729. Epub 2018 Aug 16.</t>
  </si>
  <si>
    <t>Pediatr Diabetes</t>
  </si>
  <si>
    <t>10.1111/pedi.12729</t>
  </si>
  <si>
    <t>Evaluation of the Safety and Efficacy of a Multienzyme Complex in Patients with Functional Dyspepsia: A Randomized, Double-Blind, Placebo-Controlled Study</t>
  </si>
  <si>
    <t>Majeed M, Majeed S, Nagabhushanam K, Arumugam S, Pande A, Paschapur M, Ali F.</t>
  </si>
  <si>
    <t>J Med Food. 2018 Nov;21(11):1120-1128. doi: 10.1089/jmf.2017.4172. Epub 2018 Aug 29.</t>
  </si>
  <si>
    <t>J Med Food</t>
  </si>
  <si>
    <t>10.1089/jmf.2017.4172</t>
  </si>
  <si>
    <t>Oral vancomycin versus metronidazole for the treatment of Clostridioides difficile infection: Meta-analysis of randomized controlled trials</t>
  </si>
  <si>
    <t>Igarashi Y, Tashiro S, Enoki Y, Taguchi K, Matsumoto K, Ohge H, Suzuki H, Nakamura A, Mori N, Morinaga Y, Yamagishi Y, Yoshizawa S, Yanagihara K, Mikamo H, Kunishima H.</t>
  </si>
  <si>
    <t>J Infect Chemother. 2018 Nov;24(11):907-914. doi: 10.1016/j.jiac.2018.08.003. Epub 2018 Aug 29.</t>
  </si>
  <si>
    <t>10.1016/j.jiac.2018.08.003</t>
  </si>
  <si>
    <t>Psychiatric adverse events in oseltamivir prophylaxis trials: Novel comparative analysis using data obtained from clinical study reports</t>
  </si>
  <si>
    <t>Jones M, Tett SE, Del Mar C.</t>
  </si>
  <si>
    <t>Pharmacoepidemiol Drug Saf. 2018 Nov;27(11):1217-1222. doi: 10.1002/pds.4651. Epub 2018 Sep 12.</t>
  </si>
  <si>
    <t>10.1002/pds.4651</t>
  </si>
  <si>
    <t>The Mother of All Pandemics Is 100 Years Old (and Going Strong)!</t>
  </si>
  <si>
    <t>Morens DM, Taubenberger JK.</t>
  </si>
  <si>
    <t>Am J Public Health. 2018 Nov;108(11):1449-1454. doi: 10.2105/AJPH.2018.304631. Epub 2018 Sep 25.</t>
  </si>
  <si>
    <t>Am J Public Health</t>
  </si>
  <si>
    <t>10.2105/AJPH.2018.304631</t>
  </si>
  <si>
    <t>Low coverage of HPV vaccination in the national immunization programme in Brazil: Parental vaccine refusal or barriers in health-service based vaccine delivery?</t>
  </si>
  <si>
    <t>Mendes Lobão W, Duarte FG, Burns JD, de Souza Teles Santos CA, Chagas de Almeida MC, Reingold A, Duarte Moreira E Junior.</t>
  </si>
  <si>
    <t>PLoS One. 2018 Nov 12;13(11):e0206726. doi: 10.1371/journal.pone.0206726. eCollection 2018.</t>
  </si>
  <si>
    <t>10.1371/journal.pone.0206726</t>
  </si>
  <si>
    <t>Salmonella enterica Serovar Typhi in Bangladesh: Exploration of Genomic Diversity and Antimicrobial Resistance</t>
  </si>
  <si>
    <t>Tanmoy AM, Westeel E, De Bruyne K, Goris J, Rajoharison A, Sajib MSI, van Belkum A, Saha SK, Komurian-Pradel F, Endtz HP.</t>
  </si>
  <si>
    <t>mBio. 2018 Nov 13;9(6):e02112-18. doi: 10.1128/mBio.02112-18.</t>
  </si>
  <si>
    <t>10.1128/mBio.02112-18</t>
  </si>
  <si>
    <t>Fecal transplantation for treatment of inflammatory bowel disease</t>
  </si>
  <si>
    <t>Imdad A, Nicholson MR, Tanner-Smith EE, Zackular JP, Gomez-Duarte OG, Beaulieu DB, Acra S.</t>
  </si>
  <si>
    <t>Cochrane Database Syst Rev. 2018 Nov 13;11(11):CD012774. doi: 10.1002/14651858.CD012774.pub2.</t>
  </si>
  <si>
    <t>10.1002/14651858.CD012774.pub2</t>
  </si>
  <si>
    <t>AR101 Oral Immunotherapy for Peanut Allergy</t>
  </si>
  <si>
    <t>PALISADE Group of Clinical Investigators, Vickery BP, Vereda A, Casale TB, Beyer K, du Toit G, Hourihane JO, Jones SM, Shreffler WG, Marcantonio A, Zawadzki R, Sher L, Carr WW, Fineman S, Greos L, Rachid R, Ibáñez MD, Tilles S, Assa’ad AH, Nilsson C, Rupp N, Welch MJ, Sussman G, Chinthrajah S, Blumchen K, Sher E, Spergel JM, Leickly FE, Zielen S, Wang J, Sanders GM, Wood RA, Cheema A, Bindslev-Jensen C, Leonard S, Kachru R, Johnston DT, Hampel FC Jr, Kim EH, Anagnostou A, Pongracic JA, Ben-Shoshan M, Sharma HP, Stillerman A, Windom HH, Yang WH, Muraro A, Zubeldia JM, Sharma V, Dorsey MJ, Chong HJ, Ohayon J, Bird JA, Carr TF, Siri D, Fernández-Rivas M, Jeong DK, Fleischer DM, Lieberman JA, Dubois AEJ, Tsoumani M, Ciaccio CE, Portnoy JM, Mansfield LE, Fritz SB, Lanser BJ, Matz J, Oude Elberink HNG, Varshney P, Dilly SG, Adelman DC, Burks AW.</t>
  </si>
  <si>
    <t>N Engl J Med. 2018 Nov 22;379(21):1991-2001. doi: 10.1056/NEJMoa1812856. Epub 2018 Nov 18.</t>
  </si>
  <si>
    <t>10.1056/NEJMoa1812856</t>
  </si>
  <si>
    <t>Sliding scale insulin for non-critically ill hospitalised adults with diabetes mellitus</t>
  </si>
  <si>
    <t>Colunga-Lozano LE, Gonzalez Torres FJ, Delgado-Figueroa N, Gonzalez-Padilla DA, Hernandez AV, Roman Y, Cuello-García CA.</t>
  </si>
  <si>
    <t>Cochrane Database Syst Rev. 2018 Nov 29;11(11):CD011296. doi: 10.1002/14651858.CD011296.pub2.</t>
  </si>
  <si>
    <t>10.1002/14651858.CD011296.pub2</t>
  </si>
  <si>
    <t>H. pylori and Parkinson's disease: Meta-analyses including clinical severity</t>
  </si>
  <si>
    <t>Dardiotis E, Tsouris Z, Mentis AA, Siokas V, Michalopoulou A, Sokratous M, Dastamani M, Bogdanos DP, Deretzi G, Kountouras J.</t>
  </si>
  <si>
    <t>Clin Neurol Neurosurg. 2018 Dec;175:16-24. doi: 10.1016/j.clineuro.2018.09.039. Epub 2018 Oct 1.</t>
  </si>
  <si>
    <t>Clin Neurol Neurosurg</t>
  </si>
  <si>
    <t>10.1016/j.clineuro.2018.09.039</t>
  </si>
  <si>
    <t>Dual combination therapy versus long-acting bronchodilators alone for chronic obstructive pulmonary disease (COPD): a systematic review and network meta-analysis</t>
  </si>
  <si>
    <t>Oba Y, Keeney E, Ghatehorde N, Dias S.</t>
  </si>
  <si>
    <t>Cochrane Database Syst Rev. 2018 Dec 3;12(12):CD012620. doi: 10.1002/14651858.CD012620.pub2.</t>
  </si>
  <si>
    <t>10.1002/14651858.CD012620.pub2</t>
  </si>
  <si>
    <t>Reviewing the role of healthy volunteer studies in drug development</t>
  </si>
  <si>
    <t>Karakunnel JJ, Bui N, Palaniappan L, Schmidt KT, Mahaffey KW, Morrison B, Figg WD, Kummar S.</t>
  </si>
  <si>
    <t>J Transl Med. 2018 Dec 4;16(1):336. doi: 10.1186/s12967-018-1710-5.</t>
  </si>
  <si>
    <t>10.1186/s12967-018-1710-5</t>
  </si>
  <si>
    <t>A phase I trial of low-dose inhaled carbon monoxide in sepsis-induced ARDS</t>
  </si>
  <si>
    <t>Fredenburgh LE, Perrella MA, Barragan-Bradford D, Hess DR, Peters E, Welty-Wolf KE, Kraft BD, Harris RS, Maurer R, Nakahira K, Oromendia C, Davies JD, Higuera A, Schiffer KT, Englert JA, Dieffenbach PB, Berlin DA, Lagambina S, Bouthot M, Sullivan AI, Nuccio PF, Kone MT, Malik MJ, Porras MAP, Finkelsztein E, Winkler T, Hurwitz S, Serhan CN, Piantadosi CA, Baron RM, Thompson BT, Choi AM.</t>
  </si>
  <si>
    <t>JCI Insight. 2018 Dec 6;3(23):e124039. doi: 10.1172/jci.insight.124039.</t>
  </si>
  <si>
    <t>10.1172/jci.insight.124039</t>
  </si>
  <si>
    <t>Stratified Medical Therapy Using Invasive Coronary Function Testing in Angina: The CorMicA Trial</t>
  </si>
  <si>
    <t>Ford TJ, Stanley B, Good R, Rocchiccioli P, McEntegart M, Watkins S, Eteiba H, Shaukat A, Lindsay M, Robertson K, Hood S, McGeoch R, McDade R, Yii E, Sidik N, McCartney P, Corcoran D, Collison D, Rush C, McConnachie A, Touyz RM, Oldroyd KG, Berry C.</t>
  </si>
  <si>
    <t>J Am Coll Cardiol. 2018 Dec 11;72(23 Pt A):2841-2855. doi: 10.1016/j.jacc.2018.09.006. Epub 2018 Sep 25.</t>
  </si>
  <si>
    <t>10.1016/j.jacc.2018.09.006</t>
  </si>
  <si>
    <t>GLP-1RAs in type 2 diabetes: mechanisms that underlie cardiovascular effects and overview of cardiovascular outcome data</t>
  </si>
  <si>
    <t>Sposito AC, Berwanger O, de Carvalho LSF, Saraiva JFK.</t>
  </si>
  <si>
    <t>Cardiovasc Diabetol. 2018 Dec 13;17(1):157. doi: 10.1186/s12933-018-0800-2.</t>
  </si>
  <si>
    <t>Cardiovasc Diabetol</t>
  </si>
  <si>
    <t>10.1186/s12933-018-0800-2</t>
  </si>
  <si>
    <t>Clinical outcomes of radiation therapy for clinical T4b oesophageal cancer with airway invasion</t>
  </si>
  <si>
    <t>Kim H, Oh D, Ahn YC, Park K, Ahn MJ, Lee SH, Sun JM, Shim YM, Zo JI, Choi YS, Kim HK, Cho JH.</t>
  </si>
  <si>
    <t>Radiat Oncol. 2018 Dec 14;13(1):245. doi: 10.1186/s13014-018-1196-6.</t>
  </si>
  <si>
    <t>Radiat Oncol</t>
  </si>
  <si>
    <t>10.1186/s13014-018-1196-6</t>
  </si>
  <si>
    <t>Topical glycopyrronium tosylate for the treatment of primary axillary hyperhidrosis: Results from the ATMOS-1 and ATMOS-2 phase 3 randomized controlled trials</t>
  </si>
  <si>
    <t>Glaser DA, Hebert AA, Nast A, Werschler WP, Green L, Mamelok R, Drew J, Quiring J, Pariser DM.</t>
  </si>
  <si>
    <t>J Am Acad Dermatol. 2019 Jan;80(1):128-138.e2. doi: 10.1016/j.jaad.2018.07.002. Epub 2018 Jul 10.</t>
  </si>
  <si>
    <t>10.1016/j.jaad.2018.07.002</t>
  </si>
  <si>
    <t>Characteristics of Spontaneous Spinal Cord Infarction and Proposed Diagnostic Criteria</t>
  </si>
  <si>
    <t>Zalewski NL, Rabinstein AA, Krecke KN, Brown RD Jr, Wijdicks EFM, Weinshenker BG, Kaufmann TJ, Morris JM, Aksamit AJ, Bartleson JD, Lanzino G, Blessing MM, Flanagan EP.</t>
  </si>
  <si>
    <t>JAMA Neurol. 2019 Jan 1;76(1):56-63. doi: 10.1001/jamaneurol.2018.2734.</t>
  </si>
  <si>
    <t>10.1001/jamaneurol.2018.2734</t>
  </si>
  <si>
    <t>Comparison of Two Pediatric Early Warning Systems: A Randomized Trial</t>
  </si>
  <si>
    <t>Jensen CS, Olesen HV, Aagaard H, Svendsen MLO, Kirkegaard H.</t>
  </si>
  <si>
    <t>J Pediatr Nurs. 2019 Jan-Feb;44:e58-e65. doi: 10.1016/j.pedn.2018.11.001. Epub 2018 Nov 22.</t>
  </si>
  <si>
    <t>J Pediatr Nurs</t>
  </si>
  <si>
    <t>10.1016/j.pedn.2018.11.001</t>
  </si>
  <si>
    <t>Apremilast for moderate hidradenitis suppurativa: Results of a randomized controlled trial</t>
  </si>
  <si>
    <t>Vossen ARJV, van Doorn MBA, van der Zee HH, Prens EP.</t>
  </si>
  <si>
    <t>J Am Acad Dermatol. 2019 Jan;80(1):80-88. doi: 10.1016/j.jaad.2018.06.046. Epub 2018 Jul 3.</t>
  </si>
  <si>
    <t>10.1016/j.jaad.2018.06.046</t>
  </si>
  <si>
    <t>Clinical outcomes of bypass-first versus endovascular-first strategy in patients with chronic limb-threatening ischemia due to infrageniculate arterial disease</t>
  </si>
  <si>
    <t>Dayama A, Tsilimparis N, Kolakowski S, Matolo NM, Humphries MD.</t>
  </si>
  <si>
    <t>J Vasc Surg. 2019 Jan;69(1):156-163.e1. doi: 10.1016/j.jvs.2018.05.244.</t>
  </si>
  <si>
    <t>10.1016/j.jvs.2018.05.244</t>
  </si>
  <si>
    <t>Feasibility of Three Novel Forms of Passive Exercise in a Multisensory Environment in Vulnerable Institutionalized Older Adults with Dementia</t>
  </si>
  <si>
    <t>Heesterbeek M, van der Zee EA, van Heuvelen MJG.</t>
  </si>
  <si>
    <t>J Alzheimers Dis. 2019;70(3):681-690. doi: 10.3233/JAD-190309.</t>
  </si>
  <si>
    <t>J Alzheimers Dis</t>
  </si>
  <si>
    <t>10.3233/JAD-190309</t>
  </si>
  <si>
    <t>Idiosyncratic drug-induced liver injury in patients: Detection, severity assessment, and regulatory implications</t>
  </si>
  <si>
    <t>Watkins PB.</t>
  </si>
  <si>
    <t>Adv Pharmacol. 2019;85:165-193. doi: 10.1016/bs.apha.2019.02.004. Epub 2019 Apr 30.</t>
  </si>
  <si>
    <t>Adv Pharmacol</t>
  </si>
  <si>
    <t>10.1016/bs.apha.2019.02.004</t>
  </si>
  <si>
    <t>Methylene Blue-Based Near-Infrared Fluorescence Imaging for Breast Cancer Visualization in Resected Human Tissues</t>
  </si>
  <si>
    <t>Zhang C, Jiang D, Huang B, Wang C, Zhao L, Xie X, Zhang Z, Wang K, Tian J, Luo Y.</t>
  </si>
  <si>
    <t>Technol Cancer Res Treat. 2019 Jan-Dec;18:1533033819894331. doi: 10.1177/1533033819894331.</t>
  </si>
  <si>
    <t>Technol Cancer Res Treat</t>
  </si>
  <si>
    <t>10.1177/1533033819894331</t>
  </si>
  <si>
    <t>Early discontinuation of antibiotics for febrile neutropenia versus continuation until neutropenia resolution in people with cancer</t>
  </si>
  <si>
    <t>Stern A, Carrara E, Bitterman R, Yahav D, Leibovici L, Paul M.</t>
  </si>
  <si>
    <t>Cochrane Database Syst Rev. 2019 Jan 3;1(1):CD012184. doi: 10.1002/14651858.CD012184.pub2.</t>
  </si>
  <si>
    <t>10.1002/14651858.CD012184.pub2</t>
  </si>
  <si>
    <t>Wellbeing intervention for chronic kidney disease (WICKD): a randomised controlled trial study protocol</t>
  </si>
  <si>
    <t>Dingwall KM, Nagel T, Hughes JT, Kavanagh DJ, Cass A, Howard K, Sweet M, Brown S, Sajiv C, Majoni SW.</t>
  </si>
  <si>
    <t>BMC Psychol. 2019 Jan 8;7(1):2. doi: 10.1186/s40359-018-0264-x.</t>
  </si>
  <si>
    <t>BMC Psychol</t>
  </si>
  <si>
    <t>10.1186/s40359-018-0264-x</t>
  </si>
  <si>
    <t>Gonzales MLM, Dans LF, Sio-Aguilar J.</t>
  </si>
  <si>
    <t>Cochrane Database Syst Rev. 2019 Jan 9;1(1):CD006085. doi: 10.1002/14651858.CD006085.pub3.</t>
  </si>
  <si>
    <t>10.1002/14651858.CD006085.pub3</t>
  </si>
  <si>
    <t>Clinical and economic outcomes of remotely delivered cognitive behaviour therapy versus treatment as usual for repeat unscheduled care users with severe health anxiety: a multicentre randomised controlled trial</t>
  </si>
  <si>
    <t>Morriss R, Patel S, Malins S, Guo B, Higton F, James M, Wu M, Brown P, Boycott N, Kaylor-Hughes C, Morris M, Rowley E, Simpson J, Smart D, Stubley M, Kai J, Tyrer H.</t>
  </si>
  <si>
    <t>BMC Med. 2019 Jan 23;17(1):16. doi: 10.1186/s12916-019-1253-5.</t>
  </si>
  <si>
    <t>10.1186/s12916-019-1253-5</t>
  </si>
  <si>
    <t>Fecal microbiota transplantation for treatment of recurrent C. difficile infection: An updated randomized controlled trial meta-analysis</t>
  </si>
  <si>
    <t>Hui W, Li T, Liu W, Zhou C, Gao F.</t>
  </si>
  <si>
    <t>PLoS One. 2019 Jan 23;14(1):e0210016. doi: 10.1371/journal.pone.0210016. eCollection 2019.</t>
  </si>
  <si>
    <t>10.1371/journal.pone.0210016</t>
  </si>
  <si>
    <t>Effects and safety of atmospheric low-temperature plasma on bacterial reduction in chronic wounds and wound size reduction: A systematic review and meta-analysis</t>
  </si>
  <si>
    <t>Assadian O, Ousey KJ, Daeschlein G, Kramer A, Parker C, Tanner J, Leaper DJ.</t>
  </si>
  <si>
    <t>Int Wound J. 2019 Feb;16(1):103-111. doi: 10.1111/iwj.12999. Epub 2018 Oct 12.</t>
  </si>
  <si>
    <t>10.1111/iwj.12999</t>
  </si>
  <si>
    <t>CureGN Study Rationale, Design, and Methods: Establishing a Large Prospective Observational Study of Glomerular Disease</t>
  </si>
  <si>
    <t>Mariani LH, Bomback AS, Canetta PA, Flessner MF, Helmuth M, Hladunewich MA, Hogan JJ, Kiryluk K, Nachman PH, Nast CC, Rheault MN, Rizk DV, Trachtman H, Wenderfer SE, Bowers C, Hill-Callahan P, Marasa M, Poulton CJ, Revell A, Vento S, Barisoni L, Cattran D, D'Agati V, Jennette JC, Klein JB, Laurin LP, Twombley K, Falk RJ, Gharavi AG, Gillespie BW, Gipson DS, Greenbaum LA, Holzman LB, Kretzler M, Robinson B, Smoyer WE, Guay-Woodford LM; CureGN Consortium.</t>
  </si>
  <si>
    <t>Am J Kidney Dis. 2019 Feb;73(2):218-229. doi: 10.1053/j.ajkd.2018.07.020. Epub 2018 Nov 9.</t>
  </si>
  <si>
    <t>NIHMS1512170</t>
  </si>
  <si>
    <t>10.1053/j.ajkd.2018.07.020</t>
  </si>
  <si>
    <t>Efficacy, Safety, and Quality of Life in a Multicenter, Randomized, Placebo-Controlled Trial of Low-Dose Peanut Oral Immunotherapy in Children with Peanut Allergy</t>
  </si>
  <si>
    <t>Blumchen K, Trendelenburg V, Ahrens F, Gruebl A, Hamelmann E, Hansen G, Heinzmann A, Nemat K, Holzhauser T, Roeder M, Rosenfeld L, Hartmann O, Niggemann B, Beyer K.</t>
  </si>
  <si>
    <t>J Allergy Clin Immunol Pract. 2019 Feb;7(2):479-491.e10. doi: 10.1016/j.jaip.2018.10.048. Epub 2018 Nov 10.</t>
  </si>
  <si>
    <t>10.1016/j.jaip.2018.10.048</t>
  </si>
  <si>
    <t>Safety and efficacy of monoclonal antibody VIS410 in adults with uncomplicated influenza A infection: Results from a randomized, double-blind, phase-2, placebo-controlled study</t>
  </si>
  <si>
    <t>Hershberger E, Sloan S, Narayan K, Hay CA, Smith P, Engler F, Jeeninga R, Smits S, Trevejo J, Shriver Z, Oldach D.</t>
  </si>
  <si>
    <t>EBioMedicine. 2019 Feb;40:574-582. doi: 10.1016/j.ebiom.2018.12.051. Epub 2019 Jan 9.</t>
  </si>
  <si>
    <t>10.1016/j.ebiom.2018.12.051</t>
  </si>
  <si>
    <t>Cefiderocol: A Siderophore Cephalosporin with Activity Against Carbapenem-Resistant and Multidrug-Resistant Gram-Negative Bacilli</t>
  </si>
  <si>
    <t>Zhanel GG, Golden AR, Zelenitsky S, Wiebe K, Lawrence CK, Adam HJ, Idowu T, Domalaon R, Schweizer F, Zhanel MA, Lagacé-Wiens PRS, Walkty AJ, Noreddin A, Lynch Iii JP, Karlowsky JA.</t>
  </si>
  <si>
    <t>Drugs. 2019 Feb;79(3):271-289. doi: 10.1007/s40265-019-1055-2.</t>
  </si>
  <si>
    <t>10.1007/s40265-019-1055-2</t>
  </si>
  <si>
    <t>Full versus half dose of antenatal betamethasone to prevent severe neonatal respiratory distress syndrome associated with preterm birth: study protocol for a randomised, multicenter, double blind, placebo-controlled, non-inferiority trial (BETADOSE)</t>
  </si>
  <si>
    <t>Schmitz T, Alberti C, Ursino M, Baud O, Aupiais C; BETADOSE study group and the GROG (Groupe de Recherche en Gynécologie Obstétrique).</t>
  </si>
  <si>
    <t>BMC Pregnancy Childbirth. 2019 Feb 12;19(1):67. doi: 10.1186/s12884-019-2206-x.</t>
  </si>
  <si>
    <t>BMC Pregnancy Childbirth</t>
  </si>
  <si>
    <t>10.1186/s12884-019-2206-x</t>
  </si>
  <si>
    <t>Creative arts in psychotherapy for traumatized children in South Africa: An evaluation study</t>
  </si>
  <si>
    <t>van Westrhenen N, Fritz E, Vermeer A, Boelen P, Kleber R.</t>
  </si>
  <si>
    <t>PLoS One. 2019 Feb 13;14(2):e0210857. doi: 10.1371/journal.pone.0210857. eCollection 2019.</t>
  </si>
  <si>
    <t>10.1371/journal.pone.0210857</t>
  </si>
  <si>
    <t>Outcomes of controlled human malaria infection after BCG vaccination</t>
  </si>
  <si>
    <t>Walk J, de Bree LCJ, Graumans W, Stoter R, van Gemert GJ, van de Vegte-Bolmer M, Teelen K, Hermsen CC, Arts RJW, Behet MC, Keramati F, Moorlag SJCFM, Yang ASP, van Crevel R, Aaby P, de Mast Q, van der Ven AJAM, Stabell Benn C, Netea MG, Sauerwein RW.</t>
  </si>
  <si>
    <t>Nat Commun. 2019 Feb 20;10(1):874. doi: 10.1038/s41467-019-08659-3.</t>
  </si>
  <si>
    <t>Nat Commun</t>
  </si>
  <si>
    <t>10.1038/s41467-019-08659-3</t>
  </si>
  <si>
    <t>Mixed-methods content and sentiment analysis of adolescents' voice diaries describing daily experiences with asthma and self-management decision-making</t>
  </si>
  <si>
    <t>Mammen JR, Java JJ, Rhee H, Butz AM, Halterman JS, Arcoleo K.</t>
  </si>
  <si>
    <t>Clin Exp Allergy. 2019 Mar;49(3):299-307. doi: 10.1111/cea.13250. Epub 2018 Sep 18.</t>
  </si>
  <si>
    <t>NIHMS985808</t>
  </si>
  <si>
    <t>10.1111/cea.13250</t>
  </si>
  <si>
    <t>Choosing the right mask for your Asian patient with sleep apnoea: A randomized, crossover trial of CPAP interfaces</t>
  </si>
  <si>
    <t>Goh KJ, Soh RY, Leow LC, Toh ST, Song PR, Hao Y, Lee KCH, Tan GL, Ong TH.</t>
  </si>
  <si>
    <t>Respirology. 2019 Mar;24(3):278-285. doi: 10.1111/resp.13396. Epub 2018 Sep 6.</t>
  </si>
  <si>
    <t>Respirology</t>
  </si>
  <si>
    <t>10.1111/resp.13396</t>
  </si>
  <si>
    <t>Effect of NGM282, an FGF19 analogue, in primary sclerosing cholangitis: A multicenter, randomized, double-blind, placebo-controlled phase II trial</t>
  </si>
  <si>
    <t>Hirschfield GM, Chazouillères O, Drenth JP, Thorburn D, Harrison SA, Landis CS, Mayo MJ, Muir AJ, Trotter JF, Leeming DJ, Karsdal MA, Jaros MJ, Ling L, Kim KH, Rossi SJ, Somaratne RM, DePaoli AM, Beuers U.</t>
  </si>
  <si>
    <t>J Hepatol. 2019 Mar;70(3):483-493. doi: 10.1016/j.jhep.2018.10.035. Epub 2018 Nov 9.</t>
  </si>
  <si>
    <t>10.1016/j.jhep.2018.10.035</t>
  </si>
  <si>
    <t>Cost-utility analysis of levodopa carbidopa intestinal gel (Duodopa) in the treatment of advanced Parkinson's disease in patients in Scotland and Wales</t>
  </si>
  <si>
    <t>Kalabina S, Belsey J, Pivonka D, Mohamed B, Thomas C, Paterson B.</t>
  </si>
  <si>
    <t>J Med Econ. 2019 Mar;22(3):215-225. doi: 10.1080/13696998.2018.1553179. Epub 2018 Dec 12.</t>
  </si>
  <si>
    <t>J Med Econ</t>
  </si>
  <si>
    <t>10.1080/13696998.2018.1553179</t>
  </si>
  <si>
    <t>When IL-17 inhibitors fail: Real-life evidence to switch from secukinumab to adalimumab or ustekinumab</t>
  </si>
  <si>
    <t>Damiani G, Conic RRZ, de Vita V, Costanzo A, Regazzini R, Pigatto PDM, Bragazzi NL, Pacifico A, Malagoli P.</t>
  </si>
  <si>
    <t>Dermatol Ther. 2019 Mar;32(2):e12793. doi: 10.1111/dth.12793. Epub 2018 Dec 21.</t>
  </si>
  <si>
    <t>Dermatol Ther</t>
  </si>
  <si>
    <t>NIHMS1002519</t>
  </si>
  <si>
    <t>10.1111/dth.12793</t>
  </si>
  <si>
    <t>The Controlled Human Malaria Infection Experience at the University of Maryland</t>
  </si>
  <si>
    <t>Friedman-Klabanoff DJ, Laurens MB, Berry AA, Travassos MA, Adams M, Strauss KA, Shrestha B, Levine MM, Edelman R, Lyke KE.</t>
  </si>
  <si>
    <t>Am J Trop Med Hyg. 2019 Mar;100(3):556-565. doi: 10.4269/ajtmh.18-0476.</t>
  </si>
  <si>
    <t>Am J Trop Med Hyg</t>
  </si>
  <si>
    <t>10.4269/ajtmh.18-0476</t>
  </si>
  <si>
    <t>Experimental and investigational phosphodiesterase inhibitors in development for asthma</t>
  </si>
  <si>
    <t>Ntontsi P, Detta A, Bakakos P, Loukides S, Hillas G.</t>
  </si>
  <si>
    <t>Expert Opin Investig Drugs. 2019 Mar;28(3):261-266. doi: 10.1080/13543784.2019.1571582. Epub 2019 Jan 24.</t>
  </si>
  <si>
    <t>10.1080/13543784.2019.1571582</t>
  </si>
  <si>
    <t>Effects of sodium intake on postural lightheadedness: Results from the DASH-sodium trial</t>
  </si>
  <si>
    <t>Peng AW, Appel LJ, Mueller NT, Tang O, Miller ER 3rd, Juraschek SP.</t>
  </si>
  <si>
    <t>J Clin Hypertens (Greenwich). 2019 Mar;21(3):355-362. doi: 10.1111/jch.13487. Epub 2019 Jan 28.</t>
  </si>
  <si>
    <t>NIHMS1005716</t>
  </si>
  <si>
    <t>10.1111/jch.13487</t>
  </si>
  <si>
    <t>Protection against varicella with two doses of combined measles-mumps-rubella-varicella vaccine or one dose of monovalent varicella vaccine: 10-year follow-up of a phase 3 multicentre, observer-blind, randomised, controlled trial</t>
  </si>
  <si>
    <t>Povey M, Henry O, Riise Bergsaker MA, Chlibek R, Esposito S, Flodmark CE, Gothefors L, Man S, Silfverdal SA, Štefkovičová M, Usonis V, Wysocki J, Gillard P, Prymula R.</t>
  </si>
  <si>
    <t>Lancet Infect Dis. 2019 Mar;19(3):287-297. doi: 10.1016/S1473-3099(18)30716-3. Epub 2019 Feb 11.</t>
  </si>
  <si>
    <t>10.1016/S1473-3099(18)30716-3</t>
  </si>
  <si>
    <t>Drug Discovery for Pemphigoid Diseases</t>
  </si>
  <si>
    <t>Kasprick A, Bieber K, Ludwig RJ.</t>
  </si>
  <si>
    <t>Curr Protoc Pharmacol. 2019 Mar;84(1):e55. doi: 10.1002/cpph.55. Epub 2019 Feb 20.</t>
  </si>
  <si>
    <t>Curr Protoc Pharmacol</t>
  </si>
  <si>
    <t>10.1002/cpph.55</t>
  </si>
  <si>
    <t>Interhospital transport of critically ill patients: experiences and challenges, a qualitative study</t>
  </si>
  <si>
    <t>Eiding H, Kongsgaard UE, Braarud AC.</t>
  </si>
  <si>
    <t>Scand J Trauma Resusc Emerg Med. 2019 Mar 4;27(1):27. doi: 10.1186/s13049-019-0604-8.</t>
  </si>
  <si>
    <t>10.1186/s13049-019-0604-8</t>
  </si>
  <si>
    <t>Rationale and design of a prospective, multicentre, randomised, conventional treatment-controlled, parallel-group trial to evaluate the efficacy and safety of ulinastatin in preventing acute respiratory distress syndrome in high-risk patients</t>
  </si>
  <si>
    <t>Wang Z, Tao L, Yan Y, Zhu X.</t>
  </si>
  <si>
    <t>BMJ Open. 2019 Mar 7;9(3):e025523. doi: 10.1136/bmjopen-2018-025523.</t>
  </si>
  <si>
    <t>10.1136/bmjopen-2018-025523</t>
  </si>
  <si>
    <t>HeART of Stroke: randomised controlled, parallel-arm, feasibility study of a community-based arts and health intervention plus usual care compared with usual care to increase psychological well-being in people following a stroke</t>
  </si>
  <si>
    <t>Ellis-Hill C, Thomas S, Gracey F, Lamont-Robinson C, Cant R, Marques EMR, Thomas PW, Grant M, Nunn S, Paling T, Thomas C, Werson A, Galvin KT, Reynolds F, Jenkinson D.</t>
  </si>
  <si>
    <t>BMJ Open. 2019 Mar 8;9(3):e021098. doi: 10.1136/bmjopen-2017-021098.</t>
  </si>
  <si>
    <t>10.1136/bmjopen-2017-021098</t>
  </si>
  <si>
    <t>Effect of Epicutaneous Immunotherapy vs Placebo on Reaction to Peanut Protein Ingestion Among Children With Peanut Allergy: The PEPITES Randomized Clinical Trial</t>
  </si>
  <si>
    <t>Fleischer DM, Greenhawt M, Sussman G, Bégin P, Nowak-Wegrzyn A, Petroni D, Beyer K, Brown-Whitehorn T, Hebert J, Hourihane JO, Campbell DE, Leonard S, Chinthrajah RS, Pongracic JA, Jones SM, Lange L, Chong H, Green TD, Wood R, Cheema A, Prescott SL, Smith P, Yang W, Chan ES, Byrne A, Assa'ad A, Bird JA, Kim EH, Schneider L, Davis CM, Lanser BJ, Lambert R, Shreffler W.</t>
  </si>
  <si>
    <t>JAMA. 2019 Mar 12;321(10):946-955. doi: 10.1001/jama.2019.1113.</t>
  </si>
  <si>
    <t>10.1001/jama.2019.1113</t>
  </si>
  <si>
    <t>Combined immunosuppressive treatment (CIST) in lupus nephritis: a multicenter, randomized controlled study</t>
  </si>
  <si>
    <t>An Y, Zhou Y, Bi L, Liu B, Wang H, Lin J, Xu D, Wang M, Zhang J, Wang Y, An Y, Zhu P, Xie R, Zhang Z, Mei Y, Liu X, Deng X, Yao Z, Zhang Z, Wang Y, Xiao W, Shen H, Yang X, Xu H, Yu F, Wang G, Lu X, Li Y, Li Y, Zuo X, Li Y, Liu Y, Zhao Y, Guo J, Sun L, Zhao M, Li Z.</t>
  </si>
  <si>
    <t>Clin Rheumatol. 2019 Apr;38(4):1047-1054. doi: 10.1007/s10067-018-4368-8. Epub 2018 Nov 28.</t>
  </si>
  <si>
    <t>10.1007/s10067-018-4368-8</t>
  </si>
  <si>
    <t>Antithrombotics in stable peripheral artery disease</t>
  </si>
  <si>
    <t>Kaplovitch E, Rannelli L, Anand SS.</t>
  </si>
  <si>
    <t>Vasc Med. 2019 Apr;24(2):132-140. doi: 10.1177/1358863X18820123. Epub 2019 Feb 24.</t>
  </si>
  <si>
    <t>Vasc Med</t>
  </si>
  <si>
    <t>10.1177/1358863X18820123</t>
  </si>
  <si>
    <t>Antithrombotic treatment in atrial fibrillation patients undergoing PCI: Is dual therapy the winner?</t>
  </si>
  <si>
    <t>Mantis C, Alexopoulos D.</t>
  </si>
  <si>
    <t>Thromb Res. 2019 Apr;176:133-139. doi: 10.1016/j.thromres.2019.02.022. Epub 2019 Feb 22.</t>
  </si>
  <si>
    <t>10.1016/j.thromres.2019.02.022</t>
  </si>
  <si>
    <t>Therapist telephone-delivered CBT and web-based CBT compared with treatment as usual in refractory irritable bowel syndrome: the ACTIB three-arm RCT</t>
  </si>
  <si>
    <t>Everitt H, Landau S, Little P, Bishop FL, O'Reilly G, Sibelli A, Holland R, Hughes S, Windgassen S, McCrone P, Goldsmith K, Coleman N, Logan R, Chalder T, Moss-Morris R.</t>
  </si>
  <si>
    <t>Health Technol Assess. 2019 Apr;23(17):1-154. doi: 10.3310/hta23170.</t>
  </si>
  <si>
    <t>10.3310/hta23170</t>
  </si>
  <si>
    <t>The role and indications of albumin in advanced liver disease</t>
  </si>
  <si>
    <t>Zaccherini G, Bernardi M.</t>
  </si>
  <si>
    <t>Acta Gastroenterol Belg. 2019 Apr-Jun;82(2):301-308.</t>
  </si>
  <si>
    <t>Acta Gastroenterol Belg</t>
  </si>
  <si>
    <t>Efficacy and safety of dual SGLT 1/2 inhibitor sotagliflozin in type 1 diabetes: meta-analysis of randomised controlled trials</t>
  </si>
  <si>
    <t>Musso G, Gambino R, Cassader M, Paschetta E.</t>
  </si>
  <si>
    <t>BMJ. 2019 Apr 9;365:l1328. doi: 10.1136/bmj.l1328.</t>
  </si>
  <si>
    <t>10.1136/bmj.l1328</t>
  </si>
  <si>
    <t>Fosdagrocorat (PF-04171327) versus prednisone or placebo in rheumatoid arthritis: a randomised, double-blind, multicentre, phase IIb study</t>
  </si>
  <si>
    <t>Buttgereit F, Strand V, Lee EB, Simon-Campos A, McCabe D, Genet A, Tammara B, Rojo R, Hey-Hadavi J.</t>
  </si>
  <si>
    <t>RMD Open. 2019 Apr 16;5(1):e000889. doi: 10.1136/rmdopen-2018-000889. eCollection 2019.</t>
  </si>
  <si>
    <t>RMD Open</t>
  </si>
  <si>
    <t>10.1136/rmdopen-2018-000889</t>
  </si>
  <si>
    <t>Managing severe tuberculosis and its sequelae: from intensive care to surgery and rehabilitation</t>
  </si>
  <si>
    <t>Tiberi S, Torrico MM, Rahman A, Krutikov M, Visca D, Silva DR, Kunst H, Migliori GB.</t>
  </si>
  <si>
    <t>J Bras Pneumol. 2019 Apr 25;45(2):e20180324. doi: 10.1590/1806-3713/e20180324.</t>
  </si>
  <si>
    <t>J Bras Pneumol</t>
  </si>
  <si>
    <t>10.1590/1806-3713/e20180324</t>
  </si>
  <si>
    <t>Topical application of licorice for prevention of postoperative sore throat in adults: A systematic review and meta-analysis</t>
  </si>
  <si>
    <t>Kuriyama A, Maeda H.</t>
  </si>
  <si>
    <t>J Clin Anesth. 2019 May;54:25-32. doi: 10.1016/j.jclinane.2018.10.025. Epub 2018 Nov 2.</t>
  </si>
  <si>
    <t>J Clin Anesth</t>
  </si>
  <si>
    <t>10.1016/j.jclinane.2018.10.025</t>
  </si>
  <si>
    <t>Preoperative intravenous dexamethasone prevents tracheal intubation-related sore throat in adult surgical patients: a systematic review and meta-analysis</t>
  </si>
  <si>
    <t>Can J Anaesth. 2019 May;66(5):562-575. doi: 10.1007/s12630-018-01288-2. Epub 2019 Jan 7.</t>
  </si>
  <si>
    <t>Can J Anaesth</t>
  </si>
  <si>
    <t>10.1007/s12630-018-01288-2</t>
  </si>
  <si>
    <t>Public preferences for One Health approaches to emerging infectious diseases: A discrete choice experiment</t>
  </si>
  <si>
    <t>Johnson J, Howard K, Wilson A, Ward M, Gilbert GL, Degeling C.</t>
  </si>
  <si>
    <t>Soc Sci Med. 2019 May;228:164-171. doi: 10.1016/j.socscimed.2019.03.013. Epub 2019 Mar 14.</t>
  </si>
  <si>
    <t>Soc Sci Med</t>
  </si>
  <si>
    <t>10.1016/j.socscimed.2019.03.013</t>
  </si>
  <si>
    <t>Fully closed-loop insulin delivery in inpatients receiving nutritional support: a two-centre, open-label, randomised controlled trial</t>
  </si>
  <si>
    <t>Boughton CK, Bally L, Martignoni F, Hartnell S, Herzig D, Vogt A, Wertli MM, Wilinska ME, Evans ML, Coll AP, Stettler C, Hovorka R.</t>
  </si>
  <si>
    <t>Lancet Diabetes Endocrinol. 2019 May;7(5):368-377. doi: 10.1016/S2213-8587(19)30061-0. Epub 2019 Mar 29.</t>
  </si>
  <si>
    <t>10.1016/S2213-8587(19)30061-0</t>
  </si>
  <si>
    <t>Risk of immune-related pneumonitis for PD1/PD-L1 inhibitors: Systematic review and network meta-analysis</t>
  </si>
  <si>
    <t>Huang Y, Fan H, Li N, Du J.</t>
  </si>
  <si>
    <t>Cancer Med. 2019 May;8(5):2664-2674. doi: 10.1002/cam4.2104. Epub 2019 Apr 5.</t>
  </si>
  <si>
    <t>10.1002/cam4.2104</t>
  </si>
  <si>
    <t>Is the Risk of Infection Lower with Sutures than with Staples for Skin Closure After Orthopaedic Surgery? A Meta-analysis of Randomized Trials</t>
  </si>
  <si>
    <t>Krishnan RJ, Crawford EJ, Syed I, Kim P, Rampersaud YR, Martin J.</t>
  </si>
  <si>
    <t>Clin Orthop Relat Res. 2019 May;477(5):922-937. doi: 10.1097/CORR.0000000000000690.</t>
  </si>
  <si>
    <t>10.1097/CORR.0000000000000690</t>
  </si>
  <si>
    <t>Re-evaluation of combination therapy in chronic obstructive pulmonary disease (COPD)</t>
  </si>
  <si>
    <t>Vaz Fragoso CA, Gill TM, Leo-Summers LS, Van Ness PH.</t>
  </si>
  <si>
    <t>Respir Med. 2019 May;151:27-34. doi: 10.1016/j.rmed.2019.03.020. Epub 2019 Mar 29.</t>
  </si>
  <si>
    <t>Respir Med</t>
  </si>
  <si>
    <t>NIHMS1526134</t>
  </si>
  <si>
    <t>10.1016/j.rmed.2019.03.020</t>
  </si>
  <si>
    <t>B-Lymphocyte Depletion in Patients With Myalgic Encephalomyelitis/Chronic Fatigue Syndrome: A Randomized, Double-Blind, Placebo-Controlled Trial</t>
  </si>
  <si>
    <t>Fluge Ø, Rekeland IG, Lien K, Thürmer H, Borchgrevink PC, Schäfer C, Sørland K, Aßmus J, Ktoridou-Valen I, Herder I, Gotaas ME, Kvammen Ø, Baranowska KA, Bohnen LMLJ, Martinsen SS, Lonar AE, Solvang AH, Gya AES, Bruland O, Risa K, Alme K, Dahl O, Mella O.</t>
  </si>
  <si>
    <t>Ann Intern Med. 2019 May 7;170(9):585-593. doi: 10.7326/M18-1451. Epub 2019 Apr 2.</t>
  </si>
  <si>
    <t>Ann Intern Med</t>
  </si>
  <si>
    <t>10.7326/M18-1451</t>
  </si>
  <si>
    <t>Mucolytic agents versus placebo for chronic bronchitis or chronic obstructive pulmonary disease</t>
  </si>
  <si>
    <t>Poole P, Sathananthan K, Fortescue R.</t>
  </si>
  <si>
    <t>Cochrane Database Syst Rev. 2019 May 20;5(5):CD001287. doi: 10.1002/14651858.CD001287.pub6.</t>
  </si>
  <si>
    <t>10.1002/14651858.CD001287.pub6</t>
  </si>
  <si>
    <t>Optimizing the Personalized, Risk-Adjusted Management of Pulmonary Embolism: An Integrated Clinical Trial Programme</t>
  </si>
  <si>
    <t>Barco S, Konstantinides SV.</t>
  </si>
  <si>
    <t>Hamostaseologie. 2019 Jun;39(2):117-127. doi: 10.1055/s-0038-1673413. Epub 2018 Oct 18.</t>
  </si>
  <si>
    <t>Hamostaseologie</t>
  </si>
  <si>
    <t>10.1055/s-0038-1673413</t>
  </si>
  <si>
    <t>Gene therapy targeting haematopoietic stem cells for inherited diseases: progress and challenges</t>
  </si>
  <si>
    <t>Cavazzana M, Bushman FD, Miccio A, André-Schmutz I, Six E.</t>
  </si>
  <si>
    <t>Nat Rev Drug Discov. 2019 Jun;18(6):447-462. doi: 10.1038/s41573-019-0020-9.</t>
  </si>
  <si>
    <t>Nat Rev Drug Discov</t>
  </si>
  <si>
    <t>10.1038/s41573-019-0020-9</t>
  </si>
  <si>
    <t>Emerging drugs for essential thrombocythemia</t>
  </si>
  <si>
    <t>Masarova L, Verstovsek S.</t>
  </si>
  <si>
    <t>Expert Opin Emerg Drugs. 2019 Jun;24(2):93-105. doi: 10.1080/14728214.2019.1615437. Epub 2019 May 14.</t>
  </si>
  <si>
    <t>Expert Opin Emerg Drugs</t>
  </si>
  <si>
    <t>10.1080/14728214.2019.1615437</t>
  </si>
  <si>
    <t>Vasopressin in septic shock: an individual patient data meta-analysis of randomised controlled trials</t>
  </si>
  <si>
    <t>Nagendran M, Russell JA, Walley KR, Brett SJ, Perkins GD, Hajjar L, Mason AJ, Ashby D, Gordon AC.</t>
  </si>
  <si>
    <t>Intensive Care Med. 2019 Jun;45(6):844-855. doi: 10.1007/s00134-019-05620-2. Epub 2019 May 6.</t>
  </si>
  <si>
    <t>10.1007/s00134-019-05620-2</t>
  </si>
  <si>
    <t>J Vasc Surg. 2019 Jun;69(6S):126S-136S. doi: 10.1016/j.jvs.2018.01.071. Epub 2019 May 28.</t>
  </si>
  <si>
    <t>10.1016/j.jvs.2018.01.071</t>
  </si>
  <si>
    <t>Reversal of oral anticoagulation in patients with acute intracerebral hemorrhage</t>
  </si>
  <si>
    <t>Kuramatsu JB, Sembill JA, Huttner HB.</t>
  </si>
  <si>
    <t>Crit Care. 2019 Jun 6;23(1):206. doi: 10.1186/s13054-019-2492-8.</t>
  </si>
  <si>
    <t>10.1186/s13054-019-2492-8</t>
  </si>
  <si>
    <t>Efficacy and safety of Hou Gu Mi Xi in patients with spleen qi deficiency syndrome who underwent radical gastrectomy for gastric cancer: protocol for a multicenter, randomized, double-blind, placebo-controlled trial</t>
  </si>
  <si>
    <t>Zhou X, Yan DM, Zhu WF, Liu WJ, Nie HY, Xu S, Jiang YP, Zhang KH, Fu Y, Wan YY, Yu XY, Li H, Sun X, Chen XF.</t>
  </si>
  <si>
    <t>Trials. 2019 Jun 10;20(1):343. doi: 10.1186/s13063-019-3429-x.</t>
  </si>
  <si>
    <t>10.1186/s13063-019-3429-x</t>
  </si>
  <si>
    <t>A meta-analysis of the comparing of the first-generation and next-generation TKIs in the treatment of NSCLC</t>
  </si>
  <si>
    <t>Li YX, Yang JY, Xu YF, Zhang M, Zhang XP, Chen WY, Lv XD.</t>
  </si>
  <si>
    <t>Math Biosci Eng. 2019 Jun 19;16(5):5687-5696. doi: 10.3934/mbe.2019283.</t>
  </si>
  <si>
    <t>Math Biosci Eng</t>
  </si>
  <si>
    <t>10.3934/mbe.2019283</t>
  </si>
  <si>
    <t>Endobronchial valves for severe emphysema</t>
  </si>
  <si>
    <t>Hartman JE, Vanfleteren LEGW, van Rikxoort EM, Klooster K, Slebos DJ.</t>
  </si>
  <si>
    <t>Eur Respir Rev. 2019 Apr 17;28(152):180121. doi: 10.1183/16000617.0121-2018. Print 2019 Jun 30.</t>
  </si>
  <si>
    <t>Eur Respir Rev</t>
  </si>
  <si>
    <t>10.1183/16000617.0121-2018</t>
  </si>
  <si>
    <t>Procedural and Long-Term Ischemic Outcomes of Tight Subtotal Occlusions Treated with Orbital Atherectomy: An ORBIT II Subanalysis</t>
  </si>
  <si>
    <t>Lee MS, Shlofmitz RA, Shlofmitz E, Behrens AN, Revtyak G, Martinsen BJ, Chambers JW.</t>
  </si>
  <si>
    <t>Cardiovasc Revasc Med. 2019 Jul;20(7):563-568. doi: 10.1016/j.carrev.2018.09.011. Epub 2018 Sep 13.</t>
  </si>
  <si>
    <t>10.1016/j.carrev.2018.09.011</t>
  </si>
  <si>
    <t>Challenges of denosumab in giant cell tumor of bone, and other giant cell-rich tumors of bone</t>
  </si>
  <si>
    <t>Lipplaa A, Dijkstra S, Gelderblom H.</t>
  </si>
  <si>
    <t>Curr Opin Oncol. 2019 Jul;31(4):329-335. doi: 10.1097/CCO.0000000000000529.</t>
  </si>
  <si>
    <t>Curr Opin Oncol</t>
  </si>
  <si>
    <t>10.1097/CCO.0000000000000529</t>
  </si>
  <si>
    <t>The vertebral 3'-deoxy-3'-(18)F-fluorothymidine uptake predicts the hematological toxicity after systemic chemotherapy in patients with lung cancer</t>
  </si>
  <si>
    <t>Umeda Y, Tsujikawa T, Anzai M, Morikawa M, Waseda Y, Kadowaki M, Shigemi H, Ameshima S, Mori T, Kiyono Y, Okazawa H, Ishizuka T.</t>
  </si>
  <si>
    <t>Eur Radiol. 2019 Jul;29(7):3908-3917. doi: 10.1007/s00330-019-06161-4. Epub 2019 Apr 10.</t>
  </si>
  <si>
    <t>Eur Radiol</t>
  </si>
  <si>
    <t>10.1007/s00330-019-06161-4</t>
  </si>
  <si>
    <t>Consensus statements on vaccination in patients with haemophilia-Results from the Italian haemophilia and vaccinations (HEVA) project</t>
  </si>
  <si>
    <t>Santagostino E, Riva A, Cesaro S, Esposito S, Matino D, Mazzucchelli RI, Molinari AC, Mura R, Notarangelo LD, Tagliaferri A, Di Minno G, Clerici M; the HEVA Study Group.</t>
  </si>
  <si>
    <t>Haemophilia. 2019 Jul;25(4):656-667. doi: 10.1111/hae.13756. Epub 2019 Apr 16.</t>
  </si>
  <si>
    <t>10.1111/hae.13756</t>
  </si>
  <si>
    <t>Efficacy of live oral rotavirus vaccines by duration of follow-up: a meta-regression of randomised controlled trials</t>
  </si>
  <si>
    <t>Clark A, van Zandvoort K, Flasche S, Sanderson C, Bines J, Tate J, Parashar U, Jit M.</t>
  </si>
  <si>
    <t>Lancet Infect Dis. 2019 Jul;19(7):717-727. doi: 10.1016/S1473-3099(19)30126-4. Epub 2019 Jun 6.</t>
  </si>
  <si>
    <t>10.1016/S1473-3099(19)30126-4</t>
  </si>
  <si>
    <t>Eur J Vasc Endovasc Surg. 2019 Jul;58(1S):S110-S119. doi: 10.1016/j.ejvs.2019.04.013. Epub 2019 Jun 17.</t>
  </si>
  <si>
    <t>Eur J Vasc Endovasc Surg</t>
  </si>
  <si>
    <t>10.1016/j.ejvs.2019.04.013</t>
  </si>
  <si>
    <t>In Vitro and In Vivo Efficacy and Tolerability of a Non-Hydroquinone, Multi-Action Skin Tone Correcting Cream</t>
  </si>
  <si>
    <t>Grimes PE, McDaniel DH, Wortzman M, Nelson D.</t>
  </si>
  <si>
    <t>J Drugs Dermatol. 2019 Jul 1;18(7):642-648.</t>
  </si>
  <si>
    <t>Efficacy and safety of Hou Gu Mi Xi for peptic ulcer diseases: Study protocol for a randomized controlled trial</t>
  </si>
  <si>
    <t>Chen X, Yan D, Fang J, Liu W, Nie H, Lv N, Fang N, Gong J, Yu J, Jiang Y, Liu Z, Gan H, Fu Y, Yang D, Xiong Y, Liu D, Chen M, Wang Y, Wang Y, Sun X, Zhou X, Zhu W.</t>
  </si>
  <si>
    <t>Medicine (Baltimore). 2019 Jul;98(29):e16561. doi: 10.1097/MD.0000000000016561.</t>
  </si>
  <si>
    <t>10.1097/MD.0000000000016561</t>
  </si>
  <si>
    <t>The effect of gefapixant, a P2X3 antagonist, on cough reflex sensitivity: a randomised placebo-controlled study</t>
  </si>
  <si>
    <t>Morice AH, Kitt MM, Ford AP, Tershakovec AM, Wu WC, Brindle K, Thompson R, Thackray-Nocera S, Wright C.</t>
  </si>
  <si>
    <t>Eur Respir J. 2019 Jul 4;54(1):1900439. doi: 10.1183/13993003.00439-2019. Print 2019 Jul.</t>
  </si>
  <si>
    <t>Eur Respir J</t>
  </si>
  <si>
    <t>10.1183/13993003.00439-2019</t>
  </si>
  <si>
    <t>Inhaled methoxyflurane (Penthrox®) versus placebo for injury-associated analgesia in children-the MAGPIE trial (MEOF-002): study protocol for a randomised controlled trial</t>
  </si>
  <si>
    <t>Hartshorn S, Barrett MJ, Lyttle MD, Yee SA, Irvine AT; in collaboration with Paediatric Emergency Research in the UK and Ireland (PERUKI).</t>
  </si>
  <si>
    <t>Trials. 2019 Jul 4;20(1):393. doi: 10.1186/s13063-019-3511-4.</t>
  </si>
  <si>
    <t>10.1186/s13063-019-3511-4</t>
  </si>
  <si>
    <t>Effect of Recombinant Zoster Vaccine on Incidence of Herpes Zoster After Autologous Stem Cell Transplantation: A Randomized Clinical Trial</t>
  </si>
  <si>
    <t>Bastidas A, de la Serna J, El Idrissi M, Oostvogels L, Quittet P, López-Jiménez J, Vural F, Pohlreich D, Zuckerman T, Issa NC, Gaidano G, Lee JJ, Abhyankar S, Solano C, Perez de Oteyza J, Satlin MJ, Schwartz S, Campins M, Rocci A, Vallejo Llamas C, Lee DG, Tan SM, Johnston AM, Grigg A, Boeckh MJ, Campora L, Lopez-Fauqued M, Heineman TC, Stadtmauer EA, Sullivan KM; ZOE-HSCT Study Group Collaborators.</t>
  </si>
  <si>
    <t>JAMA. 2019 Jul 9;322(2):123-133. doi: 10.1001/jama.2019.9053.</t>
  </si>
  <si>
    <t>10.1001/jama.2019.9053</t>
  </si>
  <si>
    <t>In vivo effectiveness and safety of probiotics on prophylaxis and treatment of oral candidiasis: a systematic review and meta-analysis</t>
  </si>
  <si>
    <t>Hu L, Zhou M, Young A, Zhao W, Yan Z.</t>
  </si>
  <si>
    <t>BMC Oral Health. 2019 Jul 10;19(1):140. doi: 10.1186/s12903-019-0841-2.</t>
  </si>
  <si>
    <t>BMC Oral Health</t>
  </si>
  <si>
    <t>10.1186/s12903-019-0841-2</t>
  </si>
  <si>
    <t>Effect of an ICU Diary on Posttraumatic Stress Disorder Symptoms Among Patients Receiving Mechanical Ventilation: A Randomized Clinical Trial</t>
  </si>
  <si>
    <t>Garrouste-Orgeas M, Flahault C, Vinatier I, Rigaud JP, Thieulot-Rolin N, Mercier E, Rouget A, Grand H, Lesieur O, Tamion F, Hamidfar R, Renault A, Parmentier-Decrucq E, Monseau Y, Argaud L, Bretonnière C, Lautrette A, Badié J, Boulet E, Floccard B, Forceville X, Kipnis E, Soufir L, Valade S, Bige N, Gaffinel A, Hamzaoui O, Simon G, Thirion M, Bouadma L, Large A, Mira JP, Amdjar-Badidi N, Jourdain M, Jost PH, Maxime V, Santoli F, Ruckly S, Vioulac C, Leborgne MA, Bellalou L, Fasse L, Misset B, Bailly S, Timsit JF.</t>
  </si>
  <si>
    <t>JAMA. 2019 Jul 16;322(3):229-239. doi: 10.1001/jama.2019.9058.</t>
  </si>
  <si>
    <t>10.1001/jama.2019.9058</t>
  </si>
  <si>
    <t>Coronary Artery Disease and Transcatheter Aortic Valve Replacement: JACC State-of-the-Art Review</t>
  </si>
  <si>
    <t>Faroux L, Guimaraes L, Wintzer-Wehekind J, Junquera L, Ferreira-Neto AN, Del Val D, Muntané-Carol G, Mohammadi S, Paradis JM, Rodés-Cabau J.</t>
  </si>
  <si>
    <t>J Am Coll Cardiol. 2019 Jul 23;74(3):362-372. doi: 10.1016/j.jacc.2019.06.012.</t>
  </si>
  <si>
    <t>10.1016/j.jacc.2019.06.012</t>
  </si>
  <si>
    <t>Management of toxicities associated with targeted therapies for HR-positive metastatic breast cancer: a multidisciplinary approach is the key to success</t>
  </si>
  <si>
    <t>Cazzaniga ME, Danesi R, Girmenia C, Invernizzi P, Elvevi A, Uguccioni M; NetworkER+.</t>
  </si>
  <si>
    <t>Breast Cancer Res Treat. 2019 Aug;176(3):483-494. doi: 10.1007/s10549-019-05261-5. Epub 2019 May 7.</t>
  </si>
  <si>
    <t>Breast Cancer Res Treat</t>
  </si>
  <si>
    <t>10.1007/s10549-019-05261-5</t>
  </si>
  <si>
    <t>Biomarker-assisted identification of sepsis-related acute liver impairment: a frequent and deadly condition in critically ill patients</t>
  </si>
  <si>
    <t>Jensen JS, Peters L, Itenov TS, Bestle M, Thormar KM, Mohr TT, Lundgren B, Grarup J, Lundgren JD; Procalcitonin And Survival Study (PASS) Group.</t>
  </si>
  <si>
    <t>Clin Chem Lab Med. 2019 Aug 27;57(9):1422-1431. doi: 10.1515/cclm-2018-1350.</t>
  </si>
  <si>
    <t>Clin Chem Lab Med</t>
  </si>
  <si>
    <t>10.1515/cclm-2018-1350</t>
  </si>
  <si>
    <t>Efficacy of Granulocyte Colony-stimulating Factor in the Management of Steroid-Nonresponsive Severe Alcoholic Hepatitis: A Double-Blind Randomized Controlled Trial</t>
  </si>
  <si>
    <t>Shasthry SM, Sharma MK, Shasthry V, Pande A, Sarin SK.</t>
  </si>
  <si>
    <t>Hepatology. 2019 Sep;70(3):802-811. doi: 10.1002/hep.30516. Epub 2019 Mar 25.</t>
  </si>
  <si>
    <t>10.1002/hep.30516</t>
  </si>
  <si>
    <t>Topical application of magnesium to prevent intubation-related sore throat in adult surgical patients: a systematic review and meta-analysis</t>
  </si>
  <si>
    <t>Kuriyama A, Maeda H, Sun R.</t>
  </si>
  <si>
    <t>Can J Anaesth. 2019 Sep;66(9):1082-1094. doi: 10.1007/s12630-019-01396-7. Epub 2019 May 22.</t>
  </si>
  <si>
    <t>10.1007/s12630-019-01396-7</t>
  </si>
  <si>
    <t>The role of coronary CT angiography for acute chest pain in the era of high-sensitivity troponins</t>
  </si>
  <si>
    <t>Yang S, Manjunath L, Willemink MJ, Nieman K.</t>
  </si>
  <si>
    <t>J Cardiovasc Comput Tomogr. 2019 Sep-Oct;13(5):267-273. doi: 10.1016/j.jcct.2019.05.007. Epub 2019 Jun 15.</t>
  </si>
  <si>
    <t>J Cardiovasc Comput Tomogr</t>
  </si>
  <si>
    <t>10.1016/j.jcct.2019.05.007</t>
  </si>
  <si>
    <t>Effect of Cefiderocol, a Siderophore Cephalosporin, on QT/QTc Interval in Healthy Adult Subjects</t>
  </si>
  <si>
    <t>Sanabria C, Migoya E, Mason JW, Stanworth SH, Katsube T, Machida M, Narukawa Y, Den Nagata T.</t>
  </si>
  <si>
    <t>Clin Ther. 2019 Sep;41(9):1724-1736.e4. doi: 10.1016/j.clinthera.2019.07.006. Epub 2019 Aug 1.</t>
  </si>
  <si>
    <t>10.1016/j.clinthera.2019.07.006</t>
  </si>
  <si>
    <t>Comparing alternating pressure mattresses and high-specification foam mattresses to prevent pressure ulcers in high-risk patients: the PRESSURE 2 RCT</t>
  </si>
  <si>
    <t>Nixon J, Brown S, Smith IL, McGinnis E, Vargas-Palacios A, Nelson EA, Brown J, Coleman S, Collier H, Fernandez C, Gilberts R, Henderson V, McCabe C, Muir D, Rutherford C, Stubbs N, Thorpe B, Wallner K, Walker K, Wilson L, Hulme C.</t>
  </si>
  <si>
    <t>Health Technol Assess. 2019 Sep;23(52):1-176. doi: 10.3310/hta23520.</t>
  </si>
  <si>
    <t>10.3310/hta23520</t>
  </si>
  <si>
    <t>Variation in the Assessment of Immune-Related Adverse Event Occurrence, Grade, and Timing in Patients Receiving Immune Checkpoint Inhibitors</t>
  </si>
  <si>
    <t>Hsiehchen D, Watters MK, Lu R, Xie Y, Gerber DE.</t>
  </si>
  <si>
    <t>JAMA Netw Open. 2019 Sep 4;2(9):e1911519. doi: 10.1001/jamanetworkopen.2019.11519.</t>
  </si>
  <si>
    <t>JAMA Netw Open</t>
  </si>
  <si>
    <t>10.1001/jamanetworkopen.2019.11519</t>
  </si>
  <si>
    <t>Co-administration of iloprost and eptifibatide in septic shock (CO-ILEPSS)-a randomised, controlled, double-blind investigator-initiated trial investigating safety and efficacy</t>
  </si>
  <si>
    <t>Berthelsen RE, Ostrowski SR, Bestle MH, Johansson PI.</t>
  </si>
  <si>
    <t>Crit Care. 2019 Sep 5;23(1):301. doi: 10.1186/s13054-019-2573-8.</t>
  </si>
  <si>
    <t>10.1186/s13054-019-2573-8</t>
  </si>
  <si>
    <t>Anti-interleukin-1 treatment in patients with rheumatoid arthritis and type 2 diabetes (TRACK): A multicentre, open-label, randomised controlled trial</t>
  </si>
  <si>
    <t>Ruscitti P, Masedu F, Alvaro S, Airò P, Battafarano N, Cantarini L, Cantatore FP, Carlino G, D'Abrosca V, Frassi M, Frediani B, Iacono D, Liakouli V, Maggio R, Mulè R, Pantano I, Prevete I, Sinigaglia L, Valenti M, Viapiana O, Cipriani P, Giacomelli R.</t>
  </si>
  <si>
    <t>PLoS Med. 2019 Sep 12;16(9):e1002901. doi: 10.1371/journal.pmed.1002901. eCollection 2019 Sep.</t>
  </si>
  <si>
    <t>10.1371/journal.pmed.1002901</t>
  </si>
  <si>
    <t>Adjustable sling for the treatment of post-prostatectomy urinary incontinence: systematic review and meta-analysis</t>
  </si>
  <si>
    <t>Silva LAD, Simonetti R, Silva EMKD.</t>
  </si>
  <si>
    <t>Einstein (Sao Paulo). 2019 Sep 23;17(4):eRW4508. doi: 10.31744/einstein_journal/2019RW4508. eCollection 2019.</t>
  </si>
  <si>
    <t>Einstein (Sao Paulo)</t>
  </si>
  <si>
    <t>10.31744/einstein_journal/2019RW4508</t>
  </si>
  <si>
    <t>Incidence, Patient Characteristics, Mode of Drug Delivery, and Outcomes of Septic Shock Patients Treated With Vasopressors in the Arise Trial</t>
  </si>
  <si>
    <t>Udy AA, Finnis M, Jones D, Delaney A, Macdonald S, Bellomo R, Peake S; ARISE Investigators.</t>
  </si>
  <si>
    <t>Shock. 2019 Oct;52(4):400-407. doi: 10.1097/SHK.0000000000001281.</t>
  </si>
  <si>
    <t>Shock</t>
  </si>
  <si>
    <t>10.1097/SHK.0000000000001281</t>
  </si>
  <si>
    <t>Clinical Efficiency and Safety of Magnetic-Controlled Capsule Endoscopy for Gastric Diseases in Aging Patients: Our Preliminary Experience</t>
  </si>
  <si>
    <t>Zhang S, Sun T, Xie Y, Yu C, Jin S, Yu J, Mao H.</t>
  </si>
  <si>
    <t>Dig Dis Sci. 2019 Oct;64(10):2911-2922. doi: 10.1007/s10620-019-05631-5. Epub 2019 Apr 29.</t>
  </si>
  <si>
    <t>Dig Dis Sci</t>
  </si>
  <si>
    <t>10.1007/s10620-019-05631-5</t>
  </si>
  <si>
    <t>Non-interventional observational study broadens positive benefit-risk assessment of an immunomodulating herbal remedy in the common cold</t>
  </si>
  <si>
    <t>Henneicke-von Zepelin HH, Nicken P, Naser B, Kuchernig JC, Brien N, Holtdirk A, Schnitker J, Nolte KU.</t>
  </si>
  <si>
    <t>Curr Med Res Opin. 2019 Oct;35(10):1711-1719. doi: 10.1080/03007995.2019.1618252. Epub 2019 Jun 17.</t>
  </si>
  <si>
    <t>10.1080/03007995.2019.1618252</t>
  </si>
  <si>
    <t>Genotype-phenotype relationships in mucopolysaccharidosis type I (MPS I): Insights from the International MPS I Registry</t>
  </si>
  <si>
    <t>Clarke LA, Giugliani R, Guffon N, Jones SA, Keenan HA, Munoz-Rojas MV, Okuyama T, Viskochil D, Whitley CB, Wijburg FA, Muenzer J.</t>
  </si>
  <si>
    <t>Clin Genet. 2019 Oct;96(4):281-289. doi: 10.1111/cge.13583. Epub 2019 Jul 2.</t>
  </si>
  <si>
    <t>Clin Genet</t>
  </si>
  <si>
    <t>10.1111/cge.13583</t>
  </si>
  <si>
    <t>Elevated serum interleukin-2 after gluten correlates with symptoms and is a potential diagnostic biomarker for coeliac disease</t>
  </si>
  <si>
    <t>Tye-Din JA, Daveson AJM, Ee HC, Goel G, MacDougall J, Acaster S, Goldstein KE, Dzuris JL, Neff KM, Truitt KE, Anderson RP.</t>
  </si>
  <si>
    <t>Aliment Pharmacol Ther. 2019 Oct;50(8):901-910. doi: 10.1111/apt.15477. Epub 2019 Sep 4.</t>
  </si>
  <si>
    <t>10.1111/apt.15477</t>
  </si>
  <si>
    <t>Dairy Production under Climatic Risks: Perception, Perceived Impacts and Adaptations in Punjab, Pakistan</t>
  </si>
  <si>
    <t>Abbas Q, Han J, Adeel A, Ullah R.</t>
  </si>
  <si>
    <t>Int J Environ Res Public Health. 2019 Oct 21;16(20):4036. doi: 10.3390/ijerph16204036.</t>
  </si>
  <si>
    <t>Int J Environ Res Public Health</t>
  </si>
  <si>
    <t>10.3390/ijerph16204036</t>
  </si>
  <si>
    <t>Predicting Severe Infection and Effects of Hypogammaglobulinemia During Therapy With Rituximab in Rheumatic and Musculoskeletal Diseases</t>
  </si>
  <si>
    <t>Md Yusof MY, Vital EM, McElvenny DM, Hensor EMA, Das S, Dass S, Rawstron AC, Buch MH, Emery P, Savic S.</t>
  </si>
  <si>
    <t>Arthritis Rheumatol. 2019 Nov;71(11):1812-1823. doi: 10.1002/art.40937. Epub 2019 Sep 26.</t>
  </si>
  <si>
    <t>Arthritis Rheumatol</t>
  </si>
  <si>
    <t>10.1002/art.40937</t>
  </si>
  <si>
    <t>Polysomnographic Endotyping to Select Patients with Obstructive Sleep Apnea for Oral Appliances</t>
  </si>
  <si>
    <t>Bamagoos AA, Cistulli PA, Sutherland K, Madronio M, Eckert DJ, Hess L, Edwards BA, Wellman A, Sands SA.</t>
  </si>
  <si>
    <t>Ann Am Thorac Soc. 2019 Nov;16(11):1422-1431. doi: 10.1513/AnnalsATS.201903-190OC.</t>
  </si>
  <si>
    <t>Ann Am Thorac Soc</t>
  </si>
  <si>
    <t>10.1513/AnnalsATS.201903-190OC</t>
  </si>
  <si>
    <t>Temporal Trends and Patterns in Mortality After Incident Heart Failure: A Longitudinal Analysis of 86 000 Individuals</t>
  </si>
  <si>
    <t>Conrad N, Judge A, Canoy D, Tran J, Pinho-Gomes AC, Millett ERC, Salimi-Khorshidi G, Cleland JG, McMurray JJV, Rahimi K.</t>
  </si>
  <si>
    <t>JAMA Cardiol. 2019 Nov 1;4(11):1102-1111. doi: 10.1001/jamacardio.2019.3593.</t>
  </si>
  <si>
    <t>JAMA Cardiol</t>
  </si>
  <si>
    <t>10.1001/jamacardio.2019.3593</t>
  </si>
  <si>
    <t>Effectiveness of home-based and remotely supervised aerobic exercise in Parkinson's disease: a double-blind, randomised controlled trial</t>
  </si>
  <si>
    <t>van der Kolk NM, de Vries NM, Kessels RPC, Joosten H, Zwinderman AH, Post B, Bloem BR.</t>
  </si>
  <si>
    <t>Lancet Neurol. 2019 Nov;18(11):998-1008. doi: 10.1016/S1474-4422(19)30285-6. Epub 2019 Sep 11.</t>
  </si>
  <si>
    <t>10.1016/S1474-4422(19)30285-6</t>
  </si>
  <si>
    <t>Anti-influenza hyperimmune intravenous immunoglobulin for adults with influenza A or B infection (FLU-IVIG): a double-blind, randomised, placebo-controlled trial</t>
  </si>
  <si>
    <t>Davey RT Jr, Fernández-Cruz E, Markowitz N, Pett S, Babiker AG, Wentworth D, Khurana S, Engen N, Gordin F, Jain MK, Kan V, Polizzotto MN, Riska P, Ruxrungtham K, Temesgen Z, Lundgren J, Beigel JH, Lane HC, Neaton JD; INSIGHT FLU-IVIG Study Group.</t>
  </si>
  <si>
    <t>Lancet Respir Med. 2019 Nov;7(11):951-963. doi: 10.1016/S2213-2600(19)30253-X. Epub 2019 Sep 30.</t>
  </si>
  <si>
    <t>10.1016/S2213-2600(19)30253-X</t>
  </si>
  <si>
    <t>Anti-influenza immune plasma for the treatment of patients with severe influenza A: a randomised, double-blind, phase 3 trial</t>
  </si>
  <si>
    <t>Beigel JH, Aga E, Elie-Turenne MC, Cho J, Tebas P, Clark CL, Metcalf JP, Ozment C, Raviprakash K, Beeler J, Holley HP Jr, Warner S, Chorley C, Lane HC, Hughes MD, Davey RT Jr; IRC005 Study Team.</t>
  </si>
  <si>
    <t>Lancet Respir Med. 2019 Nov;7(11):941-950. doi: 10.1016/S2213-2600(19)30199-7. Epub 2019 Sep 30.</t>
  </si>
  <si>
    <t>NIHMS1545884</t>
  </si>
  <si>
    <t>10.1016/S2213-2600(19)30199-7</t>
  </si>
  <si>
    <t>Effect of Brexpiprazole on Agitation and Hostility in Patients With Schizophrenia: Post Hoc Analysis of Short- and Long-Term Studies</t>
  </si>
  <si>
    <t>Citrome L, Ouyang J, Shi L, Meehan SR, Baker RA, Weiss C.</t>
  </si>
  <si>
    <t>J Clin Psychopharmacol. 2019 Nov/Dec;39(6):597-603. doi: 10.1097/JCP.0000000000001113.</t>
  </si>
  <si>
    <t>J Clin Psychopharmacol</t>
  </si>
  <si>
    <t>10.1097/JCP.0000000000001113</t>
  </si>
  <si>
    <t>Effects of tranexamic acid on death, disability, vascular occlusive events and other morbidities in patients with acute traumatic brain injury (CRASH-3): a randomised, placebo-controlled trial</t>
  </si>
  <si>
    <t>CRASH-3 trial collaborators.</t>
  </si>
  <si>
    <t>Lancet. 2019 Nov 9;394(10210):1713-1723. doi: 10.1016/S0140-6736(19)32233-0. Epub 2019 Oct 14.</t>
  </si>
  <si>
    <t>10.1016/S0140-6736(19)32233-0</t>
  </si>
  <si>
    <t>Why physiology will continue to guide the choice between balanced crystalloids and normal saline: a systematic review and meta-analysis</t>
  </si>
  <si>
    <t>Zwager CL, Tuinman PR, de Grooth HJ, Kooter J, Ket H, Fleuren LM, Elbers PWG.</t>
  </si>
  <si>
    <t>Crit Care. 2019 Nov 21;23(1):366. doi: 10.1186/s13054-019-2658-4.</t>
  </si>
  <si>
    <t>10.1186/s13054-019-2658-4</t>
  </si>
  <si>
    <t>A standardization approach to compare treatment safety and effectiveness outcomes between clinical trials and real-world populations in psoriasis</t>
  </si>
  <si>
    <t>Yiu ZZN, Mason KJ, Barker JNWN, Hampton PJ, McElhone K, Smith CH, Warren RB, Griffiths CEM, Lunt M, Burden AD; BADBIR Study Group.</t>
  </si>
  <si>
    <t>Br J Dermatol. 2019 Dec;181(6):1265-1271. doi: 10.1111/bjd.17849. Epub 2019 Jul 2.</t>
  </si>
  <si>
    <t>10.1111/bjd.17849</t>
  </si>
  <si>
    <t>Topical minocycline foam 4%: Results of four phase 1 studies evaluating the potential for phototoxicity, photoallergy, sensitization, and cumulative irritation</t>
  </si>
  <si>
    <t>Dosik J, Ellman H, Stuart I.</t>
  </si>
  <si>
    <t>J Immunotoxicol. 2019 Dec;16(1):133-139. doi: 10.1080/1547691X.2019.1610117.</t>
  </si>
  <si>
    <t>J Immunotoxicol</t>
  </si>
  <si>
    <t>10.1080/1547691X.2019.1610117</t>
  </si>
  <si>
    <t>Reporting of Late Morbidity After Radiation Therapy in Large Prospective Studies: A Descriptive Review of the Current Status</t>
  </si>
  <si>
    <t>Vittrup AS, Kirchheiner K, Fokdal LU, Bentzen SM, Nout RA, Pötter R, Tanderup K.</t>
  </si>
  <si>
    <t>Int J Radiat Oncol Biol Phys. 2019 Dec 1;105(5):957-967. doi: 10.1016/j.ijrobp.2019.08.040. Epub 2019 Aug 27.</t>
  </si>
  <si>
    <t>10.1016/j.ijrobp.2019.08.040</t>
  </si>
  <si>
    <t>Safety and efficacy of AMG 714 in adults with coeliac disease exposed to gluten challenge: a phase 2a, randomised, double-blind, placebo-controlled study</t>
  </si>
  <si>
    <t>Lähdeaho ML, Scheinin M, Vuotikka P, Taavela J, Popp A, Laukkarinen J, Koffert J, Koivurova OP, Pesu M, Kivelä L, Lovró Z, Keisala J, Isola J, Parnes JR, Leon F, Mäki M.</t>
  </si>
  <si>
    <t>Lancet Gastroenterol Hepatol. 2019 Dec;4(12):948-959. doi: 10.1016/S2468-1253(19)30264-X. Epub 2019 Sep 4.</t>
  </si>
  <si>
    <t>10.1016/S2468-1253(19)30264-X</t>
  </si>
  <si>
    <t>Factors Predicting Operative Difficulty of Laparoscopic Total Mesorectal Excision</t>
  </si>
  <si>
    <t>Curtis NJ, Thomas C, Dennison G, Ockrim JB, Conti JA, Dalton R, Allison AS, Francis NK.</t>
  </si>
  <si>
    <t>Dis Colon Rectum. 2019 Dec;62(12):1467-1476. doi: 10.1097/DCR.0000000000001490.</t>
  </si>
  <si>
    <t>10.1097/DCR.0000000000001490</t>
  </si>
  <si>
    <t>Efficacy and Safety of Oral Janus Kinase 1 Inhibitor Abrocitinib for Patients With Atopic Dermatitis: A Phase 2 Randomized Clinical Trial</t>
  </si>
  <si>
    <t>Gooderham MJ, Forman SB, Bissonnette R, Beebe JS, Zhang W, Banfield C, Zhu L, Papacharalambous J, Vincent MS, Peeva E.</t>
  </si>
  <si>
    <t>JAMA Dermatol. 2019 Dec 1;155(12):1371-1379. doi: 10.1001/jamadermatol.2019.2855.</t>
  </si>
  <si>
    <t>10.1001/jamadermatol.2019.2855</t>
  </si>
  <si>
    <t>[What antithrombotic treatment should we prescribe after transvalvular aortic valve implantation?]</t>
  </si>
  <si>
    <t>Guedeney P, Collet JP.</t>
  </si>
  <si>
    <t>Ann Cardiol Angeiol (Paris). 2019 Dec;68(6):462-467. doi: 10.1016/j.ancard.2019.09.020. Epub 2019 Oct 22.</t>
  </si>
  <si>
    <t>Ann Cardiol Angeiol (Paris)</t>
  </si>
  <si>
    <t>10.1016/j.ancard.2019.09.020</t>
  </si>
  <si>
    <t>Bayesian Forecasting Utilizing Bleeding Information to Support Dose Individualization of Factor VIII</t>
  </si>
  <si>
    <t>Abrantes JA, Solms A, Garmann D, Nielsen EI, Jönsson S, Karlsson MO.</t>
  </si>
  <si>
    <t>CPT Pharmacometrics Syst Pharmacol. 2019 Dec;8(12):894-903. doi: 10.1002/psp4.12464. Epub 2019 Oct 30.</t>
  </si>
  <si>
    <t>CPT Pharmacometrics Syst Pharmacol</t>
  </si>
  <si>
    <t>10.1002/psp4.12464</t>
  </si>
  <si>
    <t>Considerations in testing treatment effects on transient event driven health status changes measured by patient reported outcomes</t>
  </si>
  <si>
    <t>Liu J, Legg JC, Mo M, Zhang X.</t>
  </si>
  <si>
    <t>Stat Med. 2019 Dec 20;38(29):5497-5511. doi: 10.1002/sim.8376. Epub 2019 Oct 20.</t>
  </si>
  <si>
    <t>10.1002/sim.8376</t>
  </si>
  <si>
    <t>Intravenous iron therapy for non-anaemic, iron-deficient adults</t>
  </si>
  <si>
    <t>Miles LF, Litton E, Imberger G, Story D.</t>
  </si>
  <si>
    <t>Cochrane Database Syst Rev. 2019 Dec 20;12(12):CD013084. doi: 10.1002/14651858.CD013084.pub2.</t>
  </si>
  <si>
    <t>10.1002/14651858.CD013084.pub2</t>
  </si>
  <si>
    <t>Effectiveness of Somatic Yoga and Meditation: A Pilot Study in a Multicultural Cancer Survivor Population with Chemotherapy-Induced Peripheral Neuropathy</t>
  </si>
  <si>
    <t>Galantino ML, Brooks J, Tiger R, Jang S, Wilson K.</t>
  </si>
  <si>
    <t>Int J Yoga Therap. 2020 Jan 1;30(1):49-61. doi: 10.17761/2020-D-18-00030.</t>
  </si>
  <si>
    <t>Int J Yoga Therap</t>
  </si>
  <si>
    <t>10.17761/2020-D-18-00030</t>
  </si>
  <si>
    <t>OnabotulinumtoxinA for the treatment of major depressive disorder: a phase 2 randomized, double-blind, placebo-controlled trial in adult females</t>
  </si>
  <si>
    <t>Brin MF, Durgam S, Lum A, James L, Liu J, Thase ME, Szegedi A.</t>
  </si>
  <si>
    <t>Int Clin Psychopharmacol. 2020 Jan;35(1):19-28. doi: 10.1097/YIC.0000000000000290.</t>
  </si>
  <si>
    <t>10.1097/YIC.0000000000000290</t>
  </si>
  <si>
    <t>A case-control study to assess the ability of the thymine challenge test to predict patients with severe to life threatening fluoropyrimidine-induced gastrointestinal toxicity</t>
  </si>
  <si>
    <t>Helsby NA, Duley J, Burns KE, Bonnet C, Jeong SH, Brenman E, Barlow P, Sharples K, Porter D, Findlay M.</t>
  </si>
  <si>
    <t>Br J Clin Pharmacol. 2020 Jan;86(1):155-164. doi: 10.1111/bcp.14153. Epub 2019 Dec 12.</t>
  </si>
  <si>
    <t>10.1111/bcp.14153</t>
  </si>
  <si>
    <t>Masked bolus gluten challenge low in FODMAPs implicates nausea and vomiting as key symptoms associated with immune activation in treated coeliac disease</t>
  </si>
  <si>
    <t>Daveson AJM, Tye-Din JA, Goel G, Goldstein KE, Hand HL, Neff KM, Williams LJ, Truitt KE, Anderson RP; RESET CeD Study Group.</t>
  </si>
  <si>
    <t>Aliment Pharmacol Ther. 2020 Jan;51(2):244-252. doi: 10.1111/apt.15551. Epub 2019 Nov 26.</t>
  </si>
  <si>
    <t>10.1111/apt.15551</t>
  </si>
  <si>
    <t>Does pre-operative urodynamics lead to better outcomes in management of urinary incontinence in women? A linked systematic review and meta-analysis</t>
  </si>
  <si>
    <t>Lor KY, Soupashi M, Abdel-Fattah M, Mostafa A.</t>
  </si>
  <si>
    <t>Eur J Obstet Gynecol Reprod Biol. 2020 Jan;244:141-153. doi: 10.1016/j.ejogrb.2019.11.013. Epub 2019 Nov 15.</t>
  </si>
  <si>
    <t>Eur J Obstet Gynecol Reprod Biol</t>
  </si>
  <si>
    <t>10.1016/j.ejogrb.2019.11.013</t>
  </si>
  <si>
    <t>Randomized controlled trial of twice-daily versus alternate-day oral iron therapy in the treatment of iron-deficiency anemia</t>
  </si>
  <si>
    <t>Kaundal R, Bhatia P, Jain A, Jain A, Nampoothiri RV, Mishra K, Jandial A, Goni D, Sandal R, Jindal N, Meshram A, Sharma R, Khaire N, Singh C, Khadwal A, Prakash G, Das R, Varma N, Varma S, Malhotra P, Lad DP.</t>
  </si>
  <si>
    <t>Ann Hematol. 2020 Jan;99(1):57-63. doi: 10.1007/s00277-019-03871-z. Epub 2019 Dec 6.</t>
  </si>
  <si>
    <t>Ann Hematol</t>
  </si>
  <si>
    <t>10.1007/s00277-019-03871-z</t>
  </si>
  <si>
    <t>Elastic compression after ultrasound-guided foam sclerotherapy in overweight patients does not improve primary venous hemodynamics outcomes</t>
  </si>
  <si>
    <t>Campos Gomes CV, Prado Nunes MA, Navarro TP, Dardik A.</t>
  </si>
  <si>
    <t>J Vasc Surg Venous Lymphat Disord. 2020 Jan;8(1):110-117. doi: 10.1016/j.jvsv.2019.07.008.</t>
  </si>
  <si>
    <t>J Vasc Surg Venous Lymphat Disord</t>
  </si>
  <si>
    <t>10.1016/j.jvsv.2019.07.008</t>
  </si>
  <si>
    <t>How I treat cancer-associated thrombosis</t>
  </si>
  <si>
    <t>Moik F, Pabinger I, Ay C.</t>
  </si>
  <si>
    <t>ESMO Open. 2020 Jan;5(1):e000610. doi: 10.1136/esmoopen-2019-000610.</t>
  </si>
  <si>
    <t>ESMO Open</t>
  </si>
  <si>
    <t>10.1136/esmoopen-2019-000610</t>
  </si>
  <si>
    <t>Population Pharmacokinetics and Exposure-Response Modeling of Golimumab in Adults With Moderately to Severely Active Ulcerative Colitis</t>
  </si>
  <si>
    <t>Adedokun OJ, Xu Z, Liao S, Strauss R, Reinisch W, Feagan BG, Sandborn WJ.</t>
  </si>
  <si>
    <t>Clin Ther. 2020 Jan;42(1):157-174.e4. doi: 10.1016/j.clinthera.2019.11.010. Epub 2020 Jan 22.</t>
  </si>
  <si>
    <t>10.1016/j.clinthera.2019.11.010</t>
  </si>
  <si>
    <t>Single-Center Noninferiority Randomized Trial on the Efficacy and Safety of Low- and High-Dose Rush Oral Milk Immunotherapy for Severe Milk Allergy</t>
  </si>
  <si>
    <t>Takaoka Y, Yajima Y, Ito YM, Kumon J, Muroya T, Tsurinaga Y, Shigekawa A, Takahashi S, Iba N, Tsuji T, Nishikido T, Yoshida Y, Doi S, Kameda M.</t>
  </si>
  <si>
    <t>Int Arch Allergy Immunol. 2020;181(9):699-705. doi: 10.1159/000508627. Epub 2020 Jun 22.</t>
  </si>
  <si>
    <t>10.1159/000508627</t>
  </si>
  <si>
    <t>Azithromycin as an add-on treatment for persistent uncontrolled asthma in adults: protocol of a systematic review and meta-analysis</t>
  </si>
  <si>
    <t>Liu W, Mu W, Zhang H, Zhai J, Li X, Guan P, Lian F, Feng J, Yu S, Wang X, Si J, Sun Z, Huang Y.</t>
  </si>
  <si>
    <t>BMJ Open. 2020 Jan 2;10(1):e032770. doi: 10.1136/bmjopen-2019-032770.</t>
  </si>
  <si>
    <t>10.1136/bmjopen-2019-032770</t>
  </si>
  <si>
    <t>Interventions for renal vasculitis in adults</t>
  </si>
  <si>
    <t>Walters GD, Willis NS, Cooper TE, Craig JC.</t>
  </si>
  <si>
    <t>Cochrane Database Syst Rev. 2020 Jan 13;1(1):CD003232. doi: 10.1002/14651858.CD003232.pub4.</t>
  </si>
  <si>
    <t>10.1002/14651858.CD003232.pub4</t>
  </si>
  <si>
    <t>Automatic assessment of the myoclonus severity from videos recorded according to standardized Unified Myoclonus Rating Scale protocol and using human pose and body movement analysis</t>
  </si>
  <si>
    <t>Hyppönen J, Hakala A, Annala K, Zhang H, Peltola J, Mervaala E, Kälviäinen R.</t>
  </si>
  <si>
    <t>Seizure. 2020 Jan 24;76:72-78. doi: 10.1016/j.seizure.2020.01.014. Online ahead of print.</t>
  </si>
  <si>
    <t>Seizure</t>
  </si>
  <si>
    <t>10.1016/j.seizure.2020.01.014</t>
  </si>
  <si>
    <t>A Randomized, Placebo-Controlled, Respiratory Syncytial Virus Human Challenge Study of the Antiviral Efficacy, Safety, and Pharmacokinetics of RV521, an Inhibitor of the RSV-F Protein</t>
  </si>
  <si>
    <t>DeVincenzo J, Tait D, Efthimiou J, Mori J, Kim YI, Thomas E, Wilson L, Harland R, Mathews N, Cockerill S, Powell K, Littler E.</t>
  </si>
  <si>
    <t>Antimicrob Agents Chemother. 2020 Jan 27;64(2):e01884-19. doi: 10.1128/AAC.01884-19. Print 2020 Jan 27.</t>
  </si>
  <si>
    <t>10.1128/AAC.01884-19</t>
  </si>
  <si>
    <t>Real-world use of chemotherapy for Kaposi's sarcoma in a large community-based HIV primary care system in Kenya</t>
  </si>
  <si>
    <t>Freeman EE, Busakhala N, Regan S, Asirwa FC, Wenger M, Seth D, Moon KC, Semeere A, Maurer T, Wools-Kaloustian K, Bassett I, Martin J.</t>
  </si>
  <si>
    <t>BMC Cancer. 2020 Jan 29;20(1):71. doi: 10.1186/s12885-019-6506-3.</t>
  </si>
  <si>
    <t>10.1186/s12885-019-6506-3</t>
  </si>
  <si>
    <t>Crisaborole 2% ointment for the treatment of intertriginous, anogenital, and facial psoriasis: A double-blind, randomized, vehicle-controlled trial</t>
  </si>
  <si>
    <t>Hashim PW, Chima M, Kim HJ, Bares J, Yao CJ, Singer G, Chen T, Genece J, Baum D, Kimmel GW, Nia JK, Gagliotti M, Lebwohl MG.</t>
  </si>
  <si>
    <t>J Am Acad Dermatol. 2020 Feb;82(2):360-365. doi: 10.1016/j.jaad.2019.06.1288. Epub 2019 Jul 3.</t>
  </si>
  <si>
    <t>10.1016/j.jaad.2019.06.1288</t>
  </si>
  <si>
    <t>Motivational Interviewing as a Strategy to Impact Outcomes in Heart Failure Patients: A Systematic Review</t>
  </si>
  <si>
    <t>Poudel N, Kavookjian J, Scalese MJ.</t>
  </si>
  <si>
    <t>Patient. 2020 Feb;13(1):43-55. doi: 10.1007/s40271-019-00387-6.</t>
  </si>
  <si>
    <t>Patient</t>
  </si>
  <si>
    <t>10.1007/s40271-019-00387-6</t>
  </si>
  <si>
    <t>Potential Effect of Immunotherapy Agents on Cognitive Function in Cancer Patients</t>
  </si>
  <si>
    <t>Joly F, Castel H, Tron L, Lange M, Vardy J.</t>
  </si>
  <si>
    <t>J Natl Cancer Inst. 2020 Feb 1;112(2):123-127. doi: 10.1093/jnci/djz168.</t>
  </si>
  <si>
    <t>J Natl Cancer Inst</t>
  </si>
  <si>
    <t>10.1093/jnci/djz168</t>
  </si>
  <si>
    <t>Phenotypic Subtypes of OSA: A Challenge and Opportunity for Precision Medicine</t>
  </si>
  <si>
    <t>Zinchuk A, Yaggi HK.</t>
  </si>
  <si>
    <t>Chest. 2020 Feb;157(2):403-420. doi: 10.1016/j.chest.2019.09.002. Epub 2019 Sep 17.</t>
  </si>
  <si>
    <t>10.1016/j.chest.2019.09.002</t>
  </si>
  <si>
    <t>Fibrinogen Supplementation and Its Indications</t>
  </si>
  <si>
    <t>Grottke O, Mallaiah S, Karkouti K, Saner F, Haas T.</t>
  </si>
  <si>
    <t>Semin Thromb Hemost. 2020 Feb;46(1):38-49. doi: 10.1055/s-0039-1696946. Epub 2019 Oct 1.</t>
  </si>
  <si>
    <t>Semin Thromb Hemost</t>
  </si>
  <si>
    <t>10.1055/s-0039-1696946</t>
  </si>
  <si>
    <t>Incidence, Risk Factors, and Outcomes of Idiopathic Pneumonia Syndrome after Allogeneic Hematopoietic Cell Transplantation</t>
  </si>
  <si>
    <t>Wenger DS, Triplette M, Crothers K, Cheng GS, Hill JA, Milano F, Shahrir S, Schoch G, Vande Vusse LK.</t>
  </si>
  <si>
    <t>Biol Blood Marrow Transplant. 2020 Feb;26(2):413-420. doi: 10.1016/j.bbmt.2019.09.034. Epub 2019 Oct 9.</t>
  </si>
  <si>
    <t>NIHMS1545647</t>
  </si>
  <si>
    <t>10.1016/j.bbmt.2019.09.034</t>
  </si>
  <si>
    <t>Regadenoson myocardial perfusion scintigraphy for the evaluation of coronary artery disease in patients with lung disease: A series of five cases</t>
  </si>
  <si>
    <t>Reyes E, Richard Underwood S.</t>
  </si>
  <si>
    <t>J Nucl Cardiol. 2020 Feb;27(1):315-321. doi: 10.1007/s12350-019-01956-w. Epub 2019 Dec 3.</t>
  </si>
  <si>
    <t>J Nucl Cardiol</t>
  </si>
  <si>
    <t>10.1007/s12350-019-01956-w</t>
  </si>
  <si>
    <t>Meta-analysis of short- and long-term efficacy of mononuclear cell transplantation in patients with myocardial infarction</t>
  </si>
  <si>
    <t>Yang D, O'Brien CG, Ikeda G, Traverse JH, Taylor DA, Henry TD, Bolli R, Yang PC.</t>
  </si>
  <si>
    <t>Am Heart J. 2020 Feb;220:155-175. doi: 10.1016/j.ahj.2019.09.005. Epub 2019 Nov 11.</t>
  </si>
  <si>
    <t>NIHMS1542776</t>
  </si>
  <si>
    <t>10.1016/j.ahj.2019.09.005</t>
  </si>
  <si>
    <t>The role of biologics in chronic rhinosinusitis: a systematic review</t>
  </si>
  <si>
    <t>Iqbal IZ, Kao SS, Ooi EH.</t>
  </si>
  <si>
    <t>Int Forum Allergy Rhinol. 2020 Feb;10(2):165-174. doi: 10.1002/alr.22473. Epub 2019 Dec 23.</t>
  </si>
  <si>
    <t>Int Forum Allergy Rhinol</t>
  </si>
  <si>
    <t>10.1002/alr.22473</t>
  </si>
  <si>
    <t>Effect of a differentiated service delivery model on virological failure in adolescents with HIV in Zimbabwe (Zvandiri): a cluster-randomised controlled trial</t>
  </si>
  <si>
    <t>Mavhu W, Willis N, Mufuka J, Bernays S, Tshuma M, Mangenah C, Maheswaran H, Mangezi W, Apollo T, Araya R, Weiss HA, Cowan FM.</t>
  </si>
  <si>
    <t>Lancet Glob Health. 2020 Feb;8(2):e264-e275. doi: 10.1016/S2214-109X(19)30526-1. Epub 2020 Jan 7.</t>
  </si>
  <si>
    <t>Lancet Glob Health</t>
  </si>
  <si>
    <t>10.1016/S2214-109X(19)30526-1</t>
  </si>
  <si>
    <t>Neurokinin-1 antagonist orvepitant for EGFRI-induced pruritus in patients with cancer: a randomised, placebo-controlled phase II trial</t>
  </si>
  <si>
    <t>Vincenzi B, Trower M, Duggal A, Guglielmini P, Harris P, Jackson D, Lacouture ME, Ratti E, Tonini G, Wood A, Ständer S.</t>
  </si>
  <si>
    <t>BMJ Open. 2020 Feb 6;10(2):e030114. doi: 10.1136/bmjopen-2019-030114.</t>
  </si>
  <si>
    <t>10.1136/bmjopen-2019-030114</t>
  </si>
  <si>
    <t>Hyperosmolar therapy for acute brain injury: study protocol for an umbrella review of meta-analyses and an evidence mapping</t>
  </si>
  <si>
    <t>Badenes R, Hutton B, Citerio G, Robba C, Aguilar G, Alonso-Arroyo A, Taccone FS, Tornero C, Catalá-López F.</t>
  </si>
  <si>
    <t>BMJ Open. 2020 Feb 6;10(2):e033913. doi: 10.1136/bmjopen-2019-033913.</t>
  </si>
  <si>
    <t>10.1136/bmjopen-2019-033913</t>
  </si>
  <si>
    <t>Patient burden and clinical advances associated with postapproval monotherapy cancer drug trials: a retrospective cohort study</t>
  </si>
  <si>
    <t>Carlisle BG, Doussau A, Kimmelman J.</t>
  </si>
  <si>
    <t>BMJ Open. 2020 Feb 17;10(2):e034306. doi: 10.1136/bmjopen-2019-034306.</t>
  </si>
  <si>
    <t>10.1136/bmjopen-2019-034306</t>
  </si>
  <si>
    <t>Biologic Treatment in Elderly Patients With Psoriasis: A Systematic Review</t>
  </si>
  <si>
    <t>Sandhu VK, Ighani A, Fleming P, Lynde CW.</t>
  </si>
  <si>
    <t>J Cutan Med Surg. 2020 Mar/Apr;24(2):174-186. doi: 10.1177/1203475419897578. Epub 2020 Jan 17.</t>
  </si>
  <si>
    <t>J Cutan Med Surg</t>
  </si>
  <si>
    <t>10.1177/1203475419897578</t>
  </si>
  <si>
    <t>A Randomized Trial to Evaluate OnabotulinumtoxinA for Prevention of Headaches in Adolescents With Chronic Migraine</t>
  </si>
  <si>
    <t>Winner PK, Kabbouche M, Yonker M, Wangsadipura V, Lum A, Brin MF.</t>
  </si>
  <si>
    <t>Headache. 2020 Mar;60(3):564-575. doi: 10.1111/head.13754. Epub 2020 Feb 9.</t>
  </si>
  <si>
    <t>10.1111/head.13754</t>
  </si>
  <si>
    <t>A controlled human Schistosoma mansoni infection model to advance novel drugs, vaccines and diagnostics</t>
  </si>
  <si>
    <t>Langenberg MCC, Hoogerwerf MA, Koopman JPR, Janse JJ, Kos-van Oosterhoud J, Feijt C, Jochems SP, de Dood CJ, van Schuijlenburg R, Ozir-Fazalalikhan A, Manurung MD, Sartono E, van der Beek MT, Winkel BMF, Verbeek-Menken PH, Stam KA, van Leeuwen FWB, Meij P, van Diepen A, van Lieshout L, van Dam GJ, Corstjens PLAM, Hokke CH, Yazdanbakhsh M, Visser LG, Roestenberg M.</t>
  </si>
  <si>
    <t>Nat Med. 2020 Mar;26(3):326-332. doi: 10.1038/s41591-020-0759-x. Epub 2020 Feb 17.</t>
  </si>
  <si>
    <t>Nat Med</t>
  </si>
  <si>
    <t>10.1038/s41591-020-0759-x</t>
  </si>
  <si>
    <t>Biomarkers for Duchenne muscular dystrophy: myonecrosis, inflammation and oxidative stress</t>
  </si>
  <si>
    <t>Grounds MD, Terrill JR, Al-Mshhdani BA, Duong MN, Radley-Crabb HG, Arthur PG.</t>
  </si>
  <si>
    <t>Dis Model Mech. 2020 Mar 2;13(2):dmm043638. doi: 10.1242/dmm.043638.</t>
  </si>
  <si>
    <t>Dis Model Mech</t>
  </si>
  <si>
    <t>10.1242/dmm.043638</t>
  </si>
  <si>
    <t>Is intensive glucose control bad for critically ill patients? A systematic review and meta-analysis</t>
  </si>
  <si>
    <t>Yao RQ, Ren C, Wu GS, Zhu YB, Xia ZF, Yao YM.</t>
  </si>
  <si>
    <t>Int J Biol Sci. 2020 Mar 12;16(9):1658-1675. doi: 10.7150/ijbs.43447. eCollection 2020.</t>
  </si>
  <si>
    <t>Int J Biol Sci</t>
  </si>
  <si>
    <t>10.7150/ijbs.43447</t>
  </si>
  <si>
    <t>The complement C5 inhibitor crovalimab in paroxysmal nocturnal hemoglobinuria</t>
  </si>
  <si>
    <t>Röth A, Nishimura JI, Nagy Z, Gaàl-Weisinger J, Panse J, Yoon SS, Egyed M, Ichikawa S, Ito Y, Kim JS, Ninomiya H, Schrezenmeier H, Sica S, Usuki K, Sicre de Fontbrune F, Soret J, Sostelly A, Higginson J, Dieckmann A, Gentile B, Anzures-Cabrera J, Shinomiya K, Jordan G, Biedzka-Sarek M, Klughammer B, Jahreis A, Bucher C, Peffault de Latour R.</t>
  </si>
  <si>
    <t>Blood. 2020 Mar 19;135(12):912-920. doi: 10.1182/blood.2019003399.</t>
  </si>
  <si>
    <t>10.1182/blood.2019003399</t>
  </si>
  <si>
    <t>Protocol for a randomised trial of an interprofessional team-delivered intervention to support surrogate decision-makers in ICUs</t>
  </si>
  <si>
    <t>Lincoln T, Shields AM, Buddadhumaruk P, Chang CH, Pike F, Chen H, Brown E, Kozar V, Pidro C, Kahn JM, Darby JM, Martin S, Angus DC, Arnold RM, White DB.</t>
  </si>
  <si>
    <t>BMJ Open. 2020 Mar 29;10(3):e033521. doi: 10.1136/bmjopen-2019-033521.</t>
  </si>
  <si>
    <t>10.1136/bmjopen-2019-033521</t>
  </si>
  <si>
    <t>A Multicenter, Randomized, Open-Label Study to Compare Micafungin with Fluconazole in the Prophylaxis of Invasive Fungal Infections in Living-Donor Liver Transplant Recipients</t>
  </si>
  <si>
    <t>Kang WH, Song GW, Lee SG, Suh KS, Lee KW, Yi NJ, Joh JW, Kwon CHD, Kim JM, Choi DL, Kim JD, Kim MS.</t>
  </si>
  <si>
    <t>J Gastrointest Surg. 2020 Apr;24(4):832-840. doi: 10.1007/s11605-019-04241-w. Epub 2019 May 7.</t>
  </si>
  <si>
    <t>10.1007/s11605-019-04241-w</t>
  </si>
  <si>
    <t>Safety and immunogenicity of a highly attenuated rVSVN4CT1-EBOVGP1 Ebola virus vaccine: a randomised, double-blind, placebo-controlled, phase 1 clinical trial</t>
  </si>
  <si>
    <t>Clarke DK, Xu R, Matassov D, Latham TE, Ota-Setlik A, Gerardi CS, Luckay A, Witko SE, Hermida L, Higgins T, Tremblay M, Sciotto-Brown S, Chen T, Egan MA, Rusnak JM, Ward LA, Eldridge JH.</t>
  </si>
  <si>
    <t>Lancet Infect Dis. 2020 Apr;20(4):455-466. doi: 10.1016/S1473-3099(19)30614-0. Epub 2020 Jan 14.</t>
  </si>
  <si>
    <t>10.1016/S1473-3099(19)30614-0</t>
  </si>
  <si>
    <t>Efficacy and safety of the regimens containing tenofovir alafenamide versus tenofovir disoproxil fumarate in fixed-dose single-tablet regimens for initial treatment of HIV-1 infection: A meta-analysis of randomized controlled trials</t>
  </si>
  <si>
    <t>Tao X, Lu Y, Zhou Y, Zhang L, Chen Y.</t>
  </si>
  <si>
    <t>Int J Infect Dis. 2020 Apr;93:108-117. doi: 10.1016/j.ijid.2020.01.035. Epub 2020 Jan 25.</t>
  </si>
  <si>
    <t>10.1016/j.ijid.2020.01.035</t>
  </si>
  <si>
    <t>Modafinil in Recovery after Stroke (MIRAS): A Retrospective Study</t>
  </si>
  <si>
    <t>Cross DB, Tiu J, Medicherla C, Ishida K, Lord A, Czeisler B, Wu C, Golub D, Karoub A, Hernandez C, Yaghi S, Torres J.</t>
  </si>
  <si>
    <t>J Stroke Cerebrovasc Dis. 2020 Apr;29(4):104645. doi: 10.1016/j.jstrokecerebrovasdis.2020.104645.</t>
  </si>
  <si>
    <t>J Stroke Cerebrovasc Dis</t>
  </si>
  <si>
    <t>10.1016/j.jstrokecerebrovasdis.2020.104645</t>
  </si>
  <si>
    <t>Economic Evaluation of Sequences of Biological Treatments for Patients With Moderate-to-Severe Rheumatoid Arthritis and Inadequate Response or Intolerance to Methotrexate in France</t>
  </si>
  <si>
    <t>Ghabri S, Binard A, Pers YM, Maunoury F, Caro JJ.</t>
  </si>
  <si>
    <t>Value Health. 2020 Apr;23(4):461-470. doi: 10.1016/j.jval.2019.12.003. Epub 2020 Feb 13.</t>
  </si>
  <si>
    <t>10.1016/j.jval.2019.12.003</t>
  </si>
  <si>
    <t>Interventions for promoting physical activity in people with chronic obstructive pulmonary disease (COPD)</t>
  </si>
  <si>
    <t>Burge AT, Cox NS, Abramson MJ, Holland AE.</t>
  </si>
  <si>
    <t>Cochrane Database Syst Rev. 2020 Apr 16;4(4):CD012626. doi: 10.1002/14651858.CD012626.pub2.</t>
  </si>
  <si>
    <t>10.1002/14651858.CD012626.pub2</t>
  </si>
  <si>
    <t>Low-dose peripheral blood stem cell graft after high-dose chemotherapy - an evaluation of hematopoietic reconstitution</t>
  </si>
  <si>
    <t>Sauer S, Pavel P, Schmitt A, Cremer M, Kriegsmann M, Bruckner T, Jordan K, Wuchter P, Müller-Tidow C, Kriegsmann K.</t>
  </si>
  <si>
    <t>BMC Cancer. 2020 Apr 25;20(1):353. doi: 10.1186/s12885-020-06873-7.</t>
  </si>
  <si>
    <t>10.1186/s12885-020-06873-7</t>
  </si>
  <si>
    <t>Selection of Patients for Angioplasty for Treatment of Atherosclerotic Renovascular Disease: Predicting Responsive Patients</t>
  </si>
  <si>
    <t>Mishima E, Suzuki T, Ito S.</t>
  </si>
  <si>
    <t>Am J Hypertens. 2020 Apr 29;33(5):391-401. doi: 10.1093/ajh/hpaa016.</t>
  </si>
  <si>
    <t>Am J Hypertens</t>
  </si>
  <si>
    <t>10.1093/ajh/hpaa016</t>
  </si>
  <si>
    <t>Efficacy and safety of topical delgocitinib in patients with chronic hand eczema: data from a randomized, double-blind, vehicle-controlled phase IIa study</t>
  </si>
  <si>
    <t>Worm M, Bauer A, Elsner P, Mahler V, Molin S, Nielsen TSS.</t>
  </si>
  <si>
    <t>Br J Dermatol. 2020 May;182(5):1103-1110. doi: 10.1111/bjd.18469. Epub 2019 Nov 8.</t>
  </si>
  <si>
    <t>10.1111/bjd.18469</t>
  </si>
  <si>
    <t>Risk for Infections During Treatment With Denosumab for Osteoporosis: A Systematic Review and Meta-analysis</t>
  </si>
  <si>
    <t>Diker-Cohen T, Rosenberg D, Avni T, Shepshelovich D, Tsvetov G, Gafter-Gvili A.</t>
  </si>
  <si>
    <t>J Clin Endocrinol Metab. 2020 May 1;105(5):dgz322. doi: 10.1210/clinem/dgz322.</t>
  </si>
  <si>
    <t>10.1210/clinem/dgz322</t>
  </si>
  <si>
    <t>Network meta-analysis to compare VenaSeal with other superficial venous therapies for chronic venous insufficiency</t>
  </si>
  <si>
    <t>Kolluri R, Chung J, Kim S, Nath N, Bhalla BB, Jain T, Zygmunt J, Davies A.</t>
  </si>
  <si>
    <t>J Vasc Surg Venous Lymphat Disord. 2020 May;8(3):472-481.e3. doi: 10.1016/j.jvsv.2019.12.061. Epub 2020 Feb 14.</t>
  </si>
  <si>
    <t>10.1016/j.jvsv.2019.12.061</t>
  </si>
  <si>
    <t>ISCHEMIA trial: Is there enough evidence to drive a change in clinical practice? A critical appraisal</t>
  </si>
  <si>
    <t>Tziakas D, Chalikias G, Triantis G, Dagre A.</t>
  </si>
  <si>
    <t>Hellenic J Cardiol. 2020 May-Jun;61(3):204-207. doi: 10.1016/j.hjc.2020.08.006. Epub 2020 Sep 8.</t>
  </si>
  <si>
    <t>Hellenic J Cardiol</t>
  </si>
  <si>
    <t>10.1016/j.hjc.2020.08.006</t>
  </si>
  <si>
    <t>A Trial of Lopinavir-Ritonavir in Adults Hospitalized with Severe Covid-19</t>
  </si>
  <si>
    <t>Cao B, Wang Y, Wen D, Liu W, Wang J, Fan G, Ruan L, Song B, Cai Y, Wei M, Li X, Xia J, Chen N, Xiang J, Yu T, Bai T, Xie X, Zhang L, Li C, Yuan Y, Chen H, Li H, Huang H, Tu S, Gong F, Liu Y, Wei Y, Dong C, Zhou F, Gu X, Xu J, Liu Z, Zhang Y, Li H, Shang L, Wang K, Li K, Zhou X, Dong X, Qu Z, Lu S, Hu X, Ruan S, Luo S, Wu J, Peng L, Cheng F, Pan L, Zou J, Jia C, Wang J, Liu X, Wang S, Wu X, Ge Q, He J, Zhan H, Qiu F, Guo L, Huang C, Jaki T, Hayden FG, Horby PW, Zhang D, Wang C.</t>
  </si>
  <si>
    <t>N Engl J Med. 2020 May 7;382(19):1787-1799. doi: 10.1056/NEJMoa2001282. Epub 2020 Mar 18.</t>
  </si>
  <si>
    <t>10.1056/NEJMoa2001282</t>
  </si>
  <si>
    <t>Screening strategies for hypertension</t>
  </si>
  <si>
    <t>Schmidt BM, Durao S, Toews I, Bavuma CM, Hohlfeld A, Nury E, Meerpohl JJ, Kredo T.</t>
  </si>
  <si>
    <t>Cochrane Database Syst Rev. 2020 May 7;5(5):CD013212. doi: 10.1002/14651858.CD013212.pub2.</t>
  </si>
  <si>
    <t>10.1002/14651858.CD013212.pub2</t>
  </si>
  <si>
    <t>Remdesivir in adults with severe COVID-19: a randomised, double-blind, placebo-controlled, multicentre trial</t>
  </si>
  <si>
    <t>Wang Y, Zhang D, Du G, Du R, Zhao J, Jin Y, Fu S, Gao L, Cheng Z, Lu Q, Hu Y, Luo G, Wang K, Lu Y, Li H, Wang S, Ruan S, Yang C, Mei C, Wang Y, Ding D, Wu F, Tang X, Ye X, Ye Y, Liu B, Yang J, Yin W, Wang A, Fan G, Zhou F, Liu Z, Gu X, Xu J, Shang L, Zhang Y, Cao L, Guo T, Wan Y, Qin H, Jiang Y, Jaki T, Hayden FG, Horby PW, Cao B, Wang C.</t>
  </si>
  <si>
    <t>Lancet. 2020 May 16;395(10236):1569-1578. doi: 10.1016/S0140-6736(20)31022-9. Epub 2020 Apr 29.</t>
  </si>
  <si>
    <t>10.1016/S0140-6736(20)31022-9</t>
  </si>
  <si>
    <t>Psychological intervention on COVID-19: A protocol for systematic review and meta-analysis</t>
  </si>
  <si>
    <t>Renjun G, Ziyun L, Xiwu Y, Wei W, Yihuang G, Chunbing Z, Zhiguang S.</t>
  </si>
  <si>
    <t>Medicine (Baltimore). 2020 May 22;99(21):e20335. doi: 10.1097/MD.0000000000020335.</t>
  </si>
  <si>
    <t>10.1097/MD.0000000000020335</t>
  </si>
  <si>
    <t>Nitric Oxide-Based Treatment of Poor-Grade Patients After Severe Aneurysmal Subarachnoid Hemorrhage</t>
  </si>
  <si>
    <t>Ehlert A, Starekova J, Manthei G, Ehlert-Gamm A, Flack J, Gessert M, Gerss J, Hesselmann V.</t>
  </si>
  <si>
    <t>Neurocrit Care. 2020 Jun;32(3):742-754. doi: 10.1007/s12028-019-00809-1.</t>
  </si>
  <si>
    <t>10.1007/s12028-019-00809-1</t>
  </si>
  <si>
    <t>Absence of Iodine Staining Associates With Progression of Esophageal Lesions in a Prospective Endoscopic Surveillance Study in China</t>
  </si>
  <si>
    <t>Liu M, Liu Z, Liu F, Guo C, Xu R, Li F, Liu A, Yang H, Zhang S, Shen L, Duan L, Wu Q, Cao C, Pan Y, Liu Y, Li J, Cai H, He Z, Ke Y.</t>
  </si>
  <si>
    <t>Clin Gastroenterol Hepatol. 2020 Jun;18(7):1626-1635.e7. doi: 10.1016/j.cgh.2019.08.058. Epub 2019 Sep 10.</t>
  </si>
  <si>
    <t>Clin Gastroenterol Hepatol</t>
  </si>
  <si>
    <t>10.1016/j.cgh.2019.08.058</t>
  </si>
  <si>
    <t>Oral arsenic trioxide ORH-2014 pharmacokinetic and safety profile in patients with advanced hematologic disorders</t>
  </si>
  <si>
    <t>Ravandi F, Koumenis I, Johri A, Tallman M, Roboz GJ, Strickland S, Garcia-Manero G, Borthakur G, Naqvi K, Meyer M, Pudipeddi M, Nidarmarthy S, Vaddi K, Kantarjian H.</t>
  </si>
  <si>
    <t>Haematologica. 2020 Jun;105(6):1567-1574. doi: 10.3324/haematol.2019.229583. Epub 2019 Sep 26.</t>
  </si>
  <si>
    <t>10.3324/haematol.2019.229583</t>
  </si>
  <si>
    <t>A systematic review of UK-based long-term nonsurgical interventions for people with severe obesity (BMI ≥35 kg m(-2) )</t>
  </si>
  <si>
    <t>Aceves-Martins M, Robertson C, Cooper D, Avenell A, Stewart F, Aveyard P, de Bruin M; REBALANCE team.</t>
  </si>
  <si>
    <t>J Hum Nutr Diet. 2020 Jun;33(3):351-372. doi: 10.1111/jhn.12732. Epub 2020 Feb 6.</t>
  </si>
  <si>
    <t>J Hum Nutr Diet</t>
  </si>
  <si>
    <t>10.1111/jhn.12732</t>
  </si>
  <si>
    <t>Sleep disorders in cystic fibrosis: A systematic review and meta-analysis</t>
  </si>
  <si>
    <t>Reiter J, Gileles-Hillel A, Cohen-Cymberknoh M, Rosen D, Kerem E, Gozal D, Forno E.</t>
  </si>
  <si>
    <t>Sleep Med Rev. 2020 Jun;51:101279. doi: 10.1016/j.smrv.2020.101279. Epub 2020 Feb 19.</t>
  </si>
  <si>
    <t>NIHMS1578785</t>
  </si>
  <si>
    <t>10.1016/j.smrv.2020.101279</t>
  </si>
  <si>
    <t>Autoimmune diseases and immune-checkpoint inhibitors for cancer therapy: review of the literature and personalized risk-based prevention strategy</t>
  </si>
  <si>
    <t>Haanen J, Ernstoff MS, Wang Y, Menzies AM, Puzanov I, Grivas P, Larkin J, Peters S, Thompson JA, Obeid M.</t>
  </si>
  <si>
    <t>Ann Oncol. 2020 Jun;31(6):724-744. doi: 10.1016/j.annonc.2020.03.285. Epub 2020 Mar 17.</t>
  </si>
  <si>
    <t>10.1016/j.annonc.2020.03.285</t>
  </si>
  <si>
    <t>Rheumatoid arthritis in the elderly: Characteristics and treatment considerations</t>
  </si>
  <si>
    <t>Serhal L, Lwin MN, Holroyd C, Edwards CJ.</t>
  </si>
  <si>
    <t>Autoimmun Rev. 2020 Jun;19(6):102528. doi: 10.1016/j.autrev.2020.102528. Epub 2020 Mar 29.</t>
  </si>
  <si>
    <t>Autoimmun Rev</t>
  </si>
  <si>
    <t>10.1016/j.autrev.2020.102528</t>
  </si>
  <si>
    <t>Rechallenge patients with immune checkpoint inhibitors following severe immune-related adverse events: review of the literature and suggested prophylactic strategy</t>
  </si>
  <si>
    <t>Haanen J, Ernstoff M, Wang Y, Menzies A, Puzanov I, Grivas P, Larkin J, Peters S, Thompson J, Obeid M.</t>
  </si>
  <si>
    <t>J Immunother Cancer. 2020 Jun;8(1):e000604. doi: 10.1136/jitc-2020-000604.</t>
  </si>
  <si>
    <t>J Immunother Cancer</t>
  </si>
  <si>
    <t>10.1136/jitc-2020-000604</t>
  </si>
  <si>
    <t>Evaluating the efficacy and safety of human anti-SARS-CoV-2 convalescent plasma in severely ill adults with COVID-19: A structured summary of a study protocol for a randomized controlled trial</t>
  </si>
  <si>
    <t>Eckhardt CM, Cummings MJ, Rajagopalan KN, Borden S, Bitan ZC, Wolf A, Kantor A, Briese T, Meyer BJ, Jacobson SD, Scotto D, Mishra N, Philip NM, Stotler BA, Schwartz J, Shaz B, Spitalnik SL, Eisenberger A, Hod EA, Justman J, Cheung K, Lipkin WI, O'Donnell MR.</t>
  </si>
  <si>
    <t>Trials. 2020 Jun 8;21(1):499. doi: 10.1186/s13063-020-04422-y.</t>
  </si>
  <si>
    <t>10.1186/s13063-020-04422-y</t>
  </si>
  <si>
    <t>Pharmaceutical care in hospitalized patients. (Management of the COVID-19 pandemic crisis. A new challenge for pharmacy services)</t>
  </si>
  <si>
    <t>Sevilla-Sánchez D, Tuset-Creus M.</t>
  </si>
  <si>
    <t>Farm Hosp. 2020 Jun 12;44(7):28-31. doi: 10.7399/fh.11513.</t>
  </si>
  <si>
    <t>Farm Hosp</t>
  </si>
  <si>
    <t>10.7399/fh.11513</t>
  </si>
  <si>
    <t>Multivariate time-series analysis of biomarkers from a dengue cohort offers new approaches for diagnosis and prognosis</t>
  </si>
  <si>
    <t>Vasey B, Shankar AH, Herrera BB, Becerra A, Xhaja K, Echenagucia M, Machado SR, Caicedo D, Miller J, Amedeo P, Naumova EN, Bosch I; Norma Blumenfeld deBosch.</t>
  </si>
  <si>
    <t>PLoS Negl Trop Dis. 2020 Jun 16;14(6):e0008199. doi: 10.1371/journal.pntd.0008199. eCollection 2020 Jun.</t>
  </si>
  <si>
    <t>10.1371/journal.pntd.0008199</t>
  </si>
  <si>
    <t>Observational Study of Hydroxychloroquine in Hospitalized Patients with Covid-19</t>
  </si>
  <si>
    <t>Geleris J, Sun Y, Platt J, Zucker J, Baldwin M, Hripcsak G, Labella A, Manson DK, Kubin C, Barr RG, Sobieszczyk ME, Schluger NW.</t>
  </si>
  <si>
    <t>N Engl J Med. 2020 Jun 18;382(25):2411-2418. doi: 10.1056/NEJMoa2012410. Epub 2020 May 7.</t>
  </si>
  <si>
    <t>10.1056/NEJMoa2012410</t>
  </si>
  <si>
    <t>Early Pandemic Evaluation and Enhanced Surveillance of COVID-19 (EAVE II): protocol for an observational study using linked Scottish national data</t>
  </si>
  <si>
    <t>Simpson CR, Robertson C, Vasileiou E, McMenamin J, Gunson R, Ritchie LD, Woolhouse M, Morrice L, Kelly D, Stagg HR, Marques D, Murray J, Sheikh A.</t>
  </si>
  <si>
    <t>BMJ Open. 2020 Jun 21;10(6):e039097. doi: 10.1136/bmjopen-2020-039097.</t>
  </si>
  <si>
    <t>10.1136/bmjopen-2020-039097</t>
  </si>
  <si>
    <t>Efficacy and safety of single-dose 40 mg/kg oral praziquantel in the treatment of schistosomiasis in preschool-age versus school-age children: An individual participant data meta-analysis</t>
  </si>
  <si>
    <t>Olliaro PL, Coulibaly JT, Garba A, Halleux C, Keiser J, King CH, Mutapi F, N'Goran EK, Raso G, Scherrer AU, Sousa-Figueiredo JC, Stete K, Utzinger J, Vaillant MT.</t>
  </si>
  <si>
    <t>PLoS Negl Trop Dis. 2020 Jun 22;14(6):e0008277. doi: 10.1371/journal.pntd.0008277. eCollection 2020 Jun.</t>
  </si>
  <si>
    <t>10.1371/journal.pntd.0008277</t>
  </si>
  <si>
    <t>A Phase 2 Randomized, Double-Blind, Placebo-Controlled Trial of MHAA4549A, a Monoclonal Antibody, plus Oseltamivir in Patients Hospitalized with Severe Influenza A Virus Infection</t>
  </si>
  <si>
    <t>Lim JJ, Nilsson AC, Silverman M, Assy N, Kulkarni P, McBride JM, Deng R, Li C, Yang X, Nguyen A, Horn P, Maia M, Castro A, Peck MC, Galanter J, Chu T, Newton EM, Tavel JA.</t>
  </si>
  <si>
    <t>Antimicrob Agents Chemother. 2020 Jun 23;64(7):e00352-20. doi: 10.1128/AAC.00352-20. Print 2020 Jun 23.</t>
  </si>
  <si>
    <t>10.1128/AAC.00352-20</t>
  </si>
  <si>
    <t>The efficacy of Bifidobacterium quadruple viable tablet in the treatment of diarrhea predominant irritable bowel syndrome: protocol for a randomized, double-blind, placebo-controlled, multicenter trial</t>
  </si>
  <si>
    <t>Bai T, Zeng H, Long Y, Li X, Sun X, Lan Y, Gao L, Zhang L, Feng Z, Hou X.</t>
  </si>
  <si>
    <t>Trials. 2020 Jun 30;21(1):597. doi: 10.1186/s13063-020-04490-0.</t>
  </si>
  <si>
    <t>10.1186/s13063-020-04490-0</t>
  </si>
  <si>
    <t>Topically applied treatments for external genital warts in nonimmunocompromised patients: a systematic review and network meta-analysis</t>
  </si>
  <si>
    <t>Jung JM, Jung CJ, Lee WJ, Won CH, Lee MW, Choi JH, Chang SE.</t>
  </si>
  <si>
    <t>Br J Dermatol. 2020 Jul;183(1):24-36. doi: 10.1111/bjd.18638. Epub 2019 Dec 13.</t>
  </si>
  <si>
    <t>10.1111/bjd.18638</t>
  </si>
  <si>
    <t>["Memory acute"-treatment concept for inpatient remobilization of acutely ill patients with dementia]</t>
  </si>
  <si>
    <t>Pichler G, Fink N, Weidinger L, Schmidt L, Augustin T, Schippinger W.</t>
  </si>
  <si>
    <t>Z Gerontol Geriatr. 2020 Jul;53(4):310-317. doi: 10.1007/s00391-019-01642-z. Epub 2019 Nov 7.</t>
  </si>
  <si>
    <t>Z Gerontol Geriatr</t>
  </si>
  <si>
    <t>10.1007/s00391-019-01642-z</t>
  </si>
  <si>
    <t>Emergent life events in the delivery of a caregiver-mediated evidence-based intervention for children with autism spectrum disorder in publicly funded mental health services</t>
  </si>
  <si>
    <t>Lind T, Lau AS, Gomez C, Rodriguez A, Guan K, Chlebowski C, Zhang A, Chorpita B, Brookman-Frazee L.</t>
  </si>
  <si>
    <t>Autism. 2020 Jul;24(5):1286-1299. doi: 10.1177/1362361319881084. Epub 2020 Jan 31.</t>
  </si>
  <si>
    <t>Autism</t>
  </si>
  <si>
    <t>NIHMS1540343</t>
  </si>
  <si>
    <t>10.1177/1362361319881084</t>
  </si>
  <si>
    <t>SARS-CoV-2 will continue to circulate in the human population: an opinion from the point of view of the virus-host relationship</t>
  </si>
  <si>
    <t>Oberemok VV, Laikova KV, Yurchenko KA, Fomochkina II, Kubyshkin AV.</t>
  </si>
  <si>
    <t>Inflamm Res. 2020 Jul;69(7):635-640. doi: 10.1007/s00011-020-01352-y. Epub 2020 Apr 30.</t>
  </si>
  <si>
    <t>Inflamm Res</t>
  </si>
  <si>
    <t>10.1007/s00011-020-01352-y</t>
  </si>
  <si>
    <t>Efficacy and safety of current therapeutic options for COVID-19 - lessons to be learnt from SARS and MERS epidemic: A systematic review and meta-analysis</t>
  </si>
  <si>
    <t>Zhong H, Wang Y, Zhang ZL, Liu YX, Le KJ, Cui M, Yu YT, Gu ZC, Gao Y, Lin HW.</t>
  </si>
  <si>
    <t>Pharmacol Res. 2020 Jul;157:104872. doi: 10.1016/j.phrs.2020.104872. Epub 2020 Apr 30.</t>
  </si>
  <si>
    <t>Pharmacol Res</t>
  </si>
  <si>
    <t>10.1016/j.phrs.2020.104872</t>
  </si>
  <si>
    <t>Why Challenge Trials of SARS-CoV-2 Vaccines Could Be Ethical Despite Risk of Severe Adverse Events</t>
  </si>
  <si>
    <t>Eyal N.</t>
  </si>
  <si>
    <t>Ethics Hum Res. 2020 Jul;42(4):24-34. doi: 10.1002/eahr.500056. Epub 2020 May 22.</t>
  </si>
  <si>
    <t>Ethics Hum Res</t>
  </si>
  <si>
    <t>10.1002/eahr.500056</t>
  </si>
  <si>
    <t>Antifungal prophylaxis and novel drugs in acute myeloid leukemia: the midostaurin and posaconazole dilemma</t>
  </si>
  <si>
    <t>Stemler J, Koehler P, Maurer C, Müller C, Cornely OA.</t>
  </si>
  <si>
    <t>Ann Hematol. 2020 Jul;99(7):1429-1440. doi: 10.1007/s00277-020-04107-1. Epub 2020 Jun 8.</t>
  </si>
  <si>
    <t>10.1007/s00277-020-04107-1</t>
  </si>
  <si>
    <t>How Is Morocco Reacting to COVID-19 Crisis in Anticancer Centers?</t>
  </si>
  <si>
    <t>Oualla K, Nouiakh L, Acharfi N, Amaadour L, Benbrahim Z, Arifi S, Mellas N.</t>
  </si>
  <si>
    <t>Cancer Control. 2020 Jul-Aug;27(3):1073274820941973. doi: 10.1177/1073274820941973.</t>
  </si>
  <si>
    <t>Cancer Control</t>
  </si>
  <si>
    <t>10.1177/1073274820941973</t>
  </si>
  <si>
    <t>[Application of a risk stratification-based model for prediction of acute kidney injury combined with hemoperfusion in patients with sepsis: a prospective, observational, pilot study]</t>
  </si>
  <si>
    <t>Feng F, Chen Y, Chen W, Yang H, Yang W, Du J, Li M.</t>
  </si>
  <si>
    <t>Zhonghua Wei Zhong Bing Ji Jiu Yi Xue. 2020 Jul;32(7):814-818. doi: 10.3760/cma.j.cn121430-20200326-00239.</t>
  </si>
  <si>
    <t>Zhonghua Wei Zhong Bing Ji Jiu Yi Xue</t>
  </si>
  <si>
    <t>10.3760/cma.j.cn121430-20200326-00239</t>
  </si>
  <si>
    <t>Efficacy and safety of convalescent plasma for severe COVID-19 based on evidence in other severe respiratory viral infections: a systematic review and meta-analysis</t>
  </si>
  <si>
    <t>Devasenapathy N, Ye Z, Loeb M, Fang F, Najafabadi BT, Xiao Y, Couban R, Bégin P, Guyatt G.</t>
  </si>
  <si>
    <t>CMAJ. 2020 Jul 6;192(27):E745-E755. doi: 10.1503/cmaj.200642. Epub 2020 May 22.</t>
  </si>
  <si>
    <t>10.1503/cmaj.200642</t>
  </si>
  <si>
    <t>Interventions for mycosis fungoides</t>
  </si>
  <si>
    <t>Valipour A, Jäger M, Wu P, Schmitt J, Bunch C, Weberschock T.</t>
  </si>
  <si>
    <t>Cochrane Database Syst Rev. 2020 Jul 7;7(7):CD008946. doi: 10.1002/14651858.CD008946.pub3.</t>
  </si>
  <si>
    <t>10.1002/14651858.CD008946.pub3</t>
  </si>
  <si>
    <t>Identification, collection, and reporting of harms among non-industry-sponsored randomized clinical trials of pharmacologic interventions in the critically ill population: a systematic review</t>
  </si>
  <si>
    <t>Moskowitz A, Andersen LW, Holmberg MJ, Grossestreuer AV, Berg KM, Granfeldt A.</t>
  </si>
  <si>
    <t>Crit Care. 2020 Jul 8;24(1):398. doi: 10.1186/s13054-020-03113-z.</t>
  </si>
  <si>
    <t>10.1186/s13054-020-03113-z</t>
  </si>
  <si>
    <t>Concomitant fulvestrant with reirradiation for unresectable locoregional recurrent estrogen receptor positive (ER+) breast cancer: A case report and narrative review</t>
  </si>
  <si>
    <t>Ding J, Guo Y, Jiang X, Li K, Fu W, Cao Y.</t>
  </si>
  <si>
    <t>Medicine (Baltimore). 2020 Jul 24;99(30):e21344. doi: 10.1097/MD.0000000000021344.</t>
  </si>
  <si>
    <t>10.1097/MD.0000000000021344</t>
  </si>
  <si>
    <t>Randomized Clinical Trial of Intravenous (IV) Acetaminophen as an Adjunct to IV Hydromorphone for Acute Severe Pain in Emergency Department Patients</t>
  </si>
  <si>
    <t>Bijur PE, Friedman BW, White D, Wollowitz A, Campbell C, Jones MP, Chang AK, Gallagher EJ.</t>
  </si>
  <si>
    <t>Acad Emerg Med. 2020 Aug;27(8):717-724. doi: 10.1111/acem.13947. Epub 2020 Mar 24.</t>
  </si>
  <si>
    <t>Acad Emerg Med</t>
  </si>
  <si>
    <t>10.1111/acem.13947</t>
  </si>
  <si>
    <t>Anterior cruciate ligament reconstruction with the use of adductor canal block can achieve similar pain control as femoral nerve block</t>
  </si>
  <si>
    <t>Min H, Ouyang Y, Chen G.</t>
  </si>
  <si>
    <t>Knee Surg Sports Traumatol Arthrosc. 2020 Aug;28(8):2675-2686. doi: 10.1007/s00167-020-05933-6. Epub 2020 Mar 12.</t>
  </si>
  <si>
    <t>10.1007/s00167-020-05933-6</t>
  </si>
  <si>
    <t>Generating evidence for precision medicine: considerations made by the Ubiquitous Pharmacogenomics Consortium when designing and operationalizing the PREPARE study</t>
  </si>
  <si>
    <t>van der Wouden CH, Böhringer S, Cecchin E, Cheung KC, Dávila-Fajardo CL, Deneer VHM, Dolžan V, Ingelman-Sundberg M, Jönsson S, Karlsson MO, Kriek M, Mitropoulou C, Patrinos GP, Pirmohamed M, Rial-Sebbag E, Samwald M, Schwab M, Steinberger D, Stingl J, Sunder-Plassmann G, Toffoli G, Turner RM, van Rhenen MH, van Zwet E, Swen JJ, Guchelaar HJ; Ubiquitous Pharmacogenomics Consortium.</t>
  </si>
  <si>
    <t>Pharmacogenet Genomics. 2020 Aug;30(6):131-144. doi: 10.1097/FPC.0000000000000405.</t>
  </si>
  <si>
    <t>Pharmacogenet Genomics</t>
  </si>
  <si>
    <t>10.1097/FPC.0000000000000405</t>
  </si>
  <si>
    <t>Joint analysis of duration of ventilation, length of intensive care, and mortality of COVID-19 patients: a multistate approach</t>
  </si>
  <si>
    <t>Hazard D, Kaier K, von Cube M, Grodd M, Bugiera L, Lambert J, Wolkewitz M.</t>
  </si>
  <si>
    <t>BMC Med Res Methodol. 2020 Aug 11;20(1):206. doi: 10.1186/s12874-020-01082-z.</t>
  </si>
  <si>
    <t>BMC Med Res Methodol</t>
  </si>
  <si>
    <t>10.1186/s12874-020-01082-z</t>
  </si>
  <si>
    <t>COVID-19 Vaccines: "Warp Speed" Needs Mind Melds, Not Warped Minds</t>
  </si>
  <si>
    <t>Moore JP, Klasse PJ.</t>
  </si>
  <si>
    <t>J Virol. 2020 Aug 17;94(17):e01083-20. doi: 10.1128/JVI.01083-20. Print 2020 Aug 17.</t>
  </si>
  <si>
    <t>10.1128/JVI.01083-20</t>
  </si>
  <si>
    <t>Aromatherapy for dementia</t>
  </si>
  <si>
    <t>Ball EL, Owen-Booth B, Gray A, Shenkin SD, Hewitt J, McCleery J.</t>
  </si>
  <si>
    <t>Cochrane Database Syst Rev. 2020 Aug 19;8(8):CD003150. doi: 10.1002/14651858.CD003150.pub3.</t>
  </si>
  <si>
    <t>10.1002/14651858.CD003150.pub3</t>
  </si>
  <si>
    <t>Safety and parasite clearance of artemisinin-resistant Plasmodium falciparum infection: A pilot and a randomised volunteer infection study in Australia</t>
  </si>
  <si>
    <t>Watts RE, Odedra A, Marquart L, Webb L, Abd-Rahman AN, Cascales L, Chalon S, Rebelo M, Pava Z, Collins KA, Pasay C, Chen N, Peatey CL, Möhrle JJ, McCarthy JS.</t>
  </si>
  <si>
    <t>PLoS Med. 2020 Aug 21;17(8):e1003203. doi: 10.1371/journal.pmed.1003203. eCollection 2020 Aug.</t>
  </si>
  <si>
    <t>10.1371/journal.pmed.1003203</t>
  </si>
  <si>
    <t>Blood pressure in frail older adults: associations with cardiovascular outcomes and all-cause mortality</t>
  </si>
  <si>
    <t>Masoli JAH, Delgado J, Pilling L, Strain D, Melzer D.</t>
  </si>
  <si>
    <t>Age Ageing. 2020 Aug 24;49(5):807-813. doi: 10.1093/ageing/afaa028.</t>
  </si>
  <si>
    <t>Age Ageing</t>
  </si>
  <si>
    <t>10.1093/ageing/afaa028</t>
  </si>
  <si>
    <t>Sorafenib for Patients with Hepatocellular Carcinoma and Child-Pugh B Liver Cirrhosis: Lessons Learned from a Terminated Study</t>
  </si>
  <si>
    <t>Labeur TA, Achterbergh R, Takkenberg B, Van Delden O, Mathôt R, Klümpen HJ.</t>
  </si>
  <si>
    <t>Oncologist. 2020 Sep;25(9):e1274-e1279. doi: 10.1634/theoncologist.2019-0718. Epub 2019 Oct 23.</t>
  </si>
  <si>
    <t>10.1634/theoncologist.2019-0718</t>
  </si>
  <si>
    <t>Safety and efficacy of fixed-dose combination calcipotriol (50 μg/g) and betamethasone dipropionate (0.5 mg/g) cutaneous foam in adolescent patients (aged 12 to &lt;17 years) with plaque psoriasis: results of a phase II, open-label trial</t>
  </si>
  <si>
    <t>Seyger M, Abramovits W, Liljedahl M, Hoejen MN, Teng J.</t>
  </si>
  <si>
    <t>J Eur Acad Dermatol Venereol. 2020 Sep;34(9):2026-2034. doi: 10.1111/jdv.16233. Epub 2020 Feb 19.</t>
  </si>
  <si>
    <t>10.1111/jdv.16233</t>
  </si>
  <si>
    <t>Contribution of Relapse-Independent Progression vs Relapse-Associated Worsening to Overall Confirmed Disability Accumulation in Typical Relapsing Multiple Sclerosis in a Pooled Analysis of 2 Randomized Clinical Trials</t>
  </si>
  <si>
    <t>Kappos L, Wolinsky JS, Giovannoni G, Arnold DL, Wang Q, Bernasconi C, Model F, Koendgen H, Manfrini M, Belachew S, Hauser SL.</t>
  </si>
  <si>
    <t>JAMA Neurol. 2020 Sep 1;77(9):1132-1140. doi: 10.1001/jamaneurol.2020.1568.</t>
  </si>
  <si>
    <t>10.1001/jamaneurol.2020.1568</t>
  </si>
  <si>
    <t>Decreased neural inhibitory state in fibromyalgia pain: A cross-sectional study</t>
  </si>
  <si>
    <t>Uygur-Kucukseymen E, Castelo-Branco L, Pacheco-Barrios K, Luna-Cuadros MA, Cardenas-Rojas A, Giannoni-Luza S, Zeng H, Gianlorenco AC, Gnoatto-Medeiros M, Shaikh ES, Caumo W, Fregni F.</t>
  </si>
  <si>
    <t>Neurophysiol Clin. 2020 Sep;50(4):279-288. doi: 10.1016/j.neucli.2020.06.002. Epub 2020 Jul 9.</t>
  </si>
  <si>
    <t>Neurophysiol Clin</t>
  </si>
  <si>
    <t>NIHMS1612550</t>
  </si>
  <si>
    <t>10.1016/j.neucli.2020.06.002</t>
  </si>
  <si>
    <t>Teriparatide Promotes Bone Healing in Medication-Related Osteonecrosis of the Jaw: A Placebo-Controlled, Randomized Trial</t>
  </si>
  <si>
    <t>Sim IW, Borromeo GL, Tsao C, Hardiman R, Hofman MS, Papatziamos Hjelle C, Siddique M, Cook GJR, Seymour JF, Ebeling PR.</t>
  </si>
  <si>
    <t>J Clin Oncol. 2020 Sep 10;38(26):2971-2980. doi: 10.1200/JCO.19.02192. Epub 2020 Jul 2.</t>
  </si>
  <si>
    <t>10.1200/JCO.19.02192</t>
  </si>
  <si>
    <t>Study on metabonomics of Chinese herbal medicine in the treatment of type 2 diabetes mellitus complicated with community-acquired pneumonia</t>
  </si>
  <si>
    <t>Yang H, Yue R, Zhou J, Zeng Z, Wang L, Long X, Ding N, Huang X.</t>
  </si>
  <si>
    <t>Medicine (Baltimore). 2020 Sep 11;99(37):e22160. doi: 10.1097/MD.0000000000022160.</t>
  </si>
  <si>
    <t>10.1097/MD.0000000000022160</t>
  </si>
  <si>
    <t>Antimicrobial mouthwashes (gargling) and nasal sprays administered to patients with suspected or confirmed COVID-19 infection to improve patient outcomes and to protect healthcare workers treating them</t>
  </si>
  <si>
    <t>Burton MJ, Clarkson JE, Goulao B, Glenny AM, McBain AJ, Schilder AG, Webster KE, Worthington HV.</t>
  </si>
  <si>
    <t>Cochrane Database Syst Rev. 2020 Sep 16;9(9):CD013627. doi: 10.1002/14651858.CD013627.pub2.</t>
  </si>
  <si>
    <t>PMC8187985</t>
  </si>
  <si>
    <t>10.1002/14651858.CD013627.pub2</t>
  </si>
  <si>
    <t>Use of antimicrobial mouthwashes (gargling) and nasal sprays by healthcare workers to protect them when treating patients with suspected or confirmed COVID-19 infection</t>
  </si>
  <si>
    <t>Cochrane Database Syst Rev. 2020 Sep 16;9(9):CD013626. doi: 10.1002/14651858.CD013626.pub2.</t>
  </si>
  <si>
    <t>PMC8202127</t>
  </si>
  <si>
    <t>10.1002/14651858.CD013626.pub2</t>
  </si>
  <si>
    <t>An open label study of the safety and efficacy of a single dose of weekly chloroquine and azithromycin administered for malaria prophylaxis in healthy adults challenged with 7G8 chloroquine-resistant Plasmodium falciparum in a controlled human malaria infection model</t>
  </si>
  <si>
    <t>Livezey J, Twomey P, Morrison M, Cicatelli S, Duncan EH, Hamer M, Lee C, Hutter J, Mills K, DeLuca J, Poon L, Selig D, Vuong C, Sousa J, Oliver T, Bennett J, Moon JE, Sikaffy A, Sedegah M, Tosh D, Kreishman-Deitrick M, Waterman P.</t>
  </si>
  <si>
    <t>Malar J. 2020 Sep 16;19(1):336. doi: 10.1186/s12936-020-03409-z.</t>
  </si>
  <si>
    <t>10.1186/s12936-020-03409-z</t>
  </si>
  <si>
    <t>Safety and Pharmacokinetics of Recombinant Human Plasma Gelsolin in Patients Hospitalized for Nonsevere Community-Acquired Pneumonia</t>
  </si>
  <si>
    <t>Tannous A, Levinson SL, Bolognese J, Opal SM, DiNubile MJ.</t>
  </si>
  <si>
    <t>Antimicrob Agents Chemother. 2020 Sep 21;64(10):e00579-20. doi: 10.1128/AAC.00579-20. Print 2020 Sep 21.</t>
  </si>
  <si>
    <t>10.1128/AAC.00579-20</t>
  </si>
  <si>
    <t>Lower risk of severe hypoglycaemia with insulin glargine 300 U/mL versus glargine 100 U/mL in participants with type 1 diabetes: A meta-analysis of 6-month phase 3 clinical trials</t>
  </si>
  <si>
    <t>Danne T, Matsuhisa M, Sussebach C, Goyeau H, Lauand F, Niemoeller E, Bolli GB.</t>
  </si>
  <si>
    <t>Diabetes Obes Metab. 2020 Oct;22(10):1880-1885. doi: 10.1111/dom.14109. Epub 2020 Jul 21.</t>
  </si>
  <si>
    <t>10.1111/dom.14109</t>
  </si>
  <si>
    <t>Endpoints for randomized controlled clinical trials for COVID-19 treatments</t>
  </si>
  <si>
    <t>Dodd LE, Follmann D, Wang J, Koenig F, Korn LL, Schoergenhofer C, Proschan M, Hunsberger S, Bonnett T, Makowski M, Belhadi D, Wang Y, Cao B, Mentre F, Jaki T.</t>
  </si>
  <si>
    <t>Clin Trials. 2020 Oct;17(5):472-482. doi: 10.1177/1740774520939938. Epub 2020 Jul 16.</t>
  </si>
  <si>
    <t>10.1177/1740774520939938</t>
  </si>
  <si>
    <t>Efficacy and safety of oral immunotherapy with AR101 in European children with a peanut allergy (ARTEMIS): a multicentre, double-blind, randomised, placebo-controlled phase 3 trial</t>
  </si>
  <si>
    <t>O'B Hourihane J, Beyer K, Abbas A, Fernández-Rivas M, Turner PJ, Blumchen K, Nilsson C, Ibáñez MD, Deschildre A, Muraro A, Sharma V, Erlewyn-Lajeunesse M, Zubeldia JM, De Blay F, Sauvage CD, Byrne A, Chapman J, Boralevi F, DunnGalvin A, O'Neill C, Norval D, Vereda A, Skeel B, Adelman DC, du Toit G.</t>
  </si>
  <si>
    <t>Lancet Child Adolesc Health. 2020 Oct;4(10):728-739. doi: 10.1016/S2352-4642(20)30234-0. Epub 2020 Jul 20.</t>
  </si>
  <si>
    <t>Lancet Child Adolesc Health</t>
  </si>
  <si>
    <t>10.1016/S2352-4642(20)30234-0</t>
  </si>
  <si>
    <t>Bridging the Missing Link with Emicizumab: A Bispecific Antibody for Treatment of Hemophilia A</t>
  </si>
  <si>
    <t>Gelbenegger G, Schoergenhofer C, Knoebl P, Jilma B.</t>
  </si>
  <si>
    <t>Thromb Haemost. 2020 Oct;120(10):1357-1370. doi: 10.1055/s-0040-1714279. Epub 2020 Jul 27.</t>
  </si>
  <si>
    <t>10.1055/s-0040-1714279</t>
  </si>
  <si>
    <t>Treatment of COVID-19 with convalescent plasma: lessons from past coronavirus outbreaks</t>
  </si>
  <si>
    <t>Wooding DJ, Bach H.</t>
  </si>
  <si>
    <t>Clin Microbiol Infect. 2020 Oct;26(10):1436-1446. doi: 10.1016/j.cmi.2020.08.005. Epub 2020 Aug 11.</t>
  </si>
  <si>
    <t>10.1016/j.cmi.2020.08.005</t>
  </si>
  <si>
    <t>Effect of Hydrocortisone on Mortality and Organ Support in Patients With Severe COVID-19: The REMAP-CAP COVID-19 Corticosteroid Domain Randomized Clinical Trial</t>
  </si>
  <si>
    <t>Angus DC, Derde L, Al-Beidh F, Annane D, Arabi Y, Beane A, van Bentum-Puijk W, Berry L, Bhimani Z, Bonten M, Bradbury C, Brunkhorst F, Buxton M, Buzgau A, Cheng AC, de Jong M, Detry M, Estcourt L, Fitzgerald M, Goossens H, Green C, Haniffa R, Higgins AM, Horvat C, Hullegie SJ, Kruger P, Lamontagne F, Lawler PR, Linstrum K, Litton E, Lorenzi E, Marshall J, McAuley D, McGlothin A, McGuinness S, McVerry B, Montgomery S, Mouncey P, Murthy S, Nichol A, Parke R, Parker J, Rowan K, Sanil A, Santos M, Saunders C, Seymour C, Turner A, van de Veerdonk F, Venkatesh B, Zarychanski R, Berry S, Lewis RJ, McArthur C, Webb SA, Gordon AC; Writing Committee for the REMAP-CAP Investigators, Al-Beidh F, Angus D, Annane D, Arabi Y, van Bentum-Puijk W, Berry S, Beane A, Bhimani Z, Bonten M, Bradbury C, Brunkhorst F, Buxton M, Cheng A, De Jong M, Derde L, Estcourt L, Goossens H, Gordon A, Green C, Haniffa R, Lamontagne F, Lawler P, Litton E, Marshall J, McArthur C, McAuley D, McGuinness S, McVerry B, Montgomery S, Mouncey P, Murthy S, Nichol A, Parke R, Rowan K, Seymour C, Turner A, van de Veerdonk F, Webb S, Zarychanski R, Campbell L, Forbes A, Gattas D, Heritier S, et al.</t>
  </si>
  <si>
    <t>JAMA. 2020 Oct 6;324(13):1317-1329. doi: 10.1001/jama.2020.17022.</t>
  </si>
  <si>
    <t>10.1001/jama.2020.17022</t>
  </si>
  <si>
    <t>Impact of reducing the duration of antibiotic treatment on the long-term prognosis of community acquired pneumonia</t>
  </si>
  <si>
    <t>Uranga A, Artaraz A, Bilbao A, Quintana JM, Arriaga I, Intxausti M, Lobo JL, García JA, Camino J, España PP.</t>
  </si>
  <si>
    <t>BMC Pulm Med. 2020 Oct 7;20(1):261. doi: 10.1186/s12890-020-01293-6.</t>
  </si>
  <si>
    <t>10.1186/s12890-020-01293-6</t>
  </si>
  <si>
    <t>Convalescent plasma or hyperimmune immunoglobulin for people with COVID-19: a living systematic review</t>
  </si>
  <si>
    <t>Chai KL, Valk SJ, Piechotta V, Kimber C, Monsef I, Doree C, Wood EM, Lamikanra AA, Roberts DJ, McQuilten Z, So-Osman C, Estcourt LJ, Skoetz N.</t>
  </si>
  <si>
    <t>Cochrane Database Syst Rev. 2020 Oct 12;10:CD013600. doi: 10.1002/14651858.CD013600.pub3.</t>
  </si>
  <si>
    <t>10.1002/14651858.CD013600.pub3</t>
  </si>
  <si>
    <t>Identifying frailty in trials: an analysis of individual participant data from trials of novel pharmacological interventions</t>
  </si>
  <si>
    <t>Hanlon P, Butterly E, Lewsey J, Siebert S, Mair FS, McAllister DA.</t>
  </si>
  <si>
    <t>BMC Med. 2020 Oct 22;18(1):309. doi: 10.1186/s12916-020-01752-1.</t>
  </si>
  <si>
    <t>10.1186/s12916-020-01752-1</t>
  </si>
  <si>
    <t>An agnostic reevaluation of the amyloid cascade hypothesis of Alzheimer's disease pathogenesis: The role of APP homeostasis</t>
  </si>
  <si>
    <t>Caselli RJ, Knopman DS, Bu G.</t>
  </si>
  <si>
    <t>Alzheimers Dement. 2020 Nov;16(11):1582-1590. doi: 10.1002/alz.12124. Epub 2020 Jun 26.</t>
  </si>
  <si>
    <t>Alzheimers Dement</t>
  </si>
  <si>
    <t>10.1002/alz.12124</t>
  </si>
  <si>
    <t>Impact of a Multimodal Telemonitoring Intervention on CPAP Adherence in Symptomatic OSA and Low Cardiovascular Risk: A Randomized Controlled Trial</t>
  </si>
  <si>
    <t>Tamisier R, Treptow E, Joyeux-Faure M, Levy P, Sapene M, Benmerad M, Bailly S, Grillet Y, Stach B, Muir JF, Pegliasco H, Pépin JL; OPTISAS trial Investigators.</t>
  </si>
  <si>
    <t>Chest. 2020 Nov;158(5):2136-2145. doi: 10.1016/j.chest.2020.05.613. Epub 2020 Jul 5.</t>
  </si>
  <si>
    <t>10.1016/j.chest.2020.05.613</t>
  </si>
  <si>
    <t>Hepatic Disorders With the Use of Remdesivir for Coronavirus 2019</t>
  </si>
  <si>
    <t>Montastruc F, Thuriot S, Durrieu G.</t>
  </si>
  <si>
    <t>Clin Gastroenterol Hepatol. 2020 Nov;18(12):2835-2836. doi: 10.1016/j.cgh.2020.07.050. Epub 2020 Jul 25.</t>
  </si>
  <si>
    <t>10.1016/j.cgh.2020.07.050</t>
  </si>
  <si>
    <t>Rethinking interleukin-6 blockade for treatment of COVID-19</t>
  </si>
  <si>
    <t>Scherger S, Henao-Martínez A, Franco-Paredes C, Shapiro L.</t>
  </si>
  <si>
    <t>Med Hypotheses. 2020 Nov;144:110053. doi: 10.1016/j.mehy.2020.110053. Epub 2020 Jun 27.</t>
  </si>
  <si>
    <t>Med Hypotheses</t>
  </si>
  <si>
    <t>10.1016/j.mehy.2020.110053</t>
  </si>
  <si>
    <t>A Review of Remdesivir for COVID-19: Data to Date</t>
  </si>
  <si>
    <t>Mehta M, Shyh GI.</t>
  </si>
  <si>
    <t>Cardiol Rev. 2020 Nov/Dec;28(6):332-334. doi: 10.1097/CRD.0000000000000337.</t>
  </si>
  <si>
    <t>10.1097/CRD.0000000000000337</t>
  </si>
  <si>
    <t>Effectiveness and Safety of Systemic Therapy for Psoriasis in Older Adults: A Systematic Review</t>
  </si>
  <si>
    <t>van Winden MEC, van der Schoot LS, van de L'Isle Arias M, van Vugt LJ, van den Reek JMPA, van de Kerkhof PCM, de Jong EMGJ, Lubeek SFK.</t>
  </si>
  <si>
    <t>JAMA Dermatol. 2020 Nov 1;156(11):1229-1239. doi: 10.1001/jamadermatol.2020.2311.</t>
  </si>
  <si>
    <t>10.1001/jamadermatol.2020.2311</t>
  </si>
  <si>
    <t>Data monitoring committees for clinical trials evaluating treatments of COVID-19</t>
  </si>
  <si>
    <t>Mütze T, Friede T.</t>
  </si>
  <si>
    <t>Contemp Clin Trials. 2020 Nov;98:106154. doi: 10.1016/j.cct.2020.106154. Epub 2020 Sep 19.</t>
  </si>
  <si>
    <t>Contemp Clin Trials</t>
  </si>
  <si>
    <t>10.1016/j.cct.2020.106154</t>
  </si>
  <si>
    <t>Influence of Leaf Wetness Duration and Temperature on Infection of Grape Leaves by Elsinoë ampelina under Controlled and Vineyard Conditions</t>
  </si>
  <si>
    <t>Carisse O, Levasseur A, Provost C.</t>
  </si>
  <si>
    <t>Plant Dis. 2020 Nov;104(11):2817-2822. doi: 10.1094/PDIS-02-20-0262-RE. Epub 2020 Sep 28.</t>
  </si>
  <si>
    <t>Plant Dis</t>
  </si>
  <si>
    <t>10.1094/PDIS-02-20-0262-RE</t>
  </si>
  <si>
    <t>The future of Cochrane Neonatal</t>
  </si>
  <si>
    <t>Soll RF, Ovelman C, McGuire W.</t>
  </si>
  <si>
    <t>Early Hum Dev. 2020 Nov;150:105191. doi: 10.1016/j.earlhumdev.2020.105191. Epub 2020 Sep 12.</t>
  </si>
  <si>
    <t>Early Hum Dev</t>
  </si>
  <si>
    <t>10.1016/j.earlhumdev.2020.105191</t>
  </si>
  <si>
    <t>When steroids are not enough in immune-related hepatitis: current clinical challenges discussed on the basis of a case report</t>
  </si>
  <si>
    <t>Ziogas DC, Gkoufa A, Cholongitas E, Diamantopoulos P, Anastasopoulou A, Ascierto PA, Gogas H.</t>
  </si>
  <si>
    <t>J Immunother Cancer. 2020 Nov;8(2):e001322. doi: 10.1136/jitc-2020-001322.</t>
  </si>
  <si>
    <t>10.1136/jitc-2020-001322</t>
  </si>
  <si>
    <t>Remdesivir for the Treatment of Covid-19 - Final Report</t>
  </si>
  <si>
    <t>Beigel JH, Tomashek KM, Dodd LE, Mehta AK, Zingman BS, Kalil AC, Hohmann E, Chu HY, Luetkemeyer A, Kline S, Lopez de Castilla D, Finberg RW, Dierberg K, Tapson V, Hsieh L, Patterson TF, Paredes R, Sweeney DA, Short WR, Touloumi G, Lye DC, Ohmagari N, Oh MD, Ruiz-Palacios GM, Benfield T, Fätkenheuer G, Kortepeter MG, Atmar RL, Creech CB, Lundgren J, Babiker AG, Pett S, Neaton JD, Burgess TH, Bonnett T, Green M, Makowski M, Osinusi A, Nayak S, Lane HC; ACTT-1 Study Group Members.</t>
  </si>
  <si>
    <t>N Engl J Med. 2020 Nov 5;383(19):1813-1826. doi: 10.1056/NEJMoa2007764. Epub 2020 Oct 8.</t>
  </si>
  <si>
    <t>10.1056/NEJMoa2007764</t>
  </si>
  <si>
    <t>Remdesivir for 5 or 10 Days in Patients with Severe Covid-19</t>
  </si>
  <si>
    <t>Goldman JD, Lye DCB, Hui DS, Marks KM, Bruno R, Montejano R, Spinner CD, Galli M, Ahn MY, Nahass RG, Chen YS, SenGupta D, Hyland RH, Osinusi AO, Cao H, Blair C, Wei X, Gaggar A, Brainard DM, Towner WJ, Muñoz J, Mullane KM, Marty FM, Tashima KT, Diaz G, Subramanian A; GS-US-540-5773 Investigators.</t>
  </si>
  <si>
    <t>N Engl J Med. 2020 Nov 5;383(19):1827-1837. doi: 10.1056/NEJMoa2015301. Epub 2020 May 27.</t>
  </si>
  <si>
    <t>10.1056/NEJMoa2015301</t>
  </si>
  <si>
    <t>Understanding the neuroprotective effect of tranexamic acid: an exploratory analysis of the CRASH-3 randomised trial</t>
  </si>
  <si>
    <t>Brenner A, Belli A, Chaudhri R, Coats T, Frimley L, Jamaluddin SF, Jooma R, Mansukhani R, Sandercock P, Shakur-Still H, Shokunbi T, Roberts I; CRASH-3 trial collaborators.</t>
  </si>
  <si>
    <t>Crit Care. 2020 Nov 11;24(1):560. doi: 10.1186/s13054-020-03243-4.</t>
  </si>
  <si>
    <t>10.1186/s13054-020-03243-4</t>
  </si>
  <si>
    <t>The effectiveness of ramosetron and ondansetron for preventing postoperative nausea and vomiting after arthroscopic rotator cuff repair: a randomized controlled trial</t>
  </si>
  <si>
    <t>Lee SU, Lee HJ, Kim YS.</t>
  </si>
  <si>
    <t>J Orthop Surg Res. 2020 Nov 11;15(1):523. doi: 10.1186/s13018-020-02060-3.</t>
  </si>
  <si>
    <t>J Orthop Surg Res</t>
  </si>
  <si>
    <t>10.1186/s13018-020-02060-3</t>
  </si>
  <si>
    <t>COVID-19 Vaccines: Should We Fear ADE?</t>
  </si>
  <si>
    <t>Halstead SB, Katzelnick L.</t>
  </si>
  <si>
    <t>J Infect Dis. 2020 Nov 13;222(12):1946-1950. doi: 10.1093/infdis/jiaa518.</t>
  </si>
  <si>
    <t>10.1093/infdis/jiaa518</t>
  </si>
  <si>
    <t>Benefit-Risk Tradeoffs in Assessment of New Drugs and Devices</t>
  </si>
  <si>
    <t>Kaul S, Stockbridge N, Butler J.</t>
  </si>
  <si>
    <t>Circulation. 2020 Nov 17;142(20):1974-1988. doi: 10.1161/CIRCULATIONAHA.120.048933. Epub 2020 Nov 16.</t>
  </si>
  <si>
    <t>10.1161/CIRCULATIONAHA.120.048933</t>
  </si>
  <si>
    <t>Interferon β-1a (IFNβ-1a) in COVID-19 patients (INTERCOP): study protocol for a randomized controlled trial</t>
  </si>
  <si>
    <t>Bosi E, Bosi C, Rovere Querini P, Mancini N, Calori G, Ruggeri A, Canzonieri C, Callegaro L, Clementi M, De Cobelli F, Filippi M, Bregni M.</t>
  </si>
  <si>
    <t>Trials. 2020 Nov 23;21(1):939. doi: 10.1186/s13063-020-04864-4.</t>
  </si>
  <si>
    <t>10.1186/s13063-020-04864-4</t>
  </si>
  <si>
    <t>Patient factors influencing acute gluten reactions and cytokine release in treated coeliac disease</t>
  </si>
  <si>
    <t>Tye-Din JA, Daveson AJM, Goldstein KE, Hand HL, Neff KM, Goel G, Williams LJ, Truitt KE, Anderson RP; RESET CeD Study Group.</t>
  </si>
  <si>
    <t>BMC Med. 2020 Nov 26;18(1):362. doi: 10.1186/s12916-020-01828-y.</t>
  </si>
  <si>
    <t>10.1186/s12916-020-01828-y</t>
  </si>
  <si>
    <t>Design for immuno-oncology clinical trials enrolling both responders and nonresponders</t>
  </si>
  <si>
    <t>Xu Z, Zhu B, Park Y.</t>
  </si>
  <si>
    <t>Stat Med. 2020 Nov 30;39(27):3914-3936. doi: 10.1002/sim.8694. Epub 2020 Sep 17.</t>
  </si>
  <si>
    <t>NIHMS1659404</t>
  </si>
  <si>
    <t>10.1002/sim.8694</t>
  </si>
  <si>
    <t>Ten-year follow-up of a randomized controlled clinical trial in chronic hepatitis delta</t>
  </si>
  <si>
    <t>Wranke A, Hardtke S, Heidrich B, Dalekos G, Yalçin K, Tabak F, Gürel S, Çakaloğlu Y, Akarca US, Lammert F, Häussinger D, Müller T, Wöbse M, Manns MP, Idilman R, Cornberg M, Wedemeyer H, Yurdaydin C.</t>
  </si>
  <si>
    <t>J Viral Hepat. 2020 Dec;27(12):1359-1368. doi: 10.1111/jvh.13366. Epub 2020 Aug 11.</t>
  </si>
  <si>
    <t>J Viral Hepat</t>
  </si>
  <si>
    <t>10.1111/jvh.13366</t>
  </si>
  <si>
    <t>Nonantibiotic Pharmacological Treatment of Severe Chronic Obstructive Pulmonary Disease Exacerbations</t>
  </si>
  <si>
    <t>Vasques F, Camporota L, Barrett NA.</t>
  </si>
  <si>
    <t>Semin Respir Crit Care Med. 2020 Dec;41(6):842-850. doi: 10.1055/s-0040-1714379. Epub 2020 Jul 29.</t>
  </si>
  <si>
    <t>10.1055/s-0040-1714379</t>
  </si>
  <si>
    <t>Endobronchial valve therapy for severe emphysema: an overview of valve-related complications and its management</t>
  </si>
  <si>
    <t>Koster TD, Klooster K, Ten Hacken NHT, van Dijk M, Slebos DJ.</t>
  </si>
  <si>
    <t>Expert Rev Respir Med. 2020 Dec;14(12):1235-1247. doi: 10.1080/17476348.2020.1813571. Epub 2020 Aug 31.</t>
  </si>
  <si>
    <t>Expert Rev Respir Med</t>
  </si>
  <si>
    <t>10.1080/17476348.2020.1813571</t>
  </si>
  <si>
    <t>Use of hydroxychloroquine in hospitalised COVID-19 patients is associated with reduced mortality: Findings from the observational multicentre Italian CORIST study</t>
  </si>
  <si>
    <t>COVID-19 RISK and Treatments (CORIST) Collaboration.</t>
  </si>
  <si>
    <t>Eur J Intern Med. 2020 Dec;82:38-47. doi: 10.1016/j.ejim.2020.08.019. Epub 2020 Aug 25.</t>
  </si>
  <si>
    <t>Eur J Intern Med</t>
  </si>
  <si>
    <t>10.1016/j.ejim.2020.08.019</t>
  </si>
  <si>
    <t>Anticoagulation and bleeding risk in patients with COVID-19</t>
  </si>
  <si>
    <t>Musoke N, Lo KB, Albano J, Peterson E, Bhargav R, Gul F, DeJoy R 3rd, Salacup G, Pelayo J, Tipparaju P, Azmaiparashvili Z, Patarroyo-Aponte G, Rangaswami J.</t>
  </si>
  <si>
    <t>Thromb Res. 2020 Dec;196:227-230. doi: 10.1016/j.thromres.2020.08.035. Epub 2020 Aug 24.</t>
  </si>
  <si>
    <t>10.1016/j.thromres.2020.08.035</t>
  </si>
  <si>
    <t>Effectiveness of chlorhexidine dressings to prevent catheter-related bloodstream infections. Does one size fit all? A systematic literature review and meta-analysis</t>
  </si>
  <si>
    <t>Puig-Asensio M, Marra AR, Childs CA, Kukla ME, Perencevich EN, Schweizer ML.</t>
  </si>
  <si>
    <t>Infect Control Hosp Epidemiol. 2020 Dec;41(12):1388-1395. doi: 10.1017/ice.2020.356. Epub 2020 Sep 16.</t>
  </si>
  <si>
    <t>Infect Control Hosp Epidemiol</t>
  </si>
  <si>
    <t>10.1017/ice.2020.356</t>
  </si>
  <si>
    <t>Intermediate versus standard-dose prophylactic anticoagulation and statin therapy versus placebo in critically-ill patients with COVID-19: Rationale and design of the INSPIRATION/INSPIRATION-S studies</t>
  </si>
  <si>
    <t>Bikdeli B, Talasaz AH, Rashidi F, Sharif-Kashani B, Farrokhpour M, Bakhshandeh H, Sezavar H, Dabbagh A, Beigmohammadi MT, Payandemehr P, Yadollahzadeh M, Riahi T, Khalili H, Jamalkhani S, Rezaeifar P, Abedini A, Lookzadeh S, Shahmirzaei S, Tahamtan O, Matin S, Amin A, Parhizgar SE, Jimenez D, Gupta A, Madhavan MV, Parikh SA, Monreal M, Hadavand N, Hajighasemi A, Maleki M, Sadeghian S, Mohebbi B, Piazza G, Kirtane AJ, Lip GYH, Krumholz HM, Goldhaber SZ, Sadeghipour P.</t>
  </si>
  <si>
    <t>Thromb Res. 2020 Dec;196:382-394. doi: 10.1016/j.thromres.2020.09.027. Epub 2020 Sep 24.</t>
  </si>
  <si>
    <t>10.1016/j.thromres.2020.09.027</t>
  </si>
  <si>
    <t>Current State of Mass Vaccination Preparedness and Operational Challenges in the United States, 2018-2019</t>
  </si>
  <si>
    <t>Hosangadi D, Shearer MP, Warmbrod KL, Kan L, Cantu M, Nuzzo JB.</t>
  </si>
  <si>
    <t>Health Secur. 2020 Dec;18(6):473-482. doi: 10.1089/hs.2019.0146. Epub 2020 Oct 2.</t>
  </si>
  <si>
    <t>Health Secur</t>
  </si>
  <si>
    <t>10.1089/hs.2019.0146</t>
  </si>
  <si>
    <t>Analgesia and sedation in patients with ARDS</t>
  </si>
  <si>
    <t>Chanques G, Constantin JM, Devlin JW, Ely EW, Fraser GL, Gélinas C, Girard TD, Guérin C, Jabaudon M, Jaber S, Mehta S, Langer T, Murray MJ, Pandharipande P, Patel B, Payen JF, Puntillo K, Rochwerg B, Shehabi Y, Strøm T, Olsen HT, Kress JP.</t>
  </si>
  <si>
    <t>Intensive Care Med. 2020 Dec;46(12):2342-2356. doi: 10.1007/s00134-020-06307-9. Epub 2020 Nov 10.</t>
  </si>
  <si>
    <t>10.1007/s00134-020-06307-9</t>
  </si>
  <si>
    <t>[Covid-19, september 2020: fall storm warning]</t>
  </si>
  <si>
    <t>Agut H.</t>
  </si>
  <si>
    <t>Virologie (Montrouge). 2020 Dec 1;24(6):361-367. doi: 10.1684/vir.2020.0865.</t>
  </si>
  <si>
    <t>Virologie (Montrouge)</t>
  </si>
  <si>
    <t>10.1684/vir.2020.0865</t>
  </si>
  <si>
    <t>Non-toxigenic Corynebacterium diphtheriae infective endocarditis with embolic events: a case report</t>
  </si>
  <si>
    <t>de Santis A, Siciliano RF, Sampaio RO, Akamine M, Veronese ET, de Almeida Magalhaes FM, Araújo MRE, Rossi F, Magri MMC, Nastri AC, Accorsi TAD, Rosa VEE, Titinger DP, Spina GS, Tarasoutchi F.</t>
  </si>
  <si>
    <t>BMC Infect Dis. 2020 Dec 1;20(1):907. doi: 10.1186/s12879-020-05652-w.</t>
  </si>
  <si>
    <t>10.1186/s12879-020-05652-w</t>
  </si>
  <si>
    <t>Malaria Chemoprevention in the Postdischarge Management of Severe Anemia</t>
  </si>
  <si>
    <t>Kwambai TK, Dhabangi A, Idro R, Opoka R, Watson V, Kariuki S, Kuya NA, Onyango ED, Otieno K, Samuels AM, Desai MR, Boele van Hensbroek M, Wang D, John CC, Robberstad B, Phiri KS, Ter Kuile FO.</t>
  </si>
  <si>
    <t>N Engl J Med. 2020 Dec 3;383(23):2242-2254. doi: 10.1056/NEJMoa2002820.</t>
  </si>
  <si>
    <t>10.1056/NEJMoa2002820</t>
  </si>
  <si>
    <t>A study to assess current approaches of allergists in European countries diagnosing and managing children and adolescents with peanut allergy</t>
  </si>
  <si>
    <t>Sharma V, Jobrack J, Cerenzia W, Tilles S, Ryan R, Sih-Meynier R, Zeitler S, Manning M.</t>
  </si>
  <si>
    <t>PLoS One. 2020 Dec 3;15(12):e0241648. doi: 10.1371/journal.pone.0241648. eCollection 2020.</t>
  </si>
  <si>
    <t>10.1371/journal.pone.0241648</t>
  </si>
  <si>
    <t>Interventions for itch in people with advanced chronic kidney disease</t>
  </si>
  <si>
    <t>Hercz D, Jiang SH, Webster AC.</t>
  </si>
  <si>
    <t>Cochrane Database Syst Rev. 2020 Dec 7;12(12):CD011393. doi: 10.1002/14651858.CD011393.pub2.</t>
  </si>
  <si>
    <t>PMC8094883</t>
  </si>
  <si>
    <t>10.1002/14651858.CD011393.pub2</t>
  </si>
  <si>
    <t>A Phase 1, Placebo-controlled, Randomized, Single Ascending Dose Study and a Volunteer Infection Study to Characterize the Safety, Pharmacokinetics, and Antimalarial Activity of the Plasmodium Phosphatidylinositol 4-Kinase Inhibitor MMV390048</t>
  </si>
  <si>
    <t>McCarthy JS, Donini C, Chalon S, Woodford J, Marquart L, Collins KA, Rozenberg FD, Fidock DA, Cherkaoui-Rbati MH, Gobeau N, Möhrle JJ.</t>
  </si>
  <si>
    <t>Clin Infect Dis. 2020 Dec 17;71(10):e657-e664. doi: 10.1093/cid/ciaa368.</t>
  </si>
  <si>
    <t>10.1093/cid/ciaa368</t>
  </si>
  <si>
    <t>Toxicities of Chimeric Antigen Receptor T Cell Therapy in Multiple Myeloma: An Overview of Experience From Clinical Trials, Pathophysiology, and Management Strategies</t>
  </si>
  <si>
    <t>Zhou X, Rasche L, Kortüm KM, Danhof S, Hudecek M, Einsele H.</t>
  </si>
  <si>
    <t>Front Immunol. 2020 Dec 23;11:620312. doi: 10.3389/fimmu.2020.620312. eCollection 2020.</t>
  </si>
  <si>
    <t>10.3389/fimmu.2020.620312</t>
  </si>
  <si>
    <t>Use of thrombopoietin receptor agonists for immune thrombocytopenia in pregnancy: results from a multicenter study</t>
  </si>
  <si>
    <t>Michel M, Ruggeri M, Gonzalez-Lopez TJ, Alkindi S, Cheze S, Ghanima W, Tvedt THA, Ebbo M, Terriou L, Bussel JB, Godeau B.</t>
  </si>
  <si>
    <t>Blood. 2020 Dec 24;136(26):3056-3061. doi: 10.1182/blood.2020007594.</t>
  </si>
  <si>
    <t>10.1182/blood.2020007594</t>
  </si>
  <si>
    <t>Medical Marijuana and Opioids (MEMO) Study: protocol of a longitudinal cohort study to examine if medical cannabis reduces opioid use among adults with chronic pain</t>
  </si>
  <si>
    <t>Cunningham CO, Starrels JL, Zhang C, Bachhuber MA, Sohler NL, Levin FR, Minami H, Slawek DE, Arnsten JH.</t>
  </si>
  <si>
    <t>BMJ Open. 2020 Dec 29;10(12):e043400. doi: 10.1136/bmjopen-2020-043400.</t>
  </si>
  <si>
    <t>10.1136/bmjopen-2020-043400</t>
  </si>
  <si>
    <t>Double or Triple Antithrombotic Treatment in Atrial Fibrillation Patients with Acute Myocardial Infarction Undergoing Percutaneous Coronary Intervention</t>
  </si>
  <si>
    <t>Benetou DR, Varlamos C, Mpahara A, Alexopoulos D.</t>
  </si>
  <si>
    <t>Am J Cardiovasc Drugs. 2021 Jan;21(1):11-20. doi: 10.1007/s40256-020-00403-3.</t>
  </si>
  <si>
    <t>10.1007/s40256-020-00403-3</t>
  </si>
  <si>
    <t>Nintedanib in patients with systemic sclerosis-associated interstitial lung disease: A Japanese population analysis of the SENSCIS trial</t>
  </si>
  <si>
    <t>Kuwana M, Ogura T, Makino S, Homma S, Kondoh Y, Saito A, Ugai H, Gahlemann M, Takehara K, Azuma A.</t>
  </si>
  <si>
    <t>Mod Rheumatol. 2021 Jan;31(1):141-150. doi: 10.1080/14397595.2020.1751402. Epub 2020 Apr 23.</t>
  </si>
  <si>
    <t>Mod Rheumatol</t>
  </si>
  <si>
    <t>10.1080/14397595.2020.1751402</t>
  </si>
  <si>
    <t>Effect of convalescent blood products for patients with severe acute respiratory infections of viral etiology: A systematic review and meta-analysis</t>
  </si>
  <si>
    <t>Shao S, Wang Y, Kang H, Tong Z.</t>
  </si>
  <si>
    <t>Int J Infect Dis. 2021 Jan;102:397-411. doi: 10.1016/j.ijid.2020.09.1443. Epub 2020 Sep 28.</t>
  </si>
  <si>
    <t>10.1016/j.ijid.2020.09.1443</t>
  </si>
  <si>
    <t>Repeated delivery of chlorhexidine chips for the treatment of peri-implantitis: A multicenter, randomized, comparative clinical trial</t>
  </si>
  <si>
    <t>Machtei EE, Romanos G, Kang P, Travan S, Schmidt S, Papathanasiou E, Tatarakis N, Tandlich M, Liberman LH, Horwitz J, Bassir SH, Myneni S, Shiau HJ, Shapira L, Donos N, Papas A, Meyle J, Giannobile WV, Papapanou PN, Kim DM.</t>
  </si>
  <si>
    <t>J Periodontol. 2021 Jan;92(1):11-20. doi: 10.1002/JPER.20-0353. Epub 2020 Nov 11.</t>
  </si>
  <si>
    <t>J Periodontol</t>
  </si>
  <si>
    <t>10.1002/JPER.20-0353</t>
  </si>
  <si>
    <t>Comparative Efficacy and Safety of Different Regimens of Advanced Gastrointestinal Stromal Tumors After Failure Prior Tyrosine Kinase Inhibitors: A Network Meta-Analysis</t>
  </si>
  <si>
    <t>Zhang X, Liang Y, Li Y, Yin J.</t>
  </si>
  <si>
    <t>Adv Ther. 2021 Jan;38(1):399-412. doi: 10.1007/s12325-020-01545-1. Epub 2020 Nov 1.</t>
  </si>
  <si>
    <t>10.1007/s12325-020-01545-1</t>
  </si>
  <si>
    <t>JAK inhibition reduces SARS-CoV-2 liver infectivity and modulates inflammatory responses to reduce morbidity and mortality</t>
  </si>
  <si>
    <t>Stebbing J, Sánchez Nievas G, Falcone M, Youhanna S, Richardson P, Ottaviani S, Shen JX, Sommerauer C, Tiseo G, Ghiadoni L, Virdis A, Monzani F, Rizos LR, Forfori F, Avendaño Céspedes A, De Marco S, Carrozzi L, Lena F, Sánchez-Jurado PM, Lacerenza LG, Cesira N, Caldevilla Bernardo D, Perrella A, Niccoli L, Méndez LS, Matarrese D, Goletti D, Tan YJ, Monteil V, Dranitsaris G, Cantini F, Farcomeni A, Dutta S, Burley SK, Zhang H, Pistello M, Li W, Romero MM, Andrés Pretel F, Simón-Talero RS, García-Molina R, Kutter C, Felce JH, Nizami ZF, Miklosi AG, Penninger JM, Menichetti F, Mirazimi A, Abizanda P, Lauschke VM.</t>
  </si>
  <si>
    <t>Sci Adv. 2021 Jan 1;7(1):eabe4724. doi: 10.1126/sciadv.abe4724. Print 2021 Jan.</t>
  </si>
  <si>
    <t>Sci Adv</t>
  </si>
  <si>
    <t>10.1126/sciadv.abe4724</t>
  </si>
  <si>
    <t>Review of immune checkpoint inhibitors in immuno-oncology</t>
  </si>
  <si>
    <t>Jacob JB, Jacob MK, Parajuli P.</t>
  </si>
  <si>
    <t>Adv Pharmacol. 2021;91:111-139. doi: 10.1016/bs.apha.2021.01.002. Epub 2021 May 20.</t>
  </si>
  <si>
    <t>10.1016/bs.apha.2021.01.002</t>
  </si>
  <si>
    <t>A Randomized Phase 4 Study of Immunogenicity and Safety After Monovalent Oral Type 2 Sabin Poliovirus Vaccine Challenge in Children Vaccinated with Inactivated Poliovirus Vaccine in Lithuania</t>
  </si>
  <si>
    <t>Bandyopadhyay AS, Gast C, Brickley EB, Rüttimann R, Clemens R, Oberste MS, Weldon WC, Ackerman ME, Connor RI, Wieland-Alter WF, Wright P, Usonis V.</t>
  </si>
  <si>
    <t>J Infect Dis. 2021 Jan 4;223(1):119-127. doi: 10.1093/infdis/jiaa390.</t>
  </si>
  <si>
    <t>10.1093/infdis/jiaa390</t>
  </si>
  <si>
    <t>The efficacy and safety of hydroxychloroquine for COVID-19 prophylaxis: A systematic review and meta-analysis of randomized trials</t>
  </si>
  <si>
    <t>Lewis K, Chaudhuri D, Alshamsi F, Carayannopoulos L, Dearness K, Chagla Z, Alhazzani W; GUIDE Group.</t>
  </si>
  <si>
    <t>PLoS One. 2021 Jan 6;16(1):e0244778. doi: 10.1371/journal.pone.0244778. eCollection 2021.</t>
  </si>
  <si>
    <t>10.1371/journal.pone.0244778</t>
  </si>
  <si>
    <t>Timing of renal replacement therapy initiation for acute kidney injury in critically ill patients: a systematic review of randomized clinical trials with meta-analysis and trial sequential analysis</t>
  </si>
  <si>
    <t>Li X, Liu C, Mao Z, Li Q, Zhou F.</t>
  </si>
  <si>
    <t>Crit Care. 2021 Jan 6;25(1):15. doi: 10.1186/s13054-020-03451-y.</t>
  </si>
  <si>
    <t>10.1186/s13054-020-03451-y</t>
  </si>
  <si>
    <t>Safety and efficacy of the ChAdOx1 nCoV-19 vaccine (AZD1222) against SARS-CoV-2: an interim analysis of four randomised controlled trials in Brazil, South Africa, and the UK</t>
  </si>
  <si>
    <t>Voysey M, Clemens SAC, Madhi SA, Weckx LY, Folegatti PM, Aley PK, Angus B, Baillie VL, Barnabas SL, Bhorat QE, Bibi S, Briner C, Cicconi P, Collins AM, Colin-Jones R, Cutland CL, Darton TC, Dheda K, Duncan CJA, Emary KRW, Ewer KJ, Fairlie L, Faust SN, Feng S, Ferreira DM, Finn A, Goodman AL, Green CM, Green CA, Heath PT, Hill C, Hill H, Hirsch I, Hodgson SHC, Izu A, Jackson S, Jenkin D, Joe CCD, Kerridge S, Koen A, Kwatra G, Lazarus R, Lawrie AM, Lelliott A, Libri V, Lillie PJ, Mallory R, Mendes AVA, Milan EP, Minassian AM, McGregor A, Morrison H, Mujadidi YF, Nana A, O'Reilly PJ, Padayachee SD, Pittella A, Plested E, Pollock KM, Ramasamy MN, Rhead S, Schwarzbold AV, Singh N, Smith A, Song R, Snape MD, Sprinz E, Sutherland RK, Tarrant R, Thomson EC, Török ME, Toshner M, Turner DPJ, Vekemans J, Villafana TL, Watson MEE, Williams CJ, Douglas AD, Hill AVS, Lambe T, Gilbert SC, Pollard AJ; Oxford COVID Vaccine Trial Group.</t>
  </si>
  <si>
    <t>Lancet. 2021 Jan 9;397(10269):99-111. doi: 10.1016/S0140-6736(20)32661-1. Epub 2020 Dec 8.</t>
  </si>
  <si>
    <t>10.1016/S0140-6736(20)32661-1</t>
  </si>
  <si>
    <t>Fracture-related outcome study for operatively treated tibia shaft fractures (F.R.O.S.T.): registry rationale and design</t>
  </si>
  <si>
    <t>Metsemakers WJ, Kortram K, Ferreira N, Morgenstern M, Joeris A, Pape HC, Kammerlander C, Konda S, Oh JK, Giannoudis PV, Egol KA, Obremskey WT, Verhofstad MHJ, Raschke M; F.R.O.S.T. Study Group.</t>
  </si>
  <si>
    <t>BMC Musculoskelet Disord. 2021 Jan 9;22(1):57. doi: 10.1186/s12891-020-03930-x.</t>
  </si>
  <si>
    <t>10.1186/s12891-020-03930-x</t>
  </si>
  <si>
    <t>Prophylactic antibiotics for adults with chronic obstructive pulmonary disease: a network meta-analysis</t>
  </si>
  <si>
    <t>Janjua S, Mathioudakis AG, Fortescue R, Walker RA, Sharif S, Threapleton CJ, Dias S.</t>
  </si>
  <si>
    <t>Cochrane Database Syst Rev. 2021 Jan 15;1(1):CD013198. doi: 10.1002/14651858.CD013198.pub2.</t>
  </si>
  <si>
    <t>PMC8092479</t>
  </si>
  <si>
    <t>10.1002/14651858.CD013198.pub2</t>
  </si>
  <si>
    <t>A comparison of two hybrid closed-loop systems in adolescents and young adults with type 1 diabetes (FLAIR): a multicentre, randomised, crossover trial</t>
  </si>
  <si>
    <t>Bergenstal RM, Nimri R, Beck RW, Criego A, Laffel L, Schatz D, Battelino T, Danne T, Weinzimer SA, Sibayan J, Johnson ML, Bailey RJ, Calhoun P, Carlson A, Isganaitis E, Bello R, Albanese-O'Neill A, Dovc K, Biester T, Weyman K, Hood K, Phillip M; FLAIR Study Group.</t>
  </si>
  <si>
    <t>Lancet. 2021 Jan 16;397(10270):208-219. doi: 10.1016/S0140-6736(20)32514-9.</t>
  </si>
  <si>
    <t>10.1016/S0140-6736(20)32514-9</t>
  </si>
  <si>
    <t>Investigating the Interaction between Negative Strand RNA Viruses and Their Hosts for Enhanced Vaccine Development and Production</t>
  </si>
  <si>
    <t>Mara K, Dai M, Brice AM, Alexander MR, Tribolet L, Layton DS, Bean AGD.</t>
  </si>
  <si>
    <t>Vaccines (Basel). 2021 Jan 17;9(1):59. doi: 10.3390/vaccines9010059.</t>
  </si>
  <si>
    <t>Vaccines (Basel)</t>
  </si>
  <si>
    <t>10.3390/vaccines9010059</t>
  </si>
  <si>
    <t>The History, Efficacy, and Safety of Potential Therapeutics: A Narrative Overview of the Complex Life of COVID-19</t>
  </si>
  <si>
    <t>Daou F, Abou-Sleymane G, Badro DA, Khanafer N, Tobaiqy M, Al Faraj A.</t>
  </si>
  <si>
    <t>Int J Environ Res Public Health. 2021 Jan 22;18(3):955. doi: 10.3390/ijerph18030955.</t>
  </si>
  <si>
    <t>10.3390/ijerph18030955</t>
  </si>
  <si>
    <t>Multiple Cycles of Granulocyte Colony-Stimulating Factor Increase Survival Times of Patients With Decompensated Cirrhosis in a Randomized Trial</t>
  </si>
  <si>
    <t>De A, Kumari S, Singh A, Kaur A, Sharma R, Bhalla A, Sharma N, Kalra N, Singh V.</t>
  </si>
  <si>
    <t>Clin Gastroenterol Hepatol. 2021 Feb;19(2):375-383.e5. doi: 10.1016/j.cgh.2020.02.022. Epub 2020 Feb 21.</t>
  </si>
  <si>
    <t>10.1016/j.cgh.2020.02.022</t>
  </si>
  <si>
    <t>Optimal management of severe symptomatic gastroesophageal reflux disease</t>
  </si>
  <si>
    <t>Talley NJ, Zand Irani M.</t>
  </si>
  <si>
    <t>J Intern Med. 2021 Feb;289(2):162-178. doi: 10.1111/joim.13148. Epub 2020 Jul 21.</t>
  </si>
  <si>
    <t>10.1111/joim.13148</t>
  </si>
  <si>
    <t>Safety and immunogenicity of an intranasal sendai virus-based vaccine for human parainfluenza virus type I and respiratory syncytial virus (SeVRSV) in adults</t>
  </si>
  <si>
    <t>Scaggs Huang F, Bernstein DI, Slobod KS, Portner A, Takimoto T, Russell CJ, Meagher M, Jones BG, Sealy RE, Coleclough C, Branum K, Dickey M, Buschle K, McNeal M, Makowski M, Nakamura A, Hurwitz JL.</t>
  </si>
  <si>
    <t>Hum Vaccin Immunother. 2021 Feb 1;17(2):554-559. doi: 10.1080/21645515.2020.1779517. Epub 2020 Aug 4.</t>
  </si>
  <si>
    <t>10.1080/21645515.2020.1779517</t>
  </si>
  <si>
    <t>Safety and immunogenicity of co-administered hookworm vaccine candidates Na-GST-1 and Na-APR-1 in Gabonese adults: a randomised, controlled, double-blind, phase 1 dose-escalation trial</t>
  </si>
  <si>
    <t>Adegnika AA, de Vries SG, Zinsou FJ, Honkepehedji YJ, Dejon Agobé JC, Vodonou KG, Bikangui R, Bouyoukou Hounkpatin A, Bache EB, Massinga Loembe M, van Leeuwen R, Molemans M, Kremsner PG, Yazdanbakhsh M, Hotez PJ, Bottazzi ME, Li G, Bethony JM, Diemert DJ, Grobusch MP; HookVac Consortium.</t>
  </si>
  <si>
    <t>Lancet Infect Dis. 2021 Feb;21(2):275-285. doi: 10.1016/S1473-3099(20)30288-7. Epub 2020 Sep 11.</t>
  </si>
  <si>
    <t>10.1016/S1473-3099(20)30288-7</t>
  </si>
  <si>
    <t>Almitrine Infusion in Severe Acute Respiratory Syndrome Coronavirus 2-Induced Acute Respiratory Distress Syndrome: A Single-Center Observational Study</t>
  </si>
  <si>
    <t>Caplan M, Goutay J, Bignon A, Jaillette E, Favory R, Mathieu D, Parmentier-Decrucq E, Poissy J, Duburcq T; Lille Intensive Care COVID-19 Group.</t>
  </si>
  <si>
    <t>Crit Care Med. 2021 Feb 1;49(2):e191-e198. doi: 10.1097/CCM.0000000000004711.</t>
  </si>
  <si>
    <t>10.1097/CCM.0000000000004711</t>
  </si>
  <si>
    <t>Proposed Mechanisms of Targeting COVID-19 by Delivering Mesenchymal Stem Cells and Their Exosomes to Damaged Organs</t>
  </si>
  <si>
    <t>Jamshidi E, Babajani A, Soltani P, Niknejad H.</t>
  </si>
  <si>
    <t>Stem Cell Rev Rep. 2021 Feb;17(1):176-192. doi: 10.1007/s12015-020-10109-3. Epub 2021 Jan 11.</t>
  </si>
  <si>
    <t>Stem Cell Rev Rep</t>
  </si>
  <si>
    <t>10.1007/s12015-020-10109-3</t>
  </si>
  <si>
    <t>Direct Oral Anticoagulants in Atrial Fibrillation: Practical Considerations and Remaining Issues</t>
  </si>
  <si>
    <t>Beyer-Westendorf J.</t>
  </si>
  <si>
    <t>Hamostaseologie. 2021 Feb;41(1):35-41. doi: 10.1055/a-1329-2430. Epub 2021 Feb 15.</t>
  </si>
  <si>
    <t>10.1055/a-1329-2430</t>
  </si>
  <si>
    <t>Arrhythmic burden in patients with new-onset persistent left bundle branch block after transcatheter aortic valve replacement: 2-year results of the MARE study</t>
  </si>
  <si>
    <t>Muntané-Carol G, Urena M, Nombela-Franco L, Amat-Santos I, Kleiman N, Munoz-Garcia A, Atienza F, Serra V, Deyell MW, Veiga-Fernandez G, Masson JB, Canadas-Godoy V, Himbert D, Castrodeza J, Elizaga J, Francisco Pascual J, Webb JG, de la Torre Hernandez JM, Asmarats L, Pelletier-Beaumont E, Philippon F, Rodés-Cabau J.</t>
  </si>
  <si>
    <t>Europace. 2021 Feb 5;23(2):254-263. doi: 10.1093/europace/euaa213.</t>
  </si>
  <si>
    <t>Europace</t>
  </si>
  <si>
    <t>10.1093/europace/euaa213</t>
  </si>
  <si>
    <t>Effect of human umbilical cord-derived mesenchymal stem cells on lung damage in severe COVID-19 patients: a randomized, double-blind, placebo-controlled phase 2 trial</t>
  </si>
  <si>
    <t>Shi L, Huang H, Lu X, Yan X, Jiang X, Xu R, Wang S, Zhang C, Yuan X, Xu Z, Huang L, Fu JL, Li Y, Zhang Y, Yao WQ, Liu T, Song J, Sun L, Yang F, Zhang X, Zhang B, Shi M, Meng F, Song Y, Yu Y, Wen J, Li Q, Mao Q, Maeurer M, Zumla A, Yao C, Xie WF, Wang FS.</t>
  </si>
  <si>
    <t>Signal Transduct Target Ther. 2021 Feb 10;6(1):58. doi: 10.1038/s41392-021-00488-5.</t>
  </si>
  <si>
    <t>Signal Transduct Target Ther</t>
  </si>
  <si>
    <t>10.1038/s41392-021-00488-5</t>
  </si>
  <si>
    <t>Chloroquine or hydroxychloroquine for prevention and treatment of COVID-19</t>
  </si>
  <si>
    <t>Singh B, Ryan H, Kredo T, Chaplin M, Fletcher T.</t>
  </si>
  <si>
    <t>Cochrane Database Syst Rev. 2021 Feb 12;2(2):CD013587. doi: 10.1002/14651858.CD013587.pub2.</t>
  </si>
  <si>
    <t>PMC8094389</t>
  </si>
  <si>
    <t>10.1002/14651858.CD013587.pub2</t>
  </si>
  <si>
    <t>A randomized phase 2 trial of pomalidomide in subjects failing prior therapy for chronic graft-versus-host disease</t>
  </si>
  <si>
    <t>Curtis LM, Ostojic A, Venzon DJ, Holtzman NG, Pirsl F, Kuzmina ZJ, Baird K, Rose JJ, Cowen EW, Mays JW, Mitchell SA, Parsons-Wandell L, Joe GO, Comis LE, Berger A, Pusic I, Peer CJ, Figg WD, Cao L, Gale RP, Hakim FT, Pavletic SZ.</t>
  </si>
  <si>
    <t>Blood. 2021 Feb 18;137(7):896-907. doi: 10.1182/blood.2020006892.</t>
  </si>
  <si>
    <t>10.1182/blood.2020006892</t>
  </si>
  <si>
    <t>Efficacy and safety of systematic corticosteroids among severe COVID-19 patients: a systematic review and meta-analysis of randomized controlled trials</t>
  </si>
  <si>
    <t>Ma S, Xu C, Liu S, Sun X, Li R, Mao M, Feng S, Wang X.</t>
  </si>
  <si>
    <t>Signal Transduct Target Ther. 2021 Feb 21;6(1):83. doi: 10.1038/s41392-021-00521-7.</t>
  </si>
  <si>
    <t>10.1038/s41392-021-00521-7</t>
  </si>
  <si>
    <t>Evaluation of Sustained Virologic Response as a Relevant Surrogate Endpoint for Long-term Outcomes of Hepatitis C Virus Infection</t>
  </si>
  <si>
    <t>Krassenburg LAP, Zanjir WR, Georgie F, Stotland E, Janssen HLA, Hansen BE, Feld JJ.</t>
  </si>
  <si>
    <t>Clin Infect Dis. 2021 Mar 1;72(5):780-786. doi: 10.1093/cid/ciaa144.</t>
  </si>
  <si>
    <t>10.1093/cid/ciaa144</t>
  </si>
  <si>
    <t>PDSAFE' - a multi-dimensional model of falls-rehabilitation for people with Parkinson's. A mixed methods analysis of therapists' delivery and experience</t>
  </si>
  <si>
    <t>Hulbert S, Chivers-Seymour K, Summers R, Lamb S, Goodwin V, Rochester L, Nieuwboer A, Rowsell A, Ewing S, Ashburn A; PDSAFE Collaborative Group.</t>
  </si>
  <si>
    <t>Physiotherapy. 2021 Mar;110:77-84. doi: 10.1016/j.physio.2020.08.006. Epub 2020 Aug 30.</t>
  </si>
  <si>
    <t>Physiotherapy</t>
  </si>
  <si>
    <t>10.1016/j.physio.2020.08.006</t>
  </si>
  <si>
    <t>The immune response and immune evasion characteristics in SARS-CoV, MERS-CoV, and SARS-CoV-2: Vaccine design strategies</t>
  </si>
  <si>
    <t>Molaei S, Dadkhah M, Asghariazar V, Karami C, Safarzadeh E.</t>
  </si>
  <si>
    <t>Int Immunopharmacol. 2021 Mar;92:107051. doi: 10.1016/j.intimp.2020.107051. Epub 2020 Sep 29.</t>
  </si>
  <si>
    <t>Int Immunopharmacol</t>
  </si>
  <si>
    <t>10.1016/j.intimp.2020.107051</t>
  </si>
  <si>
    <t>Severity of COVID-19 in patients with lung cancer: evidence and challenges</t>
  </si>
  <si>
    <t>Passaro A, Bestvina C, Velez Velez M, Garassino MC, Garon E, Peters S.</t>
  </si>
  <si>
    <t>J Immunother Cancer. 2021 Mar;9(3):e002266. doi: 10.1136/jitc-2020-002266.</t>
  </si>
  <si>
    <t>10.1136/jitc-2020-002266</t>
  </si>
  <si>
    <t>A phase 2 randomized, double-blind, placebo-controlled, proof-of-concept study of oral seletalisib in primary Sjögren's syndrome</t>
  </si>
  <si>
    <t>Juarez M, Diaz N, Johnston GI, Nayar S, Payne A, Helmer E, Cain D, Williams P, Devauchelle-Pensec V, Fisher BA, Giacomelli R, Gottenberg JE, Guggino G, Kvarnström M, Mariette X, Ng WF, Rosas J, Sánchez Bursón J, Triolo G, Barone F, Bowman SJ.</t>
  </si>
  <si>
    <t>Rheumatology (Oxford). 2021 Mar 2;60(3):1364-1375. doi: 10.1093/rheumatology/keaa410.</t>
  </si>
  <si>
    <t>10.1093/rheumatology/keaa410</t>
  </si>
  <si>
    <t>A Randomized Controlled Trial to Investigate Safety and Variability of Egg Excretion After Repeated Controlled Human Hookworm Infection</t>
  </si>
  <si>
    <t>Hoogerwerf MA, Koopman JPR, Janse JJ, Langenberg MCC, van Schuijlenburg R, Kruize YCM, Brienen EAT, Manurung MD, Verbeek-Menken P, van der Beek MT, Westra IM, Meij P, Visser LG, van Lieshout L, de Vlas SJ, Yazdanbakhsh M, Coffeng LE, Roestenberg M.</t>
  </si>
  <si>
    <t>J Infect Dis. 2021 Mar 3;223(5):905-913. doi: 10.1093/infdis/jiaa414.</t>
  </si>
  <si>
    <t>10.1093/infdis/jiaa414</t>
  </si>
  <si>
    <t>A Randomized Trial of Albumin Infusions in Hospitalized Patients with Cirrhosis</t>
  </si>
  <si>
    <t>China L, Freemantle N, Forrest E, Kallis Y, Ryder SD, Wright G, Portal AJ, Becares Salles N, Gilroy DW, O'Brien A; ATTIRE Trial Investigators.</t>
  </si>
  <si>
    <t>N Engl J Med. 2021 Mar 4;384(9):808-817. doi: 10.1056/NEJMoa2022166.</t>
  </si>
  <si>
    <t>10.1056/NEJMoa2022166</t>
  </si>
  <si>
    <t>(Ultra-)long-acting insulin analogues for people with type 1 diabetes mellitus</t>
  </si>
  <si>
    <t>Hemmingsen B, Metzendorf MI, Richter B.</t>
  </si>
  <si>
    <t>Cochrane Database Syst Rev. 2021 Mar 4;3(3):CD013498. doi: 10.1002/14651858.CD013498.pub2.</t>
  </si>
  <si>
    <t>10.1002/14651858.CD013498.pub2</t>
  </si>
  <si>
    <t>Once-Weekly Semaglutide in Adults with Overweight or Obesity</t>
  </si>
  <si>
    <t>Wilding JPH, Batterham RL, Calanna S, Davies M, Van Gaal LF, Lingvay I, McGowan BM, Rosenstock J, Tran MTD, Wadden TA, Wharton S, Yokote K, Zeuthen N, Kushner RF; STEP 1 Study Group.</t>
  </si>
  <si>
    <t>N Engl J Med. 2021 Mar 18;384(11):989. doi: 10.1056/NEJMoa2032183. Epub 2021 Feb 10.</t>
  </si>
  <si>
    <t>10.1056/NEJMoa2032183</t>
  </si>
  <si>
    <t>Post-exposure prophylaxis against SARS-CoV-2 in close contacts of confirmed COVID-19 cases (CORIPREV): study protocol for a cluster-randomized trial</t>
  </si>
  <si>
    <t>Tan DHS, Chan AK, Jüni P, Tomlinson G, Daneman N, Walmsley S, Muller M, Fowler R, Murthy S, Press N, Cooper C, Lee T, Mazzulli T, McGeer A.</t>
  </si>
  <si>
    <t>Trials. 2021 Mar 22;22(1):224. doi: 10.1186/s13063-021-05134-7.</t>
  </si>
  <si>
    <t>10.1186/s13063-021-05134-7</t>
  </si>
  <si>
    <t>Inactivated rabies virus vectored SARS-CoV-2 vaccine prevents disease in a Syrian hamster model</t>
  </si>
  <si>
    <t>Kurup D, Malherbe DC, Wirblich C, Lambert R, Ronk AJ, Zabihi Diba L, Bukreyev A, Schnell MJ.</t>
  </si>
  <si>
    <t>PLoS Pathog. 2021 Mar 25;17(3):e1009383. doi: 10.1371/journal.ppat.1009383. eCollection 2021 Mar.</t>
  </si>
  <si>
    <t>PLoS Pathog</t>
  </si>
  <si>
    <t>PMC8023494</t>
  </si>
  <si>
    <t>10.1371/journal.ppat.1009383</t>
  </si>
  <si>
    <t>Rethinking heart failure care and health technologies from early COVID-19 experiences - A narrative review</t>
  </si>
  <si>
    <t>Satici S, Iyngkaran P, Andrew S, Patil A, Bidargaddi N, Battersby M, De Courten M.</t>
  </si>
  <si>
    <t>Rev Cardiovasc Med. 2021 Mar 30;22(1):105-114. doi: 10.31083/j.rcm.2021.01.272.</t>
  </si>
  <si>
    <t>Rev Cardiovasc Med</t>
  </si>
  <si>
    <t>10.31083/j.rcm.2021.01.272</t>
  </si>
  <si>
    <t>Targeting ACE2 for COVID-19 Therapy: Opportunities and Challenges</t>
  </si>
  <si>
    <t>Jia H, Neptune E, Cui H.</t>
  </si>
  <si>
    <t>Am J Respir Cell Mol Biol. 2021 Apr;64(4):416-425. doi: 10.1165/rcmb.2020-0322PS.</t>
  </si>
  <si>
    <t>Am J Respir Cell Mol Biol</t>
  </si>
  <si>
    <t>10.1165/rcmb.2020-0322PS</t>
  </si>
  <si>
    <t>Idiopathic pulmonary fibrosis-A challenging disease with new horizons and changing therapeutic landscape</t>
  </si>
  <si>
    <t>Fahim A.</t>
  </si>
  <si>
    <t>Clin Respir J. 2021 Apr;15(4):369-373. doi: 10.1111/crj.13322. Epub 2021 Jan 27.</t>
  </si>
  <si>
    <t>Clin Respir J</t>
  </si>
  <si>
    <t>10.1111/crj.13322</t>
  </si>
  <si>
    <t>Real-time continuous glucose monitoring in preterm infants (REACT): an international, open-label, randomised controlled trial</t>
  </si>
  <si>
    <t>Beardsall K, Thomson L, Guy C, Iglesias-Platas I, van Weissenbruch MM, Bond S, Allison A, Kim S, Petrou S, Pantaleo B, Hovorka R, Dunger D; REACT collaborative.</t>
  </si>
  <si>
    <t>Lancet Child Adolesc Health. 2021 Apr;5(4):265-273. doi: 10.1016/S2352-4642(20)30367-9. Epub 2021 Feb 10.</t>
  </si>
  <si>
    <t>10.1016/S2352-4642(20)30367-9</t>
  </si>
  <si>
    <t>First-in-Human Use of the Next-generation ProtEmbo Cerebral Embolic Protection System During Transcatheter Aortic Valve-in-valve Implantation</t>
  </si>
  <si>
    <t>Jagielak D, Targonński R, Ciećwierz D.</t>
  </si>
  <si>
    <t>Interv Cardiol. 2021 Feb 2;16:(Suppl 1). doi: 10.15420/icr.2021.S1. eCollection 2021 Apr.</t>
  </si>
  <si>
    <t>Interv Cardiol</t>
  </si>
  <si>
    <t>10.15420/icr.2021.S1</t>
  </si>
  <si>
    <t>Human challenge study with a Shigella bioconjugate vaccine: Analyses of clinical efficacy and correlate of protection</t>
  </si>
  <si>
    <t>Talaat KR, Alaimo C, Martin P, Bourgeois AL, Dreyer AM, Kaminski RW, Porter CK, Chakraborty S, Clarkson KA, Brubaker J, Elwood D, Frölich R, DeNearing B, Weerts H, Feijoo BL, Halpern J, Sack D, Riddle MS, Fonck VG.</t>
  </si>
  <si>
    <t>EBioMedicine. 2021 Apr;66:103310. doi: 10.1016/j.ebiom.2021.103310. Epub 2021 Apr 13.</t>
  </si>
  <si>
    <t>10.1016/j.ebiom.2021.103310</t>
  </si>
  <si>
    <t>Hepatotoxicity and Liver-Related Mortality in Women of Childbearing Potential Living With Human Immunodeficiency Virus and High CD4 Cell Counts Initiating Efavirenz-Containing Regimens</t>
  </si>
  <si>
    <t>Bhattacharya D, Gupta A, Tierney C, Huang S, Peters MG, Chipato T, Martinson F, Mohtashemi N, Dula D, George K, Chaktoura N, Klingman KL, Gnanashanmugam D, Currier JS, Fowler MG.</t>
  </si>
  <si>
    <t>Clin Infect Dis. 2021 Apr 26;72(8):1342-1349. doi: 10.1093/cid/ciaa244.</t>
  </si>
  <si>
    <t>10.1093/cid/ciaa244</t>
  </si>
  <si>
    <t>Effect of Intermediate-Dose vs Standard-Dose Prophylactic Anticoagulation on Thrombotic Events, Extracorporeal Membrane Oxygenation Treatment, or Mortality Among Patients With COVID-19 Admitted to the Intensive Care Unit: The INSPIRATION Randomized Clinical Trial</t>
  </si>
  <si>
    <t>INSPIRATION Investigators, Sadeghipour P, Talasaz AH, Rashidi F, Sharif-Kashani B, Beigmohammadi MT, Farrokhpour M, Sezavar SH, Payandemehr P, Dabbagh A, Moghadam KG, Jamalkhani S, Khalili H, Yadollahzadeh M, Riahi T, Rezaeifar P, Tahamtan O, Matin S, Abedini A, Lookzadeh S, Rahmani H, Zoghi E, Mohammadi K, Sadeghipour P, Abri H, Tabrizi S, Mousavian SM, Shahmirzaei S, Bakhshandeh H, Amin A, Rafiee F, Baghizadeh E, Mohebbi B, Parhizgar SE, Aliannejad R, Eslami V, Kashefizadeh A, Kakavand H, Hosseini SH, Shafaghi S, Ghazi SF, Najafi A, Jimenez D, Gupta A, Madhavan MV, Sethi SS, Parikh SA, Monreal M, Hadavand N, Hajighasemi A, Maleki M, Sadeghian S, Piazza G, Kirtane AJ, Van Tassell BW, Dobesh PP, Stone GW, Lip GYH, Krumholz HM, Goldhaber SZ, Bikdeli B.</t>
  </si>
  <si>
    <t>JAMA. 2021 Apr 27;325(16):1620-1630. doi: 10.1001/jama.2021.4152.</t>
  </si>
  <si>
    <t>10.1001/jama.2021.4152</t>
  </si>
  <si>
    <t>Efficacy and safety of nelfinavir in asymptomatic and mild COVID-19 patients: a structured summary of a study protocol for a multicenter, randomized controlled trial</t>
  </si>
  <si>
    <t>Hosogaya N, Miyazaki T, Fukushige Y, Takemori S, Morimoto S, Yamamoto H, Hori M, Kurokawa T, Kawasaki Y, Hanawa M, Fujii Y, Hanaoka H, Iwami S, Watashi K, Yamagoe S, Miyazaki Y, Wakita T, Izumikawa K, Yanagihara K, Mukae H, Kohno S; Nelfinavir Study Group.</t>
  </si>
  <si>
    <t>Trials. 2021 Apr 28;22(1):309. doi: 10.1186/s13063-021-05282-w.</t>
  </si>
  <si>
    <t>10.1186/s13063-021-05282-w</t>
  </si>
  <si>
    <t>Safety and Efficacy of Tumor Necrosis Factor Antagonists in Older Patients With Ulcerative Colitis: Patient-Level Pooled Analysis of Data From Randomized Trials</t>
  </si>
  <si>
    <t>Cheng D, Cushing KC, Cai T, Ananthakrishnan AN.</t>
  </si>
  <si>
    <t>Clin Gastroenterol Hepatol. 2021 May;19(5):939-946.e4. doi: 10.1016/j.cgh.2020.04.070. Epub 2020 May 1.</t>
  </si>
  <si>
    <t>10.1016/j.cgh.2020.04.070</t>
  </si>
  <si>
    <t>Syndemic Health Disparities and Sexually Transmitted Infection Burden Among Black Men Who Have Sex with Men Engaged in Sex Work in the U.S</t>
  </si>
  <si>
    <t>Chandler CJ, Meunier É, Eaton LA, Andrade E, Bukowski LA, Matthews DD, Raymond HF, Stall RD, Friedman MR.</t>
  </si>
  <si>
    <t>Arch Sex Behav. 2021 May;50(4):1627-1640. doi: 10.1007/s10508-020-01828-2. Epub 2020 Nov 6.</t>
  </si>
  <si>
    <t>Arch Sex Behav</t>
  </si>
  <si>
    <t>PMC8099930</t>
  </si>
  <si>
    <t>NIHMS1644823</t>
  </si>
  <si>
    <t>10.1007/s10508-020-01828-2</t>
  </si>
  <si>
    <t>Major Update: Remdesivir for Adults With COVID-19 : A Living Systematic Review and Meta-analysis for the American College of Physicians Practice Points</t>
  </si>
  <si>
    <t>Kaka AS, MacDonald R, Greer N, Vela K, Duan-Porter W, Obley A, Wilt TJ.</t>
  </si>
  <si>
    <t>Ann Intern Med. 2021 May;174(5):663-672. doi: 10.7326/M20-8148. Epub 2021 Feb 9.</t>
  </si>
  <si>
    <t>10.7326/M20-8148</t>
  </si>
  <si>
    <t>A Double-Blind, Randomized, Placebo-Controlled Phase 1 Study of Ad26.ZIKV.001, an Ad26-Vectored Anti-Zika Virus Vaccine</t>
  </si>
  <si>
    <t>Salisch NC, Stephenson KE, Williams K, Cox F, van der Fits L, Heerwegh D, Truyers C, Habets MN, Kanjilal DG, Larocca RA, Abbink P, Liu J, Peter L, Fierro C, De La Barrera RA, Modjarrad K, Zahn RC, Hendriks J, Cahill CP, Leyssen M, Douoguih M, van Hoof J, Schuitemaker H, Barouch DH.</t>
  </si>
  <si>
    <t>Ann Intern Med. 2021 May;174(5):585-594. doi: 10.7326/M20-5306. Epub 2021 Feb 16.</t>
  </si>
  <si>
    <t>10.7326/M20-5306</t>
  </si>
  <si>
    <t>Potential impact of COVID-19 on ongoing clinical trials: a simulation study with the neurological Yale Global Tic Severity Scale based on the CANNA-TICS study</t>
  </si>
  <si>
    <t>Lasch F, Guizzaro L, Aguirre Dávila L, Müller-Vahl K, Koch A.</t>
  </si>
  <si>
    <t>Pharm Stat. 2021 May;20(3):675-691. doi: 10.1002/pst.2100. Epub 2021 Feb 16.</t>
  </si>
  <si>
    <t>Pharm Stat</t>
  </si>
  <si>
    <t>10.1002/pst.2100</t>
  </si>
  <si>
    <t>Pharmacological blood pressure lowering for primary and secondary prevention of cardiovascular disease across different levels of blood pressure: an individual participant-level data meta-analysis</t>
  </si>
  <si>
    <t>Blood Pressure Lowering Treatment Trialists' Collaboration.</t>
  </si>
  <si>
    <t>Lancet. 2021 May 1;397(10285):1625-1636. doi: 10.1016/S0140-6736(21)00590-0.</t>
  </si>
  <si>
    <t>10.1016/S0140-6736(21)00590-0</t>
  </si>
  <si>
    <t>Efficacy and safety of umbilical cord mesenchymal stem cells for the treatment of patients with COVID-19</t>
  </si>
  <si>
    <t>Wei F, Kong D, Li T, Li A, Tan Y, Fang J, Zhuang X, Lai C, Xu W, Dong H, Ma C, Hong K, Cui Y, Tang S, Yu F, Zheng C.</t>
  </si>
  <si>
    <t>Clinics (Sao Paulo). 2021 May 17;76:e2604. doi: 10.6061/clinics/2021/e2604. eCollection 2021.</t>
  </si>
  <si>
    <t>Clinics (Sao Paulo)</t>
  </si>
  <si>
    <t>10.6061/clinics/2021/e2604</t>
  </si>
  <si>
    <t>Genetics of symptom remission in outpatients with COVID-19</t>
  </si>
  <si>
    <t>Dubé MP, Lemaçon A, Barhdadi A, Lemieux Perreault LP, Oussaïd E, Asselin G, Provost S, Sun M, Sandoval J, Legault MA, Mongrain I, Dubois A, Valois D, Dedelis E, Lousky J, Choi J, Goulet E, Savard C, Chicoine LM, Cossette M, Chabot-Blanchet M, Guertin MC, de Denus S, Bouabdallaoui N, Marchand R, Bassevitch Z, Nozza A, Gaudet D, L'Allier PL, Hussin J, Boivin G, Busseuil D, Tardif JC.</t>
  </si>
  <si>
    <t>Sci Rep. 2021 May 25;11(1):10847. doi: 10.1038/s41598-021-90365-6.</t>
  </si>
  <si>
    <t>10.1038/s41598-021-90365-6</t>
  </si>
  <si>
    <t>COVID-19 Vaccine and Death: Causality Algorithm According to the WHO Eligibility Diagnosis</t>
  </si>
  <si>
    <t>Pomara C, Sessa F, Ciaccio M, Dieli F, Esposito M, Giammanco GM, Garozzo SF, Giarratano A, Prati D, Rappa F, Salerno M, Tripodo C, Mannucci PM, Zamboni P.</t>
  </si>
  <si>
    <t>Diagnostics (Basel). 2021 May 26;11(6):955. doi: 10.3390/diagnostics11060955.</t>
  </si>
  <si>
    <t>Diagnostics (Basel)</t>
  </si>
  <si>
    <t>10.3390/diagnostics11060955</t>
  </si>
  <si>
    <t>Low rate of adverse events in a randomized controlled trial addressing the surgical treatment of femoroacetabular impingement (FAI) syndrome</t>
  </si>
  <si>
    <t>Ohlin A, Simunovic N, Duong A, Ayeni OR; FIRST Investigators.</t>
  </si>
  <si>
    <t>Knee Surg Sports Traumatol Arthrosc. 2021 Jun;29(6):2015-2020. doi: 10.1007/s00167-020-06236-6. Epub 2020 Sep 2.</t>
  </si>
  <si>
    <t>10.1007/s00167-020-06236-6</t>
  </si>
  <si>
    <t>Comparison of drug-coated balloon angioplasty versus uncoated balloon angioplasty in treatment of total occlusions with severe femoropopliteal lesions: An additional analysis from the AcoArt I study</t>
  </si>
  <si>
    <t>Sun G, Liu J, Jia S, Zhang J, Zhuang B, Jia X, Fu W, Wu D, Wang F, Zhao Y, Guo P, Bi W, Wang S, Guo W; AcoArt I Trial Investigators.</t>
  </si>
  <si>
    <t>Vascular. 2021 Jun;29(3):340-349. doi: 10.1177/1708538120953663. Epub 2020 Sep 9.</t>
  </si>
  <si>
    <t>Vascular</t>
  </si>
  <si>
    <t>10.1177/1708538120953663</t>
  </si>
  <si>
    <t>Practice patterns and clinical outcomes of platelet alloimmunization in a comprehensive cancer center</t>
  </si>
  <si>
    <t>Goswamy RV, Wilson NR, Tannenbaum DJ, Aung FM, Hernandez CMR.</t>
  </si>
  <si>
    <t>Transfus Apher Sci. 2021 Jun;60(3):103096. doi: 10.1016/j.transci.2021.103096. Epub 2021 Feb 13.</t>
  </si>
  <si>
    <t>10.1016/j.transci.2021.103096</t>
  </si>
  <si>
    <t>Integrated treatment of hepatitis C virus infection among people who inject drugs: A multicenter randomized controlled trial (INTRO-HCV)</t>
  </si>
  <si>
    <t>Fadnes LT, Aas CF, Vold JH, Leiva RA, Ohldieck C, Chalabianloo F, Skurtveit S, Lygren OJ, Dalgård O, Vickerman P, Midgard H, Løberg EM, Johansson KA; INTRO-HCV Study Group.</t>
  </si>
  <si>
    <t>PLoS Med. 2021 Jun 1;18(6):e1003653. doi: 10.1371/journal.pmed.1003653. eCollection 2021 Jun.</t>
  </si>
  <si>
    <t>10.1371/journal.pmed.1003653</t>
  </si>
  <si>
    <t>Efficacy of Brazilian green propolis (EPP-AF®) as an adjunct treatment for hospitalized COVID-19 patients: A randomized, controlled clinical trial</t>
  </si>
  <si>
    <t>Silveira MAD, De Jong D, Berretta AA, Galvão EBDS, Ribeiro JC, Cerqueira-Silva T, Amorim TC, Conceição LFMRD, Gomes MMD, Teixeira MB, Souza SP, Santos MHCAD, San Martin RLA, Silva MO, Lírio M, Moreno L, Sampaio JCM, Mendonça R, Ultchak SS, Amorim FS, Ramos JGR, Batista PBP, Guarda SNFD, Mendes AVA, Passos RDH; BeeCovid Team.</t>
  </si>
  <si>
    <t>Biomed Pharmacother. 2021 Jun;138:111526. doi: 10.1016/j.biopha.2021.111526. Epub 2021 Mar 20.</t>
  </si>
  <si>
    <t>Biomed Pharmacother</t>
  </si>
  <si>
    <t>10.1016/j.biopha.2021.111526</t>
  </si>
  <si>
    <t>A triple-blinded crossover study to evaluate the short-term safety of sweet manioc starch for the treatment of glycogen storage disease type Ia</t>
  </si>
  <si>
    <t>Monteiro VCL, de Oliveira BM, Dos Santos BB, Sperb-Ludwig F, Refosco LF, Nalin T, Derks TGJ, Moura de Souza CF, Schwartz IVD.</t>
  </si>
  <si>
    <t>Orphanet J Rare Dis. 2021 Jun 3;16(1):254. doi: 10.1186/s13023-021-01877-3.</t>
  </si>
  <si>
    <t>Orphanet J Rare Dis</t>
  </si>
  <si>
    <t>10.1186/s13023-021-01877-3</t>
  </si>
  <si>
    <t>The safety of drugs for inflammatory bowel disease during pregnancy and breastfeeding: the DUMBO registry study protocol of GETECCU</t>
  </si>
  <si>
    <t>Chaparro M, Donday MG, Abad-Santos F, Martín de Carpi FJ, Maciá-Martínez MÁ, Montero D, Acosta D, Brenes Y, Gisbert JP.</t>
  </si>
  <si>
    <t>Therap Adv Gastroenterol. 2021 Jun 3;14:17562848211018097. doi: 10.1177/17562848211018097. eCollection 2021.</t>
  </si>
  <si>
    <t>Therap Adv Gastroenterol</t>
  </si>
  <si>
    <t>10.1177/17562848211018097</t>
  </si>
  <si>
    <t>Efficacy and safety of adalimumab in hidradenitis suppurativa: A systematic review and meta-analysis of randomized controlled trials</t>
  </si>
  <si>
    <t>Lu JW, Huang YW, Chen TL.</t>
  </si>
  <si>
    <t>Medicine (Baltimore). 2021 Jun 4;100(22):e26190. doi: 10.1097/MD.0000000000026190.</t>
  </si>
  <si>
    <t>10.1097/MD.0000000000026190</t>
  </si>
  <si>
    <t>Safety and Efficacy of Single-Dose Ad26.COV2.S Vaccine against Covid-19</t>
  </si>
  <si>
    <t>Sadoff J, Gray G, Vandebosch A, Cárdenas V, Shukarev G, Grinsztejn B, Goepfert PA, Truyers C, Fennema H, Spiessens B, Offergeld K, Scheper G, Taylor KL, Robb ML, Treanor J, Barouch DH, Stoddard J, Ryser MF, Marovich MA, Neuzil KM, Corey L, Cauwenberghs N, Tanner T, Hardt K, Ruiz-Guiñazú J, Le Gars M, Schuitemaker H, Van Hoof J, Struyf F, Douoguih M; ENSEMBLE Study Group.</t>
  </si>
  <si>
    <t>N Engl J Med. 2021 Jun 10;384(23):2187-2201. doi: 10.1056/NEJMoa2101544. Epub 2021 Apr 21.</t>
  </si>
  <si>
    <t>10.1056/NEJMoa2101544</t>
  </si>
  <si>
    <t>Visual or visual-tactile examination to detect and inform the diagnosis of enamel caries</t>
  </si>
  <si>
    <t>Macey R, Walsh T, Riley P, Glenny AM, Worthington HV, O'Malley L, Clarkson JE, Ricketts D.</t>
  </si>
  <si>
    <t>Cochrane Database Syst Rev. 2021 Jun 14;6(6):CD014546. doi: 10.1002/14651858.CD014546.</t>
  </si>
  <si>
    <t>10.1002/14651858.CD014546</t>
  </si>
  <si>
    <t>Stronger secondary pollution processes despite decrease in gaseous precursors: A comparative analysis of summer 2020 and 2019 in Beijing</t>
  </si>
  <si>
    <t>Li H, Ma Y, Duan F, Zhu L, Ma T, Yang S, Xu Y, Li F, Huang T, Kimoto T, Zhang Q, Tong D, Wu N, Hu Y, Huo M, Zhang Q, Ge X, Gong W, He K.</t>
  </si>
  <si>
    <t>Environ Pollut. 2021 Jun 15;279:116923. doi: 10.1016/j.envpol.2021.116923. Epub 2021 Mar 10.</t>
  </si>
  <si>
    <t>Environ Pollut</t>
  </si>
  <si>
    <t>10.1016/j.envpol.2021.116923</t>
  </si>
  <si>
    <t>Vaccine-enhanced disease: case studies and ethical implications for research and public health</t>
  </si>
  <si>
    <t>Jamrozik E, Heriot G, Bull S, Parker M; Oxford-Johns Hopkins Global Infectious Disease Ethics (GLIDE).</t>
  </si>
  <si>
    <t>Wellcome Open Res. 2021 Jun 16;6:154. doi: 10.12688/wellcomeopenres.16849.1. eCollection 2021.</t>
  </si>
  <si>
    <t>Wellcome Open Res</t>
  </si>
  <si>
    <t>10.12688/wellcomeopenres.16849.1</t>
  </si>
  <si>
    <t>Safety, Tolerability, and Pharmacokinetics of NTM-1632, a Novel Mixture of Three Monoclonal Antibodies against Botulinum Toxin B</t>
  </si>
  <si>
    <t>Guptill JT, Raja SM, Juel VC, Walter EB, Cohen-Wolkowiez M, Hill H, Sendra E, Hauser B, Jackson P, Swamy GK.</t>
  </si>
  <si>
    <t>Antimicrob Agents Chemother. 2021 Jun 17;65(7):e0232920. doi: 10.1128/AAC.02329-20. Epub 2021 Jun 17.</t>
  </si>
  <si>
    <t>10.1128/AAC.02329-20</t>
  </si>
  <si>
    <t>The utilization of advance telemetry to investigate critical physiological parameters including electroencephalography in cynomolgus macaques following aerosol challenge with eastern equine encephalitis virus</t>
  </si>
  <si>
    <t>Trefry JC, Rossi FD, Accardi MV, Dorsey BL, Sprague TR, Wollen-Roberts SE, Shamblin JD, Kimmel AE, Glass PJ, Miller LJ, Burke CW, Cardile AP, Smith DR, Bavari S, Authier S, Pratt WD, Pitt ML, Nasar F.</t>
  </si>
  <si>
    <t>PLoS Negl Trop Dis. 2021 Jun 17;15(6):e0009424. doi: 10.1371/journal.pntd.0009424. eCollection 2021 Jun.</t>
  </si>
  <si>
    <t>10.1371/journal.pntd.0009424</t>
  </si>
  <si>
    <t>Atezolizumab and bevacizumab-induced encephalitis in advanced hepatocellular carcinoma: Case report and literature review</t>
  </si>
  <si>
    <t>Özdirik B, Jost-Brinkmann F, Savic LJ, Mohr R, Tacke F, Ploner CJ, Roderburg C, Müller T.</t>
  </si>
  <si>
    <t>Medicine (Baltimore). 2021 Jun 18;100(24):e26377. doi: 10.1097/MD.0000000000026377.</t>
  </si>
  <si>
    <t>10.1097/MD.0000000000026377</t>
  </si>
  <si>
    <t>Molecular Perspectives of SARS-CoV-2: Pathology, Immune Evasion, and Therapeutic Interventions</t>
  </si>
  <si>
    <t>Shah M, Woo HG.</t>
  </si>
  <si>
    <t>Mol Cells. 2021 Jun 30;44(6):408-421. doi: 10.14348/molcells.2021.0026.</t>
  </si>
  <si>
    <t>Mol Cells</t>
  </si>
  <si>
    <t>10.14348/molcells.2021.0026</t>
  </si>
  <si>
    <t>Efficacy of a centralized, blended electronic, and human intervention to improve direct oral anticoagulant adherence: Smartphones to improve rivaroxaban ADHEREnce in atrial fibrillation (SmartADHERE) a randomized clinical trial</t>
  </si>
  <si>
    <t>Turakhia M, Sundaram V, Smith SN, Ding V, Michael Ho P, Kowey PR, Piccini JP, Foody J, Birmingham MC, Ianus J, Rajmane A, Mahaffey KW; smartADHERE Investigators.</t>
  </si>
  <si>
    <t>Am Heart J. 2021 Jul;237:68-78. doi: 10.1016/j.ahj.2021.02.023. Epub 2021 Mar 4.</t>
  </si>
  <si>
    <t>10.1016/j.ahj.2021.02.023</t>
  </si>
  <si>
    <t>Effectiveness of the quadrivalent high-dose influenza vaccine for prevention of cardiovascular and respiratory events in people aged 65 years and above: Rationale and design of a real-world pragmatic randomized clinical trial</t>
  </si>
  <si>
    <t>Hollingsworth R, Palmu A, Pepin S, Dupuy M, Shrestha A, Jokinen J, Syrjänen R, Nealon J, Samson S, De Bruijn I.</t>
  </si>
  <si>
    <t>Am Heart J. 2021 Jul;237:54-61. doi: 10.1016/j.ahj.2021.03.007. Epub 2021 Mar 13.</t>
  </si>
  <si>
    <t>10.1016/j.ahj.2021.03.007</t>
  </si>
  <si>
    <t>Hematopoietic stem cell transplantation for autoimmune diseases in the time of COVID-19: EBMT guidelines and recommendations</t>
  </si>
  <si>
    <t>Greco R, Alexander T, Burman J, Del Papa N, de Vries-Bouwstra J, Farge D, Henes J, Kazmi M, Kirgizov K, Muraro PA, Ricart E, Rovira M, Saccardi R, Sharrack B, Snarski E, Withers B, Jessop H, Boglione C, Kramer E, Badoglio M, Labopin M, Orchard K, Corbacioglu S, Ljungman P, Mikulska M, De la Camara R, Snowden JA; European Society for Blood and Marrow Transplantation (EBMT) Autoimmune Diseases Working Party (ADWP), Infectious Diseases Working Party (IDWP), Pediatric Working Party (PWP), Joint Accreditation Committee of the International Society for Cellular Therapy (ISCT) and EBMT (JACIE), EBMT Nurses Group and Patient Advocacy Committee.</t>
  </si>
  <si>
    <t>Bone Marrow Transplant. 2021 Jul;56(7):1493-1508. doi: 10.1038/s41409-021-01326-6. Epub 2021 May 24.</t>
  </si>
  <si>
    <t>10.1038/s41409-021-01326-6</t>
  </si>
  <si>
    <t>Perioperative pharmacokinetic-guided factor VIII concentrate dosing in haemophilia (OPTI-CLOT trial): an open-label, multicentre, randomised, controlled trial</t>
  </si>
  <si>
    <t>van Moort I, Preijers T, Bukkems LH, Hazendonk HCAM, van der Bom JG, Laros-van Gorkom BAP, Beckers EAM, Nieuwenhuizen L, van der Meer FJM, Ypma P, Coppens M, Fijnvandraat K, Schutgens REG, Meijer K, Leebeek FWG, Mathôt RAA, Cnossen MH; OPTI-CLOT study group.</t>
  </si>
  <si>
    <t>Lancet Haematol. 2021 Jul;8(7):e492-e502. doi: 10.1016/S2352-3026(21)00135-6.</t>
  </si>
  <si>
    <t>10.1016/S2352-3026(21)00135-6</t>
  </si>
  <si>
    <t>Severe toxicity free survival: physician-derived definitions of unacceptable long-term toxicities following acute lymphocytic leukaemia</t>
  </si>
  <si>
    <t>Andrés-Jensen L, Attarbaschi A, Bardi E, Barzilai-Birenboim S, Bhojwani D, Hagleitner MM, Halsey C, Harila-Saari A, van Litsenburg RRL, Hudson MM, Jeha S, Kato M, Kremer L, Mlynarski W, Möricke A, Pieters R, Piette C, Raetz E, Ronceray L, Toro C, Grazia Valsecchi M, Vrooman LM, Weinreb S, Winick N, Schmiegelow K; Ponte di Legno Severe Toxicity Working Group.</t>
  </si>
  <si>
    <t>Lancet Haematol. 2021 Jul;8(7):e513-e523. doi: 10.1016/S2352-3026(21)00136-8.</t>
  </si>
  <si>
    <t>10.1016/S2352-3026(21)00136-8</t>
  </si>
  <si>
    <t>A Randomized Trial of a Transglutaminase 2 Inhibitor for Celiac Disease</t>
  </si>
  <si>
    <t>Schuppan D, Mäki M, Lundin KEA, Isola J, Friesing-Sosnik T, Taavela J, Popp A, Koskenpato J, Langhorst J, Hovde Ø, Lähdeaho ML, Fusco S, Schumann M, Török HP, Kupcinskas J, Zopf Y, Lohse AW, Scheinin M, Kull K, Biedermann L, Byrnes V, Stallmach A, Jahnsen J, Zeitz J, Mohrbacher R, Greinwald R; CEC-3 Trial Group.</t>
  </si>
  <si>
    <t>N Engl J Med. 2021 Jul 1;385(1):35-45. doi: 10.1056/NEJMoa2032441.</t>
  </si>
  <si>
    <t>10.1056/NEJMoa2032441</t>
  </si>
  <si>
    <t>Application of Big Data and Artificial Intelligence in COVID-19 Prevention, Diagnosis, Treatment and Management Decisions in China</t>
  </si>
  <si>
    <t>Dong J, Wu H, Zhou D, Li K, Zhang Y, Ji H, Tong Z, Lou S, Liu Z.</t>
  </si>
  <si>
    <t>J Med Syst. 2021 Jul 24;45(9):84. doi: 10.1007/s10916-021-01757-0.</t>
  </si>
  <si>
    <t>J Med Syst</t>
  </si>
  <si>
    <t>10.1007/s10916-021-01757-0</t>
  </si>
  <si>
    <t>Comparative effectiveness and safety of 32 pharmacological interventions recommended by guidelines for coronavirus disease 2019: a systematic review and network meta-analysis combining 66 trials</t>
  </si>
  <si>
    <t>Wu SS, Zhou QX, Zeng XY, Zhang JX, Yang ZR, Yang QQ, Zhang ZL, Chen YH, Sun F, Zhan SY.</t>
  </si>
  <si>
    <t>Chin Med J (Engl). 2021 Jul 27;134(16):1920-1929. doi: 10.1097/CM9.0000000000001672.</t>
  </si>
  <si>
    <t>10.1097/CM9.0000000000001672</t>
  </si>
  <si>
    <t>Pandemics: Historically Slow "Learning Curve" Leading to Biomedical Informatics and Vaccine Breakthroughs</t>
  </si>
  <si>
    <t>Kulikowski CA.</t>
  </si>
  <si>
    <t>Yearb Med Inform. 2021 Aug;30(1):290-301. doi: 10.1055/s-0041-1726482. Epub 2021 Apr 21.</t>
  </si>
  <si>
    <t>Yearb Med Inform</t>
  </si>
  <si>
    <t>10.1055/s-0041-1726482</t>
  </si>
  <si>
    <t>Steroids to reduce the impact on delirium (STRIDE): a double-blind, randomised, placebo-controlled feasibility trial of pre-operative dexamethasone in people with hip fracture</t>
  </si>
  <si>
    <t>Kluger MT, Skarin M, Collier J, Rice DA, McNair PJ, Seow MY, Connolly MJ.</t>
  </si>
  <si>
    <t>Anaesthesia. 2021 Aug;76(8):1031-1041. doi: 10.1111/anae.15465. Epub 2021 Apr 25.</t>
  </si>
  <si>
    <t>10.1111/anae.15465</t>
  </si>
  <si>
    <t>Efficacy and safety of tocilizumab in COVID-19 patients: a living systematic review and meta-analysis, first update</t>
  </si>
  <si>
    <t>Tleyjeh IM, Kashour Z, Riaz M, Hassett L, Veiga VC, Kashour T.</t>
  </si>
  <si>
    <t>Clin Microbiol Infect. 2021 Aug;27(8):1076-1082. doi: 10.1016/j.cmi.2021.04.019. Epub 2021 Apr 27.</t>
  </si>
  <si>
    <t>10.1016/j.cmi.2021.04.019</t>
  </si>
  <si>
    <t>SARS-CoV-2 Vaccine and Thrombosis: An Expert Consensus on Vaccine-Induced Immune Thrombotic Thrombocytopenia</t>
  </si>
  <si>
    <t>Elalamy I, Gerotziafas G, Alamowitch S, Laroche JP, Van Dreden P, Ageno W, Beyer-Westendorf J, Cohen AT, Jimenez D, Brenner B, Middeldorp S, Cacoub P; Scientific Reviewer Committee.</t>
  </si>
  <si>
    <t>Thromb Haemost. 2021 Aug;121(8):982-991. doi: 10.1055/a-1499-0119. Epub 2021 May 4.</t>
  </si>
  <si>
    <t>10.1055/a-1499-0119</t>
  </si>
  <si>
    <t>Severe bleeding in the ICU</t>
  </si>
  <si>
    <t>Rauer MJ, Neef V, Berra L.</t>
  </si>
  <si>
    <t>Curr Opin Anaesthesiol. 2021 Aug 1;34(4):530-536. doi: 10.1097/ACO.0000000000001019.</t>
  </si>
  <si>
    <t>Curr Opin Anaesthesiol</t>
  </si>
  <si>
    <t>10.1097/ACO.0000000000001019</t>
  </si>
  <si>
    <t>Considerations for Establishing Successful Coronavirus Disease Vaccination Programs in Africa</t>
  </si>
  <si>
    <t>Williams V, Edem B, Calnan M, Otwombe K, Okeahalam C.</t>
  </si>
  <si>
    <t>Emerg Infect Dis. 2021 Aug;27(8):2009-2016. doi: 10.3201/eid2708.203870. Epub 2021 Jun 17.</t>
  </si>
  <si>
    <t>10.3201/eid2708.203870</t>
  </si>
  <si>
    <t>COVID-19: A new challenge for mental health and policymaking recommendations</t>
  </si>
  <si>
    <t>Alshammari MA, Alshammari TK.</t>
  </si>
  <si>
    <t>J Infect Public Health. 2021 Aug;14(8):1065-1068. doi: 10.1016/j.jiph.2021.05.020. Epub 2021 Jun 9.</t>
  </si>
  <si>
    <t>J Infect Public Health</t>
  </si>
  <si>
    <t>10.1016/j.jiph.2021.05.020</t>
  </si>
  <si>
    <t>Paediatric non-rhabdomyosarcoma soft tissue sarcomas: the prospective NRSTS 2005 study by the European Pediatric Soft Tissue Sarcoma Study Group (EpSSG)</t>
  </si>
  <si>
    <t>Ferrari A, van Noesel MM, Brennan B, Zanetti I, Corradini N, Casanova M, Berlanga P, Merks JHM, Alaggio R, Schifflers S, Ramirez-Villar GL, Giraudo C, Burrieza GG, Safwat A, Bisogno G, De Salvo GL, Orbach D.</t>
  </si>
  <si>
    <t>Lancet Child Adolesc Health. 2021 Aug;5(8):546-558. doi: 10.1016/S2352-4642(21)00159-0. Epub 2021 Jun 30.</t>
  </si>
  <si>
    <t>10.1016/S2352-4642(21)00159-0</t>
  </si>
  <si>
    <t>Measuring routine childhood vaccination coverage in 204 countries and territories, 1980-2019: a systematic analysis for the Global Burden of Disease Study 2020, Release 1</t>
  </si>
  <si>
    <t>GBD 2020, Release 1, Vaccine Coverage Collaborators.</t>
  </si>
  <si>
    <t>Lancet. 2021 Aug 7;398(10299):503-521. doi: 10.1016/S0140-6736(21)00984-3. Epub 2021 Jul 21.</t>
  </si>
  <si>
    <t>10.1016/S0140-6736(21)00984-3</t>
  </si>
  <si>
    <t>Vaccination of human participants with attenuated Necator americanus hookworm larvae and human challenge in Australia: a dose-finding study and randomised, placebo-controlled, phase 1 trial</t>
  </si>
  <si>
    <t>Chapman PR, Webster R, Giacomin P, Llewellyn S, Becker L, Pearson MS, De Labastida Rivera F, O'Rourke P, Engwerda CR, Loukas A, McCarthy JS.</t>
  </si>
  <si>
    <t>Lancet Infect Dis. 2021 Aug 19:S1473-3099(21)00153-5. doi: 10.1016/S1473-3099(21)00153-5. Online ahead of print.</t>
  </si>
  <si>
    <t>10.1016/S1473-3099(21)00153-5</t>
  </si>
  <si>
    <t>Potential for Developing Plant-Derived Candidate Vaccines and Biologics against Emerging Coronavirus Infections</t>
  </si>
  <si>
    <t>Shanmugaraj B, Siriwattananon K, Malla A, Phoolcharoen W.</t>
  </si>
  <si>
    <t>Pathogens. 2021 Aug 19;10(8):1051. doi: 10.3390/pathogens10081051.</t>
  </si>
  <si>
    <t>Pathogens</t>
  </si>
  <si>
    <t>10.3390/pathogens10081051</t>
  </si>
  <si>
    <t>Intravenous administration of BCG protects mice against lethal SARS-CoV-2 challenge</t>
  </si>
  <si>
    <t>Hilligan KL, Namasivayam S, Clancy CS, O'Mard D, Oland SD, Robertson SJ, Baker PJ, Castro E, Garza NL, Lafont BAP, Johnson R, Ronchese F, Mayer-Barber KD, Best SM, Sher A.</t>
  </si>
  <si>
    <t>bioRxiv. 2021 Aug 31:2021.08.30.458273. doi: 10.1101/2021.08.30.458273. Preprint.</t>
  </si>
  <si>
    <t>bioRxiv</t>
  </si>
  <si>
    <t>10.1101/2021.08.30.458273</t>
  </si>
  <si>
    <t>Extracorporeal membrane oxygenation versus mechanical ventilation alone in adults with severe acute respiratory distress syndrome: A systematic review and meta-analysis</t>
  </si>
  <si>
    <t>Zhu Y, Zhang M, Zhang R, Ye X, Wei J.</t>
  </si>
  <si>
    <t>Int J Clin Pract. 2021 Sep;75(9):e14046. doi: 10.1111/ijcp.14046. Epub 2021 Feb 4.</t>
  </si>
  <si>
    <t>10.1111/ijcp.14046</t>
  </si>
  <si>
    <t>Methadone maintenance patients lack analgesic response to a cumulative intravenous dose of 32 mg of hydromorphone</t>
  </si>
  <si>
    <t>Agin-Liebes G, Huhn AS, Strain EC, Bigelow GE, Smith MT, Edwards RR, Gruber VA, Tompkins DA.</t>
  </si>
  <si>
    <t>Drug Alcohol Depend. 2021 Sep 1;226:108869. doi: 10.1016/j.drugalcdep.2021.108869. Epub 2021 Jun 25.</t>
  </si>
  <si>
    <t>10.1016/j.drugalcdep.2021.108869</t>
  </si>
  <si>
    <t>Efficacy, safety, and immunogenicity of the Shigella sonnei 1790GAHB GMMA candidate vaccine: Results from a phase 2b randomized, placebo-controlled challenge study in adults</t>
  </si>
  <si>
    <t>Frenck RW Jr, Conti V, Ferruzzi P, Ndiaye AGW, Parker S, McNeal MM, Dickey M, Granada JP, Cilio GL, De Ryck I, Necchi F, Suvarnapunya AE, Rossi O, Acquaviva A, Chandrasekaran L, Clarkson KA, Auerbach J, Marchetti E, Kaminski RW, Micoli F, Rappuoli R, Saul A, Martin LB, Podda A.</t>
  </si>
  <si>
    <t>EClinicalMedicine. 2021 Aug 13;39:101076. doi: 10.1016/j.eclinm.2021.101076. eCollection 2021 Sep.</t>
  </si>
  <si>
    <t>EClinicalMedicine</t>
  </si>
  <si>
    <t>10.1016/j.eclinm.2021.101076</t>
  </si>
  <si>
    <t>Perspectives on the use and risk of adverse events associated with cytokine-storm targeting antibodies and challenges associated with development of novel monoclonal antibodies for the treatment of COVID-19 clinical cases</t>
  </si>
  <si>
    <t>Johnson AM, Barigye R, Saminathan H.</t>
  </si>
  <si>
    <t>Hum Vaccin Immunother. 2021 Sep 2;17(9):2824-2840. doi: 10.1080/21645515.2021.1908060. Epub 2021 May 11.</t>
  </si>
  <si>
    <t>10.1080/21645515.2021.1908060</t>
  </si>
  <si>
    <t>COVID-19 hinterland: surveilling the self-reported impacts of the pandemic on diabetes management in the USA (cross-sectional results of the iNPHORM study)</t>
  </si>
  <si>
    <t>Ratzki-Leewing AA, Ryan BL, Buchenberger JD, Dickens JW, Black JE, Harris SB.</t>
  </si>
  <si>
    <t>BMJ Open. 2021 Sep 2;11(9):e049782. doi: 10.1136/bmjopen-2021-049782.</t>
  </si>
  <si>
    <t>10.1136/bmjopen-2021-049782</t>
  </si>
  <si>
    <t>The effect of continuous positive airway pressure on blood pressure in patients with obstructive sleep apnea and uncontrolled hypertension - Study design and challenges during the COVID-19 pandemic</t>
  </si>
  <si>
    <t>Cruz FCSG, Drager LF, Queiróz DBC, Souza GA, Pedrosa RP, Patriota TLGC, Dórea EL, Vieira MLC, Righi CG, Martinez D, Silva GAD, Silva GV, Pio-Abreu A, Lotufo PA, Benseãor IM, Bortolotto LA, Fuchs FD, Lorenzi-Filho G.</t>
  </si>
  <si>
    <t>Clinics (Sao Paulo). 2021 Sep 3;76:e2926. doi: 10.6061/clinics/2021/e2926. eCollection 2021.</t>
  </si>
  <si>
    <t>10.6061/clinics/2021/e2926</t>
  </si>
  <si>
    <t>First-in-Human Evaluation of the Safety, Tolerability, and Pharmacokinetics of SPR720, a Novel Oral Bacterial DNA Gyrase (GyrB) Inhibitor for Mycobacterial Infections</t>
  </si>
  <si>
    <t>Talley AK, Thurston A, Moore G, Gupta VK, Satterfield M, Manyak E, Stokes S, Dane A, Melnick D.</t>
  </si>
  <si>
    <t>Antimicrob Agents Chemother. 2021 Sep 7:AAC0120821. doi: 10.1128/AAC.01208-21. Online ahead of print.</t>
  </si>
  <si>
    <t>10.1128/AAC.01208-21</t>
  </si>
  <si>
    <t>Safety and PCR monitoring in 161 semi-immune Kenyan adults following controlled human malaria infection</t>
  </si>
  <si>
    <t>Kapulu MC, Njuguna P, Hamaluba M, Kimani D, Ngoi JM, Musembi J, Ngoto O, Otieno E, Billingsley PF; Controlled Human Malaria Infection in Semi-Immune Kenyan Adults (CHMI-SIKA) Study Team.</t>
  </si>
  <si>
    <t>JCI Insight. 2021 Sep 8;6(17):146443. doi: 10.1172/jci.insight.146443.</t>
  </si>
  <si>
    <t>10.1172/jci.insight.146443</t>
  </si>
  <si>
    <t>Impact on Mental, Physical and Cognitive functioning of a Critical care sTay during the COVID-19 pandemic (IMPACCT COVID-19): protocol for a prospective, multicentre, mixed-methods cohort study</t>
  </si>
  <si>
    <t>Castro-Ávila AC, Merino-Osorio C, González-Seguel F, Camus-Molina A, Leppe J; IMPACCT COVID-19 study group.</t>
  </si>
  <si>
    <t>BMJ Open. 2021 Sep 8;11(9):e053610. doi: 10.1136/bmjopen-2021-053610.</t>
  </si>
  <si>
    <t>10.1136/bmjopen-2021-053610</t>
  </si>
  <si>
    <t>Superspreading in the emergence of COVID-19 variants</t>
  </si>
  <si>
    <t>Gómez-Carballa A, Pardo-Seco J, Bello X, Martinón-Torres F, Salas A.</t>
  </si>
  <si>
    <t>Trends Genet. 2021 Sep 8:S0168-9525(21)00262-6. doi: 10.1016/j.tig.2021.09.003. Online ahead of print.</t>
  </si>
  <si>
    <t>Trends Genet</t>
  </si>
  <si>
    <t>10.1016/j.tig.2021.09.003</t>
  </si>
  <si>
    <t>Seasonal Malaria Vaccination with or without Seasonal Malaria Chemoprevention</t>
  </si>
  <si>
    <t>Chandramohan D, Zongo I, Sagara I, Cairns M, Yerbanga RS, Diarra M, Nikièma F, Tapily A, Sompougdou F, Issiaka D, Zoungrana C, Sanogo K, Haro A, Kaya M, Sienou AA, Traore S, Mahamar A, Thera I, Diarra K, Dolo A, Kuepfer I, Snell P, Milligan P, Ockenhouse C, Ofori-Anyinam O, Tinto H, Djimde A, Ouédraogo JB, Dicko A, Greenwood B.</t>
  </si>
  <si>
    <t>N Engl J Med. 2021 Sep 9;385(11):1005-1017. doi: 10.1056/NEJMoa2026330. Epub 2021 Aug 25.</t>
  </si>
  <si>
    <t>10.1056/NEJMoa2026330</t>
  </si>
  <si>
    <t>Immunogenicity and safety of HBAI20 Hepatitis B vaccine in non-responders: Double-blinded, randomised, controlled phase 2 trial</t>
  </si>
  <si>
    <t>Koc ÖM, de Smedt P, Kremer C, Robaeys G, van Damme P, Hens N, Almeida J, Falkenberg F, Savelkoul P, Oude Lashof A; BE RESPONDER Study Group.</t>
  </si>
  <si>
    <t>Liver Int. 2021 Oct;41(10):2318-2327. doi: 10.1111/liv.14939. Epub 2021 May 24.</t>
  </si>
  <si>
    <t>Liver Int</t>
  </si>
  <si>
    <t>10.1111/liv.14939</t>
  </si>
  <si>
    <t>Effect of processed aloe vera gel on immunogenicity in inactivated quadrivalent influenza vaccine and upper respiratory tract infection in healthy adults: A randomized double-blind placebo-controlled trial</t>
  </si>
  <si>
    <t>Hwang JH, Oh MR, Hwang JH, Choi EK, Jung SJ, Song EJ, Españo E, Webby RJ, Webster RG, Kim JK, Chae SW.</t>
  </si>
  <si>
    <t>Phytomedicine. 2021 Oct;91:153668. doi: 10.1016/j.phymed.2021.153668. Epub 2021 Jul 22.</t>
  </si>
  <si>
    <t>Phytomedicine</t>
  </si>
  <si>
    <t>10.1016/j.phymed.2021.153668</t>
  </si>
  <si>
    <t>Neuroprotective Role of Acidosis in Ischemia: Review of the Preclinical Evidence</t>
  </si>
  <si>
    <t>Ehresman J, Cottrill E, Caplan JM, McDougall CG, Theodore N, Nyquist PA.</t>
  </si>
  <si>
    <t>Mol Neurobiol. 2021 Oct 4. doi: 10.1007/s12035-021-02578-5. Online ahead of print.</t>
  </si>
  <si>
    <t>Mol Neurobiol</t>
  </si>
  <si>
    <t>10.1007/s12035-021-02578-5</t>
  </si>
  <si>
    <t>Inhaled ciclesonide is efficacious and well tolerated in the treatment of severe equine asthma in a large prospective European clinical trial</t>
  </si>
  <si>
    <t>Pirie RS, Mueller HW, Engel O, Albrecht B, von Salis-Soglio M.</t>
  </si>
  <si>
    <t>Equine Vet J. 2021 Nov;53(6):1094-1104. doi: 10.1111/evj.13419. Epub 2021 Jan 28.</t>
  </si>
  <si>
    <t>Equine Vet J</t>
  </si>
  <si>
    <t>10.1111/evj.13419</t>
  </si>
  <si>
    <t>pre 1990</t>
  </si>
  <si>
    <t>Experimental infection in man and horses with influenza A viruses</t>
  </si>
  <si>
    <t>Kasel JA, Couch RB.</t>
  </si>
  <si>
    <t>Bull World Health Organ. 1969;41(3):447-52.</t>
  </si>
  <si>
    <t>Bull World Health Organ</t>
  </si>
  <si>
    <t>Pathogenesis and pathophysiology of meningitis</t>
  </si>
  <si>
    <t>Tunkel AR, Wispelwey B, Scheld WM.</t>
  </si>
  <si>
    <t>Infect Dis Clin North Am. 1990 Dec;4(4):555-81.</t>
  </si>
  <si>
    <t>Serum and nasal wash antibodies associated with resistance to experimental challenge with influenza A wild-type virus</t>
  </si>
  <si>
    <t>Clements ML, Betts RF, Tierney EL, Murphy BR.</t>
  </si>
  <si>
    <t>J Clin Microbiol. 1986 Jul;24(1):157-60. doi: 10.1128/jcm.24.1.157-160.1986.</t>
  </si>
  <si>
    <t>J Clin Microbiol</t>
  </si>
  <si>
    <t>10.1128/jcm.24.1.157-160.1986</t>
  </si>
  <si>
    <t>Experimental infection of rhesus monkeys with Lassa virus and a closely related arenavirus, Mozambique virus</t>
  </si>
  <si>
    <t>Walker DH, Johnson KM, Lange JV, Gardner JJ, Kiley MP, McCormick JB.</t>
  </si>
  <si>
    <t>J Infect Dis. 1982 Sep;146(3):360-8. doi: 10.1093/infdis/146.3.360.</t>
  </si>
  <si>
    <t>10.1093/infdis/146.3.360</t>
  </si>
  <si>
    <t>Prevention and treatment of experimental influenza A virus infection in volunteers with a new antiviral ICI 130,685</t>
  </si>
  <si>
    <t>Al-Nakib W, Higgins PG, Willman J, Tyrrell DA, Swallow DL, Hurst BC, Rushton A.</t>
  </si>
  <si>
    <t>J Antimicrob Chemother. 1986 Jul;18(1):119-29. doi: 10.1093/jac/18.1.119.</t>
  </si>
  <si>
    <t>10.1093/jac/18.1.119</t>
  </si>
  <si>
    <t>Advantage of live attenuated cold-adapted influenza A virus over inactivated vaccine for A/Washington/80 (H3N2) wild-type virus infection</t>
  </si>
  <si>
    <t>Clements ML, Betts RF, Murphy BR.</t>
  </si>
  <si>
    <t>Lancet. 1984 Mar 31;1(8379):705-8. doi: 10.1016/s0140-6736(84)92222-0.</t>
  </si>
  <si>
    <t>10.1016/s0140-6736(84)92222-0</t>
  </si>
  <si>
    <t>Comparative therapeutic effect of aerosolized and oral rimantadine HCl in experimental human influenza A virus infection</t>
  </si>
  <si>
    <t>Hayden FG, Zylidnikov DM, Iljenko VI, Padolka YV.</t>
  </si>
  <si>
    <t>Antiviral Res. 1982 Aug;2(3):147-53. doi: 10.1016/0166-3542(82)90016-x.</t>
  </si>
  <si>
    <t>10.1016/0166-3542(82)90016-x</t>
  </si>
  <si>
    <t>Respiratory syncytial virus infection in owl monkeys: viral shedding, immunological response, and associated illness caused by wild-type virus and two temperature-sensitive mutants</t>
  </si>
  <si>
    <t>Prince GA, Suffin SC, Prevar DA, Camargo E, Sly DL, London WT, Chanock RM.</t>
  </si>
  <si>
    <t>Infect Immun. 1979 Dec;26(3):1009-13. doi: 10.1128/iai.26.3.1009-1013.1979.</t>
  </si>
  <si>
    <t>10.1128/iai.26.3.1009-1013.1979</t>
  </si>
  <si>
    <t>Attenuation of wild-type human influenza A virus by acquisition of the PA polymerase and matrix protein genes of influenza A/Ann Arbor/6/60 cold-adapted donor virus</t>
  </si>
  <si>
    <t>Snyder MH, Clements ML, De Borde D, Maassab HF, Murphy BR.</t>
  </si>
  <si>
    <t>J Clin Microbiol. 1985 Nov;22(5):719-25. doi: 10.1128/jcm.22.5.719-725.1985.</t>
  </si>
  <si>
    <t>10.1128/jcm.22.5.719-725.1985</t>
  </si>
  <si>
    <t>Spinal myoclonus</t>
  </si>
  <si>
    <t>Hopkins AP, Michael WF.</t>
  </si>
  <si>
    <t>J Neurol Neurosurg Psychiatry. 1974 Oct;37(10):1112-5. doi: 10.1136/jnnp.37.10.1112.</t>
  </si>
  <si>
    <t>J Neurol Neurosurg Psychiatry</t>
  </si>
  <si>
    <t>10.1136/jnnp.37.10.1112</t>
  </si>
  <si>
    <t>Efficacy and safety of low dosage amantadine hydrochloride as prophylaxis for influenza A</t>
  </si>
  <si>
    <t>Reuman PD, Bernstein DI, Keefer MC, Young EC, Sherwood JR, Schiff GM.</t>
  </si>
  <si>
    <t>Antiviral Res. 1989 Feb;11(1):27-40. doi: 10.1016/0166-3542(89)90018-1.</t>
  </si>
  <si>
    <t>10.1016/0166-3542(89)90018-1</t>
  </si>
  <si>
    <t>Analysis of virus and host factors in a study of A/Peking/2/79 (H3N2) cold-adapted vaccine recombinant in which vaccine-associated illness occurred in normal volunteers</t>
  </si>
  <si>
    <t>Betts RF, Douglas RG Jr, Maassab HF, DeBorde DC, Clements ML, Murphy BR.</t>
  </si>
  <si>
    <t>J Med Virol. 1988 Oct;26(2):175-83. doi: 10.1002/jmv.1890260209.</t>
  </si>
  <si>
    <t>J Med Virol</t>
  </si>
  <si>
    <t>10.1002/jmv.1890260209</t>
  </si>
  <si>
    <t>Evaluation of live avian-human reassortant influenza A H3N2 and H1N1 virus vaccines in seronegative adult volunteers</t>
  </si>
  <si>
    <t>Snyder MH, Clements ML, Betts RF, Dolin R, Buckler-White AJ, Tierney EL, Murphy BR.</t>
  </si>
  <si>
    <t>J Clin Microbiol. 1986 May;23(5):852-7. doi: 10.1128/jcm.23.5.852-857.1986.</t>
  </si>
  <si>
    <t>10.1128/jcm.23.5.852-857.1986</t>
  </si>
  <si>
    <t>Resistance of adults to challenge with influenza A wild-type virus after receiving live or inactivated virus vaccine</t>
  </si>
  <si>
    <t>J Clin Microbiol. 1986 Jan;23(1):73-6. doi: 10.1128/jcm.23.1.73-76.1986.</t>
  </si>
  <si>
    <t>10.1128/jcm.23.1.73-76.1986</t>
  </si>
  <si>
    <t>Potential of attenuated respiratory syncytial virus vaccine for infants and children</t>
  </si>
  <si>
    <t>Parrott RH, Kim HW, Brandt CD, Chanock RM.</t>
  </si>
  <si>
    <t>Dev Biol Stand. 1975;28:389-99.</t>
  </si>
  <si>
    <t>Dev Biol Stand</t>
  </si>
  <si>
    <t>Immediate protection of mice from lethal wild-type Sendai virus (HVJ) infections by a temperature-sensitive mutant, HVJpi, possessing homologous interfering capacity</t>
  </si>
  <si>
    <t>Kiyotani K, Takao S, Sakaguchi T, Yoshida T.</t>
  </si>
  <si>
    <t>Virology. 1990 Jul;177(1):65-74. doi: 10.1016/0042-6822(90)90460-9.</t>
  </si>
  <si>
    <t>10.1016/0042-6822(90)90460-9</t>
  </si>
  <si>
    <t>Live Victoria/75-ts-1[E] influenza A virus vaccines in adult volunteers: role of hemagglutinin immunity in protection against illness and infection caused by influenza A virus</t>
  </si>
  <si>
    <t>Douglas RG Jr, Markoff LJ, Murphy BR, Chanock RM, Betts RF, Hayden FG, Levine MM, Van Blerk GA, Sotman SB, Nalin DR.</t>
  </si>
  <si>
    <t>Infect Immun. 1979 Oct;26(1):274-9. doi: 10.1128/iai.26.1.274-279.1979.</t>
  </si>
  <si>
    <t>10.1128/iai.26.1.274-279.1979</t>
  </si>
  <si>
    <t>Modification of experimental rhinovirus colds by receptor blockade</t>
  </si>
  <si>
    <t>Hayden FG, Gwaltney JM Jr, Colonno RJ.</t>
  </si>
  <si>
    <t>Antiviral Res. 1988 Jul;9(4):233-47. doi: 10.1016/0166-3542(88)90055-1.</t>
  </si>
  <si>
    <t>10.1016/0166-3542(88)90055-1</t>
  </si>
  <si>
    <t>Experimental Campylobacter jejuni infection of adult mice</t>
  </si>
  <si>
    <t>Blaser MJ, Duncan DJ, Warren GH, Wang WL.</t>
  </si>
  <si>
    <t>Infect Immun. 1983 Feb;39(2):908-16. doi: 10.1128/iai.39.2.908-916.1983.</t>
  </si>
  <si>
    <t>10.1128/iai.39.2.908-916.1983</t>
  </si>
  <si>
    <t>Influenza: response of T-cell lymphopenia to thymosin</t>
  </si>
  <si>
    <t>Scheinberg M, Blacklow NR, Goldstein AL, Parrino TA, Rose FB, Cathcart ES.</t>
  </si>
  <si>
    <t>N Engl J Med. 1976 May 27;294(22):1208-11. doi: 10.1056/NEJM197605272942204.</t>
  </si>
  <si>
    <t>10.1056/NEJM197605272942204</t>
  </si>
  <si>
    <t>Temperature-sensitive mutants of influenza A virus: evaluation of A/Victoria/3/75-ts-1[E] recombinant viruses in volunteers</t>
  </si>
  <si>
    <t>Murphy BR, Markoff LJ, Hosier NT, Rusten HM, Chanock RM, Kendal AP, Douglas RG, Betts RF, Cate TR Jr, Couch RB, Levine MM, Waterman DH, Holley HP Jr.</t>
  </si>
  <si>
    <t>Infect Immun. 1978 Jun;20(3):671-7. doi: 10.1128/iai.20.3.671-677.1978.</t>
  </si>
  <si>
    <t>10.1128/iai.20.3.671-677.1978</t>
  </si>
  <si>
    <t>Experimental parvoviral infection in humans</t>
  </si>
  <si>
    <t>Anderson MJ, Higgins PG, Davis LR, Willman JS, Jones SE, Kidd IM, Pattison JR, Tyrrell DA.</t>
  </si>
  <si>
    <t>J Infect Dis. 1985 Aug;152(2):257-65. doi: 10.1093/infdis/152.2.257.</t>
  </si>
  <si>
    <t>10.1093/infdis/152.2.257</t>
  </si>
  <si>
    <t>Temperature-sensitive mutants of influenza A virus. XIV. Production and evaluation of influenza A/Georgia/74-ts-1[E] recombinant viruses in human adults</t>
  </si>
  <si>
    <t>Richman DD, Murphy BR, Belshe RB, Rusten HM, Chanock RM, Blacklow NR, Parrino TA, Rose FB, Levine MM, Caplan E.</t>
  </si>
  <si>
    <t>J Infect Dis. 1977 Aug;136(2):256-62. doi: 10.1093/infdis/136.2.256.</t>
  </si>
  <si>
    <t>10.1093/infdis/136.2.256</t>
  </si>
  <si>
    <t>The effect of trachoma virus vaccine on the course of experimental trachoma infection in blind human volunteers</t>
  </si>
  <si>
    <t>GRAYSTON JT, WANG SP, YANG YF, WOOLRIDGE RL.</t>
  </si>
  <si>
    <t>J Exp Med. 1962 May 1;115(5):1009-22. doi: 10.1084/jem.115.5.1009.</t>
  </si>
  <si>
    <t>J Exp Med</t>
  </si>
  <si>
    <t>10.1084/jem.115.5.1009</t>
  </si>
  <si>
    <t>Hepatitis A virus: virologic, clinical, and epidemiologic studies</t>
  </si>
  <si>
    <t>Dienstag JL.</t>
  </si>
  <si>
    <t>Hum Pathol. 1981 Dec;12(12):1097-1106. doi: 10.1016/s0046-8177(81)80330-9.</t>
  </si>
  <si>
    <t>Hum Pathol</t>
  </si>
  <si>
    <t>10.1016/s0046-8177(81)80330-9</t>
  </si>
  <si>
    <t>Efficacy of live attenuated influenza A/Scotland/74 (H3N2) virus vaccine against challenge with influenza A/Victoria/3/75 (H3N2) virus</t>
  </si>
  <si>
    <t>Betts RF, Douglas RG Jr, Roth FK, little JW 3rd.</t>
  </si>
  <si>
    <t>J Infect Dis. 1977 Dec;136(6):746-53. doi: 10.1093/infdis/136.6.746.</t>
  </si>
  <si>
    <t>10.1093/infdis/136.6.746</t>
  </si>
  <si>
    <t>Relapsing experimental allergic encephalomyelitis. An autoimmune model of multiple sclerosis</t>
  </si>
  <si>
    <t>Lublin FD.</t>
  </si>
  <si>
    <t>Springer Semin Immunopathol. 1985;8(3):197-208. doi: 10.1007/BF00197296.</t>
  </si>
  <si>
    <t>Springer Semin Immunopathol</t>
  </si>
  <si>
    <t>10.1007/BF00197296</t>
  </si>
  <si>
    <t>Virus-specific factors in experimental Argentine hemorrhagic fever in rhesus macaques</t>
  </si>
  <si>
    <t>McKee KT Jr, Mahlandt BG, Maiztegui JI, Green DE, Peters CJ.</t>
  </si>
  <si>
    <t>J Med Virol. 1987 Jun;22(2):99-111. doi: 10.1002/jmv.1890220202.</t>
  </si>
  <si>
    <t>10.1002/jmv.1890220202</t>
  </si>
  <si>
    <t>Expression of immunity to intravaginal herpes simplex virus type 2 infection in the genital tract and associated lymph nodes</t>
  </si>
  <si>
    <t>McDermott MR, Brais PL, PLoettsche GC, Evelegh MJ, Goldsmith CH.</t>
  </si>
  <si>
    <t>Arch Virol. 1987;93(1-2):51-68. doi: 10.1007/BF01313893.</t>
  </si>
  <si>
    <t>Arch Virol</t>
  </si>
  <si>
    <t>10.1007/BF01313893</t>
  </si>
  <si>
    <t>Protective efficacy of low-dose amantadine in adults challenged with wild-type influenza A virus</t>
  </si>
  <si>
    <t>Sears SD, Clements ML.</t>
  </si>
  <si>
    <t>Antimicrob Agents Chemother. 1987 Oct;31(10):1470-3. doi: 10.1128/AAC.31.10.1470.</t>
  </si>
  <si>
    <t>10.1128/AAC.31.10.1470</t>
  </si>
  <si>
    <t>Recombinant human interferon-gamma as prophylaxis against rhinovirus colds in volunteers</t>
  </si>
  <si>
    <t>Higgins PG, al-Nakib W, Barrow GI, Tyrrell DA.</t>
  </si>
  <si>
    <t>J Interferon Res. 1988 Oct;8(5):591-6. doi: 10.1089/jir.1988.8.591.</t>
  </si>
  <si>
    <t>J Interferon Res</t>
  </si>
  <si>
    <t>10.1089/jir.1988.8.591</t>
  </si>
  <si>
    <t>Evaluation of the infectivity, immunogenicity, and efficacy of live cold-adapted influenza B/Ann Arbor/1/86 reassortant virus vaccine in adult volunteers</t>
  </si>
  <si>
    <t>Clements ML, Snyder MH, Sears SD, Maassab HF, Murphy BR.</t>
  </si>
  <si>
    <t>J Infect Dis. 1990 May;161(5):869-77. doi: 10.1093/infdis/161.5.869.</t>
  </si>
  <si>
    <t>10.1093/infdis/161.5.869</t>
  </si>
  <si>
    <t>Experimental infection of chimpanzees with hepatitis A virus</t>
  </si>
  <si>
    <t>Dienstag JL, Feinstone SM, Purcell RH, Hoofnagle JH, Barker LF, London WT, Popper H, Peterson JM, Kapikian AZ.</t>
  </si>
  <si>
    <t>J Infect Dis. 1975 Nov;132(5):532-45. doi: 10.1093/infdis/132.5.532.</t>
  </si>
  <si>
    <t>10.1093/infdis/132.5.532</t>
  </si>
  <si>
    <t>Sites of virus recovery and antigen detection in epithelial cells during experimental rhinovirus infection</t>
  </si>
  <si>
    <t>Turner RB, Winther B, Hendley JO, Mygind N, Gwaltney JM Jr.</t>
  </si>
  <si>
    <t>Acta Otolaryngol Suppl. 1984;413:9-14. doi: 10.3109/00016488409128535.</t>
  </si>
  <si>
    <t>Acta Otolaryngol Suppl</t>
  </si>
  <si>
    <t>10.3109/00016488409128535</t>
  </si>
  <si>
    <t>Characterization of the genotype and level of attenuation of an influenza A reassortant virus produced by mating the Xia-ts donor virus with A/Beijing/70 (H1N1) wild type virus</t>
  </si>
  <si>
    <t>Tian SF, Zhang LX, Murphy BR.</t>
  </si>
  <si>
    <t>Vaccine. 1984 Sep;2(3):189-92. doi: 10.1016/0264-410x(84)90083-5.</t>
  </si>
  <si>
    <t>10.1016/0264-410x(84)90083-5</t>
  </si>
  <si>
    <t>Cell-mediated immune response to respiratory syncytial virus infection in owl monkeys</t>
  </si>
  <si>
    <t>Koff WC, Caplan FR, Case S, Halstead SB.</t>
  </si>
  <si>
    <t>Clin Exp Immunol. 1983 Aug;53(2):272-80.</t>
  </si>
  <si>
    <t>Clin Exp Immunol</t>
  </si>
  <si>
    <t>Dengue-2 vaccine: viremia and immune responses in rhesus monkeys</t>
  </si>
  <si>
    <t>Scott RM, Nisalak A, Eckels KH, Tingpalapong M, Harrison VR, Gould DJ, Chapple FE, Russell PK.</t>
  </si>
  <si>
    <t>Infect Immun. 1980 Jan;27(1):181-6. doi: 10.1128/iai.27.1.181-186.1980.</t>
  </si>
  <si>
    <t>10.1128/iai.27.1.181-186.1980</t>
  </si>
  <si>
    <t>Dose response of A/Alaska/6/77 (H3N2) cold-adapted reassortant vaccine virus in adult volunteers: role of local antibody in resistance to infection with vaccine virus</t>
  </si>
  <si>
    <t>Clements ML, O'Donnell S, Levine MM, Chanock RM, Murphy BR.</t>
  </si>
  <si>
    <t>Infect Immun. 1983 Jun;40(3):1044-51. doi: 10.1128/iai.40.3.1044-1051.1983.</t>
  </si>
  <si>
    <t>10.1128/iai.40.3.1044-1051.1983</t>
  </si>
  <si>
    <t>Candidate rotavirus vaccine (rhesus rotavirus strain) in children: an evaluation</t>
  </si>
  <si>
    <t>Wright PF, Tajima T, Thompson J, Kokubun K, Kapikian A, Karzon DT.</t>
  </si>
  <si>
    <t>Pediatrics. 1987 Oct;80(4):473-80.</t>
  </si>
  <si>
    <t>Dissociation between serum neutralizing and glycoprotein antibody responses of infants and children who received inactivated respiratory syncytial virus vaccine</t>
  </si>
  <si>
    <t>Murphy BR, Prince GA, Walsh EE, Kim HW, Parrott RH, Hemming VG, Rodriguez WJ, Chanock RM.</t>
  </si>
  <si>
    <t>J Clin Microbiol. 1986 Aug;24(2):197-202. doi: 10.1128/jcm.24.2.197-202.1986.</t>
  </si>
  <si>
    <t>10.1128/jcm.24.2.197-202.1986</t>
  </si>
  <si>
    <t>Evaluation of isoprinosine in experimental human rhinovirus infection</t>
  </si>
  <si>
    <t>Pachuta DM, Togo Y, Hornick RB, Schwartz AR, Tominaga S.</t>
  </si>
  <si>
    <t>Antimicrob Agents Chemother. 1974 Apr;5(4):403-8. doi: 10.1128/AAC.5.4.403.</t>
  </si>
  <si>
    <t>10.1128/AAC.5.4.403</t>
  </si>
  <si>
    <t>Experimental milk-borne transmission of Powassan virus in the goat</t>
  </si>
  <si>
    <t>Woodall JP, Roz A.</t>
  </si>
  <si>
    <t>Am J Trop Med Hyg. 1977 Jan;26(1):190-2. doi: 10.4269/ajtmh.1977.26.190.</t>
  </si>
  <si>
    <t>10.4269/ajtmh.1977.26.190</t>
  </si>
  <si>
    <t>Rhinovirus upper respiratory infection increases airway hyperreactivity and late asthmatic reactions</t>
  </si>
  <si>
    <t>Lemanske RF Jr, Dick EC, Swenson CA, Vrtis RF, Busse WW.</t>
  </si>
  <si>
    <t>J Clin Invest. 1989 Jan;83(1):1-10. doi: 10.1172/JCI113843.</t>
  </si>
  <si>
    <t>10.1172/JCI113843</t>
  </si>
  <si>
    <t>Infection induced by oral administration of attenuated poliovirus to persons possessing homotypic antibody</t>
  </si>
  <si>
    <t>HORSTMANN DM, PAUL JR, MELNICK JL, DEUTSCH JV.</t>
  </si>
  <si>
    <t>J Exp Med. 1957 Jul 1;106(1):159-77. doi: 10.1084/jem.106.1.159.</t>
  </si>
  <si>
    <t>10.1084/jem.106.1.159</t>
  </si>
  <si>
    <t>REACTIONS OF MONKEYS TO EXPERIMENTAL MIXED INFLUENZA AND STREPTOCOCCUS INFECTIONS : AN ANALYSIS OF THE RELATIVE ROLES OF HUMORAL AND CELLULAR IMMUNITY, WITH THE DESCRIPTION OF AN INTERCURRENT NEPHRITIC SYNDROME</t>
  </si>
  <si>
    <t>Wilson HE, Saslaw S, Doan CA, Woolpert OC, Schwab JL.</t>
  </si>
  <si>
    <t>J Exp Med. 1947 Jan 31;85(2):199-215. doi: 10.1084/jem.85.2.199.</t>
  </si>
  <si>
    <t>10.1084/jem.85.2.199</t>
  </si>
  <si>
    <t>AIDS as immune system activation: a model for pathogenesis</t>
  </si>
  <si>
    <t>Ascher MS, Sheppard HW.</t>
  </si>
  <si>
    <t>Clin Exp Immunol. 1988 Aug;73(2):165-7.</t>
  </si>
  <si>
    <t>Four viral genes independently contribute to attenuation of live influenza A/Ann Arbor/6/60 (H2N2) cold-adapted reassortant virus vaccines</t>
  </si>
  <si>
    <t>Snyder MH, Betts RF, DeBorde D, Tierney EL, Clements ML, Herrington D, Sears SD, Dolin R, Maassab HF, Murphy BR.</t>
  </si>
  <si>
    <t>J Virol. 1988 Feb;62(2):488-95. doi: 10.1128/JVI.62.2.488-495.1988.</t>
  </si>
  <si>
    <t>10.1128/JVI.62.2.488-495.1988</t>
  </si>
  <si>
    <t>Double-blind evaluation of oral ribavirin (Virazole) in experimental influenza A virus infection in volunteers</t>
  </si>
  <si>
    <t>Magnussen CR, Douglas RG Jr, Betts RF, Roth FK, Meagher MP.</t>
  </si>
  <si>
    <t>Antimicrob Agents Chemother. 1977 Oct;12(4):498-502. doi: 10.1128/AAC.12.4.498.</t>
  </si>
  <si>
    <t>10.1128/AAC.12.4.498</t>
  </si>
  <si>
    <t>Evaluation in children of cold-adapted influenza B live attenuated intranasal vaccine prepared by reassortment between wild-type B/Ann Arbor/1/86 and cold-adapted B/Leningrad/14/55 viruses</t>
  </si>
  <si>
    <t>Obrosova-Serova NP, Slepushkin AN, Kendal AP, Harmon MW, Burtseva EI, Bebesheva NI, Beljaev AL, Lonskaja NI, Medvedeva TE, Egorov AY, et al.</t>
  </si>
  <si>
    <t>Vaccine. 1990 Feb;8(1):57-60. doi: 10.1016/0264-410x(90)90178-o.</t>
  </si>
  <si>
    <t>10.1016/0264-410x(90)90178-o</t>
  </si>
  <si>
    <t>Infection with A2 Hong Kong influenza virus in domestic cats</t>
  </si>
  <si>
    <t>Paniker CK, Nair CM.</t>
  </si>
  <si>
    <t>Bull World Health Organ. 1970;43(6):859-62.</t>
  </si>
  <si>
    <t>Legionnaires' pneumonia after aerosol exposure in guinea pigs and rats</t>
  </si>
  <si>
    <t>Davis GS, Winn WC Jr, Gump DW, Craighead JE, Beaty HN.</t>
  </si>
  <si>
    <t>Am Rev Respir Dis. 1982 Dec;126(6):1050-7. doi: 10.1164/arrd.1982.126.6.1050.</t>
  </si>
  <si>
    <t>Am Rev Respir Dis</t>
  </si>
  <si>
    <t>10.1164/arrd.1982.126.6.1050</t>
  </si>
  <si>
    <t>Effect of thyroid hormone supplementation on survival after bacterial infection</t>
  </si>
  <si>
    <t>Little JS.</t>
  </si>
  <si>
    <t>Endocrinology. 1985 Oct;117(4):1431-5. doi: 10.1210/endo-117-4-1431.</t>
  </si>
  <si>
    <t>Endocrinology</t>
  </si>
  <si>
    <t>10.1210/endo-117-4-1431</t>
  </si>
  <si>
    <t>Attenuated influenza produced by experimental intranasal inoculation</t>
  </si>
  <si>
    <t>Little JW, Douglas RG Jr, Hall WJ, Roth FK.</t>
  </si>
  <si>
    <t>J Med Virol. 1979;3(3):177-88. doi: 10.1002/jmv.1890030303.</t>
  </si>
  <si>
    <t>10.1002/jmv.1890030303</t>
  </si>
  <si>
    <t>Experimental infection of chimpanzees with the Norwalk agent of epidemic viral gastroenteritis</t>
  </si>
  <si>
    <t>Wyatt RG, Greenberg HB, Dalgard DW, Allen WP, Sly DL, Thornhill TS, Chanock RM, Kapikian AZ.</t>
  </si>
  <si>
    <t>J Med Virol. 1978;2(2):89-96. doi: 10.1002/jmv.1890020203.</t>
  </si>
  <si>
    <t>10.1002/jmv.1890020203</t>
  </si>
  <si>
    <t>Treatment of junin virus-infected guinea pigs with immune serum: development of late neurological disease</t>
  </si>
  <si>
    <t>Kenyon RH, Green DE, Eddy GA, Peters CJ.</t>
  </si>
  <si>
    <t>J Med Virol. 1986 Nov;20(3):207-18. doi: 10.1002/jmv.1890200303.</t>
  </si>
  <si>
    <t>10.1002/jmv.1890200303</t>
  </si>
  <si>
    <t>Urban yellow fever epidemic in western Nigeria, 1987</t>
  </si>
  <si>
    <t>Nasidi A, Monath TP, DeCock K, Tomori O, Cordellier R, Olaleye OD, Harry TO, Adeniyi JA, Sorungbe AO, Ajose-Coker AO, et al.</t>
  </si>
  <si>
    <t>Trans R Soc Trop Med Hyg. 1989 May-Jun;83(3):401-6. doi: 10.1016/0035-9203(89)90518-x.</t>
  </si>
  <si>
    <t>10.1016/0035-9203(89)90518-x</t>
  </si>
  <si>
    <t>The mucosal immune system in health and disease, with an emphasis on parasitic infection</t>
  </si>
  <si>
    <t>Allardyce RA, Bienenstock J.</t>
  </si>
  <si>
    <t>Bull World Health Organ. 1984;62(1):7-25.</t>
  </si>
  <si>
    <t>Immunity in the female genital tract after intravaginal vaccination of mice with an attenuated strain of herpes simplex virus type 2</t>
  </si>
  <si>
    <t>McDermott MR, Smiley JR, Leslie P, Brais J, Rudzroga HE, Bienenstock J.</t>
  </si>
  <si>
    <t>J Virol. 1984 Sep;51(3):747-53. doi: 10.1128/JVI.51.3.747-753.1984.</t>
  </si>
  <si>
    <t>10.1128/JVI.51.3.747-753.1984</t>
  </si>
  <si>
    <t>Study design considerations for ribavirin: efficacy studies</t>
  </si>
  <si>
    <t>McBride JT.</t>
  </si>
  <si>
    <t>Pediatr Infect Dis J. 1990 Sep;9(9 Suppl):S74-8. doi: 10.1097/00006454-199009001-00003.</t>
  </si>
  <si>
    <t>10.1097/00006454-199009001-00003</t>
  </si>
  <si>
    <t>Evaluation of a topical interferon inducer in experimental influenza infection in volunteers</t>
  </si>
  <si>
    <t>Douglas RG Jr, Betts RF, Simons RL, Hogan PW, Roth FK.</t>
  </si>
  <si>
    <t>Antimicrob Agents Chemother. 1975 Dec;8(6):684-7. doi: 10.1128/AAC.8.6.684.</t>
  </si>
  <si>
    <t>10.1128/AAC.8.6.684</t>
  </si>
  <si>
    <t>Studies in volunteers to evaluate candidate Shigella vaccines: further experience with a bivalent Salmonella typhi-Shigella sonnei vaccine and protection conferred by previous Shigella sonnei disease</t>
  </si>
  <si>
    <t>Herrington DA, Van de Verg L, Formal SB, Hale TL, Tall BD, Cryz SJ, Tramont EC, Levine MM.</t>
  </si>
  <si>
    <t>Vaccine. 1990 Aug;8(4):353-7. doi: 10.1016/0264-410x(90)90094-3.</t>
  </si>
  <si>
    <t>10.1016/0264-410x(90)90094-3</t>
  </si>
  <si>
    <t>Challenge with rubella virus after loss of detectable vaccine-induced antibody</t>
  </si>
  <si>
    <t>Schiff GM, Young BC, Stefanovic' GM, Stamler EF, Knowlton DR, Grundy BJ, Dorsett PH.</t>
  </si>
  <si>
    <t>Rev Infect Dis. 1985 Mar-Apr;7 Suppl 1:S157-63. doi: 10.1093/clinids/7.supplement_1.s157.</t>
  </si>
  <si>
    <t>Rev Infect Dis</t>
  </si>
  <si>
    <t>10.1093/clinids/7.supplement_1.s157</t>
  </si>
  <si>
    <t>Evaluation of a phenotypic revertant of the A/Alaska/77-ts-1A2 reassortant virus in hamsters and in seronegative adult volunteers: further evidence that the temperature-sensitive phenotype is responsible for attenuation of ts-1A2 reassortant viruses</t>
  </si>
  <si>
    <t>Tolpin MD, Clements ML, Levine MM, Black RE, Saah AJ, Anthony WC, Cisneros L, Chanock RM, Murphy BR.</t>
  </si>
  <si>
    <t>Infect Immun. 1982 May;36(2):645-50. doi: 10.1128/iai.36.2.645-650.1982.</t>
  </si>
  <si>
    <t>10.1128/iai.36.2.645-650.1982</t>
  </si>
  <si>
    <t>The immunology of experimental Chagas' disease. IV. Production of lesions in rabbits similar to those of chronic Chagas' disease in man</t>
  </si>
  <si>
    <t>Teixeira AR, Teixeira ML, Santos-Buch CA.</t>
  </si>
  <si>
    <t>Am J Pathol. 1975 Jul;80(1):163-80.</t>
  </si>
  <si>
    <t>Am J Pathol</t>
  </si>
  <si>
    <t>Viral strain dependent differences in experimental Argentine hemorrhagic fever (Junin virus) infection of guinea pigs</t>
  </si>
  <si>
    <t>Kenyon RH, Green DE, Maiztegui JI, Peters CJ.</t>
  </si>
  <si>
    <t>Intervirology. 1988;29(3):133-43. doi: 10.1159/000150039.</t>
  </si>
  <si>
    <t>Intervirology</t>
  </si>
  <si>
    <t>10.1159/000150039</t>
  </si>
  <si>
    <t>Immunization of healthy adults with live attenuated varicella vaccine</t>
  </si>
  <si>
    <t>Gershon AA, Steinberg SP, LaRussa P, Ferrara A, Hammerschlag M, Gelb L.</t>
  </si>
  <si>
    <t>J Infect Dis. 1988 Jul;158(1):132-7. doi: 10.1093/infdis/158.1.132.</t>
  </si>
  <si>
    <t>10.1093/infdis/158.1.132</t>
  </si>
  <si>
    <t>Experimental and clinical experience with hyperbaric oxygen in the treatment of clostridial myonecrosis</t>
  </si>
  <si>
    <t>Holland JA, Hill GB, Wolfe WG, Osterhout S, Saltzman HA, Brown IW Jr.</t>
  </si>
  <si>
    <t>Surgery. 1975 Jan;77(1):75-85.</t>
  </si>
  <si>
    <t>Surgery</t>
  </si>
  <si>
    <t>Duration of circulating and secretory antibody and cell-mediated immunity following immunization</t>
  </si>
  <si>
    <t>Waldman RH, Ganguly R.</t>
  </si>
  <si>
    <t>Dev Biol Stand. 1975;28:273-84.</t>
  </si>
  <si>
    <t>Live influenza A/Victoria/75 (H3N2) virus vaccines: reactogenicity, immunogenicity, and protection against wild-type virus challenge</t>
  </si>
  <si>
    <t>Cate TR, Couch RB.</t>
  </si>
  <si>
    <t>Infect Immun. 1982 Oct;38(1):141-6. doi: 10.1128/iai.38.1.141-146.1982.</t>
  </si>
  <si>
    <t>10.1128/iai.38.1.141-146.1982</t>
  </si>
  <si>
    <t>Secondary myocardial disease. Virus myocarditis and cardiomyopathy</t>
  </si>
  <si>
    <t>Kitaura Y, Morita H.</t>
  </si>
  <si>
    <t>Jpn Circ J. 1979 Nov;43(11):1017-31. doi: 10.1253/jcj.43.1017.</t>
  </si>
  <si>
    <t>Jpn Circ J</t>
  </si>
  <si>
    <t>10.1253/jcj.43.1017</t>
  </si>
  <si>
    <t>Experimental Campylobacter jejuni infection in Macaca nemestrina</t>
  </si>
  <si>
    <t>Russell RG, Blaser MJ, Sarmiento JI, Fox J.</t>
  </si>
  <si>
    <t>Infect Immun. 1989 May;57(5):1438-44. doi: 10.1128/iai.57.5.1438-1444.1989.</t>
  </si>
  <si>
    <t>10.1128/iai.57.5.1438-1444.1989</t>
  </si>
  <si>
    <t>New live attenuated influenza A/England/42/72 (H3N2) vaccine (Alice): reactogenicity,, immunogenicity, and protection efficacy</t>
  </si>
  <si>
    <t>Rytel MW, Jackson LJ, Ferstenfeld JE, Rosenkranz MA.</t>
  </si>
  <si>
    <t>J Infect Dis. 1975 Dec;132(6):652-9. doi: 10.1093/infdis/132.6.652.</t>
  </si>
  <si>
    <t>10.1093/infdis/132.6.652</t>
  </si>
  <si>
    <t>Intranasal chalcone, Ro 09-0410, as prophylaxis against rhinovirus infection in human volunteers</t>
  </si>
  <si>
    <t>Al-Nakib W, Higgins PG, Barrow I, Tyrrell DA, Lenox-Smith I, Ishitsuka H.</t>
  </si>
  <si>
    <t>J Antimicrob Chemother. 1987 Dec;20(6):887-92. doi: 10.1093/jac/20.6.887.</t>
  </si>
  <si>
    <t>10.1093/jac/20.6.887</t>
  </si>
  <si>
    <t>Protection of monkeys against Machupo virus by the passive administration of Bolivian haemorrhagic fever immunoglobulin (human origin)</t>
  </si>
  <si>
    <t>Eddy GA, Wagner FS, Scott SK, Mahlandt BJ.</t>
  </si>
  <si>
    <t>Bull World Health Organ. 1975;52(4-6):723-7.</t>
  </si>
  <si>
    <t>Hepatic damage in experimental and clinical paragonimiasis</t>
  </si>
  <si>
    <t>Hu X, Feng R, Zheng Z, Liang J, Wang H, Lu J.</t>
  </si>
  <si>
    <t>Am J Trop Med Hyg. 1982 Nov;31(6):1148-55. doi: 10.4269/ajtmh.1982.31.1148.</t>
  </si>
  <si>
    <t>10.4269/ajtmh.1982.31.1148</t>
  </si>
  <si>
    <t>Hyperacute experimental allergic encephalomyelitis in rhesus monkeys as a model of acute necrotizing hemorrhagic encephalomyelitis</t>
  </si>
  <si>
    <t>Ravkina L, Harib I, Manovitch Z, Deconenko E, Letchinskaja E, Papilova E.</t>
  </si>
  <si>
    <t>J Neurol. 1979 Aug;221(2):113-25. doi: 10.1007/BF00313109.</t>
  </si>
  <si>
    <t>J Neurol</t>
  </si>
  <si>
    <t>10.1007/BF00313109</t>
  </si>
  <si>
    <t>Malaria of the orang-utan (Pongo pygmaeus) in Borneo</t>
  </si>
  <si>
    <t>Peters W.</t>
  </si>
  <si>
    <t>Philos Trans R Soc Lond B Biol Sci. 1976 Sep 28;275(941):439-82. doi: 10.1098/rstb.1976.0089.</t>
  </si>
  <si>
    <t>Philos Trans R Soc Lond B Biol Sci</t>
  </si>
  <si>
    <t>10.1098/rstb.1976.0089</t>
  </si>
  <si>
    <t>Formation of antibody to matrix protein in experimental human influenza A virus infections</t>
  </si>
  <si>
    <t>Cretescu L, Beare AS, Schild GC.</t>
  </si>
  <si>
    <t>Infect Immun. 1978 Nov;22(2):322-7. doi: 10.1128/iai.22.2.322-327.1978.</t>
  </si>
  <si>
    <t>10.1128/iai.22.2.322-327.1978</t>
  </si>
  <si>
    <t>Antiviral effect of 3, 4-dihydro-1-isoquinolineacetamide hydrochloride in experimental human rhinovirus infection</t>
  </si>
  <si>
    <t>Togo Y, Schwartz AR, Hornick RB.</t>
  </si>
  <si>
    <t>Antimicrob Agents Chemother. 1973 Dec;4(6):612-6. doi: 10.1128/AAC.4.6.612.</t>
  </si>
  <si>
    <t>10.1128/AAC.4.6.612</t>
  </si>
  <si>
    <t>Bronchial reactivity in experimental infections with influenza virus</t>
  </si>
  <si>
    <t>Hobbins TE, Hughes TP, Rennels MB, Murphy BR, Levine MM.</t>
  </si>
  <si>
    <t>J Infect Dis. 1982 Oct;146(4):468-71. doi: 10.1093/infdis/146.4.468.</t>
  </si>
  <si>
    <t>10.1093/infdis/146.4.468</t>
  </si>
  <si>
    <t>Evaluation of influenza virus mutants for possible use in a live virus vaccine</t>
  </si>
  <si>
    <t>Mills J, Van Kirk J, Hill DA, Chanock RM.</t>
  </si>
  <si>
    <t>Bull World Health Organ. 1969;41(3):599-606.</t>
  </si>
  <si>
    <t>Experimental parainfluenzavirus infection in mice: fatal illness with atrophy of thymus and spleen in mice caused by a variant of parainfluenza 3 virus</t>
  </si>
  <si>
    <t>Shibuta H, Adachi A, Kanda T, Matumoto M.</t>
  </si>
  <si>
    <t>Infect Immun. 1982 Feb;35(2):437-41. doi: 10.1128/iai.35.2.437-441.1982.</t>
  </si>
  <si>
    <t>10.1128/iai.35.2.437-441.1982</t>
  </si>
  <si>
    <t>THE ACTION OF THE LETHAL DOSE OF STROPHANTHIN IN NORMAL ANIMALS AND IN ANIMALS INFECTED WITH PNEUMONIA</t>
  </si>
  <si>
    <t>Jamieson RA.</t>
  </si>
  <si>
    <t>J Exp Med. 1915 Nov 1;22(5):629-45. doi: 10.1084/jem.22.5.629.</t>
  </si>
  <si>
    <t>10.1084/jem.22.5.629</t>
  </si>
  <si>
    <t>Suppression of retroviral propagation and disease by suramin in murine systems</t>
  </si>
  <si>
    <t>Ruprecht RM, Rossoni LD, Haseltine WA, Broder S.</t>
  </si>
  <si>
    <t>Proc Natl Acad Sci U S A. 1985 Nov;82(22):7733-7. doi: 10.1073/pnas.82.22.7733.</t>
  </si>
  <si>
    <t>10.1073/pnas.82.22.7733</t>
  </si>
  <si>
    <t>Cynomolgus monkey model for experimental Q fever infection</t>
  </si>
  <si>
    <t>Gonder JC, Kishimoto RA, Kastello MD, Pedersen CE Jr, Larson EW.</t>
  </si>
  <si>
    <t>J Infect Dis. 1979 Feb;139(2):191-6. doi: 10.1093/infdis/139.2.191.</t>
  </si>
  <si>
    <t>10.1093/infdis/139.2.191</t>
  </si>
  <si>
    <t>Electrolyte metabolism in rhesus monkeys with experimental salmonella sepsis</t>
  </si>
  <si>
    <t>Nichols BL, Bilbrey GL, Hazlewood CF, Kimzey SL, Liu CT, Beisel WR.</t>
  </si>
  <si>
    <t>Am J Clin Nutr. 1981 Jul;34(7):1362-71. doi: 10.1093/ajcn/34.7.1362.</t>
  </si>
  <si>
    <t>10.1093/ajcn/34.7.1362</t>
  </si>
  <si>
    <t>STUDIES UPON EXPERIMENTAL MEASLES : I. THE EFFECTS OF THE VIRUS OF MEASLES UPON THE GUINEA PIG</t>
  </si>
  <si>
    <t>Duval CW, D'Aunoy R.</t>
  </si>
  <si>
    <t>J Exp Med. 1922 Jan 31;35(2):257-70. doi: 10.1084/jem.35.2.257.</t>
  </si>
  <si>
    <t>10.1084/jem.35.2.257</t>
  </si>
  <si>
    <t>The importance of picornavirus infections in respiratory disease of man and other mammals</t>
  </si>
  <si>
    <t>Stott EJ.</t>
  </si>
  <si>
    <t>Dev Biol Stand. 1975;28:65-85.</t>
  </si>
  <si>
    <t>Specific immunoglobulin A-secreting cells in peripheral blood of humans following oral immunization with a bivalent Salmonella typhi-Shigella sonnei vaccine or infection by pathogenic S. sonnei</t>
  </si>
  <si>
    <t>Van de Verg L, Herrington DA, Murphy JR, Wasserman SS, Formal SB, Levine MM.</t>
  </si>
  <si>
    <t>Infect Immun. 1990 Jun;58(6):2002-4. doi: 10.1128/iai.58.6.2002-2004.1990.</t>
  </si>
  <si>
    <t>10.1128/iai.58.6.2002-2004.1990</t>
  </si>
  <si>
    <t>Infectivity studies of hepatitis A and B in non-human primates</t>
  </si>
  <si>
    <t>Maynard JE, Krushak DH, Bradley DW, Berquist KR.</t>
  </si>
  <si>
    <t>Dev Biol Stand. 1975;30:229-35.</t>
  </si>
  <si>
    <t>1990-2000</t>
  </si>
  <si>
    <t>Influenza</t>
  </si>
  <si>
    <t>Cox NJ, Subbarao K.</t>
  </si>
  <si>
    <t>Lancet. 1999 Oct 9;354(9186):1277-82. doi: 10.1016/S0140-6736(99)01241-6.</t>
  </si>
  <si>
    <t>10.1016/S0140-6736(99)01241-6</t>
  </si>
  <si>
    <t>Breastfeeding provides passive and likely long-lasting active immunity</t>
  </si>
  <si>
    <t>Hanson LA.</t>
  </si>
  <si>
    <t>Ann Allergy Asthma Immunol. 1998 Dec;81(6):523-33; quiz 533-4, 537. doi: 10.1016/S1081-1206(10)62704-4.</t>
  </si>
  <si>
    <t>10.1016/S1081-1206(10)62704-4</t>
  </si>
  <si>
    <t>Efficacy and safety of the oral neuraminidase inhibitor oseltamivir in treating acute influenza: a randomized controlled trial. US Oral Neuraminidase Study Group</t>
  </si>
  <si>
    <t>Treanor JJ, Hayden FG, Vrooman PS, Barbarash R, Bettis R, Riff D, Singh S, Kinnersley N, Ward P, Mills RG.</t>
  </si>
  <si>
    <t>JAMA. 2000 Feb 23;283(8):1016-24. doi: 10.1001/jama.283.8.1016.</t>
  </si>
  <si>
    <t>10.1001/jama.283.8.1016</t>
  </si>
  <si>
    <t>Analysis of the stressful effects of hospitalisation and source isolation on coping and psychological constructs</t>
  </si>
  <si>
    <t>Gammon J.</t>
  </si>
  <si>
    <t>Int J Nurs Pract. 1998 Jun;4(2):84-96. doi: 10.1046/j.1440-172x.1998.00084.x.</t>
  </si>
  <si>
    <t>Int J Nurs Pract</t>
  </si>
  <si>
    <t>10.1046/j.1440-172x.1998.00084.x</t>
  </si>
  <si>
    <t>How toxic is cocaine?</t>
  </si>
  <si>
    <t>Benowitz NL.</t>
  </si>
  <si>
    <t>Ciba Found Symp. 1992;166:125-43; discussion 143-8. doi: 10.1002/9780470514245.ch8.</t>
  </si>
  <si>
    <t>Ciba Found Symp</t>
  </si>
  <si>
    <t>10.1002/9780470514245.ch8</t>
  </si>
  <si>
    <t>Viruses and schizophrenia</t>
  </si>
  <si>
    <t>O'Reilly RL.</t>
  </si>
  <si>
    <t>Aust N Z J Psychiatry. 1994 Jun;28(2):222-8. doi: 10.1080/00048679409075632.</t>
  </si>
  <si>
    <t>Aust N Z J Psychiatry</t>
  </si>
  <si>
    <t>10.1080/00048679409075632</t>
  </si>
  <si>
    <t>Hepatitis E</t>
  </si>
  <si>
    <t>Krawczynski K, Aggarwal R, Kamili S.</t>
  </si>
  <si>
    <t>Infect Dis Clin North Am. 2000 Sep;14(3):669-87. doi: 10.1016/s0891-5520(05)70126-4.</t>
  </si>
  <si>
    <t>10.1016/s0891-5520(05)70126-4</t>
  </si>
  <si>
    <t>Genomics and the biology of parasites</t>
  </si>
  <si>
    <t>Johnston DA, Blaxter ML, Degrave WM, Foster J, Ivens AC, Melville SE.</t>
  </si>
  <si>
    <t>Bioessays. 1999 Feb;21(2):131-47. doi: 10.1002/(SICI)1521-1878(199902)21:2&lt;131::AID-BIES7&gt;3.0.CO;2-I.</t>
  </si>
  <si>
    <t>Bioessays</t>
  </si>
  <si>
    <t>10.1002/(SICI)1521-1878(199902)21:2&lt;131::AID-BIES7&gt;3.0.CO;2-I</t>
  </si>
  <si>
    <t>How epileptogenic are the recent antibiotics?</t>
  </si>
  <si>
    <t>Hantson P, Léonard F, Maloteaux JM, Mahieu P.</t>
  </si>
  <si>
    <t>Acta Clin Belg. 1999 Apr;54(2):80-7. doi: 10.1080/17843286.1999.11754213.</t>
  </si>
  <si>
    <t>Acta Clin Belg</t>
  </si>
  <si>
    <t>10.1080/17843286.1999.11754213</t>
  </si>
  <si>
    <t>Biofilms in device-related infections</t>
  </si>
  <si>
    <t>Khardori N, Yassien M.</t>
  </si>
  <si>
    <t>J Ind Microbiol. 1995 Sep;15(3):141-7. doi: 10.1007/BF01569817.</t>
  </si>
  <si>
    <t>J Ind Microbiol</t>
  </si>
  <si>
    <t>10.1007/BF01569817</t>
  </si>
  <si>
    <t>Training strategies to maintain immunocompetence in athletes</t>
  </si>
  <si>
    <t>Pyne DB, Gleeson M, McDonald WA, Clancy RL, Perry C Jr, Fricker PA.</t>
  </si>
  <si>
    <t>Int J Sports Med. 2000 May;21 Suppl 1:S51-60. doi: 10.1055/s-2000-1452.</t>
  </si>
  <si>
    <t>Int J Sports Med</t>
  </si>
  <si>
    <t>10.1055/s-2000-1452</t>
  </si>
  <si>
    <t>Pathogenicity of cyathostome infection</t>
  </si>
  <si>
    <t>Love S, Murphy D, Mellor D.</t>
  </si>
  <si>
    <t>Vet Parasitol. 1999 Aug 31;85(2-3):113-21; discussion 121-2, 215-25. doi: 10.1016/s0304-4017(99)00092-8.</t>
  </si>
  <si>
    <t>Vet Parasitol</t>
  </si>
  <si>
    <t>10.1016/s0304-4017(99)00092-8</t>
  </si>
  <si>
    <t>The contribution of experimental models to our understanding of the pathogenesis and treatment of bronchopulmonary dysplasia</t>
  </si>
  <si>
    <t>deLemos RA, Coalson JJ.</t>
  </si>
  <si>
    <t>Clin Perinatol. 1992 Sep;19(3):521-39.</t>
  </si>
  <si>
    <t>Clin Perinatol</t>
  </si>
  <si>
    <t>Antiviral and immunomodulatory effect of lithium</t>
  </si>
  <si>
    <t>Rybakowski JK.</t>
  </si>
  <si>
    <t>Pharmacopsychiatry. 2000 Sep;33(5):159-64.</t>
  </si>
  <si>
    <t>Pharmacopsychiatry</t>
  </si>
  <si>
    <t>Effectiveness and role of zanamivir in the treatment of influenza infection</t>
  </si>
  <si>
    <t>Silagy CA, Campion K.</t>
  </si>
  <si>
    <t>Ann Med. 1999 Oct;31(5):313-7. doi: 10.3109/07853899908995897.</t>
  </si>
  <si>
    <t>Ann Med</t>
  </si>
  <si>
    <t>10.3109/07853899908995897</t>
  </si>
  <si>
    <t>Review of the evidence for the use of erythromycin in the management of persons exposed to pertussis</t>
  </si>
  <si>
    <t>Dodhia H, Miller E.</t>
  </si>
  <si>
    <t>Epidemiol Infect. 1998 Mar;120(2):143-9. doi: 10.1017/s0950268897008571.</t>
  </si>
  <si>
    <t>Epidemiol Infect</t>
  </si>
  <si>
    <t>10.1017/s0950268897008571</t>
  </si>
  <si>
    <t>The role of colonization in the pathogenesis of nosocomial infections</t>
  </si>
  <si>
    <t>Bonten MJ, Weinstein RA.</t>
  </si>
  <si>
    <t>Infect Control Hosp Epidemiol. 1996 Mar;17(3):193-200. doi: 10.1086/647274.</t>
  </si>
  <si>
    <t>10.1086/647274</t>
  </si>
  <si>
    <t>Lessons from animal models of vasculitis</t>
  </si>
  <si>
    <t>Luzina IG, Handwerger BS.</t>
  </si>
  <si>
    <t>Curr Rheumatol Rep. 2000 Oct;2(5):369-75. doi: 10.1007/s11926-000-0035-5.</t>
  </si>
  <si>
    <t>Curr Rheumatol Rep</t>
  </si>
  <si>
    <t>10.1007/s11926-000-0035-5</t>
  </si>
  <si>
    <t>Depression, stress and immunological activation: the role of cytokines in depressive disorders</t>
  </si>
  <si>
    <t>Connor TJ, Leonard BE.</t>
  </si>
  <si>
    <t>Life Sci. 1998;62(7):583-606. doi: 10.1016/s0024-3205(97)00990-9.</t>
  </si>
  <si>
    <t>Life Sci</t>
  </si>
  <si>
    <t>10.1016/s0024-3205(97)00990-9</t>
  </si>
  <si>
    <t>Steroid therapy for bacterial meningitis</t>
  </si>
  <si>
    <t>Schaad UB, Kaplan SL, McCracken GH Jr.</t>
  </si>
  <si>
    <t>Clin Infect Dis. 1995 Mar;20(3):685-90. doi: 10.1093/clinids/20.3.685.</t>
  </si>
  <si>
    <t>10.1093/clinids/20.3.685</t>
  </si>
  <si>
    <t>Dangers of growth hormone therapy in critically ill patients</t>
  </si>
  <si>
    <t>Ruokonen E, Takala J.</t>
  </si>
  <si>
    <t>Ann Med. 2000 Jul;32(5):317-22. doi: 10.3109/07853890008995933.</t>
  </si>
  <si>
    <t>10.3109/07853890008995933</t>
  </si>
  <si>
    <t>The virology of demyelinating diseases</t>
  </si>
  <si>
    <t>Johnson RT.</t>
  </si>
  <si>
    <t>Ann Neurol. 1994;36 Suppl(Suppl ):S54-60. doi: 10.1002/ana.410360715.</t>
  </si>
  <si>
    <t>Ann Neurol</t>
  </si>
  <si>
    <t>10.1002/ana.410360715</t>
  </si>
  <si>
    <t>The cytokine network in the critically ill</t>
  </si>
  <si>
    <t>Bellomo R.</t>
  </si>
  <si>
    <t>Anaesth Intensive Care. 1992 Aug;20(3):288-302. doi: 10.1177/0310057X9202000303.</t>
  </si>
  <si>
    <t>Anaesth Intensive Care</t>
  </si>
  <si>
    <t>10.1177/0310057X9202000303</t>
  </si>
  <si>
    <t>Natural history of hepatitis C</t>
  </si>
  <si>
    <t>Alberti A, Chemello L, Benvegnù L.</t>
  </si>
  <si>
    <t>J Hepatol. 1999;31 Suppl 1:17-24. doi: 10.1016/s0168-8278(99)80369-9.</t>
  </si>
  <si>
    <t>10.1016/s0168-8278(99)80369-9</t>
  </si>
  <si>
    <t>Evaluation of bovine, cold-adapted human, and wild-type human parainfluenza type 3 viruses in adult volunteers and in chimpanzees</t>
  </si>
  <si>
    <t>Clements ML, Belshe RB, King J, Newman F, Westblom TU, Tierney EL, London WT, Murphy BR.</t>
  </si>
  <si>
    <t>J Clin Microbiol. 1991 Jun;29(6):1175-82. doi: 10.1128/jcm.29.6.1175-1182.1991.</t>
  </si>
  <si>
    <t>10.1128/jcm.29.6.1175-1182.1991</t>
  </si>
  <si>
    <t>Preventing pancreatic infection in acute pancreatitis</t>
  </si>
  <si>
    <t>Qamruddin AO, Chadwick PR.</t>
  </si>
  <si>
    <t>J Hosp Infect. 2000 Apr;44(4):245-53. doi: 10.1053/jhin.1999.0723.</t>
  </si>
  <si>
    <t>J Hosp Infect</t>
  </si>
  <si>
    <t>10.1053/jhin.1999.0723</t>
  </si>
  <si>
    <t>SIV infection of macaques as a model for AIDS pathogenesis</t>
  </si>
  <si>
    <t>Johnson PR, Hirsch VM.</t>
  </si>
  <si>
    <t>Int Rev Immunol. 1992;8(1):55-63. doi: 10.3109/08830189209056641.</t>
  </si>
  <si>
    <t>Int Rev Immunol</t>
  </si>
  <si>
    <t>10.3109/08830189209056641</t>
  </si>
  <si>
    <t>Streptococcus pneumoniae: virulence factors, pathogenesis, and vaccines</t>
  </si>
  <si>
    <t>AlonsoDeVelasco E, Verheul AF, Verhoef J, Snippe H.</t>
  </si>
  <si>
    <t>Microbiol Rev. 1995 Dec;59(4):591-603. doi: 10.1128/mr.59.4.591-603.1995.</t>
  </si>
  <si>
    <t>Microbiol Rev</t>
  </si>
  <si>
    <t>10.1128/mr.59.4.591-603.1995</t>
  </si>
  <si>
    <t>Glutamine supplementation in catabolic patients</t>
  </si>
  <si>
    <t>Sacks GS.</t>
  </si>
  <si>
    <t>Ann Pharmacother. 1999 Mar;33(3):348-54. doi: 10.1345/aph.18200.</t>
  </si>
  <si>
    <t>10.1345/aph.18200</t>
  </si>
  <si>
    <t>Viremia and virus shedding in elk infected with type 1 and virulent type 2 bovine viral diarrhea virus</t>
  </si>
  <si>
    <t>Tessaro SV, Carman PS, Deregt D.</t>
  </si>
  <si>
    <t>J Wildl Dis. 1999 Oct;35(4):671-7. doi: 10.7589/0090-3558-35.4.671.</t>
  </si>
  <si>
    <t>J Wildl Dis</t>
  </si>
  <si>
    <t>10.7589/0090-3558-35.4.671</t>
  </si>
  <si>
    <t>The role of viral infections in the natural history of asthma</t>
  </si>
  <si>
    <t>Gern JE, Busse WW.</t>
  </si>
  <si>
    <t>J Allergy Clin Immunol. 2000 Aug;106(2):201-12. doi: 10.1067/mai.2000.108604.</t>
  </si>
  <si>
    <t>10.1067/mai.2000.108604</t>
  </si>
  <si>
    <t>Lyme disease</t>
  </si>
  <si>
    <t>Duffy J.</t>
  </si>
  <si>
    <t>Ann Allergy. 1990 Jul;65(1):1-13.</t>
  </si>
  <si>
    <t>Ann Allergy</t>
  </si>
  <si>
    <t>Progress in determining the causes and treatment of multiple sclerosis</t>
  </si>
  <si>
    <t>Noseworthy JH.</t>
  </si>
  <si>
    <t>Nature. 1999 Jun 24;399(6738 Suppl):A40-7. doi: 10.1038/399a040.</t>
  </si>
  <si>
    <t>10.1038/399a040</t>
  </si>
  <si>
    <t>Interactions between wild-type and mutant prion proteins modulate neurodegeneration in transgenic mice</t>
  </si>
  <si>
    <t>Telling GC, Haga T, Torchia M, Tremblay P, DeArmond SJ, Prusiner SB.</t>
  </si>
  <si>
    <t>Genes Dev. 1996 Jul 15;10(14):1736-50. doi: 10.1101/gad.10.14.1736.</t>
  </si>
  <si>
    <t>Genes Dev</t>
  </si>
  <si>
    <t>10.1101/gad.10.14.1736</t>
  </si>
  <si>
    <t>A risk-benefit evaluation of aciclovir for the treatment and prophylaxis of herpes simplex virus infections</t>
  </si>
  <si>
    <t>Leflore S, Anderson PL, Fletcher CV.</t>
  </si>
  <si>
    <t>Drug Saf. 2000 Aug;23(2):131-42. doi: 10.2165/00002018-200023020-00004.</t>
  </si>
  <si>
    <t>10.2165/00002018-200023020-00004</t>
  </si>
  <si>
    <t>Hepatitis E: an overview and recent advances in clinical and laboratory research</t>
  </si>
  <si>
    <t>Aggarwal R, Krawczynski K.</t>
  </si>
  <si>
    <t>J Gastroenterol Hepatol. 2000 Jan;15(1):9-20. doi: 10.1046/j.1440-1746.2000.02006.x.</t>
  </si>
  <si>
    <t>J Gastroenterol Hepatol</t>
  </si>
  <si>
    <t>10.1046/j.1440-1746.2000.02006.x</t>
  </si>
  <si>
    <t>Natural history of acute pancreatitis and the role of infection</t>
  </si>
  <si>
    <t>Isenmann R, Beger HG.</t>
  </si>
  <si>
    <t>Baillieres Best Pract Res Clin Gastroenterol. 1999 Jul;13(2):291-301. doi: 10.1053/bega.1999.0025.</t>
  </si>
  <si>
    <t>Baillieres Best Pract Res Clin Gastroenterol</t>
  </si>
  <si>
    <t>10.1053/bega.1999.0025</t>
  </si>
  <si>
    <t>New approaches to influenza chemotherapy. Neuraminidase inhibitors</t>
  </si>
  <si>
    <t>Calfee DP, Hayden FG.</t>
  </si>
  <si>
    <t>Drugs. 1998 Oct;56(4):537-53. doi: 10.2165/00003495-199856040-00003.</t>
  </si>
  <si>
    <t>10.2165/00003495-199856040-00003</t>
  </si>
  <si>
    <t>Prospects for preventing cryptococcosis in persons infected with human immunodeficiency virus</t>
  </si>
  <si>
    <t>Pinner RW, Hajjeh RA, Powderly WG.</t>
  </si>
  <si>
    <t>Clin Infect Dis. 1995 Aug;21 Suppl 1:S103-7. doi: 10.1093/clinids/21.supplement_1.s103.</t>
  </si>
  <si>
    <t>10.1093/clinids/21.supplement_1.s103</t>
  </si>
  <si>
    <t>Enteral nutrition in the critically ill patient: a critical review of the evidence</t>
  </si>
  <si>
    <t>Heyland DK, Cook DJ, Guyatt GH.</t>
  </si>
  <si>
    <t>Intensive Care Med. 1993;19(8):435-42. doi: 10.1007/BF01711083.</t>
  </si>
  <si>
    <t>10.1007/BF01711083</t>
  </si>
  <si>
    <t>Active and passive immunisation against respiratory syncytial virus</t>
  </si>
  <si>
    <t>Zambon M.</t>
  </si>
  <si>
    <t>Rev Med Virol. 1999 Oct-Dec;9(4):227-36. doi: 10.1002/(sici)1099-1654(199910/12)9:4&lt;227::aid-rmv251&gt;3.0.co;2-k.</t>
  </si>
  <si>
    <t>Rev Med Virol</t>
  </si>
  <si>
    <t>10.1002/(sici)1099-1654(199910/12)9:4&lt;227::aid-rmv251&gt;3.0.co;2-k</t>
  </si>
  <si>
    <t>Detrimental effect of bovine leukemia virus (BLV) on the immunological state of cattle</t>
  </si>
  <si>
    <t>Trainin Z, Brenner J, Meirom R, Ungar-Waron H.</t>
  </si>
  <si>
    <t>Vet Immunol Immunopathol. 1996 Nov;54(1-4):293-302. doi: 10.1016/s0165-2427(96)05706-6.</t>
  </si>
  <si>
    <t>Vet Immunol Immunopathol</t>
  </si>
  <si>
    <t>10.1016/s0165-2427(96)05706-6</t>
  </si>
  <si>
    <t>Dermatoepidemiology. III. ABC principles for a critical review of the literature</t>
  </si>
  <si>
    <t>Chuang TY, Mirowski GW, Reizner GT.</t>
  </si>
  <si>
    <t>Int J Dermatol. 1998 Jan;37(1):1-6. doi: 10.1046/j.1365-4362.1998.00395.x.</t>
  </si>
  <si>
    <t>Int J Dermatol</t>
  </si>
  <si>
    <t>10.1046/j.1365-4362.1998.00395.x</t>
  </si>
  <si>
    <t>Gastrointestinal flora and its alterations in critical illness</t>
  </si>
  <si>
    <t>Marshall JC.</t>
  </si>
  <si>
    <t>Curr Opin Clin Nutr Metab Care. 1999 Sep;2(5):405-11. doi: 10.1097/00075197-199909000-00009.</t>
  </si>
  <si>
    <t>Curr Opin Clin Nutr Metab Care</t>
  </si>
  <si>
    <t>10.1097/00075197-199909000-00009</t>
  </si>
  <si>
    <t>Does the formulation of enteral feeding products influence infectious morbidity and mortality rates in the critically ill patients? A critical review of the evidence</t>
  </si>
  <si>
    <t>Crit Care Med. 1994 Jul;22(7):1192-202. doi: 10.1097/00003246-199407000-00024.</t>
  </si>
  <si>
    <t>10.1097/00003246-199407000-00024</t>
  </si>
  <si>
    <t>Wound healing associated with severe surgical illness</t>
  </si>
  <si>
    <t>Clark MA, Plank LD, Hill GL.</t>
  </si>
  <si>
    <t>World J Surg. 2000 Jun;24(6):648-54. doi: 10.1007/s002689910106.</t>
  </si>
  <si>
    <t>10.1007/s002689910106</t>
  </si>
  <si>
    <t>Safety and efficacy of the neuraminidase inhibitor GG167 in experimental human influenza</t>
  </si>
  <si>
    <t>Hayden FG, Treanor JJ, Betts RF, Lobo M, Esinhart JD, Hussey EK.</t>
  </si>
  <si>
    <t>JAMA. 1996 Jan 24-31;275(4):295-9.</t>
  </si>
  <si>
    <t>Treatment of Legionnaires' disease. Current recommendations</t>
  </si>
  <si>
    <t>Roig J, Carreres A, Domingo C.</t>
  </si>
  <si>
    <t>Drugs. 1993 Jul;46(1):63-79. doi: 10.2165/00003495-199346010-00005.</t>
  </si>
  <si>
    <t>10.2165/00003495-199346010-00005</t>
  </si>
  <si>
    <t>Nasal and otologic effects of experimental influenza A virus infection</t>
  </si>
  <si>
    <t>Doyle WJ, Skoner DP, Hayden F, Buchman CA, Seroky JT, Fireman P.</t>
  </si>
  <si>
    <t>Ann Otol Rhinol Laryngol. 1994 Jan;103(1):59-69. doi: 10.1177/000348949410300111.</t>
  </si>
  <si>
    <t>Ann Otol Rhinol Laryngol</t>
  </si>
  <si>
    <t>10.1177/000348949410300111</t>
  </si>
  <si>
    <t>Incubation periods of experimental rhinovirus infection and illness</t>
  </si>
  <si>
    <t>Harris JM 2nd, Gwaltney JM Jr.</t>
  </si>
  <si>
    <t>Clin Infect Dis. 1996 Dec;23(6):1287-90. doi: 10.1093/clinids/23.6.1287.</t>
  </si>
  <si>
    <t>10.1093/clinids/23.6.1287</t>
  </si>
  <si>
    <t>Illness and otological changes during upper respiratory virus infection</t>
  </si>
  <si>
    <t>Doyle WJ, Alper CM, Buchman CA, Moody SA, Skoner DP, Cohen S.</t>
  </si>
  <si>
    <t>Laryngoscope. 1999 Feb;109(2 Pt 1):324-8. doi: 10.1097/00005537-199902000-00027.</t>
  </si>
  <si>
    <t>10.1097/00005537-199902000-00027</t>
  </si>
  <si>
    <t>[Prenatal diagnosis and treatment of adrenogenital syndrome. Prevent virilization of female fetuses]</t>
  </si>
  <si>
    <t>Lajic S, Bui TH, Holst M, Ritzén M, Wedell A.</t>
  </si>
  <si>
    <t>Lakartidningen. 1997 Dec 10;94(50):4781-6.</t>
  </si>
  <si>
    <t>Lakartidningen</t>
  </si>
  <si>
    <t>Recombinant, chimaeric live, attenuated vaccine (ChimeriVax) incorporating the envelope genes of Japanese encephalitis (SA14-14-2) virus and the capsid and nonstructural genes of yellow fever (17D) virus is safe, immunogenic and protective in non-human primates</t>
  </si>
  <si>
    <t>Monath TP, Soike K, Levenbook I, Zhang ZX, Arroyo J, Delagrave S, Myers G, Barrett AD, Shope RE, Ratterree M, Chambers TJ, Guirakhoo F.</t>
  </si>
  <si>
    <t>Vaccine. 1999 Apr 9;17(15-16):1869-82. doi: 10.1016/s0264-410x(98)00487-3.</t>
  </si>
  <si>
    <t>10.1016/s0264-410x(98)00487-3</t>
  </si>
  <si>
    <t>Experimental toxoplasmosis and vaccine tests in Aotus monkeys</t>
  </si>
  <si>
    <t>Escajadillo A, Frenkel JK.</t>
  </si>
  <si>
    <t>Am J Trop Med Hyg. 1991 Apr;44(4):382-9. doi: 10.4269/ajtmh.1991.44.382.</t>
  </si>
  <si>
    <t>10.4269/ajtmh.1991.44.382</t>
  </si>
  <si>
    <t>T- and B-cell function and their roles in resistance to infection</t>
  </si>
  <si>
    <t>Abraham E.</t>
  </si>
  <si>
    <t>New Horiz. 1993 Feb;1(1):28-36.</t>
  </si>
  <si>
    <t>New Horiz</t>
  </si>
  <si>
    <t>Experimental neosporosis in pregnant ewes and their offspring</t>
  </si>
  <si>
    <t>McAllister MM, McGuire AM, Jolley WR, Lindsay DS, Trees AJ, Stobart RH.</t>
  </si>
  <si>
    <t>Vet Pathol. 1996 Nov;33(6):647-55. doi: 10.1177/030098589603300603.</t>
  </si>
  <si>
    <t>Vet Pathol</t>
  </si>
  <si>
    <t>10.1177/030098589603300603</t>
  </si>
  <si>
    <t>A modified Shigella volunteer challenge model in which the inoculum is administered with bicarbonate buffer: clinical experience and implications for Shigella infectivity</t>
  </si>
  <si>
    <t>Kotloff KL, Nataro JP, Losonsky GA, Wasserman SS, Hale TL, Taylor DN, Sadoff JC, Levine MM.</t>
  </si>
  <si>
    <t>Vaccine. 1995 Nov;13(16):1488-94. doi: 10.1016/0264-410x(95)00102-7.</t>
  </si>
  <si>
    <t>10.1016/0264-410x(95)00102-7</t>
  </si>
  <si>
    <t>Safety, immunogenicity, and efficacy in monkeys and humans of invasive Escherichia coli K-12 hybrid vaccine candidates expressing Shigella flexneri 2a somatic antigen</t>
  </si>
  <si>
    <t>Kotloff KL, Herrington DA, Hale TL, Newland JW, Van De Verg L, Cogan JP, Snoy PJ, Sadoff JC, Formal SB, Levine MM.</t>
  </si>
  <si>
    <t>Infect Immun. 1992 Jun;60(6):2218-24. doi: 10.1128/iai.60.6.2218-2224.1992.</t>
  </si>
  <si>
    <t>10.1128/iai.60.6.2218-2224.1992</t>
  </si>
  <si>
    <t>Efficacy of brompheniramine maleate for the treatment of rhinovirus colds</t>
  </si>
  <si>
    <t>Gwaltney JM Jr, Druce HM.</t>
  </si>
  <si>
    <t>Clin Infect Dis. 1997 Nov;25(5):1188-94. doi: 10.1086/516105.</t>
  </si>
  <si>
    <t>10.1086/516105</t>
  </si>
  <si>
    <t>Safety and efficacy of lomefloxacin and cefaclor in the treatment of skin and skin structure infections</t>
  </si>
  <si>
    <t>Amaya-Tapia G, Andrade-Villanueva J, Flores-Gaxiola A, Aguirre-Avalos G, Morfin-Otero R, Esparza-Ahumada S, Rodriguez-Noriega E.</t>
  </si>
  <si>
    <t>Int J Antimicrob Agents. 1992 Dec;2(1):55-60. doi: 10.1016/0924-8579(92)90028-p.</t>
  </si>
  <si>
    <t>10.1016/0924-8579(92)90028-p</t>
  </si>
  <si>
    <t>Rice-based oral rehydration solution for treating diarrhoea</t>
  </si>
  <si>
    <t>Fontaine O, Gore SM, Pierce NF.</t>
  </si>
  <si>
    <t>Cochrane Database Syst Rev. 2000;(2):CD001264. doi: 10.1002/14651858.CD001264.</t>
  </si>
  <si>
    <t>10.1002/14651858.CD001264</t>
  </si>
  <si>
    <t>Effect of multiple-dose gatifloxacin or ciprofloxacin on glucose homeostasis and insulin production in patients with noninsulin-dependent diabetes mellitus maintained with diet and exercise</t>
  </si>
  <si>
    <t>Gajjar DA, LaCreta FP, Kollia GD, Stolz RR, Berger S, Smith WB, Swingle M, Grasela DM.</t>
  </si>
  <si>
    <t>Pharmacotherapy. 2000 Jun;20(6 Pt 2):76S-86S. doi: 10.1592/phco.20.8.76s.35182.</t>
  </si>
  <si>
    <t>10.1592/phco.20.8.76s.35182</t>
  </si>
  <si>
    <t>Colitis and colonic mucosal barrier dysfunction</t>
  </si>
  <si>
    <t>Gardiner KR, Anderson NH, Rowlands BJ, Barbul A.</t>
  </si>
  <si>
    <t>Gut. 1995 Oct;37(4):530-5. doi: 10.1136/gut.37.4.530.</t>
  </si>
  <si>
    <t>10.1136/gut.37.4.530</t>
  </si>
  <si>
    <t>Signs and symptoms in common colds</t>
  </si>
  <si>
    <t>Tyrrell DA, Cohen S, Schlarb JE.</t>
  </si>
  <si>
    <t>Epidemiol Infect. 1993 Aug;111(1):143-56. doi: 10.1017/s0950268800056764.</t>
  </si>
  <si>
    <t>10.1017/s0950268800056764</t>
  </si>
  <si>
    <t>Safety, immunogenicity, and efficacy against cholera challenge in humans of a typhoid-cholera hybrid vaccine derived from Salmonella typhi Ty21a</t>
  </si>
  <si>
    <t>Tacket CO, Forrest B, Morona R, Attridge SR, LaBrooy J, Tall BD, Reymann M, Rowley D, Levine MM.</t>
  </si>
  <si>
    <t>Infect Immun. 1990 Jun;58(6):1620-7. doi: 10.1128/iai.58.6.1620-1627.1990.</t>
  </si>
  <si>
    <t>10.1128/iai.58.6.1620-1627.1990</t>
  </si>
  <si>
    <t>Acute Streptococcus pneumoniae meningogenic labyrinthitis. An experimental guinea pig model and literature review</t>
  </si>
  <si>
    <t>Blank AL, Davis GL, VanDeWater TR, Ruben RJ.</t>
  </si>
  <si>
    <t>Arch Otolaryngol Head Neck Surg. 1994 Dec;120(12):1342-6. doi: 10.1001/archotol.1994.01880360040008.</t>
  </si>
  <si>
    <t>Arch Otolaryngol Head Neck Surg</t>
  </si>
  <si>
    <t>10.1001/archotol.1994.01880360040008</t>
  </si>
  <si>
    <t>Pilot randomized trial of education to improve self-management skills of men with symptomatic HIV/AIDS</t>
  </si>
  <si>
    <t>Gifford AL, Laurent DD, Gonzales VM, Chesney MA, Lorig KR.</t>
  </si>
  <si>
    <t>J Acquir Immune Defic Syndr Hum Retrovirol. 1998 Jun 1;18(2):136-44. doi: 10.1097/00042560-199806010-00005.</t>
  </si>
  <si>
    <t>J Acquir Immune Defic Syndr Hum Retrovirol</t>
  </si>
  <si>
    <t>10.1097/00042560-199806010-00005</t>
  </si>
  <si>
    <t>Effect of treatment with zinc gluconate or zinc acetate on experimental and natural colds</t>
  </si>
  <si>
    <t>Turner RB, Cetnarowski WE.</t>
  </si>
  <si>
    <t>Clin Infect Dis. 2000 Nov;31(5):1202-8. doi: 10.1086/317437. Epub 2000 Nov 6.</t>
  </si>
  <si>
    <t>10.1086/317437</t>
  </si>
  <si>
    <t>Effects of naproxen on experimental rhinovirus colds. A randomized, double-blind, controlled trial</t>
  </si>
  <si>
    <t>Sperber SJ, Hendley JO, Hayden FG, Riker DK, Sorrentino JV, Gwaltney JM Jr.</t>
  </si>
  <si>
    <t>Ann Intern Med. 1992 Jul 1;117(1):37-41. doi: 10.7326/0003-4819-117-1-37.</t>
  </si>
  <si>
    <t>10.7326/0003-4819-117-1-37</t>
  </si>
  <si>
    <t>Occult persistence and lymphotropism of hepadnaviral infection: insights from the woodchuck viral hepatitis model</t>
  </si>
  <si>
    <t>Michalak TI.</t>
  </si>
  <si>
    <t>Immunol Rev. 2000 Apr;174:98-111. doi: 10.1034/j.1600-0528.2002.017406.x.</t>
  </si>
  <si>
    <t>Immunol Rev</t>
  </si>
  <si>
    <t>10.1034/j.1600-0528.2002.017406.x</t>
  </si>
  <si>
    <t>A review on recent development of common cold therapeutic agents</t>
  </si>
  <si>
    <t>Mediratta PK, Sharma KK, Verma V.</t>
  </si>
  <si>
    <t>Indian J Med Sci. 2000 Nov;54(11):485-90.</t>
  </si>
  <si>
    <t>Indian J Med Sci</t>
  </si>
  <si>
    <t>A short history of the use of animals in vaccine development and quality control</t>
  </si>
  <si>
    <t>Hendriksen CF.</t>
  </si>
  <si>
    <t>Dev Biol Stand. 1996;86:3-10.</t>
  </si>
  <si>
    <t>Bayesian sequential monitoring designs for single-arm clinical trials with multiple outcomes</t>
  </si>
  <si>
    <t>Thall PF, Simon RM, Estey EH.</t>
  </si>
  <si>
    <t>Stat Med. 1995 Feb 28;14(4):357-79. doi: 10.1002/sim.4780140404.</t>
  </si>
  <si>
    <t>10.1002/sim.4780140404</t>
  </si>
  <si>
    <t>Clinical experience with atovaquone on a treatment investigational new drug protocol for Pneumocystis carinii pneumonia</t>
  </si>
  <si>
    <t>White A, LaFon S, Rogers M, Andrews E, Brown N.</t>
  </si>
  <si>
    <t>J Acquir Immune Defic Syndr Hum Retrovirol. 1995 Jul 1;9(3):280-5.</t>
  </si>
  <si>
    <t>Practical nutritional management in the trauma intensive care unit</t>
  </si>
  <si>
    <t>Dabrowski GP, Rombeau JL.</t>
  </si>
  <si>
    <t>Surg Clin North Am. 2000 Jun;80(3):921-32, x. doi: 10.1016/s0039-6109(05)70105-5.</t>
  </si>
  <si>
    <t>Surg Clin North Am</t>
  </si>
  <si>
    <t>10.1016/s0039-6109(05)70105-5</t>
  </si>
  <si>
    <t>Randomized controlled trial of clemastine fumarate for treatment of experimental rhinovirus colds</t>
  </si>
  <si>
    <t>Gwaltney JM Jr, Park J, Paul RA, Edelman DA, O'Connor RR, Turner RB.</t>
  </si>
  <si>
    <t>Clin Infect Dis. 1996 Apr;22(4):656-62. doi: 10.1093/clinids/22.4.656.</t>
  </si>
  <si>
    <t>10.1093/clinids/22.4.656</t>
  </si>
  <si>
    <t>Experimental infection of pig-tailed macaques (Macaca nemestrina) with Campylobacter cinaedi and Campylobacter fennelliae</t>
  </si>
  <si>
    <t>Flores BM, Fennell CL, Kuller L, Bronsdon MA, Morton WR, Stamm WE.</t>
  </si>
  <si>
    <t>Infect Immun. 1990 Dec;58(12):3947-53. doi: 10.1128/iai.58.12.3947-3953.1990.</t>
  </si>
  <si>
    <t>10.1128/iai.58.12.3947-3953.1990</t>
  </si>
  <si>
    <t>Complement is activated in the upper respiratory tract during influenza virus infection</t>
  </si>
  <si>
    <t>Bjornson AB, Mellencamp MA, Schiff GM.</t>
  </si>
  <si>
    <t>Am Rev Respir Dis. 1991 May;143(5 Pt 1):1062-6. doi: 10.1164/ajrccm/143.5_Pt_1.1062.</t>
  </si>
  <si>
    <t>10.1164/ajrccm/143.5_Pt_1.1062</t>
  </si>
  <si>
    <t>Antigenic and plaque variations of serotype II feline infectious peritonitis coronaviruses</t>
  </si>
  <si>
    <t>Mochizuki M, Mitsutake Y, Miyanohara Y, Higashihara T, Shimizu T, Hohdatsu T.</t>
  </si>
  <si>
    <t>J Vet Med Sci. 1997 Apr;59(4):253-8. doi: 10.1292/jvms.59.253.</t>
  </si>
  <si>
    <t>J Vet Med Sci</t>
  </si>
  <si>
    <t>10.1292/jvms.59.253</t>
  </si>
  <si>
    <t>Lethal experimental infections of rhesus monkeys by aerosolized Ebola virus</t>
  </si>
  <si>
    <t>Johnson E, Jaax N, White J, Jahrling P.</t>
  </si>
  <si>
    <t>Int J Exp Pathol. 1995 Aug;76(4):227-36.</t>
  </si>
  <si>
    <t>Int J Exp Pathol</t>
  </si>
  <si>
    <t>Safety and effectiveness of long-term interferon gamma therapy in patients with chronic granulomatous disease</t>
  </si>
  <si>
    <t>Bemiller LS, Roberts DH, Starko KM, Curnutte JT.</t>
  </si>
  <si>
    <t>Blood Cells Mol Dis. 1995;21(3):239-47. doi: 10.1006/bcmd.1995.0028.</t>
  </si>
  <si>
    <t>Blood Cells Mol Dis</t>
  </si>
  <si>
    <t>10.1006/bcmd.1995.0028</t>
  </si>
  <si>
    <t>Effect of adenovirus type 1 and influenza A virus on Streptococcus pneumoniae nasopharyngeal colonization and otitis media in the chinchilla</t>
  </si>
  <si>
    <t>Tong HH, Fisher LM, Kosunick GM, DeMaria TF.</t>
  </si>
  <si>
    <t>Ann Otol Rhinol Laryngol. 2000 Nov;109(11):1021-7. doi: 10.1177/000348940010901106.</t>
  </si>
  <si>
    <t>10.1177/000348940010901106</t>
  </si>
  <si>
    <t>Infecting dose and severity of malaria: a literature review of induced malaria</t>
  </si>
  <si>
    <t>Glynn JR.</t>
  </si>
  <si>
    <t>J Trop Med Hyg. 1994 Oct;97(5):300-16.</t>
  </si>
  <si>
    <t>J Trop Med Hyg</t>
  </si>
  <si>
    <t>Respiratory virus infections and performance</t>
  </si>
  <si>
    <t>Smith AP.</t>
  </si>
  <si>
    <t>Philos Trans R Soc Lond B Biol Sci. 1990 Apr 12;327(1241):519-28. doi: 10.1098/rstb.1990.0095.</t>
  </si>
  <si>
    <t>10.1098/rstb.1990.0095</t>
  </si>
  <si>
    <t>Therapeutic effects of an anticholinergic-sympathomimetic combination in induced rhinovirus colds</t>
  </si>
  <si>
    <t>Doyle WJ, Riker DK, McBride TP, Hayden FG, Hendley JO, Swarts JD, Gwaltney JM.</t>
  </si>
  <si>
    <t>Ann Otol Rhinol Laryngol. 1993 Jul;102(7):521-7. doi: 10.1177/000348949310200706.</t>
  </si>
  <si>
    <t>10.1177/000348949310200706</t>
  </si>
  <si>
    <t>[Meropenem (Merrem) vs imipenem/cilastatin in hospital treatment of intra-abdominal infections. A multicenter study]</t>
  </si>
  <si>
    <t>Tonelli F.</t>
  </si>
  <si>
    <t>Minerva Chir. 1997 Mar;52(3):317-26.</t>
  </si>
  <si>
    <t>Minerva Chir</t>
  </si>
  <si>
    <t>Brain injury in experimental neonatal meningitis due to group B streptococci</t>
  </si>
  <si>
    <t>Kim YS, Sheldon RA, Elliott BR, Liu Q, Ferriero DM, Täuber MG.</t>
  </si>
  <si>
    <t>J Neuropathol Exp Neurol. 1995 Jul;54(4):531-9. doi: 10.1097/00005072-199507000-00007.</t>
  </si>
  <si>
    <t>J Neuropathol Exp Neurol</t>
  </si>
  <si>
    <t>10.1097/00005072-199507000-00007</t>
  </si>
  <si>
    <t>Chimeric yellow fever virus 17D-Japanese encephalitis virus vaccine: dose-response effectiveness and extended safety testing in rhesus monkeys</t>
  </si>
  <si>
    <t>Monath TP, Levenbook I, Soike K, Zhang ZX, Ratterree M, Draper K, Barrett AD, Nichols R, Weltzin R, Arroyo J, Guirakhoo F.</t>
  </si>
  <si>
    <t>J Virol. 2000 Feb;74(4):1742-51. doi: 10.1128/jvi.74.4.1742-1751.2000.</t>
  </si>
  <si>
    <t>10.1128/jvi.74.4.1742-1751.2000</t>
  </si>
  <si>
    <t>Advances in understanding pulmonary host defense mechanisms: dendritic cell function and immunomodulation</t>
  </si>
  <si>
    <t>Reynolds HY.</t>
  </si>
  <si>
    <t>Curr Opin Pulm Med. 2000 May;6(3):209-16. doi: 10.1097/00063198-200005000-00008.</t>
  </si>
  <si>
    <t>Curr Opin Pulm Med</t>
  </si>
  <si>
    <t>10.1097/00063198-200005000-00008</t>
  </si>
  <si>
    <t>Uptake of apoptotic cells drives the growth of a pathogenic trypanosome in macrophages</t>
  </si>
  <si>
    <t>Freire-de-Lima CG, Nascimento DO, Soares MB, Bozza PT, Castro-Faria-Neto HC, de Mello FG, DosReis GA, Lopes MF.</t>
  </si>
  <si>
    <t>Nature. 2000 Jan 13;403(6766):199-203. doi: 10.1038/35003208.</t>
  </si>
  <si>
    <t>10.1038/35003208</t>
  </si>
  <si>
    <t>Experimental rhinovirus 16 infection potentiates histamine release after antigen bronchoprovocation in allergic subjects</t>
  </si>
  <si>
    <t>Calhoun WJ, Swenson CA, Dick EC, Schwartz LB, Lemanske RF Jr, Busse WW.</t>
  </si>
  <si>
    <t>Am Rev Respir Dis. 1991 Dec;144(6):1267-73. doi: 10.1164/ajrccm/144.6.1267.</t>
  </si>
  <si>
    <t>10.1164/ajrccm/144.6.1267</t>
  </si>
  <si>
    <t>Efficacy of live attenuated and inactivated influenza vaccines in schoolchildren and their unvaccinated contacts in Novgorod, Russia</t>
  </si>
  <si>
    <t>Rudenko LG, Slepushkin AN, Monto AS, Kendal AP, Grigorieva EP, Burtseva EP, Rekstin AR, Beljaev AL, Bragina VE, Cox N, et al.</t>
  </si>
  <si>
    <t>J Infect Dis. 1993 Oct;168(4):881-7. doi: 10.1093/infdis/168.4.881.</t>
  </si>
  <si>
    <t>10.1093/infdis/168.4.881</t>
  </si>
  <si>
    <t>Vaccination against and immune response to viral haemorrhagic disease of rabbits: a review of research in the People's Republic of China</t>
  </si>
  <si>
    <t>Huang HB.</t>
  </si>
  <si>
    <t>Rev Sci Tech. 1991 Jun;10(2):481-98.</t>
  </si>
  <si>
    <t>Rev Sci Tech</t>
  </si>
  <si>
    <t>Breastfeeding education and infant health in the rural Philippines</t>
  </si>
  <si>
    <t>Nakao RM, Kennedy KI, Savina G.</t>
  </si>
  <si>
    <t>Ecol Food Nutr. 1992;27:115-26. doi: 10.1080/03670244.1992.9991233.</t>
  </si>
  <si>
    <t>Ecol Food Nutr</t>
  </si>
  <si>
    <t>10.1080/03670244.1992.9991233</t>
  </si>
  <si>
    <t>Rickettsia conorii infection of C3H/HeN mice. A model of endothelial-target rickettsiosis</t>
  </si>
  <si>
    <t>Walker DH, Popov VL, Wen J, Feng HM.</t>
  </si>
  <si>
    <t>Lab Invest. 1994 Mar;70(3):358-68.</t>
  </si>
  <si>
    <t>Lab Invest</t>
  </si>
  <si>
    <t>Ineffectiveness of echinacea for prevention of experimental rhinovirus colds</t>
  </si>
  <si>
    <t>Turner RB, Riker DK, Gangemi JD.</t>
  </si>
  <si>
    <t>Antimicrob Agents Chemother. 2000 Jun;44(6):1708-9. doi: 10.1128/AAC.44.6.1708-1709.2000.</t>
  </si>
  <si>
    <t>10.1128/AAC.44.6.1708-1709.2000</t>
  </si>
  <si>
    <t>Sleep during experimental trypanosomiasis in rabbits</t>
  </si>
  <si>
    <t>Toth LA, Tolley EA, Broady R, Blakely B, Krueger JM.</t>
  </si>
  <si>
    <t>Proc Soc Exp Biol Med. 1994 Feb;205(2):174-81. doi: 10.3181/00379727-205-43694.</t>
  </si>
  <si>
    <t>Proc Soc Exp Biol Med</t>
  </si>
  <si>
    <t>10.3181/00379727-205-43694</t>
  </si>
  <si>
    <t>The rationale for immunotherapy in HIV-1 infection</t>
  </si>
  <si>
    <t>Walker BD.</t>
  </si>
  <si>
    <t>J Acquir Immune Defic Syndr (1988). 1994;7 Suppl 1:S6-13.</t>
  </si>
  <si>
    <t>J Acquir Immune Defic Syndr (1988)</t>
  </si>
  <si>
    <t>Clinical manifestations of Plasmodium falciparum malaria experimentally induced by mosquito challenge</t>
  </si>
  <si>
    <t>Church LW, Le TP, Bryan JP, Gordon DM, Edelman R, Fries L, Davis JR, Herrington DA, Clyde DF, Shmuklarsky MJ, Schneider I, McGovern TW, Chulay JD, Ballou WR, Hoffman SL.</t>
  </si>
  <si>
    <t>J Infect Dis. 1997 Apr;175(4):915-20. doi: 10.1086/513990.</t>
  </si>
  <si>
    <t>10.1086/513990</t>
  </si>
  <si>
    <t>Experimental infection of deer with bovine viral diarrhea virus</t>
  </si>
  <si>
    <t>Van Campen H, Williams ES, Edwards J, Cook W, Stout G.</t>
  </si>
  <si>
    <t>J Wildl Dis. 1997 Jul;33(3):567-73. doi: 10.7589/0090-3558-33.3.567.</t>
  </si>
  <si>
    <t>10.7589/0090-3558-33.3.567</t>
  </si>
  <si>
    <t>Assessment of the dose-response relationship of Campylobacter jejuni</t>
  </si>
  <si>
    <t>Medema GJ, Teunis PF, Havelaar AH, Haas CN.</t>
  </si>
  <si>
    <t>Int J Food Microbiol. 1996 Jun;30(1-2):101-11. doi: 10.1016/0168-1605(96)00994-4.</t>
  </si>
  <si>
    <t>Int J Food Microbiol</t>
  </si>
  <si>
    <t>10.1016/0168-1605(96)00994-4</t>
  </si>
  <si>
    <t>Nutritional support of the gut: how and why</t>
  </si>
  <si>
    <t>Mainous MR, Block EF, Deitch EA.</t>
  </si>
  <si>
    <t>New Horiz. 1994 May;2(2):193-201.</t>
  </si>
  <si>
    <t>Fecal and oral shedding of Helicobacter pylori from healthy infected adults</t>
  </si>
  <si>
    <t>Parsonnet J, Shmuely H, Haggerty T.</t>
  </si>
  <si>
    <t>JAMA. 1999 Dec 15;282(23):2240-5. doi: 10.1001/jama.282.23.2240.</t>
  </si>
  <si>
    <t>10.1001/jama.282.23.2240</t>
  </si>
  <si>
    <t>Mapping and investigation of the role in pathogenesis of the major unique secreted 35-kDa protein of rabbitpox virus</t>
  </si>
  <si>
    <t>Martinez-Pomares L, Thompson JP, Moyer RW.</t>
  </si>
  <si>
    <t>Virology. 1995 Jan 10;206(1):591-600. doi: 10.1016/s0042-6822(95)80076-x.</t>
  </si>
  <si>
    <t>10.1016/s0042-6822(95)80076-x</t>
  </si>
  <si>
    <t>Effects of an immune-enhancing diet in critically injured patients</t>
  </si>
  <si>
    <t>Mendez C, Jurkovich GJ, Garcia I, Davis D, Parker A, Maier RV.</t>
  </si>
  <si>
    <t>J Trauma. 1997 May;42(5):933-40; discussion 940-1. doi: 10.1097/00005373-199705000-00026.</t>
  </si>
  <si>
    <t>J Trauma</t>
  </si>
  <si>
    <t>10.1097/00005373-199705000-00026</t>
  </si>
  <si>
    <t>Experimental mixed infection with Yersinia enterocolitica and Listeria monocytogenes in guinea pigs</t>
  </si>
  <si>
    <t>Najdenski H, Nikolova S, Wesselinova D, Kazatchca D, Vesselinova A.</t>
  </si>
  <si>
    <t>Zentralbl Veterinarmed B. 1998 Dec;45(10):611-20. doi: 10.1111/j.1439-0450.1998.tb00834.x.</t>
  </si>
  <si>
    <t>Zentralbl Veterinarmed B</t>
  </si>
  <si>
    <t>10.1111/j.1439-0450.1998.tb00834.x</t>
  </si>
  <si>
    <t>An analysis of the quantitative relationship between oral temperature and severity of illness in experimental shigellosis</t>
  </si>
  <si>
    <t>Mackowiak PA, Wasserman SS, Levine MM.</t>
  </si>
  <si>
    <t>J Infect Dis. 1992 Nov;166(5):1181-4. doi: 10.1093/infdis/166.5.1181.</t>
  </si>
  <si>
    <t>10.1093/infdis/166.5.1181</t>
  </si>
  <si>
    <t>Effects of the common cold on mood and performance</t>
  </si>
  <si>
    <t>Smith A, Thomas M, Kent J, Nicholson K.</t>
  </si>
  <si>
    <t>Psychoneuroendocrinology. 1998 Oct;23(7):733-9. doi: 10.1016/s0306-4530(98)00042-0.</t>
  </si>
  <si>
    <t>Psychoneuroendocrinology</t>
  </si>
  <si>
    <t>10.1016/s0306-4530(98)00042-0</t>
  </si>
  <si>
    <t>Expression, self-assembly, and antigenicity of the Norwalk virus capsid protein</t>
  </si>
  <si>
    <t>Jiang X, Wang M, Graham DY, Estes MK.</t>
  </si>
  <si>
    <t>J Virol. 1992 Nov;66(11):6527-32. doi: 10.1128/JVI.66.11.6527-6532.1992.</t>
  </si>
  <si>
    <t>10.1128/JVI.66.11.6527-6532.1992</t>
  </si>
  <si>
    <t>Recombinant chimeric yellow fever-dengue type 2 virus is immunogenic and protective in nonhuman primates</t>
  </si>
  <si>
    <t>Guirakhoo F, Weltzin R, Chambers TJ, Zhang ZX, Soike K, Ratterree M, Arroyo J, Georgakopoulos K, Catalan J, Monath TP.</t>
  </si>
  <si>
    <t>J Virol. 2000 Jun;74(12):5477-85. doi: 10.1128/jvi.74.12.5477-5485.2000.</t>
  </si>
  <si>
    <t>10.1128/jvi.74.12.5477-5485.2000</t>
  </si>
  <si>
    <t>Body temperature correlates with functional outcome and the lesion size of cerebral infarction</t>
  </si>
  <si>
    <t>Fukuda H, Kitani M, Takahashi K.</t>
  </si>
  <si>
    <t>Acta Neurol Scand. 1999 Dec;100(6):385-90. doi: 10.1111/j.1600-0404.1999.tb01057.x.</t>
  </si>
  <si>
    <t>Acta Neurol Scand</t>
  </si>
  <si>
    <t>10.1111/j.1600-0404.1999.tb01057.x</t>
  </si>
  <si>
    <t>Effect of Helicobacter pylori eradication on subsequent development of cancer after endoscopic resection of early gastric cancer in Japan</t>
  </si>
  <si>
    <t>Uemura N, Okamoto S.</t>
  </si>
  <si>
    <t>Gastroenterol Clin North Am. 2000 Dec;29(4):819-27. doi: 10.1016/s0889-8553(05)70149-7.</t>
  </si>
  <si>
    <t>Gastroenterol Clin North Am</t>
  </si>
  <si>
    <t>10.1016/s0889-8553(05)70149-7</t>
  </si>
  <si>
    <t>Effect of clarithromycin on experimental rhinovirus-16 colds: a randomized, double-blind, controlled trial</t>
  </si>
  <si>
    <t>Abisheganaden JA, Avila PC, Kishiyama JL, Liu J, Yagi S, Schnurr D, Boushey HA.</t>
  </si>
  <si>
    <t>Am J Med. 2000 Apr 15;108(6):453-9. doi: 10.1016/s0002-9343(00)00329-6.</t>
  </si>
  <si>
    <t>10.1016/s0002-9343(00)00329-6</t>
  </si>
  <si>
    <t>Induced illness in interleukin-6 (IL-6) knock-out mice: a causal role of IL-6 in the development of the low 3,5,3'-triiodothyronine syndrome</t>
  </si>
  <si>
    <t>Boelen A, Maas MA, Lowik CW, Platvoet MC, Wiersinga WM.</t>
  </si>
  <si>
    <t>Endocrinology. 1996 Dec;137(12):5250-4. doi: 10.1210/endo.137.12.8940342.</t>
  </si>
  <si>
    <t>10.1210/endo.137.12.8940342</t>
  </si>
  <si>
    <t>Effect of a rhinovirus-caused upper respiratory illness on pulmonary function test and exercise responses</t>
  </si>
  <si>
    <t>Weidner TG, Anderson BN, Kaminsky LA, Dick EC, Schurr T.</t>
  </si>
  <si>
    <t>Med Sci Sports Exerc. 1997 May;29(5):604-9. doi: 10.1097/00005768-199705000-00003.</t>
  </si>
  <si>
    <t>Med Sci Sports Exerc</t>
  </si>
  <si>
    <t>10.1097/00005768-199705000-00003</t>
  </si>
  <si>
    <t>Effect of antipyretic therapy on the duration of illness in experimental influenza A, Shigella sonnei, and Rickettsia rickettsii infections</t>
  </si>
  <si>
    <t>Plaisance KI, Kudaravalli S, Wasserman SS, Levine MM, Mackowiak PA.</t>
  </si>
  <si>
    <t>Pharmacotherapy. 2000 Dec;20(12):1417-22. doi: 10.1592/phco.20.19.1417.34865.</t>
  </si>
  <si>
    <t>10.1592/phco.20.19.1417.34865</t>
  </si>
  <si>
    <t>[Effectiveness and safety of mebendazole compared to nitazoxanide in the treatment of Giardia lamblia in children]</t>
  </si>
  <si>
    <t>Rodríguez-García R, Rodríguez-Guzmán LM, Cruz del Castillo AH.</t>
  </si>
  <si>
    <t>Rev Gastroenterol Mex. 1999 Jul-Sep;64(3):122-6.</t>
  </si>
  <si>
    <t>Rev Gastroenterol Mex</t>
  </si>
  <si>
    <t>Clinical activity of pleconaril in an experimentally induced coxsackievirus A21 respiratory infection</t>
  </si>
  <si>
    <t>Schiff GM, Sherwood JR.</t>
  </si>
  <si>
    <t>J Infect Dis. 2000 Jan;181(1):20-6. doi: 10.1086/315176.</t>
  </si>
  <si>
    <t>10.1086/315176</t>
  </si>
  <si>
    <t>[Significance of PRRS virus infections for respiratory tract infections in swine--a literature review]</t>
  </si>
  <si>
    <t>Grosse Beilage E.</t>
  </si>
  <si>
    <t>Dtsch Tierarztl Wochenschr. 1995 Dec;102(12):457-69.</t>
  </si>
  <si>
    <t>Dtsch Tierarztl Wochenschr</t>
  </si>
  <si>
    <t>Safety and efficacy of intravenous zanamivir in preventing experimental human influenza A virus infection</t>
  </si>
  <si>
    <t>Calfee DP, Peng AW, Cass LM, Lobo M, Hayden FG.</t>
  </si>
  <si>
    <t>Antimicrob Agents Chemother. 1999 Jul;43(7):1616-20. doi: 10.1128/AAC.43.7.1616.</t>
  </si>
  <si>
    <t>10.1128/AAC.43.7.1616</t>
  </si>
  <si>
    <t>Studies on oral transmission of Potomac horse fever</t>
  </si>
  <si>
    <t>Palmer JE, Benson CE.</t>
  </si>
  <si>
    <t>J Vet Intern Med. 1994 Mar-Apr;8(2):87-92. doi: 10.1111/j.1939-1676.1994.tb03203.x.</t>
  </si>
  <si>
    <t>J Vet Intern Med</t>
  </si>
  <si>
    <t>10.1111/j.1939-1676.1994.tb03203.x</t>
  </si>
  <si>
    <t>Experimental influenza causes a non-permissive viral infection of brain, liver and muscle</t>
  </si>
  <si>
    <t>Davis LE, Kornfeld M, Daniels RS, Skehel JJ.</t>
  </si>
  <si>
    <t>J Neurovirol. 2000 Dec;6(6):529-36. doi: 10.3109/13550280009091953.</t>
  </si>
  <si>
    <t>J Neurovirol</t>
  </si>
  <si>
    <t>10.3109/13550280009091953</t>
  </si>
  <si>
    <t>Histamine release in sepsis: a prospective, controlled, clinical study</t>
  </si>
  <si>
    <t>Neugebauer E, Lorenz W, Rixen D, Stinner B, Sauer S, Dietz W.</t>
  </si>
  <si>
    <t>Crit Care Med. 1996 Oct;24(10):1670-7. doi: 10.1097/00003246-199610000-00012.</t>
  </si>
  <si>
    <t>10.1097/00003246-199610000-00012</t>
  </si>
  <si>
    <t>Psychological stress, cytokine production, and severity of upper respiratory illness</t>
  </si>
  <si>
    <t>Cohen S, Doyle WJ, Skoner DP.</t>
  </si>
  <si>
    <t>Psychosom Med. 1999 Mar-Apr;61(2):175-80. doi: 10.1097/00006842-199903000-00009.</t>
  </si>
  <si>
    <t>Psychosom Med</t>
  </si>
  <si>
    <t>10.1097/00006842-199903000-00009</t>
  </si>
  <si>
    <t>Reinfection of mice with respiratory syncytial virus</t>
  </si>
  <si>
    <t>Graham BS, Bunton LA, Wright PF, Karzon DT.</t>
  </si>
  <si>
    <t>J Med Virol. 1991 May;34(1):7-13. doi: 10.1002/jmv.1890340103.</t>
  </si>
  <si>
    <t>10.1002/jmv.1890340103</t>
  </si>
  <si>
    <t>Safety and pharmacokinetics of a single oral dose of gatifloxacin in patients with moderate to severe hepatic impairment</t>
  </si>
  <si>
    <t>Grasela DM, Christofalo B, Kollia GD, Duncan G, Noveck R, Manning JA Jr, LaCreta FP.</t>
  </si>
  <si>
    <t>Pharmacotherapy. 2000 Jun;20(6 Pt 2):87S-94S. doi: 10.1592/phco.20.8.87s.35187.</t>
  </si>
  <si>
    <t>10.1592/phco.20.8.87s.35187</t>
  </si>
  <si>
    <t>Circulating interleukin-1 and tumor necrosis factor in septic shock and experimental endotoxin fever</t>
  </si>
  <si>
    <t>Cannon JG, Tompkins RG, Gelfand JA, Michie HR, Stanford GG, van der Meer JW, Endres S, Lonnemann G, Corsetti J, Chernow B, et al.</t>
  </si>
  <si>
    <t>J Infect Dis. 1990 Jan;161(1):79-84. doi: 10.1093/infdis/161.1.79.</t>
  </si>
  <si>
    <t>10.1093/infdis/161.1.79</t>
  </si>
  <si>
    <t>Increasing breastfeeding rates to reduce infant illness at the community level</t>
  </si>
  <si>
    <t>Wright AL, Bauer M, Naylor A, Sutcliffe E, Clark L.</t>
  </si>
  <si>
    <t>Pediatrics. 1998 May;101(5):837-44. doi: 10.1542/peds.101.5.837.</t>
  </si>
  <si>
    <t>10.1542/peds.101.5.837</t>
  </si>
  <si>
    <t>Combination ciprofloxacin and metronidazole for active Crohn's disease</t>
  </si>
  <si>
    <t>Greenbloom SL, Steinhart AH, Greenberg GR.</t>
  </si>
  <si>
    <t>Can J Gastroenterol. 1998 Jan-Feb;12(1):53-6. doi: 10.1155/1998/349460.</t>
  </si>
  <si>
    <t>Can J Gastroenterol</t>
  </si>
  <si>
    <t>10.1155/1998/349460</t>
  </si>
  <si>
    <t>A molecular genetic approach to improved animal health. The effect of interferon genotype on the severity of experimental bovine herpesvirus-1 infection</t>
  </si>
  <si>
    <t>Ryan AM, Womack JE.</t>
  </si>
  <si>
    <t>Vet Clin North Am Food Anim Pract. 1997 Nov;13(3):401-9.</t>
  </si>
  <si>
    <t>Vet Clin North Am Food Anim Pract</t>
  </si>
  <si>
    <t>Experimental infection of calves with bovine viral diarrhea virus genotype II (NY-93)</t>
  </si>
  <si>
    <t>Odeón AC, Kelling CL, Marshall DJ, Estela ES, Dubovi EJ, Donis RO.</t>
  </si>
  <si>
    <t>J Vet Diagn Invest. 1999 May;11(3):221-8. doi: 10.1177/104063879901100303.</t>
  </si>
  <si>
    <t>J Vet Diagn Invest</t>
  </si>
  <si>
    <t>10.1177/104063879901100303</t>
  </si>
  <si>
    <t>Plague (Yersinia pestis) in cats: description of experimentally induced disease</t>
  </si>
  <si>
    <t>Gasper PW, Barnes AM, Quan TJ, Benziger JP, Carter LG, Beard ML, Maupin GO.</t>
  </si>
  <si>
    <t>J Med Entomol. 1993 Jan;30(1):20-6. doi: 10.1093/jmedent/30.1.20.</t>
  </si>
  <si>
    <t>J Med Entomol</t>
  </si>
  <si>
    <t>10.1093/jmedent/30.1.20</t>
  </si>
  <si>
    <t>Immune system activation and fatigue during treadmill running: role of interferon</t>
  </si>
  <si>
    <t>Davis JM, Weaver JA, Kohut ML, Colbert LH, Ghaffar A, Mayer EP.</t>
  </si>
  <si>
    <t>Med Sci Sports Exerc. 1998 Jun;30(6):863-8. doi: 10.1097/00005768-199806000-00014.</t>
  </si>
  <si>
    <t>10.1097/00005768-199806000-00014</t>
  </si>
  <si>
    <t>Safety and efficacy of intranasal pirodavir (R77975) in experimental rhinovirus infection</t>
  </si>
  <si>
    <t>Hayden FG, Andries K, Janssen PA.</t>
  </si>
  <si>
    <t>Antimicrob Agents Chemother. 1992 Apr;36(4):727-32. doi: 10.1128/AAC.36.4.727.</t>
  </si>
  <si>
    <t>10.1128/AAC.36.4.727</t>
  </si>
  <si>
    <t>Mucosal immunity to herpes simplex virus type 2 infection in the mouse vagina is impaired by in vivo depletion of T lymphocytes</t>
  </si>
  <si>
    <t>Parr MB, Parr EL.</t>
  </si>
  <si>
    <t>J Virol. 1998 Apr;72(4):2677-85. doi: 10.1128/JVI.72.4.2677-2685.1998.</t>
  </si>
  <si>
    <t>10.1128/JVI.72.4.2677-2685.1998</t>
  </si>
  <si>
    <t>[Bacterial translocation and its surgical implications]</t>
  </si>
  <si>
    <t>Sileri P, Sica GS, Rastellini C, Dicuonzo G, Gaspari AL, Cicalese L.</t>
  </si>
  <si>
    <t>G Chir. 1999 Oct;20(10):440-4.</t>
  </si>
  <si>
    <t>G Chir</t>
  </si>
  <si>
    <t>Induction, maintenance, and reversal of streptozotocin-induced insulin-dependent diabetes mellitus in the juvenile cynomolgus monkey (Macaca fascilularis)</t>
  </si>
  <si>
    <t>Theriault BR, Thistlethwaite JR Jr, Levisetti MG, Wardrip CL, Szot G, Bruce DS, Rilo H, Li X, Gray GS, Bluestone JA, Padrid PA.</t>
  </si>
  <si>
    <t>Transplantation. 1999 Aug 15;68(3):331-7. doi: 10.1097/00007890-199908150-00003.</t>
  </si>
  <si>
    <t>10.1097/00007890-199908150-00003</t>
  </si>
  <si>
    <t>Effect of nitric oxide on rhinovirus replication and virus-induced interleukin-8 elaboration</t>
  </si>
  <si>
    <t>Kaul P, Singh I, Turner RB.</t>
  </si>
  <si>
    <t>Am J Respir Crit Care Med. 1999 Apr;159(4 Pt 1):1193-8. doi: 10.1164/ajrccm.159.4.9808043.</t>
  </si>
  <si>
    <t>10.1164/ajrccm.159.4.9808043</t>
  </si>
  <si>
    <t>Zanamivir in the prevention of influenza among healthy adults: a randomized controlled trial</t>
  </si>
  <si>
    <t>Monto AS, Robinson DP, Herlocher ML, Hinson JM Jr, Elliott MJ, Crisp A.</t>
  </si>
  <si>
    <t>JAMA. 1999 Jul 7;282(1):31-5. doi: 10.1001/jama.282.1.31.</t>
  </si>
  <si>
    <t>10.1001/jama.282.1.31</t>
  </si>
  <si>
    <t>Characteristics of the intrahepatic cytotoxic T lymphocyte response in chronic hepatitis C virus infection</t>
  </si>
  <si>
    <t>Koziel MJ, Walker BD.</t>
  </si>
  <si>
    <t>Springer Semin Immunopathol. 1997;19(1):69-83. doi: 10.1007/BF00945026.</t>
  </si>
  <si>
    <t>10.1007/BF00945026</t>
  </si>
  <si>
    <t>Efficacy of tremacamra, a soluble intercellular adhesion molecule 1, for experimental rhinovirus infection: a randomized clinical trial</t>
  </si>
  <si>
    <t>Turner RB, Wecker MT, Pohl G, Witek TJ, McNally E, St George R, Winther B, Hayden FG.</t>
  </si>
  <si>
    <t>JAMA. 1999 May 19;281(19):1797-804. doi: 10.1001/jama.281.19.1797.</t>
  </si>
  <si>
    <t>10.1001/jama.281.19.1797</t>
  </si>
  <si>
    <t>Sexually active adolescents and young adults: a high-risk group for Chlamydia trachomatis infection</t>
  </si>
  <si>
    <t>Bavastrelli M, Midulla M, Rossi D, Salzano M, Calzolari E, Midulla C, Sanguigni S, Torre A, Giardini O.</t>
  </si>
  <si>
    <t>J Travel Med. 1998 Jun;5(2):57-60. doi: 10.1111/j.1708-8305.1998.tb00464.x.</t>
  </si>
  <si>
    <t>J Travel Med</t>
  </si>
  <si>
    <t>10.1111/j.1708-8305.1998.tb00464.x</t>
  </si>
  <si>
    <t>Asthma severity, psychophysiological indicators of arousal, and immune function in asthma patients undergoing biofeedback-assisted relaxation</t>
  </si>
  <si>
    <t>Kern-Buell CL, McGrady AV, Conran PB, Nelson LA.</t>
  </si>
  <si>
    <t>Appl Psychophysiol Biofeedback. 2000 Jun;25(2):79-91. doi: 10.1023/a:1009562708112.</t>
  </si>
  <si>
    <t>Appl Psychophysiol Biofeedback</t>
  </si>
  <si>
    <t>10.1023/a:1009562708112</t>
  </si>
  <si>
    <t>Experimental models of porcine post-weaning colibacillosis and their relationship to post-weaning diarrhoea and digestive disorders as encountered in the field</t>
  </si>
  <si>
    <t>Madec F, Bridoux N, Bounaix S, Cariolet R, Duval-Iflah Y, Hampson DJ, Jestin A.</t>
  </si>
  <si>
    <t>Vet Microbiol. 2000 Mar 15;72(3-4):295-310. doi: 10.1016/s0378-1135(99)00202-3.</t>
  </si>
  <si>
    <t>Vet Microbiol</t>
  </si>
  <si>
    <t>10.1016/s0378-1135(99)00202-3</t>
  </si>
  <si>
    <t>Hepatocyte growth factor gene therapy of liver cirrhosis in rats</t>
  </si>
  <si>
    <t>Ueki T, Kaneda Y, Tsutsui H, Nakanishi K, Sawa Y, Morishita R, Matsumoto K, Nakamura T, Takahashi H, Okamoto E, Fujimoto J.</t>
  </si>
  <si>
    <t>Nat Med. 1999 Feb;5(2):226-30. doi: 10.1038/5593.</t>
  </si>
  <si>
    <t>10.1038/5593</t>
  </si>
  <si>
    <t>The antibody response to 27-, 17-, and 15-kDa Cryptosporidium antigens following experimental infection in humans</t>
  </si>
  <si>
    <t>Moss DM, Chappell CL, Okhuysen PC, DuPont HL, Arrowood MJ, Hightower AW, Lammie PJ.</t>
  </si>
  <si>
    <t>J Infect Dis. 1998 Sep;178(3):827-33. doi: 10.1086/515377.</t>
  </si>
  <si>
    <t>10.1086/515377</t>
  </si>
  <si>
    <t>Schistosoma mansoni: development and modulation of the granuloma after or multiple exposures in the baboon (Papio cynocephalus anubis)</t>
  </si>
  <si>
    <t>Farah IO, Nyindo M, Suleman MA, Nyaundi J, Kariuki TM, Blanton RE, Elson LH, King CL.</t>
  </si>
  <si>
    <t>Exp Parasitol. 1997 Jun;86(2):93-101. doi: 10.1006/expr.1997.4152.</t>
  </si>
  <si>
    <t>Exp Parasitol</t>
  </si>
  <si>
    <t>10.1006/expr.1997.4152</t>
  </si>
  <si>
    <t>Pathologic features of acquired immunodeficiency-like syndrome in cats experimentally infected with feline immunodeficiency virus</t>
  </si>
  <si>
    <t>Matsumura S, Ishida T, Washizu T, Tomoda I, Nagata S, Chiba J, Kurata T.</t>
  </si>
  <si>
    <t>J Vet Med Sci. 1993 Jun;55(3):387-94. doi: 10.1292/jvms.55.387.</t>
  </si>
  <si>
    <t>10.1292/jvms.55.387</t>
  </si>
  <si>
    <t>Alcohol-free instant hand sanitizer reduces elementary school illness absenteeism</t>
  </si>
  <si>
    <t>Dyer DL, Shinder A, Shinder F.</t>
  </si>
  <si>
    <t>Fam Med. 2000 Oct;32(9):633-8.</t>
  </si>
  <si>
    <t>Fam Med</t>
  </si>
  <si>
    <t>Clinical, microbiological and pathological observations in laboratory beagle dogs infected with leptospires of the serogroup Sejroe</t>
  </si>
  <si>
    <t>Rühl-Fehlert CI, Brem S, Feller W, Kopp H, Meyer P, Rinke M.</t>
  </si>
  <si>
    <t>Exp Toxicol Pathol. 2000 Jun;52(3):201-7. doi: 10.1016/S0940-2993(00)80029-9.</t>
  </si>
  <si>
    <t>Exp Toxicol Pathol</t>
  </si>
  <si>
    <t>10.1016/S0940-2993(00)80029-9</t>
  </si>
  <si>
    <t>An outbreak of febrile gastroenteritis associated with corn contaminated by Listeria monocytogenes</t>
  </si>
  <si>
    <t>Aureli P, Fiorucci GC, Caroli D, Marchiaro G, Novara O, Leone L, Salmaso S.</t>
  </si>
  <si>
    <t>N Engl J Med. 2000 Apr 27;342(17):1236-41. doi: 10.1056/NEJM200004273421702.</t>
  </si>
  <si>
    <t>10.1056/NEJM200004273421702</t>
  </si>
  <si>
    <t>A randomized trial of conjugated group B streptococcal type Ia vaccine in a rabbit model of ascending infection</t>
  </si>
  <si>
    <t>Davies JK, Paoletti LC, McDuffie RS, Madoff LC, Lee S, Eskens J, Gibbs RS.</t>
  </si>
  <si>
    <t>Am J Obstet Gynecol. 1999 Oct;181(4):803-8. doi: 10.1016/s0002-9378(99)70305-4.</t>
  </si>
  <si>
    <t>Am J Obstet Gynecol</t>
  </si>
  <si>
    <t>10.1016/s0002-9378(99)70305-4</t>
  </si>
  <si>
    <t>Evaluation in chimpanzees of vaccinia virus recombinants that express the surface glycoproteins of human respiratory syncytial virus</t>
  </si>
  <si>
    <t>Collins PL, Purcell RH, London WT, Lawrence LA, Chanock RM, Murphy BR.</t>
  </si>
  <si>
    <t>Vaccine. 1990 Apr;8(2):164-8. doi: 10.1016/0264-410x(90)90141-8.</t>
  </si>
  <si>
    <t>10.1016/0264-410x(90)90141-8</t>
  </si>
  <si>
    <t>Efficacy of doxycycline, azithromycin, or trovafloxacin for treatment of experimental Rocky Mountain spotted fever in dogs</t>
  </si>
  <si>
    <t>Breitschwerdt EB, Papich MG, Hegarty BC, Gilger B, Hancock SI, Davidson MG.</t>
  </si>
  <si>
    <t>Antimicrob Agents Chemother. 1999 Apr;43(4):813-21. doi: 10.1128/AAC.43.4.813.</t>
  </si>
  <si>
    <t>10.1128/AAC.43.4.813</t>
  </si>
  <si>
    <t>The relationship between gut-derived bacteria and the development of the multiple organ dysfunction syndrome</t>
  </si>
  <si>
    <t>Nieuwenhuijzen GA, Deitch EA, Goris RJ.</t>
  </si>
  <si>
    <t>J Anat. 1996 Dec;189 ( Pt 3)(Pt 3):537-48.</t>
  </si>
  <si>
    <t>J Anat</t>
  </si>
  <si>
    <t>Atopy and environmental factors in upper respiratory infections: an epidemiological survey on 2304 school children</t>
  </si>
  <si>
    <t>Porro E, Calamita P, Rana I, Montini L, Criscione S.</t>
  </si>
  <si>
    <t>Int J Pediatr Otorhinolaryngol. 1992 Sep;24(2):111-20. doi: 10.1016/0165-5876(92)90137-e.</t>
  </si>
  <si>
    <t>Int J Pediatr Otorhinolaryngol</t>
  </si>
  <si>
    <t>10.1016/0165-5876(92)90137-e</t>
  </si>
  <si>
    <t>Oral LY217896 for prevention of experimental influenza A virus infection and illness in humans</t>
  </si>
  <si>
    <t>Hayden FG, Tunkel AR, Treanor JJ, Betts RF, Allerheiligen S, Harris J.</t>
  </si>
  <si>
    <t>Antimicrob Agents Chemother. 1994 May;38(5):1178-81. doi: 10.1128/AAC.38.5.1178.</t>
  </si>
  <si>
    <t>10.1128/AAC.38.5.1178</t>
  </si>
  <si>
    <t>Safety and efficacy of once daily intranasal zanamivir in preventing experimental human influenza A infection</t>
  </si>
  <si>
    <t>Calfee DP, Peng AW, Hussey EK, Lobo M, Hayden FG.</t>
  </si>
  <si>
    <t>Antivir Ther. 1999;4(3):143-9.</t>
  </si>
  <si>
    <t>Inhibition of the defense system stimulating interleukin-12 interferon-gamma pathway during critical Illness</t>
  </si>
  <si>
    <t>Ertel W, Keel M, Neidhardt R, Steckholzer U, Kremer JP, Ungethuem U, Trentz O.</t>
  </si>
  <si>
    <t>Blood. 1997 Mar 1;89(5):1612-20.</t>
  </si>
  <si>
    <t>Antibodies to interleukin 12 abrogate established experimental colitis in mice</t>
  </si>
  <si>
    <t>Neurath MF, Fuss I, Kelsall BL, Stüber E, Strober W.</t>
  </si>
  <si>
    <t>J Exp Med. 1995 Nov 1;182(5):1281-90. doi: 10.1084/jem.182.5.1281.</t>
  </si>
  <si>
    <t>10.1084/jem.182.5.1281</t>
  </si>
  <si>
    <t>Once-daily aminoglycosides: practical guidelines</t>
  </si>
  <si>
    <t>Prins JM, Speelman P.</t>
  </si>
  <si>
    <t>Neth J Med. 1998 Jan;52(1):1-9. doi: 10.1016/s0300-2977(97)00071-5.</t>
  </si>
  <si>
    <t>Neth J Med</t>
  </si>
  <si>
    <t>10.1016/s0300-2977(97)00071-5</t>
  </si>
  <si>
    <t>Listeria monocytogenes and recurrent mycobacterial infections in a child with complete interferon-gamma-receptor (IFNgammaR1) deficiency: mutational analysis and evaluation of therapeutic options</t>
  </si>
  <si>
    <t>Roesler J, Kofink B, Wendisch J, Heyden S, Paul D, Friedrich W, Casanova JL, Leupold W, Gahr M, Rösen-Wolff A.</t>
  </si>
  <si>
    <t>Exp Hematol. 1999 Sep;27(9):1368-74. doi: 10.1016/s0301-472x(99)00077-6.</t>
  </si>
  <si>
    <t>Exp Hematol</t>
  </si>
  <si>
    <t>10.1016/s0301-472x(99)00077-6</t>
  </si>
  <si>
    <t>Anaphylactic sensitization to aeroantigen during respiratory virus infection</t>
  </si>
  <si>
    <t>O'Donnell DR, Openshaw PJ.</t>
  </si>
  <si>
    <t>Clin Exp Allergy. 1998 Dec;28(12):1501-8. doi: 10.1046/j.1365-2222.1998.00438.x.</t>
  </si>
  <si>
    <t>10.1046/j.1365-2222.1998.00438.x</t>
  </si>
  <si>
    <t>Use of bacitracin in the prevention and treatment of experimentally-induced idiopathic colitis in horses</t>
  </si>
  <si>
    <t>Staempfli HR, Prescott JF, Carman RJ, McCutcheon LJ.</t>
  </si>
  <si>
    <t>Can J Vet Res. 1992 Jul;56(3):233-6.</t>
  </si>
  <si>
    <t>Can J Vet Res</t>
  </si>
  <si>
    <t>Kinetics of prion protein accumulation in the CNS of mice with experimental scrapie</t>
  </si>
  <si>
    <t>Tatzelt J, Groth DF, Torchia M, Prusiner SB, DeArmond SJ.</t>
  </si>
  <si>
    <t>J Neuropathol Exp Neurol. 1999 Dec;58(12):1244-9. doi: 10.1097/00005072-199912000-00005.</t>
  </si>
  <si>
    <t>10.1097/00005072-199912000-00005</t>
  </si>
  <si>
    <t>Adjunctive oral corticosteroids reduce renal scarring: the piglet model of reflux and acute experimental pyelonephritis</t>
  </si>
  <si>
    <t>Pohl HG, Rushton HG, Park JS, Chandra R, Majd M.</t>
  </si>
  <si>
    <t>J Urol. 1999 Sep;162(3 Pt 1):815-20. doi: 10.1097/00005392-199909010-00067.</t>
  </si>
  <si>
    <t>J Urol</t>
  </si>
  <si>
    <t>10.1097/00005392-199909010-00067</t>
  </si>
  <si>
    <t>Is alcohol a cofactor of HIV and AIDS? Evidence from immunological and behavioral studies</t>
  </si>
  <si>
    <t>Dingle GA, Oei TP.</t>
  </si>
  <si>
    <t>Psychol Bull. 1997 Jul;122(1):56-71. doi: 10.1037/0033-2909.122.1.56.</t>
  </si>
  <si>
    <t>Psychol Bull</t>
  </si>
  <si>
    <t>10.1037/0033-2909.122.1.56</t>
  </si>
  <si>
    <t>Vertical transmission of Junin virus in experimentally infected adult Calomys musculinus</t>
  </si>
  <si>
    <t>Vitullo AD, Merani MS.</t>
  </si>
  <si>
    <t>Intervirology. 1990;31(6):339-44. doi: 10.1159/000150170.</t>
  </si>
  <si>
    <t>10.1159/000150170</t>
  </si>
  <si>
    <t>Human spongiform encephalopathy: the National Institutes of Health series of 300 cases of experimentally transmitted disease</t>
  </si>
  <si>
    <t>Brown P, Gibbs CJ Jr, Rodgers-Johnson P, Asher DM, Sulima MP, Bacote A, Goldfarb LG, Gajdusek DC.</t>
  </si>
  <si>
    <t>Ann Neurol. 1994 May;35(5):513-29. doi: 10.1002/ana.410350504.</t>
  </si>
  <si>
    <t>10.1002/ana.410350504</t>
  </si>
  <si>
    <t>Efficacy and safety of the neuraminidase inhibitor zanamivir in the treatment of influenzavirus infections. GG167 Influenza Study Group</t>
  </si>
  <si>
    <t>Hayden FG, Osterhaus AD, Treanor JJ, Fleming DM, Aoki FY, Nicholson KG, Bohnen AM, Hirst HM, Keene O, Wightman K.</t>
  </si>
  <si>
    <t>N Engl J Med. 1997 Sep 25;337(13):874-80. doi: 10.1056/NEJM199709253371302.</t>
  </si>
  <si>
    <t>10.1056/NEJM199709253371302</t>
  </si>
  <si>
    <t>Anaplasma marginale inactivated vaccine: dose titration against a homologous challenge</t>
  </si>
  <si>
    <t>Rodríguez SD, Garcîa Ortiz MA, Hernández Salgado G, Santos Cerda NA, Aboytes Torre R, Cantó Alarcón GJ.</t>
  </si>
  <si>
    <t>Comp Immunol Microbiol Infect Dis. 2000 Oct;23(4):239-52. doi: 10.1016/s0147-9571(99)00076-4.</t>
  </si>
  <si>
    <t>Comp Immunol Microbiol Infect Dis</t>
  </si>
  <si>
    <t>10.1016/s0147-9571(99)00076-4</t>
  </si>
  <si>
    <t>Attenuation of virulence in influenza B viral infection of volunteers</t>
  </si>
  <si>
    <t>Zuckerman MA, Cox RJ, Oxford JS.</t>
  </si>
  <si>
    <t>J Infect. 1994 Jan;28(1):41-8. doi: 10.1016/s0163-4453(94)94099-1.</t>
  </si>
  <si>
    <t>10.1016/s0163-4453(94)94099-1</t>
  </si>
  <si>
    <t>Effect of prior experimental human enteropathogenic Escherichia coli infection on illness following homologous and heterologous rechallenge</t>
  </si>
  <si>
    <t>Donnenberg MS, Tacket CO, Losonsky G, Frankel G, Nataro JP, Dougan G, Levine MM.</t>
  </si>
  <si>
    <t>Infect Immun. 1998 Jan;66(1):52-8. doi: 10.1128/IAI.66.1.52-58.1998.</t>
  </si>
  <si>
    <t>10.1128/IAI.66.1.52-58.1998</t>
  </si>
  <si>
    <t>Retention of leptospiral agglutinins and long-term response to administration of monoclonal antibodies in vervet monkeys (Cercopithecus aethiops) on Barbados</t>
  </si>
  <si>
    <t>Everard CO, Baulu J, Carrington DG, Korver H, Terpstra WJ.</t>
  </si>
  <si>
    <t>Eur J Epidemiol. 1991 Jul;7(4):396-402. doi: 10.1007/BF00145006.</t>
  </si>
  <si>
    <t>Eur J Epidemiol</t>
  </si>
  <si>
    <t>10.1007/BF00145006</t>
  </si>
  <si>
    <t>Non-O1 Vibrio cholerae intestinal pathology and invasion in the removable intestinal tie adult rabbit diarrhea model</t>
  </si>
  <si>
    <t>Russell RG, Tall BD, Morris JG Jr.</t>
  </si>
  <si>
    <t>Infect Immun. 1992 Feb;60(2):435-42. doi: 10.1128/iai.60.2.435-442.1992.</t>
  </si>
  <si>
    <t>10.1128/iai.60.2.435-442.1992</t>
  </si>
  <si>
    <t>Effect of acidified enteral feedings on gastric colonization in the critically ill patient</t>
  </si>
  <si>
    <t>Heyland D, Bradley C, Mandell LA.</t>
  </si>
  <si>
    <t>Crit Care Med. 1992 Oct;20(10):1388-94. doi: 10.1097/00003246-199210000-00005.</t>
  </si>
  <si>
    <t>10.1097/00003246-199210000-00005</t>
  </si>
  <si>
    <t>Tuberculin skin test reactivity in Kawasaki disease</t>
  </si>
  <si>
    <t>Bertotto A, Spinozzi F, Vagliasindi C, Radicioni M, De Rosa O, Vaccaro R.</t>
  </si>
  <si>
    <t>Pediatr Res. 1997 Apr;41(4 Pt 1):560-2. doi: 10.1203/00006450-199704000-00017.</t>
  </si>
  <si>
    <t>Pediatr Res</t>
  </si>
  <si>
    <t>10.1203/00006450-199704000-00017</t>
  </si>
  <si>
    <t>99mTc-PEG liposomes for the scintigraphic detection of infection and inflammation: clinical evaluation</t>
  </si>
  <si>
    <t>Dams ET, Oyen WJ, Boerman OC, Storm G, Laverman P, Kok PJ, Buijs WC, Bakker H, van der Meer JW, Corstens FH.</t>
  </si>
  <si>
    <t>J Nucl Med. 2000 Apr;41(4):622-30.</t>
  </si>
  <si>
    <t>J Nucl Med</t>
  </si>
  <si>
    <t>Oral prednisone therapy in experimental rhinovirus infections</t>
  </si>
  <si>
    <t>Gustafson LM, Proud D, Hendley JO, Hayden FG, Gwaltney JM Jr.</t>
  </si>
  <si>
    <t>J Allergy Clin Immunol. 1996 Apr;97(4):1009-14. doi: 10.1016/s0091-6749(96)80077-7.</t>
  </si>
  <si>
    <t>10.1016/s0091-6749(96)80077-7</t>
  </si>
  <si>
    <t>The efficacy of echinacea compound herbal tea preparation on the severity and duration of upper respiratory and flu symptoms: a randomized, double-blind placebo-controlled study</t>
  </si>
  <si>
    <t>Lindenmuth GF, Lindenmuth EB.</t>
  </si>
  <si>
    <t>J Altern Complement Med. 2000 Aug;6(4):327-34. doi: 10.1089/10755530050120691.</t>
  </si>
  <si>
    <t>J Altern Complement Med</t>
  </si>
  <si>
    <t>10.1089/10755530050120691</t>
  </si>
  <si>
    <t>Population pharmacokinetics of amikacin in critically ill patients</t>
  </si>
  <si>
    <t>Bressolle F, Gouby A, Martinez JM, Joubert P, Saissi G, Guillaud R, Gomeni R.</t>
  </si>
  <si>
    <t>Antimicrob Agents Chemother. 1996 Jul;40(7):1682-9. doi: 10.1128/AAC.40.7.1682.</t>
  </si>
  <si>
    <t>10.1128/AAC.40.7.1682</t>
  </si>
  <si>
    <t>Impaired sarcoplasmic calcium release inhibits myocardial contraction in experimental sepsis</t>
  </si>
  <si>
    <t>Patel D, Duke K, Light RB, Jacobs H, Mink SN, Bose D.</t>
  </si>
  <si>
    <t>J Crit Care. 2000 Jun;15(2):64-72. doi: 10.1053/jcrc.2000.7902.</t>
  </si>
  <si>
    <t>10.1053/jcrc.2000.7902</t>
  </si>
  <si>
    <t>Pathogenesis of Newcastle disease in chickens experimentally infected with viruses of different virulence</t>
  </si>
  <si>
    <t>Brown C, King DJ, Seal BS.</t>
  </si>
  <si>
    <t>Vet Pathol. 1999 Mar;36(2):125-32. doi: 10.1354/vp.36-2-125.</t>
  </si>
  <si>
    <t>10.1354/vp.36-2-125</t>
  </si>
  <si>
    <t>Prednisolone at anti-inflammatory or immunosuppressive dosages in conjunction with doxycycline does not potentiate the severity of Rickettsia rickettsii infection in dogs</t>
  </si>
  <si>
    <t>Breitschwerdt EB, Davidson MG, Hegarty BC, Papich MG, Grindem CB.</t>
  </si>
  <si>
    <t>Antimicrob Agents Chemother. 1997 Jan;41(1):141-7. doi: 10.1128/AAC.41.1.141.</t>
  </si>
  <si>
    <t>10.1128/AAC.41.1.141</t>
  </si>
  <si>
    <t>Effects of the neuraminidase inhibitor zanamavir on otologic manifestations of experimental human influenza</t>
  </si>
  <si>
    <t>Walker JB, Hussey EK, Treanor JJ, Montalvo A Jr, Hayden FG.</t>
  </si>
  <si>
    <t>J Infect Dis. 1997 Dec;176(6):1417-22. doi: 10.1086/514136.</t>
  </si>
  <si>
    <t>10.1086/514136</t>
  </si>
  <si>
    <t>Human immunodeficiency virus sexual risk reduction in homeless men with mental illness</t>
  </si>
  <si>
    <t>Susser E, Valencia E, Berkman A, Sohler N, Conover S, Torres J, Betne P, Felix A, Miller S.</t>
  </si>
  <si>
    <t>Arch Gen Psychiatry. 1998 Mar;55(3):266-72. doi: 10.1001/archpsyc.55.3.266.</t>
  </si>
  <si>
    <t>Arch Gen Psychiatry</t>
  </si>
  <si>
    <t>10.1001/archpsyc.55.3.266</t>
  </si>
  <si>
    <t>Prechallenge antibodies: moderators of infection rate, signs, and symptoms in adults experimentally challenged with rhinovirus type 39</t>
  </si>
  <si>
    <t>Alper CM, Doyle WJ, Skoner DP, Buchman CA, Seroky JT, Gwaltney JM, Cohen SA.</t>
  </si>
  <si>
    <t>Laryngoscope. 1996 Oct;106(10):1298-305. doi: 10.1097/00005537-199610000-00025.</t>
  </si>
  <si>
    <t>10.1097/00005537-199610000-00025</t>
  </si>
  <si>
    <t>Infection, the gut and the development of the multiple organ dysfunction syndrome</t>
  </si>
  <si>
    <t>Eur J Surg. 1996 Apr;162(4):259-73.</t>
  </si>
  <si>
    <t>Eur J Surg</t>
  </si>
  <si>
    <t>Combination treatment with famciclovir and a topical corticosteroid gel versus famciclovir alone for experimental ultraviolet radiation-induced herpes simplex labialis: a pilot study</t>
  </si>
  <si>
    <t>Spruance SL, McKeough MB.</t>
  </si>
  <si>
    <t>J Infect Dis. 2000 Jun;181(6):1906-10. doi: 10.1086/315528. Epub 2000 May 31.</t>
  </si>
  <si>
    <t>10.1086/315528</t>
  </si>
  <si>
    <t>Addition of corticosteroids to antibiotic treatment ameliorates the course of experimental Staphylococcus aureus arthritis</t>
  </si>
  <si>
    <t>Sakiniene E, Bremell T, Tarkowski A.</t>
  </si>
  <si>
    <t>Arthritis Rheum. 1996 Sep;39(9):1596-605. doi: 10.1002/art.1780390921.</t>
  </si>
  <si>
    <t>10.1002/art.1780390921</t>
  </si>
  <si>
    <t>Characterization of the systemic disease and ocular signs induced by experimental infection with Chlamydia psittaci in cats</t>
  </si>
  <si>
    <t>TerWee J, Sabara M, Kokjohn K, Sandbulte J, Frenchick P, Dreier KJ.</t>
  </si>
  <si>
    <t>Vet Microbiol. 1998 Jan 31;59(4):259-81. doi: 10.1016/s0378-1135(97)00185-5.</t>
  </si>
  <si>
    <t>10.1016/s0378-1135(97)00185-5</t>
  </si>
  <si>
    <t>Detection of Borna disease virus-reactive antibodies from patients with affective disorders by western immunoblot technique</t>
  </si>
  <si>
    <t>Fu ZF, Amsterdam JD, Kao M, Shankar V, Koprowski H, Dietzschold B.</t>
  </si>
  <si>
    <t>J Affect Disord. 1993 Jan;27(1):61-8. doi: 10.1016/0165-0327(93)90098-5.</t>
  </si>
  <si>
    <t>10.1016/0165-0327(93)90098-5</t>
  </si>
  <si>
    <t>Experimental exposure of young pigs using a pathogenic strain of Streptococcus suis serotype 2 and evaluation of this method for disease prevention</t>
  </si>
  <si>
    <t>Torremorell M, Pijoan C, Dee S.</t>
  </si>
  <si>
    <t>Can J Vet Res. 1999 Oct;63(4):269-75.</t>
  </si>
  <si>
    <t>Experimentally induced Bartonella henselae infections followed by challenge exposure and antimicrobial therapy in cats</t>
  </si>
  <si>
    <t>Regnery RL, Rooney JA, Johnson AM, Nesby SL, Manzewitsch P, Beaver K, Olson JG.</t>
  </si>
  <si>
    <t>Am J Vet Res. 1996 Dec;57(12):1714-9.</t>
  </si>
  <si>
    <t>Am J Vet Res</t>
  </si>
  <si>
    <t>Assessment of human CD4+ and CD8+ T lymphocyte responses in experimental viral vaccine studies</t>
  </si>
  <si>
    <t>Rothman AL, Yamada Y, Jameson J, Cruz J, West K, Green S, Ennis FA.</t>
  </si>
  <si>
    <t>Dev Biol Stand. 1998;95:95-104.</t>
  </si>
  <si>
    <t>Pharmacokinetics of meropenem in critically ill patients with acute renal failure undergoing continuous venovenous hemofiltration</t>
  </si>
  <si>
    <t>Tegeder I, Neumann F, Bremer F, Brune K, Lötsch J, Geisslinger G.</t>
  </si>
  <si>
    <t>Clin Pharmacol Ther. 1999 Jan;65(1):50-7. doi: 10.1016/S0009-9236(99)70121-9.</t>
  </si>
  <si>
    <t>Clin Pharmacol Ther</t>
  </si>
  <si>
    <t>10.1016/S0009-9236(99)70121-9</t>
  </si>
  <si>
    <t>[Clinical and hematological changes in calves infected with Anaplasma marginale]</t>
  </si>
  <si>
    <t>Alfonso J, Medina R, Fazzino F, Caballero H.</t>
  </si>
  <si>
    <t>Acta Cient Venez. 1996;47(1):50-7.</t>
  </si>
  <si>
    <t>Acta Cient Venez</t>
  </si>
  <si>
    <t>Maternal hyperthermia and infection as one of possible causes of orofacial clefts</t>
  </si>
  <si>
    <t>Peterka M, Tvrdek M, Likovský Z, Peterková R, Fára M.</t>
  </si>
  <si>
    <t>Acta Chir Plast. 1994;36(4):114-8.</t>
  </si>
  <si>
    <t>Acta Chir Plast</t>
  </si>
  <si>
    <t>Repeated exposure induces periportal fibrosis in Schistosoma mansoni-infected baboons: role of TGF-beta and IL-4</t>
  </si>
  <si>
    <t>Farah IO, Mola PW, Kariuki TM, Nyindo M, Blanton RE, King CL.</t>
  </si>
  <si>
    <t>J Immunol. 2000 May 15;164(10):5337-43. doi: 10.4049/jimmunol.164.10.5337.</t>
  </si>
  <si>
    <t>J Immunol</t>
  </si>
  <si>
    <t>10.4049/jimmunol.164.10.5337</t>
  </si>
  <si>
    <t>Effects of an experimentally induced rhinovirus cold on sleep, performance, and daytime alertness</t>
  </si>
  <si>
    <t>Drake CL, Roehrs TA, Royer H, Koshorek G, Turner RB, Roth T.</t>
  </si>
  <si>
    <t>Physiol Behav. 2000 Oct 1-15;71(1-2):75-81. doi: 10.1016/s0031-9384(00)00322-x.</t>
  </si>
  <si>
    <t>Physiol Behav</t>
  </si>
  <si>
    <t>10.1016/s0031-9384(00)00322-x</t>
  </si>
  <si>
    <t>Viruses and asthmatic syndromes</t>
  </si>
  <si>
    <t>Micillo E, Marcatili P, Palmieri S, Mazzarella G.</t>
  </si>
  <si>
    <t>Monaldi Arch Chest Dis. 1998 Feb;53(1):88-91.</t>
  </si>
  <si>
    <t>Monaldi Arch Chest Dis</t>
  </si>
  <si>
    <t>Respiratory nitric oxide levels in experimental human influenza</t>
  </si>
  <si>
    <t>Murphy AW, Platts-Mills TA, Lobo M, Hayden F.</t>
  </si>
  <si>
    <t>Chest. 1998 Aug;114(2):452-6. doi: 10.1378/chest.114.2.452.</t>
  </si>
  <si>
    <t>10.1378/chest.114.2.452</t>
  </si>
  <si>
    <t>Reliability of procalcitonin concentrations for the diagnosis of sepsis in critically ill neonates</t>
  </si>
  <si>
    <t>Chiesa C, Panero A, Rossi N, Stegagno M, De Giusti M, Osborn JF, Pacifico L.</t>
  </si>
  <si>
    <t>Clin Infect Dis. 1998 Mar;26(3):664-72. doi: 10.1086/514576.</t>
  </si>
  <si>
    <t>10.1086/514576</t>
  </si>
  <si>
    <t>Histologic lesions in cynomolgus monkeys (Macaca fascicularis) naturally infected with simian retrovirus type D: comparison of seropositive, virus-positive, and uninfected animals</t>
  </si>
  <si>
    <t>Guzman RE, Kerlin RL, Zimmerman TE.</t>
  </si>
  <si>
    <t>Toxicol Pathol. 1999 Nov-Dec;27(6):672-7. doi: 10.1177/019262339902700609.</t>
  </si>
  <si>
    <t>Toxicol Pathol</t>
  </si>
  <si>
    <t>10.1177/019262339902700609</t>
  </si>
  <si>
    <t>Primary Campylobacter jejuni infection in different mice strains</t>
  </si>
  <si>
    <t>Vucković D, Abram M, Dorić M.</t>
  </si>
  <si>
    <t>Microb Pathog. 1998 Apr;24(4):263-8. doi: 10.1006/mpat.1997.0194.</t>
  </si>
  <si>
    <t>Microb Pathog</t>
  </si>
  <si>
    <t>10.1006/mpat.1997.0194</t>
  </si>
  <si>
    <t>Comments on the epidemiology, pathogenesis and control of dengue</t>
  </si>
  <si>
    <t>Rosen L.</t>
  </si>
  <si>
    <t>Med Trop (Mars). 1999;59(4 Pt 2):495-8.</t>
  </si>
  <si>
    <t>Med Trop (Mars)</t>
  </si>
  <si>
    <t>The relationship between the rate of intake of trichostrongylid larvae and the occurrence of diarrhoea and breech soiling in adult merino sheep</t>
  </si>
  <si>
    <t>Larsen JW, Anderson N.</t>
  </si>
  <si>
    <t>Aust Vet J. 2000 Feb;78(2):112-6. doi: 10.1111/j.1751-0813.2000.tb10537.x.</t>
  </si>
  <si>
    <t>Aust Vet J</t>
  </si>
  <si>
    <t>10.1111/j.1751-0813.2000.tb10537.x</t>
  </si>
  <si>
    <t>Tumor necrosis factor receptor p55 controls the severity of arthritis in experimental Yersinia enterocolitica infection</t>
  </si>
  <si>
    <t>Zhao YX, Zhang H, Chiu B, Payne U, Inman RD.</t>
  </si>
  <si>
    <t>Arthritis Rheum. 1999 Aug;42(8):1662-72. doi: 10.1002/1529-0131(199908)42:8&lt;1662::AID-ANR15&gt;3.0.CO;2-8.</t>
  </si>
  <si>
    <t>10.1002/1529-0131(199908)42:8&lt;1662::AID-ANR15&gt;3.0.CO;2-8</t>
  </si>
  <si>
    <t>Multiphasic disseminated encephalomyelitis mimicking multiple sclerosis</t>
  </si>
  <si>
    <t>Tsai ML, Hung KL.</t>
  </si>
  <si>
    <t>Brain Dev. 1996 Sep-Oct;18(5):412-4. doi: 10.1016/0387-7604(96)00038-1.</t>
  </si>
  <si>
    <t>Brain Dev</t>
  </si>
  <si>
    <t>10.1016/0387-7604(96)00038-1</t>
  </si>
  <si>
    <t>Evaluation of fetal infection and abortion in pregnant ponies experimentally infected with Ehrlichia risticii</t>
  </si>
  <si>
    <t>Long MT, Goetz TE, Kakoma I, Whiteley HE, Lock TE, Holland CJ, Foreman JH, Baker GJ.</t>
  </si>
  <si>
    <t>Am J Vet Res. 1995 Oct;56(10):1307-16.</t>
  </si>
  <si>
    <t>Receptor specificity of influenza virus influences severity of illness in ferrets</t>
  </si>
  <si>
    <t>Leigh MW, Connor RJ, Kelm S, Baum LG, Paulson JC.</t>
  </si>
  <si>
    <t>Vaccine. 1995;13(15):1468-73. doi: 10.1016/0264-410x(95)00004-k.</t>
  </si>
  <si>
    <t>10.1016/0264-410x(95)00004-k</t>
  </si>
  <si>
    <t>Myocarditis in mice and guinea pigs experimentally infected with a canine-origin Borrelia isolate from Florida</t>
  </si>
  <si>
    <t>Breitschwerdt EB, Geoly FJ, Meuten DJ, Levine JF, Howard P, Hegarty BC, Stafford LC.</t>
  </si>
  <si>
    <t>Am J Vet Res. 1996 Apr;57(4):505-11.</t>
  </si>
  <si>
    <t>Enteral feeding with a solution enriched with antioxidant vitamins A, C, and E enhances the resistance to oxidative stress</t>
  </si>
  <si>
    <t>Preiser JC, Van Gossum A, Berré J, Vincent JL, Carpentier Y.</t>
  </si>
  <si>
    <t>Crit Care Med. 2000 Dec;28(12):3828-32. doi: 10.1097/00003246-200012000-00013.</t>
  </si>
  <si>
    <t>10.1097/00003246-200012000-00013</t>
  </si>
  <si>
    <t>Use of the oral neuraminidase inhibitor oseltamivir in experimental human influenza: randomized controlled trials for prevention and treatment</t>
  </si>
  <si>
    <t>Hayden FG, Treanor JJ, Fritz RS, Lobo M, Betts RF, Miller M, Kinnersley N, Mills RG, Ward P, Straus SE.</t>
  </si>
  <si>
    <t>JAMA. 1999 Oct 6;282(13):1240-6. doi: 10.1001/jama.282.13.1240.</t>
  </si>
  <si>
    <t>10.1001/jama.282.13.1240</t>
  </si>
  <si>
    <t>Pentoxifylline and oxygen consumption in severe sepsis--a preliminary report</t>
  </si>
  <si>
    <t>Castañon-Gonzalez JA, Eid-Lidt G, Wacher N, Gallegos-Perez H, Miranda-Ruiz R.</t>
  </si>
  <si>
    <t>Acta Anaesthesiol Scand Suppl. 1995;107:219-22. doi: 10.1111/j.1399-6576.1995.tb04362.x.</t>
  </si>
  <si>
    <t>Acta Anaesthesiol Scand Suppl</t>
  </si>
  <si>
    <t>10.1111/j.1399-6576.1995.tb04362.x</t>
  </si>
  <si>
    <t>The effect of age on the course of experimental feline immunodeficiency virus infection in cats</t>
  </si>
  <si>
    <t>George JW, Pedersen NC, Higgins J.</t>
  </si>
  <si>
    <t>AIDS Res Hum Retroviruses. 1993 Sep;9(9):897-905. doi: 10.1089/aid.1993.9.897.</t>
  </si>
  <si>
    <t>AIDS Res Hum Retroviruses</t>
  </si>
  <si>
    <t>10.1089/aid.1993.9.897</t>
  </si>
  <si>
    <t>Acute respiratory distress syndrome caused by respiratory syncytial virus</t>
  </si>
  <si>
    <t>Hammer J, Numa A, Newth CJ.</t>
  </si>
  <si>
    <t>Pediatr Pulmonol. 1997 Mar;23(3):176-83. doi: 10.1002/(sici)1099-0496(199703)23:3&lt;176::aid-ppul2&gt;3.0.co;2-m.</t>
  </si>
  <si>
    <t>Pediatr Pulmonol</t>
  </si>
  <si>
    <t>10.1002/(sici)1099-0496(199703)23:3&lt;176::aid-ppul2&gt;3.0.co;2-m</t>
  </si>
  <si>
    <t>Addition of rifampin to combination antibiotic therapy for Pseudomonas aeruginosa bacteremia: prospective trial using the Zelen protocol</t>
  </si>
  <si>
    <t>Korvick JA, Peacock JE Jr, Muder RR, Wheeler RR, Yu VL.</t>
  </si>
  <si>
    <t>Antimicrob Agents Chemother. 1992 Mar;36(3):620-5. doi: 10.1128/AAC.36.3.620.</t>
  </si>
  <si>
    <t>10.1128/AAC.36.3.620</t>
  </si>
  <si>
    <t>Identification and characterization of a K88- and CS31A-like operon of a rabbit enteropathogenic Escherichia coli strain which encodes fimbriae involved in the colonization of rabbit intestine</t>
  </si>
  <si>
    <t>Adams LM, Simmons CP, Rezmann L, Strugnell RA, Robins-Browne RM.</t>
  </si>
  <si>
    <t>Infect Immun. 1997 Dec;65(12):5222-30. doi: 10.1128/iai.65.12.5222-5230.1997.</t>
  </si>
  <si>
    <t>10.1128/iai.65.12.5222-5230.1997</t>
  </si>
  <si>
    <t>Quo vadis: perinatal AIDS issues--2004</t>
  </si>
  <si>
    <t>Weiss SH, Louria DB.</t>
  </si>
  <si>
    <t>Clin Perinatol. 1994 Mar;21(1):179-98.</t>
  </si>
  <si>
    <t>Paratuberculosis in saiga antelope (Saiga tatarica) and experimental transmission to domestic sheep</t>
  </si>
  <si>
    <t>Dukes TW, Glover GJ, Brooks BW, Duncan JR, Swendrowski M.</t>
  </si>
  <si>
    <t>J Wildl Dis. 1992 Apr;28(2):161-70. doi: 10.7589/0090-3558-28.2.161.</t>
  </si>
  <si>
    <t>10.7589/0090-3558-28.2.161</t>
  </si>
  <si>
    <t>[New developments and trends in adenovirus research]</t>
  </si>
  <si>
    <t>Nász I, Adám E.</t>
  </si>
  <si>
    <t>Orv Hetil. 1997 Oct 26;138(43):2711-24.</t>
  </si>
  <si>
    <t>Orv Hetil</t>
  </si>
  <si>
    <t>Lyme disease knowledge, attitudes, and behaviors--Connecticut, 1992</t>
  </si>
  <si>
    <t>Centers for Disease Control (CDC).</t>
  </si>
  <si>
    <t>MMWR Morb Mortal Wkly Rep. 1992 Jul 17;41(28):505-7.</t>
  </si>
  <si>
    <t>MMWR Morb Mortal Wkly Rep</t>
  </si>
  <si>
    <t>Effect of oral egg antibody in experimental F18+ Escherichia coli infection in weaned pigs</t>
  </si>
  <si>
    <t>Yokoyama H, Hashi T, Umeda K, Icatlo FC Jr, Kuroki M, Ikemori Y, Kodama Y.</t>
  </si>
  <si>
    <t>J Vet Med Sci. 1997 Oct;59(10):917-21. doi: 10.1292/jvms.59.917.</t>
  </si>
  <si>
    <t>10.1292/jvms.59.917</t>
  </si>
  <si>
    <t>Fluconazole versus amphotericin B as empirical antifungal therapy of unexplained fever in granulocytopenic cancer patients: a pragmatic, multicentre, prospective and randomised clinical trial</t>
  </si>
  <si>
    <t>Viscoli C, Castagnola E, Van Lint MT, Moroni C, Garaventa A, Rossi MR, Fanci R, Menichetti F, Caselli D, Giacchino M, Congiu M.</t>
  </si>
  <si>
    <t>Eur J Cancer. 1996 May;32A(5):814-20. doi: 10.1016/0959-8049(95)00619-2.</t>
  </si>
  <si>
    <t>10.1016/0959-8049(95)00619-2</t>
  </si>
  <si>
    <t>Canada goose (Branta canadensis) droppings as a potential source of pathogenic bacteria</t>
  </si>
  <si>
    <t>Feare CJ, Sanders MF, Blasco R, Bishop JD.</t>
  </si>
  <si>
    <t>J R Soc Promot Health. 1999 Sep;119(3):146-55. doi: 10.1177/146642409911900303.</t>
  </si>
  <si>
    <t>J R Soc Promot Health</t>
  </si>
  <si>
    <t>10.1177/146642409911900303</t>
  </si>
  <si>
    <t>Immunoglobulin G is the main protective antibody in mouse vaginal secretions after vaginal immunization with attenuated herpes simplex virus type 2</t>
  </si>
  <si>
    <t>Parr EL, Parr MB.</t>
  </si>
  <si>
    <t>J Virol. 1997 Nov;71(11):8109-15. doi: 10.1128/JVI.71.11.8109-8115.1997.</t>
  </si>
  <si>
    <t>10.1128/JVI.71.11.8109-8115.1997</t>
  </si>
  <si>
    <t>Ulnar nerve inoculation of poliovirus in bonnet monkey: a new primate model to investigate neurovirulence</t>
  </si>
  <si>
    <t>John TJ, Nambiar A, Samuel BU, Rajasingh J.</t>
  </si>
  <si>
    <t>Vaccine. 1992;10(8):529-32. doi: 10.1016/0264-410x(92)90352-k.</t>
  </si>
  <si>
    <t>10.1016/0264-410x(92)90352-k</t>
  </si>
  <si>
    <t>Case-control study of amphotericin B in a triglyceride fat emulsion versus conventional amphotericin B in patients with AIDS</t>
  </si>
  <si>
    <t>Manfredi R, Chiodo F.</t>
  </si>
  <si>
    <t>Pharmacotherapy. 1998 Sep-Oct;18(5):1087-92.</t>
  </si>
  <si>
    <t>The phenotypic expression of different mutations in transmissible human spongiform encephalopathy</t>
  </si>
  <si>
    <t>Brown P.</t>
  </si>
  <si>
    <t>Rev Neurol (Paris). 1992;148(5):317-27.</t>
  </si>
  <si>
    <t>Rev Neurol (Paris)</t>
  </si>
  <si>
    <t>Proliferating cell nuclear antigen immunohistochemistry in astrocytes in experimental Creutzfeldt-Jakob disease and in human kuru, Creutzfeldt-Jakob disease and Gerstmann-Sträussler-Scheinker syndrome</t>
  </si>
  <si>
    <t>Biernat W, Liberski PP, Guiroy DC, Yanagihara R, Gajdusek DC.</t>
  </si>
  <si>
    <t>Neurodegeneration. 1995 Jun;4(2):195-201. doi: 10.1006/neur.1995.0024.</t>
  </si>
  <si>
    <t>Neurodegeneration</t>
  </si>
  <si>
    <t>10.1006/neur.1995.0024</t>
  </si>
  <si>
    <t>A phased approach to clinical testing: criteria for progressing from Phase I to Phase II to Phase III studies</t>
  </si>
  <si>
    <t>André FE, Foulkes MA.</t>
  </si>
  <si>
    <t>Dev Biol Stand. 1998;95:57-60.</t>
  </si>
  <si>
    <t>Health promotion and injury prevention in a child development center</t>
  </si>
  <si>
    <t>Ulione MS.</t>
  </si>
  <si>
    <t>J Pediatr Nurs. 1997 Jun;12(3):148-54. doi: 10.1016/S0882-5963(97)80072-3.</t>
  </si>
  <si>
    <t>10.1016/S0882-5963(97)80072-3</t>
  </si>
  <si>
    <t>Localization of binding sites of staphylococcal enterotoxin B (SEB), a superantigen, for HLA-DR by inhibition with synthetic peptides of SEB</t>
  </si>
  <si>
    <t>Komisar JL, Small-Harris S, Tseng J.</t>
  </si>
  <si>
    <t>Infect Immun. 1994 Nov;62(11):4775-80. doi: 10.1128/iai.62.11.4775-4780.1994.</t>
  </si>
  <si>
    <t>10.1128/iai.62.11.4775-4780.1994</t>
  </si>
  <si>
    <t>Humoral immunity to aerosolized staphylococcal enterotoxin B (SEB), a superantigen, in monkeys vaccinated with SEB toxoid-containing microspheres</t>
  </si>
  <si>
    <t>Tseng J, Komisar JL, Trout RN, Hunt RE, Chen JY, Johnson AJ, Pitt L, Ruble DL.</t>
  </si>
  <si>
    <t>Infect Immun. 1995 Aug;63(8):2880-5. doi: 10.1128/iai.63.8.2880-2885.1995.</t>
  </si>
  <si>
    <t>10.1128/iai.63.8.2880-2885.1995</t>
  </si>
  <si>
    <t>The Aspergillus fumigatus chsC and chsG genes encode class III chitin synthases with different functions</t>
  </si>
  <si>
    <t>Mellado E, Aufauvre-Brown A, Gow NA, Holden DW.</t>
  </si>
  <si>
    <t>Mol Microbiol. 1996 May;20(3):667-79. doi: 10.1046/j.1365-2958.1996.5571084.x.</t>
  </si>
  <si>
    <t>Mol Microbiol</t>
  </si>
  <si>
    <t>10.1046/j.1365-2958.1996.5571084.x</t>
  </si>
  <si>
    <t>Comparisons of highly virulent H5N1 influenza A viruses isolated from humans and chickens from Hong Kong</t>
  </si>
  <si>
    <t>Suarez DL, Perdue ML, Cox N, Rowe T, Bender C, Huang J, Swayne DE.</t>
  </si>
  <si>
    <t>J Virol. 1998 Aug;72(8):6678-88. doi: 10.1128/JVI.72.8.6678-6688.1998.</t>
  </si>
  <si>
    <t>10.1128/JVI.72.8.6678-6688.1998</t>
  </si>
  <si>
    <t>Social isolation modifies the response of mice to experimental Mengo virus infection</t>
  </si>
  <si>
    <t>Clausing P, Bocker T, Diekgerdes J, Gärtner K, Güttner J, Haemisch A, Veckenstedt A, Weimer A.</t>
  </si>
  <si>
    <t>J Exp Anim Sci. 1994 Mar;36(2-3):37-54.</t>
  </si>
  <si>
    <t>J Exp Anim Sci</t>
  </si>
  <si>
    <t>Classification of newly calved cows into moderate and severe responders to experimentally induced Escherichia coli mastitis</t>
  </si>
  <si>
    <t>Vandeputte-Van Messom G, Burvenich C, Roets E, Massart-Leën AM, Heyneman R, Kremer WD, Brand A.</t>
  </si>
  <si>
    <t>J Dairy Res. 1993 Feb;60(1):19-29. doi: 10.1017/s002202990002731x.</t>
  </si>
  <si>
    <t>J Dairy Res</t>
  </si>
  <si>
    <t>10.1017/s002202990002731x</t>
  </si>
  <si>
    <t>[Antibiotic prophylaxis in adult critically ill patients in intensive care units]</t>
  </si>
  <si>
    <t>Tønnesen EK, Toft P.</t>
  </si>
  <si>
    <t>Ugeskr Laeger. 1999 Jan 4;161(1):15-7.</t>
  </si>
  <si>
    <t>Ugeskr Laeger</t>
  </si>
  <si>
    <t>Pyrimethamine-clarithromycin combination for therapy of acute Toxoplasma encephalitis in patients with AIDS</t>
  </si>
  <si>
    <t>Fernandez-Martin J, Leport C, Morlat P, Meyohas MC, Chauvin JP, Vilde JL.</t>
  </si>
  <si>
    <t>Antimicrob Agents Chemother. 1991 Oct;35(10):2049-52. doi: 10.1128/AAC.35.10.2049.</t>
  </si>
  <si>
    <t>10.1128/AAC.35.10.2049</t>
  </si>
  <si>
    <t>Otologic and systemic manifestations of experimental influenza A virus infection in the ferret</t>
  </si>
  <si>
    <t>Buchman CA, Swarts JD, Seroky JT, Panagiotou N, Hayden F, Doyle WJ.</t>
  </si>
  <si>
    <t>Otolaryngol Head Neck Surg. 1995 Apr;112(4):572-8. doi: 10.1177/019459989511200411.</t>
  </si>
  <si>
    <t>Otolaryngol Head Neck Surg</t>
  </si>
  <si>
    <t>10.1177/019459989511200411</t>
  </si>
  <si>
    <t>The effect of acidified enteral feeds on gastric colonization in critically ill patients: results of a multicenter randomized trial. Canadian Critical Care Trials Group</t>
  </si>
  <si>
    <t>Heyland DK, Cook DJ, Schoenfeld PS, Frietag A, Varon J, Wood G.</t>
  </si>
  <si>
    <t>Crit Care Med. 1999 Nov;27(11):2399-406. doi: 10.1097/00003246-199911000-00013.</t>
  </si>
  <si>
    <t>10.1097/00003246-199911000-00013</t>
  </si>
  <si>
    <t>The methodology of safety data in clinical trials</t>
  </si>
  <si>
    <t>Stephens MD.</t>
  </si>
  <si>
    <t>Bratisl Lek Listy. 1991 Nov;92(11):544-5.</t>
  </si>
  <si>
    <t>Bratisl Lek Listy</t>
  </si>
  <si>
    <t>Classical swine fever in wild boar (Sus scrofa)--experimental infections and viral persistence</t>
  </si>
  <si>
    <t>Depner KR, Müller A, Gruber A, Rodriguez A, Bickhardt K, Liess B.</t>
  </si>
  <si>
    <t>Dtsch Tierarztl Wochenschr. 1995 Oct;102(10):381-4.</t>
  </si>
  <si>
    <t>Is immunising all patients with chronic lung disease in the community against influenza cost effective? Evidence from a general practice based clinical prospective cohort study in Utrecht, The Netherlands</t>
  </si>
  <si>
    <t>Hak E, van Essen GA, Buskens E, Stalman W, de Melker RA.</t>
  </si>
  <si>
    <t>J Epidemiol Community Health. 1998 Feb;52(2):120-5. doi: 10.1136/jech.52.2.120.</t>
  </si>
  <si>
    <t>J Epidemiol Community Health</t>
  </si>
  <si>
    <t>10.1136/jech.52.2.120</t>
  </si>
  <si>
    <t>Borna disease: association with a maturation defect in the cellular immune response</t>
  </si>
  <si>
    <t>Carbone KM, Park SW, Rubin SA, Waltrip RW 2nd, Vogelsang GB.</t>
  </si>
  <si>
    <t>J Virol. 1991 Nov;65(11):6154-64. doi: 10.1128/JVI.65.11.6154-6164.1991.</t>
  </si>
  <si>
    <t>10.1128/JVI.65.11.6154-6164.1991</t>
  </si>
  <si>
    <t>Chemokines in nasal secretions of normal adults experimentally infected with respiratory syncytial virus</t>
  </si>
  <si>
    <t>Noah TL, Becker S.</t>
  </si>
  <si>
    <t>Clin Immunol. 2000 Oct;97(1):43-9. doi: 10.1006/clim.2000.4914.</t>
  </si>
  <si>
    <t>Clin Immunol</t>
  </si>
  <si>
    <t>10.1006/clim.2000.4914</t>
  </si>
  <si>
    <t>Design and evaluation of clinical trials of antimicrobial agents in surgery</t>
  </si>
  <si>
    <t>Dellinger EP.</t>
  </si>
  <si>
    <t>Surg Gynecol Obstet. 1991;172 Suppl:65-72.</t>
  </si>
  <si>
    <t>Surg Gynecol Obstet</t>
  </si>
  <si>
    <t>Establishment of an animal model for chronic gastritis with Helicobacter pylori: potential model for long-term observations</t>
  </si>
  <si>
    <t>Fujioka T, Kubota T, Shuto R, Kodama R, Murakami K, Perparim K, Nasu M.</t>
  </si>
  <si>
    <t>Eur J Gastroenterol Hepatol. 1994 Dec;6 Suppl 1:S73-8.</t>
  </si>
  <si>
    <t>Identification of amino acids involved in recognition by dengue virus NS3-specific, HLA-DR15-restricted cytotoxic CD4+ T-cell clones</t>
  </si>
  <si>
    <t>Zeng L, Kurane I, Okamoto Y, Ennis FA, Brinton MA.</t>
  </si>
  <si>
    <t>J Virol. 1996 May;70(5):3108-17. doi: 10.1128/JVI.70.5.3108-3117.1996.</t>
  </si>
  <si>
    <t>10.1128/JVI.70.5.3108-3117.1996</t>
  </si>
  <si>
    <t>ELISA tests for antibodies in experimental bovine tuberculosis</t>
  </si>
  <si>
    <t>Hanna J, Neill SD, O'Brien JJ.</t>
  </si>
  <si>
    <t>Vet Microbiol. 1992 Jun 1;31(2-3):243-9. doi: 10.1016/0378-1135(92)90082-5.</t>
  </si>
  <si>
    <t>10.1016/0378-1135(92)90082-5</t>
  </si>
  <si>
    <t>Evaluation of immune globulin and recombinant interferon-alpha2b for treatment of experimental Ebola virus infections</t>
  </si>
  <si>
    <t>Jahrling PB, Geisbert TW, Geisbert JB, Swearengen JR, Bray M, Jaax NK, Huggins JW, LeDuc JW, Peters CJ.</t>
  </si>
  <si>
    <t>J Infect Dis. 1999 Feb;179 Suppl 1:S224-34. doi: 10.1086/514310.</t>
  </si>
  <si>
    <t>10.1086/514310</t>
  </si>
  <si>
    <t>Combined APACHE II score and serum lactate dehydrogenase as predictors of in-hospital mortality caused by first episode Pneumocystis carinii pneumonia in patients with acquired immunodeficiency syndrome</t>
  </si>
  <si>
    <t>Benson CA, Spear J, Hines D, Pottage JC Jr, Kessler HA, Trenholme GM.</t>
  </si>
  <si>
    <t>Am Rev Respir Dis. 1991 Aug;144(2):319-23. doi: 10.1164/ajrccm/144.2.319.</t>
  </si>
  <si>
    <t>10.1164/ajrccm/144.2.319</t>
  </si>
  <si>
    <t>Blocking interleukin-1 in disease</t>
  </si>
  <si>
    <t>Dinarello CA.</t>
  </si>
  <si>
    <t>Blood Purif. 1993;11(2):118-27. doi: 10.1159/000170105.</t>
  </si>
  <si>
    <t>Blood Purif</t>
  </si>
  <si>
    <t>10.1159/000170105</t>
  </si>
  <si>
    <t>Evaluation of scoring systems in acute meningococcaemia</t>
  </si>
  <si>
    <t>Hachimi-Idrissi S, Corne L, Ramet J.</t>
  </si>
  <si>
    <t>Eur J Emerg Med. 1998 Jun;5(2):225-30.</t>
  </si>
  <si>
    <t>Eur J Emerg Med</t>
  </si>
  <si>
    <t>The activity of Aspergillus ochraceus (fungi) on replete females of Rhipicephalus sanguineus (Acari: Ixodidae) in natural and experimental conditions</t>
  </si>
  <si>
    <t>Estrada-Peña A, González J, Casasolas A.</t>
  </si>
  <si>
    <t>Folia Parasitol (Praha). 1990;37(4):331-6.</t>
  </si>
  <si>
    <t>Folia Parasitol (Praha)</t>
  </si>
  <si>
    <t>The impact of personality on the reporting of unfounded symptoms and illness</t>
  </si>
  <si>
    <t>Feldman PJ, Cohen S, Doyle WJ, Skoner DP, Gwaltney JM Jr.</t>
  </si>
  <si>
    <t>J Pers Soc Psychol. 1999 Aug;77(2):370-8. doi: 10.1037//0022-3514.77.2.370.</t>
  </si>
  <si>
    <t>J Pers Soc Psychol</t>
  </si>
  <si>
    <t>10.1037//0022-3514.77.2.370</t>
  </si>
  <si>
    <t>Immunogenicity in Aujeszky's disease virus structural glycoprotein gVI (gp50) in swine</t>
  </si>
  <si>
    <t>Mukamoto M, Watanabe I, Kobayashi Y, Icatlo FC Jr, Ishii H, Kodama Y.</t>
  </si>
  <si>
    <t>Vet Microbiol. 1991 Oct;29(2):109-21. doi: 10.1016/0378-1135(91)90119-z.</t>
  </si>
  <si>
    <t>10.1016/0378-1135(91)90119-z</t>
  </si>
  <si>
    <t>Reactivation of Nedd-2, a developmentally down-regulated apoptotic gene, in apoptosis induced by a street strain of rabies virus</t>
  </si>
  <si>
    <t>Ubol S, Kasisith J.</t>
  </si>
  <si>
    <t>J Med Microbiol. 2000 Nov;49(11):1043-1046. doi: 10.1099/0022-1317-49-11-1043.</t>
  </si>
  <si>
    <t>J Med Microbiol</t>
  </si>
  <si>
    <t>10.1099/0022-1317-49-11-1043</t>
  </si>
  <si>
    <t>Long-term therapy and on-demand treatment of children and adolescents with severe haemophilia A: 12 years of experience</t>
  </si>
  <si>
    <t>Brackmann HH, Eickhoff HJ, Oldenburg J, Hammerstein U.</t>
  </si>
  <si>
    <t>Haemostasis. 1992;22(5):251-8. doi: 10.1159/000216332.</t>
  </si>
  <si>
    <t>Haemostasis</t>
  </si>
  <si>
    <t>10.1159/000216332</t>
  </si>
  <si>
    <t>Fatal herpesvirus infection in commercial rabbits</t>
  </si>
  <si>
    <t>Onderka DK, Papp-Vid G, Perry AW.</t>
  </si>
  <si>
    <t>Can Vet J. 1992 Aug;33(8):539-43.</t>
  </si>
  <si>
    <t>Can Vet J</t>
  </si>
  <si>
    <t>Efficacy of oral WIN 54954 for prophylaxis of experimental rhinovirus infection</t>
  </si>
  <si>
    <t>Turner RB, Dutko FJ, Goldstein NH, Lockwood G, Hayden FG.</t>
  </si>
  <si>
    <t>Antimicrob Agents Chemother. 1993 Feb;37(2):297-300. doi: 10.1128/AAC.37.2.297.</t>
  </si>
  <si>
    <t>10.1128/AAC.37.2.297</t>
  </si>
  <si>
    <t>[Virus persistence in hepatitis A in monkeys]</t>
  </si>
  <si>
    <t>Shevtsova ZV, Lomovskaia IB, Lapin BA, Esvandzhiia NCh, D'iachenko AG.</t>
  </si>
  <si>
    <t>Vopr Virusol. 1992 May-Jun;37(3):138-41.</t>
  </si>
  <si>
    <t>Vopr Virusol</t>
  </si>
  <si>
    <t>Evaluation of cofactor effect of feline syncytium-forming virus on feline immunodeficiency virus infection</t>
  </si>
  <si>
    <t>Zenger E, Brown WC, Song W, Wolf AM, Pedersen NC, Longnecker M, Li J, Collisson EW.</t>
  </si>
  <si>
    <t>Am J Vet Res. 1993 May;54(5):713-8.</t>
  </si>
  <si>
    <t>Prenatal immune challenge alters the hypothalamic-pituitary-adrenocortical axis in adult rats</t>
  </si>
  <si>
    <t>Reul JM, Stec I, Wiegers GJ, Labeur MS, Linthorst AC, Arzt E, Holsboer F.</t>
  </si>
  <si>
    <t>J Clin Invest. 1994 Jun;93(6):2600-7. doi: 10.1172/JCI117272.</t>
  </si>
  <si>
    <t>10.1172/JCI117272</t>
  </si>
  <si>
    <t>The role of the yellow mongoose (Cynictis penicillata) in the epidemiology of rabies in South Africa--preliminary results</t>
  </si>
  <si>
    <t>Chaparro F, Esterhuysen JJ.</t>
  </si>
  <si>
    <t>Onderstepoort J Vet Res. 1993 Dec;60(4):373-7.</t>
  </si>
  <si>
    <t>Onderstepoort J Vet Res</t>
  </si>
  <si>
    <t>Assessment of attenuated Salmonella typhimurium strains designed as potential carriers of foreign antigens for mucosal localization and immuno-genicity in a rabbit model</t>
  </si>
  <si>
    <t>Boedeker EC, Houng HS, Hone D, Tseng LY, Wolf M, McQueen C.</t>
  </si>
  <si>
    <t>Adv Exp Med Biol. 1995;371B:1653-7.</t>
  </si>
  <si>
    <t>Adv Exp Med Biol</t>
  </si>
  <si>
    <t>The potential role of rodents in the enzootic cycle of Rift Valley fever virus in Senegal</t>
  </si>
  <si>
    <t>Gora D, Yaya T, Jocelyn T, Didier F, Maoulouth D, Amadou S, Ruel TD, Gonzalez JP.</t>
  </si>
  <si>
    <t>Microbes Infect. 2000 Apr;2(4):343-6. doi: 10.1016/s1286-4579(00)00334-8.</t>
  </si>
  <si>
    <t>Microbes Infect</t>
  </si>
  <si>
    <t>10.1016/s1286-4579(00)00334-8</t>
  </si>
  <si>
    <t>Distribution of Aujeszky's disease virus in experimentally infected mink (Mustela vison)</t>
  </si>
  <si>
    <t>Quiroga MI, López-Peña M, Vázquez S, Nieto JM.</t>
  </si>
  <si>
    <t>Dtsch Tierarztl Wochenschr. 1997 Apr;104(4):147-50.</t>
  </si>
  <si>
    <t>Otologic effects of interferon beta serine in experimental rhinovirus colds</t>
  </si>
  <si>
    <t>Sperber SJ, Doyle WJ, McBride TP, Sorrentino JV, Riker DK, Hayden FG.</t>
  </si>
  <si>
    <t>Arch Otolaryngol Head Neck Surg. 1992 Sep;118(9):933-6. doi: 10.1001/archotol.1992.01880090049015.</t>
  </si>
  <si>
    <t>10.1001/archotol.1992.01880090049015</t>
  </si>
  <si>
    <t>Quantitative relationship between oral temperature and severity of illness following inoculation with candidate attenuated dengue virus vaccines</t>
  </si>
  <si>
    <t>Mackowiak PA, Wasserman SS, Tacket CO, Vaughn DW, Eckels KH, Dubois DR, Hoke CH, Edelman R.</t>
  </si>
  <si>
    <t>Clin Infect Dis. 1994 Nov;19(5):948-50. doi: 10.1093/clinids/19.5.948.</t>
  </si>
  <si>
    <t>10.1093/clinids/19.5.948</t>
  </si>
  <si>
    <t>Effects of protein malnutrition on experimental giardiasis in the Mongolian gerbil</t>
  </si>
  <si>
    <t>Leitch GJ, Udezulu IA, He Q, Visvesvara GS.</t>
  </si>
  <si>
    <t>Scand J Gastroenterol. 1993 Oct;28(10):885-93. doi: 10.3109/00365529309103130.</t>
  </si>
  <si>
    <t>Scand J Gastroenterol</t>
  </si>
  <si>
    <t>10.3109/00365529309103130</t>
  </si>
  <si>
    <t>Porcine group C rotavirus as a cause of neonatal diarrhea in a Quebec swine herd</t>
  </si>
  <si>
    <t>Morin M, Magar R, Robinson Y.</t>
  </si>
  <si>
    <t>Can J Vet Res. 1990 Jun;54(3):385-9.</t>
  </si>
  <si>
    <t>[The effects of aqueous extracts of Raphanus niger on an experimental influenza infection in mice and on the enzyme polymorphism in lung tissue extracts]</t>
  </si>
  <si>
    <t>Prahoveanu E, Eşanu V.</t>
  </si>
  <si>
    <t>Rev Roum Virol. 1990 Apr-Jun;41(2):113-7.</t>
  </si>
  <si>
    <t>Rev Roum Virol</t>
  </si>
  <si>
    <t>Experimental aspergillosis in goats: clinical, haematological and mycological studies</t>
  </si>
  <si>
    <t>Mandal PC, Gupta PP.</t>
  </si>
  <si>
    <t>Zentralbl Veterinarmed B. 1993 Jun;40(4):283-6. doi: 10.1111/j.1439-0450.1993.tb00139.x.</t>
  </si>
  <si>
    <t>10.1111/j.1439-0450.1993.tb00139.x</t>
  </si>
  <si>
    <t>[Acute postinfectious encephalomyelitis. A case report]</t>
  </si>
  <si>
    <t>Peña-Alonso R, Carrillo-López H.</t>
  </si>
  <si>
    <t>Bol Med Hosp Infant Mex. 1993 Nov;50(11):819-23.</t>
  </si>
  <si>
    <t>Bol Med Hosp Infant Mex</t>
  </si>
  <si>
    <t>Booster doses of hepatitis B vaccine: responses to low-dose inoculations</t>
  </si>
  <si>
    <t>Thompson SC, Darlington R, Tallent D, Forsyth JR.</t>
  </si>
  <si>
    <t>Med J Aust. 1993 Mar 15;158(6):375-8. doi: 10.5694/j.1326-5377.1993.tb121829.x.</t>
  </si>
  <si>
    <t>Med J Aust</t>
  </si>
  <si>
    <t>10.5694/j.1326-5377.1993.tb121829.x</t>
  </si>
  <si>
    <t>Paralytic illness resembling inflammatory polyradiculoneuropathy in a chimpanzee</t>
  </si>
  <si>
    <t>Alford PL, Satterfield WC.</t>
  </si>
  <si>
    <t>J Am Vet Med Assoc. 1995 Jul 1;207(1):83-5.</t>
  </si>
  <si>
    <t>J Am Vet Med Assoc</t>
  </si>
  <si>
    <t>Serum antibody response to Listeria monocytogenes, listerial excretion, and clinical characteristics in experimentally infected goats</t>
  </si>
  <si>
    <t>Miettinen A, Husu J, Tuomi J.</t>
  </si>
  <si>
    <t>J Clin Microbiol. 1990 Feb;28(2):340-3. doi: 10.1128/jcm.28.2.340-343.1990.</t>
  </si>
  <si>
    <t>10.1128/jcm.28.2.340-343.1990</t>
  </si>
  <si>
    <t>[The role of genetic and ecological factors in development of resistant phenotype in mice during experimental trichinelliasis]</t>
  </si>
  <si>
    <t>Burak II.</t>
  </si>
  <si>
    <t>Genetika. 1990 Jul;26(7):1195-202.</t>
  </si>
  <si>
    <t>Genetika</t>
  </si>
  <si>
    <t>[The sensitivity of rhesus and cynomolgus macaques to the human hepatitis A virus]</t>
  </si>
  <si>
    <t>Doroshenko NV, Shevtsova ZV, Stakhanova VM, Lapin BA, Lomovskaia IB, Zairov GK, Krylova RI, Dzhelieva ZN, Anan'ev VA.</t>
  </si>
  <si>
    <t>Vopr Virusol. 1990 Jul-Aug;35(4):299-303.</t>
  </si>
  <si>
    <t>[A preliminary study on hepatitis E virus antibody IgG and IgM for the diagnosis of acute hepatitis E]</t>
  </si>
  <si>
    <t>Li K, Zhuang H, Zhu W, Ruan B, Jiang J, Li S, Zhai Q, Yao Z, Tang R, Chen Y.</t>
  </si>
  <si>
    <t>Zhonghua Nei Ke Za Zhi. 1999 Nov;38(11):733-6.</t>
  </si>
  <si>
    <t>Zhonghua Nei Ke Za Zhi</t>
  </si>
  <si>
    <t>Little effect of praziquantel or artemisinin on clonorchiasis in Northern Vietnam. A pilot study</t>
  </si>
  <si>
    <t>Tinga N, De N, Vien HV, Chau L, Toan ND, Kager PA, Vries PJ.</t>
  </si>
  <si>
    <t>Trop Med Int Health. 1999 Dec;4(12):814-8. doi: 10.1046/j.1365-3156.1999.00499.x.</t>
  </si>
  <si>
    <t>10.1046/j.1365-3156.1999.00499.x</t>
  </si>
  <si>
    <t>[The role of the kallikrein-kinin system in the pathogenesis of leptospirosis]</t>
  </si>
  <si>
    <t>Kecskés B.</t>
  </si>
  <si>
    <t>Orv Hetil. 1994 Aug 28;135(35):1913-7.</t>
  </si>
  <si>
    <t>Inducible nitric oxide synthase and nitrotyrosine in the central nervous system of mice chronically infected with Trypanosoma brucei brucei</t>
  </si>
  <si>
    <t>Keita M, Vincendeau P, Buguet A, Cespuglio R, Vallat JM, Dumas M, Bouteille B.</t>
  </si>
  <si>
    <t>Exp Parasitol. 2000 May;95(1):19-27. doi: 10.1006/expr.2000.4505.</t>
  </si>
  <si>
    <t>10.1006/expr.2000.4505</t>
  </si>
  <si>
    <t>The effects of idazoxan on reaction times, eye movements and the mood of healthy volunteers and patients with upper respiratory tract illnesses</t>
  </si>
  <si>
    <t>Smith A, Sturgess W, Rich N, Brice C, Collison C, Bailey J, Wilson S, Nutt DJ.</t>
  </si>
  <si>
    <t>J Psychopharmacol. 1999;13(2):148-51. doi: 10.1177/026988119901300206.</t>
  </si>
  <si>
    <t>10.1177/026988119901300206</t>
  </si>
  <si>
    <t>Stealth virus epidemic in the Mohave Valley: severe vacuolating encephalopathy in a child presenting with a behavioral disorder</t>
  </si>
  <si>
    <t>Martin WJ, Anderson D.</t>
  </si>
  <si>
    <t>Exp Mol Pathol. 1999 Apr;66(1):19-30. doi: 10.1006/exmp.1999.2237.</t>
  </si>
  <si>
    <t>Exp Mol Pathol</t>
  </si>
  <si>
    <t>10.1006/exmp.1999.2237</t>
  </si>
  <si>
    <t>The effects of serpin gene mutations on the distinctive pathobiology of cowpox and rabbitpox virus following intranasal inoculation of Balb/c mice</t>
  </si>
  <si>
    <t>Thompson JP, Turner PC, Ali AN, Crenshaw BC, Moyer RW.</t>
  </si>
  <si>
    <t>Virology. 1993 Nov;197(1):328-38. doi: 10.1006/viro.1993.1594.</t>
  </si>
  <si>
    <t>10.1006/viro.1993.1594</t>
  </si>
  <si>
    <t>[Real clinical medicine and evidence-based medicine: evaluative clinical research]</t>
  </si>
  <si>
    <t>Barnosi-Marín AC, Navarro-Corral A, Amat-Berenguel E, Collado-Romacho A, Gálvez-Contreras C, Marín-Gámez N.</t>
  </si>
  <si>
    <t>An Med Interna. 1999 Oct;16(10):515-8.</t>
  </si>
  <si>
    <t>An Med Interna</t>
  </si>
  <si>
    <t>Microvascular cytomegalovirus endothelialitis of the lung: a possible cause of secondary pulmonary hypertension in a patient with AIDS</t>
  </si>
  <si>
    <t>Smith FB, Arias JH, Elmquist TH, Mazzara JT.</t>
  </si>
  <si>
    <t>Chest. 1998 Jul;114(1):337-40. doi: 10.1378/chest.114.1.337.</t>
  </si>
  <si>
    <t>10.1378/chest.114.1.337</t>
  </si>
  <si>
    <t>Serial transmission in rodents of neurodegeneration from transgenic mice expressing mutant prion protein</t>
  </si>
  <si>
    <t>Hsiao KK, Groth D, Scott M, Yang SL, Serban H, Rapp D, Foster D, Torchia M, Dearmond SJ, Prusiner SB.</t>
  </si>
  <si>
    <t>Proc Natl Acad Sci U S A. 1994 Sep 13;91(19):9126-30. doi: 10.1073/pnas.91.19.9126.</t>
  </si>
  <si>
    <t>10.1073/pnas.91.19.9126</t>
  </si>
  <si>
    <t>Platelet and plasma platelet-activating factor in sepsis and myocardial infarction</t>
  </si>
  <si>
    <t>Graham RM, Strahan ME, Norman KW, Watkins DN, Sturm MJ, Taylor RR.</t>
  </si>
  <si>
    <t>J Lipid Mediat Cell Signal. 1994 Mar;9(2):167-82.</t>
  </si>
  <si>
    <t>J Lipid Mediat Cell Signal</t>
  </si>
  <si>
    <t>Control of cytomegalovirus retinitis using sustained release of intraocular ganciclovir</t>
  </si>
  <si>
    <t>Anand R, Nightingale SD, Fish RH, Smith TJ, Ashton P.</t>
  </si>
  <si>
    <t>Arch Ophthalmol. 1993 Feb;111(2):223-7. doi: 10.1001/archopht.1993.01090020077027.</t>
  </si>
  <si>
    <t>Arch Ophthalmol</t>
  </si>
  <si>
    <t>10.1001/archopht.1993.01090020077027</t>
  </si>
  <si>
    <t>Soluble plasma antigen in experimental Salmonella typhimurium infection in mice</t>
  </si>
  <si>
    <t>Butler T, Rolfe RD, James GM, Hentges DJ.</t>
  </si>
  <si>
    <t>FEMS Immunol Med Microbiol. 1994 Oct;9(4):325-32. doi: 10.1111/j.1574-695X.1994.tb00368.x.</t>
  </si>
  <si>
    <t>FEMS Immunol Med Microbiol</t>
  </si>
  <si>
    <t>10.1111/j.1574-695X.1994.tb00368.x</t>
  </si>
  <si>
    <t>Hematological changes in rats exposed to weak electromagnetic fields</t>
  </si>
  <si>
    <t>Ubeda A, Díaz-Enriquez M, Martínez-Pascual MA, Parreño A.</t>
  </si>
  <si>
    <t>Life Sci. 1997;61(17):1651-6. doi: 10.1016/s0024-3205(97)00770-4.</t>
  </si>
  <si>
    <t>10.1016/s0024-3205(97)00770-4</t>
  </si>
  <si>
    <t>Primary stage of feline immunodeficiency virus infection: viral dissemination and cellular targets</t>
  </si>
  <si>
    <t>Beebe AM, Dua N, Faith TG, Moore PF, Pedersen NC, Dandekar S.</t>
  </si>
  <si>
    <t>J Virol. 1994 May;68(5):3080-91. doi: 10.1128/JVI.68.5.3080-3091.1994.</t>
  </si>
  <si>
    <t>10.1128/JVI.68.5.3080-3091.1994</t>
  </si>
  <si>
    <t>Characterization of viral inhibitory substance released from fused splenocyte</t>
  </si>
  <si>
    <t>Kim YW, Yoon JW, Cho MK.</t>
  </si>
  <si>
    <t>Mol Cells. 1997 Apr 30;7(2):165-9.</t>
  </si>
  <si>
    <t>RhGM-CSF in bone marrow transplantation: experience in pediatric patients</t>
  </si>
  <si>
    <t>Nemunaitis JJ.</t>
  </si>
  <si>
    <t>Med Pediatr Oncol Suppl. 1992;2:31-3. doi: 10.1002/mpo.2950200708.</t>
  </si>
  <si>
    <t>Med Pediatr Oncol Suppl</t>
  </si>
  <si>
    <t>10.1002/mpo.2950200708</t>
  </si>
  <si>
    <t>A host-cell-selected variant of influenza B virus with a single nucleotide substitution in HA affecting a potential glycosylation site was attenuated in virulence for volunteers</t>
  </si>
  <si>
    <t>Oxford JS, Schild GC, Corcoran T, Newman R, Major D, Robertson J, Bootman J, Higgins P, al-Nakib W, Tyrrell DA.</t>
  </si>
  <si>
    <t>Arch Virol. 1990;110(1-2):37-46. doi: 10.1007/BF01310701.</t>
  </si>
  <si>
    <t>10.1007/BF01310701</t>
  </si>
  <si>
    <t>Borrelia burgdorferi: survival in experimentally infected human blood processed for transfusion</t>
  </si>
  <si>
    <t>Johnson SE, Swaminathan B, Moore P, Broome CV, Parvin M.</t>
  </si>
  <si>
    <t>J Infect Dis. 1990 Aug;162(2):557-9. doi: 10.1093/infdis/162.2.557.</t>
  </si>
  <si>
    <t>10.1093/infdis/162.2.557</t>
  </si>
  <si>
    <t>Shift of hepatitis E virus RNA from hepatocytes to biliary epithelial cells during acute infection of rhesus monkey</t>
  </si>
  <si>
    <t>Kawai HF, Koji T, Iida F, Kaneko S, Kobayashi K, Nakane PK.</t>
  </si>
  <si>
    <t>J Viral Hepat. 1999 Jul;6(4):287-97. doi: 10.1046/j.1365-2893.1999.00164.x.</t>
  </si>
  <si>
    <t>10.1046/j.1365-2893.1999.00164.x</t>
  </si>
  <si>
    <t>Influence of Newcastle disease virus on the severity of Pasteurella anatipestifer infection in turkeys</t>
  </si>
  <si>
    <t>Charles SD, Nagaraja KV, Halvorson DA, Barnes DM.</t>
  </si>
  <si>
    <t>Res Vet Sci. 1993 Sep;55(2):209-14. doi: 10.1016/0034-5288(93)90083-r.</t>
  </si>
  <si>
    <t>Res Vet Sci</t>
  </si>
  <si>
    <t>10.1016/0034-5288(93)90083-r</t>
  </si>
  <si>
    <t>The influence of genotypes and social ranks in the clinical course of an experimental infection with Mycoplasma pulmonis (MRM) in inbred rats</t>
  </si>
  <si>
    <t>Iglauer F, Deutsch W, Gärtner K, Schwarz GO.</t>
  </si>
  <si>
    <t>Zentralbl Veterinarmed B. 1992 Nov;39(9):672-82. doi: 10.1111/j.1439-0450.1992.tb01221.x.</t>
  </si>
  <si>
    <t>10.1111/j.1439-0450.1992.tb01221.x</t>
  </si>
  <si>
    <t>Influence of interferon-gamma administration on the severity of experimental group B streptococcal arthritis</t>
  </si>
  <si>
    <t>Puliti M, von Hunolstein C, Bistoni F, Mosci P, Orefici G, Tissi L.</t>
  </si>
  <si>
    <t>Arthritis Rheum. 2000 Dec;43(12):2678-86. doi: 10.1002/1529-0131(200012)43:12&lt;2678::AID-ANR7&gt;3.0.CO;2-A.</t>
  </si>
  <si>
    <t>10.1002/1529-0131(200012)43:12&lt;2678::AID-ANR7&gt;3.0.CO;2-A</t>
  </si>
  <si>
    <t>Annual economic loss caused by Taenia saginata asiatica taeniasis in three endemic areas of east Asia</t>
  </si>
  <si>
    <t>Fan PC.</t>
  </si>
  <si>
    <t>Southeast Asian J Trop Med Public Health. 1997;28 Suppl 1:217-21.</t>
  </si>
  <si>
    <t>Southeast Asian J Trop Med Public Health</t>
  </si>
  <si>
    <t>Infectivity of Cryptosporidium muris directly isolated from the murine stomach for various laboratory animals</t>
  </si>
  <si>
    <t>Aydin Y, Ozkul IA.</t>
  </si>
  <si>
    <t>Vet Parasitol. 1996 Nov 15;66(3-4):257-62. doi: 10.1016/s0304-4017(96)01007-2.</t>
  </si>
  <si>
    <t>10.1016/s0304-4017(96)01007-2</t>
  </si>
  <si>
    <t>FHI to oversee AIDS vaccine trials</t>
  </si>
  <si>
    <t>Netw Res Triangle Park N C. 1994 Feb;14(3):2.</t>
  </si>
  <si>
    <t>Netw Res Triangle Park N C</t>
  </si>
  <si>
    <t>The role of interleukin-10 in critical illness</t>
  </si>
  <si>
    <t>Opal SM, Huber CE.</t>
  </si>
  <si>
    <t>Curr Opin Infect Dis. 2000 Jun;13(3):221-226. doi: 10.1097/00001432-200006000-00004.</t>
  </si>
  <si>
    <t>10.1097/00001432-200006000-00004</t>
  </si>
  <si>
    <t>Susceptibility of elk (Cervus elaphus) to experimental infection with Anaplasma marginale and A. ovis</t>
  </si>
  <si>
    <t>Zaugg JL, Goff WL, Foreyt W, Hunter DL.</t>
  </si>
  <si>
    <t>J Wildl Dis. 1996 Jan;32(1):62-6. doi: 10.7589/0090-3558-32.1.62.</t>
  </si>
  <si>
    <t>10.7589/0090-3558-32.1.62</t>
  </si>
  <si>
    <t>[Corynebacterium suis infection in swine. 1. Clinical diagnosis with special consideration of urine studies and cystoscopy]</t>
  </si>
  <si>
    <t>Wendt M, Liebhold M, Kaup F, Amtsberg G, Bollwahn W.</t>
  </si>
  <si>
    <t>Tierarztl Prax. 1990 Aug;18(4):353-7.</t>
  </si>
  <si>
    <t>Tierarztl Prax</t>
  </si>
  <si>
    <t>Prognostic scores and design of clinical studies</t>
  </si>
  <si>
    <t>Ohmann C.</t>
  </si>
  <si>
    <t>Infection. 1998 Sep-Oct;26(5):342-4. doi: 10.1007/BF02962268.</t>
  </si>
  <si>
    <t>Infection</t>
  </si>
  <si>
    <t>10.1007/BF02962268</t>
  </si>
  <si>
    <t>New artificial feeding technique for experimental infection of Argas ticks (Acari: Argasidae)</t>
  </si>
  <si>
    <t>Abbassy MM, Stein KJ, Osman M.</t>
  </si>
  <si>
    <t>J Med Entomol. 1994 Mar;31(2):202-5. doi: 10.1093/jmedent/31.2.202.</t>
  </si>
  <si>
    <t>10.1093/jmedent/31.2.202</t>
  </si>
  <si>
    <t>Suppression of adjuvant-induced arthritis by liposomally conjugated methotrexate in the rat</t>
  </si>
  <si>
    <t>Williams AS, Camilleri JP, Williams BD.</t>
  </si>
  <si>
    <t>Br J Rheumatol. 1994 Jun;33(6):530-3. doi: 10.1093/rheumatology/33.6.530.</t>
  </si>
  <si>
    <t>Br J Rheumatol</t>
  </si>
  <si>
    <t>10.1093/rheumatology/33.6.530</t>
  </si>
  <si>
    <t>Immunohistochemical diagnosis of typhus rickettsioses using an anti-lipopolysaccharide monoclonal antibody</t>
  </si>
  <si>
    <t>Walker DH, Feng HM, Ladner S, Billings AN, Zaki SR, Wear DJ, Hightower B.</t>
  </si>
  <si>
    <t>Mod Pathol. 1997 Oct;10(10):1038-42.</t>
  </si>
  <si>
    <t>Mod Pathol</t>
  </si>
  <si>
    <t>Peroral immunization of adult white mice with the Skalica strain from the tick-borne encephalitis virus complex</t>
  </si>
  <si>
    <t>Elecková E, Gresíková M.</t>
  </si>
  <si>
    <t>Acta Virol. 1992 Oct;36(5):466-72.</t>
  </si>
  <si>
    <t>Acta Virol</t>
  </si>
  <si>
    <t>[The therapeutic efficacy of ribamidil and virazole in experimental Lassa fever in monkeys]</t>
  </si>
  <si>
    <t>Dvoretskaia VI, Bogatikov GV, Pshenichnov VA, Evseev AA.</t>
  </si>
  <si>
    <t>Vopr Virusol. 1991 Jan-Feb;36(1):55-7.</t>
  </si>
  <si>
    <t>[Personal view of the use of disposable syringes for analgesia in dentistry]</t>
  </si>
  <si>
    <t>Albanese AV, Baldinelli L.</t>
  </si>
  <si>
    <t>G Anest Stomatol. 1990 Jan-Mar;19(1):25-31.</t>
  </si>
  <si>
    <t>G Anest Stomatol</t>
  </si>
  <si>
    <t>[Experimental Ebola fever in Macaca mulatta]</t>
  </si>
  <si>
    <t>P'iankov OV, Sergeev AN, P'iankova OG, Chepurnov AA.</t>
  </si>
  <si>
    <t>Vopr Virusol. 1995 May-Jun;40(3):113-5.</t>
  </si>
  <si>
    <t>2000-2010</t>
  </si>
  <si>
    <t>Efficacy and safety of sorafenib in patients in the Asia-Pacific region with advanced hepatocellular carcinoma: a phase III randomised, double-blind, placebo-controlled trial</t>
  </si>
  <si>
    <t>Cheng AL, Kang YK, Chen Z, Tsao CJ, Qin S, Kim JS, Luo R, Feng J, Ye S, Yang TS, Xu J, Sun Y, Liang H, Liu J, Wang J, Tak WY, Pan H, Burock K, Zou J, Voliotis D, Guan Z.</t>
  </si>
  <si>
    <t>Lancet Oncol. 2009 Jan;10(1):25-34. doi: 10.1016/S1470-2045(08)70285-7. Epub 2008 Dec 16.</t>
  </si>
  <si>
    <t>10.1016/S1470-2045(08)70285-7</t>
  </si>
  <si>
    <t>Pathogenesis, treatment, and prevention of pneumococcal pneumonia</t>
  </si>
  <si>
    <t>van der Poll T, Opal SM.</t>
  </si>
  <si>
    <t>Lancet. 2009 Oct 31;374(9700):1543-56. doi: 10.1016/S0140-6736(09)61114-4.</t>
  </si>
  <si>
    <t>10.1016/S0140-6736(09)61114-4</t>
  </si>
  <si>
    <t>Opioids and the management of chronic severe pain in the elderly: consensus statement of an International Expert Panel with focus on the six clinically most often used World Health Organization Step III opioids (buprenorphine, fentanyl, hydromorphone, methadone, morphine, oxycodone)</t>
  </si>
  <si>
    <t>Pergolizzi J, Böger RH, Budd K, Dahan A, Erdine S, Hans G, Kress HG, Langford R, Likar R, Raffa RB, Sacerdote P.</t>
  </si>
  <si>
    <t>Pain Pract. 2008 Jul-Aug;8(4):287-313. doi: 10.1111/j.1533-2500.2008.00204.x. Epub 2008 May 23.</t>
  </si>
  <si>
    <t>Pain Pract</t>
  </si>
  <si>
    <t>10.1111/j.1533-2500.2008.00204.x</t>
  </si>
  <si>
    <t>Cranberry and urinary tract infections</t>
  </si>
  <si>
    <t>Guay DR.</t>
  </si>
  <si>
    <t>Drugs. 2009;69(7):775-807. doi: 10.2165/00003495-200969070-00002.</t>
  </si>
  <si>
    <t>10.2165/00003495-200969070-00002</t>
  </si>
  <si>
    <t>Silver diamine fluoride: a caries "silver-fluoride bullet"</t>
  </si>
  <si>
    <t>Rosenblatt A, Stamford TC, Niederman R.</t>
  </si>
  <si>
    <t>J Dent Res. 2009 Feb;88(2):116-25. doi: 10.1177/0022034508329406.</t>
  </si>
  <si>
    <t>J Dent Res</t>
  </si>
  <si>
    <t>10.1177/0022034508329406</t>
  </si>
  <si>
    <t>Blastomycosis</t>
  </si>
  <si>
    <t>Pappas PG.</t>
  </si>
  <si>
    <t>Semin Respir Crit Care Med. 2004 Apr;25(2):113-21. doi: 10.1055/s-2004-824896.</t>
  </si>
  <si>
    <t>10.1055/s-2004-824896</t>
  </si>
  <si>
    <t>An evaluation of Echinacea angustifolia in experimental rhinovirus infections</t>
  </si>
  <si>
    <t>Turner RB, Bauer R, Woelkart K, Hulsey TC, Gangemi JD.</t>
  </si>
  <si>
    <t>N Engl J Med. 2005 Jul 28;353(4):341-8. doi: 10.1056/NEJMoa044441.</t>
  </si>
  <si>
    <t>10.1056/NEJMoa044441</t>
  </si>
  <si>
    <t>Cannabis in painful HIV-associated sensory neuropathy: a randomized placebo-controlled trial</t>
  </si>
  <si>
    <t>Abrams DI, Jay CA, Shade SB, Vizoso H, Reda H, Press S, Kelly ME, Rowbotham MC, Petersen KL.</t>
  </si>
  <si>
    <t>Neurology. 2007 Feb 13;68(7):515-21. doi: 10.1212/01.wnl.0000253187.66183.9c.</t>
  </si>
  <si>
    <t>10.1212/01.wnl.0000253187.66183.9c</t>
  </si>
  <si>
    <t>Antiviral strategies against human coronaviruses</t>
  </si>
  <si>
    <t>Pyrc K, Berkhout B, van der Hoek L.</t>
  </si>
  <si>
    <t>Infect Disord Drug Targets. 2007 Mar;7(1):59-66. doi: 10.2174/187152607780090757.</t>
  </si>
  <si>
    <t>Infect Disord Drug Targets</t>
  </si>
  <si>
    <t>10.2174/187152607780090757</t>
  </si>
  <si>
    <t>Hospital at home: feasibility and outcomes of a program to provide hospital-level care at home for acutely ill older patients</t>
  </si>
  <si>
    <t>Leff B, Burton L, Mader SL, Naughton B, Burl J, Inouye SK, Greenough WB 3rd, Guido S, Langston C, Frick KD, Steinwachs D, Burton JR.</t>
  </si>
  <si>
    <t>Ann Intern Med. 2005 Dec 6;143(11):798-808. doi: 10.7326/0003-4819-143-11-200512060-00008.</t>
  </si>
  <si>
    <t>10.7326/0003-4819-143-11-200512060-00008</t>
  </si>
  <si>
    <t>Community-acquired pneumonia</t>
  </si>
  <si>
    <t>Andrews J, Nadjm B, Gant V, Shetty N.</t>
  </si>
  <si>
    <t>Curr Opin Pulm Med. 2003 May;9(3):175-80. doi: 10.1097/00063198-200305000-00004.</t>
  </si>
  <si>
    <t>10.1097/00063198-200305000-00004</t>
  </si>
  <si>
    <t>Enterovirus uveitis</t>
  </si>
  <si>
    <t>Lashkevich VA, Koroleva GA, Lukashev AN, Denisova EV, Katargina LA.</t>
  </si>
  <si>
    <t>Rev Med Virol. 2004 Jul-Aug;14(4):241-54. doi: 10.1002/rmv.433.</t>
  </si>
  <si>
    <t>10.1002/rmv.433</t>
  </si>
  <si>
    <t>Hemoglobin solutions</t>
  </si>
  <si>
    <t>Creteur J, Vincent JL.</t>
  </si>
  <si>
    <t>Crit Care Med. 2003 Dec;31(12 Suppl):S698-707. doi: 10.1097/01.CCM.0000098037.40520.81.</t>
  </si>
  <si>
    <t>10.1097/01.CCM.0000098037.40520.81</t>
  </si>
  <si>
    <t>Pharmacokinetic considerations for antimicrobial therapy in patients receiving renal replacement therapy</t>
  </si>
  <si>
    <t>Pea F, Viale P, Pavan F, Furlanut M.</t>
  </si>
  <si>
    <t>Clin Pharmacokinet. 2007;46(12):997-1038. doi: 10.2165/00003088-200746120-00003.</t>
  </si>
  <si>
    <t>10.2165/00003088-200746120-00003</t>
  </si>
  <si>
    <t>Saccharomyces boulardii in the prevention of antibiotic-associated diarrhoea in children: a randomized double-blind placebo-controlled trial</t>
  </si>
  <si>
    <t>Kotowska M, Albrecht P, Szajewska H.</t>
  </si>
  <si>
    <t>Aliment Pharmacol Ther. 2005 Mar 1;21(5):583-90. doi: 10.1111/j.1365-2036.2005.02356.x.</t>
  </si>
  <si>
    <t>10.1111/j.1365-2036.2005.02356.x</t>
  </si>
  <si>
    <t>Estimating influenza vaccine efficacy from challenge and community-based study data</t>
  </si>
  <si>
    <t>Basta NE, Halloran ME, Matrajt L, Longini IM Jr.</t>
  </si>
  <si>
    <t>Am J Epidemiol. 2008 Dec 15;168(12):1343-52. doi: 10.1093/aje/kwn259. Epub 2008 Oct 29.</t>
  </si>
  <si>
    <t>Am J Epidemiol</t>
  </si>
  <si>
    <t>10.1093/aje/kwn259</t>
  </si>
  <si>
    <t>Depressing research</t>
  </si>
  <si>
    <t>Roth D, Boyle E, Beer D, Malik A, deBruyn J.</t>
  </si>
  <si>
    <t>Lancet. 2004 Jun 19;363(9426):2087. doi: 10.1016/S0140-6736(04)16462-3.</t>
  </si>
  <si>
    <t>10.1016/S0140-6736(04)16462-3</t>
  </si>
  <si>
    <t>Infections and autoimmunity: a panorama</t>
  </si>
  <si>
    <t>Pordeus V, Szyper-Kravitz M, Levy RA, Vaz NM, Shoenfeld Y.</t>
  </si>
  <si>
    <t>Clin Rev Allergy Immunol. 2008 Jun;34(3):283-99. doi: 10.1007/s12016-007-8048-8.</t>
  </si>
  <si>
    <t>Clin Rev Allergy Immunol</t>
  </si>
  <si>
    <t>10.1007/s12016-007-8048-8</t>
  </si>
  <si>
    <t>Tick-borne encephalitis: pathogenesis and clinical implications</t>
  </si>
  <si>
    <t>Růžek D, Dobler G, Donoso Mantke O.</t>
  </si>
  <si>
    <t>Travel Med Infect Dis. 2010 Jul;8(4):223-32. doi: 10.1016/j.tmaid.2010.06.004. Epub 2010 Jul 21.</t>
  </si>
  <si>
    <t>Travel Med Infect Dis</t>
  </si>
  <si>
    <t>10.1016/j.tmaid.2010.06.004</t>
  </si>
  <si>
    <t>Ceftaroline fosamil: a novel broad-spectrum cephalosporin</t>
  </si>
  <si>
    <t>Bazan JA, Martin SI.</t>
  </si>
  <si>
    <t>Drugs Today (Barc). 2010 Oct;46(10):743-55. doi: 10.1358/dot.2010.46.10.1519172.</t>
  </si>
  <si>
    <t>10.1358/dot.2010.46.10.1519172</t>
  </si>
  <si>
    <t>Chemotherapy for second-stage Human African trypanosomiasis</t>
  </si>
  <si>
    <t>Lutje V, Seixas J, Kennedy A.</t>
  </si>
  <si>
    <t>Cochrane Database Syst Rev. 2010 Aug 4;(8):CD006201. doi: 10.1002/14651858.CD006201.pub2.</t>
  </si>
  <si>
    <t>10.1002/14651858.CD006201.pub2</t>
  </si>
  <si>
    <t>Heat stroke and cytokines</t>
  </si>
  <si>
    <t>Leon LR.</t>
  </si>
  <si>
    <t>Prog Brain Res. 2007;162:481-524. doi: 10.1016/S0079-6123(06)62024-4.</t>
  </si>
  <si>
    <t>10.1016/S0079-6123(06)62024-4</t>
  </si>
  <si>
    <t>Vaccinations and multiple sclerosis</t>
  </si>
  <si>
    <t>Gout O.</t>
  </si>
  <si>
    <t>Neurol Sci. 2001 Apr;22(2):151-4.</t>
  </si>
  <si>
    <t>Neurol Sci</t>
  </si>
  <si>
    <t>Albinterferon-alpha 2b: a new treatment option for hepatitis C</t>
  </si>
  <si>
    <t>Flisiak R, Flisiak I.</t>
  </si>
  <si>
    <t>Expert Opin Biol Ther. 2010 Oct;10(10):1509-15. doi: 10.1517/14712598.2010.521494.</t>
  </si>
  <si>
    <t>10.1517/14712598.2010.521494</t>
  </si>
  <si>
    <t>Pentoxifylline in preterm neonates: a systematic review</t>
  </si>
  <si>
    <t>Harris E, Schulzke SM, Patole SK.</t>
  </si>
  <si>
    <t>Paediatr Drugs. 2010 Oct 1;12(5):301-11. doi: 10.2165/11532600-000000000-00000.</t>
  </si>
  <si>
    <t>10.2165/11532600-000000000-00000</t>
  </si>
  <si>
    <t>Pathogenesis of filoviral haemorrhagic fevers</t>
  </si>
  <si>
    <t>Mahanty S, Bray M.</t>
  </si>
  <si>
    <t>Lancet Infect Dis. 2004 Aug;4(8):487-98. doi: 10.1016/S1473-3099(04)01103-X.</t>
  </si>
  <si>
    <t>10.1016/S1473-3099(04)01103-X</t>
  </si>
  <si>
    <t>Immunosupportive therapies in aging</t>
  </si>
  <si>
    <t>Fülöp T, Larbi A, Hirokawa K, Mocchegiani E, Lesourds B, Castle S, Wikby A, Franceschi C, Pawelec G.</t>
  </si>
  <si>
    <t>Clin Interv Aging. 2007;2(1):33-54. doi: 10.2147/ciia.2007.2.1.33.</t>
  </si>
  <si>
    <t>10.2147/ciia.2007.2.1.33</t>
  </si>
  <si>
    <t>Corticosteroids for acute bacterial meningitis</t>
  </si>
  <si>
    <t>Brouwer MC, McIntyre P, de Gans J, Prasad K, van de Beek D.</t>
  </si>
  <si>
    <t>Cochrane Database Syst Rev. 2010 Sep 8;(9):CD004405. doi: 10.1002/14651858.CD004405.pub3.</t>
  </si>
  <si>
    <t>10.1002/14651858.CD004405.pub3</t>
  </si>
  <si>
    <t>Pirfenidone: antifibrotic agent for idiopathic pulmonary fibrosis</t>
  </si>
  <si>
    <t>Azuma A.</t>
  </si>
  <si>
    <t>Expert Rev Respir Med. 2010 Jun;4(3):301-10. doi: 10.1586/ers.10.32.</t>
  </si>
  <si>
    <t>10.1586/ers.10.32</t>
  </si>
  <si>
    <t>Cognitive reorganization and stigmatization among persons with HIV</t>
  </si>
  <si>
    <t>Abel E, Rew L, Gortner EM, Delville CL.</t>
  </si>
  <si>
    <t>J Adv Nurs. 2004 Sep;47(5):510-25. doi: 10.1111/j.1365-2648.2004.03134.x.</t>
  </si>
  <si>
    <t>J Adv Nurs</t>
  </si>
  <si>
    <t>10.1111/j.1365-2648.2004.03134.x</t>
  </si>
  <si>
    <t>Antibiotic therapy for prophylaxis against infection of pancreatic necrosis in acute pancreatitis</t>
  </si>
  <si>
    <t>Villatoro E, Bassi C, Larvin M.</t>
  </si>
  <si>
    <t>Cochrane Database Syst Rev. 2006 Oct 18;(4):CD002941. doi: 10.1002/14651858.CD002941.pub2.</t>
  </si>
  <si>
    <t>10.1002/14651858.CD002941.pub2</t>
  </si>
  <si>
    <t>Antimicrobial peptides and proteins, exercise and innate mucosal immunity</t>
  </si>
  <si>
    <t>West NP, Pyne DB, Renshaw G, Cripps AW.</t>
  </si>
  <si>
    <t>FEMS Immunol Med Microbiol. 2006 Dec;48(3):293-304. doi: 10.1111/j.1574-695X.2006.00132.x.</t>
  </si>
  <si>
    <t>10.1111/j.1574-695X.2006.00132.x</t>
  </si>
  <si>
    <t>The role of prebiotics and synbiotics in critically ill patients</t>
  </si>
  <si>
    <t>Manzanares W, Hardy G.</t>
  </si>
  <si>
    <t>Curr Opin Clin Nutr Metab Care. 2008 Nov;11(6):782-9. doi: 10.1097/MCO.0b013e328312c4f9.</t>
  </si>
  <si>
    <t>10.1097/MCO.0b013e328312c4f9</t>
  </si>
  <si>
    <t>Overview of virus-induced airway disease</t>
  </si>
  <si>
    <t>Johnston SL.</t>
  </si>
  <si>
    <t>Proc Am Thorac Soc. 2005;2(2):150-6. doi: 10.1513/pats.200502-018AW.</t>
  </si>
  <si>
    <t>10.1513/pats.200502-018AW</t>
  </si>
  <si>
    <t>On the epidemiology of influenza</t>
  </si>
  <si>
    <t>Cannell JJ, Zasloff M, Garland CF, Scragg R, Giovannucci E.</t>
  </si>
  <si>
    <t>Virol J. 2008 Feb 25;5:29. doi: 10.1186/1743-422X-5-29.</t>
  </si>
  <si>
    <t>Virol J</t>
  </si>
  <si>
    <t>10.1186/1743-422X-5-29</t>
  </si>
  <si>
    <t>Managing depression during hepatitis C treatment</t>
  </si>
  <si>
    <t>Sockalingam S, Abbey SE.</t>
  </si>
  <si>
    <t>Can J Psychiatry. 2009 Sep;54(9):614-25. doi: 10.1177/070674370905400906.</t>
  </si>
  <si>
    <t>Can J Psychiatry</t>
  </si>
  <si>
    <t>10.1177/070674370905400906</t>
  </si>
  <si>
    <t>WITHDRAWN: Antivirals for the common cold</t>
  </si>
  <si>
    <t>Jefferson TO, Tyrrell D.</t>
  </si>
  <si>
    <t>Cochrane Database Syst Rev. 2007 Jul 18;(3):CD002743. doi: 10.1002/14651858.CD002743.pub2.</t>
  </si>
  <si>
    <t>10.1002/14651858.CD002743.pub2</t>
  </si>
  <si>
    <t>Treatment of latent tuberculosis infection: An update</t>
  </si>
  <si>
    <t>Lobue P, Menzies D.</t>
  </si>
  <si>
    <t>Respirology. 2010 May;15(4):603-22. doi: 10.1111/j.1440-1843.2010.01751.x. Epub 2010 Apr 7.</t>
  </si>
  <si>
    <t>10.1111/j.1440-1843.2010.01751.x</t>
  </si>
  <si>
    <t>Safety and immunogenicity of HCV E1E2 vaccine adjuvanted with MF59 administered to healthy adults</t>
  </si>
  <si>
    <t>Frey SE, Houghton M, Coates S, Abrignani S, Chien D, Rosa D, Pileri P, Ray R, Di Bisceglie AM, Rinella P, Hill H, Wolff MC, Schultze V, Han JH, Scharschmidt B, Belshe RB.</t>
  </si>
  <si>
    <t>Vaccine. 2010 Aug 31;28(38):6367-73. doi: 10.1016/j.vaccine.2010.06.084. Epub 2010 Jul 7.</t>
  </si>
  <si>
    <t>NIHMS219497</t>
  </si>
  <si>
    <t>10.1016/j.vaccine.2010.06.084</t>
  </si>
  <si>
    <t>Oseltamivir: a review of its use in influenza</t>
  </si>
  <si>
    <t>McClellan K, Perry CM.</t>
  </si>
  <si>
    <t>Drugs. 2001;61(2):263-83. doi: 10.2165/00003495-200161020-00011.</t>
  </si>
  <si>
    <t>10.2165/00003495-200161020-00011</t>
  </si>
  <si>
    <t>Ribavirin for Crimean-Congo hemorrhagic fever: systematic review and meta-analysis</t>
  </si>
  <si>
    <t>Soares-Weiser K, Thomas S, Thomson G, Garner P.</t>
  </si>
  <si>
    <t>BMC Infect Dis. 2010 Jul 13;10:207. doi: 10.1186/1471-2334-10-207.</t>
  </si>
  <si>
    <t>10.1186/1471-2334-10-207</t>
  </si>
  <si>
    <t>Support for breastfeeding mothers</t>
  </si>
  <si>
    <t>Sikorski J, Renfrew MJ, Pindoria S, Wade A.</t>
  </si>
  <si>
    <t>Cochrane Database Syst Rev. 2002;(1):CD001141. doi: 10.1002/14651858.CD001141.</t>
  </si>
  <si>
    <t>10.1002/14651858.CD001141</t>
  </si>
  <si>
    <t>Percutaneous needle aspiration, injection, and reaspiration with or without benzimidazole coverage for uncomplicated hepatic hydatid cysts</t>
  </si>
  <si>
    <t>Nasseri Moghaddam S, Abrishami A, Malekzadeh R.</t>
  </si>
  <si>
    <t>Cochrane Database Syst Rev. 2006 Apr 19;(2):CD003623. doi: 10.1002/14651858.CD003623.pub2.</t>
  </si>
  <si>
    <t>10.1002/14651858.CD003623.pub2</t>
  </si>
  <si>
    <t>Proof of the effect of testosterone on skeletal muscle</t>
  </si>
  <si>
    <t>Bhasin S, Woodhouse L, Storer TW.</t>
  </si>
  <si>
    <t>J Endocrinol. 2001 Jul;170(1):27-38. doi: 10.1677/joe.0.1700027.</t>
  </si>
  <si>
    <t>J Endocrinol</t>
  </si>
  <si>
    <t>10.1677/joe.0.1700027</t>
  </si>
  <si>
    <t>Role of brain inflammation in epileptogenesis</t>
  </si>
  <si>
    <t>Choi J, Koh S.</t>
  </si>
  <si>
    <t>Yonsei Med J. 2008 Feb 29;49(1):1-18. doi: 10.3349/ymj.2008.49.1.1.</t>
  </si>
  <si>
    <t>Yonsei Med J</t>
  </si>
  <si>
    <t>10.3349/ymj.2008.49.1.1</t>
  </si>
  <si>
    <t>Antivirals for the common cold</t>
  </si>
  <si>
    <t>Cochrane Database Syst Rev. 2001;(3):CD002743. doi: 10.1002/14651858.CD002743.</t>
  </si>
  <si>
    <t>10.1002/14651858.CD002743</t>
  </si>
  <si>
    <t>Curr Opin Clin Nutr Metab Care. 2002 Mar;5(2):199-209. doi: 10.1097/00075197-200203000-00013.</t>
  </si>
  <si>
    <t>10.1097/00075197-200203000-00013</t>
  </si>
  <si>
    <t>Prevention of Lyme disease: a review of the evidence</t>
  </si>
  <si>
    <t>Poland GA.</t>
  </si>
  <si>
    <t>Mayo Clin Proc. 2001 Jul;76(7):713-24. doi: 10.4065/76.7.713.</t>
  </si>
  <si>
    <t>10.4065/76.7.713</t>
  </si>
  <si>
    <t>Hepatitis B virus: significance of genotypes</t>
  </si>
  <si>
    <t>Schaefer S.</t>
  </si>
  <si>
    <t>J Viral Hepat. 2005 Mar;12(2):111-24. doi: 10.1111/j.1365-2893.2005.00584.x.</t>
  </si>
  <si>
    <t>10.1111/j.1365-2893.2005.00584.x</t>
  </si>
  <si>
    <t>Experimental and clinical pharmacology of rifaximin, a gastrointestinal selective antibiotic</t>
  </si>
  <si>
    <t>Scarpignato C, Pelosini I.</t>
  </si>
  <si>
    <t>Digestion. 2006;73 Suppl 1:13-27. doi: 10.1159/000089776. Epub 2006 Feb 8.</t>
  </si>
  <si>
    <t>Digestion</t>
  </si>
  <si>
    <t>10.1159/000089776</t>
  </si>
  <si>
    <t>Therapeutic implications of immunoparalysis in critically ill patients</t>
  </si>
  <si>
    <t>Albaiceta GM, Pedreira PR, García-Prieto E, Taboada F.</t>
  </si>
  <si>
    <t>Inflamm Allergy Drug Targets. 2007 Dec;6(4):191-6. doi: 10.2174/187152807783334337.</t>
  </si>
  <si>
    <t>Inflamm Allergy Drug Targets</t>
  </si>
  <si>
    <t>10.2174/187152807783334337</t>
  </si>
  <si>
    <t>The role of enterovirus in chronic fatigue syndrome</t>
  </si>
  <si>
    <t>Chia JK.</t>
  </si>
  <si>
    <t>J Clin Pathol. 2005 Nov;58(11):1126-32. doi: 10.1136/jcp.2004.020255.</t>
  </si>
  <si>
    <t>10.1136/jcp.2004.020255</t>
  </si>
  <si>
    <t>Probiotics in critically ill patients</t>
  </si>
  <si>
    <t>Madsen K.</t>
  </si>
  <si>
    <t>J Clin Gastroenterol. 2008 Sep;42 Suppl 3 Pt 1:S116-8. doi: 10.1097/MCG.0b013e31817283cb.</t>
  </si>
  <si>
    <t>J Clin Gastroenterol</t>
  </si>
  <si>
    <t>10.1097/MCG.0b013e31817283cb</t>
  </si>
  <si>
    <t>Incidence of influenza and associated illness in children aged 0-19 years: a systematic review</t>
  </si>
  <si>
    <t>Bueving HJ, van der Wouden JC, Berger MY, Thomas S.</t>
  </si>
  <si>
    <t>Rev Med Virol. 2005 Nov-Dec;15(6):383-91. doi: 10.1002/rmv.477.</t>
  </si>
  <si>
    <t>10.1002/rmv.477</t>
  </si>
  <si>
    <t>Inflammation, genes and zinc in ageing and age-related diseases</t>
  </si>
  <si>
    <t>Vasto S, Mocchegiani E, Candore G, Listì F, Colonna-Romano G, Lio D, Malavolta M, Giacconi R, Cipriano C, Caruso C.</t>
  </si>
  <si>
    <t>Biogerontology. 2006 Oct-Dec;7(5-6):315-27. doi: 10.1007/s10522-006-9046-6.</t>
  </si>
  <si>
    <t>Biogerontology</t>
  </si>
  <si>
    <t>10.1007/s10522-006-9046-6</t>
  </si>
  <si>
    <t>Antigenic and genetic variation in human respiratory syncytial virus</t>
  </si>
  <si>
    <t>Wertz GW, Moudy RM.</t>
  </si>
  <si>
    <t>Pediatr Infect Dis J. 2004 Jan;23(1 Suppl):S19-24. doi: 10.1097/01.inf.0000108189.87181.7c.</t>
  </si>
  <si>
    <t>10.1097/01.inf.0000108189.87181.7c</t>
  </si>
  <si>
    <t>Low level laser therapy for treating tuberculosis</t>
  </si>
  <si>
    <t>Vlassov VV, MacLehose HG.</t>
  </si>
  <si>
    <t>Cochrane Database Syst Rev. 2006 Apr 19;2006(2):CD003490. doi: 10.1002/14651858.CD003490.pub2.</t>
  </si>
  <si>
    <t>10.1002/14651858.CD003490.pub2</t>
  </si>
  <si>
    <t>Fingolimod for relapsing multiple sclerosis: an update</t>
  </si>
  <si>
    <t>Horga A, Castilló J, Montalban X.</t>
  </si>
  <si>
    <t>Expert Opin Pharmacother. 2010 May;11(7):1183-96. doi: 10.1517/14656561003769866.</t>
  </si>
  <si>
    <t>10.1517/14656561003769866</t>
  </si>
  <si>
    <t>Surveillance guidelines for smallpox vaccine (vaccinia) adverse reactions</t>
  </si>
  <si>
    <t>Casey C, Vellozzi C, Mootrey GT, Chapman LE, McCauley M, Roper MH, Damon I, Swerdlow DL; Vaccinia Case Definition Development Working Group; Advisory Committee on Immunization Practices-Armed Forces Epidemiological Board Smallpox Vaccine Safety Working Group.</t>
  </si>
  <si>
    <t>MMWR Recomm Rep. 2006 Feb 3;55(RR-1):1-16.</t>
  </si>
  <si>
    <t>MMWR Recomm Rep</t>
  </si>
  <si>
    <t>Current status and future of liver transplantation</t>
  </si>
  <si>
    <t>Merion RM.</t>
  </si>
  <si>
    <t>Semin Liver Dis. 2010 Nov;30(4):411-21. doi: 10.1055/s-0030-1267541. Epub 2010 Oct 19.</t>
  </si>
  <si>
    <t>Semin Liver Dis</t>
  </si>
  <si>
    <t>10.1055/s-0030-1267541</t>
  </si>
  <si>
    <t>HIV-therapy associated lipodystrophy: experimental and clinical evidence for the pathogenesis and treatment</t>
  </si>
  <si>
    <t>Stankov MV, Behrens GM.</t>
  </si>
  <si>
    <t>Endocr Metab Immune Disord Drug Targets. 2007 Dec;7(4):237-49. doi: 10.2174/187153007782794362.</t>
  </si>
  <si>
    <t>Endocr Metab Immune Disord Drug Targets</t>
  </si>
  <si>
    <t>10.2174/187153007782794362</t>
  </si>
  <si>
    <t>From therapy to experimental model: a hundred years of endotoxin administration to human subjects</t>
  </si>
  <si>
    <t>Bahador M, Cross AS.</t>
  </si>
  <si>
    <t>J Endotoxin Res. 2007;13(5):251-79. doi: 10.1177/0968051907085986.</t>
  </si>
  <si>
    <t>10.1177/0968051907085986</t>
  </si>
  <si>
    <t>Glucocorticoid therapy in neurologic critical care</t>
  </si>
  <si>
    <t>Gomes JA, Stevens RD, Lewin JJ 3rd, Mirski MA, Bhardwaj A.</t>
  </si>
  <si>
    <t>Crit Care Med. 2005 Jun;33(6):1214-24. doi: 10.1097/01.ccm.0000166389.85273.38.</t>
  </si>
  <si>
    <t>10.1097/01.ccm.0000166389.85273.38</t>
  </si>
  <si>
    <t>The significance of autoimmunity in the pathogenesis of Chagas heart disease</t>
  </si>
  <si>
    <t>Leon JS, Engman DM.</t>
  </si>
  <si>
    <t>Front Biosci. 2003 May 1;8:e315-22. doi: 10.2741/1023.</t>
  </si>
  <si>
    <t>Front Biosci</t>
  </si>
  <si>
    <t>10.2741/1023</t>
  </si>
  <si>
    <t>Risks of transmission of variant Creutzfeldt-Jakob disease by blood transfusion</t>
  </si>
  <si>
    <t>Peden AH, Ritchie DL, Ironside JW.</t>
  </si>
  <si>
    <t>Folia Neuropathol. 2005;43(4):271-8.</t>
  </si>
  <si>
    <t>Folia Neuropathol</t>
  </si>
  <si>
    <t>Pathology of renal diseases in the tropics</t>
  </si>
  <si>
    <t>Boonpucknavig V, Soontornniyomkij V.</t>
  </si>
  <si>
    <t>Semin Nephrol. 2003 Jan;23(1):88-106. doi: 10.1053/snep.2003.50008.</t>
  </si>
  <si>
    <t>Semin Nephrol</t>
  </si>
  <si>
    <t>10.1053/snep.2003.50008</t>
  </si>
  <si>
    <t>Relevance of animal models to human uveitis</t>
  </si>
  <si>
    <t>Bodaghi B, Rao N.</t>
  </si>
  <si>
    <t>Ophthalmic Res. 2008;40(3-4):200-2. doi: 10.1159/000119876. Epub 2008 Apr 18.</t>
  </si>
  <si>
    <t>Ophthalmic Res</t>
  </si>
  <si>
    <t>10.1159/000119876</t>
  </si>
  <si>
    <t>Role of respiratory viral infections in the development of atopic conditions</t>
  </si>
  <si>
    <t>Walton RP, Johnston SL.</t>
  </si>
  <si>
    <t>Curr Opin Allergy Clin Immunol. 2008 Apr;8(2):150-3. doi: 10.1097/ACI.0b013e3282f889df.</t>
  </si>
  <si>
    <t>Curr Opin Allergy Clin Immunol</t>
  </si>
  <si>
    <t>10.1097/ACI.0b013e3282f889df</t>
  </si>
  <si>
    <t>Role of L-glutamine in critical illness: new insights</t>
  </si>
  <si>
    <t>Kelly D, Wischmeyer PE.</t>
  </si>
  <si>
    <t>Curr Opin Clin Nutr Metab Care. 2003 Mar;6(2):217-22. doi: 10.1097/00075197-200303000-00011.</t>
  </si>
  <si>
    <t>10.1097/00075197-200303000-00011</t>
  </si>
  <si>
    <t>Is influenza vaccination in asthma helpful?</t>
  </si>
  <si>
    <t>Bueving HJ, Thomas S, Wouden JC.</t>
  </si>
  <si>
    <t>Curr Opin Allergy Clin Immunol. 2005 Feb;5(1):65-70. doi: 10.1097/00130832-200502000-00012.</t>
  </si>
  <si>
    <t>10.1097/00130832-200502000-00012</t>
  </si>
  <si>
    <t>Influence of alcohol on antimicrobial immunity</t>
  </si>
  <si>
    <t>Pavia CS, La Mothe M, Kavanagh M.</t>
  </si>
  <si>
    <t>Biomed Pharmacother. 2004 Mar;58(2):84-9. doi: 10.1016/j.biopha.2003.12.005.</t>
  </si>
  <si>
    <t>10.1016/j.biopha.2003.12.005</t>
  </si>
  <si>
    <t>Steps of the tick-borne encephalitis virus replication cycle that affect neuropathogenesis</t>
  </si>
  <si>
    <t>Mandl CW.</t>
  </si>
  <si>
    <t>Virus Res. 2005 Aug;111(2):161-74. doi: 10.1016/j.virusres.2005.04.007.</t>
  </si>
  <si>
    <t>Virus Res</t>
  </si>
  <si>
    <t>10.1016/j.virusres.2005.04.007</t>
  </si>
  <si>
    <t>Inflammation, coagulopathy, and the pathogenesis of multiple organ dysfunction syndrome</t>
  </si>
  <si>
    <t>Crit Care Med. 2001 Jul;29(7 Suppl):S99-106. doi: 10.1097/00003246-200107001-00032.</t>
  </si>
  <si>
    <t>10.1097/00003246-200107001-00032</t>
  </si>
  <si>
    <t>Variant Creutzfeldt-Jakob disease and its transmission by blood</t>
  </si>
  <si>
    <t>Ironside JW, Head MW.</t>
  </si>
  <si>
    <t>J Thromb Haemost. 2003 Jul;1(7):1479-86. doi: 10.1046/j.1538-7836.2003.00268.x.</t>
  </si>
  <si>
    <t>J Thromb Haemost</t>
  </si>
  <si>
    <t>10.1046/j.1538-7836.2003.00268.x</t>
  </si>
  <si>
    <t>Histological and serological evidence of experimental paracoccidioidomycosis in Calomys callosus (Rodentia: Cricetidae)</t>
  </si>
  <si>
    <t>Berbert AL, Faria GG, Gennari-Cardoso ML, Silva MM, Mineo JR, Loyola AM.</t>
  </si>
  <si>
    <t>Int J Exp Pathol. 2007 Feb;88(1):55-62. doi: 10.1111/j.1365-2613.2006.00513.x.</t>
  </si>
  <si>
    <t>10.1111/j.1365-2613.2006.00513.x</t>
  </si>
  <si>
    <t>Evaluation of cotton rats as a model for severe acute respiratory syndrome</t>
  </si>
  <si>
    <t>Watts DM, Peters CJ, Newman P, Wang N, Yoshikawa N, Tseng CK, Wyde PR.</t>
  </si>
  <si>
    <t>Vector Borne Zoonotic Dis. 2008 Jun;8(3):339-44. doi: 10.1089/vbz.2007.0210.</t>
  </si>
  <si>
    <t>Vector Borne Zoonotic Dis</t>
  </si>
  <si>
    <t>10.1089/vbz.2007.0210</t>
  </si>
  <si>
    <t>Recent developments in Miller Fisher syndrome and related disorders</t>
  </si>
  <si>
    <t>Overell JR, Willison HJ.</t>
  </si>
  <si>
    <t>Curr Opin Neurol. 2005 Oct;18(5):562-6. doi: 10.1097/01.wco.0000173284.25581.2f.</t>
  </si>
  <si>
    <t>10.1097/01.wco.0000173284.25581.2f</t>
  </si>
  <si>
    <t>A mouse model of lethal synergism between influenza virus and Haemophilus influenzae</t>
  </si>
  <si>
    <t>Lee LN, Dias P, Han D, Yoon S, Shea A, Zakharov V, Parham D, Sarawar SR.</t>
  </si>
  <si>
    <t>Am J Pathol. 2010 Feb;176(2):800-11. doi: 10.2353/ajpath.2010.090596. Epub 2009 Dec 30.</t>
  </si>
  <si>
    <t>10.2353/ajpath.2010.090596</t>
  </si>
  <si>
    <t>Experimental severe Pseudomonas aeruginosa pneumonia and antibiotic therapy in piglets receiving mechanical ventilation</t>
  </si>
  <si>
    <t>Luna CM, Baquero S, Gando S, Patrón JR, Morato JG, Sibila O, Absi R, Famiglietti A, Vay CA, Von Stecher F, Agustí C, Torres A.</t>
  </si>
  <si>
    <t>Chest. 2007 Aug;132(2):523-31. doi: 10.1378/chest.07-0185.</t>
  </si>
  <si>
    <t>10.1378/chest.07-0185</t>
  </si>
  <si>
    <t>Mild hypothermia for acute liver failure: a review of mechanisms of action</t>
  </si>
  <si>
    <t>Vaquero J, Blei AT.</t>
  </si>
  <si>
    <t>J Clin Gastroenterol. 2005 Apr;39(4 Suppl 2):S147-57. doi: 10.1097/01.mcg.0000155515.94843.55.</t>
  </si>
  <si>
    <t>10.1097/01.mcg.0000155515.94843.55</t>
  </si>
  <si>
    <t>Population modeling of influenza A/H1N1 virus kinetics and symptom dynamics</t>
  </si>
  <si>
    <t>Canini L, Carrat F.</t>
  </si>
  <si>
    <t>J Virol. 2011 Mar;85(6):2764-70. doi: 10.1128/JVI.01318-10. Epub 2010 Dec 29.</t>
  </si>
  <si>
    <t>10.1128/JVI.01318-10</t>
  </si>
  <si>
    <t>Co-stimulation blockade as a new strategy in kidney transplantation: benefits and limits</t>
  </si>
  <si>
    <t>Snanoudj R, Zuber J, Legendre C.</t>
  </si>
  <si>
    <t>Drugs. 2010 Nov 12;70(16):2121-31. doi: 10.2165/11538140-000000000-00000.</t>
  </si>
  <si>
    <t>10.2165/11538140-000000000-00000</t>
  </si>
  <si>
    <t>Safety and immunogenicity of a baculovirus-expressed hemagglutinin influenza vaccine: a randomized controlled trial</t>
  </si>
  <si>
    <t>Treanor JJ, Schiff GM, Hayden FG, Brady RC, Hay CM, Meyer AL, Holden-Wiltse J, Liang H, Gilbert A, Cox M.</t>
  </si>
  <si>
    <t>JAMA. 2007 Apr 11;297(14):1577-82. doi: 10.1001/jama.297.14.1577.</t>
  </si>
  <si>
    <t>10.1001/jama.297.14.1577</t>
  </si>
  <si>
    <t>Inflammatory mediators of uveitis: cytokines and chemokines</t>
  </si>
  <si>
    <t>Curnow SJ, Murray PI.</t>
  </si>
  <si>
    <t>Curr Opin Ophthalmol. 2006 Dec;17(6):532-7. doi: 10.1097/ICU.0b013e32801094b5.</t>
  </si>
  <si>
    <t>10.1097/ICU.0b013e32801094b5</t>
  </si>
  <si>
    <t>Emotional style, nasal cytokines, and illness expression after experimental rhinovirus exposure</t>
  </si>
  <si>
    <t>Doyle WJ, Gentile DA, Cohen S.</t>
  </si>
  <si>
    <t>Brain Behav Immun. 2006 Mar;20(2):175-81. doi: 10.1016/j.bbi.2005.05.005. Epub 2005 Jul 14.</t>
  </si>
  <si>
    <t>Brain Behav Immun</t>
  </si>
  <si>
    <t>10.1016/j.bbi.2005.05.005</t>
  </si>
  <si>
    <t>Challenges for modeling and interpreting the complex biology of severe injury and inflammation</t>
  </si>
  <si>
    <t>Lowry SF, Calvano SE.</t>
  </si>
  <si>
    <t>J Leukoc Biol. 2008 Mar;83(3):553-7. doi: 10.1189/jlb.0607377. Epub 2007 Nov 5.</t>
  </si>
  <si>
    <t>J Leukoc Biol</t>
  </si>
  <si>
    <t>10.1189/jlb.0607377</t>
  </si>
  <si>
    <t>Pro-inflammatory and antiviral cytokine expression in vaccinated and unvaccinated horses exposed to equine influenza virus</t>
  </si>
  <si>
    <t>Quinlivan M, Nelly M, Prendergast M, Breathnach C, Horohov D, Arkins S, Chiang YW, Chu HJ, Ng T, Cullinane A.</t>
  </si>
  <si>
    <t>Vaccine. 2007 Oct 10;25(41):7056-64. doi: 10.1016/j.vaccine.2007.07.059. Epub 2007 Aug 17.</t>
  </si>
  <si>
    <t>10.1016/j.vaccine.2007.07.059</t>
  </si>
  <si>
    <t>Safety and immunogenicity of a heptavalent pneumococcal conjugate vaccine in infants</t>
  </si>
  <si>
    <t>Zangwill KM, Greenberg DP, Chiu CY, Mendelman P, Wong VK, Chang SJ, Partridge S, Ward JI.</t>
  </si>
  <si>
    <t>Vaccine. 2003 May 16;21(17-18):1894-900. doi: 10.1016/s0264-410x(03)00013-6.</t>
  </si>
  <si>
    <t>10.1016/s0264-410x(03)00013-6</t>
  </si>
  <si>
    <t>An experimental model of rhinovirus induced chronic obstructive pulmonary disease exacerbations: a pilot study</t>
  </si>
  <si>
    <t>Mallia P, Message SD, Kebadze T, Parker HL, Kon OM, Johnston SL.</t>
  </si>
  <si>
    <t>Respir Res. 2006 Sep 6;7(1):116. doi: 10.1186/1465-9921-7-116.</t>
  </si>
  <si>
    <t>10.1186/1465-9921-7-116</t>
  </si>
  <si>
    <t>Yellow fever 17-D vaccine is neurotropic and produces encephalitis in immunosuppressed hamsters</t>
  </si>
  <si>
    <t>Mateo RI, Xiao SY, Travassos da Rosa AP, Lei H, Guzman H, Lu L, Tesh RB.</t>
  </si>
  <si>
    <t>Am J Trop Med Hyg. 2007 Nov;77(5):919-24.</t>
  </si>
  <si>
    <t>Respiratory infections and asthma: current treatment strategies</t>
  </si>
  <si>
    <t>Weinberger M.</t>
  </si>
  <si>
    <t>Drug Discov Today. 2004 Oct 1;9(19):831-7. doi: 10.1016/S1359-6446(04)03239-8.</t>
  </si>
  <si>
    <t>Drug Discov Today</t>
  </si>
  <si>
    <t>10.1016/S1359-6446(04)03239-8</t>
  </si>
  <si>
    <t>Mild controlled hypothermia in preterm neonates with advanced necrotizing enterocolitis</t>
  </si>
  <si>
    <t>Hall NJ, Eaton S, Peters MJ, Hiorns MP, Alexander N, Azzopardi DV, Pierro A.</t>
  </si>
  <si>
    <t>Pediatrics. 2010 Feb;125(2):e300-8. doi: 10.1542/peds.2008-3211. Epub 2010 Jan 25.</t>
  </si>
  <si>
    <t>10.1542/peds.2008-3211</t>
  </si>
  <si>
    <t>Systemic and regional hemodynamic effects of enalaprilat infusion in experimental normotensive sepsis</t>
  </si>
  <si>
    <t>Rahal L, Garrido AG, Cruz RJ Jr, Rocha e Silva M, Poli-de-Figueiredo LF.</t>
  </si>
  <si>
    <t>Braz J Med Biol Res. 2006 Sep;39(9):1205-15. doi: 10.1590/s0100-879x2006000900008.</t>
  </si>
  <si>
    <t>Braz J Med Biol Res</t>
  </si>
  <si>
    <t>10.1590/s0100-879x2006000900008</t>
  </si>
  <si>
    <t>[Risk-benefit assessment of hepatitis B vaccination in France, 2006]</t>
  </si>
  <si>
    <t>Hanslik T, Valleron AJ, Flahault A.</t>
  </si>
  <si>
    <t>Rev Med Interne. 2006 Jan;27(1):40-5. doi: 10.1016/j.revmed.2005.06.001. Epub 2005 Jul 1.</t>
  </si>
  <si>
    <t>10.1016/j.revmed.2005.06.001</t>
  </si>
  <si>
    <t>Hepatitis C virus-induced oxidative stress and mitochondrial dysfunction: a focus on recent advances in proteomics</t>
  </si>
  <si>
    <t>Simula MP, De Re V.</t>
  </si>
  <si>
    <t>Proteomics Clin Appl. 2010 Nov;4(10-11):782-93. doi: 10.1002/prca.201000049.</t>
  </si>
  <si>
    <t>Proteomics Clin Appl</t>
  </si>
  <si>
    <t>10.1002/prca.201000049</t>
  </si>
  <si>
    <t>Study of simultaneous experimental colonization of Meriones unguiculatus (Mongolian gerbils) by cagPAI+ and cagPAI- strains of Helicobacter pylori</t>
  </si>
  <si>
    <t>Ortiz-Herrera M, Camorlinga-Ponce M, López-Corella E, Romero-Olvera J, Gerónimo-Gallegos A, Soria-Hernández A, Coria-Jiménez R.</t>
  </si>
  <si>
    <t>Microbes Infect. 2010 Aug;12(8-9):607-14. doi: 10.1016/j.micinf.2010.04.003. Epub 2010 Apr 21.</t>
  </si>
  <si>
    <t>10.1016/j.micinf.2010.04.003</t>
  </si>
  <si>
    <t>Development and statistical validation of a guinea pig model for vaccine potency testing against Infectious Bovine Rhinothracheitis (IBR) virus</t>
  </si>
  <si>
    <t>Parreño V, López MV, Rodriguez D, Vena MM, Izuel M, Filippi J, Romera A, Faverin C, Bellinzoni R, Fernandez F, Marangunich L.</t>
  </si>
  <si>
    <t>Vaccine. 2010 Mar 16;28(13):2539-49. doi: 10.1016/j.vaccine.2010.01.035. Epub 2010 Jan 30.</t>
  </si>
  <si>
    <t>10.1016/j.vaccine.2010.01.035</t>
  </si>
  <si>
    <t>Effects of dietary supplementation with conjugated linoleic acid on experimental human rhinovirus infection and illness</t>
  </si>
  <si>
    <t>Peterson KM, O'Shea M, Stam W, Mohede IC, Patrie JT, Hayden FG.</t>
  </si>
  <si>
    <t>Antivir Ther. 2009;14(1):33-43.</t>
  </si>
  <si>
    <t>Rifaximin, a poorly absorbed antibiotic: pharmacology and clinical potential</t>
  </si>
  <si>
    <t>Chemotherapy. 2005;51 Suppl 1:36-66. doi: 10.1159/000081990.</t>
  </si>
  <si>
    <t>10.1159/000081990</t>
  </si>
  <si>
    <t>Clinical pharmacology and vascular risk</t>
  </si>
  <si>
    <t>Silvestrelli G, Corea F, Micheli S, Lanari A.</t>
  </si>
  <si>
    <t>Open Neurol J. 2010 Jun 15;4:64-72. doi: 10.2174/1874205X01004020064.</t>
  </si>
  <si>
    <t>Open Neurol J</t>
  </si>
  <si>
    <t>10.2174/1874205X01004020064</t>
  </si>
  <si>
    <t>Vaccines for preventing malaria</t>
  </si>
  <si>
    <t>Cochrane Database Syst Rev. 2003;(1):CD000129. doi: 10.1002/14651858.CD000129.</t>
  </si>
  <si>
    <t>10.1002/14651858.CD000129</t>
  </si>
  <si>
    <t>Probiotic yogurt effects on intestinal flora of patients with chronic liver disease</t>
  </si>
  <si>
    <t>Liu JE, Zhang Y, Zhang J, Dong PL, Chen M, Duan ZP.</t>
  </si>
  <si>
    <t>Nurs Res. 2010 Nov-Dec;59(6):426-32. doi: 10.1097/NNR.0b013e3181fa4dc6.</t>
  </si>
  <si>
    <t>Nurs Res</t>
  </si>
  <si>
    <t>10.1097/NNR.0b013e3181fa4dc6</t>
  </si>
  <si>
    <t>Case managers discovering what recovery means through an HIV prevention intervention</t>
  </si>
  <si>
    <t>Tennille J, Solomon P, Blank M.</t>
  </si>
  <si>
    <t>Community Ment Health J. 2010 Oct;46(5):486-93. doi: 10.1007/s10597-010-9326-0. Epub 2010 Jun 12.</t>
  </si>
  <si>
    <t>NIHMS223054</t>
  </si>
  <si>
    <t>10.1007/s10597-010-9326-0</t>
  </si>
  <si>
    <t>Silymarin treatment reduces granuloma and hepatic fibrosis in experimental schistosomiasis</t>
  </si>
  <si>
    <t>Mata-Santos HA, Lino FG, Rocha CC, Paiva CN, Castelo Branco MT, Pyrrho Ados S.</t>
  </si>
  <si>
    <t>Parasitol Res. 2010 Nov;107(6):1429-34. doi: 10.1007/s00436-010-2014-8. Epub 2010 Aug 7.</t>
  </si>
  <si>
    <t>Parasitol Res</t>
  </si>
  <si>
    <t>10.1007/s00436-010-2014-8</t>
  </si>
  <si>
    <t>van de Beek D, de Gans J, McIntyre P, Prasad K.</t>
  </si>
  <si>
    <t>Cochrane Database Syst Rev. 2007 Jan 24;(1):CD004405. doi: 10.1002/14651858.CD004405.pub2.</t>
  </si>
  <si>
    <t>10.1002/14651858.CD004405.pub2</t>
  </si>
  <si>
    <t>WITHDRAWN: Rice-based oral rehydration solution for treating diarrhoea</t>
  </si>
  <si>
    <t>Cochrane Database Syst Rev. 2007 Jul 18;1998(4):CD001264. doi: 10.1002/14651858.CD001264.pub2.</t>
  </si>
  <si>
    <t>10.1002/14651858.CD001264.pub2</t>
  </si>
  <si>
    <t>Safety, tolerability, and preliminary efficacy of 48 weeks of etravirine therapy in a phase IIb dose-ranging study involving treatment-experienced patients with HIV-1 infection</t>
  </si>
  <si>
    <t>Montaner J, Yeni P, Clumeck NN, Fätkenheuer G, Gatell J, Hay P, Seminari E, Peeters MP, Schöller-Gyüre M, Simonts M, Woodfall B; TMC125-C203 Study Group.</t>
  </si>
  <si>
    <t>Clin Infect Dis. 2008 Oct 1;47(7):969-78. doi: 10.1086/591705.</t>
  </si>
  <si>
    <t>10.1086/591705</t>
  </si>
  <si>
    <t>Randomized, double-blind, placebo-controlled trial to evaluate the safety and immunogenicity of live oral cholera vaccine 638 in Cuban adults</t>
  </si>
  <si>
    <t>Valera R, García HM, Jidy MD, Mirabal M, Armesto MI, Fando R, García L, Fernández R, Año G, Cedré B, Ramírez M, Bravo L, Serrano T, Palma S, González D, Miralles F, Medina V, Nuñez F, Plasencia Y, Martínez JC, Mandarioti A, Lugones J, Rodríguez BL, Moreno A, González D, Baro M, Solis RL, Sierra G, Barbera R, Domínguez F, Gutiérrez C, Kouri G, Campa C, Menéndez J.</t>
  </si>
  <si>
    <t>Vaccine. 2009 Nov 5;27(47):6564-9. doi: 10.1016/j.vaccine.2009.08.042. Epub 2009 Aug 29.</t>
  </si>
  <si>
    <t>10.1016/j.vaccine.2009.08.042</t>
  </si>
  <si>
    <t>Experimental Helicobacter marmotae infection in A/J mice causes enterohepatic disease</t>
  </si>
  <si>
    <t>Patterson MM, Rogers AB, Fox JG.</t>
  </si>
  <si>
    <t>J Med Microbiol. 2010 Oct;59(Pt 10):1235-1241. doi: 10.1099/jmm.0.020479-0. Epub 2010 Jul 8.</t>
  </si>
  <si>
    <t>10.1099/jmm.0.020479-0</t>
  </si>
  <si>
    <t>Safety and clinical effects of topical histatin gels in humans with experimental gingivitis</t>
  </si>
  <si>
    <t>Paquette DW, Simpson DM, Friden P, Braman V, Williams RC.</t>
  </si>
  <si>
    <t>J Clin Periodontol. 2002 Dec;29(12):1051-8. doi: 10.1034/j.1600-051x.2002.291201.x.</t>
  </si>
  <si>
    <t>J Clin Periodontol</t>
  </si>
  <si>
    <t>10.1034/j.1600-051x.2002.291201.x</t>
  </si>
  <si>
    <t>The live attenuated dengue serotype 1 vaccine rDEN1Delta30 is safe and highly immunogenic in healthy adult volunteers</t>
  </si>
  <si>
    <t>Durbin AP, McArthur J, Marron JA, Blaney JE Jr, Thumar B, Wanionek K, Murphy BR, Whitehead SS.</t>
  </si>
  <si>
    <t>Hum Vaccin. 2006 Jul-Aug;2(4):167-73. doi: 10.4161/hv.2.4.2944. Epub 2006 Jul 24.</t>
  </si>
  <si>
    <t>10.4161/hv.2.4.2944</t>
  </si>
  <si>
    <t>Anti-cytokine and anti-inflammatory therapies for the treatment of severe sepsis: progress and pitfalls</t>
  </si>
  <si>
    <t>Minnich DJ, Moldawer LL.</t>
  </si>
  <si>
    <t>Proc Nutr Soc. 2004 Aug;63(3):437-41. doi: 10.1079/pns2004378.</t>
  </si>
  <si>
    <t>Proc Nutr Soc</t>
  </si>
  <si>
    <t>10.1079/pns2004378</t>
  </si>
  <si>
    <t>A multispecies model for the transmission and control of mastitis in dairy cows</t>
  </si>
  <si>
    <t>White LJ, Schukken YH, Lam TJ, Medley GF, Chappell MJ.</t>
  </si>
  <si>
    <t>Epidemiol Infect. 2001 Dec;127(3):567-76. doi: 10.1017/s0950268801006100.</t>
  </si>
  <si>
    <t>10.1017/s0950268801006100</t>
  </si>
  <si>
    <t>Nasal and otologic effects of experimental respiratory syncytial virus infection in adults</t>
  </si>
  <si>
    <t>Buchman CA, Doyle WJ, Pilcher O, Gentile DA, Skoner DP.</t>
  </si>
  <si>
    <t>Am J Otolaryngol. 2002 Mar-Apr;23(2):70-5. doi: 10.1053/ajot.2002.30634.</t>
  </si>
  <si>
    <t>Am J Otolaryngol</t>
  </si>
  <si>
    <t>10.1053/ajot.2002.30634</t>
  </si>
  <si>
    <t>Advising patients to increase fluid intake for treating acute respiratory infections</t>
  </si>
  <si>
    <t>Guppy MP, Mickan SM, Del Mar CB.</t>
  </si>
  <si>
    <t>Cochrane Database Syst Rev. 2005 Oct 19;(4):CD004419. doi: 10.1002/14651858.CD004419.pub2.</t>
  </si>
  <si>
    <t>10.1002/14651858.CD004419.pub2</t>
  </si>
  <si>
    <t>Immune response, ciprofloxacin activity, and gender differences after human experimental challenge by two strains of enterotoxigenic Escherichia coli</t>
  </si>
  <si>
    <t>Coster TS, Wolf MK, Hall ER, Cassels FJ, Taylor DN, Liu CT, Trespalacios FC, DeLorimier A, Angleberger DR, McQueen CE.</t>
  </si>
  <si>
    <t>Infect Immun. 2007 Jan;75(1):252-9. doi: 10.1128/IAI.01131-06. Epub 2006 Oct 30.</t>
  </si>
  <si>
    <t>10.1128/IAI.01131-06</t>
  </si>
  <si>
    <t>A pilot study of a case management program for patients with chronic obstructive pulmonary disease (COPD)</t>
  </si>
  <si>
    <t>Lu CC, Su HF, Tsay SL, Lin HI, Lee TT.</t>
  </si>
  <si>
    <t>J Nurs Res. 2007 Jun;15(2):89-98. doi: 10.1097/01.jnr.0000387603.63026.87.</t>
  </si>
  <si>
    <t>J Nurs Res</t>
  </si>
  <si>
    <t>10.1097/01.jnr.0000387603.63026.87</t>
  </si>
  <si>
    <t>Effect of biotherapeutics on cyclosporin-induced Clostridium difficile infection in mice</t>
  </si>
  <si>
    <t>Kaur S, Vaishnavi C, Ray P, Kochhar R, Prasad KK.</t>
  </si>
  <si>
    <t>J Gastroenterol Hepatol. 2010 Apr;25(4):832-8. doi: 10.1111/j.1440-1746.2009.06135.x. Epub 2010 Jan 14.</t>
  </si>
  <si>
    <t>10.1111/j.1440-1746.2009.06135.x</t>
  </si>
  <si>
    <t>Characterization of clinical and immune response in a rotavirus diarrhea model in suckling Lewis rats</t>
  </si>
  <si>
    <t>Pérez-Cano FJ, Castell M, Castellote C, Franch A.</t>
  </si>
  <si>
    <t>Pediatr Res. 2007 Dec;62(6):658-63. doi: 10.1203/PDR.0b013e318159a273.</t>
  </si>
  <si>
    <t>10.1203/PDR.0b013e318159a273</t>
  </si>
  <si>
    <t>Extended-release alfuzosin hydrochloride: a new alpha-adrenergic receptor antagonist for symptomatic benign prostatic hyperplasia</t>
  </si>
  <si>
    <t>Am J Geriatr Pharmacother. 2004 Mar;2(1):14-23. doi: 10.1016/s1543-5946(04)90003-7.</t>
  </si>
  <si>
    <t>Am J Geriatr Pharmacother</t>
  </si>
  <si>
    <t>10.1016/s1543-5946(04)90003-7</t>
  </si>
  <si>
    <t>Bassi C, Larvin M, Villatoro E.</t>
  </si>
  <si>
    <t>Cochrane Database Syst Rev. 2003;(4):CD002941. doi: 10.1002/14651858.CD002941.</t>
  </si>
  <si>
    <t>10.1002/14651858.CD002941</t>
  </si>
  <si>
    <t>Variant Creutzfeldt-Jakob disease: risk of transmission by blood and blood products</t>
  </si>
  <si>
    <t>Haemophilia. 2004 Oct;10 Suppl 4:64-9. doi: 10.1111/j.1365-2516.2004.00982.x.</t>
  </si>
  <si>
    <t>10.1111/j.1365-2516.2004.00982.x</t>
  </si>
  <si>
    <t>Cryptosporidiosis and the challenges of chemotherapy</t>
  </si>
  <si>
    <t>Mead JR.</t>
  </si>
  <si>
    <t>Drug Resist Updat. 2002 Feb;5(1):47-57. doi: 10.1016/s1368-7646(02)00011-0.</t>
  </si>
  <si>
    <t>Drug Resist Updat</t>
  </si>
  <si>
    <t>10.1016/s1368-7646(02)00011-0</t>
  </si>
  <si>
    <t>Silver-coated endotracheal tubes and incidence of ventilator-associated pneumonia: the NASCENT randomized trial</t>
  </si>
  <si>
    <t>Kollef MH, Afessa B, Anzueto A, Veremakis C, Kerr KM, Margolis BD, Craven DE, Roberts PR, Arroliga AC, Hubmayr RD, Restrepo MI, Auger WR, Schinner R; NASCENT Investigation Group.</t>
  </si>
  <si>
    <t>JAMA. 2008 Aug 20;300(7):805-13. doi: 10.1001/jama.300.7.805.</t>
  </si>
  <si>
    <t>10.1001/jama.300.7.805</t>
  </si>
  <si>
    <t>Protection against a malaria challenge by sporozoite inoculation</t>
  </si>
  <si>
    <t>Roestenberg M, McCall M, Hopman J, Wiersma J, Luty AJ, van Gemert GJ, van de Vegte-Bolmer M, van Schaijk B, Teelen K, Arens T, Spaarman L, de Mast Q, Roeffen W, Snounou G, Rénia L, van der Ven A, Hermsen CC, Sauerwein R.</t>
  </si>
  <si>
    <t>N Engl J Med. 2009 Jul 30;361(5):468-77. doi: 10.1056/NEJMoa0805832.</t>
  </si>
  <si>
    <t>10.1056/NEJMoa0805832</t>
  </si>
  <si>
    <t>Comparative study of several sinusitis experimental modelling techniques in rabbits</t>
  </si>
  <si>
    <t>Costa HO, Ruschi e Luchi GE, Augusto AG, Castro M, de Souza FC.</t>
  </si>
  <si>
    <t>Braz J Otorhinolaryngol. 2007 Sep-Oct;73(5):627-31. doi: 10.1016/s1808-8694(15)30122-1.</t>
  </si>
  <si>
    <t>Braz J Otorhinolaryngol</t>
  </si>
  <si>
    <t>10.1016/s1808-8694(15)30122-1</t>
  </si>
  <si>
    <t>Coagulation in sepsis: all bugs bite equally</t>
  </si>
  <si>
    <t>Levi M, van der Poll T.</t>
  </si>
  <si>
    <t>Crit Care. 2004 Apr;8(2):99-100. doi: 10.1186/cc2816. Epub 2004 Feb 10.</t>
  </si>
  <si>
    <t>10.1186/cc2816</t>
  </si>
  <si>
    <t>Gas6 evaluation in patients with acute dyspnea due to suspected pulmonary embolism</t>
  </si>
  <si>
    <t>Sainaghi PP, Alciato F, Carnieletto S, Castello L, Bergamasco L, Sola D, Bongo AS, Inglese E, Polosa R, Avanzi GC.</t>
  </si>
  <si>
    <t>Respir Med. 2009 Apr;103(4):589-94. doi: 10.1016/j.rmed.2008.10.018. Epub 2008 Nov 25.</t>
  </si>
  <si>
    <t>10.1016/j.rmed.2008.10.018</t>
  </si>
  <si>
    <t>Efficacy of rifabutin-based triple therapy as second-line treatment to eradicate helicobacter pylori infection</t>
  </si>
  <si>
    <t>Navarro-Jarabo JM, Fernández N, Sousa FL, Cabrera E, Castro M, Ramírez LM, Rivera R, Ubiña E, Vera F, Méndez I, Rivas-Ruiz F, Moreno JL, Perea-Milla E.</t>
  </si>
  <si>
    <t>BMC Gastroenterol. 2007 Jul 25;7:31. doi: 10.1186/1471-230X-7-31.</t>
  </si>
  <si>
    <t>10.1186/1471-230X-7-31</t>
  </si>
  <si>
    <t>Evaluation of sublingual and gut mucosal microcirculation in sepsis: a quantitative analysis</t>
  </si>
  <si>
    <t>Verdant CL, De Backer D, Bruhn A, Clausi CM, Su F, Wang Z, Rodriguez H, Pries AR, Vincent JL.</t>
  </si>
  <si>
    <t>Crit Care Med. 2009 Nov;37(11):2875-81. doi: 10.1097/CCM.0b013e3181b029c1.</t>
  </si>
  <si>
    <t>10.1097/CCM.0b013e3181b029c1</t>
  </si>
  <si>
    <t>Identification of an essential Francisella tularensis subsp. tularensis virulence factor</t>
  </si>
  <si>
    <t>Qin A, Scott DW, Thompson JA, Mann BJ.</t>
  </si>
  <si>
    <t>Infect Immun. 2009 Jan;77(1):152-61. doi: 10.1128/IAI.01113-08. Epub 2008 Nov 3.</t>
  </si>
  <si>
    <t>10.1128/IAI.01113-08</t>
  </si>
  <si>
    <t>Breastfeeding's protection against illness-induced anorexia is mediated partially by docosahexaenoic acid</t>
  </si>
  <si>
    <t>López-Alarcón M, Garza C, del Prado M, García-Zúñiga PA, Barbosa L.</t>
  </si>
  <si>
    <t>Eur J Clin Nutr. 2008 Jan;62(1):32-8. doi: 10.1038/sj.ejcn.1602686. Epub 2007 Feb 21.</t>
  </si>
  <si>
    <t>Eur J Clin Nutr</t>
  </si>
  <si>
    <t>10.1038/sj.ejcn.1602686</t>
  </si>
  <si>
    <t>Type I glutaric aciduria, part 2: a model of acute striatal necrosis</t>
  </si>
  <si>
    <t>Strauss KA, Morton DH.</t>
  </si>
  <si>
    <t>Am J Med Genet C Semin Med Genet. 2003 Aug 15;121C(1):53-70. doi: 10.1002/ajmg.c.20008.</t>
  </si>
  <si>
    <t>Am J Med Genet C Semin Med Genet</t>
  </si>
  <si>
    <t>10.1002/ajmg.c.20008</t>
  </si>
  <si>
    <t>Mouse infection models for space flight immunology</t>
  </si>
  <si>
    <t>Chapes SK, Ganta RR.</t>
  </si>
  <si>
    <t>Adv Space Biol Med. 2005;10:81-104. doi: 10.1016/s1569-2574(05)10004-5.</t>
  </si>
  <si>
    <t>Adv Space Biol Med</t>
  </si>
  <si>
    <t>10.1016/s1569-2574(05)10004-5</t>
  </si>
  <si>
    <t>Dose-response model of Coxiella burnetii (Q fever)</t>
  </si>
  <si>
    <t>Tamrakar SB, Haluska A, Haas CN, Bartrand TA.</t>
  </si>
  <si>
    <t>Risk Anal. 2011 Jan;31(1):120-8. doi: 10.1111/j.1539-6924.2010.01466.x. Epub 2010 Aug 17.</t>
  </si>
  <si>
    <t>Risk Anal</t>
  </si>
  <si>
    <t>10.1111/j.1539-6924.2010.01466.x</t>
  </si>
  <si>
    <t>Animal models for studying respiratory syncytial virus infection and its long term effects on lung function</t>
  </si>
  <si>
    <t>Domachowske JB, Bonville CA, Rosenberg HF.</t>
  </si>
  <si>
    <t>Pediatr Infect Dis J. 2004 Nov;23(11 Suppl):S228-34. doi: 10.1097/01.inf.0000144672.81955.a4.</t>
  </si>
  <si>
    <t>10.1097/01.inf.0000144672.81955.a4</t>
  </si>
  <si>
    <t>A measles-derived peptide treats and vaccinates against adjuvant arthritis</t>
  </si>
  <si>
    <t>Root-Bernstein R.</t>
  </si>
  <si>
    <t>Autoimmun Rev. 2009 Mar;8(5):405-9. doi: 10.1016/j.autrev.2006.03.013. Epub 2009 Jan 3.</t>
  </si>
  <si>
    <t>10.1016/j.autrev.2006.03.013</t>
  </si>
  <si>
    <t>Neural origins of human sickness in interoceptive responses to inflammation</t>
  </si>
  <si>
    <t>Harrison NA, Brydon L, Walker C, Gray MA, Steptoe A, Dolan RJ, Critchley HD.</t>
  </si>
  <si>
    <t>Biol Psychiatry. 2009 Sep 1;66(5):415-22. doi: 10.1016/j.biopsych.2009.03.007. Epub 2009 May 1.</t>
  </si>
  <si>
    <t>Biol Psychiatry</t>
  </si>
  <si>
    <t>10.1016/j.biopsych.2009.03.007</t>
  </si>
  <si>
    <t>Engineering the chloroplast targeted malarial vaccine antigens in Chlamydomonas starch granules</t>
  </si>
  <si>
    <t>Dauvillée D, Delhaye S, Gruyer S, Slomianny C, Moretz SE, d'Hulst C, Long CA, Ball SG, Tomavo S.</t>
  </si>
  <si>
    <t>PLoS One. 2010 Dec 15;5(12):e15424. doi: 10.1371/journal.pone.0015424.</t>
  </si>
  <si>
    <t>10.1371/journal.pone.0015424</t>
  </si>
  <si>
    <t>A quantitative risk assessment of waterborne cryptosporidiosis in France using second-order Monte Carlo simulation</t>
  </si>
  <si>
    <t>Pouillot R, Beaudeau P, Denis JB, Derouin F; AFSSA Cryptosporidium Study Group.</t>
  </si>
  <si>
    <t>Risk Anal. 2004 Feb;24(1):1-17. doi: 10.1111/j.0272-4332.2004.00407.x.</t>
  </si>
  <si>
    <t>10.1111/j.0272-4332.2004.00407.x</t>
  </si>
  <si>
    <t>Probabilistic indoor transmission modeling for influenza (sub)type viruses</t>
  </si>
  <si>
    <t>Chen SC, Liao CM.</t>
  </si>
  <si>
    <t>J Infect. 2010 Jan;60(1):26-35. doi: 10.1016/j.jinf.2009.09.015. Epub 2009 Oct 7.</t>
  </si>
  <si>
    <t>10.1016/j.jinf.2009.09.015</t>
  </si>
  <si>
    <t>CCR6 marks regulatory T cells as a colon-tropic, IL-10-producing phenotype</t>
  </si>
  <si>
    <t>Kitamura K, Farber JM, Kelsall BL.</t>
  </si>
  <si>
    <t>J Immunol. 2010 Sep 15;185(6):3295-304. doi: 10.4049/jimmunol.1001156. Epub 2010 Aug 18.</t>
  </si>
  <si>
    <t>NIHMS236144</t>
  </si>
  <si>
    <t>10.4049/jimmunol.1001156</t>
  </si>
  <si>
    <t>Development of a new vaccine for the prevention of Lassa fever</t>
  </si>
  <si>
    <t>Geisbert TW, Jones S, Fritz EA, Shurtleff AC, Geisbert JB, Liebscher R, Grolla A, Ströher U, Fernando L, Daddario KM, Guttieri MC, Mothé BR, Larsen T, Hensley LE, Jahrling PB, Feldmann H.</t>
  </si>
  <si>
    <t>PLoS Med. 2005 Jun;2(6):e183. doi: 10.1371/journal.pmed.0020183. Epub 2005 Jun 28.</t>
  </si>
  <si>
    <t>10.1371/journal.pmed.0020183</t>
  </si>
  <si>
    <t>Treatment of invasive fungal infections in immunocompromised and transplant patients: AmBiLoad trial and other new data</t>
  </si>
  <si>
    <t>Muñoz P, Guinea J, Narbona MT, Bouza E.</t>
  </si>
  <si>
    <t>Int J Antimicrob Agents. 2008 Nov;32 Suppl 2:S125-31. doi: 10.1016/S0924-8579(08)70013-X.</t>
  </si>
  <si>
    <t>10.1016/S0924-8579(08)70013-X</t>
  </si>
  <si>
    <t>Echinacea purpurea for prevention of experimental rhinovirus colds</t>
  </si>
  <si>
    <t>Sperber SJ, Shah LP, Gilbert RD, Ritchey TW, Monto AS.</t>
  </si>
  <si>
    <t>Clin Infect Dis. 2004 May 15;38(10):1367-71. doi: 10.1086/386324. Epub 2004 Apr 26.</t>
  </si>
  <si>
    <t>10.1086/386324</t>
  </si>
  <si>
    <t>Tumor necrosis factor alpha in experimental empyema thoracis</t>
  </si>
  <si>
    <t>Martha VF, Fraga JC, Amantéa SL, Sanches P, Kulczynski J, Machado DP, Canani F.</t>
  </si>
  <si>
    <t>Pediatr Pulmonol. 2010 Dec;45(12):1201-4. doi: 10.1002/ppul.21308.</t>
  </si>
  <si>
    <t>10.1002/ppul.21308</t>
  </si>
  <si>
    <t>Evaluation of four experimental osteomyelitis infection models by using precolonized implants and bacterial suspensions</t>
  </si>
  <si>
    <t>Monzón M, García-Alvarez F, Laclériga A, Amorena B.</t>
  </si>
  <si>
    <t>Acta Orthop Scand. 2002 Jan;73(1):11-9. doi: 10.1080/000164702317281341.</t>
  </si>
  <si>
    <t>Acta Orthop Scand</t>
  </si>
  <si>
    <t>10.1080/000164702317281341</t>
  </si>
  <si>
    <t>CD69 limits the severity of cardiomyopathy after autoimmune myocarditis</t>
  </si>
  <si>
    <t>Cruz-Adalia A, Jiménez-Borreguero LJ, Ramírez-Huesca M, Chico-Calero I, Barreiro O, López-Conesa E, Fresno M, Sánchez-Madrid F, Martín P.</t>
  </si>
  <si>
    <t>Circulation. 2010 Oct 5;122(14):1396-404. doi: 10.1161/CIRCULATIONAHA.110.952820. Epub 2010 Sep 20.</t>
  </si>
  <si>
    <t>10.1161/CIRCULATIONAHA.110.952820</t>
  </si>
  <si>
    <t>Infectivity and pathogenicity of Cryptosporidium andersoni to a novel host, southern multimammate mouse (Mastomys coucha)</t>
  </si>
  <si>
    <t>Kvác M, Ondrácková Z, Kvetonová D, Sak B, Vítovec J.</t>
  </si>
  <si>
    <t>Vet Parasitol. 2007 Feb 28;143(3-4):229-33. doi: 10.1016/j.vetpar.2006.08.031. Epub 2006 Sep 25.</t>
  </si>
  <si>
    <t>10.1016/j.vetpar.2006.08.031</t>
  </si>
  <si>
    <t>Cynomolgus macaque as an animal model for severe acute respiratory syndrome</t>
  </si>
  <si>
    <t>Lawler JV, Endy TP, Hensley LE, Garrison A, Fritz EA, Lesar M, Baric RS, Kulesh DA, Norwood DA, Wasieloski LP, Ulrich MP, Slezak TR, Vitalis E, Huggins JW, Jahrling PB, Paragas J.</t>
  </si>
  <si>
    <t>PLoS Med. 2006 May;3(5):e149. doi: 10.1371/journal.pmed.0030149. Epub 2006 Apr 18.</t>
  </si>
  <si>
    <t>10.1371/journal.pmed.0030149</t>
  </si>
  <si>
    <t>Cytokine-associated emotional and cognitive disturbances in humans</t>
  </si>
  <si>
    <t>Reichenberg A, Yirmiya R, Schuld A, Kraus T, Haack M, Morag A, Pollmächer T.</t>
  </si>
  <si>
    <t>Arch Gen Psychiatry. 2001 May;58(5):445-52. doi: 10.1001/archpsyc.58.5.445.</t>
  </si>
  <si>
    <t>10.1001/archpsyc.58.5.445</t>
  </si>
  <si>
    <t>Assessment of the duration of protection in Campylobacter jejuni experimental infection in humans</t>
  </si>
  <si>
    <t>Tribble DR, Baqar S, Scott DA, Oplinger ML, Trespalacios F, Rollins D, Walker RI, Clements JD, Walz S, Gibbs P, Burg EF 3rd, Moran AP, Applebee L, Bourgeois AL.</t>
  </si>
  <si>
    <t>Infect Immun. 2010 Apr;78(4):1750-9. doi: 10.1128/IAI.01021-09. Epub 2010 Jan 19.</t>
  </si>
  <si>
    <t>10.1128/IAI.01021-09</t>
  </si>
  <si>
    <t>Human isolates of Bartonella tamiae induce pathology in experimentally inoculated immunocompetent mice</t>
  </si>
  <si>
    <t>Colton L, Zeidner N, Lynch T, Kosoy MY.</t>
  </si>
  <si>
    <t>BMC Infect Dis. 2010 Jul 30;10:229. doi: 10.1186/1471-2334-10-229.</t>
  </si>
  <si>
    <t>10.1186/1471-2334-10-229</t>
  </si>
  <si>
    <t>WITHDRAWN: Vaccines for preventing malaria</t>
  </si>
  <si>
    <t>Cochrane Database Syst Rev. 2007 Jul 18;2003(4):CD000129. doi: 10.1002/14651858.CD000129.pub2.</t>
  </si>
  <si>
    <t>10.1002/14651858.CD000129.pub2</t>
  </si>
  <si>
    <t>Influenza A viruses with truncated NS1 as modified live virus vaccines: pilot studies of safety and efficacy in horses</t>
  </si>
  <si>
    <t>Chambers TM, Quinlivan M, Sturgill T, Cullinane A, Horohov DW, Zamarin D, Arkins S, García-Sastre A, Palese P.</t>
  </si>
  <si>
    <t>Equine Vet J. 2009 Jan;41(1):87-92. doi: 10.2746/042516408x371937.</t>
  </si>
  <si>
    <t>NIHMS205034</t>
  </si>
  <si>
    <t>10.2746/042516408x371937</t>
  </si>
  <si>
    <t>The role of natural anticoagulants in the pathogenesis and management of systemic activation of coagulation and inflammation in critically ill patients</t>
  </si>
  <si>
    <t>Semin Thromb Hemost. 2008 Jul;34(5):459-68. doi: 10.1055/s-0028-1092876. Epub 2008 Oct 27.</t>
  </si>
  <si>
    <t>10.1055/s-0028-1092876</t>
  </si>
  <si>
    <t>[Therapeutic effect of Haobieyangyinruanjianfang on the mouse liver fibrosis caused by schistosomiasis]</t>
  </si>
  <si>
    <t>Zhang Z, Liu JY, Fang BW.</t>
  </si>
  <si>
    <t>Zhonghua Gan Zang Bing Za Zhi. 2010 Feb;18(2):113-8. doi: 10.3760/cma.j.issn.1007-3418.2010.02.009.</t>
  </si>
  <si>
    <t>10.3760/cma.j.issn.1007-3418.2010.02.009</t>
  </si>
  <si>
    <t>The role of IFN in respiratory syncytial virus pathogenesis</t>
  </si>
  <si>
    <t>Durbin JE, Johnson TR, Durbin RK, Mertz SE, Morotti RA, Peebles RS, Graham BS.</t>
  </si>
  <si>
    <t>J Immunol. 2002 Mar 15;168(6):2944-52. doi: 10.4049/jimmunol.168.6.2944.</t>
  </si>
  <si>
    <t>10.4049/jimmunol.168.6.2944</t>
  </si>
  <si>
    <t>Experimental infection of ground squirrels (Spermophilus tridecemlineatus) with monkeypox virus</t>
  </si>
  <si>
    <t>Tesh RB, Watts DM, Sbrana E, Siirin M, Popov VL, Xiao SY.</t>
  </si>
  <si>
    <t>Emerg Infect Dis. 2004 Sep;10(9):1563-7. doi: 10.3201/eid1009.040310.</t>
  </si>
  <si>
    <t>10.3201/eid1009.040310</t>
  </si>
  <si>
    <t>Are rhinovirus-induced airway responses in asthma aggravated by chronic allergen exposure?</t>
  </si>
  <si>
    <t>de Kluijver J, Evertse CE, Sont JK, Schrumpf JA, van Zeijl-van der Ham CJ, Dick CR, Rabe KF, Hiemstra PS, Sterk PJ.</t>
  </si>
  <si>
    <t>Am J Respir Crit Care Med. 2003 Nov 15;168(10):1174-80. doi: 10.1164/rccm.200212-1520OC. Epub 2003 Jul 31.</t>
  </si>
  <si>
    <t>10.1164/rccm.200212-1520OC</t>
  </si>
  <si>
    <t>Elevations of local leukotriene C4 levels during viral upper respiratory tract infections</t>
  </si>
  <si>
    <t>Gentile DA, Fireman P, Skoner DP.</t>
  </si>
  <si>
    <t>Ann Allergy Asthma Immunol. 2003 Sep;91(3):270-4. doi: 10.1016/S1081-1206(10)63529-6.</t>
  </si>
  <si>
    <t>10.1016/S1081-1206(10)63529-6</t>
  </si>
  <si>
    <t>Efficacy of a novel Pasteurella multocida vaccine against progressive atrophic rhinitis of swine</t>
  </si>
  <si>
    <t>Hsuan SL, Liao CM, Huang C, Winton JR, Chen ZW, Lee WC, Liao JW, Chen TH, Chiou CJ, Yeh KS, Chien MS.</t>
  </si>
  <si>
    <t>Vaccine. 2009 May 14;27(22):2923-9. doi: 10.1016/j.vaccine.2009.03.005. Epub 2009 Mar 13.</t>
  </si>
  <si>
    <t>10.1016/j.vaccine.2009.03.005</t>
  </si>
  <si>
    <t>Dendritic cell subsets dynamics and cytokine production in SIVmac239-infected Chinese rhesus macaques</t>
  </si>
  <si>
    <t>Xia HJ, Zhang GH, Ma JP, Dai ZX, Li SY, Han JB, Zheng YT.</t>
  </si>
  <si>
    <t>Retrovirology. 2010 Dec 1;7:102. doi: 10.1186/1742-4690-7-102.</t>
  </si>
  <si>
    <t>Retrovirology</t>
  </si>
  <si>
    <t>10.1186/1742-4690-7-102</t>
  </si>
  <si>
    <t>Recombinant Liver Stage Antigen-1 (LSA-1) formulated with AS01 or AS02 is safe, elicits high titer antibody and induces IFN-gamma/IL-2 CD4+ T cells but does not protect against experimental Plasmodium falciparum infection</t>
  </si>
  <si>
    <t>Cummings JF, Spring MD, Schwenk RJ, Ockenhouse CF, Kester KE, Polhemus ME, Walsh DS, Yoon IK, Prosperi C, Juompan LY, Lanar DE, Krzych U, Hall BT, Ware LA, Stewart VA, Williams J, Dowler M, Nielsen RK, Hillier CJ, Giersing BK, Dubovsky F, Malkin E, Tucker K, Dubois MC, Cohen JD, Ballou WR, Heppner DG Jr.</t>
  </si>
  <si>
    <t>Vaccine. 2010 Jul 12;28(31):5135-44. doi: 10.1016/j.vaccine.2009.08.046. Epub 2009 Sep 6.</t>
  </si>
  <si>
    <t>10.1016/j.vaccine.2009.08.046</t>
  </si>
  <si>
    <t>Everolimus in patients with autosomal dominant polycystic kidney disease</t>
  </si>
  <si>
    <t>Walz G, Budde K, Mannaa M, Nürnberger J, Wanner C, Sommerer C, Kunzendorf U, Banas B, Hörl WH, Obermüller N, Arns W, Pavenstädt H, Gaedeke J, Büchert M, May C, Gschaidmeier H, Kramer S, Eckardt KU.</t>
  </si>
  <si>
    <t>N Engl J Med. 2010 Aug 26;363(9):830-40. doi: 10.1056/NEJMoa1003491. Epub 2010 Jun 26.</t>
  </si>
  <si>
    <t>10.1056/NEJMoa1003491</t>
  </si>
  <si>
    <t>rDEN4delta30, a live attenuated dengue virus type 4 vaccine candidate, is safe, immunogenic, and highly infectious in healthy adult volunteers</t>
  </si>
  <si>
    <t>Durbin AP, Whitehead SS, McArthur J, Perreault JR, Blaney JE Jr, Thumar B, Murphy BR, Karron RA.</t>
  </si>
  <si>
    <t>J Infect Dis. 2005 Mar 1;191(5):710-8. doi: 10.1086/427780. Epub 2005 Jan 27.</t>
  </si>
  <si>
    <t>10.1086/427780</t>
  </si>
  <si>
    <t>Pathogenesis of renal disease due to enterohemorrhagic Escherichia coli in germ-free mice</t>
  </si>
  <si>
    <t>Eaton KA, Friedman DI, Francis GJ, Tyler JS, Young VB, Haeger J, Abu-Ali G, Whittam TS.</t>
  </si>
  <si>
    <t>Infect Immun. 2008 Jul;76(7):3054-63. doi: 10.1128/IAI.01626-07. Epub 2008 Apr 28.</t>
  </si>
  <si>
    <t>10.1128/IAI.01626-07</t>
  </si>
  <si>
    <t>Effects of psychological stress and fluoxetine on development of oral candidiasis in rats</t>
  </si>
  <si>
    <t>Núñez MJ, Novío S, Suárez JA, Balboa J, Freire-Garabal M.</t>
  </si>
  <si>
    <t>Clin Vaccine Immunol. 2010 Apr;17(4):668-73. doi: 10.1128/CVI.00380-09. Epub 2010 Feb 3.</t>
  </si>
  <si>
    <t>10.1128/CVI.00380-09</t>
  </si>
  <si>
    <t>Effects of oral posaconazole on the pharmacokinetics of atazanavir alone and with ritonavir or with efavirenz in healthy adult volunteers</t>
  </si>
  <si>
    <t>Krishna G, Moton A, Ma L, Martinho M, Seiberling M, McLeod J.</t>
  </si>
  <si>
    <t>J Acquir Immune Defic Syndr. 2009 Aug 1;51(4):437-44. doi: 10.1097/qai.0b013e3181acb51b.</t>
  </si>
  <si>
    <t>10.1097/qai.0b013e3181acb51b</t>
  </si>
  <si>
    <t>Plasma interferon-gamma and interleukin-10 concentrations in systemic meningococcal disease compared with severe systemic Gram-positive septic shock</t>
  </si>
  <si>
    <t>Bjerre A, Brusletto B, Høiby EA, Kierulf P, Brandtzaeg P.</t>
  </si>
  <si>
    <t>Crit Care Med. 2004 Feb;32(2):433-8. doi: 10.1097/01.CCM.0000104950.52577.97.</t>
  </si>
  <si>
    <t>10.1097/01.CCM.0000104950.52577.97</t>
  </si>
  <si>
    <t>Cloning, expression and immunoassay detection of ferret IFN-gamma</t>
  </si>
  <si>
    <t>Ochi A, Danesh A, Seneviratne C, Banner D, Devries ME, Rowe T, Xu L, Ran L, Czub M, Bosinger SE, Cameron MJ, Cameron CM, Kelvin DJ.</t>
  </si>
  <si>
    <t>Dev Comp Immunol. 2008;32(8):890-7. doi: 10.1016/j.dci.2007.12.008. Epub 2008 Jan 28.</t>
  </si>
  <si>
    <t>Dev Comp Immunol</t>
  </si>
  <si>
    <t>10.1016/j.dci.2007.12.008</t>
  </si>
  <si>
    <t>Experimental infection of domestic pigeons with pigeon circovirus</t>
  </si>
  <si>
    <t>Schmidt V, Schlömer J, Lüken C, Johne R, Biere B, Müller H, Krautwald-Junghanns ME.</t>
  </si>
  <si>
    <t>Avian Dis. 2008 Sep;52(3):380-6. doi: 10.1637/8188-120407-Reg.</t>
  </si>
  <si>
    <t>Avian Dis</t>
  </si>
  <si>
    <t>10.1637/8188-120407-Reg</t>
  </si>
  <si>
    <t>Immunosuppression affects the severity of experimental Fusarium solani keratitis</t>
  </si>
  <si>
    <t>Wu TG, Keasler VV, Mitchell BM, Wilhelmus KR.</t>
  </si>
  <si>
    <t>J Infect Dis. 2004 Jul 1;190(1):192-8. doi: 10.1086/421300. Epub 2004 Jun 8.</t>
  </si>
  <si>
    <t>10.1086/421300</t>
  </si>
  <si>
    <t>A randomized, double-blinded, placebo-controlled multicenter trial of etanercept in the treatment of alcoholic hepatitis</t>
  </si>
  <si>
    <t>Boetticher NC, Peine CJ, Kwo P, Abrams GA, Patel T, Aqel B, Boardman L, Gores GJ, Harmsen WS, McClain CJ, Kamath PS, Shah VH.</t>
  </si>
  <si>
    <t>Gastroenterology. 2008 Dec;135(6):1953-60. doi: 10.1053/j.gastro.2008.08.057. Epub 2008 Sep 13.</t>
  </si>
  <si>
    <t>NIHMS83438</t>
  </si>
  <si>
    <t>10.1053/j.gastro.2008.08.057</t>
  </si>
  <si>
    <t>Spatially and genetically distinct African Trypanosome virulence variants defined by host interferon-gamma response</t>
  </si>
  <si>
    <t>Maclean L, Odiit M, Macleod A, Morrison L, Sweeney L, Cooper A, Kennedy PG, Sternberg JM.</t>
  </si>
  <si>
    <t>J Infect Dis. 2007 Dec 1;196(11):1620-8. doi: 10.1086/522011. Epub 2007 Oct 25.</t>
  </si>
  <si>
    <t>UKMS1161</t>
  </si>
  <si>
    <t>10.1086/522011</t>
  </si>
  <si>
    <t>Review of an inactivated vaccine against hantaviruses</t>
  </si>
  <si>
    <t>Cho HW, Howard CR, Lee HW.</t>
  </si>
  <si>
    <t>Intervirology. 2002;45(4-6):328-33. doi: 10.1159/000067925.</t>
  </si>
  <si>
    <t>10.1159/000067925</t>
  </si>
  <si>
    <t>Human immunodeficiency virus and hepatitis C virus coinfection: epidemiology, natural history, therapeutic options and clinical management</t>
  </si>
  <si>
    <t>Verucchi G, Calza L, Manfredi R, Chiodo F.</t>
  </si>
  <si>
    <t>Infection. 2004 Feb;32(1):33-46. doi: 10.1007/s15010-004-3063-7.</t>
  </si>
  <si>
    <t>10.1007/s15010-004-3063-7</t>
  </si>
  <si>
    <t>A pilot trial on safety and efficacy of erythrocyte-mediated steroid treatment in CF patients</t>
  </si>
  <si>
    <t>Lucidi V, Tozzi AE, Bella S, Turchetta A.</t>
  </si>
  <si>
    <t>BMC Pediatr. 2006 May 24;6:17. doi: 10.1186/1471-2431-6-17.</t>
  </si>
  <si>
    <t>10.1186/1471-2431-6-17</t>
  </si>
  <si>
    <t>Clinical applications of L-glutamine: past, present, and future</t>
  </si>
  <si>
    <t>Wischmeyer PE.</t>
  </si>
  <si>
    <t>Nutr Clin Pract. 2003 Oct;18(5):377-85. doi: 10.1177/0115426503018005377.</t>
  </si>
  <si>
    <t>Nutr Clin Pract</t>
  </si>
  <si>
    <t>10.1177/0115426503018005377</t>
  </si>
  <si>
    <t>Effects of selective decontamination of digestive tract on mortality and antibiotic resistance in the intensive-care unit</t>
  </si>
  <si>
    <t>de Jonge E.</t>
  </si>
  <si>
    <t>Curr Opin Crit Care. 2005 Apr;11(2):144-9. doi: 10.1097/01.ccx.0000155352.01489.11.</t>
  </si>
  <si>
    <t>10.1097/01.ccx.0000155352.01489.11</t>
  </si>
  <si>
    <t>AdCD40L immunogene therapy for bladder carcinoma--the first phase I/IIa trial</t>
  </si>
  <si>
    <t>Malmström PU, Loskog AS, Lindqvist CA, Mangsbo SM, Fransson M, Wanders A, Gårdmark T, Tötterman TH.</t>
  </si>
  <si>
    <t>Clin Cancer Res. 2010 Jun 15;16(12):3279-87. doi: 10.1158/1078-0432.CCR-10-0385. Epub 2010 May 4.</t>
  </si>
  <si>
    <t>Clin Cancer Res</t>
  </si>
  <si>
    <t>10.1158/1078-0432.CCR-10-0385</t>
  </si>
  <si>
    <t>Pathogenesis of experimental Ebola Zaire virus infection in BALB/c mice</t>
  </si>
  <si>
    <t>Gibb TR, Bray M, Geisbert TW, Steele KE, Kell WM, Davis KJ, Jaax NK.</t>
  </si>
  <si>
    <t>J Comp Pathol. 2001 Nov;125(4):233-42. doi: 10.1053/jcpa.2001.0502.</t>
  </si>
  <si>
    <t>J Comp Pathol</t>
  </si>
  <si>
    <t>10.1053/jcpa.2001.0502</t>
  </si>
  <si>
    <t>Clinical effectiveness of conventional influenza vaccination in asthmatic children</t>
  </si>
  <si>
    <t>Smits AJ, Hak E, Stalman WA, van Essen GA, Hoes AW, Verheij TJ.</t>
  </si>
  <si>
    <t>Epidemiol Infect. 2002 Apr;128(2):205-11. doi: 10.1017/s0950268801006574.</t>
  </si>
  <si>
    <t>10.1017/s0950268801006574</t>
  </si>
  <si>
    <t>Incidence of hyperlipidaemia in a cohort of 212 HIV-infected patients receiving a protease inhibitor-based antiretroviral therapy</t>
  </si>
  <si>
    <t>Calza L, Manfredi R, Farneti B, Chiodo F.</t>
  </si>
  <si>
    <t>Int J Antimicrob Agents. 2003 Jul;22(1):54-9. doi: 10.1016/s0924-8579(03)00100-6.</t>
  </si>
  <si>
    <t>10.1016/s0924-8579(03)00100-6</t>
  </si>
  <si>
    <t>Effect of clarithromycin in patients with sepsis and ventilator-associated pneumonia</t>
  </si>
  <si>
    <t>Giamarellos-Bourboulis EJ, Pechère JC, Routsi C, Plachouras D, Kollias S, Raftogiannis M, Zervakis D, Baziaka F, Koronaios A, Antonopoulou A, Markaki V, Koutoukas P, Papadomichelakis E, Tsaganos T, Armaganidis A, Koussoulas V, Kotanidou A, Roussos C, Giamarellou H.</t>
  </si>
  <si>
    <t>Clin Infect Dis. 2008 Apr 15;46(8):1157-64. doi: 10.1086/529439.</t>
  </si>
  <si>
    <t>10.1086/529439</t>
  </si>
  <si>
    <t>Pharmacokinetics and pharmacodynamics of levofloxacin in intensive care patients</t>
  </si>
  <si>
    <t>Sánchez Navarro A, Colino Gandarillas CI, Alvarez Lerma F, Menacho YA, Domínguez-Gil A.</t>
  </si>
  <si>
    <t>Clin Pharmacokinet. 2005;44(6):627-35. doi: 10.2165/00003088-200544060-00004.</t>
  </si>
  <si>
    <t>10.2165/00003088-200544060-00004</t>
  </si>
  <si>
    <t>Efficacy and safety of anakinra for the treatment of rheumatoid arthritis: an update of the Oregon Drug Effectiveness Review Project</t>
  </si>
  <si>
    <t>Thaler K, Chandiramani DV, Hansen RA, Gartlehner G.</t>
  </si>
  <si>
    <t>Biologics. 2009;3:485-98. doi: 10.2147/btt.2009.3755. Epub 2009 Dec 29.</t>
  </si>
  <si>
    <t>Biologics</t>
  </si>
  <si>
    <t>10.2147/btt.2009.3755</t>
  </si>
  <si>
    <t>Immune-mediated mechanisms of parasite tissue sequestration during experimental cerebral malaria</t>
  </si>
  <si>
    <t>Amante FH, Haque A, Stanley AC, Rivera Fde L, Randall LM, Wilson YA, Yeo G, Pieper C, Crabb BS, de Koning-Ward TF, Lundie RJ, Good MF, Pinzon-Charry A, Pearson MS, Duke MG, McManus DP, Loukas A, Hill GR, Engwerda CR.</t>
  </si>
  <si>
    <t>J Immunol. 2010 Sep 15;185(6):3632-42. doi: 10.4049/jimmunol.1000944. Epub 2010 Aug 18.</t>
  </si>
  <si>
    <t>10.4049/jimmunol.1000944</t>
  </si>
  <si>
    <t>Experimental infection of brushtail possums (Trichosurus vulpecula) with Mycobacterium bovis by conjunctival instillation</t>
  </si>
  <si>
    <t>Corner LA, Buddle BM, Morris RS.</t>
  </si>
  <si>
    <t>Vet J. 2003 Sep;166(2):177-84. doi: 10.1016/s1090-0233(02)00311-8.</t>
  </si>
  <si>
    <t>Vet J</t>
  </si>
  <si>
    <t>10.1016/s1090-0233(02)00311-8</t>
  </si>
  <si>
    <t>Chikungunya virus takes centre stage in virally induced arthritis: possible cellular and molecular mechanisms to pathogenesis</t>
  </si>
  <si>
    <t>Jaffar-Bandjee MC, Das T, Hoarau JJ, Krejbich Trotot P, Denizot M, Ribera A, Roques P, Gasque P.</t>
  </si>
  <si>
    <t>Microbes Infect. 2009 Dec;11(14-15):1206-18. doi: 10.1016/j.micinf.2009.10.001. Epub 2009 Oct 14.</t>
  </si>
  <si>
    <t>10.1016/j.micinf.2009.10.001</t>
  </si>
  <si>
    <t>A role for prophylactic antibiotics in necrotizing pancreatitis? Why we may never know the answer ..</t>
  </si>
  <si>
    <t>De Waele JJ.</t>
  </si>
  <si>
    <t>Crit Care. 2008;12(6):195. doi: 10.1186/cc7122. Epub 2008 Dec 2.</t>
  </si>
  <si>
    <t>10.1186/cc7122</t>
  </si>
  <si>
    <t>Serological correlate of protection against norovirus-induced gastroenteritis</t>
  </si>
  <si>
    <t>Reeck A, Kavanagh O, Estes MK, Opekun AR, Gilger MA, Graham DY, Atmar RL.</t>
  </si>
  <si>
    <t>J Infect Dis. 2010 Oct 15;202(8):1212-8. doi: 10.1086/656364.</t>
  </si>
  <si>
    <t>NIHMS223025</t>
  </si>
  <si>
    <t>10.1086/656364</t>
  </si>
  <si>
    <t>Synergistic effects of psychological and immune stressors on inflammatory cytokine and sickness responses in humans</t>
  </si>
  <si>
    <t>Brydon L, Walker C, Wawrzyniak A, Whitehead D, Okamura H, Yajima J, Tsuda A, Steptoe A.</t>
  </si>
  <si>
    <t>Brain Behav Immun. 2009 Feb;23(2):217-24. doi: 10.1016/j.bbi.2008.09.007. Epub 2008 Sep 20.</t>
  </si>
  <si>
    <t>10.1016/j.bbi.2008.09.007</t>
  </si>
  <si>
    <t>CD14 is an acute-phase protein</t>
  </si>
  <si>
    <t>Bas S, Gauthier BR, Spenato U, Stingelin S, Gabay C.</t>
  </si>
  <si>
    <t>J Immunol. 2004 Apr 1;172(7):4470-9. doi: 10.4049/jimmunol.172.7.4470.</t>
  </si>
  <si>
    <t>10.4049/jimmunol.172.7.4470</t>
  </si>
  <si>
    <t>Telavancin: a lipoglycopeptide antimicrobial for the treatment of complicated skin and skin structure infections caused by gram-positive bacteria in adults</t>
  </si>
  <si>
    <t>Chang MH, Kish TD, Fung HB.</t>
  </si>
  <si>
    <t>Clin Ther. 2010 Dec;32(13):2160-85. doi: 10.1016/S0149-2918(11)00020-8.</t>
  </si>
  <si>
    <t>10.1016/S0149-2918(11)00020-8</t>
  </si>
  <si>
    <t>The EtpA exoprotein of enterotoxigenic Escherichia coli promotes intestinal colonization and is a protective antigen in an experimental model of murine infection</t>
  </si>
  <si>
    <t>Roy K, Hamilton D, Allen KP, Randolph MP, Fleckenstein JM.</t>
  </si>
  <si>
    <t>Infect Immun. 2008 May;76(5):2106-12. doi: 10.1128/IAI.01304-07. Epub 2008 Feb 19.</t>
  </si>
  <si>
    <t>10.1128/IAI.01304-07</t>
  </si>
  <si>
    <t>Clinical usefulness of probiotics in inflammatory bowel diseases</t>
  </si>
  <si>
    <t>Mach T.</t>
  </si>
  <si>
    <t>J Physiol Pharmacol. 2006 Nov;57 Suppl 9:23-33.</t>
  </si>
  <si>
    <t>J Physiol Pharmacol</t>
  </si>
  <si>
    <t>Immunological responses and protective immunity in BCG vaccinated badgers following endobronchial infection with Mycobacterium bovis</t>
  </si>
  <si>
    <t>Lesellier S, Corner L, Costello E, Lyashchenko K, Greenwald R, Esfandiari J, Singh M, Hewinson RG, Chambers M, Gormley E.</t>
  </si>
  <si>
    <t>Vaccine. 2009 Jan 14;27(3):402-9. doi: 10.1016/j.vaccine.2008.10.068. Epub 2008 Nov 14.</t>
  </si>
  <si>
    <t>10.1016/j.vaccine.2008.10.068</t>
  </si>
  <si>
    <t>Chronic idiopathic sensory ataxic neuropathy: immunological aspects of a series of 17 patients</t>
  </si>
  <si>
    <t>Illa I, Rojas R, Gallardo E, Serrano C, Graus F.</t>
  </si>
  <si>
    <t>Rev Neurol (Paris). 2001 May;157(5):517-22.</t>
  </si>
  <si>
    <t>Symptom severity patterns in experimental common colds and their usefulness in timing onset of illness in natural colds</t>
  </si>
  <si>
    <t>Gwaltney JM Jr, Hendley JO, Patrie JT.</t>
  </si>
  <si>
    <t>Clin Infect Dis. 2003 Mar 15;36(6):714-23. doi: 10.1086/367844. Epub 2003 Mar 5.</t>
  </si>
  <si>
    <t>10.1086/367844</t>
  </si>
  <si>
    <t>Pathogenicity of serotype 1 fowl adenovirus in commercial broiler chickens</t>
  </si>
  <si>
    <t>Okuda Y, Ono M, Yazawa S, Imai Y, Shibata I, Sato S.</t>
  </si>
  <si>
    <t>Avian Dis. 2001 Oct-Dec;45(4):819-27.</t>
  </si>
  <si>
    <t>Immunogenicity and protective efficacy of a replication-defective infectious bronchitis virus vaccine using an adenovirus vector and administered in ovo</t>
  </si>
  <si>
    <t>Zeshan B, Zhang L, Bai J, Wang X, Xu J, Jiang P.</t>
  </si>
  <si>
    <t>J Virol Methods. 2010 Jun;166(1-2):54-9. doi: 10.1016/j.jviromet.2010.02.019. Epub 2010 Feb 26.</t>
  </si>
  <si>
    <t>10.1016/j.jviromet.2010.02.019</t>
  </si>
  <si>
    <t>Safety and immunogenicity of TA-HPV, a recombinant vaccinia virus expressing modified human papillomavirus (HPV)-16 and HPV-18 E6 and E7 genes, in women with progressive cervical cancer</t>
  </si>
  <si>
    <t>Kaufmann AM, Stern PL, Rankin EM, Sommer H, Nuessler V, Schneider A, Adams M, Onon TS, Bauknecht T, Wagner U, Kroon K, Hickling J, Boswell CM, Stacey SN, Kitchener HC, Gillard J, Wanders J, Roberts JS, Zwierzina H.</t>
  </si>
  <si>
    <t>Clin Cancer Res. 2002 Dec;8(12):3676-85.</t>
  </si>
  <si>
    <t>Mitoxantrone: a review of its use in multiple sclerosis</t>
  </si>
  <si>
    <t>Scott LJ, Figgitt DP.</t>
  </si>
  <si>
    <t>CNS Drugs. 2004;18(6):379-96. doi: 10.2165/00023210-200418060-00010.</t>
  </si>
  <si>
    <t>10.2165/00023210-200418060-00010</t>
  </si>
  <si>
    <t>Variation in colonization, ADP-ribosylating and vacuolating cytotoxin, and pulmonary disease severity among mycoplasma pneumoniae strains</t>
  </si>
  <si>
    <t>Techasaensiri C, Tagliabue C, Cagle M, Iranpour P, Katz K, Kannan TR, Coalson JJ, Baseman JB, Hardy RD.</t>
  </si>
  <si>
    <t>Am J Respir Crit Care Med. 2010 Sep 15;182(6):797-804. doi: 10.1164/rccm.201001-0080OC. Epub 2010 May 27.</t>
  </si>
  <si>
    <t>10.1164/rccm.201001-0080OC</t>
  </si>
  <si>
    <t>HIV prevention with severely mentally ill men: a randomised controlled trial</t>
  </si>
  <si>
    <t>Berkman A, Pilowsky DJ, Zybert PA, Herman DB, Conover S, Lemelle S, Cournos F, Hoepner LA, Susser E.</t>
  </si>
  <si>
    <t>AIDS Care. 2007 May;19(5):579-88. doi: 10.1080/09540120701213989.</t>
  </si>
  <si>
    <t>AIDS Care</t>
  </si>
  <si>
    <t>10.1080/09540120701213989</t>
  </si>
  <si>
    <t>The spectrum of systemic immune alterations after murine focal ischemia: immunodepression versus immunomodulation</t>
  </si>
  <si>
    <t>Liesz A, Hagmann S, Zschoche C, Adamek J, Zhou W, Sun L, Hug A, Zorn M, Dalpke A, Nawroth P, Veltkamp R.</t>
  </si>
  <si>
    <t>Stroke. 2009 Aug;40(8):2849-58. doi: 10.1161/STROKEAHA.109.549618. Epub 2009 May 14.</t>
  </si>
  <si>
    <t>10.1161/STROKEAHA.109.549618</t>
  </si>
  <si>
    <t>Treatment of fever in the neurologic intensive care unit with a catheter-based heat exchange system</t>
  </si>
  <si>
    <t>Diringer MN; Neurocritical Care Fever Reduction Trial Group.</t>
  </si>
  <si>
    <t>Crit Care Med. 2004 Feb;32(2):559-64. doi: 10.1097/01.CCM.0000108868.97433.3F.</t>
  </si>
  <si>
    <t>10.1097/01.CCM.0000108868.97433.3F</t>
  </si>
  <si>
    <t>Comparison of efficacy of moxidectin and ivermectin in the treatment of Strongyloides fulleborni infection in rhesus macaques</t>
  </si>
  <si>
    <t>Dufour JP, Cogswell FB, Phillippi-Falkenstein KM, Bohm RP.</t>
  </si>
  <si>
    <t>J Med Primatol. 2006 Jun;35(3):172-6. doi: 10.1111/j.1600-0684.2006.00154.x.</t>
  </si>
  <si>
    <t>J Med Primatol</t>
  </si>
  <si>
    <t>10.1111/j.1600-0684.2006.00154.x</t>
  </si>
  <si>
    <t>Influence of exposure intensity on the efficiency and speed of transmission of Foot-and-mouth disease</t>
  </si>
  <si>
    <t>Quan M, Murphy CM, Zhang Z, Durand S, Esteves I, Doel C, Alexandersen S.</t>
  </si>
  <si>
    <t>J Comp Pathol. 2009 May;140(4):225-37. doi: 10.1016/j.jcpa.2008.12.002. Epub 2009 Feb 11.</t>
  </si>
  <si>
    <t>10.1016/j.jcpa.2008.12.002</t>
  </si>
  <si>
    <t>Lactobacillus GG bacteria ameliorate arthritis in Lewis rats</t>
  </si>
  <si>
    <t>Baharav E, Mor F, Halpern M, Weinberger A.</t>
  </si>
  <si>
    <t>J Nutr. 2004 Aug;134(8):1964-9. doi: 10.1093/jn/134.8.1964.</t>
  </si>
  <si>
    <t>10.1093/jn/134.8.1964</t>
  </si>
  <si>
    <t>Type 3 deiodinase is highly expressed in infiltrating neutrophilic granulocytes in response to acute bacterial infection</t>
  </si>
  <si>
    <t>Boelen A, Boorsma J, Kwakkel J, Wieland CW, Renckens R, Visser TJ, Fliers E, Wiersinga WM.</t>
  </si>
  <si>
    <t>Thyroid. 2008 Oct;18(10):1095-103. doi: 10.1089/thy.2008.0090.</t>
  </si>
  <si>
    <t>Thyroid</t>
  </si>
  <si>
    <t>10.1089/thy.2008.0090</t>
  </si>
  <si>
    <t>Atypical myxomatosis--virus isolation, experimental infection of rabbits and restriction endonuclease analysis of the isolate</t>
  </si>
  <si>
    <t>Psikal I, Smíd B, Rodák L, Valícek L, Bendová J.</t>
  </si>
  <si>
    <t>J Vet Med B Infect Dis Vet Public Health. 2003 Aug;50(6):259-64. doi: 10.1046/j.1439-0450.2003.00665.x.</t>
  </si>
  <si>
    <t>J Vet Med B Infect Dis Vet Public Health</t>
  </si>
  <si>
    <t>10.1046/j.1439-0450.2003.00665.x</t>
  </si>
  <si>
    <t>Symptom pathogenesis during acute influenza: interleukin-6 and other cytokine responses</t>
  </si>
  <si>
    <t>Kaiser L, Fritz RS, Straus SE, Gubareva L, Hayden FG.</t>
  </si>
  <si>
    <t>J Med Virol. 2001 Jul;64(3):262-8. doi: 10.1002/jmv.1045.</t>
  </si>
  <si>
    <t>10.1002/jmv.1045</t>
  </si>
  <si>
    <t>The virulence variability of different Acinetobacter baumannii strains in experimental pneumonia</t>
  </si>
  <si>
    <t>Eveillard M, Soltner C, Kempf M, Saint-André JP, Lemarié C, Randrianarivelo C, Seifert H, Wolff M, Joly-Guillou ML.</t>
  </si>
  <si>
    <t>J Infect. 2010 Feb;60(2):154-61. doi: 10.1016/j.jinf.2009.09.004. Epub 2009 Sep 11.</t>
  </si>
  <si>
    <t>10.1016/j.jinf.2009.09.004</t>
  </si>
  <si>
    <t>Translating efficacy into effectiveness in antiretroviral therapy: beyond the pill count</t>
  </si>
  <si>
    <t>Fletcher CV.</t>
  </si>
  <si>
    <t>Drugs. 2007;67(14):1969-79. doi: 10.2165/00003495-200767140-00001.</t>
  </si>
  <si>
    <t>10.2165/00003495-200767140-00001</t>
  </si>
  <si>
    <t>Protection of vaccinated pigs against experimental infections with homologous and heterologous Haemophilus parasuis</t>
  </si>
  <si>
    <t>Bak H, Riising HJ.</t>
  </si>
  <si>
    <t>Vet Rec. 2002 Oct 26;151(17):502-5. doi: 10.1136/vr.151.17.502.</t>
  </si>
  <si>
    <t>Vet Rec</t>
  </si>
  <si>
    <t>10.1136/vr.151.17.502</t>
  </si>
  <si>
    <t>A pilot study of the safety and tolerability of etanercept in patients with alcoholic hepatitis</t>
  </si>
  <si>
    <t>Menon KV, Stadheim L, Kamath PS, Wiesner RH, Gores GJ, Peine CJ, Shah V.</t>
  </si>
  <si>
    <t>Am J Gastroenterol. 2004 Feb;99(2):255-60. doi: 10.1111/j.1572-0241.2004.04034.x.</t>
  </si>
  <si>
    <t>10.1111/j.1572-0241.2004.04034.x</t>
  </si>
  <si>
    <t>[Animal experimental models for acute pancreatitis]</t>
  </si>
  <si>
    <t>Ueda T, Takeyama Y, Kuroda Y.</t>
  </si>
  <si>
    <t>Nihon Rinsho. 2004 Nov;62(11):1984-8.</t>
  </si>
  <si>
    <t>Nihon Rinsho</t>
  </si>
  <si>
    <t>Comparative efficacies of albendazole and the Chinese herbal medicine long-dan-xie-gan-tan, used alone or in combination, in the treatment of experimental eosinophilic meningitis induced by Angiostrongylus cantonensis</t>
  </si>
  <si>
    <t>Lai SC, Chen KM, Chang YH, Lee HH.</t>
  </si>
  <si>
    <t>Ann Trop Med Parasitol. 2008 Mar;102(2):143-50. doi: 10.1179/136485908X252304.</t>
  </si>
  <si>
    <t>Ann Trop Med Parasitol</t>
  </si>
  <si>
    <t>10.1179/136485908X252304</t>
  </si>
  <si>
    <t>Islet allograft survival in nonhuman primates immunosuppressed with basiliximab, RAD, and FTY720</t>
  </si>
  <si>
    <t>Wijkstrom M, Kenyon NS, Kirchhof N, Kenyon NM, Mullon C, Lake P, Cottens S, Ricordi C, Hering BJ.</t>
  </si>
  <si>
    <t>Transplantation. 2004 Mar 27;77(6):827-35. doi: 10.1097/01.tp.0000116390.76425.20.</t>
  </si>
  <si>
    <t>10.1097/01.tp.0000116390.76425.20</t>
  </si>
  <si>
    <t>Controlled trial of prescribed heroin in the treatment of opioid addiction</t>
  </si>
  <si>
    <t>March JC, Oviedo-Joekes E, Perea-Milla E, Carrasco F; PEPSA team.</t>
  </si>
  <si>
    <t>J Subst Abuse Treat. 2006 Sep;31(2):203-11. doi: 10.1016/j.jsat.2006.04.007. Epub 2006 Jul 18.</t>
  </si>
  <si>
    <t>J Subst Abuse Treat</t>
  </si>
  <si>
    <t>10.1016/j.jsat.2006.04.007</t>
  </si>
  <si>
    <t>Genetic immune modulation of Ran GTPase against different microbial pathogens</t>
  </si>
  <si>
    <t>Chung SW, Huang XY, Song J, Thomas R, Wong PM.</t>
  </si>
  <si>
    <t>Front Biosci. 2004 Sep 1;9:3374-83. doi: 10.2741/1488.</t>
  </si>
  <si>
    <t>10.2741/1488</t>
  </si>
  <si>
    <t>Novel therapy with 2-methoxyestradiol for the treatment of relapsed and plateau phase multiple myeloma</t>
  </si>
  <si>
    <t>Rajkumar SV, Richardson PG, Lacy MQ, Dispenzieri A, Greipp PR, Witzig TE, Schlossman R, Sidor CF, Anderson KC, Gertz MA.</t>
  </si>
  <si>
    <t>Clin Cancer Res. 2007 Oct 15;13(20):6162-7. doi: 10.1158/1078-0432.CCR-07-0807.</t>
  </si>
  <si>
    <t>10.1158/1078-0432.CCR-07-0807</t>
  </si>
  <si>
    <t>Alemtuzumab is safe and effective as immunosuppressive treatment for aplastic anaemia and single-lineage marrow failure: a pilot study and a survey from the EBMT WPSAA</t>
  </si>
  <si>
    <t>Risitano AM, Selleri C, Serio B, Torelli GF, Kulagin A, Maury S, Halter J, Gupta V, Bacigalupo A, Sociè G, Tichelli A, Schrezenmeier H, Marsh J, Passweg J, Rotoli B; Working Party Severe Aplastic Anaemia (WPSAA) of the European Group for Blood and Marrow Transplantation (EBMT).</t>
  </si>
  <si>
    <t>Br J Haematol. 2010 Mar;148(5):791-6. doi: 10.1111/j.1365-2141.2009.08027.x. Epub 2009 Dec 7.</t>
  </si>
  <si>
    <t>10.1111/j.1365-2141.2009.08027.x</t>
  </si>
  <si>
    <t>Platelet accumulation in brain microvessels in fatal pediatric cerebral malaria</t>
  </si>
  <si>
    <t>Grau GE, Mackenzie CD, Carr RA, Redard M, Pizzolato G, Allasia C, Cataldo C, Taylor TE, Molyneux ME.</t>
  </si>
  <si>
    <t>J Infect Dis. 2003 Feb 1;187(3):461-6. doi: 10.1086/367960. Epub 2003 Jan 24.</t>
  </si>
  <si>
    <t>10.1086/367960</t>
  </si>
  <si>
    <t>Pharmacokinetics of rhuMAb CD18, a recombinant humanised monoclonal antibody fragment to CD18, in normal healthy human volunteers</t>
  </si>
  <si>
    <t>Allison DE, Gourlay SG, Koren E, Miller RM, Fox JA.</t>
  </si>
  <si>
    <t>BioDrugs. 2002;16(1):63-70. doi: 10.2165/00063030-200216010-00007.</t>
  </si>
  <si>
    <t>10.2165/00063030-200216010-00007</t>
  </si>
  <si>
    <t>Caspase-1 inhibitor reduces severity of pseudomonas aeruginosa keratitis in mice</t>
  </si>
  <si>
    <t>Thakur A, Barrett RP, Hobden JA, Hazlett LD.</t>
  </si>
  <si>
    <t>Invest Ophthalmol Vis Sci. 2004 Sep;45(9):3177-84. doi: 10.1167/iovs.04-0041.</t>
  </si>
  <si>
    <t>Invest Ophthalmol Vis Sci</t>
  </si>
  <si>
    <t>10.1167/iovs.04-0041</t>
  </si>
  <si>
    <t>The possible influence of LuxS in the in vivo virulence of rabbit enteropathogenic Escherichia coli</t>
  </si>
  <si>
    <t>Zhu C, Feng S, Sperandio V, Yang Z, Thate TE, Kaper JB, Boedeker EC.</t>
  </si>
  <si>
    <t>Vet Microbiol. 2007 Dec 15;125(3-4):313-22. doi: 10.1016/j.vetmic.2007.05.030. Epub 2007 Jun 15.</t>
  </si>
  <si>
    <t>NIHMS81857</t>
  </si>
  <si>
    <t>10.1016/j.vetmic.2007.05.030</t>
  </si>
  <si>
    <t>Study and treatment of post Lyme disease (STOP-LD): a randomized double masked clinical trial</t>
  </si>
  <si>
    <t>Krupp LB, Hyman LG, Grimson R, Coyle PK, Melville P, Ahnn S, Dattwyler R, Chandler B.</t>
  </si>
  <si>
    <t>Neurology. 2003 Jun 24;60(12):1923-30. doi: 10.1212/01.wnl.0000071227.23769.9e.</t>
  </si>
  <si>
    <t>10.1212/01.wnl.0000071227.23769.9e</t>
  </si>
  <si>
    <t>Clinical, neuropathological and immunohistochemical features of sporadic and variant forms of Creutzfeldt-Jakob disease in the squirrel monkey (Saimiri sciureus)</t>
  </si>
  <si>
    <t>Williams L, Brown P, Ironside J, Gibson S, Will R, Ritchie D, Kreil TR, Abee C.</t>
  </si>
  <si>
    <t>J Gen Virol. 2007 Feb;88(Pt 2):688-695. doi: 10.1099/vir.0.81957-0.</t>
  </si>
  <si>
    <t>J Gen Virol</t>
  </si>
  <si>
    <t>10.1099/vir.0.81957-0</t>
  </si>
  <si>
    <t>Pharmacokinetics of 8-hour intravenous infusion of NXY-059: a phase I, randomized, double-blind (within dose panels), placebo-controlled study in healthy Chinese volunteers</t>
  </si>
  <si>
    <t>Cheng YF, Jiang J, Hu P, Reinholdsson I, Guo W, Asenblad N, Nilsson D.</t>
  </si>
  <si>
    <t>Clin Ther. 2008 Dec;30(12):2342-53. doi: 10.1016/j.clinthera.2008.12.013.</t>
  </si>
  <si>
    <t>10.1016/j.clinthera.2008.12.013</t>
  </si>
  <si>
    <t>Natural and experimental infection of immunocompromised rhesus macaques (Macaca mulatta) with the microsporidian Enterocytozoon bieneusi genotype D</t>
  </si>
  <si>
    <t>Green LC, Didier PJ, Bowers LC, Didier ES.</t>
  </si>
  <si>
    <t>Microbes Infect. 2004 Sep;6(11):996-1002. doi: 10.1016/j.micinf.2004.05.012.</t>
  </si>
  <si>
    <t>10.1016/j.micinf.2004.05.012</t>
  </si>
  <si>
    <t>Effects of bazedoxifene on BMD and bone turnover in postmenopausal women: 2-yr results of a randomized, double-blind, placebo-, and active-controlled study</t>
  </si>
  <si>
    <t>Miller PD, Chines AA, Christiansen C, Hoeck HC, Kendler DL, Lewiecki EM, Woodson G, Levine AB, Constantine G, Delmas PD.</t>
  </si>
  <si>
    <t>J Bone Miner Res. 2008 Apr;23(4):525-35. doi: 10.1359/jbmr.071206.</t>
  </si>
  <si>
    <t>J Bone Miner Res</t>
  </si>
  <si>
    <t>10.1359/jbmr.071206</t>
  </si>
  <si>
    <t>Skin colonization by Staphylococcus aureus in patients with eczema and atopic dermatitis and relevant combined topical therapy: a double-blind multicentre randomized controlled trial</t>
  </si>
  <si>
    <t>Gong JQ, Lin L, Lin T, Hao F, Zeng FQ, Bi ZG, Yi D, Zhao B.</t>
  </si>
  <si>
    <t>Br J Dermatol. 2006 Oct;155(4):680-7. doi: 10.1111/j.1365-2133.2006.07410.x.</t>
  </si>
  <si>
    <t>10.1111/j.1365-2133.2006.07410.x</t>
  </si>
  <si>
    <t>Sertaconazole: a review of its use in the management of superficial mycoses in dermatology and gynaecology</t>
  </si>
  <si>
    <t>Croxtall JD, Plosker GL.</t>
  </si>
  <si>
    <t>Drugs. 2009;69(3):339-59. doi: 10.2165/00003495-200969030-00009.</t>
  </si>
  <si>
    <t>10.2165/00003495-200969030-00009</t>
  </si>
  <si>
    <t>Efficacy of different Lysigin formulations in the prevention of Staphylococcus aureus intramammary infection in dairy heifers</t>
  </si>
  <si>
    <t>Middleton JR, Ma J, Rinehart CL, Taylor VN, Luby CD, Steevens BJ.</t>
  </si>
  <si>
    <t>J Dairy Res. 2006 Feb;73(1):10-9. doi: 10.1017/S0022029905001354.</t>
  </si>
  <si>
    <t>10.1017/S0022029905001354</t>
  </si>
  <si>
    <t>T lymphocytes contribute to antiviral immunity and pathogenesis in experimental human metapneumovirus infection</t>
  </si>
  <si>
    <t>Kolli D, Bataki EL, Spetch L, Guerrero-Plata A, Jewell AM, Piedra PA, Milligan GN, Garofalo RP, Casola A.</t>
  </si>
  <si>
    <t>J Virol. 2008 Sep;82(17):8560-9. doi: 10.1128/JVI.00699-08. Epub 2008 Jun 18.</t>
  </si>
  <si>
    <t>10.1128/JVI.00699-08</t>
  </si>
  <si>
    <t>Exposing rodents to a combination of tobacco smoke and lipopolysaccharide results in an exaggerated inflammatory response in the lung</t>
  </si>
  <si>
    <t>Hardaker EL, Freeman MS, Dale N, Bahra P, Raza F, Banner KH, Poll C.</t>
  </si>
  <si>
    <t>Br J Pharmacol. 2010 Aug;160(8):1985-96. doi: 10.1111/j.1476-5381.2010.00857.x.</t>
  </si>
  <si>
    <t>Br J Pharmacol</t>
  </si>
  <si>
    <t>10.1111/j.1476-5381.2010.00857.x</t>
  </si>
  <si>
    <t>Marbofloxacin for the treatment of experimentally induced Mycoplasma haemofelis infection in cats</t>
  </si>
  <si>
    <t>Ishak AM, Dowers KL, Cavanaugh MT, Powell CC, Hawley JR, Radecki SV, Lappin MR.</t>
  </si>
  <si>
    <t>J Vet Intern Med. 2008 Mar-Apr;22(2):288-92. doi: 10.1111/j.1939-1676.2008.0052.x. Epub 2008 Feb 29.</t>
  </si>
  <si>
    <t>10.1111/j.1939-1676.2008.0052.x</t>
  </si>
  <si>
    <t>Anti-plasmodial effects of Azadirachta indica in experimental cerebral malaria: Apoptosis of cerebellar Purkinje cells of mice as a marker</t>
  </si>
  <si>
    <t>Farahna M, Bedri S, Khalid S, Idris M, Pillai CR, Khalil EA.</t>
  </si>
  <si>
    <t>N Am J Med Sci. 2010 Nov;2(11):518-25. doi: 10.4297/najms.2010.2518.</t>
  </si>
  <si>
    <t>N Am J Med Sci</t>
  </si>
  <si>
    <t>10.4297/najms.2010.2518</t>
  </si>
  <si>
    <t>Testing a peer-based symptom management intervention for women living with HIV/AIDS</t>
  </si>
  <si>
    <t>Webel AR.</t>
  </si>
  <si>
    <t>AIDS Care. 2010 Sep;22(9):1029-40. doi: 10.1080/09540120903214389.</t>
  </si>
  <si>
    <t>NIHMS303732</t>
  </si>
  <si>
    <t>10.1080/09540120903214389</t>
  </si>
  <si>
    <t>Hypermucoviscosity as a virulence factor in experimental Klebsiella pneumoniae endophthalmitis</t>
  </si>
  <si>
    <t>Wiskur BJ, Hunt JJ, Callegan MC.</t>
  </si>
  <si>
    <t>Invest Ophthalmol Vis Sci. 2008 Nov;49(11):4931-8. doi: 10.1167/iovs.08-2276. Epub 2008 Jun 27.</t>
  </si>
  <si>
    <t>NIHMS59948</t>
  </si>
  <si>
    <t>10.1167/iovs.08-2276</t>
  </si>
  <si>
    <t>Attenuated Salmonella typhimurium SL3261 as a vaccine vector for recombinant antigen in rabbits</t>
  </si>
  <si>
    <t>Ashby D, Leduc I, Lauzon W, Lee BC, Singhal N, Cameron DW.</t>
  </si>
  <si>
    <t>J Immunol Methods. 2005 Apr;299(1-2):153-64. doi: 10.1016/j.jim.2005.02.005. Epub 2005 Mar 23.</t>
  </si>
  <si>
    <t>J Immunol Methods</t>
  </si>
  <si>
    <t>10.1016/j.jim.2005.02.005</t>
  </si>
  <si>
    <t>Recurrence of hepatitis C virus (genotype 4) infection after living-donor liver transplant in Egyptian patients</t>
  </si>
  <si>
    <t>Yosry A, Abdel-Rahman M, Esmat G, El-Serafy M, Omar A, Doss W, Zayed N, Said M, Ismail T, Hosny A, Marawan E, El-Malt O, Kamel RR, Hatata Y, El-Taweel A, Ghali A, Sabri H, Kamel S, El-Gabaly H.</t>
  </si>
  <si>
    <t>Exp Clin Transplant. 2009 Sep;7(3):157-63.</t>
  </si>
  <si>
    <t>Exp Clin Transplant</t>
  </si>
  <si>
    <t>Clinical evaluation of a new starter formula for infants containing live Bifidobacterium longum BL999 and prebiotics</t>
  </si>
  <si>
    <t>Puccio G, Cajozzo C, Meli F, Rochat F, Grathwohl D, Steenhout P.</t>
  </si>
  <si>
    <t>Nutrition. 2007 Jan;23(1):1-8. doi: 10.1016/j.nut.2006.09.007.</t>
  </si>
  <si>
    <t>Nutrition</t>
  </si>
  <si>
    <t>10.1016/j.nut.2006.09.007</t>
  </si>
  <si>
    <t>Experimental infection of squirrel monkeys with nipah virus</t>
  </si>
  <si>
    <t>Marianneau P, Guillaume V, Wong T, Badmanathan M, Looi RY, Murri S, Loth P, Tordo N, Wild F, Horvat B, Contamin H.</t>
  </si>
  <si>
    <t>Emerg Infect Dis. 2010 Mar;16(3):507-10. doi: 10.3201/eid1603.091346.</t>
  </si>
  <si>
    <t>10.3201/eid1603.091346</t>
  </si>
  <si>
    <t>Efficacy and safety of a phospholipid emulsion (GR270773) in Gram-negative severe sepsis: results of a phase II multicenter, randomized, placebo-controlled, dose-finding clinical trial</t>
  </si>
  <si>
    <t>Dellinger RP, Tomayko JF, Angus DC, Opal S, Cupo MA, McDermott S, Ducher A, Calandra T, Cohen J; Lipid Infusion and Patient Outcomes in Sepsis (LIPOS) Investigators.</t>
  </si>
  <si>
    <t>Crit Care Med. 2009 Nov;37(11):2929-38. doi: 10.1097/CCM.0b013e3181b0266c.</t>
  </si>
  <si>
    <t>10.1097/CCM.0b013e3181b0266c</t>
  </si>
  <si>
    <t>Therapeutic drug monitoring of vancomycin in severe sepsis and septic shock</t>
  </si>
  <si>
    <t>Vázquez M, Fagiolino P, Boronat A, Buroni M, Maldonado C.</t>
  </si>
  <si>
    <t>Int J Clin Pharmacol Ther. 2008 Mar;46(3):140-5. doi: 10.5414/cpp46140.</t>
  </si>
  <si>
    <t>Int J Clin Pharmacol Ther</t>
  </si>
  <si>
    <t>10.5414/cpp46140</t>
  </si>
  <si>
    <t>Enteral glutamine during active shock resuscitation is safe and enhances tolerance of enteral feeding</t>
  </si>
  <si>
    <t>McQuiggan M, Kozar R, Sailors RM, Ahn C, McKinley B, Moore F.</t>
  </si>
  <si>
    <t>JPEN J Parenter Enteral Nutr. 2008 Jan-Feb;32(1):28-35. doi: 10.1177/014860710803200128.</t>
  </si>
  <si>
    <t>JPEN J Parenter Enteral Nutr</t>
  </si>
  <si>
    <t>10.1177/014860710803200128</t>
  </si>
  <si>
    <t>Experimental pneumococcal meningitis: impaired clearance of bacteria from the blood due to increased apoptosis in the spleen in Bcl-2-deficient mice</t>
  </si>
  <si>
    <t>Wellmer A, von Mering M, Spreer A, Diem R, Eiffert H, Noeske C, Bunkowski S, Gold R, Nau R.</t>
  </si>
  <si>
    <t>Infect Immun. 2004 Jun;72(6):3113-9. doi: 10.1128/IAI.72.6.3113-3119.2004.</t>
  </si>
  <si>
    <t>10.1128/IAI.72.6.3113-3119.2004</t>
  </si>
  <si>
    <t>Levofloxacin PK/PD: from sequential therapy model to high dosage for critical patients</t>
  </si>
  <si>
    <t>Pea F, Furlanut M.</t>
  </si>
  <si>
    <t>J Chemother. 2004 Apr;16 Suppl 2:8-10. doi: 10.1080/1120009x.2004.11782366.</t>
  </si>
  <si>
    <t>10.1080/1120009x.2004.11782366</t>
  </si>
  <si>
    <t>Recombinant parainfluenza virus 5 (PIV5) expressing the influenza A virus hemagglutinin provides immunity in mice to influenza A virus challenge</t>
  </si>
  <si>
    <t>Tompkins SM, Lin Y, Leser GP, Kramer KA, Haas DL, Howerth EW, Xu J, Kennett MJ, Durbin RK, Durbin JE, Tripp R, Lamb RA, He B.</t>
  </si>
  <si>
    <t>Virology. 2007 May 25;362(1):139-50. doi: 10.1016/j.virol.2006.12.005. Epub 2007 Jan 23.</t>
  </si>
  <si>
    <t>NIHMS23805</t>
  </si>
  <si>
    <t>10.1016/j.virol.2006.12.005</t>
  </si>
  <si>
    <t>Efficacy, safety and pharmacokinetics of 1,2,4-trioxolane OZ78 against an experimental infection with Fasciola hepatica in sheep</t>
  </si>
  <si>
    <t>Keiser J, Kirchhofer C, Haschke M, Huwyler J, Dong Y, Vennerstrom JL, Vanhoff K, Kaminsky R, Malikides N.</t>
  </si>
  <si>
    <t>Vet Parasitol. 2010 Oct 29;173(3-4):228-35. doi: 10.1016/j.vetpar.2010.06.031. Epub 2010 Jun 25.</t>
  </si>
  <si>
    <t>10.1016/j.vetpar.2010.06.031</t>
  </si>
  <si>
    <t>Do Escherichia coli extract and cranberry exert preventive effects on chronic bacterial prostatitis? Pilot study using an animal model</t>
  </si>
  <si>
    <t>Kim SH, Ha US, Lee HR, Sohn DW, Lee SJ, Kim HW, Han CH, Lee CB, Cho YH.</t>
  </si>
  <si>
    <t>J Infect Chemother. 2011 Jun;17(3):322-6. doi: 10.1007/s10156-010-0170-5. Epub 2010 Nov 2.</t>
  </si>
  <si>
    <t>10.1007/s10156-010-0170-5</t>
  </si>
  <si>
    <t>Antagonism of the human epidermal growth factor receptor family controls disease severity in murine collagen-induced arthritis</t>
  </si>
  <si>
    <t>Sumariwalla PF, Jin P, Zhang J, Ni I, Crawford D, Shepard HM, Paleolog EM, Feldmann M.</t>
  </si>
  <si>
    <t>Arthritis Rheum. 2008 Oct;58(10):3071-80. doi: 10.1002/art.23885.</t>
  </si>
  <si>
    <t>10.1002/art.23885</t>
  </si>
  <si>
    <t>The impact of noncontact, nonthermal, low-frequency ultrasound on bacterial counts in experimental and chronic wounds</t>
  </si>
  <si>
    <t>Serena T, Lee SK, Lam K, Attar P, Meneses P, Ennis W.</t>
  </si>
  <si>
    <t>Ostomy Wound Manage. 2009 Jan;55(1):22-30.</t>
  </si>
  <si>
    <t>Ostomy Wound Manage</t>
  </si>
  <si>
    <t>Experimental infection of Macaca nemestrina with a Toronto Norwalk-like virus of epidemic viral gastroenteritis</t>
  </si>
  <si>
    <t>Subekti DS, Tjaniadi P, Lesmana M, McArdle J, Iskandriati D, Budiarsa IN, Walujo P, Suparto IH, Winoto I, Campbell JR, Porter KR, Sajuthi D, Ansari AA, Oyofo BA.</t>
  </si>
  <si>
    <t>J Med Virol. 2002 Mar;66(3):400-6. doi: 10.1002/jmv.2159.</t>
  </si>
  <si>
    <t>10.1002/jmv.2159</t>
  </si>
  <si>
    <t>A reproducible scoring system for quantification of histologic lesions of inflammatory disease in mouse gastric epithelium</t>
  </si>
  <si>
    <t>Eaton KA, Danon SJ, Krakowka S, Weisbrode SE.</t>
  </si>
  <si>
    <t>Comp Med. 2007 Feb;57(1):57-65.</t>
  </si>
  <si>
    <t>Comp Med</t>
  </si>
  <si>
    <t>Effect of early antibiotic prophylaxis with ertapenem and meropenem in experimental acute pancreatitis in rats</t>
  </si>
  <si>
    <t>Catena F, Ansaloni L, Gazzotti F, Pezzilli R, Nanetti A, Santini D, Nardo B, Pinna AD.</t>
  </si>
  <si>
    <t>J Hepatobiliary Pancreat Surg. 2009;16(3):328-32. doi: 10.1007/s00534-009-0047-0. Epub 2009 Feb 14.</t>
  </si>
  <si>
    <t>J Hepatobiliary Pancreat Surg</t>
  </si>
  <si>
    <t>10.1007/s00534-009-0047-0</t>
  </si>
  <si>
    <t>Efficacy and tolerability of a fosamprenavir-ritonavir-based versus a lopinavir-ritonavir-based antiretroviral treatment in 82 therapy-naïve patients with HIV-1 infection</t>
  </si>
  <si>
    <t>Calza L, Manfredi R, Pocaterra D, Chiodo F.</t>
  </si>
  <si>
    <t>Int J STD AIDS. 2008 Aug;19(8):541-4. doi: 10.1258/ijsa.2008.007322.</t>
  </si>
  <si>
    <t>Int J STD AIDS</t>
  </si>
  <si>
    <t>10.1258/ijsa.2008.007322</t>
  </si>
  <si>
    <t>Tight glycemic control in critically injured trauma patients</t>
  </si>
  <si>
    <t>Scalea TM, Bochicchio GV, Bochicchio KM, Johnson SB, Joshi M, Pyle A.</t>
  </si>
  <si>
    <t>Ann Surg. 2007 Oct;246(4):605-10; discussion 610-2. doi: 10.1097/SLA.0b013e318155a789.</t>
  </si>
  <si>
    <t>10.1097/SLA.0b013e318155a789</t>
  </si>
  <si>
    <t>Oral combination therapy with a nucleoside polymerase inhibitor (RG7128) and danoprevir for chronic hepatitis C genotype 1 infection (INFORM-1): a randomised, double-blind, placebo-controlled, dose-escalation trial</t>
  </si>
  <si>
    <t>Gane EJ, Roberts SK, Stedman CA, Angus PW, Ritchie B, Elston R, Ipe D, Morcos PN, Baher L, Najera I, Chu T, Lopatin U, Berrey MM, Bradford W, Laughlin M, Shulman NS, Smith PF.</t>
  </si>
  <si>
    <t>Lancet. 2010 Oct 30;376(9751):1467-75. doi: 10.1016/S0140-6736(10)61384-0. Epub 2010 Oct 14.</t>
  </si>
  <si>
    <t>10.1016/S0140-6736(10)61384-0</t>
  </si>
  <si>
    <t>Cefepime in critically ill patients: continuous infusion vs. an intermittent dosing regimen</t>
  </si>
  <si>
    <t>Georges B, Conil JM, Cougot P, Decun JF, Archambaud M, Seguin T, Chabanon G, Virenque C, Houin G, Saivin S.</t>
  </si>
  <si>
    <t>Int J Clin Pharmacol Ther. 2005 Aug;43(8):360-9. doi: 10.5414/cpp43360.</t>
  </si>
  <si>
    <t>10.5414/cpp43360</t>
  </si>
  <si>
    <t>Infection-induced proinflammatory cytokines are associated with decreases in positive affect, but not increases in negative affect</t>
  </si>
  <si>
    <t>Janicki-Deverts D, Cohen S, Doyle WJ, Turner RB, Treanor JJ.</t>
  </si>
  <si>
    <t>Brain Behav Immun. 2007 Mar;21(3):301-7. doi: 10.1016/j.bbi.2006.09.002. Epub 2006 Oct 18.</t>
  </si>
  <si>
    <t>NIHMS18632</t>
  </si>
  <si>
    <t>10.1016/j.bbi.2006.09.002</t>
  </si>
  <si>
    <t>Rift valley fever virus lacking the NSs and NSm genes is highly attenuated, confers protective immunity from virulent virus challenge, and allows for differential identification of infected and vaccinated animals</t>
  </si>
  <si>
    <t>Bird BH, Albariño CG, Hartman AL, Erickson BR, Ksiazek TG, Nichol ST.</t>
  </si>
  <si>
    <t>J Virol. 2008 Mar;82(6):2681-91. doi: 10.1128/JVI.02501-07. Epub 2008 Jan 16.</t>
  </si>
  <si>
    <t>10.1128/JVI.02501-07</t>
  </si>
  <si>
    <t>Effects of feline immunodeficiency virus on feline monocyte-derived dendritic cells infected by spinoculation</t>
  </si>
  <si>
    <t>Freer G, Matteucci D, Mazzetti P, Tarabella F, Catalucci V, Bendinelli M.</t>
  </si>
  <si>
    <t>J Gen Virol. 2007 Sep;88(Pt 9):2574-2582. doi: 10.1099/vir.0.82926-0.</t>
  </si>
  <si>
    <t>10.1099/vir.0.82926-0</t>
  </si>
  <si>
    <t>Chagas heart disease: pathophysiologic mechanisms, prognostic factors and risk stratification</t>
  </si>
  <si>
    <t>Rassi A Jr, Rassi A, Marin-Neto JA.</t>
  </si>
  <si>
    <t>Mem Inst Oswaldo Cruz. 2009 Jul;104 Suppl 1:152-8. doi: 10.1590/s0074-02762009000900021.</t>
  </si>
  <si>
    <t>Mem Inst Oswaldo Cruz</t>
  </si>
  <si>
    <t>10.1590/s0074-02762009000900021</t>
  </si>
  <si>
    <t>Natural history of initially mild chronic hepatitis C</t>
  </si>
  <si>
    <t>Alberti A, Benvegnù L, Boccato S, Ferrari A, Sebastiani G.</t>
  </si>
  <si>
    <t>Dig Liver Dis. 2004 Oct;36(10):646-54. doi: 10.1016/j.dld.2004.06.011.</t>
  </si>
  <si>
    <t>10.1016/j.dld.2004.06.011</t>
  </si>
  <si>
    <t>Effectiveness of varicella vaccines as postexposure prophylaxis</t>
  </si>
  <si>
    <t>Brotons M, Campins M, Méndez L, Juste C, Rodrigo JA, Martínez X, Hermosilla E, Pinós L, Vaqué J.</t>
  </si>
  <si>
    <t>Pediatr Infect Dis J. 2010 Jan;29(1):10-3. doi: 10.1097/INF.0b013e3181b36022.</t>
  </si>
  <si>
    <t>10.1097/INF.0b013e3181b36022</t>
  </si>
  <si>
    <t>Peroxynitrite mediates the failure of neutrophil migration in severe polymicrobial sepsis in mice</t>
  </si>
  <si>
    <t>Torres-Dueñas D, Celes MR, Freitas A, Alves-Filho JC, Spiller F, Dal-Secco D, Dalto VF, Rossi MA, Ferreira SH, Cunha FQ.</t>
  </si>
  <si>
    <t>Br J Pharmacol. 2007 Oct;152(3):341-52. doi: 10.1038/sj.bjp.0707393. Epub 2007 Jul 16.</t>
  </si>
  <si>
    <t>10.1038/sj.bjp.0707393</t>
  </si>
  <si>
    <t>Rapid accumulation of virulent rift valley Fever virus in mice from an attenuated virus carrying a single nucleotide substitution in the m RNA</t>
  </si>
  <si>
    <t>Morrill JC, Ikegami T, Yoshikawa-Iwata N, Lokugamage N, Won S, Terasaki K, Zamoto-Niikura A, Peters CJ, Makino S.</t>
  </si>
  <si>
    <t>PLoS One. 2010 Apr 1;5(4):e9986. doi: 10.1371/journal.pone.0009986.</t>
  </si>
  <si>
    <t>10.1371/journal.pone.0009986</t>
  </si>
  <si>
    <t>Rhinovirus induces MUC5AC in a human infection model and in vitro via NF-κB and EGFR pathways</t>
  </si>
  <si>
    <t>Hewson CA, Haas JJ, Bartlett NW, Message SD, Laza-Stanca V, Kebadze T, Caramori G, Zhu J, Edbrooke MR, Stanciu LA, Kon OM, Papi A, Jeffery PK, Edwards MR, Johnston SL.</t>
  </si>
  <si>
    <t>Eur Respir J. 2010 Dec;36(6):1425-35. doi: 10.1183/09031936.00026910. Epub 2010 Jun 4.</t>
  </si>
  <si>
    <t>10.1183/09031936.00026910</t>
  </si>
  <si>
    <t>Immune response to an indigenously developed r-hepatitis B vaccine in mixed population: study of an accelerated vaccination schedule</t>
  </si>
  <si>
    <t>Chowdhury A, Santra A, Habibullah CM, Khan AA, Karunakaramaiah J, Kishore TS, Raju AV, Lahiri S.</t>
  </si>
  <si>
    <t>World J Gastroenterol. 2005 Feb 21;11(7):1037-9. doi: 10.3748/wjg.v11.i7.1037.</t>
  </si>
  <si>
    <t>World J Gastroenterol</t>
  </si>
  <si>
    <t>10.3748/wjg.v11.i7.1037</t>
  </si>
  <si>
    <t>Short report: time course of hematogenous dissemination of Francisella tularensis A1, A2, and Type B in laboratory mice</t>
  </si>
  <si>
    <t>Eisen RJ, Yockey B, Young J, Reese SM, Piesman J, Schriefer ME, Beard CB, Petersen JM.</t>
  </si>
  <si>
    <t>Am J Trop Med Hyg. 2009 Feb;80(2):259-62.</t>
  </si>
  <si>
    <t>The impact of a health campaign on hand hygiene and upper respiratory illness among college students living in residence halls</t>
  </si>
  <si>
    <t>White C, Kolble R, Carlson R, Lipson N.</t>
  </si>
  <si>
    <t>J Am Coll Health. 2005 Jan-Feb;53(4):175-81. doi: 10.3200/JACH.53.4.175-181.</t>
  </si>
  <si>
    <t>J Am Coll Health</t>
  </si>
  <si>
    <t>10.3200/JACH.53.4.175-181</t>
  </si>
  <si>
    <t>The chemokine receptor CXCR2 ligand KC (CXCL1) mediates neutrophil recruitment and is critical for development of experimental Lyme arthritis and carditis</t>
  </si>
  <si>
    <t>Ritzman AM, Hughes-Hanks JM, Blaho VA, Wax LE, Mitchell WJ, Brown CR.</t>
  </si>
  <si>
    <t>Infect Immun. 2010 Nov;78(11):4593-600. doi: 10.1128/IAI.00798-10. Epub 2010 Sep 7.</t>
  </si>
  <si>
    <t>10.1128/IAI.00798-10</t>
  </si>
  <si>
    <t>Ineffectiveness of intranasal zinc gluconate for prevention of experimental rhinovirus colds</t>
  </si>
  <si>
    <t>Turner RB.</t>
  </si>
  <si>
    <t>Clin Infect Dis. 2001 Dec 1;33(11):1865-70. doi: 10.1086/324347. Epub 2001 Oct 25.</t>
  </si>
  <si>
    <t>10.1086/324347</t>
  </si>
  <si>
    <t>Anthelmintic efficacies of a tablet formula of ivermectin-praziquantel on horses experimentally infected with three Strongylus species</t>
  </si>
  <si>
    <t>Bonneau S, Maynard L, Tomczuk K, Kok D, Eun HM.</t>
  </si>
  <si>
    <t>Parasitol Res. 2009 Sep;105(3):817-23. doi: 10.1007/s00436-009-1460-7. Epub 2009 Jun 2.</t>
  </si>
  <si>
    <t>10.1007/s00436-009-1460-7</t>
  </si>
  <si>
    <t>Uropathogenic Escherichia coli Suppresses the host inflammatory response via pathogenicity island genes sisA and sisB</t>
  </si>
  <si>
    <t>Lloyd AL, Smith SN, Eaton KA, Mobley HL.</t>
  </si>
  <si>
    <t>Infect Immun. 2009 Dec;77(12):5322-33. doi: 10.1128/IAI.00779-09. Epub 2009 Sep 21.</t>
  </si>
  <si>
    <t>10.1128/IAI.00779-09</t>
  </si>
  <si>
    <t>Improved scar quality following primary and secondary healing of cutaneous wounds</t>
  </si>
  <si>
    <t>Atiyeh BS, Amm CA, El Musa KA.</t>
  </si>
  <si>
    <t>Aesthetic Plast Surg. 2003 Sep-Oct;27(5):411-7. doi: 10.1007/s00266-003-3049-3. Epub 2003 Dec 4.</t>
  </si>
  <si>
    <t>Aesthetic Plast Surg</t>
  </si>
  <si>
    <t>10.1007/s00266-003-3049-3</t>
  </si>
  <si>
    <t>White-tailed deer (Odocoileus virginianus) develop spirochetemia following experimental infection with Borrelia lonestari</t>
  </si>
  <si>
    <t>Moyer PL, Varela AS, Luttrell MP, Moore VA 4th, Stallknecht DE, Little SE.</t>
  </si>
  <si>
    <t>Vet Microbiol. 2006 Jun 15;115(1-3):229-36. doi: 10.1016/j.vetmic.2005.12.020. Epub 2006 Feb 3.</t>
  </si>
  <si>
    <t>10.1016/j.vetmic.2005.12.020</t>
  </si>
  <si>
    <t>Experimental infection of Hawai'i 'Amakihi (hemignathus virens) with West Nile virus and competence of a co-occurring vector, culex quinquefasciatus: potential impacts on endemic Hawaiian avifauna</t>
  </si>
  <si>
    <t>Lapointe DA, Hofmeister EK, Atkinson CT, Porter RE, Dusek RJ.</t>
  </si>
  <si>
    <t>J Wildl Dis. 2009 Apr;45(2):257-71. doi: 10.7589/0090-3558-45.2.257.</t>
  </si>
  <si>
    <t>10.7589/0090-3558-45.2.257</t>
  </si>
  <si>
    <t>Bifidobacterium animalis causes extensive duodenitis and mild colonic inflammation in monoassociated interleukin-10-deficient mice</t>
  </si>
  <si>
    <t>Moran JP, Walter J, Tannock GW, Tonkonogy SL, Sartor RB.</t>
  </si>
  <si>
    <t>Inflamm Bowel Dis. 2009 Jul;15(7):1022-31. doi: 10.1002/ibd.20900.</t>
  </si>
  <si>
    <t>Inflamm Bowel Dis</t>
  </si>
  <si>
    <t>NIHMS97736</t>
  </si>
  <si>
    <t>10.1002/ibd.20900</t>
  </si>
  <si>
    <t>Effect of an oral Shiga toxin-binding agent on diarrhea-associated hemolytic uremic syndrome in children: a randomized controlled trial</t>
  </si>
  <si>
    <t>Trachtman H, Cnaan A, Christen E, Gibbs K, Zhao S, Acheson DW, Weiss R, Kaskel FJ, Spitzer A, Hirschman GH; Investigators of the HUS-SYNSORB Pk Multicenter Clinical Trial.</t>
  </si>
  <si>
    <t>JAMA. 2003 Sep 10;290(10):1337-44. doi: 10.1001/jama.290.10.1337.</t>
  </si>
  <si>
    <t>10.1001/jama.290.10.1337</t>
  </si>
  <si>
    <t>Association of HMGB1 polymorphisms with outcome in patients with systemic inflammatory response syndrome</t>
  </si>
  <si>
    <t>Kornblit B, Munthe-Fog L, Madsen HO, Strøm J, Vindeløv L, Garred P.</t>
  </si>
  <si>
    <t>Crit Care. 2008;12(3):R83. doi: 10.1186/cc6935. Epub 2008 Jun 24.</t>
  </si>
  <si>
    <t>10.1186/cc6935</t>
  </si>
  <si>
    <t>A new member of the interleukin 10-related cytokine family encoded by a poxvirus</t>
  </si>
  <si>
    <t>Bartlett NW, Dumoutier L, Renauld JC, Kotenko SV, McVey CE, Lee HJ, Smith GL.</t>
  </si>
  <si>
    <t>J Gen Virol. 2004 Jun;85(Pt 6):1401-1412. doi: 10.1099/vir.0.79980-0.</t>
  </si>
  <si>
    <t>10.1099/vir.0.79980-0</t>
  </si>
  <si>
    <t>Local anti-infective therapy: pharmacological agents. A systematic review</t>
  </si>
  <si>
    <t>Hanes PJ, Purvis JP.</t>
  </si>
  <si>
    <t>Ann Periodontol. 2003 Dec;8(1):79-98. doi: 10.1902/annals.2003.8.1.79.</t>
  </si>
  <si>
    <t>Ann Periodontol</t>
  </si>
  <si>
    <t>10.1902/annals.2003.8.1.79</t>
  </si>
  <si>
    <t>Effect of the administration of fermentable and non-fermentable dietary fibre on intestinal bacterial translocation in ascitic cirrhotic rats</t>
  </si>
  <si>
    <t>Bartolí R, Mañé J, Cabré E, Lorenzo-Zúñiga V, Planas R, Viñado B, Ausina V, Gassull MA.</t>
  </si>
  <si>
    <t>Clin Nutr. 2007 Jun;26(3):383-7. doi: 10.1016/j.clnu.2007.01.008. Epub 2007 Mar 26.</t>
  </si>
  <si>
    <t>10.1016/j.clnu.2007.01.008</t>
  </si>
  <si>
    <t>Commensal intestinal bacterial strains trigger ankylosing enthesopathy of the ankle in inbred B10.BR (H-2(k)) male mice</t>
  </si>
  <si>
    <t>Sinkorová Z, Capková J, Niederlová J, Stepánková R, Sinkora J.</t>
  </si>
  <si>
    <t>Hum Immunol. 2008 Dec;69(12):845-50. doi: 10.1016/j.humimm.2008.08.296. Epub 2008 Oct 7.</t>
  </si>
  <si>
    <t>Hum Immunol</t>
  </si>
  <si>
    <t>10.1016/j.humimm.2008.08.296</t>
  </si>
  <si>
    <t>A virus-like particle-based vaccine selectively targeting soluble TNF-alpha protects from arthritis without inducing reactivation of latent tuberculosis</t>
  </si>
  <si>
    <t>Spohn G, Guler R, Johansen P, Keller I, Jacobs M, Beck M, Rohner F, Bauer M, Dietmeier K, Kündig TM, Jennings GT, Brombacher F, Bachmann MF.</t>
  </si>
  <si>
    <t>J Immunol. 2007 Jun 1;178(11):7450-7. doi: 10.4049/jimmunol.178.11.7450.</t>
  </si>
  <si>
    <t>10.4049/jimmunol.178.11.7450</t>
  </si>
  <si>
    <t>The potential dangers of treating head injury patients with corticosteroids</t>
  </si>
  <si>
    <t>Cavaliere F, Masieri S.</t>
  </si>
  <si>
    <t>Expert Opin Drug Saf. 2005 Nov;4(6):1125-33. doi: 10.1517/14740338.4.6.1125.</t>
  </si>
  <si>
    <t>10.1517/14740338.4.6.1125</t>
  </si>
  <si>
    <t>Treatment of single brain metastasis with resection, intracavity carmustine polymer wafers, and radiation therapy is safe and provides excellent local control</t>
  </si>
  <si>
    <t>Ewend MG, Brem S, Gilbert M, Goodkin R, Penar PL, Varia M, Cush S, Carey LA.</t>
  </si>
  <si>
    <t>Clin Cancer Res. 2007 Jun 15;13(12):3637-41. doi: 10.1158/1078-0432.CCR-06-2095.</t>
  </si>
  <si>
    <t>10.1158/1078-0432.CCR-06-2095</t>
  </si>
  <si>
    <t>The absence of functional PI3Kgamma prevents leukocyte recruitment and ameliorates DSS-induced colitis in mice</t>
  </si>
  <si>
    <t>van Dop WA, Marengo S, te Velde AA, Ciraolo E, Franco I, ten Kate FJ, Boeckxstaens GE, Hardwick JC, Hommes DW, Hirsch E, van den Brink GR.</t>
  </si>
  <si>
    <t>Immunol Lett. 2010 Jun 15;131(1):33-9. doi: 10.1016/j.imlet.2010.03.008. Epub 2010 Mar 27.</t>
  </si>
  <si>
    <t>Immunol Lett</t>
  </si>
  <si>
    <t>10.1016/j.imlet.2010.03.008</t>
  </si>
  <si>
    <t>Lopinavir-ritonavir monotherapy versus lopinavir-ritonavir and 2 nucleosides for maintenance therapy of HIV: 96-week analysis</t>
  </si>
  <si>
    <t>Arribas JR, Delgado R, Arranz A, Muñoz R, Portilla J, Pasquau J, Pérez-Elias MJ, Iribarren JA, Rubio R, Ocampo A, Sánchez-Conde M, Knobel H, Arazo P, Sanz J, López-Aldeguer J, Montes ML, Pulido F; OK04 Study Group.</t>
  </si>
  <si>
    <t>J Acquir Immune Defic Syndr. 2009 Jun 1;51(2):147-52. doi: 10.1097/QAI.0b013e3181a56de5.</t>
  </si>
  <si>
    <t>10.1097/QAI.0b013e3181a56de5</t>
  </si>
  <si>
    <t>Approval summary: Docetaxel in combination with prednisone for the treatment of androgen-independent hormone-refractory prostate cancer</t>
  </si>
  <si>
    <t>Dagher R, Li N, Abraham S, Rahman A, Sridhara R, Pazdur R.</t>
  </si>
  <si>
    <t>Clin Cancer Res. 2004 Dec 15;10(24):8147-51. doi: 10.1158/1078-0432.CCR-04-1402.</t>
  </si>
  <si>
    <t>10.1158/1078-0432.CCR-04-1402</t>
  </si>
  <si>
    <t>Experimental infection of ground squirrels (Citellus pygmaeus Pallas) with Yersinia pestis during hibernation</t>
  </si>
  <si>
    <t>Bizanov G, Dobrokhotova ND.</t>
  </si>
  <si>
    <t>J Infect. 2007 Feb;54(2):198-203. doi: 10.1016/j.jinf.2006.02.012. Epub 2006 Mar 31.</t>
  </si>
  <si>
    <t>10.1016/j.jinf.2006.02.012</t>
  </si>
  <si>
    <t>[Effectiveness of an influenza vaccine in a working population in Colombia]</t>
  </si>
  <si>
    <t>Mesa Duque SS, Pérez Moreno A, Hurtado G, Arbeláez Montoya MP.</t>
  </si>
  <si>
    <t>Rev Panam Salud Publica. 2001 Oct;10(4):232-9. doi: 10.1590/s1020-49892001001000003.</t>
  </si>
  <si>
    <t>Rev Panam Salud Publica</t>
  </si>
  <si>
    <t>10.1590/s1020-49892001001000003</t>
  </si>
  <si>
    <t>Experimental infection of dogs with a Brazilian strain of Rickettsia rickettsii: clinical and laboratory findings</t>
  </si>
  <si>
    <t>Piranda EM, Faccini JL, Pinter A, Saito TB, Pacheco RC, Hagiwara MK, Labruna MB.</t>
  </si>
  <si>
    <t>Mem Inst Oswaldo Cruz. 2008 Nov;103(7):696-701. doi: 10.1590/s0074-02762008000700012.</t>
  </si>
  <si>
    <t>10.1590/s0074-02762008000700012</t>
  </si>
  <si>
    <t>Determination of the efficacy of terbinafine hydrochloride nail solution in the topical treatment of dermatophytosis in a guinea pig model</t>
  </si>
  <si>
    <t>Ghannoum MA, Long L, Pfister WR.</t>
  </si>
  <si>
    <t>Mycoses. 2009 Jan;52(1):35-43. doi: 10.1111/j.1439-0507.2008.01540.x. Epub 2008 May 21.</t>
  </si>
  <si>
    <t>Mycoses</t>
  </si>
  <si>
    <t>10.1111/j.1439-0507.2008.01540.x</t>
  </si>
  <si>
    <t>Immune correlates of protection against influenza in the human challenge model</t>
  </si>
  <si>
    <t>Treanor J, Wright PF.</t>
  </si>
  <si>
    <t>Dev Biol (Basel). 2003;115:97-104.</t>
  </si>
  <si>
    <t>Dev Biol (Basel)</t>
  </si>
  <si>
    <t>Glucuronoxylomannan, the major capsular polysaccharide of Cryptococcus neoformans, inhibits the progression of group B streptococcal arthritis</t>
  </si>
  <si>
    <t>Tissi L, Puliti M, Bistoni F, Mosci P, Kozel TR, Vecchiarelli A.</t>
  </si>
  <si>
    <t>Infect Immun. 2004 Nov;72(11):6367-72. doi: 10.1128/IAI.72.11.6367-6372.2004.</t>
  </si>
  <si>
    <t>10.1128/IAI.72.11.6367-6372.2004</t>
  </si>
  <si>
    <t>Use of anti-ICAM-1 therapy in ischemic stroke: results of the Enlimomab Acute Stroke Trial</t>
  </si>
  <si>
    <t>Enlimomab Acute Stroke Trial Investigators.</t>
  </si>
  <si>
    <t>Neurology. 2001 Oct 23;57(8):1428-34. doi: 10.1212/wnl.57.8.1428.</t>
  </si>
  <si>
    <t>10.1212/wnl.57.8.1428</t>
  </si>
  <si>
    <t>Pharmacokinetic and pharmacodynamic properties of biapenem, a carbapenem antibiotic, in rat experimental model of severe acute pancreatitis</t>
  </si>
  <si>
    <t>Muto Y, Mikami Y, Sakakibara S, Shimizu A, Niida M, Kataoka H, Ito F, Suzuki K, Kijima K, Maebashi K, Takata T, Hikida M, Takeda K, Unno M.</t>
  </si>
  <si>
    <t>Pancreas. 2008 Mar;36(2):125-32. doi: 10.1097/MPA.0b013e3181568ed7.</t>
  </si>
  <si>
    <t>Pancreas</t>
  </si>
  <si>
    <t>10.1097/MPA.0b013e3181568ed7</t>
  </si>
  <si>
    <t>Double blind, randomized, placebo-controlled study of dexamethasone therapy for hematogenous septic arthritis in children</t>
  </si>
  <si>
    <t>Odio CM, Ramirez T, Arias G, Abdelnour A, Hidalgo I, Herrera ML, Bolaños W, Alpízar J, Alvarez P.</t>
  </si>
  <si>
    <t>Pediatr Infect Dis J. 2003 Oct;22(10):883-8. doi: 10.1097/01.inf.0000091293.32187.7b.</t>
  </si>
  <si>
    <t>10.1097/01.inf.0000091293.32187.7b</t>
  </si>
  <si>
    <t>Increased levels of specific leukocyte- and platelet-derived substances during normal anti-tetanus antibody synthesis in patients with inactive Crohn disease</t>
  </si>
  <si>
    <t>Nielsen HJ, Mortensen T, Holten-Andersen M, Brünner N, Sørensen S, Rask-Madsen J.</t>
  </si>
  <si>
    <t>Scand J Gastroenterol. 2001 Mar;36(3):265-9. doi: 10.1080/003655201750074537.</t>
  </si>
  <si>
    <t>10.1080/003655201750074537</t>
  </si>
  <si>
    <t>Effect of two new chlorhexidine mouthrinses on the development of dental plaque, gingivitis, and discolouration. A randomized, investigator-blind, placebo-controlled, 3-week experimental gingivitis study</t>
  </si>
  <si>
    <t>Lorenz K, Bruhn G, Heumann C, Netuschil L, Brecx M, Hoffmann T.</t>
  </si>
  <si>
    <t>J Clin Periodontol. 2006 Aug;33(8):561-7. doi: 10.1111/j.1600-051X.2006.00946.x.</t>
  </si>
  <si>
    <t>10.1111/j.1600-051X.2006.00946.x</t>
  </si>
  <si>
    <t>B-1a cells in experimental gingivitis in humans</t>
  </si>
  <si>
    <t>Donati M, Liljenberg B, Zitzmann NU, Berglundh T.</t>
  </si>
  <si>
    <t>J Periodontol. 2009 Jul;80(7):1141-5. doi: 10.1902/jop.2009.080660.</t>
  </si>
  <si>
    <t>10.1902/jop.2009.080660</t>
  </si>
  <si>
    <t>INH-A21: a donor-selected Staphylococcal human immune globulin for the prevention of late-onset neonatal Staphylococcal infection</t>
  </si>
  <si>
    <t>Bloom BT.</t>
  </si>
  <si>
    <t>Expert Opin Investig Drugs. 2006 Jun;15(6):703-7. doi: 10.1517/13543784.15.6.703.</t>
  </si>
  <si>
    <t>10.1517/13543784.15.6.703</t>
  </si>
  <si>
    <t>Decrease in circulating dendritic cells predicts fatal outcome in septic shock</t>
  </si>
  <si>
    <t>Guisset O, Dilhuydy MS, Thiébaut R, Lefèvre J, Camou F, Sarrat A, Gabinski C, Moreau JF, Blanco P.</t>
  </si>
  <si>
    <t>Intensive Care Med. 2007 Jan;33(1):148-52. doi: 10.1007/s00134-006-0436-7. Epub 2006 Nov 8.</t>
  </si>
  <si>
    <t>10.1007/s00134-006-0436-7</t>
  </si>
  <si>
    <t>Bifidobacterium longum PL03, Lactobacillus rhamnosus KL53A, and Lactobacillus plantarum PL02 in the prevention of antibiotic-associated diarrhea in children: a randomized controlled pilot trial</t>
  </si>
  <si>
    <t>Szymański H, Armańska M, Kowalska-Duplaga K, Szajewska H.</t>
  </si>
  <si>
    <t>Digestion. 2008;78(1):13-7. doi: 10.1159/000151300. Epub 2008 Aug 14.</t>
  </si>
  <si>
    <t>10.1159/000151300</t>
  </si>
  <si>
    <t>Mouse-passaged severe acute respiratory syndrome-associated coronavirus leads to lethal pulmonary edema and diffuse alveolar damage in adult but not young mice</t>
  </si>
  <si>
    <t>Nagata N, Iwata N, Hasegawa H, Fukushi S, Harashima A, Sato Y, Saijo M, Taguchi F, Morikawa S, Sata T.</t>
  </si>
  <si>
    <t>Am J Pathol. 2008 Jun;172(6):1625-37. doi: 10.2353/ajpath.2008.071060. Epub 2008 May 8.</t>
  </si>
  <si>
    <t>10.2353/ajpath.2008.071060</t>
  </si>
  <si>
    <t>Prevention of gram-negative translocation reduces the severity of hepatopulmonary syndrome</t>
  </si>
  <si>
    <t>Rabiller A, Nunes H, Lebrec D, Tazi KA, Wartski M, Dulmet E, Libert JM, Mougeot C, Moreau R, Mazmanian M, Humbert M, Hervé P.</t>
  </si>
  <si>
    <t>Am J Respir Crit Care Med. 2002 Aug 15;166(4):514-7. doi: 10.1164/rccm.200201-027OC.</t>
  </si>
  <si>
    <t>10.1164/rccm.200201-027OC</t>
  </si>
  <si>
    <t>Iron-deficient mice fail to develop autoimmune encephalomyelitis</t>
  </si>
  <si>
    <t>Grant SM, Wiesinger JA, Beard JL, Cantorna MT.</t>
  </si>
  <si>
    <t>J Nutr. 2003 Aug;133(8):2635-8. doi: 10.1093/jn/133.8.2635.</t>
  </si>
  <si>
    <t>10.1093/jn/133.8.2635</t>
  </si>
  <si>
    <t>Pig major acute-phase protein and apolipoprotein A-I responses correlate with the clinical course of experimentally induced African Swine Fever and Aujeszky's disease</t>
  </si>
  <si>
    <t>Carpintero R, Alonso C, Piñeiro M, Iturralde M, Andrés M, Le Potier MF, Madec F, Alava MA, Piñeiro A, Lampreave F.</t>
  </si>
  <si>
    <t>Vet Res. 2007 Sep-Oct;38(5):741-53. doi: 10.1051/vetres:2007030. Epub 2007 Jul 19.</t>
  </si>
  <si>
    <t>Vet Res</t>
  </si>
  <si>
    <t>10.1051/vetres:2007030</t>
  </si>
  <si>
    <t>No influence of oxygen levels on pathogenesis and virus shedding in Salmonid alphavirus (SAV)-challenged Atlantic salmon (Salmo salar L.)</t>
  </si>
  <si>
    <t>Andersen L, Hodneland K, Nylund A.</t>
  </si>
  <si>
    <t>Virol J. 2010 Aug 21;7:198. doi: 10.1186/1743-422X-7-198.</t>
  </si>
  <si>
    <t>10.1186/1743-422X-7-198</t>
  </si>
  <si>
    <t>Trypanocidal activity and selectivity in vitro of aromatic amidine compounds upon bloodstream and intracellular forms of Trypanosoma cruzi</t>
  </si>
  <si>
    <t>De Souza EM, da Silva PB, Nefertiti AS, Ismail MA, Arafa RK, Tao B, Nixon-Smith CK, Boykin DW, Soeiro MN.</t>
  </si>
  <si>
    <t>Exp Parasitol. 2011 Feb;127(2):429-35. doi: 10.1016/j.exppara.2010.10.010. Epub 2010 Nov 11.</t>
  </si>
  <si>
    <t>10.1016/j.exppara.2010.10.010</t>
  </si>
  <si>
    <t>Gene expression of nucleic acid-sensing pattern recognition receptors in children hospitalized for respiratory syncytial virus-associated acute bronchiolitis</t>
  </si>
  <si>
    <t>Scagnolari C, Midulla F, Pierangeli A, Moretti C, Bonci E, Berardi R, De Angelis D, Selvaggi C, Di Marco P, Girardi E, Antonelli G.</t>
  </si>
  <si>
    <t>Clin Vaccine Immunol. 2009 Jun;16(6):816-23. doi: 10.1128/CVI.00445-08. Epub 2009 Apr 22.</t>
  </si>
  <si>
    <t>10.1128/CVI.00445-08</t>
  </si>
  <si>
    <t>A live oral recombinant Salmonella enterica serovar typhimurium vaccine expressing Clostridium perfringens antigens confers protection against necrotic enteritis in broiler chickens</t>
  </si>
  <si>
    <t>Kulkarni RR, Parreira VR, Jiang YF, Prescott JF.</t>
  </si>
  <si>
    <t>Clin Vaccine Immunol. 2010 Feb;17(2):205-14. doi: 10.1128/CVI.00406-09. Epub 2009 Dec 9.</t>
  </si>
  <si>
    <t>10.1128/CVI.00406-09</t>
  </si>
  <si>
    <t>Trichinella spiralis: modulation of experimental autoimmune encephalomyelitis in DA rats</t>
  </si>
  <si>
    <t>Gruden-Movsesijan A, Ilic N, Mostarica-Stojkovic M, Stosic-Grujicic S, Milic M, Sofronic-Milosavljevic Lj.</t>
  </si>
  <si>
    <t>Exp Parasitol. 2008 Apr;118(4):641-7. doi: 10.1016/j.exppara.2007.12.003. Epub 2008 Jan 28.</t>
  </si>
  <si>
    <t>10.1016/j.exppara.2007.12.003</t>
  </si>
  <si>
    <t>Vitamin E gel reduces time of healing of digital ulcers in systemic sclerosis</t>
  </si>
  <si>
    <t>Fiori G, Galluccio F, Braschi F, Amanzi L, Miniati I, Conforti ML, Del Rosso A, Generini S, Candelieri A, Magonio A, Goretti R, Rasero L, Matucci-Cerinic M.</t>
  </si>
  <si>
    <t>Clin Exp Rheumatol. 2009 May-Jun;27(3 Suppl 54):51-4.</t>
  </si>
  <si>
    <t>Induction of immune response to the 17 kDa OMPA Burkholderia cenocepacia polypeptide and protection against pulmonary infection in mice after nasal vaccination with an OMP nanoemulsion-based vaccine</t>
  </si>
  <si>
    <t>Makidon PE, Knowlton J, Groom JV 2nd, Blanco LP, LiPuma JJ, Bielinska AU, Baker JR Jr.</t>
  </si>
  <si>
    <t>Med Microbiol Immunol. 2010 May;199(2):81-92. doi: 10.1007/s00430-009-0137-2. Epub 2009 Dec 6.</t>
  </si>
  <si>
    <t>Med Microbiol Immunol</t>
  </si>
  <si>
    <t>10.1007/s00430-009-0137-2</t>
  </si>
  <si>
    <t>Evaluation of avian-specific probiotic and Salmonella enteritidis-, Salmonella typhimurium-, and Salmonella heidelberg-specific antibodies on cecal colonization and organ invasion of Salmonella enteritidis in broilers</t>
  </si>
  <si>
    <t>Tellez G, Petrone VM, Escorcia M, Morishita TY, Cobb CW, Villaseñor L, Promsopone B.</t>
  </si>
  <si>
    <t>J Food Prot. 2001 Mar;64(3):287-91. doi: 10.4315/0362-028x-64.3.287.</t>
  </si>
  <si>
    <t>J Food Prot</t>
  </si>
  <si>
    <t>10.4315/0362-028x-64.3.287</t>
  </si>
  <si>
    <t>Mutation of the phospholipase catalytic domain of the Pseudomonas aeruginosa cytotoxin ExoU abolishes colonization promoting activity and reduces corneal disease severity</t>
  </si>
  <si>
    <t>Tam C, Lewis SE, Li WY, Lee E, Evans DJ, Fleiszig SM.</t>
  </si>
  <si>
    <t>Exp Eye Res. 2007 Dec;85(6):799-805. doi: 10.1016/j.exer.2007.08.015. Epub 2007 Aug 29.</t>
  </si>
  <si>
    <t>Exp Eye Res</t>
  </si>
  <si>
    <t>NIHMS36254</t>
  </si>
  <si>
    <t>10.1016/j.exer.2007.08.015</t>
  </si>
  <si>
    <t>Clinical assessment of postinfection, postcontact and postvaccination immunity manifestation after experimental inoculation of calves with Trichophyton verrucosum culture</t>
  </si>
  <si>
    <t>Rybnikár A, Oborilová E.</t>
  </si>
  <si>
    <t>Mycoses. 2008 May;51(3):236-42. doi: 10.1111/j.1439-0507.2007.01462.x.</t>
  </si>
  <si>
    <t>10.1111/j.1439-0507.2007.01462.x</t>
  </si>
  <si>
    <t>[Anti-cytokine therapy for severe acute pancreatitis]</t>
  </si>
  <si>
    <t>Masamune A, Shimosegawa T.</t>
  </si>
  <si>
    <t>Nihon Rinsho. 2004 Nov;62(11):2116-21.</t>
  </si>
  <si>
    <t>Spontaneous arthritis in MRL/lpr mice is aggravated by Staphylococcus aureus and ameliorated by Nippostrongylus brasiliensis infections</t>
  </si>
  <si>
    <t>Salinas-Carmona MC, de la Cruz-Galicia G, Pérez-Rivera I, Solís-Soto JM, Segoviano-Ramirez JC, Vázquez AV, Garza MA.</t>
  </si>
  <si>
    <t>Autoimmunity. 2009 Jan;42(1):25-32. doi: 10.1080/08916930802228290.</t>
  </si>
  <si>
    <t>Autoimmunity</t>
  </si>
  <si>
    <t>10.1080/08916930802228290</t>
  </si>
  <si>
    <t>Analysis of competing risks of causes of death and their variation over different time periods in Hodgkin's disease</t>
  </si>
  <si>
    <t>Provencio M, Millán I, España P, Sánchez AC, Sánchez JJ, Cantos B, Vargas JA, Bellas C, García V, Sabin P, Bonilla F.</t>
  </si>
  <si>
    <t>Clin Cancer Res. 2008 Aug 15;14(16):5300-5. doi: 10.1158/1078-0432.CCR-07-0927.</t>
  </si>
  <si>
    <t>10.1158/1078-0432.CCR-07-0927</t>
  </si>
  <si>
    <t>[Treatment of multiple myeloma in elderly patients: consensus of the Geriatric Oncology Working Group of the German Society of Hematologic Oncology and the German Society of Geriatrics]</t>
  </si>
  <si>
    <t>Genvresse I, Wedding U, Bokemeyer C, Späth-Schwalbe E.</t>
  </si>
  <si>
    <t>Onkologie. 2001 Aug;24(4):386-90. doi: 10.1159/000055113.</t>
  </si>
  <si>
    <t>Onkologie</t>
  </si>
  <si>
    <t>10.1159/000055113</t>
  </si>
  <si>
    <t>Prolonged infection by Fonsecaea pedrosoi after antigenic co-stimulation at different sites in experimental murine chromoblastomycosis</t>
  </si>
  <si>
    <t>Machado AP, Silva MR, Fischman O.</t>
  </si>
  <si>
    <t>Virulence. 2010 Jan-Feb;1(1):29-36. doi: 10.4161/viru.1.1.9920.</t>
  </si>
  <si>
    <t>Virulence</t>
  </si>
  <si>
    <t>10.4161/viru.1.1.9920</t>
  </si>
  <si>
    <t>Evaluation of aroA deletion mutant of Salmonella enterica subspecies enterica serovar Abortusequi for its vaccine candidate potential</t>
  </si>
  <si>
    <t>Alam J, Singh BR, Hansda D, Singh VP, Verma JC.</t>
  </si>
  <si>
    <t>Indian J Exp Biol. 2009 Nov;47(11):871-9.</t>
  </si>
  <si>
    <t>Indian J Exp Biol</t>
  </si>
  <si>
    <t>Attenuation of porcine circovirus 2 in SPF piglets by abrogation of ORF3 function</t>
  </si>
  <si>
    <t>Karuppannan AK, Jong MH, Lee SH, Zhu Y, Selvaraj M, Lau J, Jia Q, Kwang J.</t>
  </si>
  <si>
    <t>Virology. 2009 Jan 20;383(2):338-47. doi: 10.1016/j.virol.2008.10.024. Epub 2008 Nov 13.</t>
  </si>
  <si>
    <t>10.1016/j.virol.2008.10.024</t>
  </si>
  <si>
    <t>Bone marrow immunosuppression in Salmonella-infected mice is prolonged following influenza virus infection</t>
  </si>
  <si>
    <t>Hyland L, Villarreal-Ramos B, Clarke B, Baaten B, Hou S.</t>
  </si>
  <si>
    <t>Exp Hematol. 2005 Dec;33(12):1477-85. doi: 10.1016/j.exphem.2005.09.005.</t>
  </si>
  <si>
    <t>10.1016/j.exphem.2005.09.005</t>
  </si>
  <si>
    <t>Augmented effect of early antibiotic treatment in mice with experimental lung infections due to sequentially adapted mucoid strains of Pseudomonas aeruginosa</t>
  </si>
  <si>
    <t>van Gennip M, Moser C, Christensen LD, Bjarnsholt T, Calum H, Jensen PØ, Christophersen L, Hougen HP, Ciofu O, Molin S, Givskov M, Høiby N.</t>
  </si>
  <si>
    <t>J Antimicrob Chemother. 2009 Dec;64(6):1241-50. doi: 10.1093/jac/dkp352. Epub 2009 Oct 8.</t>
  </si>
  <si>
    <t>10.1093/jac/dkp352</t>
  </si>
  <si>
    <t>Immune memory in children previously vaccinated with an experimental quadrivalent meningococcal polysaccharide diphtheria toxoid conjugate vaccine</t>
  </si>
  <si>
    <t>Pichichero M, Papa T, Blatter M, Mitchell D, Kratz R, Sneed J, Bassily E, Casey J, Gilmet G.</t>
  </si>
  <si>
    <t>Pediatr Infect Dis J. 2006 Nov;25(11):995-1000. doi: 10.1097/01.inf.0000243215.46312.4a.</t>
  </si>
  <si>
    <t>10.1097/01.inf.0000243215.46312.4a</t>
  </si>
  <si>
    <t>Variable effect of vaccination against highly pathogenic avian influenza (H7N7) virus on disease and transmission in pheasants and teals</t>
  </si>
  <si>
    <t>van der Goot JA, van Boven M, Koch G, de Jong MC.</t>
  </si>
  <si>
    <t>Vaccine. 2007 Nov 28;25(49):8318-25. doi: 10.1016/j.vaccine.2007.09.048.</t>
  </si>
  <si>
    <t>10.1016/j.vaccine.2007.09.048</t>
  </si>
  <si>
    <t>Leishmania infantum-induced primary and challenge infections in rhesus monkeys (Macaca mulatta): a primate model for visceral leishmaniasis</t>
  </si>
  <si>
    <t>Porrozzi R, Pereira MS, Teva A, Volpini AC, Pinto MA, Marchevsky RS, Barbosa AA Jr, Grimaldi G Jr.</t>
  </si>
  <si>
    <t>Trans R Soc Trop Med Hyg. 2006 Oct;100(10):926-37. doi: 10.1016/j.trstmh.2005.11.005. Epub 2006 Feb 7.</t>
  </si>
  <si>
    <t>10.1016/j.trstmh.2005.11.005</t>
  </si>
  <si>
    <t>Lymphoglandular complexes are important colonic sites for immunoglobulin A induction against Campylobacter jejuni in a swine disease model</t>
  </si>
  <si>
    <t>Mansfield LS, Gauthier DT.</t>
  </si>
  <si>
    <t>Comp Med. 2004 Oct;54(5):514-23.</t>
  </si>
  <si>
    <t>Gene expression profiling identifies C/EBPdelta as a candidate regulator of endotoxin-induced disseminated intravascular coagulation</t>
  </si>
  <si>
    <t>Slofstra SH, Groot AP, Obdeijn MH, Reitsma PH, ten Cate H, Spek CA.</t>
  </si>
  <si>
    <t>Am J Respir Crit Care Med. 2007 Sep 15;176(6):602-9. doi: 10.1164/rccm.200609-1250OC. Epub 2007 Jun 28.</t>
  </si>
  <si>
    <t>10.1164/rccm.200609-1250OC</t>
  </si>
  <si>
    <t>Acute pancreatitis in mice impairs bacterial clearance from the lungs, whereas concurrent pneumonia prolongs the course of pancreatitis</t>
  </si>
  <si>
    <t>van Westerloo DJ, Schultz MJ, Bruno MJ, de Vos AF, Florquin S, van der Poll T.</t>
  </si>
  <si>
    <t>Crit Care Med. 2004 Oct;32(10):1997-2001. doi: 10.1097/01.ccm.0000142658.22254.74.</t>
  </si>
  <si>
    <t>10.1097/01.ccm.0000142658.22254.74</t>
  </si>
  <si>
    <t>The severity of malarial anaemia in Plasmodium chabaudi infections of BALB/c mice is determined independently of the number of circulating parasites</t>
  </si>
  <si>
    <t>Lamb TJ, Langhorne J.</t>
  </si>
  <si>
    <t>Malar J. 2008 Apr 25;7:68. doi: 10.1186/1475-2875-7-68.</t>
  </si>
  <si>
    <t>10.1186/1475-2875-7-68</t>
  </si>
  <si>
    <t>Optical complications in congenital rubella syndrome</t>
  </si>
  <si>
    <t>Weisinger HS, Pesudovs K.</t>
  </si>
  <si>
    <t>Optometry. 2002 Jul;73(7):418-24.</t>
  </si>
  <si>
    <t>Optometry</t>
  </si>
  <si>
    <t>[Radiofrequency ablation combined with ethanol injection for liver cancer treatment---an experimental study]</t>
  </si>
  <si>
    <t>Zhang YJ, Chen MS, Li JQ, Zhang YQ, Zhong C, Liang HH.</t>
  </si>
  <si>
    <t>Ai Zheng. 2006 Sep;25(9):1092-6.</t>
  </si>
  <si>
    <t>Ai Zheng</t>
  </si>
  <si>
    <t>Role of N-methyl-N-nitrosourea in the induction of intestinal metaplasia and gastric adenocarcinoma in Mongolian gerbils infected with Helicobacter pylori</t>
  </si>
  <si>
    <t>Maruta F, Ota H, Genta RM, Sugiyama A, Tatematsu M, Katsuyama T, Kawasaki S.</t>
  </si>
  <si>
    <t>Scand J Gastroenterol. 2001 Mar;36(3):283-90. doi: 10.1080/003655201750074591.</t>
  </si>
  <si>
    <t>10.1080/003655201750074591</t>
  </si>
  <si>
    <t>Efficacy, immune responses and side-effects of vaccines against Johne's disease in young red deer (Cervus elaphus) experimentally challenged with Mycobacterium avium subsp paratuberculosis</t>
  </si>
  <si>
    <t>Mackintosh CG, Labes RE, Thompson BR, Clark RG, de Lisle GW, Johnstone PD, Griffin JF.</t>
  </si>
  <si>
    <t>N Z Vet J. 2008 Feb;56(1):1-9. doi: 10.1080/00480169.2008.36797.</t>
  </si>
  <si>
    <t>N Z Vet J</t>
  </si>
  <si>
    <t>10.1080/00480169.2008.36797</t>
  </si>
  <si>
    <t>Experimental infection of white-leghorn cockerels with Macrorhabdos ornithogaster (Megabacterium)</t>
  </si>
  <si>
    <t>Phalen DN, Moore RP.</t>
  </si>
  <si>
    <t>Avian Dis. 2003 Apr-Jun;47(2):254-60. doi: 10.1637/0005-2086(2003)047[0254:EIOWCW]2.0.CO;2.</t>
  </si>
  <si>
    <t>10.1637/0005-2086(2003)047[0254:EIOWCW]2.0.CO;2</t>
  </si>
  <si>
    <t>Safety and efficacy of an alternative basiliximab (Simulect) regimen after renal transplantation: administration of a single 40-mg dose on the first postoperative day in patients receiving triple therapy with azathioprine</t>
  </si>
  <si>
    <t>Matl I, Bachleda P, Lao M, Michalský R, Navrátil P, Treska V, Prestele H, Matthisson M, Korn A.</t>
  </si>
  <si>
    <t>Transpl Int. 2003 Jan;16(1):45-52. doi: 10.1007/s00147-002-0478-x. Epub 2002 Nov 22.</t>
  </si>
  <si>
    <t>Transpl Int</t>
  </si>
  <si>
    <t>10.1007/s00147-002-0478-x</t>
  </si>
  <si>
    <t>Healthy Hands: Use of alcohol gel as an adjunct to handwashing in elementary school children</t>
  </si>
  <si>
    <t>Morton JL, Schultz AA.</t>
  </si>
  <si>
    <t>J Sch Nurs. 2004 Jun;20(3):161-7. doi: 10.1177/10598405040200030601.</t>
  </si>
  <si>
    <t>J Sch Nurs</t>
  </si>
  <si>
    <t>10.1177/10598405040200030601</t>
  </si>
  <si>
    <t>An experimentally induced Chlamydia suis infection in pigs results in severe lung function disorders and pulmonary inflammation</t>
  </si>
  <si>
    <t>Reinhold P, Kirschvink N, Theegarten D, Berndt A.</t>
  </si>
  <si>
    <t>Vet Res. 2008 May-Jun;39(3):35. doi: 10.1051/vetres:2008012. Epub 2008 Feb 26.</t>
  </si>
  <si>
    <t>10.1051/vetres:2008012</t>
  </si>
  <si>
    <t>Colonization of mice by Candida albicans is promoted by chemically induced colitis and augments inflammatory responses through galectin-3</t>
  </si>
  <si>
    <t>Jawhara S, Thuru X, Standaert-Vitse A, Jouault T, Mordon S, Sendid B, Desreumaux P, Poulain D.</t>
  </si>
  <si>
    <t>J Infect Dis. 2008 Apr 1;197(7):972-80. doi: 10.1086/528990.</t>
  </si>
  <si>
    <t>10.1086/528990</t>
  </si>
  <si>
    <t>From farm to table to brain: foodborne pathogen infection and the potential role of the neuro-immune-endocrine system in neurotoxic sequelae</t>
  </si>
  <si>
    <t>Garthoff LH, Sobotka TJ.</t>
  </si>
  <si>
    <t>Nutr Neurosci. 2001;4(5):333-74. doi: 10.1080/1028415x.2001.11747373.</t>
  </si>
  <si>
    <t>Nutr Neurosci</t>
  </si>
  <si>
    <t>10.1080/1028415x.2001.11747373</t>
  </si>
  <si>
    <t>[Comparison of the effectiveness of pentobarbital and thiopental in patients with refractory intracranial hypertension. Preliminary report of 20 patients]</t>
  </si>
  <si>
    <t>Pérez-Bárcena J, Barceló B, Homar J, Abadal JM, Molina FJ, de la Peña A, Sahuquillo J, Ibáñez J.</t>
  </si>
  <si>
    <t>Neurocirugia (Astur). 2005 Feb;16(1):5-12; discussion 12-3.</t>
  </si>
  <si>
    <t>Neurocirugia (Astur)</t>
  </si>
  <si>
    <t>Alpha-2-macroglobulin and albumin are useful serum proteins to detect subclinical peritonitis in the rat</t>
  </si>
  <si>
    <t>van Westrhenen R, Westra WM, van den Born J, Krediet RT, Keuning ED, Hiralall J, Dragt C, Hekking LH.</t>
  </si>
  <si>
    <t>Perit Dial Int. 2006 Jan-Feb;26(1):101-7.</t>
  </si>
  <si>
    <t>Perit Dial Int</t>
  </si>
  <si>
    <t>Humoral immune responses of white-tailed deer (Odocoileus virginianus) to Mycobacterium bovis BCG vaccination and experimental challenge with M. bovis</t>
  </si>
  <si>
    <t>Nol P, Lyashchenko KP, Greenwald R, Esfandiari J, Waters WR, Palmer MV, Nonnecke BJ, Keefe TJ, Thacker TC, Rhyan JC, Aldwell FE, Salman MD.</t>
  </si>
  <si>
    <t>Clin Vaccine Immunol. 2009 Mar;16(3):323-9. doi: 10.1128/CVI.00392-08. Epub 2009 Jan 7.</t>
  </si>
  <si>
    <t>10.1128/CVI.00392-08</t>
  </si>
  <si>
    <t>Pharmacokinetics and pharmacodynamics of intravenous levofloxacin in patients with early-onset ventilator-associated pneumonia</t>
  </si>
  <si>
    <t>Pea F, Di Qual E, Cusenza A, Brollo L, Baldassarre M, Furlanut M.</t>
  </si>
  <si>
    <t>Clin Pharmacokinet. 2003;42(6):589-98. doi: 10.2165/00003088-200342060-00008.</t>
  </si>
  <si>
    <t>10.2165/00003088-200342060-00008</t>
  </si>
  <si>
    <t>Effect of upper respiratory tract infection on AIR inhaled insulin pharmacokinetics and glucodynamics in healthy subjects</t>
  </si>
  <si>
    <t>Gern JE, Stone CK, Nakano M, Muchmore DB, de la Peña A, Park S, Suri A, Tibaldi F, Soon D, Busse WW.</t>
  </si>
  <si>
    <t>Clin Pharmacol Ther. 2008 Feb;83(2):307-11. doi: 10.1038/sj.clpt.6100286. Epub 2007 Jul 11.</t>
  </si>
  <si>
    <t>10.1038/sj.clpt.6100286</t>
  </si>
  <si>
    <t>MyD88-deficient mice exhibit decreased parasite-induced immune responses but reduced disease severity in a murine model of neurocysticercosis</t>
  </si>
  <si>
    <t>Mishra BB, Gundra UM, Wong K, Teale JM.</t>
  </si>
  <si>
    <t>Infect Immun. 2009 Dec;77(12):5369-79. doi: 10.1128/IAI.00455-09. Epub 2009 Sep 28.</t>
  </si>
  <si>
    <t>10.1128/IAI.00455-09</t>
  </si>
  <si>
    <t>Systemic inflammatory response syndrome in nonhuman primates culminating in multiple organ failure, acute lung injury, and disseminated intravascular coagulation</t>
  </si>
  <si>
    <t>Hukkanen RR, Liggitt HD, Murnane RD, Frevert CW.</t>
  </si>
  <si>
    <t>Toxicol Pathol. 2009 Oct;37(6):799-804. doi: 10.1177/0192623309343778.</t>
  </si>
  <si>
    <t>NIHMS608410</t>
  </si>
  <si>
    <t>10.1177/0192623309343778</t>
  </si>
  <si>
    <t>Safety and immunologic effects after inoculation of inactivated and combined live-inactivated dermatophytosis vaccines in cats</t>
  </si>
  <si>
    <t>DeBoer DJ, Moriello KA, Blum JL, Volk LM, Bredahl LK.</t>
  </si>
  <si>
    <t>Am J Vet Res. 2002 Nov;63(11):1532-7. doi: 10.2460/ajvr.2002.63.1532.</t>
  </si>
  <si>
    <t>10.2460/ajvr.2002.63.1532</t>
  </si>
  <si>
    <t>Differentiated human neural stem cells: a new ex vivo model to study HHV-6 infection of the central nervous system</t>
  </si>
  <si>
    <t>De Filippis L, Foglieni C, Silva S, Vescovi AL, Lusso P, Malnati MS.</t>
  </si>
  <si>
    <t>J Clin Virol. 2006 Dec;37 Suppl 1:S27-32. doi: 10.1016/S1386-6532(06)70008-7.</t>
  </si>
  <si>
    <t>10.1016/S1386-6532(06)70008-7</t>
  </si>
  <si>
    <t>Generation of competent bone marrow-derived antigen presenting cells from the deer mouse (Peromyscus maniculatus)</t>
  </si>
  <si>
    <t>Davenport BJ, Willis DG, Prescott J, Farrell RM, Coons TA, Schountz T.</t>
  </si>
  <si>
    <t>BMC Immunol. 2004 Sep 30;5:23. doi: 10.1186/1471-2172-5-23.</t>
  </si>
  <si>
    <t>BMC Immunol</t>
  </si>
  <si>
    <t>10.1186/1471-2172-5-23</t>
  </si>
  <si>
    <t>Using chest vibration nursing intervention to improve expectoration of airway secretions and prevent lung collapse in ventilated ICU patients: a randomized controlled trial</t>
  </si>
  <si>
    <t>Chen YC, Wu LF, Mu PF, Lin LH, Chou SS, Shie HG.</t>
  </si>
  <si>
    <t>J Chin Med Assoc. 2009 Jun;72(6):316-22. doi: 10.1016/S1726-4901(09)70378-8.</t>
  </si>
  <si>
    <t>J Chin Med Assoc</t>
  </si>
  <si>
    <t>10.1016/S1726-4901(09)70378-8</t>
  </si>
  <si>
    <t>Rhinovirus-induced airway inflammation in asthma: effect of treatment with inhaled corticosteroids before and during experimental infection</t>
  </si>
  <si>
    <t>Grünberg K, Sharon RF, Sont JK, In 't Veen JC, Van Schadewijk WA, De Klerk EP, Dick CR, Van Krieken JH, Sterk PJ.</t>
  </si>
  <si>
    <t>Am J Respir Crit Care Med. 2001 Nov 15;164(10 Pt 1):1816-22. doi: 10.1164/ajrccm.164.10.2102118.</t>
  </si>
  <si>
    <t>10.1164/ajrccm.164.10.2102118</t>
  </si>
  <si>
    <t>Ourselves, our bodies, our realities: an HIV prevention intervention for women with severe mental illness</t>
  </si>
  <si>
    <t>Collins PY, Geller PA, Miller S, Toro P, Susser ES.</t>
  </si>
  <si>
    <t>J Urban Health. 2001 Mar;78(1):162-75. doi: 10.1093/jurban/78.1.162.</t>
  </si>
  <si>
    <t>J Urban Health</t>
  </si>
  <si>
    <t>10.1093/jurban/78.1.162</t>
  </si>
  <si>
    <t>Sequential analysis of Anaplasma phagocytophilum msp2 transcription in murine and equine models of human granulocytic anaplasmosis</t>
  </si>
  <si>
    <t>Scorpio DG, Leutenegger C, Berger J, Barat N, Madigan JE, Dumler JS.</t>
  </si>
  <si>
    <t>Clin Vaccine Immunol. 2008 Mar;15(3):418-24. doi: 10.1128/CVI.00417-07. Epub 2007 Dec 19.</t>
  </si>
  <si>
    <t>10.1128/CVI.00417-07</t>
  </si>
  <si>
    <t>Cooling for acute ischemic brain damage (cool aid): an open pilot study of induced hypothermia in acute ischemic stroke</t>
  </si>
  <si>
    <t>Krieger DW, De Georgia MA, Abou-Chebl A, Andrefsky JC, Sila CA, Katzan IL, Mayberg MR, Furlan AJ.</t>
  </si>
  <si>
    <t>Stroke. 2001 Aug;32(8):1847-54. doi: 10.1161/01.str.32.8.1847.</t>
  </si>
  <si>
    <t>10.1161/01.str.32.8.1847</t>
  </si>
  <si>
    <t>Safety studies on intrahepatic or intratumoral injection of oncolytic vesicular stomatitis virus expressing interferon-beta in rodents and nonhuman primates</t>
  </si>
  <si>
    <t>Jenks N, Myers R, Greiner SM, Thompson J, Mader EK, Greenslade A, Griesmann GE, Federspiel MJ, Rakela J, Borad MJ, Vile RG, Barber GN, Meier TR, Blanco MC, Carlson SK, Russell SJ, Peng KW.</t>
  </si>
  <si>
    <t>Hum Gene Ther. 2010 Apr;21(4):451-62. doi: 10.1089/hum.2009.111.</t>
  </si>
  <si>
    <t>Hum Gene Ther</t>
  </si>
  <si>
    <t>10.1089/hum.2009.111</t>
  </si>
  <si>
    <t>Challenges to the diagnosis and management of HIV dementia</t>
  </si>
  <si>
    <t>Wojna V, Nath A.</t>
  </si>
  <si>
    <t>AIDS Read. 2006 Nov;16(11):615-6, 621-4, 626, 629-32.</t>
  </si>
  <si>
    <t>AIDS Read</t>
  </si>
  <si>
    <t>Therapeutic effects of FTY720, a new immunosuppressive agent, in a murine model of acute viral myocarditis</t>
  </si>
  <si>
    <t>Miyamoto T, Matsumori A, Hwang MW, Nishio R, Ito H, Sasayama S.</t>
  </si>
  <si>
    <t>J Am Coll Cardiol. 2001 May;37(6):1713-8. doi: 10.1016/s0735-1097(01)01204-9.</t>
  </si>
  <si>
    <t>10.1016/s0735-1097(01)01204-9</t>
  </si>
  <si>
    <t>The murine gammaherpesvirus-68 chemokine-binding protein M3 inhibits experimental autoimmune encephalomyelitis</t>
  </si>
  <si>
    <t>Millward JM, Holst PJ, Høgh-Petersen M, Thomsen AR, Christensen JP, Owens T.</t>
  </si>
  <si>
    <t>J Neuroimmunol. 2010 Jul 27;224(1-2):45-50. doi: 10.1016/j.jneuroim.2010.05.005.</t>
  </si>
  <si>
    <t>J Neuroimmunol</t>
  </si>
  <si>
    <t>10.1016/j.jneuroim.2010.05.005</t>
  </si>
  <si>
    <t>An in vitro assessment of the antibacterial effect of garlic (Allium sativum) on bacterial isolates from wound infections</t>
  </si>
  <si>
    <t>Tessema B, Mulu A, Kassu A, Yismaw G.</t>
  </si>
  <si>
    <t>Ethiop Med J. 2006 Oct;44(4):385-9.</t>
  </si>
  <si>
    <t>Ethiop Med J</t>
  </si>
  <si>
    <t>The efficacy of bovine lactoferrin in the treatment of cows with experimentally induced Escherichia coli mastitis</t>
  </si>
  <si>
    <t>Kutila T, Suojala L, Lehtolainen T, Saloniemi H, Kaartinen L, Tähti M, Seppälä K, Pyörälä S.</t>
  </si>
  <si>
    <t>J Vet Pharmacol Ther. 2004 Aug;27(4):197-202. doi: 10.1111/j.1365-2885.2004.00581.x.</t>
  </si>
  <si>
    <t>J Vet Pharmacol Ther</t>
  </si>
  <si>
    <t>10.1111/j.1365-2885.2004.00581.x</t>
  </si>
  <si>
    <t>Unmasking of a protective tumor necrosis factor receptor I-mediated signal in the collagen-induced arthritis model</t>
  </si>
  <si>
    <t>Williams-Skipp C, Raman T, Valuck RJ, Watkins H, Palmer BE, Scheinman RI.</t>
  </si>
  <si>
    <t>Arthritis Rheum. 2009 Feb;60(2):408-18. doi: 10.1002/art.24260.</t>
  </si>
  <si>
    <t>NIHMS87450</t>
  </si>
  <si>
    <t>10.1002/art.24260</t>
  </si>
  <si>
    <t>Time-course studies of 14-3-3 protein isoforms in cerebrospinal fluid and brain of primates after oral or intracerebral infection with bovine spongiform encephalopathy agent</t>
  </si>
  <si>
    <t>Yutzy B, Holznagel E, Coulibaly C, Stuke A, Hahmann U, Deslys JP, Hunsmann G, Löwer J.</t>
  </si>
  <si>
    <t>J Gen Virol. 2007 Dec;88(Pt 12):3469-3478. doi: 10.1099/vir.0.83128-0.</t>
  </si>
  <si>
    <t>10.1099/vir.0.83128-0</t>
  </si>
  <si>
    <t>Susceptibility of greater sage-grouse to experimental infection with West Nile virus</t>
  </si>
  <si>
    <t>Clark L, Hall J, McLean R, Dunbar M, Klenk K, Bowen R, Smeraski CA.</t>
  </si>
  <si>
    <t>J Wildl Dis. 2006 Jan;42(1):14-22. doi: 10.7589/0090-3558-42.1.14.</t>
  </si>
  <si>
    <t>10.7589/0090-3558-42.1.14</t>
  </si>
  <si>
    <t>Revised dose schema of sublingual buprenorphine in the treatment of the neonatal opioid abstinence syndrome</t>
  </si>
  <si>
    <t>Kraft WK, Dysart K, Greenspan JS, Gibson E, Kaltenbach K, Ehrlich ME.</t>
  </si>
  <si>
    <t>Addiction. 2011 Mar;106(3):574-80. doi: 10.1111/j.1360-0443.2010.03170.x. Epub 2010 Oct 6.</t>
  </si>
  <si>
    <t>Addiction</t>
  </si>
  <si>
    <t>NIHMS231900</t>
  </si>
  <si>
    <t>10.1111/j.1360-0443.2010.03170.x</t>
  </si>
  <si>
    <t>Characterization of an influenza A virus isolated from pigs during an outbreak of respiratory disease in swine and people during a county fair in the United States</t>
  </si>
  <si>
    <t>Vincent AL, Swenson SL, Lager KM, Gauger PC, Loiacono C, Zhang Y.</t>
  </si>
  <si>
    <t>Vet Microbiol. 2009 May 28;137(1-2):51-9. doi: 10.1016/j.vetmic.2009.01.003. Epub 2009 Jan 6.</t>
  </si>
  <si>
    <t>10.1016/j.vetmic.2009.01.003</t>
  </si>
  <si>
    <t>Microemulsified cyclosporine-based immunosuppression for the prevention of acute renal allograft rejection in unrelated dogs: preliminary experimental study</t>
  </si>
  <si>
    <t>Bernsteen L, Gregory CR, Kyles AE, Griffey SM, Patz J.</t>
  </si>
  <si>
    <t>Vet Surg. 2003 May-Jun;32(3):213-9. doi: 10.1053/jvet.2003.50027.</t>
  </si>
  <si>
    <t>Vet Surg</t>
  </si>
  <si>
    <t>10.1053/jvet.2003.50027</t>
  </si>
  <si>
    <t>Early cutaneous alterations in experimental sepsis by Pseudomonas aeruginosa</t>
  </si>
  <si>
    <t>Petropoulou H, Giamarellos-Bourboulis EJ, Kavatzas N, Stratigos A, Mouktaroudi M, Adamis T, Baziaka F, Katsambas AD, Stavrianeas NG.</t>
  </si>
  <si>
    <t>Dermatology. 2004;209(2):111-6. doi: 10.1159/000079594.</t>
  </si>
  <si>
    <t>Dermatology</t>
  </si>
  <si>
    <t>10.1159/000079594</t>
  </si>
  <si>
    <t>Cooling by convection vs cooling by conduction for treatment of fever in critically ill adults</t>
  </si>
  <si>
    <t>Creechan T, Vollman K, Kravutske ME.</t>
  </si>
  <si>
    <t>Am J Crit Care. 2001 Jan;10(1):52-9.</t>
  </si>
  <si>
    <t>Am J Crit Care</t>
  </si>
  <si>
    <t>Nucleic acid vaccination with Schistosoma mansoni antioxidant enzyme cytosolic superoxide dismutase and the structural protein filamin confers protection against the adult worm stage</t>
  </si>
  <si>
    <t>Cook RM, Carvalho-Queiroz C, Wilding G, LoVerde PT.</t>
  </si>
  <si>
    <t>Infect Immun. 2004 Oct;72(10):6112-24. doi: 10.1128/IAI.72.10.6112-6124.2004.</t>
  </si>
  <si>
    <t>10.1128/IAI.72.10.6112-6124.2004</t>
  </si>
  <si>
    <t>A unifying hypothesis of schizophrenia: abnormal immune system development may help explain roles of prenatal hazards, post-pubertal onset, stress, genes, climate, infections, and brain dysfunction</t>
  </si>
  <si>
    <t>Kinney DK, Hintz K, Shearer EM, Barch DH, Riffin C, Whitley K, Butler R.</t>
  </si>
  <si>
    <t>Med Hypotheses. 2010 Mar;74(3):555-63. doi: 10.1016/j.mehy.2009.09.040.</t>
  </si>
  <si>
    <t>10.1016/j.mehy.2009.09.040</t>
  </si>
  <si>
    <t>Tumor Necrosis Factor (TNF) Inhibitors for Rheumatic Diseases (Part 2): A Systematic Review of Data From Registries and Safety Databases</t>
  </si>
  <si>
    <t>Arentz-Hansen H, Palm Ø, Natvig Norderhaug I, Klemp Gjertsen M, Nordvåg BY.</t>
  </si>
  <si>
    <t>Oslo, Norway: Knowledge Centre for the Health Services at The Norwegian Institute of Public Health (NIPH); 2007 Feb. Report from Norwegian Knowledge Centre for the Health Services (NOKC) No. 02-2007.</t>
  </si>
  <si>
    <t>Protective efficacy of high-passage avian pneumovirus (APV/MN/turkey/1-a/97) in turkeys</t>
  </si>
  <si>
    <t>Gulati BR, Patnayak DP, Sheikh AM, Poss PE, Goyal SM.</t>
  </si>
  <si>
    <t>Avian Dis. 2001 Jul-Sep;45(3):593-7.</t>
  </si>
  <si>
    <t>Limitation of the spread and impact of infectious coryza through the use of a continuous disinfection programme</t>
  </si>
  <si>
    <t>Bragg RR.</t>
  </si>
  <si>
    <t>Onderstepoort J Vet Res. 2004 Mar;71(1):1-8. doi: 10.4102/ojvr.v71i1.280.</t>
  </si>
  <si>
    <t>10.4102/ojvr.v71i1.280</t>
  </si>
  <si>
    <t>Intraperitoneal administration of oxygenated perfluorochemical inhibits bacterial translocation associated with severe acute pancreatitis</t>
  </si>
  <si>
    <t>Shinzeki M, Takeyama Y, Ueda T, Yasuda T, Kishi S, Kuroda Y.</t>
  </si>
  <si>
    <t>Kobe J Med Sci. 2003;49(1-2):17-24.</t>
  </si>
  <si>
    <t>Kobe J Med Sci</t>
  </si>
  <si>
    <t>Closed-chest microdialysis to measure antibiotic penetration into human lung tissue</t>
  </si>
  <si>
    <t>Herkner H, Müller MR, Kreischitz N, Mayer BX, Frossard M, Joukhadar C, Klein N, Lackner E, Müller M.</t>
  </si>
  <si>
    <t>Am J Respir Crit Care Med. 2002 Jan 15;165(2):273-6. doi: 10.1164/ajrccm.165.2.2106082.</t>
  </si>
  <si>
    <t>10.1164/ajrccm.165.2.2106082</t>
  </si>
  <si>
    <t>[Cyclosporine A effect in mice C57BL/6 infected with Encephalitozoon intestinalis]</t>
  </si>
  <si>
    <t>Galván AL, Agudelo Sdel P, Restrepo JG, Toro F, Galviz LA, Botero J.</t>
  </si>
  <si>
    <t>Biomedica. 2006 Mar;26(1):126-37.</t>
  </si>
  <si>
    <t>Biomedica</t>
  </si>
  <si>
    <t>Pantoprazole therapy in the long-term management of severe acid peptic disease: clinical efficacy, safety, serum gastrin, gastric histology, and endocrine cell studies</t>
  </si>
  <si>
    <t>Bardhan KD, Cherian P, Bishop AE, Polak JM, Romanska H, Perry MJ, Rowland A, Thompson M, Morris P, Schneider A, Fischer R, Ng W, Lühmann R, McCaldin B.</t>
  </si>
  <si>
    <t>Am J Gastroenterol. 2001 Jun;96(6):1767-76. doi: 10.1111/j.1572-0241.2001.03185.x.</t>
  </si>
  <si>
    <t>10.1111/j.1572-0241.2001.03185.x</t>
  </si>
  <si>
    <t>Improved effector activity and memory CD8 T cell development by IL-2 expression during experimental respiratory syncytial virus infection</t>
  </si>
  <si>
    <t>Chang J, Choi SY, Jin HT, Sung YC, Braciale TJ.</t>
  </si>
  <si>
    <t>J Immunol. 2004 Jan 1;172(1):503-8. doi: 10.4049/jimmunol.172.1.503.</t>
  </si>
  <si>
    <t>10.4049/jimmunol.172.1.503</t>
  </si>
  <si>
    <t>Safety and preliminary immunogenicity of the recombinant outer membrane protein P64k of Neisseria meningitidis in human volunteers</t>
  </si>
  <si>
    <t>Pérez A, Dickinson F, Cinza Z, Ruíz A, Serrano T, Sosa J, González S, Gutiérrez Y, Nazábal C, Gutiérrez O, Guzmán D, Díaz M, Delgado M, Caballero E, Sardiñas G, Alvarez A, Martín A, Guillén G, Silva R.</t>
  </si>
  <si>
    <t>Biotechnol Appl Biochem. 2001 Oct;34(2):121-5. doi: 10.1042/ba20010029.</t>
  </si>
  <si>
    <t>Biotechnol Appl Biochem</t>
  </si>
  <si>
    <t>10.1042/ba20010029</t>
  </si>
  <si>
    <t>Decreased rhinovirus shedding after intranasal oxymetazoline application in adults with induced colds compared with intranasal saline</t>
  </si>
  <si>
    <t>Winther B, Buchert D, Turner RB, Hendley JO, Tschaikin M.</t>
  </si>
  <si>
    <t>Am J Rhinol Allergy. 2010 Sep-Oct;24(5):374-7. doi: 10.2500/ajra.2010.24.3491.</t>
  </si>
  <si>
    <t>Am J Rhinol Allergy</t>
  </si>
  <si>
    <t>10.2500/ajra.2010.24.3491</t>
  </si>
  <si>
    <t>Mast cells determine the magnitude of bacterial toxin-induced skin inflammation</t>
  </si>
  <si>
    <t>Metz M, Magerl M, Kühl NF, Valeva A, Bhakdi S, Maurer M.</t>
  </si>
  <si>
    <t>Exp Dermatol. 2009 Feb;18(2):160-6. doi: 10.1111/j.1600-0625.2008.00778.x. Epub 2008 Jul 17.</t>
  </si>
  <si>
    <t>Exp Dermatol</t>
  </si>
  <si>
    <t>10.1111/j.1600-0625.2008.00778.x</t>
  </si>
  <si>
    <t>Neuraminidase inhibitors for treatment of human and avian strain influenza: A comparative modeling study</t>
  </si>
  <si>
    <t>Dobrovolny HM, Gieschke R, Davies BE, Jumbe NL, Beauchemin CA.</t>
  </si>
  <si>
    <t>J Theor Biol. 2011 Jan 21;269(1):234-44. doi: 10.1016/j.jtbi.2010.10.017. Epub 2010 Oct 21.</t>
  </si>
  <si>
    <t>J Theor Biol</t>
  </si>
  <si>
    <t>10.1016/j.jtbi.2010.10.017</t>
  </si>
  <si>
    <t>[Aetiology and pathogenesis of damages to blood vessels in drug addicts]</t>
  </si>
  <si>
    <t>Sultanaliev TA, Tursynbaev SE, Ivakin VM.</t>
  </si>
  <si>
    <t>Angiol Sosud Khir. 2007;13(2):25-33.</t>
  </si>
  <si>
    <t>Angiol Sosud Khir</t>
  </si>
  <si>
    <t>Caspofungin prolongs survival of transiently neutropenic rats with advanced-stage invasive pulmonary aspergillosis</t>
  </si>
  <si>
    <t>van de Sande WW, van Vianen W, ten Kate MT, Vissers J, Laurijsens J, Tavakol M, Rijnders BJ, Mathot RA, Bakker-Woudenberg IA.</t>
  </si>
  <si>
    <t>Antimicrob Agents Chemother. 2008 Apr;52(4):1345-50. doi: 10.1128/AAC.00536-07. Epub 2008 Jan 14.</t>
  </si>
  <si>
    <t>10.1128/AAC.00536-07</t>
  </si>
  <si>
    <t>Septic mice are susceptible to pulmonary aspergillosis</t>
  </si>
  <si>
    <t>Benjamim CF, Hogaboam CM, Lukacs NW, Kunkel SL.</t>
  </si>
  <si>
    <t>Am J Pathol. 2003 Dec;163(6):2605-17. doi: 10.1016/S0002-9440(10)63615-2.</t>
  </si>
  <si>
    <t>10.1016/S0002-9440(10)63615-2</t>
  </si>
  <si>
    <t>In vivo imaging of mucosal CD4+ T cells using single photon emission computed tomography in a murine model of colitis</t>
  </si>
  <si>
    <t>Kanwar B, Gao DW, Hwang AB, Grenert JP, Williams SP, Franc B, McCune JM.</t>
  </si>
  <si>
    <t>J Immunol Methods. 2008 Jan 1;329(1-2):21-30. doi: 10.1016/j.jim.2007.09.008. Epub 2007 Oct 16.</t>
  </si>
  <si>
    <t>NIHMS88353</t>
  </si>
  <si>
    <t>10.1016/j.jim.2007.09.008</t>
  </si>
  <si>
    <t>West Nile 25A virus infection of B-cell-deficient ((micro)MT) mice: characterization of neuroinvasiveness and pseudoreversion of the viral envelope protein</t>
  </si>
  <si>
    <t>Chambers TJ, Droll DA, Walton AH, Schwartz J, Wold WSM, Nickells J.</t>
  </si>
  <si>
    <t>J Gen Virol. 2008 Mar;89(Pt 3):627-635. doi: 10.1099/vir.0.83297-0.</t>
  </si>
  <si>
    <t>10.1099/vir.0.83297-0</t>
  </si>
  <si>
    <t>Immunization with recombinant alpha toxin partially protects broiler chicks against experimental challenge with Clostridium perfringens</t>
  </si>
  <si>
    <t>Cooper KK, Trinh HT, Songer JG.</t>
  </si>
  <si>
    <t>Vet Microbiol. 2009 Jan 1;133(1-2):92-7. doi: 10.1016/j.vetmic.2008.06.001. Epub 2008 Jun 8.</t>
  </si>
  <si>
    <t>10.1016/j.vetmic.2008.06.001</t>
  </si>
  <si>
    <t>Are probiotics effective in the treatment of fungal colonization of the gastrointestinal tract? Experimental and clinical studies</t>
  </si>
  <si>
    <t>Zwolińska-Wcisło M, Brzozowski T, Mach T, Budak A, Trojanowska D, Konturek PC, Pajdo R, Drozdowicz D, Kwiecień S.</t>
  </si>
  <si>
    <t>J Physiol Pharmacol. 2006 Nov;57 Suppl 9:35-49.</t>
  </si>
  <si>
    <t>Exploring cell tropism as a possible contributor to influenza infection severity</t>
  </si>
  <si>
    <t>Dobrovolny HM, Baron MJ, Gieschke R, Davies BE, Jumbe NL, Beauchemin CA.</t>
  </si>
  <si>
    <t>PLoS One. 2010 Nov 23;5(11):e13811. doi: 10.1371/journal.pone.0013811.</t>
  </si>
  <si>
    <t>10.1371/journal.pone.0013811</t>
  </si>
  <si>
    <t>Shedding of Mycobacterium bovis in the nasal mucus of cattle infected experimentally with tuberculosis by the intranasal and intratracheal routes</t>
  </si>
  <si>
    <t>McCorry T, Whelan AO, Welsh MD, McNair J, Walton E, Bryson DG, Hewinson RG, Vordermeier HM, Pollock JM.</t>
  </si>
  <si>
    <t>Vet Rec. 2005 Nov 12;157(20):613-8. doi: 10.1136/vr.157.20.613.</t>
  </si>
  <si>
    <t>10.1136/vr.157.20.613</t>
  </si>
  <si>
    <t>[Comparison of the diagnostic significance of clinical, radiographic and ultrasonographic results after an experimental aerosol infection of pigs with Actinobacillus pleuropneumoniae]</t>
  </si>
  <si>
    <t>Höltig D, Hennig-Pauka I, Beyerbach M, Thies K, Rehm T, Gerlach GF, Waldmann KH; FUGATO-Konsortiums IRAS.</t>
  </si>
  <si>
    <t>Berl Munch Tierarztl Wochenschr. 2008 Nov-Dec;121(11-12):422-31.</t>
  </si>
  <si>
    <t>Berl Munch Tierarztl Wochenschr</t>
  </si>
  <si>
    <t>Persistence of low levels of simian immunodeficiency virus in macaques that were transiently viremic by conventional testing</t>
  </si>
  <si>
    <t>Zhu T, Hu SL, Feng F, Polacino P, Liu H, Hwangbo Y, Learn GH, Mullins JI, Corey L.</t>
  </si>
  <si>
    <t>Virology. 2004 Jun 1;323(2):208-19. doi: 10.1016/j.virol.2004.03.004.</t>
  </si>
  <si>
    <t>10.1016/j.virol.2004.03.004</t>
  </si>
  <si>
    <t>Granulocyte colony-stimulating factor does not affect contusion size, brain edema or cerebrospinal fluid glutamate concentrations in rats following controlled cortical impact</t>
  </si>
  <si>
    <t>Sakowitz OW, Schardt C, Neher M, Stover JF, Unterberg AW, Kiening KL.</t>
  </si>
  <si>
    <t>Acta Neurochir Suppl. 2006;96:139-43. doi: 10.1007/3-211-30714-1_31.</t>
  </si>
  <si>
    <t>10.1007/3-211-30714-1_31</t>
  </si>
  <si>
    <t>Bax deletion does not protect neurons from BSE-induced death</t>
  </si>
  <si>
    <t>Coulpier M, Messiaen S, Hamel R, Fernández de Marco M, Lilin T, Eloit M.</t>
  </si>
  <si>
    <t>Neurobiol Dis. 2006 Sep;23(3):603-11. doi: 10.1016/j.nbd.2006.05.013. Epub 2006 Jul 18.</t>
  </si>
  <si>
    <t>Neurobiol Dis</t>
  </si>
  <si>
    <t>10.1016/j.nbd.2006.05.013</t>
  </si>
  <si>
    <t>[Pathological study of the therapeutic effect of wen-yang herbs on experimental liver cirrhosis]</t>
  </si>
  <si>
    <t>Wang LC, Lei BJ, Li L, Zhao JB.</t>
  </si>
  <si>
    <t>Sichuan Da Xue Xue Bao Yi Xue Ban. 2004 Jul;35(4):532-5.</t>
  </si>
  <si>
    <t>Sichuan Da Xue Xue Bao Yi Xue Ban</t>
  </si>
  <si>
    <t>Sonography of acute osteomyelitis in rabbits with pathologic correlation</t>
  </si>
  <si>
    <t>Cheon JE, Chung HW, Hong SH, Lee W, Lee KH, Kim CJ, Yeon KM, Kang HS.</t>
  </si>
  <si>
    <t>Acad Radiol. 2001 Mar;8(3):243-9. doi: 10.1016/S1076-6332(03)80533-0.</t>
  </si>
  <si>
    <t>Acad Radiol</t>
  </si>
  <si>
    <t>10.1016/S1076-6332(03)80533-0</t>
  </si>
  <si>
    <t>Experimental infections in young red deer (Cervus elaphus) with a bovine and an ovine strain of Mycobacterium avium subsp paratuberculosis</t>
  </si>
  <si>
    <t>Mackintosh CG, Labes RE, Clark RG, de Lisle GW, Griffin JF.</t>
  </si>
  <si>
    <t>N Z Vet J. 2007 Feb;55(1):23-9. doi: 10.1080/00480169.2007.36731.</t>
  </si>
  <si>
    <t>10.1080/00480169.2007.36731</t>
  </si>
  <si>
    <t>Dexamethasone treatment induces susceptibility of outbred Webster mice to experimental infection with Besnoitia darlingi isolated from opossums (Didelphis virginiana)</t>
  </si>
  <si>
    <t>Elsheikha HM, Rosenthal BM, Mansfield LS.</t>
  </si>
  <si>
    <t>Parasitol Res. 2005 Apr;95(6):413-9. doi: 10.1007/s00436-004-1286-2. Epub 2005 Mar 10.</t>
  </si>
  <si>
    <t>10.1007/s00436-004-1286-2</t>
  </si>
  <si>
    <t>Experimental infection of white-tailed deer (Odocoileus virginianus) with Mycobacterium avium subsp. paratuberculosis</t>
  </si>
  <si>
    <t>Palmer MV, Stabel JR, Waters WR, Bannantine JP, Miller JM.</t>
  </si>
  <si>
    <t>J Wildl Dis. 2007 Oct;43(4):597-608. doi: 10.7589/0090-3558-43.4.597.</t>
  </si>
  <si>
    <t>10.7589/0090-3558-43.4.597</t>
  </si>
  <si>
    <t>Dengue virus 3 clinical isolates show different patterns of virulence in experimental mice infection</t>
  </si>
  <si>
    <t>Ferreira GP, Figueiredo LB, Coelho LF, S PA Jr, Cecilio AB, Ferreira PC, Bonjardim CA, Arantes RM, Campos MA, Kroon EG.</t>
  </si>
  <si>
    <t>Microbes Infect. 2010 Jul;12(7):546-54. doi: 10.1016/j.micinf.2010.03.007. Epub 2010 Apr 8.</t>
  </si>
  <si>
    <t>10.1016/j.micinf.2010.03.007</t>
  </si>
  <si>
    <t>Efficacy testing of antimycotic prophylactics in an animal model</t>
  </si>
  <si>
    <t>Treiber A, Pittermann W, Schuppe HC.</t>
  </si>
  <si>
    <t>Int J Hyg Environ Health. 2001 Dec;204(4):239-43. doi: 10.1078/S1438-4639(04)70100-5.</t>
  </si>
  <si>
    <t>Int J Hyg Environ Health</t>
  </si>
  <si>
    <t>10.1078/S1438-4639(04)70100-5</t>
  </si>
  <si>
    <t>Ehrlichial proliferation and acute hepatocellular necrosis in immunocompetent mice experimentally infected with the HF strain of Ehrlichia, closely related to Ehrlichia chaffeensis</t>
  </si>
  <si>
    <t>Okada H, Tajima T, Kawahara M, Rikihisa Y.</t>
  </si>
  <si>
    <t>J Comp Pathol. 2001 Feb-Apr;124(2-3):165-71. doi: 10.1053/jcpa.2000.0447.</t>
  </si>
  <si>
    <t>10.1053/jcpa.2000.0447</t>
  </si>
  <si>
    <t>Long-term outcomes of composite auricle as a neurosensorial facial subunit allotransplant</t>
  </si>
  <si>
    <t>Ulusal BG, Ulusal AE, Wei FC.</t>
  </si>
  <si>
    <t>Ann Plast Surg. 2009 Mar;62(3):311-6. doi: 10.1097/SAP.0b013e31817e9cd3.</t>
  </si>
  <si>
    <t>Ann Plast Surg</t>
  </si>
  <si>
    <t>10.1097/SAP.0b013e31817e9cd3</t>
  </si>
  <si>
    <t>Nosocomial infection of Serratia marcescens may induce a protective effect in monkeys exposed to Bacillus anthracis</t>
  </si>
  <si>
    <t>Leffel EK, Twenhafel NA, Whitehouse CA.</t>
  </si>
  <si>
    <t>J Infect. 2008 Aug;57(2):162-4. doi: 10.1016/j.jinf.2008.04.008. Epub 2008 Jun 6.</t>
  </si>
  <si>
    <t>10.1016/j.jinf.2008.04.008</t>
  </si>
  <si>
    <t>Extracorporeal lung support technologies - bridge to recovery and bridge to lung transplantation in adult patients: an evidence-based analysis</t>
  </si>
  <si>
    <t>Ont Health Technol Assess Ser. 2010;10(5):1-47. Epub 2010 Apr 1.</t>
  </si>
  <si>
    <t>TDM coupled with Bayesian forecasting should be considered an invaluable tool for optimizing vancomycin daily exposure in unstable critically ill patients</t>
  </si>
  <si>
    <t>Pea F, Bertolissi M, Di Silvestre A, Poz D, Giordano F, Furlanut M.</t>
  </si>
  <si>
    <t>Int J Antimicrob Agents. 2002 Nov;20(5):326-32. doi: 10.1016/s0924-8579(02)00188-7.</t>
  </si>
  <si>
    <t>10.1016/s0924-8579(02)00188-7</t>
  </si>
  <si>
    <t>Evaluation of tulathromycin for the treatment of pneumonia following experimental infection of swine with Mycoplasma hyopneumoniae</t>
  </si>
  <si>
    <t>McKelvie J, Morgan JH, Nanjiani IA, Sherington J, Rowan TG, Sunderland SJ.</t>
  </si>
  <si>
    <t>Vet Ther. 2005 Summer;6(2):197-202.</t>
  </si>
  <si>
    <t>Vet Ther</t>
  </si>
  <si>
    <t>Association between pacifier use and breast-feeding, sudden infant death syndrome, infection and dental malocclusion</t>
  </si>
  <si>
    <t>Callaghan A, Kendall G, Lock C, Mahony A, Payne J, Verrier L.</t>
  </si>
  <si>
    <t>Int J Evid Based Healthc. 2005 Jul;3(6):147-67. doi: 10.1111/j.1479-6988.2005.00024.x.</t>
  </si>
  <si>
    <t>Int J Evid Based Healthc</t>
  </si>
  <si>
    <t>10.1111/j.1479-6988.2005.00024.x</t>
  </si>
  <si>
    <t>JBI Libr Syst Rev. 2005;3(6):1-33. doi: 10.11124/01938924-200503060-00001.</t>
  </si>
  <si>
    <t>JBI Libr Syst Rev</t>
  </si>
  <si>
    <t>10.11124/01938924-200503060-00001</t>
  </si>
  <si>
    <t>Protective effects of recombinant growth hormone on intestinal mucosa in rats receiving abdominal radiotherapy</t>
  </si>
  <si>
    <t>Raguso CA, Leverve X, Pichard C.</t>
  </si>
  <si>
    <t>Clin Nutr. 2002 Dec;21(6):487-90. doi: 10.1054/clnu.2002.0579.</t>
  </si>
  <si>
    <t>10.1054/clnu.2002.0579</t>
  </si>
  <si>
    <t>Clinico-pathological observations on the pathogenesis of severe thrombocytopenia and anemia induced by Plasmodium vivax infections during antimalarial drug efficacy trials in Aotus monkeys</t>
  </si>
  <si>
    <t>Obaldía N 3rd.</t>
  </si>
  <si>
    <t>Am J Trop Med Hyg. 2007 Jul;77(1):3-13.</t>
  </si>
  <si>
    <t>Combined antibiotic and free radical trap treatment is effective at combating Staphylococcus-aureus-induced septic arthritis</t>
  </si>
  <si>
    <t>Sakiniene E, Collins LV.</t>
  </si>
  <si>
    <t>Arthritis Res. 2002;4(3):196-200. doi: 10.1186/ar406. Epub 2002 Jan 15.</t>
  </si>
  <si>
    <t>Arthritis Res</t>
  </si>
  <si>
    <t>10.1186/ar406</t>
  </si>
  <si>
    <t>A multivariate statistical analysis to follow the course of disease after infection of cats with different strains of the feline immunodeficiency virus (FIV)</t>
  </si>
  <si>
    <t>de Monte M, Nonnenmacher H, Brignon N, Ullmann M, Martin JP.</t>
  </si>
  <si>
    <t>J Virol Methods. 2002 May 16;103(2):157-70. doi: 10.1016/s0166-0934(02)00024-1.</t>
  </si>
  <si>
    <t>10.1016/s0166-0934(02)00024-1</t>
  </si>
  <si>
    <t>Efficacy of tulathromycin in the treatment of bovine respiratory disease associated with induced Mycoplasma bovis infections in young dairy calves</t>
  </si>
  <si>
    <t>Godinho KS, Rae A, Windsor GD, Tilt N, Rowan TG, Sunderland SJ.</t>
  </si>
  <si>
    <t>Vet Ther. 2005 Summer;6(2):96-112.</t>
  </si>
  <si>
    <t>Structured intermittent therapy with seven-day cycles of HAART for chronic HIV infection: a pilot study in São Paulo, Brazil</t>
  </si>
  <si>
    <t>Casseb J, Da Silva Duarte AJ.</t>
  </si>
  <si>
    <t>AIDS Patient Care STDS. 2005 Jul;19(7):425-8. doi: 10.1089/apc.2005.19.425.</t>
  </si>
  <si>
    <t>AIDS Patient Care STDS</t>
  </si>
  <si>
    <t>10.1089/apc.2005.19.425</t>
  </si>
  <si>
    <t>[The role of Turkish physicians in the vaccination against typhus during the years of World War I]</t>
  </si>
  <si>
    <t>Karatepe M.</t>
  </si>
  <si>
    <t>Mikrobiyol Bul. 2008 Apr;42(2):301-13.</t>
  </si>
  <si>
    <t>Mikrobiyol Bul</t>
  </si>
  <si>
    <t>Concentrated bovine colostrum protein supplementation reduces the incidence of self-reported symptoms of upper respiratory tract infection in adult males</t>
  </si>
  <si>
    <t>Brinkworth GD, Buckley JD.</t>
  </si>
  <si>
    <t>Eur J Nutr. 2003 Aug;42(4):228-32. doi: 10.1007/s00394-003-0410-x.</t>
  </si>
  <si>
    <t>Eur J Nutr</t>
  </si>
  <si>
    <t>10.1007/s00394-003-0410-x</t>
  </si>
  <si>
    <t>Modulation of the outcome and severity of hepadnaviral hepatitis in woodchucks by antibodies to hepatic asialoglycoprotein receptor</t>
  </si>
  <si>
    <t>Diao J, Slaney DM, Michalak TI.</t>
  </si>
  <si>
    <t>Hepatology. 2003 Sep;38(3):629-38. doi: 10.1053/jhep.2003.50370.</t>
  </si>
  <si>
    <t>10.1053/jhep.2003.50370</t>
  </si>
  <si>
    <t>[Functional genome analysis investigating resistance to respiratory tract disease in a porcine Actinobacillus pleuropneumoniae infection model]</t>
  </si>
  <si>
    <t>Rehm T, Benga L, Danilowicz E, Drungowski M, Hoeltig D, Kahlisch D, Oehlmann W, Probst I, Gerlach GF; IRAS-Konsortium beitragenden Wissenschaftler.</t>
  </si>
  <si>
    <t>Dtsch Tierarztl Wochenschr. 2008 Jul;115(7):260-4.</t>
  </si>
  <si>
    <t>Escalating morphine exposures followed by withdrawal in feline immunodeficiency virus-infected cats: a model for HIV infection in chronic opiate abusers</t>
  </si>
  <si>
    <t>Barr MC, Huitron-Resendiz S, Sanchez-Alavez M, Henriksen SJ, Phillips TR.</t>
  </si>
  <si>
    <t>Drug Alcohol Depend. 2003 Nov 24;72(2):141-9. doi: 10.1016/s0376-8716(03)00195-9.</t>
  </si>
  <si>
    <t>10.1016/s0376-8716(03)00195-9</t>
  </si>
  <si>
    <t>Prospective comparison of first-line nelfinavir therapy versus nelfinavir introduction in rescue antiretroviral regimens</t>
  </si>
  <si>
    <t>Manfredi R, Calza L, Chiodo F.</t>
  </si>
  <si>
    <t>AIDS Patient Care STDS. 2003 Mar;17(3):105-14. doi: 10.1089/108729103763807927.</t>
  </si>
  <si>
    <t>10.1089/108729103763807927</t>
  </si>
  <si>
    <t>Pharmacokinetics and tolerability of GW420867X, a nonnucleoside reverse transcriptase inhibitor, following single escalating doses in healthy male volunteers</t>
  </si>
  <si>
    <t>Moore KH, Cass LM, Dallow N, Hardman TC, Jones A, Boyce M, Prince WT.</t>
  </si>
  <si>
    <t>J Clin Pharmacol. 2001 Oct;41(10):1098-105. doi: 10.1177/00912700122012706.</t>
  </si>
  <si>
    <t>10.1177/00912700122012706</t>
  </si>
  <si>
    <t>Capillaria hepatica in rats: focal parasitic hepatic lesions and septal fibrosis run independent courses</t>
  </si>
  <si>
    <t>Gomes AT, Cunha LM, Bastos CG, Medrado BF, Assis BC, Andrade ZA.</t>
  </si>
  <si>
    <t>Mem Inst Oswaldo Cruz. 2006 Dec;101(8):895-8. doi: 10.1590/s0074-02762006000800012.</t>
  </si>
  <si>
    <t>10.1590/s0074-02762006000800012</t>
  </si>
  <si>
    <t>[mPGES-1: it makes us sick!]</t>
  </si>
  <si>
    <t>Pecchi E, Dallaporta M, Thirion S, Jean A, Troadec JD.</t>
  </si>
  <si>
    <t>Med Sci (Paris). 2009 May;25(5):451-4. doi: 10.1051/medsci/2009255451.</t>
  </si>
  <si>
    <t>Med Sci (Paris)</t>
  </si>
  <si>
    <t>10.1051/medsci/2009255451</t>
  </si>
  <si>
    <t>Exploratory study on the clinical and mycological effectiveness of a herbal medicinal product from Solanum chrysotrichum in patients with Candida yeast-associated vaginal infection</t>
  </si>
  <si>
    <t>Herrera-Arellano A, Jiménez-Ferrer E, Zamilpa A, Martínez-Rivera Mde L, Rodríguez-Tovar AV, Herrera-Alvarez S, Salas-Andonaegui ML, Nava-Xalpa MY, Méndez-Salas A, Tortoriello J.</t>
  </si>
  <si>
    <t>Planta Med. 2009 Apr;75(5):466-71. doi: 10.1055/s-0029-1185318. Epub 2009 Feb 2.</t>
  </si>
  <si>
    <t>Planta Med</t>
  </si>
  <si>
    <t>10.1055/s-0029-1185318</t>
  </si>
  <si>
    <t>Nebulized antithrombin limits bacterial outgrowth and lung injury in Streptococcus pneumoniae pneumonia in rats</t>
  </si>
  <si>
    <t>Hofstra JJ, Cornet AD, de Rooy BF, Vlaar AP, van der Poll T, Levi M, Zaat SA, Schultz MJ.</t>
  </si>
  <si>
    <t>Crit Care. 2009;13(5):R145. doi: 10.1186/cc8040. Epub 2009 Sep 9.</t>
  </si>
  <si>
    <t>10.1186/cc8040</t>
  </si>
  <si>
    <t>Cognitive impairment following prenatal immune challenge in mice correlates with prefrontal cortical AKT1 deficiency</t>
  </si>
  <si>
    <t>Bitanihirwe BK, Weber L, Feldon J, Meyer U.</t>
  </si>
  <si>
    <t>Int J Neuropsychopharmacol. 2010 Sep;13(8):981-96. doi: 10.1017/S1461145710000192. Epub 2010 Mar 11.</t>
  </si>
  <si>
    <t>Int J Neuropsychopharmacol</t>
  </si>
  <si>
    <t>10.1017/S1461145710000192</t>
  </si>
  <si>
    <t>Chikungunya fever: CNS infection and pathologies of a re-emerging arbovirus</t>
  </si>
  <si>
    <t>Das T, Jaffar-Bandjee MC, Hoarau JJ, Krejbich Trotot P, Denizot M, Lee-Pat-Yuen G, Sahoo R, Guiraud P, Ramful D, Robin S, Alessandri JL, Gauzere BA, Gasque P.</t>
  </si>
  <si>
    <t>Prog Neurobiol. 2010 Jun;91(2):121-9. doi: 10.1016/j.pneurobio.2009.12.006. Epub 2009 Dec 23.</t>
  </si>
  <si>
    <t>Prog Neurobiol</t>
  </si>
  <si>
    <t>10.1016/j.pneurobio.2009.12.006</t>
  </si>
  <si>
    <t>Expression of TIMP-1 and TIMP-2 in rats with hepatic fibrosis</t>
  </si>
  <si>
    <t>Nie QH, Duan GR, Luo XD, Xie YM, Luo H, Zhou YX, Pan BR.</t>
  </si>
  <si>
    <t>World J Gastroenterol. 2004 Jan;10(1):86-90. doi: 10.3748/wjg.v10.i1.86.</t>
  </si>
  <si>
    <t>10.3748/wjg.v10.i1.86</t>
  </si>
  <si>
    <t>[Hfgl2/fibroleukin expression in liver and peripheral blood mononuclear cells (PBMC) and its correlation with disease severity]</t>
  </si>
  <si>
    <t>Zhu F, Ning Q, Chen Y, Tao XX, Yan WM, Xi D, Yan FM, Hao LJ, Luo XP.</t>
  </si>
  <si>
    <t>Zhonghua Gan Zang Bing Za Zhi. 2004 Jul;12(7):385-8.</t>
  </si>
  <si>
    <t>Creating opportunities for parent empowerment: program effects on the mental health/coping outcomes of critically ill young children and their mothers</t>
  </si>
  <si>
    <t>Melnyk BM, Alpert-Gillis L, Feinstein NF, Crean HF, Johnson J, Fairbanks E, Small L, Rubenstein J, Slota M, Corbo-Richert B.</t>
  </si>
  <si>
    <t>Pediatrics. 2004 Jun;113(6):e597-607. doi: 10.1542/peds.113.6.e597.</t>
  </si>
  <si>
    <t>10.1542/peds.113.6.e597</t>
  </si>
  <si>
    <t>Plasmodium falciparum malaria disease manifestations in humans and transmission to Anopheles gambiae: a field study in Western Kenya</t>
  </si>
  <si>
    <t>Gouagna LC, Ferguson HM, Okech BA, Killeen GF, Kabiru EW, Beier JC, Githure JI, Yan G.</t>
  </si>
  <si>
    <t>Parasitology. 2004 Mar;128(Pt 3):235-43. doi: 10.1017/s003118200300444x.</t>
  </si>
  <si>
    <t>Parasitology</t>
  </si>
  <si>
    <t>10.1017/s003118200300444x</t>
  </si>
  <si>
    <t>Result Number</t>
  </si>
  <si>
    <t>Publication Info</t>
  </si>
  <si>
    <t>PMC ID</t>
  </si>
  <si>
    <t>Alogirthm:</t>
  </si>
  <si>
    <t xml:space="preserve">((("human challenge") OR ("controlled human infection")) AND (trial OR vaccine OR model)) AND ((("adverse events") OR (medical* AND "significant event" OR "significant events"))) 
</t>
  </si>
  <si>
    <t>1:  Vaccines for COVID‐19</t>
  </si>
  <si>
    <t>Clin Exp Immunol. 2020 Nov; 202(2): 162–192.  Published online 2020 Oct 18. doi: 10.1111/cei.13517</t>
  </si>
  <si>
    <t>Database:</t>
  </si>
  <si>
    <t>PubMed Central</t>
  </si>
  <si>
    <t>2:  Human challenge trials in vaccine development</t>
  </si>
  <si>
    <t>Semin Immunol. 2020 Aug; 50: 101429.  Published online 2020 Nov 29. doi: 10.1016/j.smim.2020.101429</t>
  </si>
  <si>
    <t>Date:</t>
  </si>
  <si>
    <t>3:  Vaccines for preventing typhoid fever</t>
  </si>
  <si>
    <t>Cochrane Database Syst Rev. 2018 May; 2018(5): CD001261.  Published online 2018 May 31. doi: 10.1002/14651858.CD001261.pub4</t>
  </si>
  <si>
    <t>N results:</t>
  </si>
  <si>
    <t>4:  Homologous and heterologous re-challenge with Salmonella Typhi and Salmonella Paratyphi A in a randomised controlled human infection model</t>
  </si>
  <si>
    <t>PLoS Negl Trop Dis. 2020 Oct; 14(10): e0008783.  Published online 2020 Oct 20. doi: 10.1371/journal.pntd.0008783</t>
  </si>
  <si>
    <t>5:  Meeting report: Global vaccine and immunization research forum</t>
  </si>
  <si>
    <t>Vaccine. 2019 Dec 10; 37(52): 7519–7526.  Published online 2019 Oct 14. doi: 10.1016/j.vaccine.2019.10.011</t>
  </si>
  <si>
    <t>6:  Efficacy and immunogenicity of a Vi-tetanus toxoid conjugate vaccine in the prevention of typhoid fever using a controlled human infection model of Salmonella Typhi: a randomised controlled</t>
  </si>
  <si>
    <t>Lancet. 2017 Dec 2; 390(10111): 2472–2480.  doi: 10.1016/S0140-6736(17)32149-9</t>
  </si>
  <si>
    <t>7:  Using a Human Challenge Model of Infection to Measure Vaccine Efficacy: A Randomised</t>
  </si>
  <si>
    <t>PLoS Negl Trop Dis. 2016 Aug; 10(8): e0004926.  Published online 2016 Aug 17. doi: 10.1371/journal.pntd.0004926</t>
  </si>
  <si>
    <t>8:  A pneumococcal controlled human infection model in Malawi: Transfer of an established pneumococcal carriage model from Liverpool</t>
  </si>
  <si>
    <t>Version 2. Wellcome Open Res. 2020; 5: 25.  Published online 2020 Apr 14. doi: 10.12688/wellcomeopenres.15689.2</t>
  </si>
  <si>
    <t>9:  Treatment responses to Azithromycin and Ciprofloxacin in uncomplicated Salmonella Typhi infection: A comparison of Clinical and Microbiological Data from a Controlled Human Infection Model</t>
  </si>
  <si>
    <t>PLoS Negl Trop Dis. 2019 Dec; 13(12): e0007955.  Published online 2019 Dec 26. doi: 10.1371/journal.pntd.0007955</t>
  </si>
  <si>
    <t>10:  The immunology of SARS-CoV-2 infections and vaccines</t>
  </si>
  <si>
    <t>Semin Immunol. 2020 Aug; 50: 101422.  doi: 10.1016/j.smim.2020.101422</t>
  </si>
  <si>
    <t>11:  Systems Vaccinology: Enabling rational vaccine design with systems biological approaches</t>
  </si>
  <si>
    <t>Vaccine. Author manuscript; available in PMC 2016 Sep 29.Published in final edited form as: Vaccine. 2015 Sep 29; 33(40): 5294–5301. Published online 2015 Apr 6.  doi: 10.1016/j.vaccine.2015.03.072</t>
  </si>
  <si>
    <t>12:  A guide to vaccinology: from basic principles to new developments</t>
  </si>
  <si>
    <t>Nat Rev Immunol. 2020 Dec 22 : 1–18.  doi: 10.1038/s41577-020-00479-7 [Epub ahead of print]Correction in: Nat Rev Immunol. 2021 Jan 5</t>
  </si>
  <si>
    <t>13:  Why Challenge Trials of SARS‐CoV‐2 Vaccines Could Be Ethical Despite Risk of Severe Adverse Events</t>
  </si>
  <si>
    <t>Ethics Hum Res. 2020 May 22 : 10.1002/eahr.500056.  doi: 10.1002/eahr.500056 [Epub ahead of print]</t>
  </si>
  <si>
    <t>14:  Zika vaccines and therapeutics: landscape analysis and challenges ahead</t>
  </si>
  <si>
    <t>BMC Med. 2018; 16: 84.  Published online 2018 Jun 6. doi: 10.1186/s12916-018-1067-x</t>
  </si>
  <si>
    <t>15:  The potential for a controlled human infection platform in Singapore</t>
  </si>
  <si>
    <t>Singapore Med J. 2014 Sep; 55(9): 456–461.  doi: 10.11622/smedj.2014114</t>
  </si>
  <si>
    <t>16:  Highlights of the 8th International Conference on Vaccines for Enteric Diseases: the Scottish Encounter To Defeat Diarrheal Diseases</t>
  </si>
  <si>
    <t>Clin Vaccine Immunol. 2016 Apr; 23(4): 272–281.  Prepublished online 2016 Mar 2. Published online 2016 Apr 4. doi: 10.1128/CVI.00082-16</t>
  </si>
  <si>
    <t>17:  Schistosomiasis—from immunopathology to vaccines</t>
  </si>
  <si>
    <t>Semin Immunopathol. 2020 Feb 19 : 1–17.  doi: 10.1007/s00281-020-00789-x [Epub ahead of print]Correction in: Semin Immunopathol. 2020 Jun 9; 42(3): 373–374.</t>
  </si>
  <si>
    <t>18:  Pregnant women &amp; vaccines against emerging epidemic threats: Ethics guidance for preparedness</t>
  </si>
  <si>
    <t>Vaccine. 2021 Jan 3; 39(1): 85–120.  doi: 10.1016/j.vaccine.2019.01.011</t>
  </si>
  <si>
    <t>19:  Development of SARS-CoV-2 vaccines: challenges</t>
  </si>
  <si>
    <t>Hum Vaccin Immunother. 2020 : 1–15.  Published online 2020 Dec 3. doi: 10.1080/21645515.2020.1845524</t>
  </si>
  <si>
    <t>20:  Broad cross-national public support for accelerated COVID-19 vaccine trial designs</t>
  </si>
  <si>
    <t>Vaccine. 2021 Jan 8; 39(2): 309–316.  Published online 2020 Dec 14. doi: 10.1016/j.vaccine.2020.11.072</t>
  </si>
  <si>
    <t>21:  Efficacy of Typhoid Conjugate Vaccine in Nepal: An Interim Analysis of a Participant-and Observer-Blinded Randomized Phase III Trial</t>
  </si>
  <si>
    <t>N Engl J Med. Author manuscript; available in PMC 2019 Dec 5.Published in final edited form as: N Engl J Med. 2019 Dec 5; 381(23): 2209–2218. Published online 2019 Dec 5.  doi: 10.1056/NEJMoa1905047</t>
  </si>
  <si>
    <t>22:  Immune correlates of protection for dengue: State of the art and research agenda</t>
  </si>
  <si>
    <t>Vaccine. Author manuscript; available in PMC 2018 Aug 24.Published in final edited form as: Vaccine. 2017 Aug 24; 35(36): 4659–4669. Published online 2017 Jul 28.  doi: 10.1016/j.vaccine.2017.07.045</t>
  </si>
  <si>
    <t>23:  COVID-19 Vaccines: “Warp Speed” Needs Mind Melds</t>
  </si>
  <si>
    <t>J Virol. 2020 Sep; 94(17): e01083-20.  Prepublished online 2020 Jun 26. Published online 2020 Aug 17. doi: 10.1128/JVI.01083-20</t>
  </si>
  <si>
    <t>24:  Zika virus vaccines</t>
  </si>
  <si>
    <t>Nat Rev Microbiol. Author manuscript; available in PMC 2018 Oct 1.Published in final edited form as: Nat Rev Microbiol. 2018 Oct; 16(10): 594–600.  doi: 10.1038/s41579-018-0039-7</t>
  </si>
  <si>
    <t>25:  So much at stake: Ethical tradeoffs in accelerating SARSCoV-2 vaccine development</t>
  </si>
  <si>
    <t>Vaccine. 2020 Sep 22; 38(41): 6381–6387.  Published online 2020 Aug 11. doi: 10.1016/j.vaccine.2020.08.017</t>
  </si>
  <si>
    <t>26:  A framework for Controlled Human Infection Model (CHIM) studies in Malawi: Report of a Wellcome Trust workshop on CHIM in Low Income Countries held in Blantyre</t>
  </si>
  <si>
    <t>Version 1. Wellcome Open Res. 2017; 2: 70.  Published online 2017 Aug 24. doi: 10.12688/wellcomeopenres.12256.1</t>
  </si>
  <si>
    <t>27:  What defines an efficacious COVID-19 vaccine? A review of the challenges assessing the clinical efficacy of vaccines against SARS-CoV-2</t>
  </si>
  <si>
    <t>Lancet Infect Dis. 2021 Feb; 21(2): e26–e35.  Published online 2020 Oct 27. doi: 10.1016/S1473-3099(20)30773-8</t>
  </si>
  <si>
    <t>28:  Adenoviral Vectors as Vaccines for Emerging Avian Influenza Viruses</t>
  </si>
  <si>
    <t>Front Immunol. 2020; 11: 607333.  Published online 2021 Jan 29. doi: 10.3389/fimmu.2020.607333</t>
  </si>
  <si>
    <t>29:  COVID-19 human challenge studies: ethical issues</t>
  </si>
  <si>
    <t>Lancet Infect Dis. 2020 Aug; 20(8): e198–e203.  Published online 2020 May 29. doi: 10.1016/S1473-3099(20)30438-2</t>
  </si>
  <si>
    <t>30:  Progress and Pitfalls in the Quest for Effective SARS-CoV-2 (COVID-19) Vaccines</t>
  </si>
  <si>
    <t>Front Immunol. 2020; 11: 579250.  Published online 2020 Oct 2. doi: 10.3389/fimmu.2020.579250</t>
  </si>
  <si>
    <t>31:  Vaccine formulations in clinical development for the prevention of severe acute respiratory syndrome coronavirus 2 infection</t>
  </si>
  <si>
    <t>Adv Drug Deliv Rev. 2021 Feb; 169: 168–189.  Published online 2020 Dec 13. doi: 10.1016/j.addr.2020.12.006</t>
  </si>
  <si>
    <t>32:  Safety and immunogenicity of a Vi-DT typhoid conjugate vaccine: Phase I trial in Healthy Filipino adults and children</t>
  </si>
  <si>
    <t>Vaccine. 2018 Jun 18; 36(26): 3794–3801.  doi: 10.1016/j.vaccine.2018.05.038</t>
  </si>
  <si>
    <t>33:  Expert voices and equal partnerships: establishing Controlled Human Infection Models (CHIMs) in Vietnam</t>
  </si>
  <si>
    <t>Version 1. Wellcome Open Res. 2019; 4: 143.  Published online 2019 Sep 25. doi: 10.12688/wellcomeopenres.15337.1</t>
  </si>
  <si>
    <t>34:  Technologies to Improve Immunization</t>
  </si>
  <si>
    <t>Plotkin's Vaccines. 2018 : 1320–1353.e17.  Published online 2017 Jul 17. doi: 10.1016/B978-0-323-35761-6.00068-7</t>
  </si>
  <si>
    <t>35:  Typhoidal Salmonella human challenge studies: ethical and practical challenges and considerations for low-resource settings</t>
  </si>
  <si>
    <t>Trials. 2019; 20(Suppl 2): 704.  Published online 2019 Dec 19. doi: 10.1186/s13063-019-3844-z</t>
  </si>
  <si>
    <t>36:  The clinical development process for a novel preventive vaccine: An overview</t>
  </si>
  <si>
    <t>J Postgrad Med. 2016 Jan-Mar; 62(1): 4–11.  doi: 10.4103/0022-3859.173187</t>
  </si>
  <si>
    <t>37:  Investigation of the role of typhoid toxin in acute typhoid fever in a human challenge model</t>
  </si>
  <si>
    <t>Nat Med. 2019; 25(7): 1082–1088.  Published online 2019 Jul 3. doi: 10.1038/s41591-019-0505-4</t>
  </si>
  <si>
    <t>38:  Adjuvanted influenza vaccines</t>
  </si>
  <si>
    <t>Hum Vaccin Immunother. 2018; 14(3): 550–564.  Published online 2018 Jan 25. doi: 10.1080/21645515.2017.1415684</t>
  </si>
  <si>
    <t>39:  A new human challenge model for testing heat-stable toxin-based vaccine candidates for enterotoxigenic Escherichia coli diarrhea – dose optimization</t>
  </si>
  <si>
    <t>PLoS Negl Trop Dis. 2019 Oct; 13(10): e0007823.  Published online 2019 Oct 30. doi: 10.1371/journal.pntd.0007823</t>
  </si>
  <si>
    <t>40:  Designing tuberculosis vaccine efficacy trials – lessons from recent studies</t>
  </si>
  <si>
    <t>Expert Rev Vaccines. 2019; 18(5): 423–432.  Published online 2019 Mar 20. doi: 10.1080/14760584.2019.1593143</t>
  </si>
  <si>
    <t>41:  Protocol for a controlled human infection with genetically modified Neisseria lactamica expressing the meningococcal vaccine antigen NadA: a potent new technique for experimental medicine</t>
  </si>
  <si>
    <t>BMJ Open. 2019; 9(4): e026544.  Published online 2019 May 1. doi: 10.1136/bmjopen-2018-026544</t>
  </si>
  <si>
    <t>42:  SARS-CoV-2 controlled human infection models: Ethics</t>
  </si>
  <si>
    <t>Biologicals. 2020 Sep; 67: 69–74.  doi: 10.1016/j.biologicals.2020.08.006</t>
  </si>
  <si>
    <t>43:  Anti-Flavivirus Vaccines: Review of the Present Situation and Perspectives of Subunit Vaccines Produced in Escherichia coli</t>
  </si>
  <si>
    <t>Vaccines (Basel) 2020 Sep; 8(3): 492.  Published online 2020 Aug 31. doi: 10.3390/vaccines8030492</t>
  </si>
  <si>
    <t>44:  Recent Progress in the Development of Liver Fluke and Blood Fluke Vaccines</t>
  </si>
  <si>
    <t>Vaccines (Basel) 2020 Sep; 8(3): 553.  Published online 2020 Sep 22. doi: 10.3390/vaccines8030553</t>
  </si>
  <si>
    <t>45:  A Review of the Progress and Challenges of Developing a Vaccine for COVID-19</t>
  </si>
  <si>
    <t>Front Immunol. 2020; 11: 585354.  Published online 2020 Oct 14. doi: 10.3389/fimmu.2020.585354</t>
  </si>
  <si>
    <t>46:  Investigating Bordetella pertussis colonisation and immunity: protocol for an inpatient controlled human infection model</t>
  </si>
  <si>
    <t>BMJ Open. 2017; 7(10): e018594.  Published online 2017 Oct 11. doi: 10.1136/bmjopen-2017-018594</t>
  </si>
  <si>
    <t>47:  Tuberculosis Vaccine Development: Progress in Clinical Evaluation</t>
  </si>
  <si>
    <t>Clin Microbiol Rev. 2020 Jan; 33(1): e00100-19.  Published online 2019 Oct 30. doi: 10.1128/CMR.00100-19</t>
  </si>
  <si>
    <t>48:  Key criteria for the ethical acceptability of COVID-19 human challenge studies: Report of a WHO Working Group</t>
  </si>
  <si>
    <t>Vaccine. 2021 Jan 22; 39(4): 633–640.  doi: 10.1016/j.vaccine.2020.10.075</t>
  </si>
  <si>
    <t>49:  Current Challenges in Vaccinology</t>
  </si>
  <si>
    <t>Front Immunol. 2020; 11: 1181.  Published online 2020 Jun 25. doi: 10.3389/fimmu.2020.01181</t>
  </si>
  <si>
    <t>50:  A review of malaria vaccine clinical projects based on the WHO rainbow table</t>
  </si>
  <si>
    <t>Malar J. 2012; 11: 11.  Published online 2012 Jan 9. doi: 10.1186/1475-2875-11-11</t>
  </si>
  <si>
    <t>51:  Cytomegalovirus Vaccines: Current Status and Future Prospects</t>
  </si>
  <si>
    <t>Drugs. Author manuscript; available in PMC 2017 Nov 1.Published in final edited form as: Drugs. 2016 Nov; 76(17): 1625–1645.  doi: 10.1007/s40265-016-0653-5</t>
  </si>
  <si>
    <t>52:  Regulation and Testing of Vaccines</t>
  </si>
  <si>
    <t>Plotkin's Vaccines. 2018 : 1547–1565.e2.  Published online 2017 Jul 17. doi: 10.1016/B978-0-323-35761-6.00079-1</t>
  </si>
  <si>
    <t>53:  SARS-CoV-2 immunity: review and applications to phase 3 vaccine candidates</t>
  </si>
  <si>
    <t>Lancet. 2020 14-20 November; 396(10262): 1595–1606.  Published online 2020 Oct 13. doi: 10.1016/S0140-6736(20)32137-1</t>
  </si>
  <si>
    <t>54:  New Kids on the Block: RNA-Based Influenza Virus Vaccines</t>
  </si>
  <si>
    <t>Vaccines (Basel) 2018 Jun; 6(2): 20.  Published online 2018 Apr 1. doi: 10.3390/vaccines6020020</t>
  </si>
  <si>
    <t>55:  The Future of Flu: A Review of the Human Challenge Model and Systems Biology for Advancement of Influenza Vaccinology</t>
  </si>
  <si>
    <t>Front Cell Infect Microbiol. 2019; 9: 107.  Published online 2019 Apr 17. doi: 10.3389/fcimb.2019.00107</t>
  </si>
  <si>
    <t>56:  Consensus Report on Shigella Controlled Human Infection Model: Conduct of Studies</t>
  </si>
  <si>
    <t>Clin Infect Dis. 2019 Dec 15; 69(Suppl 8): S580–S590.  Published online 2019 Dec 9. doi: 10.1093/cid/ciz892</t>
  </si>
  <si>
    <t>57:  Vaccine Adjuvants: from 1920 to 2015 and Beyond</t>
  </si>
  <si>
    <t>Vaccines (Basel) 2015 Jun; 3(2): 320–343.  Published online 2015 Apr 16. doi: 10.3390/vaccines3020320</t>
  </si>
  <si>
    <t>58:  Challenges of Developing Novel Vaccines With Particular Global Health Importance</t>
  </si>
  <si>
    <t>Front Immunol. 2020; 11: 517290.  Published online 2020 Oct 14. doi: 10.3389/fimmu.2020.517290</t>
  </si>
  <si>
    <t>59:  Classical and novel strategies to develop a Shigella glycoconjugate vaccine: from concept to efficacy in human</t>
  </si>
  <si>
    <t>Hum Vaccin Immunother. 2019; 15(6): 1338–1356.  Published online 2019 Jul 10. doi: 10.1080/21645515.2019.1606972</t>
  </si>
  <si>
    <t>60:  A Decade in Review: A Systematic Review of Universal Influenza Vaccines in Clinical Trials during the 2010 Decade</t>
  </si>
  <si>
    <t>Viruses. 2020 Oct; 12(10): 1186.  Published online 2020 Oct 20. doi: 10.3390/v12101186</t>
  </si>
  <si>
    <t>61:  Safety and immunogenicity of an oral tablet norovirus vaccine</t>
  </si>
  <si>
    <t>JCI Insight. 2018 Jul 12; 3(13): e121077.  Published online 2018 Jul 12. doi: 10.1172/jci.insight.121077</t>
  </si>
  <si>
    <t>62:  Understanding paratyphoid infection: study protocol for the development of a human model of Salmonella enterica serovar Paratyphi A challenge in healthy adult volunteers</t>
  </si>
  <si>
    <t>BMJ Open. 2015; 5(6): e007481.  Published online 2015 Jun 16. doi: 10.1136/bmjopen-2014-007481</t>
  </si>
  <si>
    <t>63:  Overview of the Typhoid Conjugate Vaccine Pipeline: Current Status and Future Plans</t>
  </si>
  <si>
    <t>Clin Infect Dis. 2019 Feb 15; 68(Suppl 1): S22–S26.  Published online 2019 Feb 15. doi: 10.1093/cid/ciy884</t>
  </si>
  <si>
    <t>64:  Vaccines for viral and bacterial pathogens causing acute gastroenteritis: Part I: Overview</t>
  </si>
  <si>
    <t>Hum Vaccin Immunother. 2015 Mar; 11(3): 584–600.  Published online 2015 Feb 25. doi: 10.1080/21645515.2015.1011019</t>
  </si>
  <si>
    <t>65:  Vaccines to Prevent Infectious Diseases in the Older Population: Immunological Challenges and Future Perspectives</t>
  </si>
  <si>
    <t>Front Immunol. 2020; 11: 717.  Published online 2020 Apr 23. doi: 10.3389/fimmu.2020.00717</t>
  </si>
  <si>
    <t>66:  Development and Regulation of Novel Influenza Virus Vaccines: A United States Young Scientist Perspective</t>
  </si>
  <si>
    <t>Vaccines (Basel) 2018 Jun; 6(2): 24.  Published online 2018 Apr 27. doi: 10.3390/vaccines6020024</t>
  </si>
  <si>
    <t>67:  Payment in challenge studies: ethics</t>
  </si>
  <si>
    <t>J Med Ethics. 2020 Dec; 46(12): 815–826.  Published online 2020 Sep 25. doi: 10.1136/medethics-2020-106438</t>
  </si>
  <si>
    <t>68:  Review on the Recent Advances on Typhoid Vaccine Development and Challenges Ahead</t>
  </si>
  <si>
    <t>Clin Infect Dis. 2020 Aug 15; 71(Suppl 2): S141–S150.  Published online 2020 Jul 29. doi: 10.1093/cid/ciaa504</t>
  </si>
  <si>
    <t>69:  Zika Vaccine Development: Current Status</t>
  </si>
  <si>
    <t>Mayo Clin Proc. 2019 Dec; 94(12): 2572–2586.  Published online 2019 Dec 2. doi: 10.1016/j.mayocp.2019.05.016</t>
  </si>
  <si>
    <t>70:  Public perceptions on Controlled Human Infection Model (CHIM) studies—a qualitative pilot study from South India</t>
  </si>
  <si>
    <t>Monash Bioeth Rev. 2020 Oct 21 : 1–26.  doi: 10.1007/s40592-020-00121-1 [Epub ahead of print]</t>
  </si>
  <si>
    <t>71:  Sustainable vaccine development: a vaccine manufacturer's perspective</t>
  </si>
  <si>
    <t>Curr Opin Immunol. 2018 Aug; 53: 111–118.  Published online 2018 May 8. doi: 10.1016/j.coi.2018.04.019</t>
  </si>
  <si>
    <t>72:  The Application of Single-Cell RNA Sequencing in Vaccinology</t>
  </si>
  <si>
    <t>J Immunol Res. 2020; 2020: 8624963.  Published online 2020 Aug 6. doi: 10.1155/2020/8624963</t>
  </si>
  <si>
    <t>73:  COVID-19 Vaccines: A Race Against Time in the Middle of Death and Devastation!</t>
  </si>
  <si>
    <t>J Clin Exp Hepatol. 2020 Nov-Dec; 10(6): 610–621.  Published online 2020 Jun 10. doi: 10.1016/j.jceh.2020.06.003</t>
  </si>
  <si>
    <t>74:  Determining the validity of hospital laboratory reference intervals for healthy young adults participating in early clinical trials of candidate vaccines</t>
  </si>
  <si>
    <t>Hum Vaccin Immunother. 2013 Aug 1; 9(8): 1741–1751.  Published online 2013 Jun 3. doi: 10.4161/hv.24998</t>
  </si>
  <si>
    <t>75:  SARS-CoV-2 Vaccine Development: Current Status</t>
  </si>
  <si>
    <t>Mayo Clin Proc. 2020 Oct; 95(10): 2172–2188.  Published online 2020 Jul 30. doi: 10.1016/j.mayocp.2020.07.021</t>
  </si>
  <si>
    <t>76:  Dengue vaccines: recent developments</t>
  </si>
  <si>
    <t>Expert Rev Vaccines. Author manuscript; available in PMC 2014 Aug 1.Published in final edited form as: Expert Rev Vaccines. 2013 Aug; 12(8): 933–953.  doi: 10.1586/14760584.2013.815412</t>
  </si>
  <si>
    <t>77:  Two decades of vaccine innovations for global public good: Report of the Developing Countries’ Vaccine Manufacturers Network 20th meeting</t>
  </si>
  <si>
    <t>Vaccine. 2020 Aug 10; 38(36): 5851–5860.  doi: 10.1016/j.vaccine.2020.05.062</t>
  </si>
  <si>
    <t>78:  Immunogenicity of chimeric haemagglutinin-based</t>
  </si>
  <si>
    <t>Lancet Infect Dis. 2019; 20(1): 80–91.  Published online 2019 Oct 17. doi: 10.1016/S1473-3099(19)30393-7</t>
  </si>
  <si>
    <t>79:  Testing SARS-CoV-2 vaccine efficacy through deliberate natural viral exposure</t>
  </si>
  <si>
    <t>Clin Microbiol Infect. 2021 Mar; 27(3): 372–377.  Published online 2021 Jan 6. doi: 10.1016/j.cmi.2020.12.032</t>
  </si>
  <si>
    <t>80:  The Emergency Response Capacity of Plant-Based Biopharmaceutical Manufacturing-What It Is and What It Could Be</t>
  </si>
  <si>
    <t>Front Plant Sci. 2020; 11: 594019.  Published online 2020 Oct 20. doi: 10.3389/fpls.2020.594019</t>
  </si>
  <si>
    <t>81:  Experimental Infection of Human Volunteers with the Heat-Stable Enterotoxin-Producing Enterotoxigenic Escherichia coli Strain TW11681</t>
  </si>
  <si>
    <t>Pathogens. 2019 Jun; 8(2): 84.  Published online 2019 Jun 22. doi: 10.3390/pathogens8020084</t>
  </si>
  <si>
    <t>82:  Whither COVID-19 vaccines?</t>
  </si>
  <si>
    <t>Nat Biotechnol. 2020 Sep 28 : 1–14.  doi: 10.1038/s41587-020-0697-7 [Epub ahead of print]</t>
  </si>
  <si>
    <t>83:  Establishment of a Shigella sonnei human challenge model in Thailand</t>
  </si>
  <si>
    <t>Vaccine. Author manuscript; available in PMC 2013 Nov 19.Published in final edited form as: Vaccine. 2012 Nov 19; 30(49): 7040–7045. Published online 2012 Oct 12.  doi: 10.1016/j.vaccine.2012.09.061</t>
  </si>
  <si>
    <t>84:  COVID‐19 vaccine research and development: ethical issues</t>
  </si>
  <si>
    <t>Trop Med Int Health. 2020 Oct 19 : 10.1111/tmi.13503.  doi: 10.1111/tmi.13503 [Epub ahead of print]</t>
  </si>
  <si>
    <t>85:  Opinion: For now</t>
  </si>
  <si>
    <t>Proc Natl Acad Sci U S A. 2020 Nov 17; 117(46): 28538–28542.  Published online 2020 Oct 29. doi: 10.1073/pnas.2021189117</t>
  </si>
  <si>
    <t>86:  Chimpanzee adenovirus and MVA-vectored respiratory syncytial virus vaccine is safe and expands humoral and cellular immunity in adults</t>
  </si>
  <si>
    <t>Sci Transl Med. Author manuscript; available in PMC 2016 Feb 12.Published in final edited form as: Sci Transl Med. 2015 Aug 12; 7(300): 300ra126.  doi: 10.1126/scitranslmed.aac5745</t>
  </si>
  <si>
    <t>87:  The Power of Malaria Vaccine Trials Using Controlled Human Malaria Infection</t>
  </si>
  <si>
    <t>PLoS Comput Biol. 2017 Jan; 13(1): e1005255.  Published online 2017 Jan 12. doi: 10.1371/journal.pcbi.1005255</t>
  </si>
  <si>
    <t>88:  In a randomized trial</t>
  </si>
  <si>
    <t>PLoS Negl Trop Dis. 2017 May; 11(5): e0005584.  Published online 2017 May 8. doi: 10.1371/journal.pntd.0005584</t>
  </si>
  <si>
    <t>89:  Successful Vaccines</t>
  </si>
  <si>
    <t>Curr Top Microbiol Immunol. Author manuscript; available in PMC 2020 Jan 26.Published in final edited form as: Curr Top Microbiol Immunol. 2020; 428: 1–30.  doi: 10.1007/82_2018_102</t>
  </si>
  <si>
    <t>90:  The potential of anti‐infectives and immunomodulators as therapies for asthma and asthma exacerbations</t>
  </si>
  <si>
    <t>Allergy. 2018 Jan; 73(1): 50–63.  Published online 2017 Aug 10. doi: 10.1111/all.13257</t>
  </si>
  <si>
    <t>91:  Transforming vaccine development</t>
  </si>
  <si>
    <t>Semin Immunol. 2020 Aug; 50: 101413.  Published online 2020 Oct 28. doi: 10.1016/j.smim.2020.101413</t>
  </si>
  <si>
    <t>92:  Key recent advances in TB vaccine development and understanding of protective immune responses against Mycobacterium tuberculosis</t>
  </si>
  <si>
    <t>Semin Immunol. 2020 Aug; 50: 101431.  doi: 10.1016/j.smim.2020.101431</t>
  </si>
  <si>
    <t>93:  DNA vaccines against COVID-19: Perspectives and challenges</t>
  </si>
  <si>
    <t>Life Sci. 2021 Feb 15; 267: 118919.  Published online 2020 Dec 19. doi: 10.1016/j.lfs.2020.118919</t>
  </si>
  <si>
    <t>94:  Glycoconjugate vaccines against Salmonella enterica serovars and Shigella species: existing and emerging methods for their analysis</t>
  </si>
  <si>
    <t>Biophys Rev. 2021 Apr 10 : 1–26.  doi: 10.1007/s12551-021-00791-z [Epub ahead of print]</t>
  </si>
  <si>
    <t>95:  Vaccinology in the era of high-throughput biology</t>
  </si>
  <si>
    <t>Philos Trans R Soc Lond B Biol Sci. 2015 Jun 19; 370(1671): 20140146.  doi: 10.1098/rstb.2014.0146</t>
  </si>
  <si>
    <t>96:  Live attenuated enterotoxigenic Escherichia coli (ETEC) vaccine with dmLT adjuvant protects human volunteers against virulent experimental ETEC challenge</t>
  </si>
  <si>
    <t>Vaccine. 2019 Mar 28; 37(14): 1978–1986.  doi: 10.1016/j.vaccine.2019.02.025</t>
  </si>
  <si>
    <t>97:  Typhoid Vaccine Acceleration Consortium Malawi: A Phase III</t>
  </si>
  <si>
    <t>Clin Infect Dis. 2019 Mar 15; 68(Suppl 2): S50–S58.  Published online 2019 Mar 7. doi: 10.1093/cid/ciy1103</t>
  </si>
  <si>
    <t>98:  Money-oriented risk-takers or deliberate decision-makers: a cross-sectional survey study of participants in controlled human infection trials</t>
  </si>
  <si>
    <t>BMJ Open. 2020; 10(7): e033796.  Published online 2020 Jul 26. doi: 10.1136/bmjopen-2019-033796</t>
  </si>
  <si>
    <t>99:  The Long Road Toward COVID-19 Herd Immunity: Vaccine Platform Technologies and Mass Immunization Strategies</t>
  </si>
  <si>
    <t>Front Immunol. 2020; 11: 1817.  Published online 2020 Jul 21. doi: 10.3389/fimmu.2020.01817</t>
  </si>
  <si>
    <t>100:  When could human challenge trials be deployed to combat emerging infectious diseases? Lessons from the case of a Zika virus human challenge trial</t>
  </si>
  <si>
    <t>Trials. 2019; 20(Suppl 2): 702.  Published online 2019 Dec 19. doi: 10.1186/s13063-019-3843-0</t>
  </si>
  <si>
    <t>101:  A COVID‐19 human viral challenge model. Learning from experience</t>
  </si>
  <si>
    <t>Influenza Other Respir Viruses. 2020 Nov; 14(6): 747–756.  Published online 2020 Aug 12. doi: 10.1111/irv.12797</t>
  </si>
  <si>
    <t>102:  Randomized</t>
  </si>
  <si>
    <t>Hum Vaccin Immunother. 2013 Dec 1; 9(12): 2548–2557.  Published online 2013 Aug 17. doi: 10.4161/hv.26038</t>
  </si>
  <si>
    <t>103:  From discovery to licensure</t>
  </si>
  <si>
    <t>Hum Vaccin Immunother. 2017 Jan; 13(1): 19–33.  Published online 2016 Sep 16. doi: 10.1080/21645515.2016.1225635</t>
  </si>
  <si>
    <t>104:  Development of Vaccines for Chikungunya Fever</t>
  </si>
  <si>
    <t>J Infect Dis. 2016 Dec 15; 214(Suppl 5): S488–S496.  Published online 2016 Dec 5. doi: 10.1093/infdis/jiw271</t>
  </si>
  <si>
    <t>105:  Anti-dengue Vaccines: From Development to Clinical Trials</t>
  </si>
  <si>
    <t>Front Immunol. 2020; 11: 1252.  Published online 2020 Jun 18. doi: 10.3389/fimmu.2020.01252</t>
  </si>
  <si>
    <t>106:  Challenges of Making Effective Influenza Vaccines</t>
  </si>
  <si>
    <t>Annu Rev Virol. Author manuscript; available in PMC 2020 Oct 2.Published in final edited form as: Annu Rev Virol. 2020 Sep 29; 7(1): 495–512. Published online 2020 May 11.  doi: 10.1146/annurev-virology-010320-044746</t>
  </si>
  <si>
    <t>107:  Clinical Development Strategies and Considerations for Zika Vaccine Licensure</t>
  </si>
  <si>
    <t>J Infect Dis. 2017 Dec 15; 216(Suppl 10): S964–S970.  Published online 2017 Dec 16. doi: 10.1093/infdis/jix433</t>
  </si>
  <si>
    <t>108:  Why Is Eradicating Typhoid Fever So Challenging: Implications for Vaccine and Therapeutic Design</t>
  </si>
  <si>
    <t>Vaccines (Basel) 2018 Sep; 6(3): 45.  Published online 2018 Jul 24. doi: 10.3390/vaccines6030045</t>
  </si>
  <si>
    <t>109:  SARS-CoV-2: Virology</t>
  </si>
  <si>
    <t>Biologicals. 2020 Jul; 66: 35–40.  Published online 2020 Jun 23. doi: 10.1016/j.biologicals.2020.06.005</t>
  </si>
  <si>
    <t>110:  The human viral challenge model: accelerating the evaluation of respiratory antivirals</t>
  </si>
  <si>
    <t>Respir Res. 2018; 19: 123.  Published online 2018 Jun 22. doi: 10.1186/s12931-018-0784-1</t>
  </si>
  <si>
    <t>111:  Zika virus vaccine: Progresses and challenges</t>
  </si>
  <si>
    <t>Cell Host Microbe. Author manuscript; available in PMC 2019 Jul 11.Published in final edited form as: Cell Host Microbe. 2018 Jul 11; 24(1): 12–17. Published online 2018 Jun 28.  doi: 10.1016/j.chom.2018.05.021</t>
  </si>
  <si>
    <t>112:  The need &amp; the issues related to new-generation typhoid conjugate vaccines in India</t>
  </si>
  <si>
    <t>Indian J Med Res. 2020 Jan; 151(1): 22–34.  doi: 10.4103/ijmr.IJMR_1890_17</t>
  </si>
  <si>
    <t>113:  Back to WHAT? The role of research ethics in pandemic times</t>
  </si>
  <si>
    <t>Med Health Care Philos. 2021; 24(1): 3–20.  Published online 2020 Nov 3. doi: 10.1007/s11019-020-09984-x</t>
  </si>
  <si>
    <t>114:  The Unexpected Impact of Vaccines on Secondary Bacterial Infections Following Influenza</t>
  </si>
  <si>
    <t>Viral Immunol. 2018 Mar 1; 31(2): 159–173.  Published online 2018 Mar 1. doi: 10.1089/vim.2017.0138</t>
  </si>
  <si>
    <t>115:  Accelerating Influenza Research: Vaccines</t>
  </si>
  <si>
    <t>PLoS One. 2016; 11(1): e0145902.  Published online 2016 Jan 13. doi: 10.1371/journal.pone.0145902Correction in: PLoS One. 2016; 11(6): e0157211.</t>
  </si>
  <si>
    <t>116:  Prioritizing second-generation SARS-CoV-2 vaccines through low-dosage challenge studies</t>
  </si>
  <si>
    <t>Int J Infect Dis. 2021 Apr; 105: 307–311.  Published online 2021 Feb 13. doi: 10.1016/j.ijid.2021.02.038</t>
  </si>
  <si>
    <t>117:  Comparison of Clinical and Parasitological Data from Controlled Human Malaria Infection Trials</t>
  </si>
  <si>
    <t>PLoS One. 2012; 7(6): e38434.  Published online 2012 Jun 11. doi: 10.1371/journal.pone.0038434</t>
  </si>
  <si>
    <t>118:  Rapid Responses to 2 Virus-Like Particle Norovirus Vaccine Candidate Formulations in Healthy Adults: A Randomized Controlled Trial</t>
  </si>
  <si>
    <t>J Infect Dis. 2016 Sep 15; 214(6): 845–853.  Published online 2016 Jun 28. doi: 10.1093/infdis/jiw259</t>
  </si>
  <si>
    <t>119:  Refinement of the CS6-expressing enterotoxigenic Escherichia coli strain B7A human challenge model: A randomized trial</t>
  </si>
  <si>
    <t>PLoS One. 2020; 15(12): e0239888.  Published online 2020 Dec 2. doi: 10.1371/journal.pone.0239888</t>
  </si>
  <si>
    <t>120:  Risk assessment for the implementation of controlled human Schistosoma mansoni infection trials in Uganda</t>
  </si>
  <si>
    <t>Version 2. AAS Open Res. 2019; 2: 17.  Published online 2019 Aug 13. doi: 10.12688/aasopenres.12972.2</t>
  </si>
  <si>
    <t>121:  The Effects of Pre-Existing Antibodies on Live-Attenuated Viral Vaccines</t>
  </si>
  <si>
    <t>Viruses. 2020 May; 12(5): 520.  Published online 2020 May 8. doi: 10.3390/v12050520</t>
  </si>
  <si>
    <t>122:  Safety and Immunogenicity of Single-Dose Live Oral Cholera Vaccine Strain CVD 103-HgR</t>
  </si>
  <si>
    <t>Clin Vaccine Immunol. 2014 Jan; 21(1): 66–73.  doi: 10.1128/CVI.00601-13</t>
  </si>
  <si>
    <t>123:  Assessing the Impact of a Vi-polysaccharide Conjugate Vaccine in Preventing Typhoid Infections Among Nepalese Children: A Protocol for a Phase III</t>
  </si>
  <si>
    <t>Clin Infect Dis. 2019 Mar 15; 68(Suppl 2): S67–S73.  Published online 2019 Mar 7. doi: 10.1093/cid/ciy1106</t>
  </si>
  <si>
    <t>124:  Demonstration of the Blood-Stage Plasmodium falciparum Controlled Human Malaria Infection Model to Assess Efficacy of the P. falciparum Apical Membrane Antigen 1 Vaccine</t>
  </si>
  <si>
    <t>J Infect Dis. 2016 Jun 1; 213(11): 1743–1751.  Published online 2016 Feb 4. doi: 10.1093/infdis/jiw039Correction in: J Infect Dis. 2016 Sep 15; 214(6): 978.</t>
  </si>
  <si>
    <t>125:  Ethical considerations in Controlled Human Malaria Infection studies in low resource settings: Experiences and perceptions of study participants in a malaria Challenge study in Kenya</t>
  </si>
  <si>
    <t>Version 2. Wellcome Open Res. 2018; 3: 39.  Published online 2018 Oct 29. doi: 10.12688/wellcomeopenres.14439.2</t>
  </si>
  <si>
    <t>126:  COVID-19 vaccine challenges: What have we learned so far and what remains to be done?</t>
  </si>
  <si>
    <t>Health Policy. 2021 Mar 26  doi: 10.1016/j.healthpol.2021.03.013 [Epub ahead of print]</t>
  </si>
  <si>
    <t>127:  Refining the approach to vaccines against influenza A viruses with pandemic potential</t>
  </si>
  <si>
    <t>Future Virol. Author manuscript; available in PMC 2015 Nov 17.Published in final edited form as: Future Virol. 2015; 10(9): 1033–1047.  doi: 10.2217/fvl.15.69</t>
  </si>
  <si>
    <t>128:  Vaccination Strategies against Zika virus</t>
  </si>
  <si>
    <t>Curr Opin Virol. Author manuscript; available in PMC 2018 Apr 19.Published in final edited form as: Curr Opin Virol. 2017 Apr; 23: 59–67. Published online 2017 Apr 19.  doi: 10.1016/j.coviro.2017.03.006</t>
  </si>
  <si>
    <t>129:  Vaccines Against Respiratory Syncytial Virus: The Time Has Finally Come</t>
  </si>
  <si>
    <t>Vaccine. Author manuscript; available in PMC 2017 Jun 24.Published in final edited form as: Vaccine. 2016 Jun 24; 34(30): 3535–3541. Published online 2016 May 13.  doi: 10.1016/j.vaccine.2016.04.083</t>
  </si>
  <si>
    <t>130:  Traditional and New Influenza Vaccines</t>
  </si>
  <si>
    <t>Clin Microbiol Rev. 2013 Jul; 26(3): 476–492.  doi: 10.1128/CMR.00097-12</t>
  </si>
  <si>
    <t>131:  Zika Vaccine Development—Current Progress and Challenges for the Future</t>
  </si>
  <si>
    <t>Trop Med Infect Dis. 2019 Sep; 4(3): 104.  Published online 2019 Jul 14. doi: 10.3390/tropicalmed4030104</t>
  </si>
  <si>
    <t>132:  Safety and Immunogenicity of Different Formulations of Norovirus Vaccine Candidate in Healthy Adults: A Randomized</t>
  </si>
  <si>
    <t>J Infect Dis. 2018 Feb 15; 217(4): 597–607.  Published online 2017 Nov 13. doi: 10.1093/infdis/jix572</t>
  </si>
  <si>
    <t>133:  Navigating the Quagmire: Comparison and Interpretation of COVID-19 Vaccine Phase 1/2 Clinical Trials</t>
  </si>
  <si>
    <t>Vaccines (Basel) 2020 Dec; 8(4): 746.  Published online 2020 Dec 9. doi: 10.3390/vaccines8040746</t>
  </si>
  <si>
    <t>134:  NAction! How Can Neuraminidase-Based Immunity Contribute to Better Influenza Virus Vaccines?</t>
  </si>
  <si>
    <t>mBio. 2018 Mar-Apr; 9(2): e02332-17.  Published online 2018 Apr 3. doi: 10.1128/mBio.02332-17</t>
  </si>
  <si>
    <t>135:  Vaccine- and natural infection-induced mechanisms that could modulate vaccine safety</t>
  </si>
  <si>
    <t>Toxicol Rep. 2020; 7: 1448–1458.  Published online 2020 Oct 22. doi: 10.1016/j.toxrep.2020.10.016</t>
  </si>
  <si>
    <t>136:  Safety and immunogenicity of co-administration of meningococcal type A and measles–rubella vaccines with typhoid conjugate vaccine in children aged 15–23 months in Burkina Faso</t>
  </si>
  <si>
    <t>Int J Infect Dis. 2021 Jan; 102: 517–523.  doi: 10.1016/j.ijid.2020.10.103</t>
  </si>
  <si>
    <t>137:  Prospects for a Zika Virus Vaccine</t>
  </si>
  <si>
    <t>Immunity. Author manuscript; available in PMC 2018 Feb 21.Published in final edited form as: Immunity. 2017 Feb 21; 46(2): 176–182.  doi: 10.1016/j.immuni.2017.02.005</t>
  </si>
  <si>
    <t>138:  Summit proceedings: Biomedical countermeasure development for emerging vector-borne viral diseases</t>
  </si>
  <si>
    <t>Vaccine. 2019 Oct 8; 37(43): 6248–6254.  Published online 2019 Sep 6. doi: 10.1016/j.vaccine.2019.08.061</t>
  </si>
  <si>
    <t>139:  Assessing the Impact of a Vi-polysaccharide Conjugate Vaccine in Preventing Typhoid Infection Among Bangladeshi Children: A Protocol for a Phase IIIb Trial</t>
  </si>
  <si>
    <t>Clin Infect Dis. 2019 Mar 15; 68(Suppl 2): S74–S82.  Published online 2019 Mar 7. doi: 10.1093/cid/ciy1107</t>
  </si>
  <si>
    <t>140:  The Oral</t>
  </si>
  <si>
    <t>Clin Vaccine Immunol. 2012 Dec; 19(12): 1921–1931.  doi: 10.1128/CVI.00364-12</t>
  </si>
  <si>
    <t>141:  A Combination Vaccine Consisting of Three Live Attenuated Enterotoxigenic Escherichia coli Strains Expressing a Range of Colonization Factors and Heat-Labile Toxin Subunit B Is Well Tolerated and Immunogenic in a Placebo-Controlled Double-Blind Phase I Trial in Healthy Adults</t>
  </si>
  <si>
    <t>Clin Vaccine Immunol. 2011 Dec; 18(12): 2118–2127.  doi: 10.1128/CVI.05342-11</t>
  </si>
  <si>
    <t>142:  Why continuing uncertainties are no reason to postpone challenge trials for coronavirus vaccines</t>
  </si>
  <si>
    <t>J Med Ethics. 2020 Dec; 46(12): 808–812.  Published online 2020 Jul 13. doi: 10.1136/medethics-2020-106501</t>
  </si>
  <si>
    <t>143:  Therapeutics and Immunoprophylaxis Against Noroviruses and Rotaviruses: The Past</t>
  </si>
  <si>
    <t>Curr Drug Metab. 2018 Mar; 19(3): 170–191.  Published online 2018 Mar. doi: 10.2174/1389200218666170912161449</t>
  </si>
  <si>
    <t>144:  Respiratory Virus Vaccines</t>
  </si>
  <si>
    <t>Mucosal Immunology. 2015 : 1129–1170.  Published online 2015 Mar 13. doi: 10.1016/B978-0-12-415847-4.00059-8</t>
  </si>
  <si>
    <t>145:  New Points of Departure for More Global Influenza Vaccine Use</t>
  </si>
  <si>
    <t>Vaccines (Basel) 2020 Sep; 8(3): 410.  Published online 2020 Jul 23. doi: 10.3390/vaccines8030410</t>
  </si>
  <si>
    <t>146:  Perspectives on Advances in Tuberculosis Diagnostics</t>
  </si>
  <si>
    <t>Clin Infect Dis. 2015 Oct 15; 61(Suppl 3): S102–S118.  Published online 2015 Sep 16. doi: 10.1093/cid/civ609</t>
  </si>
  <si>
    <t>147:  A randomized feasibility trial comparing four antimalarial drug regimens to induce Plasmodium falciparum gametocytemia in the controlled human malaria infection model</t>
  </si>
  <si>
    <t>eLife. 2018; 7: e31549.  Published online 2018 Feb 27. doi: 10.7554/eLife.31549</t>
  </si>
  <si>
    <t>148:  Refinement of a Human Challenge Model for Evaluation of Enterotoxigenic Escherichia coli Vaccines</t>
  </si>
  <si>
    <t>Clin Vaccine Immunol. 2011 Oct; 18(10): 1719–1727.  doi: 10.1128/CVI.05194-11</t>
  </si>
  <si>
    <t>149:  An overview of VaxchoraTM</t>
  </si>
  <si>
    <t>Hum Vaccin Immunother. 2020; 16(1): 42–50.  Published online 2019 Sep 20. doi: 10.1080/21645515.2019.1644882</t>
  </si>
  <si>
    <t>150:  A review of the changes to the licensing of influenza vaccines in Europe</t>
  </si>
  <si>
    <t>Influenza Other Respir Viruses. 2016 Jan; 10(1): 2–8.  Published online 2015 Dec 11. doi: 10.1111/irv.12351</t>
  </si>
  <si>
    <t>151:  Vaccines in the United States: a systematic review on history of evolution</t>
  </si>
  <si>
    <t>Clin Exp Vaccine Res. 2020 Jul; 9(2): 69–75.  Published online 2020 Jul 31. doi: 10.7774/cevr.2020.9.2.69</t>
  </si>
  <si>
    <t>152:  Production and Clinical Evaluation of Norwalk GI.1 Virus Lot 001-09NV in Norovirus Vaccine Development</t>
  </si>
  <si>
    <t>J Infect Dis. 2020 Mar 15; 221(6): 919–926.  Published online 2019 Oct 20. doi: 10.1093/infdis/jiz540</t>
  </si>
  <si>
    <t>153:  A Phase 1b Randomized</t>
  </si>
  <si>
    <t>PLoS One. 2013; 8(11): e78679.  Published online 2013 Nov 11. doi: 10.1371/journal.pone.0078679</t>
  </si>
  <si>
    <t>154:  Pneumococcal conjugate vaccine 13 delivered as one primary and one booster dose (1 + 1) compared with two primary doses and a booster (2 + 1) in UK infants: a multicentre</t>
  </si>
  <si>
    <t>Lancet Infect Dis. 2018 Feb; 18(2): 171–179.  doi: 10.1016/S1473-3099(17)30654-0</t>
  </si>
  <si>
    <t>155:  A phase 1 randomized safety</t>
  </si>
  <si>
    <t>PLoS Negl Trop Dis. 2020 Jan; 14(1): e0007912.  Published online 2020 Jan 6. doi: 10.1371/journal.pntd.0007912</t>
  </si>
  <si>
    <t>156:  Evaluation of the Safety</t>
  </si>
  <si>
    <t>Clin Vaccine Immunol. 2016 Apr; 23(4): 315–325.  Prepublished online 2016 Feb 10. Published online 2016 Apr 4. doi: 10.1128/CVI.00608-15</t>
  </si>
  <si>
    <t>157:  Current Understanding of Immunity Against Schistosomiasis: Impact on Vaccine and Drug Development</t>
  </si>
  <si>
    <t>Res Rep Trop Med. 2020; 11: 119–128.  Published online 2020 Nov 2. doi: 10.2147/RRTM.S274518</t>
  </si>
  <si>
    <t>158:  Development of Peptide Vaccines in Dengue</t>
  </si>
  <si>
    <t>Curr Pharm Des. 2018 Mar; 24(11): 1157–1173.  Published online 2018 Mar. doi: 10.2174/1381612823666170913163904</t>
  </si>
  <si>
    <t>159:  Optimising T cell (re)boosting strategies for adenoviral and modified vaccinia Ankara vaccine regimens in humans</t>
  </si>
  <si>
    <t>NPJ Vaccines. 2020; 5: 94.  Published online 2020 Oct 12. doi: 10.1038/s41541-020-00240-0</t>
  </si>
  <si>
    <t>160:  Stakeholder views on the acceptability of human infection studies in Malawi</t>
  </si>
  <si>
    <t>BMC Med Ethics. 2020; 21: 14.  Published online 2020 Feb 5. doi: 10.1186/s12910-020-0454-y</t>
  </si>
  <si>
    <t>161:  On-demand biomanufacturing of protective conjugate vaccines</t>
  </si>
  <si>
    <t>Sci Adv. 2021 Feb; 7(6): eabe9444.  Published online 2021 Feb 3. doi: 10.1126/sciadv.abe9444</t>
  </si>
  <si>
    <t>162:  Pertussis Toxin: A Key Component in Pertussis Vaccines?</t>
  </si>
  <si>
    <t>Toxins (Basel) 2019 Oct; 11(10): 557.  Published online 2019 Sep 21. doi: 10.3390/toxins11100557</t>
  </si>
  <si>
    <t>163:  A phase I trial of WRSS1</t>
  </si>
  <si>
    <t>Hum Vaccin Immunother. 2019; 15(6): 1326–1337.  Published online 2019 Mar 19. doi: 10.1080/21645515.2019.1575165</t>
  </si>
  <si>
    <t>164:  Will Systems Biology Deliver Its Promise and Contribute to the Development of New or Improved Vaccines?: Seeing the Forest Rather than a Few Trees</t>
  </si>
  <si>
    <t>Cold Spring Harb Perspect Biol. 2018 Aug; 10(8): a028886.  doi: 10.1101/cshperspect.a028886</t>
  </si>
  <si>
    <t>165:  Symptoms associated with influenza vaccination and experimental human pneumococcal colonisation of the nasopharynx</t>
  </si>
  <si>
    <t>Vaccine. 2020 Feb 28; 38(10): 2298–2306.  doi: 10.1016/j.vaccine.2020.01.070</t>
  </si>
  <si>
    <t>166:  Adverse events following immunization with typhoid conjugate vaccine in an outbreak setting in Hyderabad</t>
  </si>
  <si>
    <t>Vaccine. 2020 Apr 23; 38(19): 3518–3523.  doi: 10.1016/j.vaccine.2020.03.028</t>
  </si>
  <si>
    <t>167:  Memory T Cells in Flavivirus Vaccination</t>
  </si>
  <si>
    <t>Vaccines (Basel) 2018 Dec; 6(4): 73.  Published online 2018 Oct 18. doi: 10.3390/vaccines6040073</t>
  </si>
  <si>
    <t>168:  Controlled Human Infection Models: Is it Really Feasible to Give People Tuberculosis?</t>
  </si>
  <si>
    <t>Am J Respir Crit Care Med. 2020 May 15; 201(10): 1180–1181.  Published online 2020 May 15. doi: 10.1164/rccm.201912-2408ED</t>
  </si>
  <si>
    <t>169:  Assessment of the Protective Effect of Imvamune and Acam2000 Vaccines against Aerosolized Monkeypox Virus in Cynomolgus Macaques</t>
  </si>
  <si>
    <t>J Virol. 2013 Jul; 87(14): 7805–7815.  doi: 10.1128/JVI.03481-12</t>
  </si>
  <si>
    <t>170:  A third generation vaccine for human visceral leishmaniasis and post kala azar dermal leishmaniasis: First-in-human trial of ChAd63-KH</t>
  </si>
  <si>
    <t>PLoS Negl Trop Dis. 2017 May; 11(5): e0005527.  Published online 2017 May 12. doi: 10.1371/journal.pntd.0005527</t>
  </si>
  <si>
    <t>171:  Progress on norovirus vaccine research: public health considerations and future directions</t>
  </si>
  <si>
    <t>Expert Rev Vaccines. Author manuscript; available in PMC 2019 Sep 1.Published in final edited form as: Expert Rev Vaccines. 2018 Sep; 17(9): 773–784. Published online 2018 Aug 27.  doi: 10.1080/14760584.2018.1510327</t>
  </si>
  <si>
    <t>172:  Mosquito Saliva: The Hope for a Universal Arbovirus Vaccine?</t>
  </si>
  <si>
    <t>J Infect Dis. 2018 Jul 1; 218(1): 7–15.  Published online 2018 Mar 29. doi: 10.1093/infdis/jiy179</t>
  </si>
  <si>
    <t>173:  Altered Response to A(H1N1)pnd09 Vaccination in Pregnant Women: A Single Blinded Randomized Controlled Trial</t>
  </si>
  <si>
    <t>PLoS One. 2013; 8(4): e56700.  Published online 2013 Apr 18. doi: 10.1371/journal.pone.0056700</t>
  </si>
  <si>
    <t>174:  Alternative vaccine delivery methods</t>
  </si>
  <si>
    <t>Vaccines. 2013 : 1200–1231.  Published online 2012 Nov 7. doi: 10.1016/B978-1-4557-0090-5.00063-X</t>
  </si>
  <si>
    <t>175:  Safety and Immunogenicity of a Candidate Bioconjugate Vaccine against Shigella flexneri 2a Administered to Healthy Adults: a Single-Blind</t>
  </si>
  <si>
    <t>Clin Vaccine Immunol. 2016 Dec; 23(12): 908–917.  Prepublished online 2016 Aug 31. Published online 2016 Dec 5. doi: 10.1128/CVI.00224-16</t>
  </si>
  <si>
    <t>176:  Regulation and testing of vaccines</t>
  </si>
  <si>
    <t>Vaccines. 2013 : 1427–1446.  Published online 2012 Nov 7. doi: 10.1016/B978-1-4557-0090-5.00073-2</t>
  </si>
  <si>
    <t>177:  From Immunologically Archaic to Neoteric Glycovaccines</t>
  </si>
  <si>
    <t>Vaccines (Basel) 2017 Mar; 5(1): 4.  Published online 2017 Jan 27. doi: 10.3390/vaccines5010004</t>
  </si>
  <si>
    <t>178:  Progress and Challenges Associated with the Development of Ricin Toxin Subunit Vaccines</t>
  </si>
  <si>
    <t>Expert Rev Vaccines. Author manuscript; available in PMC 2017 Sep 1.Published in final edited form as: Expert Rev Vaccines. 2016 Sep; 15(9): 1213–1222. Published online 2016 Apr 6.  doi: 10.1586/14760584.2016.1168701</t>
  </si>
  <si>
    <t>179:  Norovirus Vaccine Against Experimental Human GII.4 Virus Illness: A Challenge Study in Healthy Adults</t>
  </si>
  <si>
    <t>J Infect Dis. 2015 Mar 15; 211(6): 870–878.  Published online 2014 Sep 9. doi: 10.1093/infdis/jiu497</t>
  </si>
  <si>
    <t>180:  Adaptive immunity to SARS-CoV-2 and COVID-19</t>
  </si>
  <si>
    <t>Cell. 2021 Feb 18; 184(4): 861–880.  Published online 2021 Jan 12. doi: 10.1016/j.cell.2021.01.007</t>
  </si>
  <si>
    <t>181:  Is It Possible to Develop a “Universal” Influenza Virus Vaccine?: Potential Target Antigens and Critical Aspects for a Universal Influenza Vaccine</t>
  </si>
  <si>
    <t>Cold Spring Harb Perspect Biol. 2018 Jul; 10(7): a028845.  doi: 10.1101/cshperspect.a028845</t>
  </si>
  <si>
    <t>182:  Virology</t>
  </si>
  <si>
    <t>Biologicals. 2021 Jan; 69: 76–82.  doi: 10.1016/j.biologicals.2020.11.003</t>
  </si>
  <si>
    <t>183:  Challenges and Opportunities for Respiratory Syncytial Virus Vaccines</t>
  </si>
  <si>
    <t>Challenges and Opportunities for Respiratory Syncytial Virus Vaccines. 2013; 372: 391–404.  Published online 2013 May 24. doi: 10.1007/978-3-642-38919-1_20</t>
  </si>
  <si>
    <t>184:  Biological Challenges and Technological Opportunities for Respiratory Syncytial Virus Vaccine Development</t>
  </si>
  <si>
    <t>Immunol Rev. Author manuscript; available in PMC 2012 Jan 1.Published in final edited form as: Immunol Rev. 2011 Jan; 239(1): 149–166.  doi: 10.1111/j.1600-065X.2010.00972.x</t>
  </si>
  <si>
    <t>185:  Oral delivery of Hyperimmune bovine serum antibodies against CS6-expressing enterotoxigenic Escherichia coli as a prophylactic against diarrhea</t>
  </si>
  <si>
    <t>Gut Microbes. 2020; 12(1): 1732852.  Published online 2020 Mar 13. doi: 10.1080/19490976.2020.1732852</t>
  </si>
  <si>
    <t>186:  Vaccine-mediated protection against Campylobacter-associated enteric disease</t>
  </si>
  <si>
    <t>Sci Adv. 2020 Jun; 6(26): eaba4511.  Published online 2020 Jun 24. doi: 10.1126/sciadv.aba4511</t>
  </si>
  <si>
    <t>187:  Evaluation of the Efficacy of ChAd63-MVA Vectored Vaccines Expressing Circumsporozoite Protein and ME-TRAP Against Controlled Human Malaria Infection in Malaria-Naive Individuals</t>
  </si>
  <si>
    <t>J Infect Dis. 2015 Apr 1; 211(7): 1076–1086.  Published online 2014 Oct 21. doi: 10.1093/infdis/jiu579</t>
  </si>
  <si>
    <t>188:  A novel Vi-diphtheria toxoid typhoid conjugate vaccine is safe and can induce immunogenicity in healthy Indonesian children 2–11 years: a phase II preliminary report</t>
  </si>
  <si>
    <t>BMC Pediatr. 2020; 20: 480.  Published online 2020 Oct 15. doi: 10.1186/s12887-020-02375-4</t>
  </si>
  <si>
    <t>189:  Ethical challenges posed by human infection challenge studies in endemic settings</t>
  </si>
  <si>
    <t>Indian J Med Ethics. Author manuscript; available in PMC 2019 Oct 9.Published in final edited form as: Indian J Med Ethics. 2018 Oct 1; 3(4): 263–266. Published online 2018 Sep 18.  doi: 10.20529/IJME.2018.073</t>
  </si>
  <si>
    <t>190:  Impact of lower challenge doses of enterotoxigenic Escherichia coli on clinical outcome</t>
  </si>
  <si>
    <t>PLoS Negl Trop Dis. 2018 Apr; 12(4): e0006442.  Published online 2018 Apr 27. doi: 10.1371/journal.pntd.0006442</t>
  </si>
  <si>
    <t>191:  Controlled Human Infection With Bordetella pertussis Induces Asymptomatic</t>
  </si>
  <si>
    <t>Clin Infect Dis. 2020 Jul 15; 71(2): 403–411.  Published online 2019 Sep 28. doi: 10.1093/cid/ciz840</t>
  </si>
  <si>
    <t>192:  Immunogenicity and safety of a quadrivalent plant-derived virus like particle influenza vaccine candidate—Two randomized Phase II clinical trials in 18 to 49 and ≥50 years old adults</t>
  </si>
  <si>
    <t>PLoS One. 2019; 14(6): e0216533.  Published online 2019 Jun 5. doi: 10.1371/journal.pone.0216533</t>
  </si>
  <si>
    <t>193:  Novel vaccination approaches to prevent tuberculosis in children</t>
  </si>
  <si>
    <t>Pneumonia (Nathan) 2016; 8: 18.  Published online 2016 Nov 24. doi: 10.1186/s41479-016-0020-z</t>
  </si>
  <si>
    <t>194:  Adjuvanted Intranasal Norwalk Virus-Like Particle Vaccine Elicits Antibodies and Antibody-Secreting Cells That Express Homing Receptors for Mucosal and Peripheral Lymphoid Tissues</t>
  </si>
  <si>
    <t>J Infect Dis. 2010 Dec 1; 202(11): 1649–1658.  doi: 10.1086/657087Correction in: J Infect Dis. 2011 Apr 1; 203(7): 1036.</t>
  </si>
  <si>
    <t>195:  The science and medicine of human immunology</t>
  </si>
  <si>
    <t>Science. Author manuscript; available in PMC 2021 Mar 25.Published in final edited form as: Science. 2020 Sep 25; 369(6511): eaay4014.  doi: 10.1126/science.aay4014</t>
  </si>
  <si>
    <t>196:  Engagement of ethics and regulatory authorities on human infection studies: Proceedings of an engagement workshop in Zambia</t>
  </si>
  <si>
    <t>Version 1. Wellcome Open Res. 2021; 6: 31.  Published online 2021 Feb 12. doi: 10.12688/wellcomeopenres.16432.1</t>
  </si>
  <si>
    <t>197:  Dengue Human Infection Model Performance Parameters</t>
  </si>
  <si>
    <t>J Infect Dis. 2014 Jun 15; 209(Suppl 2): S56–S60.  doi: 10.1093/infdis/jiu112</t>
  </si>
  <si>
    <t>198:  Clinical Trial of an Oral Live Shigella sonnei Vaccine Candidate</t>
  </si>
  <si>
    <t>Clin Vaccine Immunol. 2016 Jul; 23(7): 564–575.  Prepublished online 2016 May 4. Published online 2016 Jul 5. doi: 10.1128/CVI.00665-15</t>
  </si>
  <si>
    <t>199:  Safety and Immunogenicity of Escalating Dosages of a Single Oral Administration of Peru-15 pCTB</t>
  </si>
  <si>
    <t>Clin Vaccine Immunol. 2015 Jan; 22(1): 129–135.  Prepublished online 2014 Nov 19. Published online 2014 Dec 30. doi: 10.1128/CVI.00560-14</t>
  </si>
  <si>
    <t>200:  The Value of Human Challenges in Severe Acute Respiratory Syndrome Coronavirus 2 Vaccine Development</t>
  </si>
  <si>
    <t>Clin Infect Dis. 2020 Jul 16 : ciaa1013.  Published online 2020 Jul 16. doi: 10.1093/cid/ciaa1013</t>
  </si>
  <si>
    <t>201:  Evaluation of a Human BCG Challenge Model to Assess Antimycobacterial Immunity Induced by BCG and a Candidate Tuberculosis Vaccine</t>
  </si>
  <si>
    <t>J Infect Dis. 2014 Apr 15; 209(8): 1259–1268.  Published online 2013 Nov 23. doi: 10.1093/infdis/jit647</t>
  </si>
  <si>
    <t>202:  Phase 1 Trial of the Plasmodium falciparum Blood Stage Vaccine MSP142-C1/Alhydrogel with and without CPG 7909 in Malaria Naïve Adults</t>
  </si>
  <si>
    <t>PLoS One. 2010; 5(1): e8787.  Published online 2010 Jan 22. doi: 10.1371/journal.pone.0008787</t>
  </si>
  <si>
    <t>203:  Serologic Markers of Previous Malaria Exposure and Functional Antibodies Inhibiting Parasite Growth Are Associated With Parasite Kinetics Following a Plasmodium falciparum Controlled Human Infection</t>
  </si>
  <si>
    <t>Clin Infect Dis. 2020 Jun 15; 70(12): 2544–2552.  Published online 2019 Aug 12. doi: 10.1093/cid/ciz740Correction in: Clin Infect Dis. 2020 Jan 15; 70(2): 359.</t>
  </si>
  <si>
    <t>204:  Dengue: a growing threat requiring vaccine development for disease prevention</t>
  </si>
  <si>
    <t>Pathog Glob Health. 2018 Sep; 112(6): 294–305.  Published online 2018 Sep 14. doi: 10.1080/20477724.2018.1514136</t>
  </si>
  <si>
    <t>205:  Cholera: Immunity and Prospects in Vaccine Development</t>
  </si>
  <si>
    <t>J Infect Dis. 2018 Nov 15; 218(Suppl 3): S141–S146.  Published online 2018 Sep 1. doi: 10.1093/infdis/jiy414</t>
  </si>
  <si>
    <t>206:  Phase II</t>
  </si>
  <si>
    <t>Influenza Other Respir Viruses. 2015 Mar; 9(2): 68–77.  Published online 2015 Feb 5. doi: 10.1111/irv.12295</t>
  </si>
  <si>
    <t>207:  Immunogenicity and Protective Efficacy of Radiation-Attenuated and Chemo-Attenuated PfSPZ Vaccines in Equatoguinean Adults</t>
  </si>
  <si>
    <t>Am J Trop Med Hyg. 2021 Jan; 104(1): 283–293.  Published online 2020 Nov 16. doi: 10.4269/ajtmh.20-0435</t>
  </si>
  <si>
    <t>208:  Position Paper on Road Map for RNA Virus Research in India</t>
  </si>
  <si>
    <t>Front Microbiol. 2018; 9: 1753.  Published online 2018 Jul 31. doi: 10.3389/fmicb.2018.01753</t>
  </si>
  <si>
    <t>209:  Future vaccinations in pregnancy</t>
  </si>
  <si>
    <t>Best Pract Res Clin Obstet Gynaecol. 2021 Mar 24  doi: 10.1016/j.bpobgyn.2021.03.009 [Epub ahead of print]</t>
  </si>
  <si>
    <t>210:  A Randomized Trial Evaluating the Prophylactic Activity of DSM265 Against Preerythrocytic Plasmodium falciparum Infection During Controlled Human Malarial Infection by Mosquito Bites and Direct Venous Inoculation</t>
  </si>
  <si>
    <t>J Infect Dis. 2018 Mar 1; 217(5): 693–702.  Published online 2017 Dec 5. doi: 10.1093/infdis/jix613Correction in: J Infect Dis. 2018 Aug 1; 218(3): 508.</t>
  </si>
  <si>
    <t>211:  Efficacy of FLU-v</t>
  </si>
  <si>
    <t>NPJ Vaccines. 2020; 5: 22.  Published online 2020 Mar 13. doi: 10.1038/s41541-020-0174-9</t>
  </si>
  <si>
    <t>212:  Experimental infection of healthy volunteers with enterotoxigenic Escherichia coliwild-type strain TW10598 in a hospital ward</t>
  </si>
  <si>
    <t>BMC Infect Dis. 2014; 14: 482.  Published online 2014 Sep 4. doi: 10.1186/1471-2334-14-482</t>
  </si>
  <si>
    <t>213:  Vaccines Meet Big Data: State-of-the-Art and Future Prospects. From the Classical 3Is (“Isolate–Inactivate–Inject”) Vaccinology 1.0 to Vaccinology 3.0</t>
  </si>
  <si>
    <t>Front Public Health. 2018; 6: 62.  Published online 2018 Mar 5. doi: 10.3389/fpubh.2018.00062</t>
  </si>
  <si>
    <t>214:  Characterisation of a wild-type influenza (A/H1N1) virus strain as an experimental challenge agent in humans</t>
  </si>
  <si>
    <t>Virol J. 2015; 12: 13.  Published online 2015 Feb 3. doi: 10.1186/s12985-015-0240-5</t>
  </si>
  <si>
    <t>215:  When Can One Vaccinate with a Live Vaccine after Wild-Type Dengue Infection?</t>
  </si>
  <si>
    <t>Vaccines (Basel) 2020 Jun; 8(2): 174.  Published online 2020 Apr 9. doi: 10.3390/vaccines8020174</t>
  </si>
  <si>
    <t>216:  Virus-like Particle Vaccines for Norovirus Gastroenteritis</t>
  </si>
  <si>
    <t>Molecular Vaccines. 2013 Jun 10 : 153–181.  Published online 2013 Jun 10. doi: 10.1007/978-3-7091-1419-3_8</t>
  </si>
  <si>
    <t>217:  The Live Attenuated Cholera Vaccine CVD 103-HgR Primes Responses to the Toxin-Coregulated Pilus Antigen TcpA in Subjects Challenged with Wild-Type Vibrio cholerae</t>
  </si>
  <si>
    <t>Clin Vaccine Immunol. 2017 Jan; 24(1): e00470-16.  Prepublished online 2016 Nov 9. Published online 2017 Jan 5. doi: 10.1128/CVI.00470-16</t>
  </si>
  <si>
    <t>218:  Developing new smallpox vaccines.</t>
  </si>
  <si>
    <t>Emerg Infect Dis. 2001 Nov-Dec; 7(6): 920–926.  doi: 10.3201/eid0706.010602</t>
  </si>
  <si>
    <t>219:  An Intranasal Proteosome-Adjuvanted Trivalent Influenza Vaccine Is Safe</t>
  </si>
  <si>
    <t>PLoS One. 2016; 11(12): e0163089.  Published online 2016 Dec 22. doi: 10.1371/journal.pone.0163089</t>
  </si>
  <si>
    <t>220:  Safety and Comparability of Controlled Human Plasmodium falciparum Infection by Mosquito Bite in Malaria-Naïve Subjects at a New Facility for Sporozoite Challenge</t>
  </si>
  <si>
    <t>PLoS One. 2014; 9(11): e109654.  Published online 2014 Nov 18. doi: 10.1371/journal.pone.0109654</t>
  </si>
  <si>
    <t>221:  Pulmonary MTBVAC vaccination induces immune signatures previously correlated with prevention of tuberculosis infection</t>
  </si>
  <si>
    <t>Cell Rep Med. 2021 Jan 19; 2(1): 100187.  Published online 2021 Jan 19. doi: 10.1016/j.xcrm.2020.100187</t>
  </si>
  <si>
    <t>222:  Recent advances in molecular medicine techniques for the diagnosis</t>
  </si>
  <si>
    <t>Eur J Clin Microbiol Infect Dis. 2013; 32(6): 723–728.  Published online 2013 Jan 22. doi: 10.1007/s10096-013-1813-0</t>
  </si>
  <si>
    <t>223:  T Cell Responses to Viral Infections – Opportunities for Peptide Vaccination</t>
  </si>
  <si>
    <t>Front Immunol. 2014; 5: 171.  Prepublished online 2014 Feb 27. Published online 2014 Apr 16. doi: 10.3389/fimmu.2014.00171</t>
  </si>
  <si>
    <t>224:  Lactobacillus GG as an Immune Adjuvant for Live Attenuated Influenza Vaccine in Healthy Adults: A Randomized Double Blind Placebo Controlled Trial</t>
  </si>
  <si>
    <t>Eur J Clin Nutr. Author manuscript; available in PMC 2011 Oct 1.Published in final edited form as: Eur J Clin Nutr. 2011 Apr; 65(4): 501–507. Published online 2011 Feb 2.  doi: 10.1038/ejcn.2010.289</t>
  </si>
  <si>
    <t>225:  Two Studies Evaluating the Safety and Immunogenicity of a Live</t>
  </si>
  <si>
    <t>Infect Immun. 2004 Feb; 72(2): 923–930.  doi: 10.1128/IAI.72.2.923-930.2004</t>
  </si>
  <si>
    <t>226:  Minimal transmission in an influenza A (H3N2) human challenge-transmission model within a controlled exposure environment</t>
  </si>
  <si>
    <t>PLoS Pathog. 2020 Jul; 16(7): e1008704.  Published online 2020 Jul 13. doi: 10.1371/journal.ppat.1008704</t>
  </si>
  <si>
    <t>227:  B cell Responses to H5 influenza HA in Human Subjects Vaccinated with a Drifted Variant</t>
  </si>
  <si>
    <t>Vaccine. Author manuscript; available in PMC 2011 Jan 22.Published in final edited form as: Vaccine. 2010 Jan 22; 28(4): 907. Published online 2009 Nov 21.  doi: 10.1016/j.vaccine.2009.11.002</t>
  </si>
  <si>
    <t>228:  Controlled Human Infection and Rechallenge with Streptococcus pneumoniae Reveals the Protective Efficacy of Carriage in Healthy Adults</t>
  </si>
  <si>
    <t>Am J Respir Crit Care Med. 2013 Apr 15; 187(8): 855–864.  Published online 2013 Apr 15. doi: 10.1164/rccm.201212-2277OCCorrection in: Am J Respir Crit Care Med</t>
  </si>
  <si>
    <t>229:  Prevention and treatment of respiratory viral infections: Presentations on antivirals</t>
  </si>
  <si>
    <t>Antiviral Res. 2018 Jan; 149: 118–142.  Published online 2017 Nov 21. doi: 10.1016/j.antiviral.2017.11.013</t>
  </si>
  <si>
    <t>230:  A Randomised</t>
  </si>
  <si>
    <t>PLoS Med. 2004 Nov; 1(2): e33.  Published online 2004 Oct 26. doi: 10.1371/journal.pmed.0010033</t>
  </si>
  <si>
    <t>231:  The 44th Annual Meeting of the European Society for Blood and Marrow Transplantation: Physicians Poster Sessions</t>
  </si>
  <si>
    <t>Bone Marrow Transplant. 2019; 53(Suppl 1): 145–805.  Published online 2018 Nov 19. doi: 10.1038/s41409-018-0354-7</t>
  </si>
  <si>
    <t>232:  Licensed Dengue Vaccine: Public Health Conundrum and Scientific Challenge</t>
  </si>
  <si>
    <t>Am J Trop Med Hyg. 2016 Oct 5; 95(4): 741–745.  doi: 10.4269/ajtmh.16-0222</t>
  </si>
  <si>
    <t>233:  Live Attenuated Tetravalent Dengue Virus Host Range Vaccine Is Immunogenic in African Green Monkeys following a Single Vaccination</t>
  </si>
  <si>
    <t>J Virol. 2014 Jun; 88(12): 6729–6742.  doi: 10.1128/JVI.00541-14</t>
  </si>
  <si>
    <t>234:  Optimization of a Human Bacille Calmette-Guérin Challenge Model: A Tool to Evaluate Antimycobacterial Immunity</t>
  </si>
  <si>
    <t>J Infect Dis. 2016 Mar 1; 213(5): 824–830.  Published online 2015 Oct 8. doi: 10.1093/infdis/jiv482</t>
  </si>
  <si>
    <t>235:  New developments in anti-malarial target candidate and product profiles</t>
  </si>
  <si>
    <t>Malar J. 2017; 16: 26.  Published online 2017 Jan 13. doi: 10.1186/s12936-016-1675-xCorrection in: Malar J. 2017; 16: 151.</t>
  </si>
  <si>
    <t>236:  Evaluation of In Vitro Cross-Reactivity to Avian H5N1 and Pandemic H1N1 2009 Influenza Following Prime Boost Regimens of Seasonal Influenza Vaccination in Healthy Human Subjects: A Randomised Trial</t>
  </si>
  <si>
    <t>PLoS One. 2013; 8(3): e59674.  Published online 2013 Mar 26. doi: 10.1371/journal.pone.0059674</t>
  </si>
  <si>
    <t>237:  Which Dengue Vaccine Approach Is the Most Promising</t>
  </si>
  <si>
    <t>Cold Spring Harb Perspect Biol. 2018 Jun; 10(6): a030700.  doi: 10.1101/cshperspect.a030700</t>
  </si>
  <si>
    <t>238:  Update on current views and advances on RSV infection (Review)</t>
  </si>
  <si>
    <t>Int J Mol Med. 2020 Aug; 46(2): 509–520.  Published online 2020 Jun 15. doi: 10.3892/ijmm.2020.4641</t>
  </si>
  <si>
    <t>239:  Caregivers' Willingness to Accept Expedited Vaccine Research During the COVID-19 Pandemic: A Cross-sectional Survey</t>
  </si>
  <si>
    <t>Clin Ther. 2020 Nov; 42(11): 2124–2133.  Published online 2020 Oct 3. doi: 10.1016/j.clinthera.2020.09.012</t>
  </si>
  <si>
    <t>240:  Antigens for pre-erythrocytic malaria vaccines: building on success</t>
  </si>
  <si>
    <t>Parasite Immunol. Author manuscript; available in PMC 2014 Jul 28.Published in final edited form as: Parasite Immunol. 2009 Sep; 31(9): 539–546.  doi: 10.1111/j.1365-3024.2009.01139.x</t>
  </si>
  <si>
    <t>241:  Epidemiological and Economic Effects of Priming With the Whole-Cell Bordetella pertussis Vaccine</t>
  </si>
  <si>
    <t>JAMA Pediatr. Author manuscript; available in PMC 2019 Nov 18.Published in final edited form as: JAMA Pediatr. 2016 May 1; 170(5): 459–465.  doi: 10.1001/jamapediatrics.2016.0047</t>
  </si>
  <si>
    <t>242:  New paths for sustainable solutions to tackle global and emerging infectious threats</t>
  </si>
  <si>
    <t>Biologicals. 2020 May; 65: 42–45.  Published online 2020 Apr 20. doi: 10.1016/j.biologicals.2020.04.003</t>
  </si>
  <si>
    <t>243:  Linking Murine and Human Plasmodium falciparum Challenge Models in a Translational Path for Antimalarial Drug Development</t>
  </si>
  <si>
    <t>Antimicrob Agents Chemother. 2016 Jun; 60(6): 3669–3675.  Prepublished online 2016 Apr 4. Published online 2016 May 23. doi: 10.1128/AAC.02883-15</t>
  </si>
  <si>
    <t>244:  Characterization of the pathophysiological determinants of diarrheagenic Escherichia coli infection using a challenge model in healthy adults</t>
  </si>
  <si>
    <t>Sci Rep. 2021; 11: 6060.  Published online 2021 Mar 15. doi: 10.1038/s41598-021-85161-1</t>
  </si>
  <si>
    <t>245:  Immune correlates of protection against influenza: challenges for licensure of seasonal and pandemic influenza vaccines</t>
  </si>
  <si>
    <t>Influenza Other Respir Viruses. 2011 Jul; 5(4): 288–295.  Published online 2011 Mar 21. doi: 10.1111/j.1750-2659.2011.00242.x</t>
  </si>
  <si>
    <t>246:  The promise of mRNA vaccines: a biotech and industrial perspective</t>
  </si>
  <si>
    <t>NPJ Vaccines. 2020; 5: 11.  Published online 2020 Feb 4. doi: 10.1038/s41541-020-0159-8</t>
  </si>
  <si>
    <t>247:  Next Generation Influenza Vaccines: Looking into the Crystal Ball</t>
  </si>
  <si>
    <t>Vaccines (Basel) 2020 Sep; 8(3): 464.  Published online 2020 Aug 21. doi: 10.3390/vaccines8030464</t>
  </si>
  <si>
    <t>248:  Serologic Tools and Strategies to Support Intervention Trials to Combat Zika Virus Infection and Disease</t>
  </si>
  <si>
    <t>Trop Med Infect Dis. 2019 Jun; 4(2): 68.  Published online 2019 Apr 19. doi: 10.3390/tropicalmed4020068</t>
  </si>
  <si>
    <t>249:  Early Insights From Clinical Trials of Typhoid Conjugate Vaccine</t>
  </si>
  <si>
    <t>Clin Infect Dis. 2020 Aug 15; 71(Suppl 2): S155–S159.  Published online 2020 Jul 29. doi: 10.1093/cid/ciaa370</t>
  </si>
  <si>
    <t>250:  Safety and Immunogenicity of a Proteosome-Shigella flexneri 2a Lipopolysaccharide Vaccine Administered Intranasally to Healthy Adults</t>
  </si>
  <si>
    <t>Infect Immun. 2001 Jul; 69(7): 4545–4553.  doi: 10.1128/IAI.69.7.4545-4553.2001</t>
  </si>
  <si>
    <t>251:  2748. Single Intranasal (IN) Dose of M2SR (M2-Deficient Single Replication) Live Influenza Vaccine Protects Adults Against Subsequent Challenge with a Substantially Drifted H3N2 Strain</t>
  </si>
  <si>
    <t>Open Forum Infect Dis. 2019 Oct; 6(Suppl 2): S967–S968.  Published online 2019 Oct 23. doi: 10.1093/ofid/ofz360.2425</t>
  </si>
  <si>
    <t>252:  Influenza antivirals currently in late‐phase clinical trial</t>
  </si>
  <si>
    <t>Influenza Other Respir Viruses. 2017 May; 11(3): 240–246.  Published online 2017 Feb 28. doi: 10.1111/irv.12446</t>
  </si>
  <si>
    <t>253:  Interest in COVID-19 vaccine trials participation among young adults in China: Willingness</t>
  </si>
  <si>
    <t>Version 1. medRxiv. Preprint. 2020 Jul 14. doi: 10.1101/2020.07.13.20152678</t>
  </si>
  <si>
    <t>254:  Retrospective Analysis of Pneumonic Tularemia in Operation Whitecoat Human Subjects: Disease Progression and Tetracycline Efficacy</t>
  </si>
  <si>
    <t>Front Med (Lausanne) 2019; 6: 229.  Published online 2019 Oct 22. doi: 10.3389/fmed.2019.00229</t>
  </si>
  <si>
    <t>255:  Microneedle and mucosal delivery of influenza vaccines</t>
  </si>
  <si>
    <t>Expert Rev Vaccines. Author manuscript; available in PMC 2017 Aug 14.Published in final edited form as: Expert Rev Vaccines. 2012 May; 11(5): 547–560.  doi: 10.1586/erv.12.25</t>
  </si>
  <si>
    <t>256:  Vaccines against Tuberculosis: Where Are We and Where Do We Need to Go?</t>
  </si>
  <si>
    <t>PLoS Pathog. 2012 May; 8(5): e1002607.  Published online 2012 May 10. doi: 10.1371/journal.ppat.1002607</t>
  </si>
  <si>
    <t>257:  Controlled Human Malaria Infection: Applications</t>
  </si>
  <si>
    <t>Infect Immun. 2018 Jan; 86(1): e00479-17.  Prepublished online 2017 Sep 18. Published online 2017 Dec 19. doi: 10.1128/IAI.00479-17</t>
  </si>
  <si>
    <t>258:  The Ethics of Deliberate Exposure to SARS‐CoV‐2 to Induce Immunity</t>
  </si>
  <si>
    <t>J Appl Philos. 2021 Feb 8 : 10.1111/japp.12492.  doi: 10.1111/japp.12492 [Epub ahead of print]</t>
  </si>
  <si>
    <t>259:  Successful Human Infection with P. falciparum Using Three Aseptic Anopheles stephensi Mosquitoes: A New Model for Controlled Human Malaria Infection</t>
  </si>
  <si>
    <t>PLoS One. 2013; 8(7): e68969.  Published online 2013 Jul 16. doi: 10.1371/journal.pone.0068969</t>
  </si>
  <si>
    <t>260:  Vibrio cholerae: lessons for mucosal vaccine design</t>
  </si>
  <si>
    <t>Expert Rev Vaccines. Author manuscript; available in PMC 2011 Nov 1.Published in final edited form as: Expert Rev Vaccines. 2011 Jan; 10(1): 79–94.  doi: 10.1586/erv.10.150</t>
  </si>
  <si>
    <t>261:  Preclinical Evaluation of a Replication-Deficient Intranasal ΔNS1 H5N1 Influenza Vaccine</t>
  </si>
  <si>
    <t>PLoS One. 2009; 4(6): e5984.  Published online 2009 Jun 19. doi: 10.1371/journal.pone.0005984</t>
  </si>
  <si>
    <t>262:  Direct venous inoculation of Plasmodium falciparum sporozoites for controlled human malaria infection: a dose-finding trial in two centres</t>
  </si>
  <si>
    <t>Malar J. 2015; 14: 117.  Published online 2015 Mar 18. doi: 10.1186/s12936-015-0628-0</t>
  </si>
  <si>
    <t>263:  Controlled Human Malaria Infection in Semi-Immune Kenyan Adults (CHMI-SIKA): a study protocol to investigate in vivo Plasmodium falciparum malaria parasite growth in the context of pre-existing immunity</t>
  </si>
  <si>
    <t>Version 2. Wellcome Open Res. 2018; 3: 155.  Published online 2019 Nov 14. doi: 10.12688/wellcomeopenres.14909.2</t>
  </si>
  <si>
    <t>264:  Intestinal Immune Responses to Type 2 Oral Polio Vaccine (OPV) Challenge in Infants Previously Immunized With Bivalent OPV and Either High-Dose or Standard Inactivated Polio Vaccine</t>
  </si>
  <si>
    <t>J Infect Dis. 2018 Feb 1; 217(3): 371–380.  Published online 2018 Jan 3. doi: 10.1093/infdis/jix556</t>
  </si>
  <si>
    <t>265:  Beyond Blood Smears: Qualification of Plasmodium 18S rRNA as a Biomarker for Controlled Human Malaria Infections</t>
  </si>
  <si>
    <t>Am J Trop Med Hyg. 2019 Jun; 100(6): 1466–1476.  Published online 2019 Apr 22. doi: 10.4269/ajtmh.19-0094</t>
  </si>
  <si>
    <t>266:  Vaccination against Shigellosis with Attenuated Shigella flexneri 2a Strain SC602</t>
  </si>
  <si>
    <t>Infect Immun. 1999 Jul; 67(7): 3437–3443.</t>
  </si>
  <si>
    <t>267:  A Phase 2</t>
  </si>
  <si>
    <t>Clin Infect Dis. 2020 Dec 1; 71(11): 2777–2786.  Published online 2019 Dec 3. doi: 10.1093/cid/ciz1166</t>
  </si>
  <si>
    <t>268:  Plasmodium falciparum Malaria Challenge by the Bite of Aseptic Anopheles stephensi Mosquitoes: Results of a Randomized Infectivity Trial</t>
  </si>
  <si>
    <t>PLoS One. 2010; 5(10): e13490.  Published online 2010 Oct 21. doi: 10.1371/journal.pone.0013490</t>
  </si>
  <si>
    <t>269:  Recent advances in understanding dengue</t>
  </si>
  <si>
    <t>Version 1. F1000Res. 2019; 8: F1000 Faculty Rev-1279.  Published online 2019 Jul 31. doi: 10.12688/f1000research.19197.1</t>
  </si>
  <si>
    <t>270:  Consistent Safety and Infectivity in Sporozoite Challenge Model of Plasmodium vivax in Malaria-Naive Human Volunteers</t>
  </si>
  <si>
    <t>Am J Trop Med Hyg. 2011 Feb 4; 84(Suppl 2): 4–11.  doi: 10.4269/ajtmh.2011.09-0498</t>
  </si>
  <si>
    <t>271:  CD4+ T-Cell Expansion Predicts Neutralizing Antibody Responses to Monovalent</t>
  </si>
  <si>
    <t>J Infect Dis. 2013 Jan 15; 207(2): 297–305.  Published online 2012 Nov 12. doi: 10.1093/infdis/jis684</t>
  </si>
  <si>
    <t>272:  Expansion of Functional Myeloid-Derived Suppressor Cells in Controlled Human Malaria Infection</t>
  </si>
  <si>
    <t>Front Immunol. 2021; 12: 625712.  Published online 2021 Mar 19. doi: 10.3389/fimmu.2021.625712</t>
  </si>
  <si>
    <t>273:  The Duration of Intestinal Immunity After an Inactivated Poliovirus Vaccine Booster Dose in Children Immunized With Oral Vaccine: A Randomized Controlled Trial</t>
  </si>
  <si>
    <t>J Infect Dis. 2017 Feb 15; 215(4): 529–536.  Published online 2016 Dec 21. doi: 10.1093/infdis/jiw595</t>
  </si>
  <si>
    <t>274:  The TLR4 agonist adjuvant SLA-SE promotes functional mucosal antibodies against a parenterally delivered ETEC vaccine</t>
  </si>
  <si>
    <t>NPJ Vaccines. 2019; 4: 19.  Published online 2019 May 28. doi: 10.1038/s41541-019-0116-6</t>
  </si>
  <si>
    <t>275:  A systematic review of antibody mediated immunity to coronaviruses: antibody kinetics</t>
  </si>
  <si>
    <t>Version 1. medRxiv. Preprint. 2020 Apr 17. doi: 10.1101/2020.04.14.20065771</t>
  </si>
  <si>
    <t>276:  Serological response to 13-valent pneumococcal conjugate vaccine in children and adolescents with perinatally acquired HIV infection</t>
  </si>
  <si>
    <t>AIDS. 2014 Sep 10; 28(14): 2033–2043.  Published online 2014 Aug 27. doi: 10.1097/QAD.0000000000000385</t>
  </si>
  <si>
    <t>277:  Diagnosis and treatment based on quantitative PCR after controlled human malaria infection</t>
  </si>
  <si>
    <t>Malar J. 2016; 15: 398.  Published online 2016 Aug 5. doi: 10.1186/s12936-016-1434-zCorrection in: Malar J. 2016; 15: 522.</t>
  </si>
  <si>
    <t>278:  Modelling the World – can deliberately infecting healthy volunteers really tell us much about what happens outside the clinic during an epidemic or pandemic?</t>
  </si>
  <si>
    <t>Drug Discov Today. 2021 Mar; 26(3): 617–619.  Published online 2021 Jan 11. doi: 10.1016/j.drudis.2020.11.035</t>
  </si>
  <si>
    <t>279:  Experimental Human Infection with Neisseria gonorrhoeae</t>
  </si>
  <si>
    <t>Methods Mol Biol. Author manuscript; available in PMC 2020 Jun 17.Published in final edited form as: Methods Mol Biol. 2019; 1997: 431–452.  doi: 10.1007/978-1-4939-9496-0_25</t>
  </si>
  <si>
    <t>280:  Experimental Human Pneumococcal Colonization in Older Adults Is Feasible and Safe</t>
  </si>
  <si>
    <t>Am J Respir Crit Care Med. 2021 Mar 1; 203(5): 604–613.  Published online 2021 Mar 1. doi: 10.1164/rccm.202004-1483OC</t>
  </si>
  <si>
    <t>281:  Controlled human malaria infection by intramuscular and direct venous inoculation of cryopreserved Plasmodium falciparum sporozoites in malaria-naïve volunteers: effect of injection volume and dose on infectivity rates</t>
  </si>
  <si>
    <t>Malar J. 2015; 14: 306.  Published online 2015 Aug 7. doi: 10.1186/s12936-015-0817-x</t>
  </si>
  <si>
    <t>282:  The rush to develop a vaccine</t>
  </si>
  <si>
    <t>New Sci. 2020 Aug 29; 247(3297): 8–10.  Published online 2020 Aug 28. doi: 10.1016/S0262-4079(20)31474-3</t>
  </si>
  <si>
    <t>283:  Evaluating controlled human malaria infection in Kenyan adults with varying degrees of prior exposure to Plasmodium falciparum using sporozoites administered by intramuscular injection</t>
  </si>
  <si>
    <t>Front Microbiol. 2014; 5: 686.  Prepublished online 2014 Nov 3. Published online 2014 Dec 12. doi: 10.3389/fmicb.2014.00686</t>
  </si>
  <si>
    <t>284:  Evaluation of MEDI8852</t>
  </si>
  <si>
    <t>Antimicrob Agents Chemother. 2018 Nov; 62(11): e00694-18.  Prepublished online 2018 Aug 27. Published online 2018 Oct 24. doi: 10.1128/AAC.00694-18</t>
  </si>
  <si>
    <t>285:  SARS-CoV-2 safer infection sites: moral entitlement</t>
  </si>
  <si>
    <t>J Med Ethics. 2020 Dec : medethics-2020-106567.  Published online 2020 Dec 9. doi: 10.1136/medethics-2020-106567</t>
  </si>
  <si>
    <t>286:  New Approaches for Immunization and Therapy against Human Metapneumovirus</t>
  </si>
  <si>
    <t>Clin Vaccine Immunol. 2015 Aug; 22(8): 858–866.  Prepublished online 2015 Jun 10. Published online 2015 Jul 29. doi: 10.1128/CVI.00230-15</t>
  </si>
  <si>
    <t>287:  Controlled Human Malaria Infections by Intradermal Injection of Cryopreserved Plasmodium falciparum Sporozoites</t>
  </si>
  <si>
    <t>Am J Trop Med Hyg. 2013 Jan 9; 88(1): 5–13.  doi: 10.4269/ajtmh.2012.12-0613</t>
  </si>
  <si>
    <t>288:  Safety</t>
  </si>
  <si>
    <t>Am J Trop Med Hyg. 2016 Mar 2; 94(3): 663–673.  doi: 10.4269/ajtmh.15-0621</t>
  </si>
  <si>
    <t>289:  Safeguarding evidence-based decision making in the FDA for COVID-19 vaccines</t>
  </si>
  <si>
    <t>Vaccine. 2021 Apr 22; 39(17): 2328–2330.  Published online 2021 Mar 22. doi: 10.1016/j.vaccine.2021.03.053</t>
  </si>
  <si>
    <t>290:  Clinical Assessment of a Novel Recombinant Simian Adenovirus ChAdOx1 as a Vectored Vaccine Expressing Conserved Influenza A Antigens</t>
  </si>
  <si>
    <t>Mol Ther. 2014 Mar; 22(3): 668–674.  Prepublished online 2013 Dec 30. Published online 2014 Jan 21. doi: 10.1038/mt.2013.284</t>
  </si>
  <si>
    <t>291:  Gene Expression and Cytokine Profile Correlate With Mycobacterial Growth in a Human BCG Challenge Model</t>
  </si>
  <si>
    <t>J Infect Dis. 2015 May 1; 211(9): 1499–1509.  Published online 2014 Nov 7. doi: 10.1093/infdis/jiu615Correction in: J Infect Dis. 2016 Oct 1; 214(7): 1127.</t>
  </si>
  <si>
    <t>292:  Antibody Specificity Following a Recent Bordetella pertussis Infection in Adolescence Is Correlated With the Pertussis Vaccine Received in Childhood</t>
  </si>
  <si>
    <t>Front Immunol. 2019; 10: 1364.  Published online 2019 Jun 17. doi: 10.3389/fimmu.2019.01364</t>
  </si>
  <si>
    <t>293:  Dengue: A Minireview</t>
  </si>
  <si>
    <t>Viruses. 2020 Aug; 12(8): 829.  Published online 2020 Jul 30. doi: 10.3390/v12080829</t>
  </si>
  <si>
    <t>294:  Vaccines</t>
  </si>
  <si>
    <t>Emerg Infect Dis. 1999 Jul-Aug; 5(4): 534–536.  doi: 10.3201/eid0504.990414</t>
  </si>
  <si>
    <t>295:  Early IFN-Gamma Production after YF 17D Vaccine Virus Immunization in Mice and Its Association with Adaptive Immune Responses</t>
  </si>
  <si>
    <t>PLoS One. 2013; 8(12): e81953.  Published online 2013 Dec 6. doi: 10.1371/journal.pone.0081953</t>
  </si>
  <si>
    <t>296:  Therapeutic and prophylactic drugs to treat orthopoxvirus infections</t>
  </si>
  <si>
    <t>Future Virol. Author manuscript; available in PMC 2009 Sep 1.Published in final edited form as: Future Virol. 2008 Nov; 3(6): 595–612.  doi: 10.2217/17460794.3.6.595</t>
  </si>
  <si>
    <t>297:  Two Randomized Trials of the Effect of Live Attenuated Influenza Vaccine on Pneumococcal Colonization</t>
  </si>
  <si>
    <t>Am J Respir Crit Care Med. 2019 May 1; 199(9): 1160–1163.  Published online 2019 May 1. doi: 10.1164/rccm.201811-2081LE</t>
  </si>
  <si>
    <t>298:  Increased IgG but normal IgA anti-pneumococcal protein antibodies in lung of HIV-infected adults</t>
  </si>
  <si>
    <t>Vaccine. 2013 Aug 2; 31(35): 3469–3472.  doi: 10.1016/j.vaccine.2013.04.062</t>
  </si>
  <si>
    <t>299:  A controlled human malaria infection model enabling evaluation of transmission-blocking interventions</t>
  </si>
  <si>
    <t>J Clin Invest. 2018 Apr 2; 128(4): 1551–1562.  Published online 2018 Mar 12. doi: 10.1172/JCI98012</t>
  </si>
  <si>
    <t>300:  Dynamics of the bacterial gut microbiota during controlled human infection with Necator americanus larvae</t>
  </si>
  <si>
    <t>Gut Microbes. 2020; 12(1): 1840764.  Published online 2020 Nov 23. doi: 10.1080/19490976.2020.1840764</t>
  </si>
  <si>
    <t>301:  A Randomized</t>
  </si>
  <si>
    <t>Antimicrob Agents Chemother. 2020 Feb; 64(2): e01884-19.  Prepublished online 2019 Nov 11. Published online 2020 Jan 27. doi: 10.1128/AAC.01884-19</t>
  </si>
  <si>
    <t>302:  Experimental Infection of Human Volunteers with Haemophilus ducreyi: 15 Years of Clinical Data and Experience</t>
  </si>
  <si>
    <t>J Infect Dis. Author manuscript; available in PMC 2010 Jun 1.Published in final edited form as: J Infect Dis. 2009 Jun 1; 199(11): 1671–1679.  doi: 10.1086/598966</t>
  </si>
  <si>
    <t>303:  Plasmodium vivax Controlled Human Malaria Infection – Progress and Prospects</t>
  </si>
  <si>
    <t>Trends Parasitol. 2017 Feb; 33(2): 141–150.  doi: 10.1016/j.pt.2016.11.001</t>
  </si>
  <si>
    <t>304:  Clinical Trials of Vaccines for Biodefense and Emerging and Neglected Diseases</t>
  </si>
  <si>
    <t>Vaccines for Biodefense and Emerging and Neglected Diseases. 2009 : 157–170.  Published online 2009 Jan 30. doi: 10.1016/B978-0-12-369408-9.00012-3</t>
  </si>
  <si>
    <t>305:  Human Vaccines &amp; Immunotherapeutics: News</t>
  </si>
  <si>
    <t>Hum Vaccin Immunother. 2017 Dec; 13(12): 2752–2753.  Published online 2017 Dec 5. doi: 10.1080/21645515.2017.1409572</t>
  </si>
  <si>
    <t>306:  Patient-Reported Outcome Assessments as Endpoints in Studies in Infectious Diseases</t>
  </si>
  <si>
    <t>Clin Infect Dis. 2016 Aug 15; 63(Suppl 2): S52–S56.  Published online 2016 Aug 1. doi: 10.1093/cid/ciw317</t>
  </si>
  <si>
    <t>307:  COVID-19 vaccine safety</t>
  </si>
  <si>
    <t>Int J Mol Med. 2020 Nov; 46(5): 1599–1602.  Published online 2020 Sep 18. doi: 10.3892/ijmm.2020.4733</t>
  </si>
  <si>
    <t>308:  An inactivated influenza D virus vaccine partially protects cattle from respiratory disease caused by homologous challenge</t>
  </si>
  <si>
    <t>Vet Microbiol. 2017 Feb; 199: 47–53.  Published online 2016 Dec 21. doi: 10.1016/j.vetmic.2016.12.024</t>
  </si>
  <si>
    <t>309:  Lessons learnt from the first controlled human malaria infection study conducted in Nairobi</t>
  </si>
  <si>
    <t>Malar J. 2015; 14: 182.  Published online 2015 Apr 28. doi: 10.1186/s12936-015-0671-x</t>
  </si>
  <si>
    <t>310:  RWJ-270201 (BCX-1812): a novel neuraminidase inhibitor for influenza.</t>
  </si>
  <si>
    <t>Philos Trans R Soc Lond B Biol Sci. 2001 Dec 29; 356(1416): 1905–1913.  doi: 10.1098/rstb.2001.1004</t>
  </si>
  <si>
    <t>311:  Benralizumab does not impair antibody response to seasonal influenza vaccination in adolescent and young adult patients with moderate to severe asthma: results from the Phase IIIb ALIZE trial</t>
  </si>
  <si>
    <t>J Asthma Allergy. 2018; 11: 181–192.  Published online 2018 Nov 20. doi: 10.2147/JAA.S172338</t>
  </si>
  <si>
    <t>312:  Mobilization and Activation of the Innate Immune Response to Dengue Virus</t>
  </si>
  <si>
    <t>Front Cell Infect Microbiol. 2020; 10: 574417.  Published online 2020 Nov 3. doi: 10.3389/fcimb.2020.574417</t>
  </si>
  <si>
    <t>313:  Impact of siponimod on vaccination response in a randomized</t>
  </si>
  <si>
    <t>Neurol Neuroimmunol Neuroinflamm. 2017 Nov; 4(6): e398.  Published online 2017 Sep 13. doi: 10.1212/NXI.0000000000000398</t>
  </si>
  <si>
    <t>314:  A systematic review of antibody mediated immunity to coronaviruses: kinetics</t>
  </si>
  <si>
    <t>Nat Commun. 2020; 11: 4704.  Published online 2020 Sep 17. doi: 10.1038/s41467-020-18450-4</t>
  </si>
  <si>
    <t>315:  A Tool for Investigating Asthma and COPD Exacerbations: A Newly Manufactured and Well Characterised GMP Wild-Type Human Rhinovirus for Use in the Human Viral Challenge Model</t>
  </si>
  <si>
    <t>PLoS One. 2016; 11(12): e0166113.  Published online 2016 Dec 9. doi: 10.1371/journal.pone.0166113</t>
  </si>
  <si>
    <t>316:  NF135.C10: A New Plasmodium falciparum Clone for Controlled Human Malaria Infections</t>
  </si>
  <si>
    <t>J Infect Dis. 2013 Feb 15; 207(4): 656–660.  Published online 2012 Nov 27. doi: 10.1093/infdis/jis725</t>
  </si>
  <si>
    <t>317:  Mycobacterium Growth Inhibition Assay of Human Alveolar Macrophages as a Correlate of Immune Protection Following Mycobacterium bovis Bacille Calmette–Guérin Vaccination</t>
  </si>
  <si>
    <t>Front Immunol. 2018; 9: 1708.  Published online 2018 Jul 24. doi: 10.3389/fimmu.2018.01708</t>
  </si>
  <si>
    <t>318:  Optimising Controlled Human Malaria Infection Studies Using Cryopreserved P. falciparum Parasites Administered by Needle and Syringe</t>
  </si>
  <si>
    <t>PLoS One. 2013; 8(6): e65960.  Published online 2013 Jun 18. doi: 10.1371/journal.pone.0065960</t>
  </si>
  <si>
    <t>319:  Relationships among Dissemination of Primary Parainfluenza Virus Infection in the Respiratory Tract</t>
  </si>
  <si>
    <t>J Virol. 2015 Apr 1; 89(7): 3568–3583.  Published online 2015 Jan 14. doi: 10.1128/JVI.03581-14</t>
  </si>
  <si>
    <t>320:  Prospects for Moxidectin as a New Oral Treatment for Human Scabies</t>
  </si>
  <si>
    <t>PLoS Negl Trop Dis. 2016 Mar; 10(3): e0004389.  Published online 2016 Mar 17. doi: 10.1371/journal.pntd.0004389</t>
  </si>
  <si>
    <t>321:  Cytotoxic Markers Associate With Protection Against Malaria in Human Volunteers Immunized With Plasmodium falciparum Sporozoites</t>
  </si>
  <si>
    <t>J Infect Dis. 2014 Nov 15; 210(10): 1605–1615.  Published online 2014 May 27. doi: 10.1093/infdis/jiu293</t>
  </si>
  <si>
    <t>322:  Gamma-Irradiated Bacille Calmette-Guérin Vaccination Does Not Modulate the Innate Immune Response during Experimental Human Endotoxemia in Adult Males</t>
  </si>
  <si>
    <t>J Immunol Res. 2015; 2015: 261864.  Published online 2015 Mar 26. doi: 10.1155/2015/261864</t>
  </si>
  <si>
    <t>323:  Quantum leap of monoclonal antibody (mAb) discovery and development in the COVID-19 era</t>
  </si>
  <si>
    <t>Semin Immunol. 2020 Aug; 50: 101427.  Published online 2020 Nov 17. doi: 10.1016/j.smim.2020.101427</t>
  </si>
  <si>
    <t>324:  Safety and Immunogenicity of an Enterotoxigenic Escherichia coli Vaccine Patch Containing Heat-Labile Toxin: Use of Skin Pretreatment To Disrupt the Stratum Corneum</t>
  </si>
  <si>
    <t>Infect Immun. 2007 May; 75(5): 2163–2170.  Published online 2007 Jan 29. doi: 10.1128/IAI.01740-06</t>
  </si>
  <si>
    <t>325:  Idiopathic acute myocarditis during treatment for controlled human malaria infection: a case report</t>
  </si>
  <si>
    <t>Malar J. 2014; 13: 38.  Published online 2014 Jan 30. doi: 10.1186/1475-2875-13-38</t>
  </si>
  <si>
    <t>326:  Protection against malaria after immunization by chloroquine prophylaxis and sporozoites is mediated by preerythrocytic immunity</t>
  </si>
  <si>
    <t>Proc Natl Acad Sci U S A. 2013 May 7; 110(19): 7862–7867.  Published online 2013 Apr 18. doi: 10.1073/pnas.1220360110</t>
  </si>
  <si>
    <t>327:  Experimentally Induced Blood-Stage Plasmodium vivax Infection in Healthy Volunteers</t>
  </si>
  <si>
    <t>J Infect Dis. 2013 Nov 15; 208(10): 1688–1694.  Published online 2013 Aug 1. doi: 10.1093/infdis/jit394</t>
  </si>
  <si>
    <t>328:  Pilot Study of phoP/phoQ-Deleted Salmonella enterica Serovar Typhimurium Expressing Helicobacter pylori Urease in Adult Volunteers</t>
  </si>
  <si>
    <t>Infect Immun. 2000 Apr; 68(4): 2135–2141.  doi: 10.1128/iai.68.4.2135-2141.2000</t>
  </si>
  <si>
    <t>329:  Advances in respiratory virus therapeutics – A meeting report from the 6th isirv Antiviral Group conference</t>
  </si>
  <si>
    <t>Antiviral Res. 2019 Jul; 167: 45–67.  Published online 2019 Apr 8. doi: 10.1016/j.antiviral.2019.04.006</t>
  </si>
  <si>
    <t>330:  Exacerbations of chronic respiratory diseases</t>
  </si>
  <si>
    <t>Rhinovirus Infections. 2019 : 137–168.  Published online 2019 Jul 11. doi: 10.1016/B978-0-12-816417-4.00006-8</t>
  </si>
  <si>
    <t>331:  Chemoprophylaxis Vaccination: Phase I Study to Explore Stage-specific Immunity to Plasmodium falciparum in US Adults</t>
  </si>
  <si>
    <t>Clin Infect Dis. 2020 Sep 15; 71(6): 1481–1490.  Published online 2019 Oct 17. doi: 10.1093/cid/ciz1010</t>
  </si>
  <si>
    <t>332:  Assessing the Feasibility of Typhoid Elimination</t>
  </si>
  <si>
    <t>Clin Infect Dis. 2020 Aug 15; 71(Suppl 2): S179–S184.  Published online 2020 Jul 29. doi: 10.1093/cid/ciaa585</t>
  </si>
  <si>
    <t>333:  Virus vs. virus: adenovirus vectored vaccine to defeat respiratory syncytial virus</t>
  </si>
  <si>
    <t>Ann Transl Med. 2016 Dec; 4(24): 489.  doi: 10.21037/atm.2016.12.08</t>
  </si>
  <si>
    <t>334:  Evaluating the Pharmacodynamic Effect of Antimalarial Drugs in Clinical Trials by Quantitative PCR</t>
  </si>
  <si>
    <t>Antimicrob Agents Chemother. 2015 Jul; 59(7): 4249–4259.  Prepublished online 2015 May 11. Published online 2015 Jun 12. doi: 10.1128/AAC.04942-14</t>
  </si>
  <si>
    <t>335:  Malaria immunity in man and mosquito: insights into unsolved mysteries of a deadly infectious disease</t>
  </si>
  <si>
    <t>Annu Rev Immunol. Author manuscript; available in PMC 2014 Jul 1.Published in final edited form as: Annu Rev Immunol. 2014; 32: 157–187.  doi: 10.1146/annurev-immunol-032713-120220</t>
  </si>
  <si>
    <t>336:  A systematic review and an individual patient data meta-analysis of ivermectin use in children weighing less than fifteen kilograms: Is it time to reconsider the current contraindication?</t>
  </si>
  <si>
    <t>PLoS Negl Trop Dis. 2021 Mar; 15(3): e0009144.  Published online 2021 Mar 17. doi: 10.1371/journal.pntd.0009144</t>
  </si>
  <si>
    <t>337:  Designing the next generation of medicines for malaria control and eradication</t>
  </si>
  <si>
    <t>Malar J. 2013; 12: 187.  Published online 2013 Jun 6. doi: 10.1186/1475-2875-12-187</t>
  </si>
  <si>
    <t>338:  The global pipeline of new medicines for the control and elimination of malaria</t>
  </si>
  <si>
    <t>Malar J. 2012; 11: 316.  Published online 2012 Sep 7. doi: 10.1186/1475-2875-11-316</t>
  </si>
  <si>
    <t>339:  A Randomised Study of Anti-Influenza Immune Plasma for the Treatment of Severe Influenza A</t>
  </si>
  <si>
    <t>Lancet Respir Med. Author manuscript; available in PMC 2020 Nov 1.Published in final edited form as: Lancet Respir Med. 2019 Nov; 7(11): 941–950. Published online 2019 Sep 30.  doi: 10.1016/S2213-2600(19)30199-7</t>
  </si>
  <si>
    <t>340:  Liver Enzyme Elevations in Plasmodium falciparum Volunteer Infection Studies: Findings and Recommendations</t>
  </si>
  <si>
    <t>Am J Trop Med Hyg. 2020 Jul; 103(1): 378–393.  Published online 2020 Apr 20. doi: 10.4269/ajtmh.19-0846</t>
  </si>
  <si>
    <t>341:  A Phase 2b</t>
  </si>
  <si>
    <t>Clin Infect Dis. 2020 Dec 1; 71(11): 2787–2795.  Published online 2019 Dec 3. doi: 10.1093/cid/ciz1167</t>
  </si>
  <si>
    <t>342:  Pharmacogenetically Driven Treatments for Alcoholism: Are We There Yet?</t>
  </si>
  <si>
    <t>CNS Drugs. Author manuscript; available in PMC 2018 Jan 9.Published in final edited form as: CNS Drugs. 2012 Jun 1; 26(6): 461–476.  doi: 10.2165/11633180-000000000-00000</t>
  </si>
  <si>
    <t>343:  Microinvasion by Streptococcus pneumoniae induces epithelial innate immunity during colonisation at the human mucosal surface</t>
  </si>
  <si>
    <t>Nat Commun. 2019; 10: 3060.  Published online 2019 Jul 16. doi: 10.1038/s41467-019-11005-2</t>
  </si>
  <si>
    <t>344:  Guidance for Using Tafenoquine for Prevention and Antirelapse Therapy for Malaria — United States</t>
  </si>
  <si>
    <t>MMWR Morb Mortal Wkly Rep. 2019 Nov 22; 68(46): 1062–1068.  Published online 2019 Nov 22. doi: 10.15585/mmwr.mm6846a4</t>
  </si>
  <si>
    <t>345:  Safety</t>
  </si>
  <si>
    <t>Antimicrob Agents Chemother. 2020 Sep; 64(9): e00741-20.  Prepublished online 2020 Jul 13. Published online 2020 Aug 20. doi: 10.1128/AAC.00741-20</t>
  </si>
  <si>
    <t>346:  Safety and feasibility of apheresis to harvest and concentrate parasites from subjects with induced blood stage Plasmodium vivax infection</t>
  </si>
  <si>
    <t>Malar J. 2021; 20: 43.  Published online 2021 Jan 14. doi: 10.1186/s12936-021-03581-w</t>
  </si>
  <si>
    <t>347:  Assessing the epidemiological impact of Wolbachia deployment for dengue control</t>
  </si>
  <si>
    <t>Lancet Infect Dis. Author manuscript; available in PMC 2016 Apr 7.Published in final edited form as: Lancet Infect Dis. 2015 Jul; 15(7): 862–866. Published online 2015 Jun 4.  doi: 10.1016/S1473-3099(15)00091-2</t>
  </si>
  <si>
    <t>348:  On the pathway to better birth outcomes? A systematic review of azithromycin and curable sexually transmitted infections</t>
  </si>
  <si>
    <t>Expert Rev Anti Infect Ther. 2013 Dec; 11(12): 1303–1332.  Published online 2013 Nov 11. doi: 10.1586/14787210.2013.851601</t>
  </si>
  <si>
    <t>349:  Impact of Sickle Cell Trait and Naturally Acquired Immunity on Uncomplicated Malaria after Controlled Human Malaria Infection in Adults in Gabon</t>
  </si>
  <si>
    <t>Am J Trop Med Hyg. 2018 Feb; 98(2): 508–515.  Published online 2017 Dec 18. doi: 10.4269/ajtmh.17-0343</t>
  </si>
  <si>
    <t>350:  Clinical development of new prophylactic antimalarial drugs after the 5th Amendment to the Declaration of Helsinki</t>
  </si>
  <si>
    <t>Ther Clin Risk Manag. 2008 Aug; 4(4): 803–819.  Published online 2008 Aug. doi: 10.2147/tcrm.s1025</t>
  </si>
  <si>
    <t>351:  Current Landscape of Antiviral Drug Discovery</t>
  </si>
  <si>
    <t>Version 1. F1000Res. 2016; 5: F1000 Faculty Rev-202.  Published online 2016 Feb 22. doi: 10.12688/f1000research.7665.1</t>
  </si>
  <si>
    <t>352:  Controlled Human Malaria Infection with Graded Numbers of Plasmodium falciparum NF135.C10- or NF166.C8-Infected Mosquitoes</t>
  </si>
  <si>
    <t>Am J Trop Med Hyg. 2018 Sep; 99(3): 709–712.  Published online 2018 Jul 16. doi: 10.4269/ajtmh.18-0194</t>
  </si>
  <si>
    <t>353:  An open label study of the safety and efficacy of a single dose of weekly chloroquine and azithromycin administered for malaria prophylaxis in healthy adults challenged with 7G8 chloroquine-resistant Plasmodium falciparum in a controlled human malaria infection model</t>
  </si>
  <si>
    <t>Malar J. 2020; 19: 336.  Published online 2020 Sep 16. doi: 10.1186/s12936-020-03409-z</t>
  </si>
  <si>
    <t>354:  Tafenoquine and its potential in the treatment and relapse prevention of Plasmodium vivax malaria: the evidence to date</t>
  </si>
  <si>
    <t>Drug Des Devel Ther. 2016; 10: 2387–2399.  Published online 2016 Jul 26. doi: 10.2147/DDDT.S61443</t>
  </si>
  <si>
    <t>355:  Antiviral Activity of TMC353121</t>
  </si>
  <si>
    <t>PLoS One. 2015; 10(5): e0126959.  Published online 2015 May 26. doi: 10.1371/journal.pone.0126959</t>
  </si>
  <si>
    <t>356:  A Proposed Target Product Profile and Developmental Cascade for New Cryptosporidiosis Treatments</t>
  </si>
  <si>
    <t>PLoS Negl Trop Dis. 2015 Oct; 9(10): e0003987.  Published online 2015 Oct 8. doi: 10.1371/journal.pntd.0003987</t>
  </si>
  <si>
    <t>357:  Induction of innate cytokine responses by respiratory mucosal challenge with R848 in zebrafish</t>
  </si>
  <si>
    <t>J Allergy Clin Immunol. 2019 Jul; 144(1): 342–345.e7.  doi: 10.1016/j.jaci.2019.04.003</t>
  </si>
  <si>
    <t>358:  Current Research on Influenza and other Respiratory Viruses: II International Symposium</t>
  </si>
  <si>
    <t>Antiviral Res. 2000 May; 46(2): 91–124.  Published online 2000 Jun 13. doi: 10.1016/S0166-3542(00)00092-9</t>
  </si>
  <si>
    <t>359:  The 44th Annual Meeting of the European Society for Blood and Marrow Transplantation: Physicians Oral Session</t>
  </si>
  <si>
    <t>Bone Marrow Transplant. 2019; 53(Suppl 1): 19–144.  Published online 2018 Sep 24. doi: 10.1038/s41409-018-0318-y</t>
  </si>
  <si>
    <t>360:  Experimental Gonococcal Infection in Male Volunteers: Cumulative Experience with Neisseria gonorrhoeae Strains FA1090 and MS11mkC</t>
  </si>
  <si>
    <t>Front Microbiol. 2011; 2: 123.  Prepublished online 2011 Mar 25. Published online 2011 May 31. doi: 10.3389/fmicb.2011.00123</t>
  </si>
  <si>
    <t>361:  COVID-19 pandemic and alcohol consumption: Impacts and interconnections</t>
  </si>
  <si>
    <t>Toxicol Rep. 2021; 8: 529–535.  Published online 2021 Mar 10. doi: 10.1016/j.toxrep.2021.03.005</t>
  </si>
  <si>
    <t>362:  Antiviral therapy for respiratory viral infections in immunocompromised patients</t>
  </si>
  <si>
    <t>Expert Rev Anti Infect Ther. 2017; 15(4): 401–415.  Published online 2017 Jan 16. doi: 10.1080/14787210.2017.1279970</t>
  </si>
  <si>
    <t>363:  Respiratory Viruses Other than Influenza Virus: Impact and Therapeutic Advances</t>
  </si>
  <si>
    <t>Clin Microbiol Rev. 2008 Apr; 21(2): 274–290.  doi: 10.1128/CMR.00045-07</t>
  </si>
  <si>
    <t>364:  Drugs in Development for Malaria</t>
  </si>
  <si>
    <t>Drugs. 2018; 78(9): 861–879.  Published online 2018 May 25. doi: 10.1007/s40265-018-0911-9</t>
  </si>
  <si>
    <t>365:  The human rhinovirus: human‐pathological impact</t>
  </si>
  <si>
    <t>Med Res Rev. 2011 Jan; 31(1): 42–92.  Published online 2010 Dec 13. doi: 10.1002/med.20176</t>
  </si>
  <si>
    <t>366:  Plasmodium vivax but Not Plasmodium falciparum Blood-Stage Infection in Humans Is Associated with the Expansion of a CD8+ T Cell Population with Cytotoxic Potential</t>
  </si>
  <si>
    <t>PLoS Negl Trop Dis. 2016 Dec; 10(12): e0005031.  Published online 2016 Dec 8. doi: 10.1371/journal.pntd.0005031</t>
  </si>
  <si>
    <t>367:  Capturing the systemic immune signature of a norovirus infection: an n-of-1 case study within a clinical trial</t>
  </si>
  <si>
    <t>Version 3. Wellcome Open Res. 2017; 2: 28.  Published online 2017 Oct 5. doi: 10.12688/wellcomeopenres.11300.3</t>
  </si>
  <si>
    <t>368:  Prophylaxis of Malaria</t>
  </si>
  <si>
    <t>Mediterr J Hematol Infect Dis. 2012; 4(1): e2012045.  Published online 2012 Jun 29. doi: 10.4084/MJHID.2012.45</t>
  </si>
  <si>
    <t>369:  Drug repurposing of selective serotonin reuptake inhibitors: Could these drugs help fight COVID-19 and save lives?</t>
  </si>
  <si>
    <t>J Clin Neurosci. 2021 Jun; 88: 163–172.  Published online 2021 Mar 19. doi: 10.1016/j.jocn.2021.03.010</t>
  </si>
  <si>
    <t>370:  A Phase 2 Randomized</t>
  </si>
  <si>
    <t>Antimicrob Agents Chemother. 2020 Jul; 64(7): e00352-20.  Prepublished online 2020 May 11. Published online 2020 Jun 23. doi: 10.1128/AAC.00352-20</t>
  </si>
  <si>
    <t>371:  Pharmacokinetics</t>
  </si>
  <si>
    <t>Clin Infect Dis. 2020 Nov 15; 71(10): e594–e603.  Published online 2020 Mar 23. doi: 10.1093/cid/ciaa283</t>
  </si>
  <si>
    <t>372:  Clinical utility of tafenoquine in the prevention of relapse of Plasmodium vivax malaria: a review on the mode of action and emerging trial data</t>
  </si>
  <si>
    <t>Infect Drug Resist. 2019; 12: 553–570.  Published online 2019 Mar 6. doi: 10.2147/IDR.S151031</t>
  </si>
  <si>
    <t>373:  Second isirv antiviral group conference: overview</t>
  </si>
  <si>
    <t>Influenza Other Respir Viruses. 2013 Nov; 7(Suppl 3): 1–7.  Published online 2013 Nov 12. doi: 10.1111/irv.12207</t>
  </si>
  <si>
    <t>374:  Differential evolution of peripheral cytokine levels in symptomatic and asymptomatic responses to experimental influenza virus challenge</t>
  </si>
  <si>
    <t>Clin Exp Immunol. 2016 Mar; 183(3): 441–451.  Published online 2015 Dec 16. doi: 10.1111/cei.12736</t>
  </si>
  <si>
    <t>375:  Phase 2 Randomized Trial of the Safety and Efficacy of MHAA4549A</t>
  </si>
  <si>
    <t>Antimicrob Agents Chemother. 2017 Nov; 61(11): e01154-17.  Prepublished online 2017 Aug 14. Published online 2017 Oct 24. doi: 10.1128/AAC.01154-17</t>
  </si>
  <si>
    <t>376:  Safety and parasite clearance of artemisinin-resistant Plasmodium falciparum infection: A pilot and a randomised volunteer infection study in Australia</t>
  </si>
  <si>
    <t>PLoS Med. 2020 Aug; 17(8): e1003203.  Published online 2020 Aug 21. doi: 10.1371/journal.pmed.1003203</t>
  </si>
  <si>
    <t>377:  Challenges and recent progress in drug discovery for tropical diseases</t>
  </si>
  <si>
    <t>Nature. 2018; 559(7715): 498–506.  Published online 2018 Jul 25. doi: 10.1038/s41586-018-0327-4</t>
  </si>
  <si>
    <t>378:  Roles of neutrophils in the regulation of the extent of human inflammation through delivery of IL-1 and clearance of chemokines</t>
  </si>
  <si>
    <t>J Leukoc Biol. 2013 Jan; 93(1): 7–19.  doi: 10.1189/jlb.0512250</t>
  </si>
  <si>
    <t>379:  Pathogenesis of Intestinal and Systemic Rotavirus Infection</t>
  </si>
  <si>
    <t>J Virol. 2004 Oct; 78(19): 10213–10220.  doi: 10.1128/JVI.78.19.10213-10220.2004</t>
  </si>
  <si>
    <t>380:  Randomized</t>
  </si>
  <si>
    <t>Appl Environ Microbiol. 2011 Aug; 77(15): 5476–5482.  doi: 10.1128/AEM.02801-10</t>
  </si>
  <si>
    <t>381:  Antiviral Treatments</t>
  </si>
  <si>
    <t>Clin Chest Med. 2017 Mar; 38(1): 139–153.  Published online 2016 Dec 13. doi: 10.1016/j.ccm.2016.11.008</t>
  </si>
  <si>
    <t>382:  Malaria in HIV-Infected Children Receiving HIV Protease-Inhibitor- Compared with Non-Nucleoside Reverse Transcriptase Inhibitor-Based Antiretroviral Therapy</t>
  </si>
  <si>
    <t>PLoS One. 2016; 11(12): e0165140.  Published online 2016 Dec 9. doi: 10.1371/journal.pone.0165140</t>
  </si>
  <si>
    <t>383:  Negligible Impact of Mass Screening and Treatment on Mesoendemic Malaria Transmission at West Timor in Eastern Indonesia: A Cluster-Randomized Trial</t>
  </si>
  <si>
    <t>Clin Infect Dis. 2018 Nov 1; 67(9): 1364–1372.  Published online 2018 Mar 22. doi: 10.1093/cid/ciy231</t>
  </si>
  <si>
    <t>384:  Bacillus Anthracis as an Agent of Bioterrorism: A Review Emphasizing Surgical Treatment</t>
  </si>
  <si>
    <t>Ann Surg. 2002 Jul; 236(1): 9–16.  doi: 10.1097/00000658-200207000-00004</t>
  </si>
  <si>
    <t>385:  Malaria resurgence after significant reduction by mass drug administration on Ngodhe Island</t>
  </si>
  <si>
    <t>Sci Rep. 2019; 9: 19060.  Published online 2019 Dec 13. doi: 10.1038/s41598-019-55437-8</t>
  </si>
  <si>
    <t>386:  Changes in total and differential leukocyte counts during the clinically silent liver phase in a controlled human malaria infection in malaria-naïve Dutch volunteers</t>
  </si>
  <si>
    <t>Malar J. 2017; 16: 457.  Published online 2017 Nov 10. doi: 10.1186/s12936-017-2108-1</t>
  </si>
  <si>
    <t>387:  Estimation of the In Vivo MIC of Cipargamin in Uncomplicated Plasmodium falciparum Malaria</t>
  </si>
  <si>
    <t>Antimicrob Agents Chemother. 2017 Feb; 61(2): e01940-16.  Prepublished online 2016 Nov 21. Published online 2017 Jan 24. doi: 10.1128/AAC.01940-16</t>
  </si>
  <si>
    <t>388:  Tafenoquine for travelers' malaria: evidence</t>
  </si>
  <si>
    <t>J Travel Med. 2018; 25(1): tay110.  Published online 2018 Nov 20. doi: 10.1093/jtm/tay110</t>
  </si>
  <si>
    <t>389:  Azithromycin-chloroquine and the intermittent preventive treatment of malaria in pregnancy</t>
  </si>
  <si>
    <t>Malar J. 2008; 7: 255.  Published online 2008 Dec 16. doi: 10.1186/1475-2875-7-255</t>
  </si>
  <si>
    <t>390:  Distinguishing malaria and influenza: Early clinical features in controlled human experimental infection studies</t>
  </si>
  <si>
    <t>Travel Med Infect Dis. 2012 Jul; 10(4): 192–196.  doi: 10.1016/j.tmaid.2012.03.008</t>
  </si>
  <si>
    <t>391:  Challenge models to assess new therapies in chronic obstructive pulmonary disease</t>
  </si>
  <si>
    <t>Int J Chron Obstruct Pulmon Dis. 2012; 7: 597–605.  Published online 2012 Sep 13. doi: 10.2147/COPD.S30664</t>
  </si>
  <si>
    <t>392:  Norovirus Infectivity in Humans and Persistence in Water</t>
  </si>
  <si>
    <t>Appl Environ Microbiol. 2011 Oct; 77(19): 6884–6888.  doi: 10.1128/AEM.05806-11</t>
  </si>
  <si>
    <t>393:  Pharmacokinetic/pharmacodynamic modelling of the antimalarial effect of Actelion‐451840 in an induced blood stage malaria study in healthy subjects</t>
  </si>
  <si>
    <t>Br J Clin Pharmacol. 2016 Aug; 82(2): 412–421.  Published online 2016 May 11. doi: 10.1111/bcp.12962</t>
  </si>
  <si>
    <t>394:  Nutritional Immunology</t>
  </si>
  <si>
    <t>Curr Dev Nutr. 2018 Nov; 2(11): nzy046.  Published online 2018 Jun 28. doi: 10.1093/cdn/nzy046</t>
  </si>
  <si>
    <t>395:  Human Transmission of Blastocystis by Fecal Microbiota Transplantation Without Development of Gastrointestinal Symptoms in Recipients</t>
  </si>
  <si>
    <t>No publication information listed</t>
  </si>
  <si>
    <t>396:  Efficacy of OZ439 (artefenomel) against early Plasmodium falciparum blood-stage malaria infection in healthy volunteers</t>
  </si>
  <si>
    <t>J Antimicrob Chemother. 2016 Sep; 71(9): 2620–2627.  Published online 2016 Jun 5. doi: 10.1093/jac/dkw174</t>
  </si>
  <si>
    <t>397:  Bactericidal and Virucidal Activity of Povidone-Iodine and Chlorhexidine Gluconate Cleansers in an In Vivo Hand Hygiene Clinical Simulation Study</t>
  </si>
  <si>
    <t>Infect Dis Ther. 2018 Jun; 7(2): 235–247.  Published online 2018 May 14. doi: 10.1007/s40121-018-0202-5</t>
  </si>
  <si>
    <t>398:  HIV Antiretroviral Pre-Exposure Prophylaxis: Development Challenges and Pipeline Promise</t>
  </si>
  <si>
    <t>Clin Pharmacol Ther. Author manuscript; available in PMC 2019 Dec 22.Published in final edited form as: Clin Pharmacol Ther. 2018 Dec; 104(6): 1082–1097. Published online 2018 Nov 1.  doi: 10.1002/cpt.1227</t>
  </si>
  <si>
    <t>399:  Cannabidiol as a potential treatment for psychosis</t>
  </si>
  <si>
    <t>Ther Adv Psychopharmacol. 2019; 9: 2045125319881916.  Published online 2019 Nov 8. doi: 10.1177/2045125319881916</t>
  </si>
  <si>
    <t>400:  JPC-2997</t>
  </si>
  <si>
    <t>Antimicrob Agents Chemother. 2015 Jan; 59(1): 170–177.  Prepublished online 2014 Oct 20. Published online 2014 Dec 23. doi: 10.1128/AAC.03762-14</t>
  </si>
  <si>
    <t>401:  Epidemiology of Plasmodium vivax Malaria in Peru</t>
  </si>
  <si>
    <t>Am J Trop Med Hyg. 2016 Dec 28; 95(6 Suppl): 133–144.  doi: 10.4269/ajtmh.16-0268</t>
  </si>
  <si>
    <t>402:  8-Aminoquinoline Therapy for Latent Malaria</t>
  </si>
  <si>
    <t>Clin Microbiol Rev. 2019 Oct; 32(4): e00011-19.  Published online 2019 Jul 31. doi: 10.1128/CMR.00011-19</t>
  </si>
  <si>
    <t>403:  Loss of adaptive capacity in asthmatic patients revealed by biomarker fluctuation dynamics after rhinovirus challenge</t>
  </si>
  <si>
    <t>eLife. 2019; 8: e47969.  Published online 2019 Nov 5. doi: 10.7554/eLife.47969</t>
  </si>
  <si>
    <t>404:  Novel Use of Vitamin B2 as a Fluorescent Tracer in Aerosol and Droplet Contamination Models in Otolaryngology</t>
  </si>
  <si>
    <t>Ann Otol Rhinol Laryngol. 2021 Mar; 130(3): 280–285.  Published online 2020 Aug 14. doi: 10.1177/0003489420949588</t>
  </si>
  <si>
    <t>405:  Experimental rhinovirus infection in COPD: Implications for antiviral therapies</t>
  </si>
  <si>
    <t>Antiviral Res. 2014 Feb; 102: 95–105.  Published online 2013 Dec 23. doi: 10.1016/j.antiviral.2013.12.006</t>
  </si>
  <si>
    <t>406:  Field performance of the malaria highly sensitive rapid diagnostic test in a setting of varying malaria transmission</t>
  </si>
  <si>
    <t>Malar J. 2019; 18: 288.  Published online 2019 Aug 27. doi: 10.1186/s12936-019-2929-1</t>
  </si>
  <si>
    <t>407:  Clinical relevance of low-density Plasmodium falciparum parasitemia in untreated febrile children: A cohort study</t>
  </si>
  <si>
    <t>PLoS Med. 2020 Sep; 17(9): e1003318.  Published online 2020 Sep 21. doi: 10.1371/journal.pmed.1003318</t>
  </si>
  <si>
    <t>408:  The way to dusty death?</t>
  </si>
  <si>
    <t>Thorax. 2005 Jun; 60(6): 441–442.  doi: 10.1136/thx.2004.037903</t>
  </si>
  <si>
    <t>409:  Effect of generalised access to early diagnosis and treatment and targeted mass drug administration on Plasmodium falciparum malaria in Eastern Myanmar: an observational study of a regional elimination programme</t>
  </si>
  <si>
    <t>Lancet. 2018 May 12; 391(10133): 1916–1926.  doi: 10.1016/S0140-6736(18)30792-X</t>
  </si>
  <si>
    <t>410:  Preliminary Evidence for cue-induced Alcohol Craving Modulated by Serotonin Transporter Gene Polymorphism rs1042173</t>
  </si>
  <si>
    <t>Front Psychiatry. 2012; 3: 6.  Published online 2012 Feb 16. doi: 10.3389/fpsyt.2012.00006</t>
  </si>
  <si>
    <t>411:  The Potential of Cannabidiol Treatment for Cannabis Users With Recent-Onset Psychosis</t>
  </si>
  <si>
    <t>Schizophr Bull. 2018 Jan; 44(1): 46–53.  Published online 2017 Aug 11. doi: 10.1093/schbul/sbx105</t>
  </si>
  <si>
    <t>412:  When do co-infections matter?</t>
  </si>
  <si>
    <t>Curr Opin Infect Dis. 2018 Jun; 31(3): 209–215.  Published online 2018 Apr 26. doi: 10.1097/QCO.0000000000000447</t>
  </si>
  <si>
    <t>413:  Scale up of a Plasmodium falciparum elimination program and surveillance system in Kayin State</t>
  </si>
  <si>
    <t>Version 2. Wellcome Open Res. 2017; 2: 98.  Published online 2017 Dec 22. doi: 10.12688/wellcomeopenres.12741.2</t>
  </si>
  <si>
    <t>414:  Comparison of Male and Female Patients in Louisiana Medical Marijuana Dispensaries</t>
  </si>
  <si>
    <t>J Clin Med. 2020 Jun; 9(6): 1865.  Published online 2020 Jun 15. doi: 10.3390/jcm9061865</t>
  </si>
  <si>
    <t>415:  9th Canadian Immunization Conference: Québec City Convention Centre</t>
  </si>
  <si>
    <t>Can J Infect Dis Med Microbiol. 2010 Winter; 21(4): 173–230.</t>
  </si>
  <si>
    <t>Human Challenge Studies With Wild-Type Severe Acute Respiratory Sydrome Coronavirus 2 Violate Longstanding Codes of Human Subjects Research</t>
  </si>
  <si>
    <t>Stanley M Spinola, Camilla Broderick, Gregory D Zimet, Mary A Ott</t>
  </si>
  <si>
    <t>Open Forum Infect Dis. 2021 Jan; 8(1): ofaa615.  Published online 2020 Dec 28. doi: 10.1093/ofid/ofaa615</t>
  </si>
  <si>
    <t>Transparency too little, too late? Why and how Health Canada should make clinical data and regulatory decision-making open to scrutiny in the face of COVID-19</t>
  </si>
  <si>
    <t>Sterling Edmonds, Andrea MacGregor, Agnieszka Doll, Ipek Eren Vural, Janice Graham, Katherine Fierlbeck, Joel Lexchin, Peter Doshi, Matthew Herder</t>
  </si>
  <si>
    <t>J Law Biosci. 2020 Jan-Dec; 7(1): lsaa083.  Published online 2020 Nov 19. doi: 10.1093/jlb/lsaa083</t>
  </si>
  <si>
    <t>Captured by 10.7.21 Search?</t>
  </si>
  <si>
    <t>Database accessed:</t>
  </si>
  <si>
    <t>PubMed</t>
  </si>
  <si>
    <t>Date accessed:</t>
  </si>
  <si>
    <t>Number of results:</t>
  </si>
  <si>
    <t>Antithrombin III for critically ill patients: a systematic review with meta-analysis and trial sequential analysis</t>
  </si>
  <si>
    <t>Risk of immune-related pneumonitis for PD1/PD-L1 inhibitors: Systematic review and network meta-analysis</t>
  </si>
  <si>
    <t>Cochrane Database Syst Rev. 2020 Dec 7;12:CD011393. doi: 10.1002/14651858.CD011393.pub2.</t>
  </si>
  <si>
    <t>Correlation between severe infection and breast cancer metastases in the EORTC 10994/BIG 1-00 trial: Investigating innate immunity as a tumour suppressor in breast cancer</t>
  </si>
  <si>
    <t>Infections Up to 76 Days After Stroke Increase Disability and Death</t>
  </si>
  <si>
    <t>Severe events in the first 6 months of life in a cohort of HIV-unexposed infants from South Africa: effects of low birthweight and breastfeeding status</t>
  </si>
  <si>
    <t>Acute kidney injury during colistin therapy: a prospective study in patients with extensively-drug resistant Acinetobacter baumannii infections</t>
  </si>
  <si>
    <t>Cochrane Database Syst Rev. 2014 Jun 17;(6):CD009960. doi: 10.1002/14651858.CD009960.pub2.</t>
  </si>
  <si>
    <t>Cochrane Database Syst Rev. 2021 Feb 12;2:CD013587. doi: 10.1002/14651858.CD013587.pub2.</t>
  </si>
  <si>
    <t>Autoimmune diseases and immune-checkpoint inhibitors for cancer therapy: review of the literature and personalized risk-based prevention strategy</t>
  </si>
  <si>
    <t>Equine Vet J. 2021 Jan 5. doi: 10.1111/evj.13419. Online ahead of print.</t>
  </si>
  <si>
    <t>Rifaximin Reduces the Number and Severity of Intestinal Lesions Associated With Use of Nonsteroidal Anti-Inflammatory Drugs in Humans</t>
  </si>
  <si>
    <t>Efficacy of a Centralized, Blended Electronic and Human Intervention to Improve Direct Oral Anticoagulant Adherence: Smartphones to improve rivaroxaban ADHEREnce in Atrial Fibrillation (SmartADHERE) A Randomized Clinical Trial: SmartADHERE rivaroxaban adherence trial</t>
  </si>
  <si>
    <t>Turakhia M, Sundaram V, Smith SN, Ding V, Michael Ho P, Kowey PR, Piccini JP, Foody J, Birmingham M, Ianus J, Rajmane A, Mahaffey KW; smartADHERE Investigators.</t>
  </si>
  <si>
    <t>Am Heart J. 2021 Mar 4:S0002-8703(21)00065-X. doi: 10.1016/j.ahj.2021.02.023. Online ahead of print.</t>
  </si>
  <si>
    <t>Point-of-care thromboelastography/thromboelastometry-based coagulation management in cardiac surgery: a meta-analysis of 8332 patients</t>
  </si>
  <si>
    <t>Double-blind placebo-controlled challenge showed that peanut oral immunotherapy was effective for severe allergy without negative effects on airway inflammation</t>
  </si>
  <si>
    <t>A randomized, split-face clinical trial of low-fluence Q-switched neodymium-doped yttrium aluminum garnet (1,064 nm) laser versus low-fluence Q-switched alexandrite laser (755 nm) for the treatment of facial melasma</t>
  </si>
  <si>
    <t>Efficacy and safety of a novel picosecond laser using combination of 1 064 and 595 nm on patients with melasma: A prospective, randomized, multicenter, split-face, 2% hydroquinone cream-controlled clinical trial</t>
  </si>
  <si>
    <t>Sites BD, Beach M, Gallagher JD, Jarrett RA, Sparks MB, Lundberg CJ.</t>
  </si>
  <si>
    <t>Anesth Analg. 2004 Nov;99(5):1539-43; table of contents. doi: 10.1213/01.ANE.0000136470.51029.52.</t>
  </si>
  <si>
    <t>Cochrane Database Syst Rev. 2020 Sep 16;9:CD013626. doi: 10.1002/14651858.CD013626.pub2.</t>
  </si>
  <si>
    <t>Coronary Artery Disease and Transcatheter Aortic Valve Replacement: JACC State-of-the-Art Review</t>
  </si>
  <si>
    <t>Cochrane Database Syst Rev. 2021 Jan 15;1:CD013198. doi: 10.1002/14651858.CD013198.pub2.</t>
  </si>
  <si>
    <t>Cochrane Database Syst Rev. 2020 Sep 16;9:CD013627. doi: 10.1002/14651858.CD013627.pub2.</t>
  </si>
  <si>
    <t>Cochrane Database Syst Rev. 2015 Feb 26;(2):CD011386. doi: 10.1002/14651858.CD011386.pub2.</t>
  </si>
  <si>
    <t>Arch Sex Behav. 2020 Nov 6. doi: 10.1007/s10508-020-01828-2. Online ahead of print.</t>
  </si>
  <si>
    <t>Transfus Apher Sci. 2021 Feb 13:103096. doi: 10.1016/j.transci.2021.103096. Online ahead of print.</t>
  </si>
  <si>
    <t>Efficacy and safety of sublingual tablets of house dust mite allergen extracts: Results of a dose-ranging study in an environmental exposure chamber</t>
  </si>
  <si>
    <t>Clinical Efficiency and Safety of Magnetic-Controlled Capsule Endoscopy for Gastric Diseases in Aging Patients: Our Preliminary Experience</t>
  </si>
  <si>
    <t>Probiotics for the prevention or treatment of chemotherapy- or radiotherapy-related diarrhoea in people with cancer</t>
  </si>
  <si>
    <t>Improving the prognosis of patients with severely decreased glomerular filtration rate (CKD G4+): conclusions from a Kidney Disease: Improving Global Outcomes (KDIGO) Controversies Conference</t>
  </si>
  <si>
    <t>Temporal Trends and Patterns in Mortality After Incident Heart Failure: A Longitudinal Analysis of 86 000 Individuals</t>
  </si>
  <si>
    <t>These studies aren't included in the systematic review because they were not identified during the search phase, but were located through various methods and noted here as studies that could have been included had they been caught in our search</t>
  </si>
  <si>
    <t>Study Title</t>
  </si>
  <si>
    <t>PubMed URL</t>
  </si>
  <si>
    <t>Method of Location</t>
  </si>
  <si>
    <t>A pilot randomised trial of induced blood-stage Plasmodium falciparum infections in healthy volunteers for testing efficacy of new antimalarial drugs</t>
  </si>
  <si>
    <t>https://pubmed.ncbi.nlm.nih.gov/21887214/</t>
  </si>
  <si>
    <t>Referenced in McCarthy 2016b</t>
  </si>
  <si>
    <t>Malaria challenge trial</t>
  </si>
  <si>
    <t>Onset and duration of protective immunity in challenged volunteers after vaccination with live oral cholera vaccine CVD 103-HgR</t>
  </si>
  <si>
    <t>https://pubmed.ncbi.nlm.nih.gov/1527420/</t>
  </si>
  <si>
    <t>Referenced in Chen 2014 (excluded in screening - 4.20.21)</t>
  </si>
  <si>
    <t>Cholera challenge trial</t>
  </si>
  <si>
    <t>https://pubmed.ncbi.nlm.nih.gov/27001804/</t>
  </si>
  <si>
    <t>Referenced in Mayo-Smith 2017 (excluded during full-text review); also identified during 4.14.21 search</t>
  </si>
  <si>
    <t>Two chemoattenuated PfSPZ malaria vaccines induce sterile hepatic immunity</t>
  </si>
  <si>
    <t>https://pubmed.ncbi.nlm.nih.gov/34194041/</t>
  </si>
  <si>
    <t>Identified by Julia while compiling CHIM compendium</t>
  </si>
  <si>
    <t>Prevention of Respiratory Syncytial Virus Infection in Healthy Adults by a Single Immunization of Ad26.RSV.preF in a Human Challenge Study</t>
  </si>
  <si>
    <t>https://pubmed.ncbi.nlm.nih.gov/33400792/</t>
  </si>
  <si>
    <t>RSV challenge trial</t>
  </si>
  <si>
    <t>Human adenovirus 5-vectored Plasmodium falciparum NMRC-M3V-Ad-PfCA vaccine encoding CSP and AMA1 is safe, well-tolerated and immunogenic but does not protect against controlled human malaria infection</t>
  </si>
  <si>
    <t>https://pubmed.ncbi.nlm.nih.gov/23899517/</t>
  </si>
  <si>
    <t>Cardiac findings during uncomplicated acute influenza in ambulatory adults</t>
  </si>
  <si>
    <t>https://pubmed.ncbi.nlm.nih.gov/15668866/</t>
  </si>
  <si>
    <t>Identified by Josh and brought up in 8/11/21 research team meeting</t>
  </si>
  <si>
    <t>Influenza challenge trial (case report of cardiac SAE that led to influenza HCTs essentially being halted in the US)</t>
  </si>
  <si>
    <t>A Monoclonal Antibody for Malaria Prevention</t>
  </si>
  <si>
    <t>https://www.nejm.org/doi/full/10.1056/NEJMoa2034031</t>
  </si>
  <si>
    <t>Identified by Josh O. as a test of the search strategy</t>
  </si>
  <si>
    <t>The time course of the immune response to experimental coronavirus infection of man</t>
  </si>
  <si>
    <t>https://pubmed.ncbi.nlm.nih.gov/2170159/</t>
  </si>
  <si>
    <t>Identified by Jupiter while looking for coronavirus challenge trials for Ginny and Josh</t>
  </si>
  <si>
    <t>Coronavirus challenge trial</t>
  </si>
  <si>
    <t>A Study of the Efficacy of the Immunomodulatory Compound 7-thia-8-oxoguanosine in Coronavirus 229E Infections in Human Volunteers</t>
  </si>
  <si>
    <r>
      <rPr>
        <u/>
        <sz val="10"/>
        <color rgb="FF000000"/>
        <rFont val="Arial"/>
      </rPr>
      <t xml:space="preserve">(Not on PubMed) </t>
    </r>
    <r>
      <rPr>
        <u/>
        <sz val="10"/>
        <color rgb="FF1155CC"/>
        <rFont val="Arial"/>
      </rPr>
      <t>https://journals.sagepub.com/doi/abs/10.1177/095632029100200110</t>
    </r>
  </si>
  <si>
    <r>
      <t xml:space="preserve">Clinical Severity from: </t>
    </r>
    <r>
      <rPr>
        <u/>
        <sz val="10"/>
        <color rgb="FF1155CC"/>
        <rFont val="Arial"/>
      </rPr>
      <t>https://en.wikipedia.org/wiki/Pandemic_Severity_Assessment_Framework</t>
    </r>
  </si>
  <si>
    <t>Global Deaths, 2015</t>
  </si>
  <si>
    <t>Current Global CFR / Overall Death rate</t>
  </si>
  <si>
    <t>Inputs:</t>
  </si>
  <si>
    <r>
      <t xml:space="preserve">GBD- </t>
    </r>
    <r>
      <rPr>
        <u/>
        <sz val="10"/>
        <color rgb="FF1155CC"/>
        <rFont val="Arial"/>
      </rPr>
      <t>https://www.ncbi.nlm.nih.gov/pmc/articles/PMC5388903/</t>
    </r>
  </si>
  <si>
    <t>2015 Deaths (thousands)</t>
  </si>
  <si>
    <t>Case fatality rate and case hospitalization rate</t>
  </si>
  <si>
    <t>Cholera</t>
  </si>
  <si>
    <t>68·4 (50·4 to 87·1)</t>
  </si>
  <si>
    <t>GBD 2016 Lower Respiratory Infections Collaborators. Estimates of the global, regional, and national morbidity, mortality, and aetiologies of lower respiratory infections in 195 countries, 1990-2016: A systematic analysis for the Global Burden of Disease Study 2016external icon. Lancet Infect Dis. 2018 Sep 19. pii: S1473-3099(18)30310-4. doi: 10.1016/S1473-3099(18)30310-4.</t>
  </si>
  <si>
    <t>Ratio of deaths to hospitalizations</t>
  </si>
  <si>
    <t>Other Salmonella infections</t>
  </si>
  <si>
    <t>90·3 (34·1 to 183·1)</t>
  </si>
  <si>
    <r>
      <rPr>
        <u/>
        <sz val="10"/>
        <color rgb="FF222222"/>
        <rFont val="Arial"/>
      </rPr>
      <t>"Global Burden of Norovirus and Prospects for Vaccine Development"</t>
    </r>
    <r>
      <rPr>
        <sz val="10"/>
        <color rgb="FF222222"/>
        <rFont val="Arial"/>
      </rPr>
      <t xml:space="preserve"> (PDF). CDC. August 2015. p. 3. Retrieved 29 December 2017.</t>
    </r>
  </si>
  <si>
    <t>Genetic markers of virulence</t>
  </si>
  <si>
    <t>Shigellosis</t>
  </si>
  <si>
    <t>164·3 (85·0 to 278·7)</t>
  </si>
  <si>
    <t>Todar, Kenneth. "Shigella and Shigellosis". Todar's Online Textbook of Bacteriology. Archived from the original on 9 February 2012. Retrieved 10 February 2012.</t>
  </si>
  <si>
    <t>Animal immunopathologic experiments</t>
  </si>
  <si>
    <t>Enteropathogenic Escherichia coli infection</t>
  </si>
  <si>
    <t>12·0 (0·6 to 34·1)</t>
  </si>
  <si>
    <t>Jha A, Jarvis H, Fraser C, Openshaw PJ (2016). Hui DS, Rossi GA, Johnston SL (eds.). Respiratory Syncytial Virus. SARS, MERS and other Viral Lung Infections. Wellcome Trust–Funded Monographs and Book Chapters. Sheffield (UK): European Respiratory Society. ISBN 978-1-84984-070-5. PMID 28742304. Retrieved 2020-10-29.</t>
  </si>
  <si>
    <t>Percent of emergency department visits that resulted in hospitalization</t>
  </si>
  <si>
    <t>Enterotoxigenic Escherichia coli infection</t>
  </si>
  <si>
    <t>74·1 (29·9 to 137·9)</t>
  </si>
  <si>
    <t>Black, Jane; O'Keefe, Ed (2009-07-08). "Administration Urged to Boost Food Safety Efforts". Washington Post. Archived from the original on 2011-06-04. Retrieved 2009-07-07. Among them is a final rule, issued by the FDA, to reduce the contamination in eggs. About 142,000 Americans are infected each year with Salmonella enteritidis from eggs, the result of an infected hen passing along the bacterium. About 30 die.</t>
  </si>
  <si>
    <t>Percent of hospitalizations admitted to intensive care unit</t>
  </si>
  <si>
    <t>Campylobacter enteritis</t>
  </si>
  <si>
    <t>37·5 (6·3 to 81·6)</t>
  </si>
  <si>
    <t>Wang, Haidong; Naghavi, Mohsen; Allen, Christine; Barber, Ryan M.; Bhutta, Zulfiqar A.; Carter, Austin; Casey, Daniel C.; Charlson, Fiona J.; Chen, Alan Zian; Coates, Matthew M.; Coggeshall, Megan; Dandona, Lalit; Dicker, Daniel J.; Erskine, Holly E.; Ferrari, Alize J.; Fitzmaurice, Christina; Foreman, Kyle; Forouzanfar, Mohammad H.; Fraser, Maya S.; Fullman, Nancy; Gething, Peter W.; Goldberg, Ellen M.; Graetz, Nicholas; Haagsma, Juanita A.; Hay, Simon I.; Huynh, Chantal; Johnson, Catherine O.; Kassebaum, Nicholas J.; Kinfu, Yohannes; et al. (October 2016). "Global, regional, and national life expectancy, all-cause mortality, and cause-specific mortality for 249 causes of death, 1980–2015: a systematic analysis for the Global Burden of Disease Study 2015". Lancet. 388 (10053): 1459–1544. doi:10.1016/s0140-6736(16)31012-1. PMC 5388903. PMID 27733281.</t>
  </si>
  <si>
    <t>Rate of hospitalization</t>
  </si>
  <si>
    <t>Amoebiasis</t>
  </si>
  <si>
    <t>67·9 (5·6 to 236·7)</t>
  </si>
  <si>
    <t>Excess deaths</t>
  </si>
  <si>
    <t>Cryptosporidiosis</t>
  </si>
  <si>
    <t>64·8 (11·1 to 154·2)</t>
  </si>
  <si>
    <t>Rotaviral enteritis</t>
  </si>
  <si>
    <t>199·2 (165·5 to 241·2)</t>
  </si>
  <si>
    <t>Aeromonas</t>
  </si>
  <si>
    <t>56·8 (−4·0 to 151·3)</t>
  </si>
  <si>
    <t>Clostridium difficile</t>
  </si>
  <si>
    <t>9·4 (7·9 to 11·5)</t>
  </si>
  <si>
    <t>29·7 (4·8 to 67·6)</t>
  </si>
  <si>
    <t>Adenovirus</t>
  </si>
  <si>
    <t>70·2 (25·4 to 145·4)</t>
  </si>
  <si>
    <t>83·1 (55·7 to 122·1)</t>
  </si>
  <si>
    <t>(Fetal death only?)</t>
  </si>
  <si>
    <t>Pneumococcal pneumonia</t>
  </si>
  <si>
    <t>1517·4 (857·9 to 2183·8)</t>
  </si>
  <si>
    <t>Haemophilus influenzae type b</t>
  </si>
  <si>
    <t>58·7 (−3·1 to 114·5)</t>
  </si>
  <si>
    <t>https://www.medscape.com/answers/215241-93705/what-is-the-mortality-risk-for-coxsackievirus-infection</t>
  </si>
  <si>
    <t>?</t>
  </si>
  <si>
    <t>82·0 (53·9 to 117·6)</t>
  </si>
  <si>
    <t>Iron Deficiency</t>
  </si>
  <si>
    <t>https://pubmed.ncbi.nlm.nih.gov/17016951/</t>
  </si>
  <si>
    <t>(What pct are due to hookworm?)</t>
  </si>
  <si>
    <t>Tuberculosis</t>
  </si>
  <si>
    <t>1112·6 (909·8 to 1392·8)</t>
  </si>
  <si>
    <t>All causes</t>
  </si>
  <si>
    <t>55 792·9 (54 984·1 to 56 640·3)</t>
  </si>
  <si>
    <t>Communicable, maternal, neonatal, and nutritional diseases (Group 1 causes)</t>
  </si>
  <si>
    <t>11 263·6 (10 922·7 to 11 594·5)</t>
  </si>
  <si>
    <t>HIV/AIDS and tuberculosis</t>
  </si>
  <si>
    <t>2305·2 (2092·7 to 2578·0)</t>
  </si>
  <si>
    <t>HIV/AIDS</t>
  </si>
  <si>
    <t>1192·6 (1130·8 to 1270·3)</t>
  </si>
  <si>
    <t>HIV/AIDS—tuberculosis</t>
  </si>
  <si>
    <t>211·7 (161·9 to 245·0)</t>
  </si>
  <si>
    <t>HIV/AIDS resulting in other diseases</t>
  </si>
  <si>
    <t>980·8 (914·7 to 1063·6)</t>
  </si>
  <si>
    <t>Diarrhoea, lower respiratory, and other common infectious diseases</t>
  </si>
  <si>
    <t>4959·8 (4711·6 to 5179·4)</t>
  </si>
  <si>
    <t>Diarrhoeal diseases</t>
  </si>
  <si>
    <t>1312·1 (1233·6 to 1391·3)</t>
  </si>
  <si>
    <t>Intestinal infectious diseases</t>
  </si>
  <si>
    <t>178·5 (100·9 to 293·7)</t>
  </si>
  <si>
    <t>Typhoid fever</t>
  </si>
  <si>
    <t>148·8 (81·9 to 249·7)</t>
  </si>
  <si>
    <t>Paratyphoid fever</t>
  </si>
  <si>
    <t>29·2 (13·7 to 56·3)</t>
  </si>
  <si>
    <t>Other intestinal infectious diseases</t>
  </si>
  <si>
    <t>0·6 (0·3 to 1·2)</t>
  </si>
  <si>
    <t>Lower respiratory infections</t>
  </si>
  <si>
    <t>2736·7 (2500·3 to 2860·8)</t>
  </si>
  <si>
    <t>Upper respiratory infections</t>
  </si>
  <si>
    <t>3·1 (2·8 to 3·5)</t>
  </si>
  <si>
    <t>Otitis media</t>
  </si>
  <si>
    <t>3·2 (2·9 to 3·7)</t>
  </si>
  <si>
    <t>Meningitis</t>
  </si>
  <si>
    <t>379·2 (322·7 to 444·7)</t>
  </si>
  <si>
    <t>Pneumococcal meningitis</t>
  </si>
  <si>
    <t>112·9 (93·4 to 141·8)</t>
  </si>
  <si>
    <t>Haemophilus influenzae type b meningitis</t>
  </si>
  <si>
    <t>71·5 (56·7 to 91·8)</t>
  </si>
  <si>
    <t>Meningococcal meningitis</t>
  </si>
  <si>
    <t>73·3 (58·0 to 93·2)</t>
  </si>
  <si>
    <t>Other meningitis</t>
  </si>
  <si>
    <t>121·5 (101·8 to 144·2)</t>
  </si>
  <si>
    <t>Encephalitis</t>
  </si>
  <si>
    <t>149·5 (137·6 to 167·0)</t>
  </si>
  <si>
    <t>Diphtheria</t>
  </si>
  <si>
    <t>2·1 (1·1 to 4·7)</t>
  </si>
  <si>
    <t>Whooping cough</t>
  </si>
  <si>
    <t>58·7 (20·3 to 126·6)</t>
  </si>
  <si>
    <t>Tetanus</t>
  </si>
  <si>
    <t>56·7 (48·2 to 80·0)</t>
  </si>
  <si>
    <t>Measles</t>
  </si>
  <si>
    <t>73·4 (26·1 to 161·4)</t>
  </si>
  <si>
    <t>Varicella and herpes zoster</t>
  </si>
  <si>
    <t>6·4 (5·4 to 7·8)</t>
  </si>
  <si>
    <t>Neglected tropical diseases and malaria</t>
  </si>
  <si>
    <t>843·1 (669·9 to 1019·7)</t>
  </si>
  <si>
    <t>Malaria</t>
  </si>
  <si>
    <t>730·5 (555·8 to 904·0)</t>
  </si>
  <si>
    <t>Chagas disease</t>
  </si>
  <si>
    <t>8·0 (7·5 to 8·6)</t>
  </si>
  <si>
    <t>Leishmaniasis</t>
  </si>
  <si>
    <t>24·2 (17·1 to 32·5)</t>
  </si>
  <si>
    <t>Visceral leishmaniasis</t>
  </si>
  <si>
    <t>African trypanosomiasis</t>
  </si>
  <si>
    <t>3·5 (1·8 to 5·7)</t>
  </si>
  <si>
    <t>Schistosomiasis</t>
  </si>
  <si>
    <t>4·4 (3·8 to 4·9)</t>
  </si>
  <si>
    <t>Cysticercosis</t>
  </si>
  <si>
    <t>0·4 (0·3 to 0·5)</t>
  </si>
  <si>
    <t>Cystic echinococcosis</t>
  </si>
  <si>
    <t>1·2 (1·1 to 1·3)</t>
  </si>
  <si>
    <t>Dengue</t>
  </si>
  <si>
    <t>18·4 (11·8 to 22·7)</t>
  </si>
  <si>
    <t>Yellow fever</t>
  </si>
  <si>
    <t>5·1 (1·1 to 14·2)</t>
  </si>
  <si>
    <t>Rabies</t>
  </si>
  <si>
    <t>17·4 (14·8 to 20·6)</t>
  </si>
  <si>
    <t>Intestinal nematode infections</t>
  </si>
  <si>
    <t>2·7 (2·4 to 3·1)</t>
  </si>
  <si>
    <t>Ascariasis</t>
  </si>
  <si>
    <t>Ebola virus disease</t>
  </si>
  <si>
    <t>5·5 (4·4 to 6·6)</t>
  </si>
  <si>
    <t>Other neglected tropical diseases</t>
  </si>
  <si>
    <t>21·8 (12·7 to 27·6)</t>
  </si>
  <si>
    <t>Maternal disorders</t>
  </si>
  <si>
    <t>275·3 (243·8 to 315·5)</t>
  </si>
  <si>
    <t>Maternal haemorrhage</t>
  </si>
  <si>
    <t>83·1 (67·0 to 101·5)</t>
  </si>
  <si>
    <t>Maternal sepsis and other maternal infections</t>
  </si>
  <si>
    <t>17·9 (13·4 to 23·9)</t>
  </si>
  <si>
    <t>Maternal hypertensive disorders</t>
  </si>
  <si>
    <t>46·9 (37·1 to 59·6)</t>
  </si>
  <si>
    <t>Maternal obstructed labour and uterine rupture</t>
  </si>
  <si>
    <t>23·1 (17·2 to 30·0)</t>
  </si>
  <si>
    <t>Maternal abortion, miscarriage, and ectopic pregnancy</t>
  </si>
  <si>
    <t>31·7 (24·6 to 39·7)</t>
  </si>
  <si>
    <t>Indirect maternal deaths</t>
  </si>
  <si>
    <t>30·8 (23·1 to 40·5)</t>
  </si>
  <si>
    <t>Late maternal deaths</t>
  </si>
  <si>
    <t>6·7 (4·3 to 10·0)</t>
  </si>
  <si>
    <t>Maternal deaths aggravated by HIV/AIDS</t>
  </si>
  <si>
    <t>2·3 (1·4 to 3·3)</t>
  </si>
  <si>
    <t>Other maternal disorders</t>
  </si>
  <si>
    <t>32·7 (26·3 to 40·5)</t>
  </si>
  <si>
    <t>Neonatal disorders</t>
  </si>
  <si>
    <t>2163·2 (2095·1 to 2232·5)</t>
  </si>
  <si>
    <t>Neonatal preterm birth complications</t>
  </si>
  <si>
    <t>805·8 (736·2 to 898·6)</t>
  </si>
  <si>
    <t>Neonatal encephalopathy (birth asphyxia and trauma)</t>
  </si>
  <si>
    <t>740·4 (667·6 to 829·2)</t>
  </si>
  <si>
    <t>Neonatal sepsis and other neonatal infections</t>
  </si>
  <si>
    <t>351·7 (249·2 to 459·1)</t>
  </si>
  <si>
    <t>Haemolytic disease and other neonatal jaundice</t>
  </si>
  <si>
    <t>45·1 (30·1 to 67·3)</t>
  </si>
  <si>
    <t>Other neonatal disorders</t>
  </si>
  <si>
    <t>220·2 (167·6 to 276·8)</t>
  </si>
  <si>
    <t>Nutritional deficiencies</t>
  </si>
  <si>
    <t>405·7 (331·7 to 495·6)</t>
  </si>
  <si>
    <t>Protein-energy malnutrition</t>
  </si>
  <si>
    <t>323·2 (264·9 to 400·8)</t>
  </si>
  <si>
    <t>Iodine deficiency</t>
  </si>
  <si>
    <t>2·0 (1·5 to 2·7)</t>
  </si>
  <si>
    <t>Iron-deficiency anaemia</t>
  </si>
  <si>
    <t>54·2 (35·1 to 72·9)</t>
  </si>
  <si>
    <t>Other nutritional deficiencies</t>
  </si>
  <si>
    <t>26·3 (20·7 to 33·6)</t>
  </si>
  <si>
    <t>Other communicable, maternal, neonatal, and nutritional diseases</t>
  </si>
  <si>
    <t>311·3 (257·9 to 372·7)</t>
  </si>
  <si>
    <t>Sexually transmitted diseases excluding HIV</t>
  </si>
  <si>
    <t>108·0 (64·6 to 165·7)</t>
  </si>
  <si>
    <t>Syphilis</t>
  </si>
  <si>
    <t>106·8 (63·4 to 164·6)</t>
  </si>
  <si>
    <t>Chlamydial infection</t>
  </si>
  <si>
    <t>0·2 (0·1 to 0·2)</t>
  </si>
  <si>
    <t>Gonococcal infection</t>
  </si>
  <si>
    <t>0·7 (0·5 to 0·8)</t>
  </si>
  <si>
    <t>Other sexually transmitted diseases</t>
  </si>
  <si>
    <t>0·3 (0·2 to 0·4)</t>
  </si>
  <si>
    <t>Hepatitis</t>
  </si>
  <si>
    <t>105·8 (100·7 to 110·8)</t>
  </si>
  <si>
    <t>Acute hepatitis A</t>
  </si>
  <si>
    <t>11·2 (6·9 to 15·9)</t>
  </si>
  <si>
    <t>Hepatitis B</t>
  </si>
  <si>
    <t>65·4 (56·4 to 73·7)</t>
  </si>
  <si>
    <t>Hepatitis C</t>
  </si>
  <si>
    <t>2·5 (0·5 to 5·9)</t>
  </si>
  <si>
    <t>Acute hepatitis E</t>
  </si>
  <si>
    <t>26·7 (18·5 to 36·6)</t>
  </si>
  <si>
    <t>Other infectious diseases</t>
  </si>
  <si>
    <t>97·5 (61·3 to 112·9)</t>
  </si>
  <si>
    <t>Non-communicable diseases</t>
  </si>
  <si>
    <t>39 804·2 (39 210·8 to 40 452·2)</t>
  </si>
  <si>
    <t>Neoplasms</t>
  </si>
  <si>
    <t>8764·6 (8591·1 to 8945·6)</t>
  </si>
  <si>
    <t>Lip and oral cavity cancer</t>
  </si>
  <si>
    <t>146·0 (141·6 to 150·6)</t>
  </si>
  <si>
    <t>Nasopharynx cancer</t>
  </si>
  <si>
    <t>63·0 (51·1 to 67·0)</t>
  </si>
  <si>
    <t>Other pharynx cancer</t>
  </si>
  <si>
    <t>64·4 (61·6 to 67·1)</t>
  </si>
  <si>
    <t>Oesophageal cancer</t>
  </si>
  <si>
    <t>439·0 (422·6 to 456·9)</t>
  </si>
  <si>
    <t>Stomach cancer</t>
  </si>
  <si>
    <t>818·9 (795·5 to 843·7)</t>
  </si>
  <si>
    <t>Colon and rectum cancer</t>
  </si>
  <si>
    <t>832·0 (811·7 to 854·5)</t>
  </si>
  <si>
    <t>Liver cancer</t>
  </si>
  <si>
    <t>810·5 (749·7 to 862·8)</t>
  </si>
  <si>
    <t>Liver cancer due to hepatitis B</t>
  </si>
  <si>
    <t>265·3 (241·0 to 290·5)</t>
  </si>
  <si>
    <t>Liver cancer due to hepatitis C</t>
  </si>
  <si>
    <t>167·1 (153·9 to 177·9)</t>
  </si>
  <si>
    <t>Liver cancer due to alcohol use</t>
  </si>
  <si>
    <t>245·2 (225·1 to 266·6)</t>
  </si>
  <si>
    <t>Liver cancer due to other causes</t>
  </si>
  <si>
    <t>132·9 (119·8 to 144·4)</t>
  </si>
  <si>
    <t>Gallbladder and biliary tract cancer</t>
  </si>
  <si>
    <t>140·5 (131·4 to 147·2)</t>
  </si>
  <si>
    <t>Pancreatic cancer</t>
  </si>
  <si>
    <t>411·6 (403·6 to 420·7)</t>
  </si>
  <si>
    <t>Larynx cancer</t>
  </si>
  <si>
    <t>105·9 (102·7 to 109·5)</t>
  </si>
  <si>
    <t>Tracheal, bronchus, and lung cancer</t>
  </si>
  <si>
    <t>1722·5 (1673·7 to 1772·7)</t>
  </si>
  <si>
    <t>Malignant skin melanoma</t>
  </si>
  <si>
    <t>59·8 (47·6 to 72·7)</t>
  </si>
  <si>
    <t>Non-melanoma skin cancer</t>
  </si>
  <si>
    <t>51·9 (49·9 to 53·8)</t>
  </si>
  <si>
    <t>Squamous-cell carcinoma</t>
  </si>
  <si>
    <t>Breast cancer</t>
  </si>
  <si>
    <t>533·6 (502·2 to 553·1)</t>
  </si>
  <si>
    <t>Cervical cancer</t>
  </si>
  <si>
    <t>238·6 (225·3 to 252·4)</t>
  </si>
  <si>
    <t>Uterine cancer</t>
  </si>
  <si>
    <t>89·9 (86·1 to 94·3)</t>
  </si>
  <si>
    <t>Ovarian cancer</t>
  </si>
  <si>
    <t>161·1 (156·5 to 166·5)</t>
  </si>
  <si>
    <t>Prostate cancer</t>
  </si>
  <si>
    <t>365·9 (303·5 to 459·6)</t>
  </si>
  <si>
    <t>Testicular cancer</t>
  </si>
  <si>
    <t>9·4 (8·8 to 9·9)</t>
  </si>
  <si>
    <t>Kidney cancer</t>
  </si>
  <si>
    <t>136·9 (133·0 to 141·3)</t>
  </si>
  <si>
    <t>Bladder cancer</t>
  </si>
  <si>
    <t>188·0 (182·8 to 192·7)</t>
  </si>
  <si>
    <t>Brain and nervous system cancer</t>
  </si>
  <si>
    <t>228·8 (209·5 to 244·7)</t>
  </si>
  <si>
    <t>Thyroid cancer</t>
  </si>
  <si>
    <t>31·9 (28·9 to 33·2)</t>
  </si>
  <si>
    <t>Mesothelioma</t>
  </si>
  <si>
    <t>32·4 (31·2 to 33·4)</t>
  </si>
  <si>
    <t>Hodgkin lymphoma</t>
  </si>
  <si>
    <t>23·9 (21·8 to 29·0)</t>
  </si>
  <si>
    <t>Non-Hodgkin's lymphoma</t>
  </si>
  <si>
    <t>231·4 (195·7 to 243·8)</t>
  </si>
  <si>
    <t>Multiple myeloma</t>
  </si>
  <si>
    <t>101·1 (97·7 to 104·1)</t>
  </si>
  <si>
    <t>Leukaemia</t>
  </si>
  <si>
    <t>353·5 (344·6 to 363·1)</t>
  </si>
  <si>
    <t>Acute lymphoid leukaemia</t>
  </si>
  <si>
    <t>110·5 (101·2 to 118·4)</t>
  </si>
  <si>
    <t>Chronic lymphoid leukaemia</t>
  </si>
  <si>
    <t>60·7 (57·9 to 64·6)</t>
  </si>
  <si>
    <t>Acute myeloid leukaemia</t>
  </si>
  <si>
    <t>147·1 (137·3 to 157·0)</t>
  </si>
  <si>
    <t>Chronic myeloid leukaemia</t>
  </si>
  <si>
    <t>35·2 (33·4 to 37·7)</t>
  </si>
  <si>
    <t>Other neoplasms</t>
  </si>
  <si>
    <t>372·2 (335·9 to 392·1)</t>
  </si>
  <si>
    <t>Cardiovascular diseases</t>
  </si>
  <si>
    <t>17 921·0 (17 590·5 to 18 276·8)</t>
  </si>
  <si>
    <t>Rheumatic heart disease</t>
  </si>
  <si>
    <t>319·4 (297·3 to 337·3)</t>
  </si>
  <si>
    <t>Ischaemic heart disease</t>
  </si>
  <si>
    <t>8917·0 (8751·6 to 9108·8)</t>
  </si>
  <si>
    <t>Cerebrovascular disease</t>
  </si>
  <si>
    <t>6326·1 (6175·2 to 6492·9)</t>
  </si>
  <si>
    <t>Ischaemic stroke</t>
  </si>
  <si>
    <t>2978·0 (2880·8 to 3068·8)</t>
  </si>
  <si>
    <t>Haemorrhagic stroke</t>
  </si>
  <si>
    <t>3348·2 (3240·9 to 3500·1)</t>
  </si>
  <si>
    <t>Hypertensive heart disease</t>
  </si>
  <si>
    <t>962·4 (873·6 to 1024·5)</t>
  </si>
  <si>
    <t>Cardiomyopathy and myocarditis</t>
  </si>
  <si>
    <t>353·7 (339·5 to 370·6)</t>
  </si>
  <si>
    <t>Atrial fibrillation and flutter</t>
  </si>
  <si>
    <t>195·3 (159·5 to 236·2)</t>
  </si>
  <si>
    <t>Aortic aneurysm</t>
  </si>
  <si>
    <t>168·2 (163·6 to 172·8)</t>
  </si>
  <si>
    <t>Peripheral vascular disease</t>
  </si>
  <si>
    <t>52·5 (49·7 to 55·7)</t>
  </si>
  <si>
    <t>Endocarditis</t>
  </si>
  <si>
    <t>84·9 (74·7 to 93·0)</t>
  </si>
  <si>
    <t>Other cardiovascular and circulatory diseases</t>
  </si>
  <si>
    <t>541·4 (521·7 to 561·2)</t>
  </si>
  <si>
    <t>Chronic respiratory diseases</t>
  </si>
  <si>
    <t>3795·5 (3683·9 to 3910·4)</t>
  </si>
  <si>
    <t>Chronic obstructive pulmonary disease</t>
  </si>
  <si>
    <t>3188·3 (3083·8 to 3292·5)</t>
  </si>
  <si>
    <t>Pneumoconiosis</t>
  </si>
  <si>
    <t>36·1 (31·5 to 40·7)</t>
  </si>
  <si>
    <t>Silicosis</t>
  </si>
  <si>
    <t>10·4 (9·4 to 11·7)</t>
  </si>
  <si>
    <t>Asbestosis</t>
  </si>
  <si>
    <t>3·6 (2·5 to 4·2)</t>
  </si>
  <si>
    <t>Coal workers pneumoconiosis</t>
  </si>
  <si>
    <t>2·5 (2·2 to 2·9)</t>
  </si>
  <si>
    <t>Other pneumoconiosis</t>
  </si>
  <si>
    <t>19·5 (15·8 to 23·2)</t>
  </si>
  <si>
    <t>Asthma</t>
  </si>
  <si>
    <t>397·1 (363·0 to 438·7)</t>
  </si>
  <si>
    <t>Interstitial lung disease and pulmonary sarcoidosis</t>
  </si>
  <si>
    <t>121·8 (94·1 to 135·2)</t>
  </si>
  <si>
    <t>Other chronic respiratory diseases</t>
  </si>
  <si>
    <t>52·1 (38·0 to 61·0)</t>
  </si>
  <si>
    <t>Cirrhosis and other chronic liver diseases</t>
  </si>
  <si>
    <t>1292·1 (1239·9 to 1371·7)</t>
  </si>
  <si>
    <t>Cirrhosis and other chronic liver diseases due to hepatitis B</t>
  </si>
  <si>
    <t>371·1 (341·6 to 410·0)</t>
  </si>
  <si>
    <t>Cirrhosis and other chronic liver diseases due to hepatitis C</t>
  </si>
  <si>
    <t>325·6 (301·8 to 349·9)</t>
  </si>
  <si>
    <t>Cirrhosis and other chronic liver diseases due to alcohol use</t>
  </si>
  <si>
    <t>347·9 (322·7 to 374·6)</t>
  </si>
  <si>
    <t>Cirrhosis and other chronic liver diseases due to other causes</t>
  </si>
  <si>
    <t>247·5 (230·3 to 272·2)</t>
  </si>
  <si>
    <t>Digestive diseases</t>
  </si>
  <si>
    <t>1203·0 (1150·5 to 1270·0)</t>
  </si>
  <si>
    <t>Peptic ulcer disease</t>
  </si>
  <si>
    <t>267·5 (249·4 to 290·0)</t>
  </si>
  <si>
    <t>Gastritis and duodenitis</t>
  </si>
  <si>
    <t>49·7 (41·8 to 60·1)</t>
  </si>
  <si>
    <t>Appendicitis</t>
  </si>
  <si>
    <t>50·1 (41·2 to 56·0)</t>
  </si>
  <si>
    <t>Paralytic ileus and intestinal obstruction</t>
  </si>
  <si>
    <t>264·3 (242·4 to 307·4)</t>
  </si>
  <si>
    <t>Inguinal, femoral, and abdominal hernia</t>
  </si>
  <si>
    <t>59·8 (41·1 to 69·2)</t>
  </si>
  <si>
    <t>Inflammatory bowel disease</t>
  </si>
  <si>
    <t>47·4 (43·5 to 51·7)</t>
  </si>
  <si>
    <t>Vascular intestinal disorders</t>
  </si>
  <si>
    <t>105·8 (99·0 to 114·3)</t>
  </si>
  <si>
    <t>Gallbladder and biliary diseases</t>
  </si>
  <si>
    <t>111·7 (105·3 to 120·0)</t>
  </si>
  <si>
    <t>Pancreatitis</t>
  </si>
  <si>
    <t>132·7 (122·9 to 144·0)</t>
  </si>
  <si>
    <t>Other digestive diseases</t>
  </si>
  <si>
    <t>114·0 (101·9 to 131·1)</t>
  </si>
  <si>
    <t>Neurological disorders</t>
  </si>
  <si>
    <t>2258·9 (1937·8 to 2574·4)</t>
  </si>
  <si>
    <t>Alzheimer's disease and other dementias</t>
  </si>
  <si>
    <t>1908·2 (1586·7 to 2229·1)</t>
  </si>
  <si>
    <t>Parkinson's disease</t>
  </si>
  <si>
    <t>117·4 (113·9 to 121·3)</t>
  </si>
  <si>
    <t>Epilepsy</t>
  </si>
  <si>
    <t>124·9 (119·3 to 131·0)</t>
  </si>
  <si>
    <t>Multiple sclerosis</t>
  </si>
  <si>
    <t>18·9 (17·3 to 20·0)</t>
  </si>
  <si>
    <t>Motor neuron disease</t>
  </si>
  <si>
    <t>35·2 (33·9 to 36·7)</t>
  </si>
  <si>
    <t>Other neurological disorders</t>
  </si>
  <si>
    <t>54·3 (53·0 to 57·5)</t>
  </si>
  <si>
    <t>Mental and substance use disorders</t>
  </si>
  <si>
    <t>324·9 (308·6 to 337·4)</t>
  </si>
  <si>
    <t>Schizophrenia</t>
  </si>
  <si>
    <t>16·9 (15·9 to 18·0)</t>
  </si>
  <si>
    <t>Alcohol use disorders</t>
  </si>
  <si>
    <t>137·5 (131·5 to 144·0)</t>
  </si>
  <si>
    <t>Drug use disorders</t>
  </si>
  <si>
    <t>169·9 (152·1 to 179·2)</t>
  </si>
  <si>
    <t>Opioid use disorders</t>
  </si>
  <si>
    <t>122·1 (109·5 to 129·7)</t>
  </si>
  <si>
    <t>Cocaine use disorders</t>
  </si>
  <si>
    <t>11·1 (8·5 to 12·2)</t>
  </si>
  <si>
    <t>Amphetamine use disorders</t>
  </si>
  <si>
    <t>12·2 (8·4 to 14·2)</t>
  </si>
  <si>
    <t>Other drug use disorders</t>
  </si>
  <si>
    <t>24·5 (22·7 to 27·3)</t>
  </si>
  <si>
    <t>Eating disorders</t>
  </si>
  <si>
    <t>0·7 (0·5 to 0·9)</t>
  </si>
  <si>
    <t>Anorexia nervosa</t>
  </si>
  <si>
    <t>0·6 (0·4 to 0·8)</t>
  </si>
  <si>
    <t>Bulimia nervosa</t>
  </si>
  <si>
    <t>0·1 (0·0 to 0·1)</t>
  </si>
  <si>
    <t>Diabetes, urogenital, blood, and endocrine diseases</t>
  </si>
  <si>
    <t>3409·3 (3287·5 to 3516·5)</t>
  </si>
  <si>
    <t>Diabetes mellitus</t>
  </si>
  <si>
    <t>1519·0 (1470·3 to 1576·0)</t>
  </si>
  <si>
    <t>Acute glomerulonephritis</t>
  </si>
  <si>
    <t>11·8 (7·8 to 13·3)</t>
  </si>
  <si>
    <t>Chronic kidney disease</t>
  </si>
  <si>
    <t>1234·9 (1131·7 to 1282·4)</t>
  </si>
  <si>
    <t>Chronic kidney disease due to diabetes mellitus</t>
  </si>
  <si>
    <t>417·8 (388·7 to 441·4)</t>
  </si>
  <si>
    <t>Chronic kidney disease due to hypertension</t>
  </si>
  <si>
    <t>549·5 (501·6 to 575·6)</t>
  </si>
  <si>
    <t>Chronic kidney disease due to glomerulonephritis</t>
  </si>
  <si>
    <t>237·7 (212·6 to 255·9)</t>
  </si>
  <si>
    <t>Chronic kidney disease due to other causes</t>
  </si>
  <si>
    <t>30·0 (25·0 to 35·2)</t>
  </si>
  <si>
    <t>Urinary diseases and male infertility</t>
  </si>
  <si>
    <t>261·7 (243·2 to 277·6)</t>
  </si>
  <si>
    <t>Interstitial nephritis and urinary tract infections</t>
  </si>
  <si>
    <t>196·4 (181·5 to 211·0)</t>
  </si>
  <si>
    <t>Urolithiasis</t>
  </si>
  <si>
    <t>16·1 (14·0 to 20·3)</t>
  </si>
  <si>
    <t>Other urinary diseases</t>
  </si>
  <si>
    <t>49·2 (41·2 to 55·4)</t>
  </si>
  <si>
    <t>Gynaecological diseases</t>
  </si>
  <si>
    <t>7·9 (5·9 to 9·2)</t>
  </si>
  <si>
    <t>Uterine fibroids</t>
  </si>
  <si>
    <t>2·3 (1·2 to 3·0)</t>
  </si>
  <si>
    <t>Polycystic ovarian syndrome</t>
  </si>
  <si>
    <t>0·6 (0·2 to 1·0)</t>
  </si>
  <si>
    <t>Endometriosis</t>
  </si>
  <si>
    <t>Genital prolapse</t>
  </si>
  <si>
    <t>0·9 (0·6 to 1·5)</t>
  </si>
  <si>
    <t>Other gynaecological diseases</t>
  </si>
  <si>
    <t>4·0 (3·0 to 4·8)</t>
  </si>
  <si>
    <t>Haemoglobinopathies and haemolytic anaemias</t>
  </si>
  <si>
    <t>226·9 (177·2 to 306·2)</t>
  </si>
  <si>
    <t>Thalassaemias</t>
  </si>
  <si>
    <t>16·8 (13·9 to 20·2)</t>
  </si>
  <si>
    <t>Sickle cell disorders</t>
  </si>
  <si>
    <t>114·8 (78·3 to 183·2)</t>
  </si>
  <si>
    <t>Glucose-6-phosphate dehydrogenase deficiency</t>
  </si>
  <si>
    <t>33·0 (28·0 to 38·9)</t>
  </si>
  <si>
    <t>Other haemoglobinopathies and haemolytic anaemias</t>
  </si>
  <si>
    <t>62·3 (54·7 to 71·1)</t>
  </si>
  <si>
    <t>Endocrine, metabolic, blood, and immune disorders</t>
  </si>
  <si>
    <t>147·3 (142·5 to 151·7)</t>
  </si>
  <si>
    <t>Musculoskeletal disorders</t>
  </si>
  <si>
    <t>90·1 (82·5 to 94·6)</t>
  </si>
  <si>
    <t>Rheumatoid arthritis</t>
  </si>
  <si>
    <t>30·0 (27·0 to 34·6)</t>
  </si>
  <si>
    <t>Other musculoskeletal disorders</t>
  </si>
  <si>
    <t>60·1 (53·1 to 63·5)</t>
  </si>
  <si>
    <t>Other non-communicable diseases</t>
  </si>
  <si>
    <t>744·6 (667·8 to 811·6)</t>
  </si>
  <si>
    <t>Congenital anomalies</t>
  </si>
  <si>
    <t>627·8 (567·3 to 694·4)</t>
  </si>
  <si>
    <t>Neural tube defects</t>
  </si>
  <si>
    <t>64·6 (47·9 to 83·4)</t>
  </si>
  <si>
    <t>Congenital heart anomalies</t>
  </si>
  <si>
    <t>303·3 (268·8 to 335·4)</t>
  </si>
  <si>
    <t>Cleft lip and cleft palate</t>
  </si>
  <si>
    <t>1·3 (1·1 to 1·7)</t>
  </si>
  <si>
    <t>Down's syndrome</t>
  </si>
  <si>
    <t>26·5 (19·1 to 36·9)</t>
  </si>
  <si>
    <t>Other chromosomal abnormalities</t>
  </si>
  <si>
    <t>22·7 (12·9 to 40·5)</t>
  </si>
  <si>
    <t>Other congenital anomalies</t>
  </si>
  <si>
    <t>209·4 (188·9 to 241·3)</t>
  </si>
  <si>
    <t>Skin and subcutaneous diseases</t>
  </si>
  <si>
    <t>97·6 (66·6 to 128·8)</t>
  </si>
  <si>
    <t>Cellulitis</t>
  </si>
  <si>
    <t>16·9 (10·4 to 23·0)</t>
  </si>
  <si>
    <t>Pyoderma</t>
  </si>
  <si>
    <t>44·1 (31·1 to 62·8)</t>
  </si>
  <si>
    <t>Decubitus ulcer</t>
  </si>
  <si>
    <t>32·4 (19·3 to 40·0)</t>
  </si>
  <si>
    <t>Other skin and subcutaneous diseases</t>
  </si>
  <si>
    <t>4·2 (3·0 to 5·8)</t>
  </si>
  <si>
    <t>Sudden infant death syndrome</t>
  </si>
  <si>
    <t>19·2 (15·9 to 27·5)</t>
  </si>
  <si>
    <t>Injuries</t>
  </si>
  <si>
    <t>4725·1 (4398·5 to 4905·2)</t>
  </si>
  <si>
    <t>Transport injuries</t>
  </si>
  <si>
    <t>1466·6 (1394·8 to 1536·5)</t>
  </si>
  <si>
    <t>Road injuries</t>
  </si>
  <si>
    <t>1361·7 (1294·0 to 1428·1)</t>
  </si>
  <si>
    <t>Pedestrian road injuries</t>
  </si>
  <si>
    <t>560·6 (525·8 to 617·1)</t>
  </si>
  <si>
    <t>Cyclist road injuries</t>
  </si>
  <si>
    <t>58·7 (54·4 to 64·4)</t>
  </si>
  <si>
    <t>Motorcyclist road injuries</t>
  </si>
  <si>
    <t>257·1 (230·6 to 290·9)</t>
  </si>
  <si>
    <t>Motor vehicle road injuries</t>
  </si>
  <si>
    <t>464·2 (417·8 to 508·3)</t>
  </si>
  <si>
    <t>Other road injuries</t>
  </si>
  <si>
    <t>21·1 (14·0 to 24·8)</t>
  </si>
  <si>
    <t>Other transport injuries</t>
  </si>
  <si>
    <t>104·9 (90·5 to 127·2)</t>
  </si>
  <si>
    <t>Unintentional injuries</t>
  </si>
  <si>
    <t>1838·7 (1634·6 to 1939·1)</t>
  </si>
  <si>
    <t>Falls</t>
  </si>
  <si>
    <t>527·2 (467·8 to 554·5)</t>
  </si>
  <si>
    <t>Drowning</t>
  </si>
  <si>
    <t>323·8 (285·8 to 347·5)</t>
  </si>
  <si>
    <t>Fire, heat, and hot substances</t>
  </si>
  <si>
    <t>176·0 (145·1 to 189·6)</t>
  </si>
  <si>
    <t>Poisonings</t>
  </si>
  <si>
    <t>86·4 (58·6 to 101·0)</t>
  </si>
  <si>
    <t>Exposure to mechanical forces</t>
  </si>
  <si>
    <t>200·6 (157·6 to 216·7)</t>
  </si>
  <si>
    <t>Unintentional firearm injuries</t>
  </si>
  <si>
    <t>32·0 (23·3 to 35·1)</t>
  </si>
  <si>
    <t>Unintentional suffocation</t>
  </si>
  <si>
    <t>35·6 (25·6 to 40·3)</t>
  </si>
  <si>
    <t>Other exposure to mechanical forces</t>
  </si>
  <si>
    <t>133·0 (101·1 to 145·1)</t>
  </si>
  <si>
    <t>Adverse effects of medical treatment</t>
  </si>
  <si>
    <t>99·8 (77·3 to 109·0)</t>
  </si>
  <si>
    <t>Animal contact</t>
  </si>
  <si>
    <t>94·0 (55·8 to 132·3)</t>
  </si>
  <si>
    <t>Venomous animal contact</t>
  </si>
  <si>
    <t>79·6 (44·2 to 115·9)</t>
  </si>
  <si>
    <t>Non-venomous animal contact</t>
  </si>
  <si>
    <t>14·4 (11·4 to 16·4)</t>
  </si>
  <si>
    <t>Foreign body</t>
  </si>
  <si>
    <t>151·6 (132·6 to 169·8)</t>
  </si>
  <si>
    <t>Pulmonary aspiration and foreign body in airway</t>
  </si>
  <si>
    <t>124·0 (105·5 to 143·2)</t>
  </si>
  <si>
    <t>Foreign body in other body part</t>
  </si>
  <si>
    <t>27·6 (20·3 to 34·4)</t>
  </si>
  <si>
    <t>Environmental heat and cold exposure</t>
  </si>
  <si>
    <t>45·2 (33·5 to 49·5)</t>
  </si>
  <si>
    <t>Other unintentional injuries</t>
  </si>
  <si>
    <t>134·2 (124·8 to 147·8)</t>
  </si>
  <si>
    <t>Self-harm and interpersonal violence</t>
  </si>
  <si>
    <t>1236·7 (1130·1 to 1287·9)</t>
  </si>
  <si>
    <t>Self-harm</t>
  </si>
  <si>
    <t>828·1 (745·8 to 868·7)</t>
  </si>
  <si>
    <t>Interpersonal violence</t>
  </si>
  <si>
    <t>408·6 (370·5 to 431·5)</t>
  </si>
  <si>
    <t>Assault by firearm</t>
  </si>
  <si>
    <t>173·1 (149·3 to 183·2)</t>
  </si>
  <si>
    <t>Assault by sharp object</t>
  </si>
  <si>
    <t>89·5 (83·3 to 97·3)</t>
  </si>
  <si>
    <t>Assault by other means</t>
  </si>
  <si>
    <t>145·9 (129·6 to 159·7)</t>
  </si>
  <si>
    <t>Forces of nature, war, and legal intervention</t>
  </si>
  <si>
    <t>183·1 (100·0 to 263·8)</t>
  </si>
  <si>
    <t>Exposure to forces of nature</t>
  </si>
  <si>
    <t>11·8 (7·2 to 16·4)</t>
  </si>
  <si>
    <t>Collective violence and legal intervention</t>
  </si>
  <si>
    <t>171·3 (88·1 to 251·1)</t>
  </si>
  <si>
    <t>https://ssl.gstatic.com/dictionary/static/pronunciation/2021-06-17/audio/ha/haemophilus%20ducreyi_en_us_1.mp3</t>
  </si>
  <si>
    <t>https://ssl.gstatic.com/dictionary/static/pronunciation/2021-06-17/audio/ha/haemophilus%20influenzae_en_us_1.mp3</t>
  </si>
  <si>
    <t>https://dictionary.cambridge.org/us/media/english/us_pron/c/ces/cespu/cespus000483.mp3</t>
  </si>
  <si>
    <t>https://www.merriam-webster.com/dictionary/parainfluenza%20virus?pronunciation&amp;lang=en_us&amp;dir=p&amp;file=parain01</t>
  </si>
  <si>
    <t>https://en-audio.howtopronounce.com/15756076575de9dd691f7a6.mp3</t>
  </si>
  <si>
    <t/>
  </si>
  <si>
    <t>Table 2 - Autogenerated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</si>
</sst>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mmmyyyy"/>
    <numFmt numFmtId="166" formatCode="mmmmyyyy"/>
    <numFmt numFmtId="167" formatCode="m/d/yy"/>
    <numFmt numFmtId="168" formatCode="0.000%"/>
    <numFmt numFmtId="169" formatCode="0.000000%"/>
  </numFmts>
  <fonts count="82">
    <font>
      <sz val="10"/>
      <color rgb="FF000000"/>
      <name val="Arial"/>
    </font>
    <font>
      <b/>
      <sz val="10"/>
      <color theme="1"/>
      <name val="Arial"/>
    </font>
    <font>
      <b/>
      <sz val="12"/>
      <color theme="1"/>
      <name val="Arial"/>
    </font>
    <font>
      <sz val="10"/>
      <name val="Arial"/>
    </font>
    <font>
      <u/>
      <sz val="10"/>
      <color rgb="FF1155CC"/>
      <name val="Arial"/>
    </font>
    <font>
      <sz val="10"/>
      <color theme="1"/>
      <name val="Arial"/>
    </font>
    <font>
      <b/>
      <sz val="10"/>
      <color theme="0"/>
      <name val="Arial"/>
    </font>
    <font>
      <sz val="11"/>
      <color theme="0"/>
      <name val="Arial"/>
    </font>
    <font>
      <sz val="10"/>
      <color theme="0"/>
      <name val="Arial"/>
    </font>
    <font>
      <sz val="11"/>
      <color theme="0"/>
      <name val="Inconsolata"/>
    </font>
    <font>
      <u/>
      <sz val="10"/>
      <color rgb="FF1155CC"/>
      <name val="Arial"/>
    </font>
    <font>
      <sz val="10"/>
      <color rgb="FF000000"/>
      <name val="Arial"/>
    </font>
    <font>
      <sz val="10"/>
      <color theme="1"/>
      <name val="Arial"/>
    </font>
    <font>
      <i/>
      <sz val="10"/>
      <color theme="1"/>
      <name val="Arial"/>
    </font>
    <font>
      <b/>
      <sz val="10"/>
      <color theme="1"/>
      <name val="Arial"/>
    </font>
    <font>
      <sz val="11"/>
      <color rgb="FF000000"/>
      <name val="Inconsolata"/>
    </font>
    <font>
      <sz val="11"/>
      <color rgb="FFF4B400"/>
      <name val="Inconsolata"/>
    </font>
    <font>
      <sz val="11"/>
      <color rgb="FF000000"/>
      <name val="Arial"/>
    </font>
    <font>
      <b/>
      <u/>
      <sz val="10"/>
      <color rgb="FF0000FF"/>
      <name val="Arial"/>
    </font>
    <font>
      <u/>
      <sz val="10"/>
      <color rgb="FF0000FF"/>
      <name val="Arial"/>
    </font>
    <font>
      <u/>
      <sz val="10"/>
      <color rgb="FF1155CC"/>
      <name val="Arial"/>
    </font>
    <font>
      <u/>
      <sz val="10"/>
      <color rgb="FF1155CC"/>
      <name val="Arial"/>
    </font>
    <font>
      <u/>
      <sz val="10"/>
      <color rgb="FF0000FF"/>
      <name val="Arial"/>
    </font>
    <font>
      <u/>
      <sz val="10"/>
      <color rgb="FF0000FF"/>
      <name val="Arial"/>
    </font>
    <font>
      <sz val="10"/>
      <color rgb="FF212121"/>
      <name val="Arial"/>
    </font>
    <font>
      <u/>
      <sz val="10"/>
      <color rgb="FF0000FF"/>
      <name val="Arial"/>
    </font>
    <font>
      <sz val="10"/>
      <color rgb="FF212121"/>
      <name val="BlinkMacSystemFont"/>
    </font>
    <font>
      <u/>
      <sz val="10"/>
      <color rgb="FF1155CC"/>
      <name val="Arial"/>
    </font>
    <font>
      <u/>
      <sz val="10"/>
      <color rgb="FF0000FF"/>
      <name val="Arial"/>
    </font>
    <font>
      <u/>
      <sz val="10"/>
      <color rgb="FF0000FF"/>
      <name val="Arial"/>
    </font>
    <font>
      <u/>
      <sz val="10"/>
      <color rgb="FF0000FF"/>
      <name val="Arial"/>
    </font>
    <font>
      <u/>
      <sz val="10"/>
      <color rgb="FF1155CC"/>
      <name val="Arial"/>
    </font>
    <font>
      <b/>
      <sz val="10"/>
      <color rgb="FF000000"/>
      <name val="Arial"/>
    </font>
    <font>
      <sz val="10"/>
      <color rgb="FF000000"/>
      <name val="YbkxghAdvTTb5929f4c"/>
    </font>
    <font>
      <sz val="10"/>
      <color rgb="FF000000"/>
      <name val="MinionPro"/>
    </font>
    <font>
      <sz val="10"/>
      <color rgb="FF000000"/>
      <name val="AdvOT1ef757c0"/>
    </font>
    <font>
      <sz val="10"/>
      <color rgb="FF000000"/>
      <name val="Helvetica"/>
    </font>
    <font>
      <u/>
      <sz val="10"/>
      <color rgb="FF1155CC"/>
      <name val="Arial"/>
    </font>
    <font>
      <u/>
      <sz val="10"/>
      <color rgb="FF0000FF"/>
      <name val="Arial"/>
    </font>
    <font>
      <u/>
      <sz val="10"/>
      <color rgb="FF1155CC"/>
      <name val="Arial"/>
    </font>
    <font>
      <u/>
      <sz val="10"/>
      <color rgb="FF0000FF"/>
      <name val="Arial"/>
    </font>
    <font>
      <u/>
      <sz val="10"/>
      <color rgb="FF1155CC"/>
      <name val="Arial"/>
    </font>
    <font>
      <u/>
      <sz val="10"/>
      <color rgb="FF1155CC"/>
      <name val="Arial"/>
    </font>
    <font>
      <u/>
      <sz val="10"/>
      <color rgb="FF1155CC"/>
      <name val="Arial"/>
    </font>
    <font>
      <u/>
      <sz val="10"/>
      <color rgb="FF1155CC"/>
      <name val="Arial"/>
    </font>
    <font>
      <u/>
      <sz val="10"/>
      <color rgb="FF0000FF"/>
      <name val="Arial"/>
    </font>
    <font>
      <u/>
      <sz val="10"/>
      <color rgb="FF0000FF"/>
      <name val="Arial"/>
    </font>
    <font>
      <u/>
      <sz val="10"/>
      <color rgb="FF1155CC"/>
      <name val="Arial"/>
    </font>
    <font>
      <u/>
      <sz val="10"/>
      <color rgb="FF0000FF"/>
      <name val="Arial"/>
    </font>
    <font>
      <u/>
      <sz val="10"/>
      <color rgb="FF0000FF"/>
      <name val="Arial"/>
    </font>
    <font>
      <sz val="10"/>
      <color rgb="FF212121"/>
      <name val="Arial"/>
    </font>
    <font>
      <u/>
      <sz val="10"/>
      <color rgb="FF0000FF"/>
      <name val="Arial"/>
    </font>
    <font>
      <u/>
      <sz val="10"/>
      <color rgb="FF1155CC"/>
      <name val="Arial"/>
    </font>
    <font>
      <u/>
      <sz val="10"/>
      <color rgb="FF0000FF"/>
      <name val="Arial"/>
    </font>
    <font>
      <u/>
      <sz val="10"/>
      <color rgb="FF1155CC"/>
      <name val="Arial"/>
    </font>
    <font>
      <u/>
      <sz val="10"/>
      <color rgb="FF1155CC"/>
      <name val="Arial"/>
    </font>
    <font>
      <u/>
      <sz val="10"/>
      <color rgb="FF1155CC"/>
      <name val="Arial"/>
    </font>
    <font>
      <u/>
      <sz val="10"/>
      <color rgb="FF1155CC"/>
      <name val="Arial"/>
    </font>
    <font>
      <u/>
      <sz val="10"/>
      <color rgb="FF0000FF"/>
      <name val="Arial"/>
    </font>
    <font>
      <sz val="12"/>
      <color rgb="FF000000"/>
      <name val="Calibri"/>
    </font>
    <font>
      <u/>
      <sz val="10"/>
      <color rgb="FF0000FF"/>
      <name val="Arial"/>
    </font>
    <font>
      <u/>
      <sz val="10"/>
      <color rgb="FF0000FF"/>
      <name val="Arial"/>
    </font>
    <font>
      <u/>
      <sz val="10"/>
      <color rgb="FF1155CC"/>
      <name val="Arial"/>
    </font>
    <font>
      <u/>
      <sz val="11"/>
      <color rgb="FF1155CC"/>
      <name val="Inconsolata"/>
    </font>
    <font>
      <sz val="10"/>
      <color rgb="FF1155CC"/>
      <name val="Arial"/>
    </font>
    <font>
      <u/>
      <sz val="10"/>
      <color rgb="FF1155CC"/>
      <name val="Arial"/>
    </font>
    <font>
      <u/>
      <sz val="10"/>
      <color rgb="FF0071BC"/>
      <name val="System-ui"/>
    </font>
    <font>
      <u/>
      <sz val="10"/>
      <color rgb="FF0000FF"/>
      <name val="Arial"/>
    </font>
    <font>
      <u/>
      <sz val="10"/>
      <color rgb="FF1155CC"/>
      <name val="Arial"/>
    </font>
    <font>
      <sz val="10"/>
      <color rgb="FF000000"/>
      <name val="&quot;Times New Roman&quot;"/>
    </font>
    <font>
      <u/>
      <sz val="10"/>
      <color rgb="FF222222"/>
      <name val="Sans-serif"/>
    </font>
    <font>
      <u/>
      <sz val="10"/>
      <color rgb="FF222222"/>
      <name val="Sans-serif"/>
    </font>
    <font>
      <u/>
      <sz val="10"/>
      <color rgb="FF000000"/>
      <name val="&quot;Times New Roman&quot;"/>
    </font>
    <font>
      <b/>
      <sz val="10"/>
      <color rgb="FF000000"/>
      <name val="&quot;Times New Roman&quot;"/>
    </font>
    <font>
      <b/>
      <u/>
      <sz val="10"/>
      <color rgb="FF1155CC"/>
      <name val="Arial"/>
    </font>
    <font>
      <b/>
      <sz val="10"/>
      <name val="Arial"/>
    </font>
    <font>
      <u/>
      <sz val="10"/>
      <color rgb="FF000000"/>
      <name val="Arial"/>
    </font>
    <font>
      <u/>
      <sz val="10"/>
      <color rgb="FF222222"/>
      <name val="Arial"/>
    </font>
    <font>
      <sz val="10"/>
      <color rgb="FF222222"/>
      <name val="Arial"/>
    </font>
    <font>
      <u/>
      <sz val="10"/>
      <color theme="10"/>
      <name val="Arial"/>
    </font>
    <font>
      <sz val="10"/>
      <color theme="1"/>
      <name val="Arial"/>
      <family val="2"/>
    </font>
    <font>
      <sz val="8"/>
      <name val="Segoe UI"/>
      <family val="2"/>
    </font>
  </fonts>
  <fills count="9">
    <fill>
      <patternFill patternType="none"/>
    </fill>
    <fill>
      <patternFill patternType="gray125"/>
    </fill>
    <fill>
      <patternFill patternType="solid">
        <fgColor rgb="FFEFEFEF"/>
        <bgColor rgb="FFEFEFEF"/>
      </patternFill>
    </fill>
    <fill>
      <patternFill patternType="solid">
        <fgColor theme="0"/>
        <bgColor theme="0"/>
      </patternFill>
    </fill>
    <fill>
      <patternFill patternType="solid">
        <fgColor rgb="FFD9D9D9"/>
        <bgColor rgb="FFD9D9D9"/>
      </patternFill>
    </fill>
    <fill>
      <patternFill patternType="solid">
        <fgColor rgb="FFFFFFFF"/>
        <bgColor rgb="FFFFFFFF"/>
      </patternFill>
    </fill>
    <fill>
      <patternFill patternType="solid">
        <fgColor rgb="FFE06666"/>
        <bgColor rgb="FFE06666"/>
      </patternFill>
    </fill>
    <fill>
      <patternFill patternType="solid">
        <fgColor rgb="FFBDBDBD"/>
        <bgColor rgb="FFBDBDBD"/>
      </patternFill>
    </fill>
    <fill>
      <patternFill patternType="solid">
        <fgColor rgb="FFF3F3F3"/>
        <bgColor rgb="FFF3F3F3"/>
      </patternFill>
    </fill>
  </fills>
  <borders count="19">
    <border>
      <left/>
      <right/>
      <top/>
      <bottom/>
      <diagonal/>
    </border>
    <border>
      <left style="medium">
        <color rgb="FFB7B7B7"/>
      </left>
      <right/>
      <top style="medium">
        <color rgb="FFB7B7B7"/>
      </top>
      <bottom/>
      <diagonal/>
    </border>
    <border>
      <left/>
      <right style="medium">
        <color rgb="FFB7B7B7"/>
      </right>
      <top style="medium">
        <color rgb="FFB7B7B7"/>
      </top>
      <bottom/>
      <diagonal/>
    </border>
    <border>
      <left style="medium">
        <color rgb="FFB7B7B7"/>
      </left>
      <right/>
      <top/>
      <bottom/>
      <diagonal/>
    </border>
    <border>
      <left/>
      <right style="medium">
        <color rgb="FFB7B7B7"/>
      </right>
      <top/>
      <bottom/>
      <diagonal/>
    </border>
    <border>
      <left style="medium">
        <color rgb="FFB7B7B7"/>
      </left>
      <right/>
      <top/>
      <bottom style="medium">
        <color rgb="FFB7B7B7"/>
      </bottom>
      <diagonal/>
    </border>
    <border>
      <left/>
      <right style="medium">
        <color rgb="FFB7B7B7"/>
      </right>
      <top/>
      <bottom style="medium">
        <color rgb="FFB7B7B7"/>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s>
  <cellStyleXfs count="2">
    <xf numFmtId="0" fontId="0" fillId="0" borderId="0"/>
    <xf numFmtId="0" fontId="79" fillId="0" borderId="0" applyNumberFormat="0" applyFill="0" applyBorder="0" applyAlignment="0" applyProtection="0"/>
  </cellStyleXfs>
  <cellXfs count="443">
    <xf numFmtId="0" fontId="0" fillId="0" borderId="0" xfId="0" applyFont="1" applyAlignment="1"/>
    <xf numFmtId="0" fontId="1" fillId="0" borderId="0" xfId="0" applyFont="1" applyAlignment="1">
      <alignment horizontal="left" vertical="center"/>
    </xf>
    <xf numFmtId="0" fontId="1" fillId="0" borderId="0" xfId="0" applyFont="1" applyAlignment="1">
      <alignment horizontal="center" wrapText="1"/>
    </xf>
    <xf numFmtId="0" fontId="4" fillId="0" borderId="0" xfId="0" applyFont="1" applyAlignment="1">
      <alignment vertical="center"/>
    </xf>
    <xf numFmtId="0" fontId="5" fillId="0" borderId="0" xfId="0" applyFont="1" applyAlignment="1">
      <alignment wrapText="1"/>
    </xf>
    <xf numFmtId="0" fontId="6" fillId="0" borderId="0" xfId="0" applyFont="1" applyAlignment="1">
      <alignment horizontal="center"/>
    </xf>
    <xf numFmtId="0" fontId="5" fillId="2" borderId="3" xfId="0" applyFont="1" applyFill="1" applyBorder="1" applyAlignment="1">
      <alignment horizontal="right" vertical="center"/>
    </xf>
    <xf numFmtId="0" fontId="7" fillId="0" borderId="0" xfId="0" applyFont="1" applyAlignment="1">
      <alignment horizontal="center"/>
    </xf>
    <xf numFmtId="0" fontId="8" fillId="0" borderId="0" xfId="0" applyFont="1" applyAlignment="1">
      <alignment horizontal="center"/>
    </xf>
    <xf numFmtId="0" fontId="5" fillId="0" borderId="0" xfId="0" applyFont="1" applyAlignment="1">
      <alignment vertical="center"/>
    </xf>
    <xf numFmtId="0" fontId="5" fillId="0" borderId="0" xfId="0" applyFont="1" applyAlignment="1">
      <alignment wrapText="1"/>
    </xf>
    <xf numFmtId="0" fontId="1" fillId="0" borderId="0" xfId="0" applyFont="1" applyAlignment="1">
      <alignment vertical="center"/>
    </xf>
    <xf numFmtId="0" fontId="5" fillId="2" borderId="5" xfId="0" applyFont="1" applyFill="1" applyBorder="1" applyAlignment="1">
      <alignment horizontal="right" vertical="center"/>
    </xf>
    <xf numFmtId="0" fontId="9" fillId="3" borderId="0" xfId="0" applyFont="1" applyFill="1" applyAlignment="1">
      <alignment vertical="center"/>
    </xf>
    <xf numFmtId="0" fontId="5" fillId="0" borderId="0" xfId="0" applyFont="1" applyAlignment="1"/>
    <xf numFmtId="0" fontId="10" fillId="0" borderId="0" xfId="0" applyFont="1" applyAlignment="1">
      <alignment vertical="center"/>
    </xf>
    <xf numFmtId="0" fontId="1" fillId="0" borderId="0" xfId="0" applyFont="1" applyAlignment="1">
      <alignment vertical="center" wrapText="1"/>
    </xf>
    <xf numFmtId="0" fontId="1" fillId="2" borderId="10" xfId="0" applyFont="1" applyFill="1" applyBorder="1" applyAlignment="1">
      <alignment horizontal="center" wrapText="1"/>
    </xf>
    <xf numFmtId="0" fontId="1" fillId="2" borderId="10" xfId="0" applyFont="1" applyFill="1" applyBorder="1" applyAlignment="1">
      <alignment horizontal="center"/>
    </xf>
    <xf numFmtId="0" fontId="5" fillId="0" borderId="10" xfId="0" applyFont="1" applyBorder="1" applyAlignment="1">
      <alignment wrapText="1"/>
    </xf>
    <xf numFmtId="0" fontId="5" fillId="0" borderId="10" xfId="0" applyFont="1" applyBorder="1" applyAlignment="1">
      <alignment horizontal="center"/>
    </xf>
    <xf numFmtId="0" fontId="5" fillId="0" borderId="10" xfId="0" applyFont="1" applyBorder="1" applyAlignment="1"/>
    <xf numFmtId="0" fontId="5" fillId="0" borderId="10" xfId="0" applyFont="1" applyBorder="1" applyAlignment="1">
      <alignment horizontal="center" wrapText="1"/>
    </xf>
    <xf numFmtId="0" fontId="5" fillId="0" borderId="10" xfId="0" applyFont="1" applyBorder="1" applyAlignment="1"/>
    <xf numFmtId="0" fontId="5" fillId="0" borderId="10" xfId="0" applyFont="1" applyBorder="1" applyAlignment="1"/>
    <xf numFmtId="0" fontId="5" fillId="0" borderId="10" xfId="0" applyFont="1" applyBorder="1" applyAlignment="1">
      <alignment horizontal="center"/>
    </xf>
    <xf numFmtId="0" fontId="11" fillId="0" borderId="10" xfId="0" applyFont="1" applyBorder="1" applyAlignment="1">
      <alignment wrapText="1"/>
    </xf>
    <xf numFmtId="0" fontId="5" fillId="0" borderId="10" xfId="0" applyFont="1" applyBorder="1" applyAlignment="1">
      <alignment wrapText="1"/>
    </xf>
    <xf numFmtId="0" fontId="5" fillId="0" borderId="0" xfId="0" applyFont="1" applyAlignment="1"/>
    <xf numFmtId="0" fontId="1" fillId="0" borderId="10" xfId="0" applyFont="1" applyBorder="1" applyAlignment="1"/>
    <xf numFmtId="0" fontId="5" fillId="0" borderId="0" xfId="0" applyFont="1" applyAlignment="1">
      <alignment horizontal="right"/>
    </xf>
    <xf numFmtId="0" fontId="5" fillId="0" borderId="0" xfId="0" applyFont="1" applyAlignment="1">
      <alignment horizontal="left"/>
    </xf>
    <xf numFmtId="0" fontId="5" fillId="0" borderId="10" xfId="0" applyFont="1" applyBorder="1" applyAlignment="1">
      <alignment horizontal="right"/>
    </xf>
    <xf numFmtId="0" fontId="5" fillId="0" borderId="10" xfId="0" applyFont="1" applyBorder="1"/>
    <xf numFmtId="0" fontId="5" fillId="0" borderId="10" xfId="0" applyFont="1" applyBorder="1" applyAlignment="1">
      <alignment horizontal="right" wrapText="1"/>
    </xf>
    <xf numFmtId="0" fontId="5" fillId="0" borderId="10" xfId="0" applyFont="1" applyBorder="1" applyAlignment="1">
      <alignment wrapText="1"/>
    </xf>
    <xf numFmtId="0" fontId="5" fillId="0" borderId="0" xfId="0" applyFont="1" applyAlignment="1">
      <alignment horizontal="left" wrapText="1"/>
    </xf>
    <xf numFmtId="0" fontId="12" fillId="0" borderId="10" xfId="0" applyFont="1" applyBorder="1" applyAlignment="1">
      <alignment horizontal="right" wrapText="1"/>
    </xf>
    <xf numFmtId="0" fontId="0" fillId="0" borderId="10" xfId="0" applyFont="1" applyBorder="1" applyAlignment="1">
      <alignment horizontal="right" wrapText="1"/>
    </xf>
    <xf numFmtId="0" fontId="5" fillId="0" borderId="11" xfId="0" applyFont="1" applyBorder="1" applyAlignment="1">
      <alignment horizontal="right" wrapText="1"/>
    </xf>
    <xf numFmtId="0" fontId="5" fillId="0" borderId="11" xfId="0" applyFont="1" applyBorder="1"/>
    <xf numFmtId="0" fontId="5" fillId="0" borderId="12" xfId="0" applyFont="1" applyBorder="1" applyAlignment="1">
      <alignment horizontal="right"/>
    </xf>
    <xf numFmtId="0" fontId="5" fillId="0" borderId="12" xfId="0" applyFont="1" applyBorder="1"/>
    <xf numFmtId="0" fontId="5" fillId="6" borderId="0" xfId="0" applyFont="1" applyFill="1" applyAlignment="1">
      <alignment horizontal="center" vertical="center" wrapText="1"/>
    </xf>
    <xf numFmtId="0" fontId="5" fillId="0" borderId="13" xfId="0" applyFont="1" applyBorder="1" applyAlignment="1">
      <alignment horizontal="center" vertical="center" wrapText="1"/>
    </xf>
    <xf numFmtId="0" fontId="5" fillId="0" borderId="0" xfId="0" applyFont="1"/>
    <xf numFmtId="0" fontId="5" fillId="0" borderId="0" xfId="0" applyFont="1" applyAlignment="1">
      <alignment horizontal="center" vertical="center" wrapText="1"/>
    </xf>
    <xf numFmtId="0" fontId="5" fillId="6" borderId="7" xfId="0" applyFont="1" applyFill="1" applyBorder="1" applyAlignment="1">
      <alignment horizontal="center" vertical="center" wrapText="1"/>
    </xf>
    <xf numFmtId="0" fontId="5" fillId="6" borderId="13" xfId="0" applyFont="1" applyFill="1" applyBorder="1" applyAlignment="1">
      <alignment horizontal="center" vertical="center" wrapText="1"/>
    </xf>
    <xf numFmtId="0" fontId="5" fillId="6" borderId="12" xfId="0" applyFont="1" applyFill="1" applyBorder="1" applyAlignment="1">
      <alignment horizontal="center" vertical="center" wrapText="1"/>
    </xf>
    <xf numFmtId="0" fontId="5" fillId="6" borderId="0" xfId="0" applyFont="1" applyFill="1" applyAlignment="1">
      <alignment horizontal="center" vertical="center" wrapText="1"/>
    </xf>
    <xf numFmtId="0" fontId="5" fillId="7" borderId="7" xfId="0" applyFont="1" applyFill="1" applyBorder="1" applyAlignment="1">
      <alignment horizontal="center" vertical="center" wrapText="1"/>
    </xf>
    <xf numFmtId="0" fontId="5" fillId="7" borderId="9" xfId="0" applyFont="1" applyFill="1" applyBorder="1" applyAlignment="1">
      <alignment horizontal="center" vertical="center" wrapText="1"/>
    </xf>
    <xf numFmtId="0" fontId="5" fillId="6" borderId="15" xfId="0" applyFont="1" applyFill="1" applyBorder="1" applyAlignment="1">
      <alignment horizontal="right" wrapText="1"/>
    </xf>
    <xf numFmtId="0" fontId="5" fillId="6" borderId="12" xfId="0" applyFont="1" applyFill="1" applyBorder="1" applyAlignment="1">
      <alignment horizontal="right" vertical="center" wrapText="1"/>
    </xf>
    <xf numFmtId="164" fontId="5" fillId="6" borderId="14" xfId="0" applyNumberFormat="1" applyFont="1" applyFill="1" applyBorder="1" applyAlignment="1">
      <alignment horizontal="left" vertical="center" wrapText="1"/>
    </xf>
    <xf numFmtId="0" fontId="5" fillId="5" borderId="15" xfId="0" applyFont="1" applyFill="1" applyBorder="1"/>
    <xf numFmtId="0" fontId="5" fillId="5" borderId="0" xfId="0" applyFont="1" applyFill="1"/>
    <xf numFmtId="0" fontId="5" fillId="5" borderId="16" xfId="0" applyFont="1" applyFill="1" applyBorder="1"/>
    <xf numFmtId="0" fontId="5" fillId="6" borderId="15" xfId="0" applyFont="1" applyFill="1" applyBorder="1" applyAlignment="1">
      <alignment horizontal="center" vertical="center" wrapText="1"/>
    </xf>
    <xf numFmtId="0" fontId="5" fillId="6" borderId="0" xfId="0" applyFont="1" applyFill="1" applyAlignment="1">
      <alignment horizontal="right" vertical="center" wrapText="1"/>
    </xf>
    <xf numFmtId="164" fontId="5" fillId="6" borderId="16" xfId="0" applyNumberFormat="1" applyFont="1" applyFill="1" applyBorder="1" applyAlignment="1">
      <alignment horizontal="left" vertical="center" wrapText="1"/>
    </xf>
    <xf numFmtId="0" fontId="5" fillId="8" borderId="15" xfId="0" applyFont="1" applyFill="1" applyBorder="1"/>
    <xf numFmtId="0" fontId="5" fillId="8" borderId="0" xfId="0" applyFont="1" applyFill="1"/>
    <xf numFmtId="0" fontId="5" fillId="8" borderId="16" xfId="0" applyFont="1" applyFill="1" applyBorder="1"/>
    <xf numFmtId="0" fontId="5" fillId="6" borderId="16" xfId="0" applyFont="1" applyFill="1" applyBorder="1" applyAlignment="1">
      <alignment horizontal="left" vertical="center" wrapText="1"/>
    </xf>
    <xf numFmtId="0" fontId="5" fillId="6" borderId="17" xfId="0" applyFont="1" applyFill="1" applyBorder="1" applyAlignment="1">
      <alignment horizontal="right" wrapText="1"/>
    </xf>
    <xf numFmtId="0" fontId="13" fillId="6" borderId="17" xfId="0" applyFont="1" applyFill="1" applyBorder="1" applyAlignment="1">
      <alignment horizontal="left" wrapText="1"/>
    </xf>
    <xf numFmtId="0" fontId="13" fillId="6" borderId="7" xfId="0" applyFont="1" applyFill="1" applyBorder="1" applyAlignment="1">
      <alignment horizontal="center"/>
    </xf>
    <xf numFmtId="0" fontId="13" fillId="6" borderId="9" xfId="0" applyFont="1" applyFill="1" applyBorder="1" applyAlignment="1">
      <alignment horizontal="center"/>
    </xf>
    <xf numFmtId="0" fontId="13" fillId="6" borderId="9" xfId="0" applyFont="1" applyFill="1" applyBorder="1" applyAlignment="1">
      <alignment horizontal="right"/>
    </xf>
    <xf numFmtId="164" fontId="13" fillId="6" borderId="8" xfId="0" applyNumberFormat="1" applyFont="1" applyFill="1" applyBorder="1" applyAlignment="1">
      <alignment horizontal="left" vertical="center" wrapText="1"/>
    </xf>
    <xf numFmtId="0" fontId="5" fillId="5" borderId="0" xfId="0" applyFont="1" applyFill="1" applyAlignment="1">
      <alignment wrapText="1"/>
    </xf>
    <xf numFmtId="0" fontId="5" fillId="8" borderId="7" xfId="0" applyFont="1" applyFill="1" applyBorder="1" applyAlignment="1"/>
    <xf numFmtId="0" fontId="5" fillId="8" borderId="9" xfId="0" applyFont="1" applyFill="1" applyBorder="1"/>
    <xf numFmtId="0" fontId="5" fillId="8" borderId="8" xfId="0" applyFont="1" applyFill="1" applyBorder="1"/>
    <xf numFmtId="0" fontId="1" fillId="7" borderId="10" xfId="0" applyFont="1" applyFill="1" applyBorder="1" applyAlignment="1">
      <alignment horizontal="center" vertical="center" wrapText="1"/>
    </xf>
    <xf numFmtId="0" fontId="1" fillId="0" borderId="0" xfId="0" applyFont="1" applyAlignment="1">
      <alignment horizontal="center" vertical="center" wrapText="1"/>
    </xf>
    <xf numFmtId="0" fontId="11" fillId="5" borderId="10" xfId="0" applyFont="1" applyFill="1" applyBorder="1" applyAlignment="1">
      <alignment horizontal="right"/>
    </xf>
    <xf numFmtId="0" fontId="5" fillId="0" borderId="10" xfId="0" applyFont="1" applyBorder="1" applyAlignment="1">
      <alignment horizontal="right"/>
    </xf>
    <xf numFmtId="164" fontId="5" fillId="0" borderId="10" xfId="0" applyNumberFormat="1" applyFont="1" applyBorder="1" applyAlignment="1">
      <alignment horizontal="right"/>
    </xf>
    <xf numFmtId="164" fontId="5" fillId="0" borderId="0" xfId="0" applyNumberFormat="1" applyFont="1" applyAlignment="1">
      <alignment horizontal="right"/>
    </xf>
    <xf numFmtId="0" fontId="5" fillId="8" borderId="10" xfId="0" applyFont="1" applyFill="1" applyBorder="1" applyAlignment="1"/>
    <xf numFmtId="0" fontId="11" fillId="8" borderId="10" xfId="0" applyFont="1" applyFill="1" applyBorder="1" applyAlignment="1">
      <alignment horizontal="right"/>
    </xf>
    <xf numFmtId="0" fontId="5" fillId="8" borderId="10" xfId="0" applyFont="1" applyFill="1" applyBorder="1" applyAlignment="1">
      <alignment horizontal="right"/>
    </xf>
    <xf numFmtId="164" fontId="5" fillId="8" borderId="10" xfId="0" applyNumberFormat="1" applyFont="1" applyFill="1" applyBorder="1" applyAlignment="1">
      <alignment horizontal="right"/>
    </xf>
    <xf numFmtId="164" fontId="5" fillId="8" borderId="0" xfId="0" applyNumberFormat="1" applyFont="1" applyFill="1" applyAlignment="1">
      <alignment horizontal="right"/>
    </xf>
    <xf numFmtId="0" fontId="11" fillId="5" borderId="10" xfId="0" applyFont="1" applyFill="1" applyBorder="1" applyAlignment="1"/>
    <xf numFmtId="0" fontId="5" fillId="0" borderId="0" xfId="0" applyFont="1" applyAlignment="1">
      <alignment horizontal="right"/>
    </xf>
    <xf numFmtId="0" fontId="5" fillId="8" borderId="10" xfId="0" applyFont="1" applyFill="1" applyBorder="1"/>
    <xf numFmtId="0" fontId="5" fillId="8" borderId="10" xfId="0" applyFont="1" applyFill="1" applyBorder="1" applyAlignment="1"/>
    <xf numFmtId="0" fontId="12" fillId="0" borderId="0" xfId="0" applyFont="1" applyAlignment="1">
      <alignment horizontal="center" vertical="center" wrapText="1"/>
    </xf>
    <xf numFmtId="0" fontId="5" fillId="0" borderId="0" xfId="0" applyFont="1" applyAlignment="1"/>
    <xf numFmtId="0" fontId="5" fillId="0" borderId="0" xfId="0" applyFont="1" applyAlignment="1">
      <alignment horizontal="right"/>
    </xf>
    <xf numFmtId="0" fontId="12" fillId="0" borderId="0" xfId="0" applyFont="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center" vertical="center" wrapText="1"/>
    </xf>
    <xf numFmtId="0" fontId="12" fillId="0" borderId="0" xfId="0" applyFont="1"/>
    <xf numFmtId="0" fontId="0" fillId="5" borderId="0" xfId="0" applyFont="1" applyFill="1"/>
    <xf numFmtId="0" fontId="12" fillId="0" borderId="0" xfId="0" applyFont="1" applyAlignment="1">
      <alignment horizontal="left" vertical="center" wrapText="1"/>
    </xf>
    <xf numFmtId="0" fontId="12" fillId="0" borderId="0" xfId="0" applyFont="1" applyAlignment="1">
      <alignment horizontal="right" vertical="center" wrapText="1"/>
    </xf>
    <xf numFmtId="0" fontId="0" fillId="5" borderId="0" xfId="0" applyFont="1" applyFill="1" applyAlignment="1"/>
    <xf numFmtId="164" fontId="12" fillId="0" borderId="0" xfId="0" applyNumberFormat="1" applyFont="1"/>
    <xf numFmtId="0" fontId="5" fillId="7" borderId="8" xfId="0" applyFont="1" applyFill="1" applyBorder="1" applyAlignment="1">
      <alignment horizontal="center" vertical="center" wrapText="1"/>
    </xf>
    <xf numFmtId="0" fontId="1" fillId="0" borderId="0" xfId="0" applyFont="1" applyAlignment="1"/>
    <xf numFmtId="0" fontId="5" fillId="0" borderId="12" xfId="0" applyFont="1" applyBorder="1" applyAlignment="1">
      <alignment wrapText="1"/>
    </xf>
    <xf numFmtId="0" fontId="5" fillId="0" borderId="12" xfId="0" applyFont="1" applyBorder="1" applyAlignment="1"/>
    <xf numFmtId="0" fontId="5" fillId="5" borderId="15" xfId="0" applyFont="1" applyFill="1" applyBorder="1" applyAlignment="1"/>
    <xf numFmtId="0" fontId="0" fillId="5" borderId="16" xfId="0" applyFont="1" applyFill="1" applyBorder="1"/>
    <xf numFmtId="0" fontId="5" fillId="8" borderId="15" xfId="0" applyFont="1" applyFill="1" applyBorder="1" applyAlignment="1"/>
    <xf numFmtId="0" fontId="0" fillId="8" borderId="0" xfId="0" applyFont="1" applyFill="1"/>
    <xf numFmtId="0" fontId="0" fillId="8" borderId="16" xfId="0" applyFont="1" applyFill="1" applyBorder="1"/>
    <xf numFmtId="0" fontId="5" fillId="0" borderId="18" xfId="0" applyFont="1" applyBorder="1" applyAlignment="1">
      <alignment wrapText="1"/>
    </xf>
    <xf numFmtId="0" fontId="5" fillId="0" borderId="18" xfId="0" applyFont="1" applyBorder="1" applyAlignment="1"/>
    <xf numFmtId="0" fontId="5" fillId="5" borderId="7" xfId="0" applyFont="1" applyFill="1" applyBorder="1" applyAlignment="1"/>
    <xf numFmtId="0" fontId="5" fillId="5" borderId="9" xfId="0" applyFont="1" applyFill="1" applyBorder="1"/>
    <xf numFmtId="0" fontId="5" fillId="5" borderId="8" xfId="0" applyFont="1" applyFill="1" applyBorder="1"/>
    <xf numFmtId="0" fontId="5" fillId="5" borderId="0" xfId="0" applyFont="1" applyFill="1" applyAlignment="1"/>
    <xf numFmtId="0" fontId="5" fillId="8" borderId="7" xfId="0" applyFont="1" applyFill="1" applyBorder="1" applyAlignment="1">
      <alignment horizontal="center" vertical="center" wrapText="1"/>
    </xf>
    <xf numFmtId="0" fontId="5" fillId="8" borderId="9" xfId="0" applyFont="1" applyFill="1" applyBorder="1" applyAlignment="1">
      <alignment horizontal="center" vertical="center" wrapText="1"/>
    </xf>
    <xf numFmtId="0" fontId="5" fillId="8" borderId="8" xfId="0" applyFont="1" applyFill="1" applyBorder="1" applyAlignment="1">
      <alignment horizontal="center" vertical="center" wrapText="1"/>
    </xf>
    <xf numFmtId="0" fontId="5" fillId="8" borderId="0" xfId="0" applyFont="1" applyFill="1" applyAlignment="1"/>
    <xf numFmtId="0" fontId="12" fillId="0" borderId="10" xfId="0" applyFont="1" applyBorder="1" applyAlignment="1">
      <alignment horizontal="center" vertical="center" wrapText="1"/>
    </xf>
    <xf numFmtId="0" fontId="5" fillId="0" borderId="10" xfId="0" applyFont="1" applyBorder="1" applyAlignment="1">
      <alignment horizontal="center" vertical="center"/>
    </xf>
    <xf numFmtId="1" fontId="12" fillId="0" borderId="0" xfId="0" applyNumberFormat="1" applyFont="1" applyAlignment="1">
      <alignment horizontal="center" vertical="center" wrapText="1"/>
    </xf>
    <xf numFmtId="1" fontId="12" fillId="0" borderId="10" xfId="0" applyNumberFormat="1" applyFont="1" applyBorder="1" applyAlignment="1">
      <alignment horizontal="center" vertical="center" wrapText="1"/>
    </xf>
    <xf numFmtId="0" fontId="12" fillId="0" borderId="10" xfId="0" applyFont="1" applyBorder="1" applyAlignment="1">
      <alignment horizontal="right" vertical="center" wrapText="1"/>
    </xf>
    <xf numFmtId="1" fontId="12" fillId="0" borderId="0" xfId="0" applyNumberFormat="1" applyFont="1" applyAlignment="1">
      <alignment horizontal="right" vertical="center" wrapText="1"/>
    </xf>
    <xf numFmtId="1" fontId="12" fillId="0" borderId="10" xfId="0" applyNumberFormat="1" applyFont="1" applyBorder="1" applyAlignment="1">
      <alignment horizontal="right" vertical="center" wrapText="1"/>
    </xf>
    <xf numFmtId="1" fontId="12" fillId="0" borderId="10" xfId="0" applyNumberFormat="1" applyFont="1" applyBorder="1" applyAlignment="1">
      <alignment horizontal="center" vertical="center" wrapText="1"/>
    </xf>
    <xf numFmtId="1" fontId="12" fillId="0" borderId="0" xfId="0" applyNumberFormat="1" applyFont="1" applyAlignment="1">
      <alignment horizontal="right" vertical="center" wrapText="1"/>
    </xf>
    <xf numFmtId="1" fontId="12" fillId="0" borderId="10" xfId="0" applyNumberFormat="1" applyFont="1" applyBorder="1" applyAlignment="1">
      <alignment horizontal="right" vertical="center" wrapText="1"/>
    </xf>
    <xf numFmtId="1" fontId="12" fillId="0" borderId="0" xfId="0" applyNumberFormat="1" applyFont="1" applyAlignment="1">
      <alignment horizontal="center" vertical="center" wrapText="1"/>
    </xf>
    <xf numFmtId="1" fontId="0" fillId="5" borderId="0" xfId="0" applyNumberFormat="1" applyFont="1" applyFill="1" applyAlignment="1">
      <alignment horizontal="right"/>
    </xf>
    <xf numFmtId="1" fontId="0" fillId="5" borderId="10" xfId="0" applyNumberFormat="1" applyFont="1" applyFill="1" applyBorder="1" applyAlignment="1">
      <alignment horizontal="right"/>
    </xf>
    <xf numFmtId="1" fontId="0" fillId="5" borderId="0" xfId="0" applyNumberFormat="1" applyFont="1" applyFill="1" applyAlignment="1">
      <alignment horizontal="center"/>
    </xf>
    <xf numFmtId="0" fontId="0" fillId="5" borderId="0" xfId="0" applyFont="1" applyFill="1" applyAlignment="1">
      <alignment horizontal="center"/>
    </xf>
    <xf numFmtId="1" fontId="12" fillId="0" borderId="0" xfId="0" applyNumberFormat="1" applyFont="1" applyAlignment="1">
      <alignment horizontal="right"/>
    </xf>
    <xf numFmtId="1" fontId="12" fillId="0" borderId="10" xfId="0" applyNumberFormat="1" applyFont="1" applyBorder="1" applyAlignment="1">
      <alignment horizontal="right"/>
    </xf>
    <xf numFmtId="164" fontId="12" fillId="0" borderId="0" xfId="0" applyNumberFormat="1" applyFont="1" applyAlignment="1">
      <alignment horizontal="center"/>
    </xf>
    <xf numFmtId="0" fontId="15" fillId="5" borderId="0" xfId="0" applyFont="1" applyFill="1" applyAlignment="1"/>
    <xf numFmtId="0" fontId="16" fillId="5" borderId="0" xfId="0" applyFont="1" applyFill="1" applyAlignment="1"/>
    <xf numFmtId="10" fontId="5" fillId="5" borderId="0" xfId="0" applyNumberFormat="1" applyFont="1" applyFill="1" applyAlignment="1"/>
    <xf numFmtId="0" fontId="0" fillId="8" borderId="0" xfId="0" applyFont="1" applyFill="1" applyAlignment="1"/>
    <xf numFmtId="10" fontId="5" fillId="8" borderId="0" xfId="0" applyNumberFormat="1" applyFont="1" applyFill="1" applyAlignment="1"/>
    <xf numFmtId="0" fontId="5" fillId="8" borderId="18" xfId="0" applyFont="1" applyFill="1" applyBorder="1"/>
    <xf numFmtId="0" fontId="5" fillId="5" borderId="18" xfId="0" applyFont="1" applyFill="1" applyBorder="1"/>
    <xf numFmtId="0" fontId="5" fillId="8" borderId="8" xfId="0" applyFont="1" applyFill="1" applyBorder="1" applyAlignment="1">
      <alignment horizontal="center" vertical="center" wrapText="1"/>
    </xf>
    <xf numFmtId="0" fontId="5" fillId="8" borderId="0" xfId="0" applyFont="1" applyFill="1" applyAlignment="1">
      <alignment horizontal="center" vertical="center" wrapText="1"/>
    </xf>
    <xf numFmtId="164" fontId="5" fillId="5" borderId="0" xfId="0" applyNumberFormat="1" applyFont="1" applyFill="1"/>
    <xf numFmtId="0" fontId="0" fillId="5" borderId="16" xfId="0" applyFont="1" applyFill="1" applyBorder="1" applyAlignment="1"/>
    <xf numFmtId="164" fontId="5" fillId="8" borderId="0" xfId="0" applyNumberFormat="1" applyFont="1" applyFill="1"/>
    <xf numFmtId="0" fontId="0" fillId="8" borderId="16" xfId="0" applyFont="1" applyFill="1" applyBorder="1" applyAlignment="1"/>
    <xf numFmtId="164" fontId="5" fillId="5" borderId="0" xfId="0" applyNumberFormat="1" applyFont="1" applyFill="1" applyAlignment="1">
      <alignment horizontal="left"/>
    </xf>
    <xf numFmtId="164" fontId="5" fillId="5" borderId="9" xfId="0" applyNumberFormat="1" applyFont="1" applyFill="1" applyBorder="1"/>
    <xf numFmtId="0" fontId="5" fillId="8" borderId="0" xfId="0" applyFont="1" applyFill="1" applyAlignment="1">
      <alignment horizontal="center" vertical="center" wrapText="1"/>
    </xf>
    <xf numFmtId="0" fontId="5" fillId="5" borderId="0" xfId="0" applyFont="1" applyFill="1" applyAlignment="1">
      <alignment wrapText="1"/>
    </xf>
    <xf numFmtId="0" fontId="5" fillId="5" borderId="7" xfId="0" applyFont="1" applyFill="1" applyBorder="1" applyAlignment="1">
      <alignment horizontal="center" vertical="center" wrapText="1"/>
    </xf>
    <xf numFmtId="0" fontId="5" fillId="5" borderId="9" xfId="0" applyFont="1" applyFill="1" applyBorder="1" applyAlignment="1">
      <alignment horizontal="center" vertical="center" wrapText="1"/>
    </xf>
    <xf numFmtId="0" fontId="5" fillId="5" borderId="8" xfId="0" applyFont="1" applyFill="1" applyBorder="1" applyAlignment="1">
      <alignment horizontal="center" vertical="center" wrapText="1"/>
    </xf>
    <xf numFmtId="0" fontId="5" fillId="5" borderId="0" xfId="0" applyFont="1" applyFill="1" applyAlignment="1">
      <alignment horizontal="center" vertical="center" wrapText="1"/>
    </xf>
    <xf numFmtId="0" fontId="8" fillId="5" borderId="0" xfId="0" applyFont="1" applyFill="1" applyAlignment="1">
      <alignment horizontal="center"/>
    </xf>
    <xf numFmtId="0" fontId="8" fillId="8" borderId="0" xfId="0" applyFont="1" applyFill="1" applyAlignment="1">
      <alignment horizontal="center"/>
    </xf>
    <xf numFmtId="164" fontId="5" fillId="8" borderId="0" xfId="0" applyNumberFormat="1" applyFont="1" applyFill="1" applyAlignment="1">
      <alignment horizontal="left"/>
    </xf>
    <xf numFmtId="164" fontId="5" fillId="5" borderId="9" xfId="0" applyNumberFormat="1" applyFont="1" applyFill="1" applyBorder="1" applyAlignment="1">
      <alignment horizontal="left"/>
    </xf>
    <xf numFmtId="0" fontId="1" fillId="7" borderId="10" xfId="0" applyFont="1" applyFill="1" applyBorder="1" applyAlignment="1">
      <alignment horizontal="center" wrapText="1"/>
    </xf>
    <xf numFmtId="0" fontId="1" fillId="7" borderId="10" xfId="0" applyFont="1" applyFill="1" applyBorder="1" applyAlignment="1">
      <alignment horizontal="center"/>
    </xf>
    <xf numFmtId="0" fontId="1" fillId="7" borderId="10" xfId="0" applyFont="1" applyFill="1" applyBorder="1" applyAlignment="1">
      <alignment horizontal="center"/>
    </xf>
    <xf numFmtId="0" fontId="1" fillId="7" borderId="0" xfId="0" applyFont="1" applyFill="1" applyAlignment="1">
      <alignment horizontal="center"/>
    </xf>
    <xf numFmtId="0" fontId="5" fillId="5" borderId="10" xfId="0" applyFont="1" applyFill="1" applyBorder="1" applyAlignment="1">
      <alignment wrapText="1"/>
    </xf>
    <xf numFmtId="0" fontId="5" fillId="5" borderId="10" xfId="0" applyFont="1" applyFill="1" applyBorder="1" applyAlignment="1">
      <alignment horizontal="center"/>
    </xf>
    <xf numFmtId="0" fontId="5" fillId="5" borderId="0" xfId="0" applyFont="1" applyFill="1" applyAlignment="1">
      <alignment horizontal="left" wrapText="1"/>
    </xf>
    <xf numFmtId="0" fontId="5" fillId="5" borderId="10" xfId="0" applyFont="1" applyFill="1" applyBorder="1" applyAlignment="1">
      <alignment horizontal="left" wrapText="1"/>
    </xf>
    <xf numFmtId="0" fontId="5" fillId="8" borderId="10" xfId="0" applyFont="1" applyFill="1" applyBorder="1" applyAlignment="1">
      <alignment wrapText="1"/>
    </xf>
    <xf numFmtId="0" fontId="5" fillId="8" borderId="10" xfId="0" applyFont="1" applyFill="1" applyBorder="1" applyAlignment="1">
      <alignment horizontal="center"/>
    </xf>
    <xf numFmtId="0" fontId="1" fillId="8" borderId="0" xfId="0" applyFont="1" applyFill="1" applyAlignment="1">
      <alignment horizontal="center" wrapText="1"/>
    </xf>
    <xf numFmtId="0" fontId="5" fillId="8" borderId="0" xfId="0" applyFont="1" applyFill="1" applyAlignment="1">
      <alignment horizontal="left" wrapText="1"/>
    </xf>
    <xf numFmtId="0" fontId="5" fillId="8" borderId="10" xfId="0" applyFont="1" applyFill="1" applyBorder="1" applyAlignment="1">
      <alignment horizontal="left" wrapText="1"/>
    </xf>
    <xf numFmtId="0" fontId="1" fillId="5" borderId="0" xfId="0" applyFont="1" applyFill="1" applyAlignment="1">
      <alignment horizontal="center" wrapText="1"/>
    </xf>
    <xf numFmtId="0" fontId="5" fillId="8" borderId="10" xfId="0" applyFont="1" applyFill="1" applyBorder="1" applyAlignment="1">
      <alignment horizontal="center" wrapText="1"/>
    </xf>
    <xf numFmtId="0" fontId="17" fillId="5" borderId="10" xfId="0" applyFont="1" applyFill="1" applyBorder="1" applyAlignment="1">
      <alignment wrapText="1"/>
    </xf>
    <xf numFmtId="0" fontId="5" fillId="5" borderId="10" xfId="0" applyFont="1" applyFill="1" applyBorder="1" applyAlignment="1">
      <alignment horizontal="center" wrapText="1"/>
    </xf>
    <xf numFmtId="0" fontId="0" fillId="5" borderId="10" xfId="0" applyFont="1" applyFill="1" applyBorder="1" applyAlignment="1">
      <alignment wrapText="1"/>
    </xf>
    <xf numFmtId="0" fontId="5" fillId="8" borderId="10" xfId="0" applyFont="1" applyFill="1" applyBorder="1" applyAlignment="1">
      <alignment horizontal="center" vertical="center" wrapText="1"/>
    </xf>
    <xf numFmtId="0" fontId="5" fillId="5" borderId="10" xfId="0" applyFont="1" applyFill="1" applyBorder="1" applyAlignment="1">
      <alignment horizontal="center" vertical="center" wrapText="1"/>
    </xf>
    <xf numFmtId="0" fontId="1" fillId="8" borderId="0" xfId="0" applyFont="1" applyFill="1" applyAlignment="1">
      <alignment horizontal="center" vertical="center" wrapText="1"/>
    </xf>
    <xf numFmtId="10" fontId="5" fillId="5" borderId="10" xfId="0" applyNumberFormat="1" applyFont="1" applyFill="1" applyBorder="1" applyAlignment="1">
      <alignment horizontal="center"/>
    </xf>
    <xf numFmtId="0" fontId="5" fillId="8" borderId="0" xfId="0" applyFont="1" applyFill="1" applyAlignment="1">
      <alignment wrapText="1"/>
    </xf>
    <xf numFmtId="0" fontId="5" fillId="8" borderId="0" xfId="0" applyFont="1" applyFill="1" applyAlignment="1">
      <alignment horizontal="center"/>
    </xf>
    <xf numFmtId="0" fontId="5" fillId="5" borderId="0" xfId="0" applyFont="1" applyFill="1" applyAlignment="1">
      <alignment horizontal="center"/>
    </xf>
    <xf numFmtId="0" fontId="1" fillId="0" borderId="0" xfId="0" applyFont="1" applyAlignment="1">
      <alignment horizontal="center" vertical="center"/>
    </xf>
    <xf numFmtId="0" fontId="1" fillId="0" borderId="0" xfId="0" applyFont="1" applyAlignment="1">
      <alignment horizontal="center" vertical="center" wrapText="1"/>
    </xf>
    <xf numFmtId="0" fontId="18" fillId="0" borderId="0" xfId="0" applyFont="1" applyAlignment="1">
      <alignment horizontal="center" vertical="center"/>
    </xf>
    <xf numFmtId="0" fontId="5" fillId="0" borderId="0" xfId="0" applyFont="1" applyAlignment="1"/>
    <xf numFmtId="0" fontId="5" fillId="0" borderId="0" xfId="0" applyFont="1" applyAlignment="1">
      <alignment horizontal="right"/>
    </xf>
    <xf numFmtId="0" fontId="5" fillId="0" borderId="0" xfId="0" applyFont="1" applyAlignment="1"/>
    <xf numFmtId="0" fontId="19" fillId="0" borderId="0" xfId="0" applyFont="1" applyAlignment="1"/>
    <xf numFmtId="0" fontId="20" fillId="0" borderId="0" xfId="0" applyFont="1" applyAlignment="1"/>
    <xf numFmtId="0" fontId="21" fillId="0" borderId="0" xfId="0" applyFont="1" applyAlignment="1"/>
    <xf numFmtId="0" fontId="5" fillId="0" borderId="0" xfId="0" applyFont="1" applyAlignment="1"/>
    <xf numFmtId="0" fontId="22" fillId="0" borderId="0" xfId="0" applyFont="1" applyAlignment="1"/>
    <xf numFmtId="0" fontId="5" fillId="0" borderId="0" xfId="0" applyFont="1" applyAlignment="1"/>
    <xf numFmtId="0" fontId="5" fillId="0" borderId="0" xfId="0" applyFont="1" applyAlignment="1"/>
    <xf numFmtId="0" fontId="5" fillId="0" borderId="0" xfId="0" applyFont="1" applyAlignment="1"/>
    <xf numFmtId="0" fontId="5" fillId="0" borderId="0" xfId="0" applyFont="1" applyAlignment="1">
      <alignment horizontal="right"/>
    </xf>
    <xf numFmtId="0" fontId="5" fillId="0" borderId="0" xfId="0" applyFont="1" applyAlignment="1"/>
    <xf numFmtId="0" fontId="5" fillId="0" borderId="0" xfId="0" applyFont="1" applyAlignment="1"/>
    <xf numFmtId="0" fontId="5" fillId="0" borderId="0" xfId="0" applyFont="1" applyAlignment="1">
      <alignment horizontal="right"/>
    </xf>
    <xf numFmtId="0" fontId="23" fillId="0" borderId="0" xfId="0" applyFont="1" applyAlignment="1">
      <alignment horizontal="right"/>
    </xf>
    <xf numFmtId="0" fontId="5" fillId="0" borderId="0" xfId="0" applyFont="1" applyAlignment="1"/>
    <xf numFmtId="0" fontId="11" fillId="0" borderId="0" xfId="0" applyFont="1" applyAlignment="1">
      <alignment horizontal="left" wrapText="1"/>
    </xf>
    <xf numFmtId="0" fontId="11" fillId="0" borderId="0" xfId="0" applyFont="1" applyAlignment="1">
      <alignment horizontal="left"/>
    </xf>
    <xf numFmtId="0" fontId="12" fillId="0" borderId="0" xfId="0" applyFont="1" applyAlignment="1"/>
    <xf numFmtId="0" fontId="12" fillId="0" borderId="0" xfId="0" applyFont="1" applyAlignment="1"/>
    <xf numFmtId="0" fontId="24" fillId="0" borderId="0" xfId="0" applyFont="1" applyAlignment="1">
      <alignment horizontal="right"/>
    </xf>
    <xf numFmtId="0" fontId="5" fillId="0" borderId="0" xfId="0" applyFont="1" applyAlignment="1">
      <alignment horizontal="left"/>
    </xf>
    <xf numFmtId="0" fontId="5" fillId="0" borderId="0" xfId="0" applyFont="1" applyAlignment="1">
      <alignment horizontal="right"/>
    </xf>
    <xf numFmtId="0" fontId="1" fillId="0" borderId="0" xfId="0" applyFont="1" applyAlignment="1"/>
    <xf numFmtId="0" fontId="12" fillId="0" borderId="0" xfId="0" applyFont="1" applyAlignment="1"/>
    <xf numFmtId="0" fontId="25" fillId="0" borderId="0" xfId="0" applyFont="1" applyAlignment="1"/>
    <xf numFmtId="0" fontId="5" fillId="0" borderId="0" xfId="0" applyFont="1" applyAlignment="1"/>
    <xf numFmtId="1" fontId="5" fillId="0" borderId="0" xfId="0" applyNumberFormat="1" applyFont="1" applyAlignment="1"/>
    <xf numFmtId="0" fontId="26" fillId="0" borderId="0" xfId="0" applyFont="1" applyAlignment="1">
      <alignment horizontal="right"/>
    </xf>
    <xf numFmtId="1" fontId="5" fillId="0" borderId="0" xfId="0" applyNumberFormat="1" applyFont="1" applyAlignment="1"/>
    <xf numFmtId="0" fontId="27" fillId="0" borderId="0" xfId="0" applyFont="1" applyAlignment="1">
      <alignment horizontal="right"/>
    </xf>
    <xf numFmtId="0" fontId="12" fillId="0" borderId="0" xfId="0" applyFont="1" applyAlignment="1"/>
    <xf numFmtId="0" fontId="12" fillId="0" borderId="0" xfId="0" applyFont="1" applyAlignment="1"/>
    <xf numFmtId="0" fontId="12" fillId="0" borderId="0" xfId="0" applyFont="1" applyAlignment="1"/>
    <xf numFmtId="0" fontId="28" fillId="0" borderId="0" xfId="0" applyFont="1"/>
    <xf numFmtId="0" fontId="29" fillId="0" borderId="0" xfId="0" applyFont="1" applyAlignment="1"/>
    <xf numFmtId="0" fontId="30" fillId="0" borderId="0" xfId="0" applyFont="1" applyAlignment="1">
      <alignment horizontal="right"/>
    </xf>
    <xf numFmtId="0" fontId="31" fillId="0" borderId="0" xfId="0" applyFont="1" applyAlignment="1"/>
    <xf numFmtId="0" fontId="0" fillId="0" borderId="0" xfId="0" applyFont="1" applyAlignment="1"/>
    <xf numFmtId="0" fontId="32" fillId="0" borderId="0" xfId="0" applyFont="1" applyAlignment="1"/>
    <xf numFmtId="0" fontId="11" fillId="0" borderId="0" xfId="0" applyFont="1" applyAlignment="1"/>
    <xf numFmtId="0" fontId="33" fillId="0" borderId="0" xfId="0" applyFont="1" applyAlignment="1"/>
    <xf numFmtId="0" fontId="34" fillId="0" borderId="0" xfId="0" applyFont="1" applyAlignment="1"/>
    <xf numFmtId="0" fontId="35" fillId="0" borderId="0" xfId="0" applyFont="1" applyAlignment="1"/>
    <xf numFmtId="0" fontId="36" fillId="0" borderId="0" xfId="0" applyFont="1" applyAlignment="1"/>
    <xf numFmtId="0" fontId="11" fillId="0" borderId="0" xfId="0" applyFont="1" applyAlignment="1">
      <alignment horizontal="right"/>
    </xf>
    <xf numFmtId="0" fontId="5" fillId="0" borderId="0" xfId="0" applyFont="1" applyAlignment="1">
      <alignment horizontal="right"/>
    </xf>
    <xf numFmtId="0" fontId="0" fillId="0" borderId="0" xfId="0" applyFont="1" applyAlignment="1">
      <alignment horizontal="right"/>
    </xf>
    <xf numFmtId="0" fontId="5" fillId="0" borderId="0" xfId="0" applyFont="1" applyAlignment="1"/>
    <xf numFmtId="0" fontId="0" fillId="0" borderId="0" xfId="0" applyFont="1" applyAlignment="1">
      <alignment horizontal="right"/>
    </xf>
    <xf numFmtId="0" fontId="5" fillId="0" borderId="0" xfId="0" applyFont="1" applyAlignment="1"/>
    <xf numFmtId="0" fontId="5" fillId="0" borderId="0" xfId="0" applyFont="1" applyAlignment="1">
      <alignment horizontal="right"/>
    </xf>
    <xf numFmtId="0" fontId="5" fillId="0" borderId="0" xfId="0" applyFont="1" applyAlignment="1">
      <alignment wrapText="1"/>
    </xf>
    <xf numFmtId="0" fontId="37" fillId="0" borderId="0" xfId="0" applyFont="1" applyAlignment="1">
      <alignment horizontal="right"/>
    </xf>
    <xf numFmtId="0" fontId="5" fillId="0" borderId="0" xfId="0" applyFont="1" applyAlignment="1"/>
    <xf numFmtId="0" fontId="1" fillId="0" borderId="0" xfId="0" applyFont="1" applyAlignment="1">
      <alignment horizontal="right"/>
    </xf>
    <xf numFmtId="0" fontId="1" fillId="0" borderId="0" xfId="0" applyFont="1" applyAlignment="1">
      <alignment wrapText="1"/>
    </xf>
    <xf numFmtId="0" fontId="0" fillId="0" borderId="0" xfId="0" applyFont="1" applyAlignment="1"/>
    <xf numFmtId="0" fontId="0" fillId="0" borderId="0" xfId="0" applyFont="1" applyAlignment="1">
      <alignment horizontal="right"/>
    </xf>
    <xf numFmtId="0" fontId="38" fillId="0" borderId="0" xfId="0" applyFont="1" applyAlignment="1"/>
    <xf numFmtId="0" fontId="39" fillId="0" borderId="0" xfId="0" applyFont="1" applyAlignment="1"/>
    <xf numFmtId="0" fontId="40" fillId="0" borderId="0" xfId="0" applyFont="1" applyAlignment="1"/>
    <xf numFmtId="0" fontId="41" fillId="0" borderId="0" xfId="0" applyFont="1" applyAlignment="1"/>
    <xf numFmtId="0" fontId="12" fillId="0" borderId="0" xfId="0" applyFont="1" applyAlignment="1">
      <alignment wrapText="1"/>
    </xf>
    <xf numFmtId="0" fontId="42" fillId="0" borderId="0" xfId="0" applyFont="1" applyAlignment="1"/>
    <xf numFmtId="0" fontId="5" fillId="0" borderId="0" xfId="0" applyFont="1" applyAlignment="1">
      <alignment horizontal="right"/>
    </xf>
    <xf numFmtId="0" fontId="43" fillId="0" borderId="0" xfId="0" applyFont="1" applyAlignment="1"/>
    <xf numFmtId="0" fontId="44" fillId="0" borderId="0" xfId="0" applyFont="1" applyAlignment="1"/>
    <xf numFmtId="0" fontId="1" fillId="0" borderId="0" xfId="0" applyFont="1" applyAlignment="1"/>
    <xf numFmtId="0" fontId="5" fillId="0" borderId="0" xfId="0" applyFont="1" applyAlignment="1"/>
    <xf numFmtId="0" fontId="45" fillId="0" borderId="0" xfId="0" applyFont="1" applyAlignment="1">
      <alignment horizontal="right"/>
    </xf>
    <xf numFmtId="0" fontId="1" fillId="0" borderId="0" xfId="0" applyFont="1" applyAlignment="1">
      <alignment horizontal="right"/>
    </xf>
    <xf numFmtId="0" fontId="5" fillId="0" borderId="0" xfId="0" applyFont="1" applyAlignment="1">
      <alignment horizontal="right"/>
    </xf>
    <xf numFmtId="0" fontId="5" fillId="0" borderId="0" xfId="0" applyFont="1" applyAlignment="1">
      <alignment horizontal="right" wrapText="1"/>
    </xf>
    <xf numFmtId="0" fontId="12" fillId="0" borderId="0" xfId="0" applyFont="1" applyAlignment="1">
      <alignment horizontal="right"/>
    </xf>
    <xf numFmtId="0" fontId="12" fillId="0" borderId="0" xfId="0" applyFont="1" applyAlignment="1">
      <alignment horizontal="left"/>
    </xf>
    <xf numFmtId="0" fontId="12" fillId="0" borderId="0" xfId="0" applyFont="1" applyAlignment="1">
      <alignment horizontal="right"/>
    </xf>
    <xf numFmtId="10" fontId="12" fillId="0" borderId="0" xfId="0" applyNumberFormat="1" applyFont="1" applyAlignment="1">
      <alignment horizontal="left"/>
    </xf>
    <xf numFmtId="0" fontId="12" fillId="0" borderId="0" xfId="0" applyFont="1" applyAlignment="1">
      <alignment horizontal="left"/>
    </xf>
    <xf numFmtId="0" fontId="14" fillId="0" borderId="0" xfId="0" applyFont="1" applyAlignment="1">
      <alignment horizontal="right"/>
    </xf>
    <xf numFmtId="0" fontId="32" fillId="0" borderId="0" xfId="0" applyFont="1" applyAlignment="1"/>
    <xf numFmtId="0" fontId="5" fillId="0" borderId="0" xfId="0" applyFont="1" applyAlignment="1"/>
    <xf numFmtId="0" fontId="5" fillId="0" borderId="0" xfId="0" applyFont="1" applyAlignment="1"/>
    <xf numFmtId="0" fontId="5" fillId="0" borderId="0" xfId="0" applyFont="1" applyAlignment="1">
      <alignment horizontal="right"/>
    </xf>
    <xf numFmtId="0" fontId="46" fillId="0" borderId="0" xfId="0" applyFont="1"/>
    <xf numFmtId="0" fontId="5" fillId="0" borderId="0" xfId="0" applyFont="1" applyAlignment="1">
      <alignment horizontal="right"/>
    </xf>
    <xf numFmtId="0" fontId="47" fillId="0" borderId="0" xfId="0" applyFont="1" applyAlignment="1"/>
    <xf numFmtId="0" fontId="48" fillId="0" borderId="0" xfId="0" applyFont="1" applyAlignment="1"/>
    <xf numFmtId="0" fontId="11" fillId="5" borderId="0" xfId="0" applyFont="1" applyFill="1" applyAlignment="1">
      <alignment horizontal="left"/>
    </xf>
    <xf numFmtId="0" fontId="5" fillId="0" borderId="0" xfId="0" applyFont="1" applyAlignment="1">
      <alignment horizontal="left"/>
    </xf>
    <xf numFmtId="0" fontId="5" fillId="0" borderId="0" xfId="0" applyFont="1" applyAlignment="1">
      <alignment horizontal="left"/>
    </xf>
    <xf numFmtId="0" fontId="5" fillId="0" borderId="0" xfId="0" applyFont="1" applyAlignment="1">
      <alignment horizontal="right"/>
    </xf>
    <xf numFmtId="0" fontId="5" fillId="0" borderId="18" xfId="0" applyFont="1" applyBorder="1" applyAlignment="1"/>
    <xf numFmtId="0" fontId="5" fillId="0" borderId="18" xfId="0" applyFont="1" applyBorder="1" applyAlignment="1"/>
    <xf numFmtId="0" fontId="5" fillId="0" borderId="18" xfId="0" applyFont="1" applyBorder="1" applyAlignment="1">
      <alignment horizontal="right"/>
    </xf>
    <xf numFmtId="0" fontId="49" fillId="0" borderId="18" xfId="0" applyFont="1" applyBorder="1"/>
    <xf numFmtId="0" fontId="5" fillId="0" borderId="18" xfId="0" applyFont="1" applyBorder="1"/>
    <xf numFmtId="0" fontId="12" fillId="0" borderId="18" xfId="0" applyFont="1" applyBorder="1"/>
    <xf numFmtId="0" fontId="5" fillId="0" borderId="0" xfId="0" applyFont="1" applyAlignment="1">
      <alignment wrapText="1"/>
    </xf>
    <xf numFmtId="0" fontId="24" fillId="0" borderId="0" xfId="0" applyFont="1" applyAlignment="1">
      <alignment horizontal="right"/>
    </xf>
    <xf numFmtId="0" fontId="50" fillId="5" borderId="0" xfId="0" applyFont="1" applyFill="1" applyAlignment="1"/>
    <xf numFmtId="0" fontId="14" fillId="0" borderId="0" xfId="0" applyFont="1" applyAlignment="1"/>
    <xf numFmtId="0" fontId="5" fillId="0" borderId="0" xfId="0" applyFont="1" applyAlignment="1"/>
    <xf numFmtId="0" fontId="12" fillId="0" borderId="18" xfId="0" applyFont="1" applyBorder="1" applyAlignment="1"/>
    <xf numFmtId="0" fontId="12" fillId="0" borderId="18" xfId="0" applyFont="1" applyBorder="1" applyAlignment="1"/>
    <xf numFmtId="0" fontId="12" fillId="0" borderId="18" xfId="0" applyFont="1" applyBorder="1" applyAlignment="1"/>
    <xf numFmtId="0" fontId="51" fillId="0" borderId="12" xfId="0" applyFont="1" applyBorder="1"/>
    <xf numFmtId="0" fontId="0" fillId="0" borderId="0" xfId="0" applyFont="1" applyAlignment="1">
      <alignment horizontal="right"/>
    </xf>
    <xf numFmtId="0" fontId="0" fillId="0" borderId="0" xfId="0" applyFont="1" applyAlignment="1">
      <alignment horizontal="left"/>
    </xf>
    <xf numFmtId="0" fontId="52" fillId="0" borderId="0" xfId="0" applyFont="1" applyAlignment="1"/>
    <xf numFmtId="0" fontId="12" fillId="0" borderId="0" xfId="0" applyFont="1" applyAlignment="1"/>
    <xf numFmtId="0" fontId="0" fillId="0" borderId="18" xfId="0" applyFont="1" applyBorder="1" applyAlignment="1">
      <alignment horizontal="right"/>
    </xf>
    <xf numFmtId="0" fontId="0" fillId="0" borderId="0" xfId="0" applyFont="1" applyAlignment="1"/>
    <xf numFmtId="0" fontId="0" fillId="0" borderId="0" xfId="0" applyFont="1" applyAlignment="1">
      <alignment horizontal="right"/>
    </xf>
    <xf numFmtId="0" fontId="53" fillId="0" borderId="12" xfId="0" applyFont="1" applyBorder="1" applyAlignment="1"/>
    <xf numFmtId="0" fontId="12" fillId="0" borderId="12" xfId="0" applyFont="1" applyBorder="1" applyAlignment="1"/>
    <xf numFmtId="0" fontId="0" fillId="0" borderId="12" xfId="0" applyFont="1" applyBorder="1" applyAlignment="1">
      <alignment horizontal="right"/>
    </xf>
    <xf numFmtId="0" fontId="5" fillId="0" borderId="12" xfId="0" applyFont="1" applyBorder="1" applyAlignment="1">
      <alignment horizontal="right"/>
    </xf>
    <xf numFmtId="0" fontId="54" fillId="0" borderId="12" xfId="0" applyFont="1" applyBorder="1" applyAlignment="1"/>
    <xf numFmtId="0" fontId="12" fillId="0" borderId="12" xfId="0" applyFont="1" applyBorder="1" applyAlignment="1"/>
    <xf numFmtId="0" fontId="11" fillId="5" borderId="12" xfId="0" applyFont="1" applyFill="1" applyBorder="1" applyAlignment="1">
      <alignment horizontal="left"/>
    </xf>
    <xf numFmtId="0" fontId="12" fillId="0" borderId="12" xfId="0" applyFont="1" applyBorder="1"/>
    <xf numFmtId="0" fontId="55" fillId="0" borderId="0" xfId="0" applyFont="1" applyAlignment="1"/>
    <xf numFmtId="0" fontId="0" fillId="0" borderId="18" xfId="0" applyFont="1" applyBorder="1" applyAlignment="1">
      <alignment horizontal="right"/>
    </xf>
    <xf numFmtId="0" fontId="5" fillId="0" borderId="18" xfId="0" applyFont="1" applyBorder="1" applyAlignment="1">
      <alignment horizontal="right"/>
    </xf>
    <xf numFmtId="0" fontId="56" fillId="0" borderId="18" xfId="0" applyFont="1" applyBorder="1" applyAlignment="1"/>
    <xf numFmtId="0" fontId="5" fillId="0" borderId="12" xfId="0" applyFont="1" applyBorder="1" applyAlignment="1"/>
    <xf numFmtId="0" fontId="57" fillId="0" borderId="12" xfId="0" applyFont="1" applyBorder="1" applyAlignment="1"/>
    <xf numFmtId="0" fontId="1" fillId="0" borderId="0" xfId="0" applyFont="1" applyAlignment="1"/>
    <xf numFmtId="49" fontId="5" fillId="0" borderId="0" xfId="0" applyNumberFormat="1" applyFont="1" applyAlignment="1"/>
    <xf numFmtId="0" fontId="5" fillId="0" borderId="0" xfId="0" applyFont="1" applyAlignment="1"/>
    <xf numFmtId="0" fontId="12" fillId="0" borderId="0" xfId="0" applyFont="1" applyAlignment="1">
      <alignment horizontal="left"/>
    </xf>
    <xf numFmtId="0" fontId="12" fillId="0" borderId="0" xfId="0" applyFont="1" applyAlignment="1">
      <alignment horizontal="right" wrapText="1"/>
    </xf>
    <xf numFmtId="0" fontId="12" fillId="0" borderId="0" xfId="0" applyFont="1" applyAlignment="1">
      <alignment horizontal="right" wrapText="1"/>
    </xf>
    <xf numFmtId="0" fontId="12" fillId="0" borderId="0" xfId="0" applyFont="1" applyAlignment="1">
      <alignment horizontal="left" wrapText="1"/>
    </xf>
    <xf numFmtId="0" fontId="14" fillId="0" borderId="0" xfId="0" applyFont="1" applyAlignment="1">
      <alignment horizontal="left" wrapText="1"/>
    </xf>
    <xf numFmtId="0" fontId="0" fillId="0" borderId="0" xfId="0" applyFont="1" applyAlignment="1">
      <alignment wrapText="1"/>
    </xf>
    <xf numFmtId="0" fontId="5" fillId="0" borderId="18" xfId="0" applyFont="1" applyBorder="1" applyAlignment="1"/>
    <xf numFmtId="165" fontId="12" fillId="0" borderId="12" xfId="0" applyNumberFormat="1" applyFont="1" applyBorder="1" applyAlignment="1"/>
    <xf numFmtId="0" fontId="12" fillId="0" borderId="12" xfId="0" applyFont="1" applyBorder="1" applyAlignment="1"/>
    <xf numFmtId="165" fontId="12" fillId="0" borderId="0" xfId="0" applyNumberFormat="1" applyFont="1" applyAlignment="1"/>
    <xf numFmtId="166" fontId="12" fillId="0" borderId="0" xfId="0" applyNumberFormat="1" applyFont="1" applyAlignment="1"/>
    <xf numFmtId="0" fontId="12" fillId="0" borderId="18" xfId="0" applyFont="1" applyBorder="1" applyAlignment="1"/>
    <xf numFmtId="165" fontId="12" fillId="0" borderId="18" xfId="0" applyNumberFormat="1" applyFont="1" applyBorder="1" applyAlignment="1"/>
    <xf numFmtId="0" fontId="58" fillId="0" borderId="18" xfId="0" applyFont="1" applyBorder="1"/>
    <xf numFmtId="0" fontId="0" fillId="0" borderId="0" xfId="0" applyFont="1" applyAlignment="1"/>
    <xf numFmtId="0" fontId="12" fillId="0" borderId="18" xfId="0" applyFont="1" applyBorder="1" applyAlignment="1"/>
    <xf numFmtId="0" fontId="0" fillId="0" borderId="12" xfId="0" applyFont="1" applyBorder="1" applyAlignment="1"/>
    <xf numFmtId="0" fontId="0" fillId="0" borderId="12" xfId="0" applyFont="1" applyBorder="1" applyAlignment="1">
      <alignment horizontal="right"/>
    </xf>
    <xf numFmtId="0" fontId="5" fillId="0" borderId="0" xfId="0" applyFont="1" applyAlignment="1">
      <alignment wrapText="1"/>
    </xf>
    <xf numFmtId="0" fontId="14" fillId="0" borderId="0" xfId="0" applyFont="1" applyAlignment="1">
      <alignment horizontal="right" wrapText="1"/>
    </xf>
    <xf numFmtId="0" fontId="59" fillId="0" borderId="0" xfId="0" applyFont="1" applyAlignment="1">
      <alignment horizontal="right"/>
    </xf>
    <xf numFmtId="0" fontId="15" fillId="0" borderId="0" xfId="0" applyFont="1"/>
    <xf numFmtId="0" fontId="59" fillId="0" borderId="0" xfId="0" applyFont="1" applyAlignment="1"/>
    <xf numFmtId="0" fontId="60" fillId="0" borderId="0" xfId="0" applyFont="1" applyAlignment="1"/>
    <xf numFmtId="0" fontId="5" fillId="0" borderId="18" xfId="0" applyFont="1" applyBorder="1" applyAlignment="1"/>
    <xf numFmtId="0" fontId="59" fillId="0" borderId="18" xfId="0" applyFont="1" applyBorder="1" applyAlignment="1">
      <alignment horizontal="right"/>
    </xf>
    <xf numFmtId="165" fontId="5" fillId="0" borderId="0" xfId="0" applyNumberFormat="1" applyFont="1" applyAlignment="1"/>
    <xf numFmtId="166" fontId="5" fillId="0" borderId="0" xfId="0" applyNumberFormat="1" applyFont="1" applyAlignment="1"/>
    <xf numFmtId="0" fontId="15" fillId="0" borderId="0" xfId="0" applyFont="1" applyAlignment="1"/>
    <xf numFmtId="0" fontId="5" fillId="0" borderId="10" xfId="0" applyFont="1" applyBorder="1" applyAlignment="1"/>
    <xf numFmtId="0" fontId="61" fillId="0" borderId="18" xfId="0" applyFont="1" applyBorder="1" applyAlignment="1"/>
    <xf numFmtId="0" fontId="15" fillId="0" borderId="18" xfId="0" applyFont="1" applyBorder="1"/>
    <xf numFmtId="0" fontId="62" fillId="5" borderId="0" xfId="0" applyFont="1" applyFill="1" applyAlignment="1"/>
    <xf numFmtId="0" fontId="0" fillId="0" borderId="0" xfId="0" applyFont="1" applyAlignment="1"/>
    <xf numFmtId="0" fontId="5" fillId="0" borderId="0" xfId="0" applyFont="1" applyAlignment="1">
      <alignment horizontal="left"/>
    </xf>
    <xf numFmtId="10" fontId="5" fillId="0" borderId="0" xfId="0" applyNumberFormat="1" applyFont="1" applyAlignment="1">
      <alignment horizontal="left"/>
    </xf>
    <xf numFmtId="0" fontId="11" fillId="0" borderId="0" xfId="0" applyFont="1" applyAlignment="1"/>
    <xf numFmtId="0" fontId="59" fillId="0" borderId="0" xfId="0" applyFont="1" applyAlignment="1"/>
    <xf numFmtId="0" fontId="59" fillId="0" borderId="0" xfId="0" applyFont="1" applyAlignment="1">
      <alignment horizontal="right"/>
    </xf>
    <xf numFmtId="0" fontId="63" fillId="5" borderId="0" xfId="0" applyFont="1" applyFill="1" applyAlignment="1"/>
    <xf numFmtId="0" fontId="59" fillId="0" borderId="0" xfId="0" applyFont="1" applyAlignment="1"/>
    <xf numFmtId="0" fontId="64" fillId="0" borderId="0" xfId="0" applyFont="1" applyAlignment="1"/>
    <xf numFmtId="0" fontId="5" fillId="0" borderId="0" xfId="0" applyFont="1" applyAlignment="1"/>
    <xf numFmtId="0" fontId="5" fillId="0" borderId="0" xfId="0" applyFont="1" applyAlignment="1"/>
    <xf numFmtId="10" fontId="5" fillId="0" borderId="0" xfId="0" applyNumberFormat="1" applyFont="1" applyAlignment="1"/>
    <xf numFmtId="0" fontId="1" fillId="0" borderId="0" xfId="0" applyFont="1" applyAlignment="1"/>
    <xf numFmtId="0" fontId="1" fillId="0" borderId="10" xfId="0" applyFont="1" applyBorder="1" applyAlignment="1"/>
    <xf numFmtId="0" fontId="5" fillId="0" borderId="0" xfId="0" applyFont="1" applyAlignment="1">
      <alignment horizontal="right"/>
    </xf>
    <xf numFmtId="165" fontId="5" fillId="0" borderId="0" xfId="0" applyNumberFormat="1" applyFont="1" applyAlignment="1"/>
    <xf numFmtId="0" fontId="5" fillId="0" borderId="10" xfId="0" applyFont="1" applyBorder="1" applyAlignment="1"/>
    <xf numFmtId="166" fontId="5" fillId="0" borderId="0" xfId="0" applyNumberFormat="1" applyFont="1" applyAlignment="1"/>
    <xf numFmtId="0" fontId="65" fillId="0" borderId="10" xfId="0" applyFont="1" applyBorder="1" applyAlignment="1"/>
    <xf numFmtId="0" fontId="5" fillId="0" borderId="0" xfId="0" applyFont="1" applyAlignment="1"/>
    <xf numFmtId="167" fontId="59" fillId="0" borderId="0" xfId="0" applyNumberFormat="1" applyFont="1" applyAlignment="1">
      <alignment horizontal="right"/>
    </xf>
    <xf numFmtId="0" fontId="59" fillId="0" borderId="0" xfId="0" quotePrefix="1" applyFont="1" applyAlignment="1"/>
    <xf numFmtId="167" fontId="59" fillId="0" borderId="0" xfId="0" applyNumberFormat="1" applyFont="1" applyAlignment="1">
      <alignment horizontal="right"/>
    </xf>
    <xf numFmtId="0" fontId="5" fillId="0" borderId="0" xfId="0" applyFont="1" applyAlignment="1"/>
    <xf numFmtId="0" fontId="59" fillId="0" borderId="18" xfId="0" applyFont="1" applyBorder="1" applyAlignment="1"/>
    <xf numFmtId="167" fontId="59" fillId="0" borderId="18" xfId="0" applyNumberFormat="1" applyFont="1" applyBorder="1" applyAlignment="1">
      <alignment horizontal="right"/>
    </xf>
    <xf numFmtId="167" fontId="5" fillId="0" borderId="0" xfId="0" applyNumberFormat="1" applyFont="1" applyAlignment="1"/>
    <xf numFmtId="0" fontId="5" fillId="0" borderId="0" xfId="0" applyFont="1" applyAlignment="1"/>
    <xf numFmtId="167" fontId="5" fillId="0" borderId="0" xfId="0" applyNumberFormat="1" applyFont="1" applyAlignment="1">
      <alignment horizontal="right"/>
    </xf>
    <xf numFmtId="0" fontId="1" fillId="0" borderId="0" xfId="0" applyFont="1"/>
    <xf numFmtId="0" fontId="66" fillId="0" borderId="0" xfId="0" applyFont="1" applyAlignment="1">
      <alignment wrapText="1"/>
    </xf>
    <xf numFmtId="0" fontId="67" fillId="0" borderId="0" xfId="0" applyFont="1" applyAlignment="1">
      <alignment wrapText="1"/>
    </xf>
    <xf numFmtId="0" fontId="68" fillId="0" borderId="0" xfId="0" applyFont="1" applyAlignment="1">
      <alignment wrapText="1"/>
    </xf>
    <xf numFmtId="0" fontId="69" fillId="5" borderId="0" xfId="0" applyFont="1" applyFill="1" applyAlignment="1">
      <alignment horizontal="left" vertical="top"/>
    </xf>
    <xf numFmtId="10" fontId="5" fillId="0" borderId="0" xfId="0" applyNumberFormat="1" applyFont="1"/>
    <xf numFmtId="0" fontId="70" fillId="5" borderId="0" xfId="0" applyFont="1" applyFill="1" applyAlignment="1"/>
    <xf numFmtId="9" fontId="5" fillId="0" borderId="0" xfId="0" applyNumberFormat="1" applyFont="1" applyAlignment="1"/>
    <xf numFmtId="0" fontId="71" fillId="5" borderId="0" xfId="0" applyFont="1" applyFill="1" applyAlignment="1"/>
    <xf numFmtId="168" fontId="5" fillId="0" borderId="0" xfId="0" applyNumberFormat="1" applyFont="1"/>
    <xf numFmtId="169" fontId="5" fillId="0" borderId="0" xfId="0" applyNumberFormat="1" applyFont="1" applyAlignment="1"/>
    <xf numFmtId="0" fontId="72" fillId="5" borderId="0" xfId="0" applyFont="1" applyFill="1" applyAlignment="1">
      <alignment horizontal="left" vertical="top"/>
    </xf>
    <xf numFmtId="0" fontId="69" fillId="0" borderId="0" xfId="0" applyFont="1" applyAlignment="1">
      <alignment horizontal="left" vertical="top"/>
    </xf>
    <xf numFmtId="0" fontId="73" fillId="0" borderId="0" xfId="0" applyFont="1" applyAlignment="1">
      <alignment horizontal="left" vertical="top"/>
    </xf>
    <xf numFmtId="0" fontId="69" fillId="0" borderId="0" xfId="0" applyFont="1" applyAlignment="1">
      <alignment horizontal="left" vertical="top"/>
    </xf>
    <xf numFmtId="0" fontId="69" fillId="0" borderId="0" xfId="0" applyFont="1" applyAlignment="1">
      <alignment horizontal="left"/>
    </xf>
    <xf numFmtId="0" fontId="2" fillId="2" borderId="1" xfId="0" applyFont="1" applyFill="1" applyBorder="1" applyAlignment="1">
      <alignment horizontal="center" vertical="center"/>
    </xf>
    <xf numFmtId="0" fontId="3" fillId="0" borderId="2" xfId="0" applyFont="1" applyBorder="1"/>
    <xf numFmtId="0" fontId="1" fillId="2" borderId="3" xfId="0" applyFont="1" applyFill="1" applyBorder="1" applyAlignment="1">
      <alignment horizontal="center" vertical="center"/>
    </xf>
    <xf numFmtId="0" fontId="3" fillId="0" borderId="4" xfId="0" applyFont="1" applyBorder="1"/>
    <xf numFmtId="0" fontId="5" fillId="0" borderId="7" xfId="0" applyFont="1" applyBorder="1" applyAlignment="1"/>
    <xf numFmtId="0" fontId="3" fillId="0" borderId="9" xfId="0" applyFont="1" applyBorder="1"/>
    <xf numFmtId="0" fontId="3" fillId="0" borderId="8" xfId="0" applyFont="1" applyBorder="1"/>
    <xf numFmtId="0" fontId="5" fillId="0" borderId="7" xfId="0" applyFont="1" applyBorder="1" applyAlignment="1">
      <alignment horizontal="center"/>
    </xf>
    <xf numFmtId="0" fontId="0" fillId="5" borderId="7" xfId="0" applyFont="1" applyFill="1" applyBorder="1" applyAlignment="1">
      <alignment horizontal="center"/>
    </xf>
    <xf numFmtId="0" fontId="1" fillId="2" borderId="7" xfId="0" applyFont="1" applyFill="1" applyBorder="1" applyAlignment="1">
      <alignment horizontal="center"/>
    </xf>
    <xf numFmtId="0" fontId="1" fillId="4" borderId="7" xfId="0" applyFont="1" applyFill="1" applyBorder="1" applyAlignment="1">
      <alignment horizontal="center"/>
    </xf>
    <xf numFmtId="0" fontId="1" fillId="6" borderId="7" xfId="0" applyFont="1" applyFill="1" applyBorder="1" applyAlignment="1">
      <alignment horizontal="center" vertical="center" wrapText="1"/>
    </xf>
    <xf numFmtId="0" fontId="1" fillId="0" borderId="7" xfId="0" applyFont="1" applyBorder="1" applyAlignment="1">
      <alignment horizontal="center" vertical="center" wrapText="1"/>
    </xf>
    <xf numFmtId="0" fontId="5" fillId="6" borderId="12" xfId="0" applyFont="1" applyFill="1" applyBorder="1" applyAlignment="1">
      <alignment horizontal="center" vertical="center" wrapText="1"/>
    </xf>
    <xf numFmtId="0" fontId="3" fillId="0" borderId="14" xfId="0" applyFont="1" applyBorder="1"/>
    <xf numFmtId="0" fontId="5" fillId="7" borderId="9" xfId="0" applyFont="1" applyFill="1" applyBorder="1" applyAlignment="1">
      <alignment horizontal="center" vertical="center" wrapText="1"/>
    </xf>
    <xf numFmtId="0" fontId="3" fillId="7" borderId="8" xfId="0" applyFont="1" applyFill="1" applyBorder="1"/>
    <xf numFmtId="0" fontId="1" fillId="7" borderId="7" xfId="0" applyFont="1" applyFill="1" applyBorder="1" applyAlignment="1">
      <alignment horizontal="center" vertical="center" wrapText="1"/>
    </xf>
    <xf numFmtId="0" fontId="3" fillId="7" borderId="9" xfId="0" applyFont="1" applyFill="1" applyBorder="1"/>
    <xf numFmtId="0" fontId="5" fillId="8" borderId="9" xfId="0" applyFont="1" applyFill="1" applyBorder="1" applyAlignment="1">
      <alignment horizontal="center" vertical="center" wrapText="1"/>
    </xf>
    <xf numFmtId="0" fontId="3" fillId="8" borderId="9" xfId="0" applyFont="1" applyFill="1" applyBorder="1"/>
    <xf numFmtId="0" fontId="5" fillId="0" borderId="0" xfId="0" applyFont="1" applyAlignment="1">
      <alignment vertical="center"/>
    </xf>
    <xf numFmtId="0" fontId="0" fillId="0" borderId="0" xfId="0" applyFont="1" applyAlignment="1"/>
    <xf numFmtId="0" fontId="5" fillId="5" borderId="9" xfId="0" applyFont="1" applyFill="1" applyBorder="1" applyAlignment="1">
      <alignment horizontal="center" vertical="center" wrapText="1"/>
    </xf>
    <xf numFmtId="0" fontId="3" fillId="5" borderId="9" xfId="0" applyFont="1" applyFill="1" applyBorder="1"/>
    <xf numFmtId="0" fontId="5" fillId="8" borderId="0" xfId="0" applyFont="1" applyFill="1" applyAlignment="1">
      <alignment horizontal="center" vertical="center" wrapText="1"/>
    </xf>
    <xf numFmtId="0" fontId="1" fillId="8" borderId="7" xfId="0" applyFont="1" applyFill="1" applyBorder="1" applyAlignment="1">
      <alignment horizontal="center" wrapText="1"/>
    </xf>
    <xf numFmtId="0" fontId="3" fillId="8" borderId="8" xfId="0" applyFont="1" applyFill="1" applyBorder="1"/>
    <xf numFmtId="0" fontId="1" fillId="5" borderId="7" xfId="0" applyFont="1" applyFill="1" applyBorder="1" applyAlignment="1">
      <alignment horizontal="center" wrapText="1"/>
    </xf>
    <xf numFmtId="0" fontId="3" fillId="5" borderId="8" xfId="0" applyFont="1" applyFill="1" applyBorder="1"/>
    <xf numFmtId="0" fontId="5" fillId="0" borderId="0" xfId="0" applyFont="1" applyAlignment="1">
      <alignment horizontal="right"/>
    </xf>
    <xf numFmtId="0" fontId="59" fillId="0" borderId="0" xfId="0" applyFont="1" applyAlignment="1"/>
    <xf numFmtId="0" fontId="5" fillId="0" borderId="0" xfId="0" applyFont="1" applyAlignment="1"/>
    <xf numFmtId="0" fontId="5" fillId="0" borderId="0" xfId="0" applyFont="1" applyAlignment="1">
      <alignment wrapText="1"/>
    </xf>
    <xf numFmtId="0" fontId="73" fillId="0" borderId="0" xfId="0" applyFont="1" applyAlignment="1">
      <alignment horizontal="left" vertical="top"/>
    </xf>
    <xf numFmtId="0" fontId="69" fillId="0" borderId="0" xfId="0" applyFont="1" applyAlignment="1">
      <alignment horizontal="left" vertical="top"/>
    </xf>
    <xf numFmtId="0" fontId="5" fillId="2" borderId="4" xfId="0" applyFont="1" applyFill="1" applyBorder="1" applyAlignment="1">
      <alignment horizontal="center"/>
    </xf>
    <xf numFmtId="0" fontId="5" fillId="2" borderId="6" xfId="0" applyFont="1" applyFill="1" applyBorder="1" applyAlignment="1">
      <alignment horizontal="center"/>
    </xf>
    <xf numFmtId="0" fontId="79" fillId="0" borderId="0" xfId="1" applyAlignment="1">
      <alignment vertical="center"/>
    </xf>
    <xf numFmtId="0" fontId="80" fillId="0" borderId="0" xfId="0" applyFont="1" applyAlignme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(A) Studies by Pathogen, by Decade</a:t>
            </a:r>
          </a:p>
        </c:rich>
      </c:tx>
      <c:overlay val="0"/>
    </c:title>
    <c:autoTitleDeleted val="0"/>
    <c:plotArea>
      <c:layout/>
      <c:barChart>
        <c:barDir val="col"/>
        <c:grouping val="stacked"/>
        <c:varyColors val="1"/>
        <c:ser>
          <c:idx val="0"/>
          <c:order val="0"/>
          <c:tx>
            <c:strRef>
              <c:f>'Graphic 1'!$I$3</c:f>
              <c:strCache>
                <c:ptCount val="1"/>
                <c:pt idx="0">
                  <c:v>1980 to 1989</c:v>
                </c:pt>
              </c:strCache>
            </c:strRef>
          </c:tx>
          <c:spPr>
            <a:solidFill>
              <a:srgbClr val="D9EAD3"/>
            </a:solidFill>
            <a:ln cmpd="sng">
              <a:solidFill>
                <a:srgbClr val="000000"/>
              </a:solidFill>
            </a:ln>
          </c:spPr>
          <c:invertIfNegative val="1"/>
          <c:cat>
            <c:strRef>
              <c:f>'Graphic 1'!$H$4:$H$31</c:f>
              <c:strCache>
                <c:ptCount val="28"/>
                <c:pt idx="0">
                  <c:v>Bordetella pertussis</c:v>
                </c:pt>
                <c:pt idx="1">
                  <c:v>Coronavirus</c:v>
                </c:pt>
                <c:pt idx="2">
                  <c:v>Coxsackievirus A21</c:v>
                </c:pt>
                <c:pt idx="3">
                  <c:v>Giardia lamblia</c:v>
                </c:pt>
                <c:pt idx="4">
                  <c:v>Haemophilus influenzae</c:v>
                </c:pt>
                <c:pt idx="5">
                  <c:v>Helicobacter pylori</c:v>
                </c:pt>
                <c:pt idx="6">
                  <c:v>Neisseria lactamica</c:v>
                </c:pt>
                <c:pt idx="7">
                  <c:v>Parainfluenza</c:v>
                </c:pt>
                <c:pt idx="8">
                  <c:v>Parvovirus</c:v>
                </c:pt>
                <c:pt idx="9">
                  <c:v>Rickettsia rickettsii</c:v>
                </c:pt>
                <c:pt idx="10">
                  <c:v>Rubella virus</c:v>
                </c:pt>
                <c:pt idx="11">
                  <c:v>Schistosoma mansoni</c:v>
                </c:pt>
                <c:pt idx="12">
                  <c:v>BCG</c:v>
                </c:pt>
                <c:pt idx="13">
                  <c:v>Campylobacter jejuni</c:v>
                </c:pt>
                <c:pt idx="14">
                  <c:v>Cryptosporidium spp.</c:v>
                </c:pt>
                <c:pt idx="15">
                  <c:v>Dengue virus</c:v>
                </c:pt>
                <c:pt idx="16">
                  <c:v>Necator americanus</c:v>
                </c:pt>
                <c:pt idx="17">
                  <c:v>Vibrio cholerae</c:v>
                </c:pt>
                <c:pt idx="18">
                  <c:v>Norovirus</c:v>
                </c:pt>
                <c:pt idx="19">
                  <c:v>Salmonella spp.</c:v>
                </c:pt>
                <c:pt idx="20">
                  <c:v>Respiratory syncytial virus</c:v>
                </c:pt>
                <c:pt idx="21">
                  <c:v>Streptococcus pneumoniae</c:v>
                </c:pt>
                <c:pt idx="22">
                  <c:v>Shigella spp.</c:v>
                </c:pt>
                <c:pt idx="23">
                  <c:v>Escherichia coli</c:v>
                </c:pt>
                <c:pt idx="24">
                  <c:v>Haemophilus ducreyi</c:v>
                </c:pt>
                <c:pt idx="25">
                  <c:v>Rhinovirus</c:v>
                </c:pt>
                <c:pt idx="26">
                  <c:v>Influenza viruses</c:v>
                </c:pt>
                <c:pt idx="27">
                  <c:v>Plasmodium spp.</c:v>
                </c:pt>
              </c:strCache>
            </c:strRef>
          </c:cat>
          <c:val>
            <c:numRef>
              <c:f>'Graphic 1'!$I$4:$I$31</c:f>
              <c:numCache>
                <c:formatCode>General</c:formatCode>
                <c:ptCount val="28"/>
                <c:pt idx="0">
                  <c:v>0</c:v>
                </c:pt>
                <c:pt idx="1">
                  <c:v>1</c:v>
                </c:pt>
                <c:pt idx="2">
                  <c:v>0</c:v>
                </c:pt>
                <c:pt idx="3">
                  <c:v>0</c:v>
                </c:pt>
                <c:pt idx="4">
                  <c:v>0</c:v>
                </c:pt>
                <c:pt idx="5">
                  <c:v>0</c:v>
                </c:pt>
                <c:pt idx="6">
                  <c:v>0</c:v>
                </c:pt>
                <c:pt idx="7">
                  <c:v>0</c:v>
                </c:pt>
                <c:pt idx="8">
                  <c:v>1</c:v>
                </c:pt>
                <c:pt idx="9">
                  <c:v>1</c:v>
                </c:pt>
                <c:pt idx="10">
                  <c:v>1</c:v>
                </c:pt>
                <c:pt idx="11">
                  <c:v>0</c:v>
                </c:pt>
                <c:pt idx="12">
                  <c:v>0</c:v>
                </c:pt>
                <c:pt idx="13">
                  <c:v>1</c:v>
                </c:pt>
                <c:pt idx="14">
                  <c:v>0</c:v>
                </c:pt>
                <c:pt idx="15">
                  <c:v>0</c:v>
                </c:pt>
                <c:pt idx="16">
                  <c:v>0</c:v>
                </c:pt>
                <c:pt idx="17">
                  <c:v>0</c:v>
                </c:pt>
                <c:pt idx="18">
                  <c:v>0</c:v>
                </c:pt>
                <c:pt idx="19">
                  <c:v>0</c:v>
                </c:pt>
                <c:pt idx="20">
                  <c:v>1</c:v>
                </c:pt>
                <c:pt idx="21">
                  <c:v>0</c:v>
                </c:pt>
                <c:pt idx="22">
                  <c:v>2</c:v>
                </c:pt>
                <c:pt idx="23">
                  <c:v>3</c:v>
                </c:pt>
                <c:pt idx="24">
                  <c:v>0</c:v>
                </c:pt>
                <c:pt idx="25">
                  <c:v>6</c:v>
                </c:pt>
                <c:pt idx="26">
                  <c:v>14</c:v>
                </c:pt>
                <c:pt idx="27">
                  <c:v>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96AA-4B1D-A676-853FBC57ACF8}"/>
            </c:ext>
          </c:extLst>
        </c:ser>
        <c:ser>
          <c:idx val="1"/>
          <c:order val="1"/>
          <c:tx>
            <c:strRef>
              <c:f>'Graphic 1'!$J$3</c:f>
              <c:strCache>
                <c:ptCount val="1"/>
                <c:pt idx="0">
                  <c:v>1990 to 1999</c:v>
                </c:pt>
              </c:strCache>
            </c:strRef>
          </c:tx>
          <c:spPr>
            <a:solidFill>
              <a:srgbClr val="B6D7A8"/>
            </a:solidFill>
            <a:ln cmpd="sng">
              <a:solidFill>
                <a:srgbClr val="000000"/>
              </a:solidFill>
            </a:ln>
          </c:spPr>
          <c:invertIfNegative val="1"/>
          <c:cat>
            <c:strRef>
              <c:f>'Graphic 1'!$H$4:$H$31</c:f>
              <c:strCache>
                <c:ptCount val="28"/>
                <c:pt idx="0">
                  <c:v>Bordetella pertussis</c:v>
                </c:pt>
                <c:pt idx="1">
                  <c:v>Coronavirus</c:v>
                </c:pt>
                <c:pt idx="2">
                  <c:v>Coxsackievirus A21</c:v>
                </c:pt>
                <c:pt idx="3">
                  <c:v>Giardia lamblia</c:v>
                </c:pt>
                <c:pt idx="4">
                  <c:v>Haemophilus influenzae</c:v>
                </c:pt>
                <c:pt idx="5">
                  <c:v>Helicobacter pylori</c:v>
                </c:pt>
                <c:pt idx="6">
                  <c:v>Neisseria lactamica</c:v>
                </c:pt>
                <c:pt idx="7">
                  <c:v>Parainfluenza</c:v>
                </c:pt>
                <c:pt idx="8">
                  <c:v>Parvovirus</c:v>
                </c:pt>
                <c:pt idx="9">
                  <c:v>Rickettsia rickettsii</c:v>
                </c:pt>
                <c:pt idx="10">
                  <c:v>Rubella virus</c:v>
                </c:pt>
                <c:pt idx="11">
                  <c:v>Schistosoma mansoni</c:v>
                </c:pt>
                <c:pt idx="12">
                  <c:v>BCG</c:v>
                </c:pt>
                <c:pt idx="13">
                  <c:v>Campylobacter jejuni</c:v>
                </c:pt>
                <c:pt idx="14">
                  <c:v>Cryptosporidium spp.</c:v>
                </c:pt>
                <c:pt idx="15">
                  <c:v>Dengue virus</c:v>
                </c:pt>
                <c:pt idx="16">
                  <c:v>Necator americanus</c:v>
                </c:pt>
                <c:pt idx="17">
                  <c:v>Vibrio cholerae</c:v>
                </c:pt>
                <c:pt idx="18">
                  <c:v>Norovirus</c:v>
                </c:pt>
                <c:pt idx="19">
                  <c:v>Salmonella spp.</c:v>
                </c:pt>
                <c:pt idx="20">
                  <c:v>Respiratory syncytial virus</c:v>
                </c:pt>
                <c:pt idx="21">
                  <c:v>Streptococcus pneumoniae</c:v>
                </c:pt>
                <c:pt idx="22">
                  <c:v>Shigella spp.</c:v>
                </c:pt>
                <c:pt idx="23">
                  <c:v>Escherichia coli</c:v>
                </c:pt>
                <c:pt idx="24">
                  <c:v>Haemophilus ducreyi</c:v>
                </c:pt>
                <c:pt idx="25">
                  <c:v>Rhinovirus</c:v>
                </c:pt>
                <c:pt idx="26">
                  <c:v>Influenza viruses</c:v>
                </c:pt>
                <c:pt idx="27">
                  <c:v>Plasmodium spp.</c:v>
                </c:pt>
              </c:strCache>
            </c:strRef>
          </c:cat>
          <c:val>
            <c:numRef>
              <c:f>'Graphic 1'!$J$4:$J$31</c:f>
              <c:numCache>
                <c:formatCode>General</c:formatCode>
                <c:ptCount val="28"/>
                <c:pt idx="0">
                  <c:v>0</c:v>
                </c:pt>
                <c:pt idx="1">
                  <c:v>0</c:v>
                </c:pt>
                <c:pt idx="2">
                  <c:v>1</c:v>
                </c:pt>
                <c:pt idx="3">
                  <c:v>1</c:v>
                </c:pt>
                <c:pt idx="4">
                  <c:v>0</c:v>
                </c:pt>
                <c:pt idx="5">
                  <c:v>0</c:v>
                </c:pt>
                <c:pt idx="6">
                  <c:v>0</c:v>
                </c:pt>
                <c:pt idx="7">
                  <c:v>1</c:v>
                </c:pt>
                <c:pt idx="8">
                  <c:v>0</c:v>
                </c:pt>
                <c:pt idx="9">
                  <c:v>0</c:v>
                </c:pt>
                <c:pt idx="10">
                  <c:v>0</c:v>
                </c:pt>
                <c:pt idx="11">
                  <c:v>0</c:v>
                </c:pt>
                <c:pt idx="12">
                  <c:v>0</c:v>
                </c:pt>
                <c:pt idx="13">
                  <c:v>0</c:v>
                </c:pt>
                <c:pt idx="14">
                  <c:v>2</c:v>
                </c:pt>
                <c:pt idx="15">
                  <c:v>1</c:v>
                </c:pt>
                <c:pt idx="16">
                  <c:v>0</c:v>
                </c:pt>
                <c:pt idx="17">
                  <c:v>3</c:v>
                </c:pt>
                <c:pt idx="18">
                  <c:v>0</c:v>
                </c:pt>
                <c:pt idx="19">
                  <c:v>0</c:v>
                </c:pt>
                <c:pt idx="20">
                  <c:v>0</c:v>
                </c:pt>
                <c:pt idx="21">
                  <c:v>0</c:v>
                </c:pt>
                <c:pt idx="22">
                  <c:v>7</c:v>
                </c:pt>
                <c:pt idx="23">
                  <c:v>3</c:v>
                </c:pt>
                <c:pt idx="24">
                  <c:v>7</c:v>
                </c:pt>
                <c:pt idx="25">
                  <c:v>16</c:v>
                </c:pt>
                <c:pt idx="26">
                  <c:v>14</c:v>
                </c:pt>
                <c:pt idx="27">
                  <c:v>10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96AA-4B1D-A676-853FBC57ACF8}"/>
            </c:ext>
          </c:extLst>
        </c:ser>
        <c:ser>
          <c:idx val="2"/>
          <c:order val="2"/>
          <c:tx>
            <c:strRef>
              <c:f>'Graphic 1'!$K$3</c:f>
              <c:strCache>
                <c:ptCount val="1"/>
                <c:pt idx="0">
                  <c:v>2000 to 2009</c:v>
                </c:pt>
              </c:strCache>
            </c:strRef>
          </c:tx>
          <c:spPr>
            <a:solidFill>
              <a:srgbClr val="93C47D"/>
            </a:solidFill>
            <a:ln cmpd="sng">
              <a:solidFill>
                <a:srgbClr val="000000"/>
              </a:solidFill>
            </a:ln>
          </c:spPr>
          <c:invertIfNegative val="1"/>
          <c:cat>
            <c:strRef>
              <c:f>'Graphic 1'!$H$4:$H$31</c:f>
              <c:strCache>
                <c:ptCount val="28"/>
                <c:pt idx="0">
                  <c:v>Bordetella pertussis</c:v>
                </c:pt>
                <c:pt idx="1">
                  <c:v>Coronavirus</c:v>
                </c:pt>
                <c:pt idx="2">
                  <c:v>Coxsackievirus A21</c:v>
                </c:pt>
                <c:pt idx="3">
                  <c:v>Giardia lamblia</c:v>
                </c:pt>
                <c:pt idx="4">
                  <c:v>Haemophilus influenzae</c:v>
                </c:pt>
                <c:pt idx="5">
                  <c:v>Helicobacter pylori</c:v>
                </c:pt>
                <c:pt idx="6">
                  <c:v>Neisseria lactamica</c:v>
                </c:pt>
                <c:pt idx="7">
                  <c:v>Parainfluenza</c:v>
                </c:pt>
                <c:pt idx="8">
                  <c:v>Parvovirus</c:v>
                </c:pt>
                <c:pt idx="9">
                  <c:v>Rickettsia rickettsii</c:v>
                </c:pt>
                <c:pt idx="10">
                  <c:v>Rubella virus</c:v>
                </c:pt>
                <c:pt idx="11">
                  <c:v>Schistosoma mansoni</c:v>
                </c:pt>
                <c:pt idx="12">
                  <c:v>BCG</c:v>
                </c:pt>
                <c:pt idx="13">
                  <c:v>Campylobacter jejuni</c:v>
                </c:pt>
                <c:pt idx="14">
                  <c:v>Cryptosporidium spp.</c:v>
                </c:pt>
                <c:pt idx="15">
                  <c:v>Dengue virus</c:v>
                </c:pt>
                <c:pt idx="16">
                  <c:v>Necator americanus</c:v>
                </c:pt>
                <c:pt idx="17">
                  <c:v>Vibrio cholerae</c:v>
                </c:pt>
                <c:pt idx="18">
                  <c:v>Norovirus</c:v>
                </c:pt>
                <c:pt idx="19">
                  <c:v>Salmonella spp.</c:v>
                </c:pt>
                <c:pt idx="20">
                  <c:v>Respiratory syncytial virus</c:v>
                </c:pt>
                <c:pt idx="21">
                  <c:v>Streptococcus pneumoniae</c:v>
                </c:pt>
                <c:pt idx="22">
                  <c:v>Shigella spp.</c:v>
                </c:pt>
                <c:pt idx="23">
                  <c:v>Escherichia coli</c:v>
                </c:pt>
                <c:pt idx="24">
                  <c:v>Haemophilus ducreyi</c:v>
                </c:pt>
                <c:pt idx="25">
                  <c:v>Rhinovirus</c:v>
                </c:pt>
                <c:pt idx="26">
                  <c:v>Influenza viruses</c:v>
                </c:pt>
                <c:pt idx="27">
                  <c:v>Plasmodium spp.</c:v>
                </c:pt>
              </c:strCache>
            </c:strRef>
          </c:cat>
          <c:val>
            <c:numRef>
              <c:f>'Graphic 1'!$K$4:$K$31</c:f>
              <c:numCache>
                <c:formatCode>General</c:formatCode>
                <c:ptCount val="28"/>
                <c:pt idx="0">
                  <c:v>0</c:v>
                </c:pt>
                <c:pt idx="1">
                  <c:v>0</c:v>
                </c:pt>
                <c:pt idx="2">
                  <c:v>0</c:v>
                </c:pt>
                <c:pt idx="3">
                  <c:v>0</c:v>
                </c:pt>
                <c:pt idx="4">
                  <c:v>0</c:v>
                </c:pt>
                <c:pt idx="5">
                  <c:v>1</c:v>
                </c:pt>
                <c:pt idx="6">
                  <c:v>0</c:v>
                </c:pt>
                <c:pt idx="7">
                  <c:v>0</c:v>
                </c:pt>
                <c:pt idx="8">
                  <c:v>0</c:v>
                </c:pt>
                <c:pt idx="9">
                  <c:v>0</c:v>
                </c:pt>
                <c:pt idx="10">
                  <c:v>0</c:v>
                </c:pt>
                <c:pt idx="11">
                  <c:v>0</c:v>
                </c:pt>
                <c:pt idx="12">
                  <c:v>0</c:v>
                </c:pt>
                <c:pt idx="13">
                  <c:v>1</c:v>
                </c:pt>
                <c:pt idx="14">
                  <c:v>1</c:v>
                </c:pt>
                <c:pt idx="15">
                  <c:v>1</c:v>
                </c:pt>
                <c:pt idx="16">
                  <c:v>2</c:v>
                </c:pt>
                <c:pt idx="17">
                  <c:v>1</c:v>
                </c:pt>
                <c:pt idx="18">
                  <c:v>1</c:v>
                </c:pt>
                <c:pt idx="19">
                  <c:v>1</c:v>
                </c:pt>
                <c:pt idx="20">
                  <c:v>3</c:v>
                </c:pt>
                <c:pt idx="21">
                  <c:v>0</c:v>
                </c:pt>
                <c:pt idx="22">
                  <c:v>1</c:v>
                </c:pt>
                <c:pt idx="23">
                  <c:v>2</c:v>
                </c:pt>
                <c:pt idx="24">
                  <c:v>19</c:v>
                </c:pt>
                <c:pt idx="25">
                  <c:v>16</c:v>
                </c:pt>
                <c:pt idx="26">
                  <c:v>5</c:v>
                </c:pt>
                <c:pt idx="27">
                  <c:v>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96AA-4B1D-A676-853FBC57ACF8}"/>
            </c:ext>
          </c:extLst>
        </c:ser>
        <c:ser>
          <c:idx val="3"/>
          <c:order val="3"/>
          <c:tx>
            <c:strRef>
              <c:f>'Graphic 1'!$L$3</c:f>
              <c:strCache>
                <c:ptCount val="1"/>
                <c:pt idx="0">
                  <c:v>2010 to 2019</c:v>
                </c:pt>
              </c:strCache>
            </c:strRef>
          </c:tx>
          <c:spPr>
            <a:solidFill>
              <a:srgbClr val="34A853"/>
            </a:solidFill>
            <a:ln cmpd="sng">
              <a:solidFill>
                <a:srgbClr val="000000"/>
              </a:solidFill>
            </a:ln>
          </c:spPr>
          <c:invertIfNegative val="1"/>
          <c:cat>
            <c:strRef>
              <c:f>'Graphic 1'!$H$4:$H$31</c:f>
              <c:strCache>
                <c:ptCount val="28"/>
                <c:pt idx="0">
                  <c:v>Bordetella pertussis</c:v>
                </c:pt>
                <c:pt idx="1">
                  <c:v>Coronavirus</c:v>
                </c:pt>
                <c:pt idx="2">
                  <c:v>Coxsackievirus A21</c:v>
                </c:pt>
                <c:pt idx="3">
                  <c:v>Giardia lamblia</c:v>
                </c:pt>
                <c:pt idx="4">
                  <c:v>Haemophilus influenzae</c:v>
                </c:pt>
                <c:pt idx="5">
                  <c:v>Helicobacter pylori</c:v>
                </c:pt>
                <c:pt idx="6">
                  <c:v>Neisseria lactamica</c:v>
                </c:pt>
                <c:pt idx="7">
                  <c:v>Parainfluenza</c:v>
                </c:pt>
                <c:pt idx="8">
                  <c:v>Parvovirus</c:v>
                </c:pt>
                <c:pt idx="9">
                  <c:v>Rickettsia rickettsii</c:v>
                </c:pt>
                <c:pt idx="10">
                  <c:v>Rubella virus</c:v>
                </c:pt>
                <c:pt idx="11">
                  <c:v>Schistosoma mansoni</c:v>
                </c:pt>
                <c:pt idx="12">
                  <c:v>BCG</c:v>
                </c:pt>
                <c:pt idx="13">
                  <c:v>Campylobacter jejuni</c:v>
                </c:pt>
                <c:pt idx="14">
                  <c:v>Cryptosporidium spp.</c:v>
                </c:pt>
                <c:pt idx="15">
                  <c:v>Dengue virus</c:v>
                </c:pt>
                <c:pt idx="16">
                  <c:v>Necator americanus</c:v>
                </c:pt>
                <c:pt idx="17">
                  <c:v>Vibrio cholerae</c:v>
                </c:pt>
                <c:pt idx="18">
                  <c:v>Norovirus</c:v>
                </c:pt>
                <c:pt idx="19">
                  <c:v>Salmonella spp.</c:v>
                </c:pt>
                <c:pt idx="20">
                  <c:v>Respiratory syncytial virus</c:v>
                </c:pt>
                <c:pt idx="21">
                  <c:v>Streptococcus pneumoniae</c:v>
                </c:pt>
                <c:pt idx="22">
                  <c:v>Shigella spp.</c:v>
                </c:pt>
                <c:pt idx="23">
                  <c:v>Escherichia coli</c:v>
                </c:pt>
                <c:pt idx="24">
                  <c:v>Haemophilus ducreyi</c:v>
                </c:pt>
                <c:pt idx="25">
                  <c:v>Rhinovirus</c:v>
                </c:pt>
                <c:pt idx="26">
                  <c:v>Influenza viruses</c:v>
                </c:pt>
                <c:pt idx="27">
                  <c:v>Plasmodium spp.</c:v>
                </c:pt>
              </c:strCache>
            </c:strRef>
          </c:cat>
          <c:val>
            <c:numRef>
              <c:f>'Graphic 1'!$L$4:$L$31</c:f>
              <c:numCache>
                <c:formatCode>General</c:formatCode>
                <c:ptCount val="28"/>
                <c:pt idx="0">
                  <c:v>1</c:v>
                </c:pt>
                <c:pt idx="1">
                  <c:v>0</c:v>
                </c:pt>
                <c:pt idx="2">
                  <c:v>0</c:v>
                </c:pt>
                <c:pt idx="3">
                  <c:v>0</c:v>
                </c:pt>
                <c:pt idx="4">
                  <c:v>1</c:v>
                </c:pt>
                <c:pt idx="5">
                  <c:v>0</c:v>
                </c:pt>
                <c:pt idx="6">
                  <c:v>1</c:v>
                </c:pt>
                <c:pt idx="7">
                  <c:v>0</c:v>
                </c:pt>
                <c:pt idx="8">
                  <c:v>0</c:v>
                </c:pt>
                <c:pt idx="9">
                  <c:v>0</c:v>
                </c:pt>
                <c:pt idx="10">
                  <c:v>0</c:v>
                </c:pt>
                <c:pt idx="11">
                  <c:v>1</c:v>
                </c:pt>
                <c:pt idx="12">
                  <c:v>3</c:v>
                </c:pt>
                <c:pt idx="13">
                  <c:v>1</c:v>
                </c:pt>
                <c:pt idx="14">
                  <c:v>0</c:v>
                </c:pt>
                <c:pt idx="15">
                  <c:v>1</c:v>
                </c:pt>
                <c:pt idx="16">
                  <c:v>2</c:v>
                </c:pt>
                <c:pt idx="17">
                  <c:v>1</c:v>
                </c:pt>
                <c:pt idx="18">
                  <c:v>5</c:v>
                </c:pt>
                <c:pt idx="19">
                  <c:v>6</c:v>
                </c:pt>
                <c:pt idx="20">
                  <c:v>5</c:v>
                </c:pt>
                <c:pt idx="21">
                  <c:v>9</c:v>
                </c:pt>
                <c:pt idx="22">
                  <c:v>4</c:v>
                </c:pt>
                <c:pt idx="23">
                  <c:v>9</c:v>
                </c:pt>
                <c:pt idx="24">
                  <c:v>0</c:v>
                </c:pt>
                <c:pt idx="25">
                  <c:v>5</c:v>
                </c:pt>
                <c:pt idx="26">
                  <c:v>12</c:v>
                </c:pt>
                <c:pt idx="27">
                  <c:v>52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96AA-4B1D-A676-853FBC57ACF8}"/>
            </c:ext>
          </c:extLst>
        </c:ser>
        <c:ser>
          <c:idx val="4"/>
          <c:order val="4"/>
          <c:tx>
            <c:strRef>
              <c:f>'Graphic 1'!$M$3</c:f>
              <c:strCache>
                <c:ptCount val="1"/>
                <c:pt idx="0">
                  <c:v>2020 and later</c:v>
                </c:pt>
              </c:strCache>
            </c:strRef>
          </c:tx>
          <c:spPr>
            <a:solidFill>
              <a:srgbClr val="6AA84F"/>
            </a:solidFill>
            <a:ln cmpd="sng">
              <a:solidFill>
                <a:srgbClr val="000000"/>
              </a:solidFill>
            </a:ln>
          </c:spPr>
          <c:invertIfNegative val="1"/>
          <c:cat>
            <c:strRef>
              <c:f>'Graphic 1'!$H$4:$H$31</c:f>
              <c:strCache>
                <c:ptCount val="28"/>
                <c:pt idx="0">
                  <c:v>Bordetella pertussis</c:v>
                </c:pt>
                <c:pt idx="1">
                  <c:v>Coronavirus</c:v>
                </c:pt>
                <c:pt idx="2">
                  <c:v>Coxsackievirus A21</c:v>
                </c:pt>
                <c:pt idx="3">
                  <c:v>Giardia lamblia</c:v>
                </c:pt>
                <c:pt idx="4">
                  <c:v>Haemophilus influenzae</c:v>
                </c:pt>
                <c:pt idx="5">
                  <c:v>Helicobacter pylori</c:v>
                </c:pt>
                <c:pt idx="6">
                  <c:v>Neisseria lactamica</c:v>
                </c:pt>
                <c:pt idx="7">
                  <c:v>Parainfluenza</c:v>
                </c:pt>
                <c:pt idx="8">
                  <c:v>Parvovirus</c:v>
                </c:pt>
                <c:pt idx="9">
                  <c:v>Rickettsia rickettsii</c:v>
                </c:pt>
                <c:pt idx="10">
                  <c:v>Rubella virus</c:v>
                </c:pt>
                <c:pt idx="11">
                  <c:v>Schistosoma mansoni</c:v>
                </c:pt>
                <c:pt idx="12">
                  <c:v>BCG</c:v>
                </c:pt>
                <c:pt idx="13">
                  <c:v>Campylobacter jejuni</c:v>
                </c:pt>
                <c:pt idx="14">
                  <c:v>Cryptosporidium spp.</c:v>
                </c:pt>
                <c:pt idx="15">
                  <c:v>Dengue virus</c:v>
                </c:pt>
                <c:pt idx="16">
                  <c:v>Necator americanus</c:v>
                </c:pt>
                <c:pt idx="17">
                  <c:v>Vibrio cholerae</c:v>
                </c:pt>
                <c:pt idx="18">
                  <c:v>Norovirus</c:v>
                </c:pt>
                <c:pt idx="19">
                  <c:v>Salmonella spp.</c:v>
                </c:pt>
                <c:pt idx="20">
                  <c:v>Respiratory syncytial virus</c:v>
                </c:pt>
                <c:pt idx="21">
                  <c:v>Streptococcus pneumoniae</c:v>
                </c:pt>
                <c:pt idx="22">
                  <c:v>Shigella spp.</c:v>
                </c:pt>
                <c:pt idx="23">
                  <c:v>Escherichia coli</c:v>
                </c:pt>
                <c:pt idx="24">
                  <c:v>Haemophilus ducreyi</c:v>
                </c:pt>
                <c:pt idx="25">
                  <c:v>Rhinovirus</c:v>
                </c:pt>
                <c:pt idx="26">
                  <c:v>Influenza viruses</c:v>
                </c:pt>
                <c:pt idx="27">
                  <c:v>Plasmodium spp.</c:v>
                </c:pt>
              </c:strCache>
            </c:strRef>
          </c:cat>
          <c:val>
            <c:numRef>
              <c:f>'Graphic 1'!$M$4:$M$31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96AA-4B1D-A676-853FBC57ACF8}"/>
            </c:ext>
          </c:extLst>
        </c:ser>
        <c:dLbls>
          <c:showLegendKey val="0"/>
          <c:showVal val="0"/>
          <c:showCatName val="0"/>
          <c:showSerName val="0"/>
          <c:showPercent val="0"/>
          <c:showBubbleSize val="0"/>
        </c:dLbls>
        <c:gapWidth val="150"/>
        <c:overlap val="100"/>
        <c:axId val="1251574032"/>
        <c:axId val="1948302428"/>
      </c:barChart>
      <c:catAx>
        <c:axId val="1251574032"/>
        <c:scaling>
          <c:orientation val="maxMin"/>
        </c:scaling>
        <c:delete val="0"/>
        <c:axPos val="b"/>
        <c:title>
          <c:tx>
            <c:rich>
              <a:bodyPr/>
              <a:lstStyle/>
              <a:p>
                <a:pPr lvl="0">
                  <a:defRPr b="0">
                    <a:solidFill>
                      <a:srgbClr val="000000"/>
                    </a:solidFill>
                    <a:latin typeface="+mn-lt"/>
                  </a:defRPr>
                </a:pPr>
                <a:r>
                  <a:rPr lang="en-US" b="0">
                    <a:solidFill>
                      <a:srgbClr val="000000"/>
                    </a:solidFill>
                    <a:latin typeface="+mn-lt"/>
                  </a:rPr>
                  <a:t>Pathogen(s) assessed</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948302428"/>
        <c:crosses val="autoZero"/>
        <c:auto val="1"/>
        <c:lblAlgn val="ctr"/>
        <c:lblOffset val="100"/>
        <c:noMultiLvlLbl val="1"/>
      </c:catAx>
      <c:valAx>
        <c:axId val="1948302428"/>
        <c:scaling>
          <c:orientation val="minMax"/>
        </c:scaling>
        <c:delete val="0"/>
        <c:axPos val="r"/>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1251574032"/>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Number of Studies vs. Number of AEs</a:t>
            </a:r>
          </a:p>
        </c:rich>
      </c:tx>
      <c:overlay val="0"/>
    </c:title>
    <c:autoTitleDeleted val="0"/>
    <c:plotArea>
      <c:layout/>
      <c:scatterChart>
        <c:scatterStyle val="lineMarker"/>
        <c:varyColors val="0"/>
        <c:ser>
          <c:idx val="0"/>
          <c:order val="0"/>
          <c:tx>
            <c:strRef>
              <c:f>'Graphic 2'!$J$1</c:f>
              <c:strCache>
                <c:ptCount val="1"/>
                <c:pt idx="0">
                  <c:v>Number of Studies</c:v>
                </c:pt>
              </c:strCache>
            </c:strRef>
          </c:tx>
          <c:spPr>
            <a:ln>
              <a:noFill/>
            </a:ln>
          </c:spPr>
          <c:marker>
            <c:symbol val="circle"/>
            <c:size val="10"/>
            <c:spPr>
              <a:solidFill>
                <a:schemeClr val="accent1"/>
              </a:solidFill>
              <a:ln cmpd="sng">
                <a:solidFill>
                  <a:schemeClr val="accent1"/>
                </a:solidFill>
              </a:ln>
            </c:spPr>
          </c:marker>
          <c:dLbls>
            <c:dLbl>
              <c:idx val="0"/>
              <c:tx>
                <c:rich>
                  <a:bodyPr/>
                  <a:lstStyle/>
                  <a:p>
                    <a:fld id="{62753D5C-87A3-4061-B49B-9EFC65E9CAB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F5B-473A-841E-188335D4DD1E}"/>
                </c:ext>
              </c:extLst>
            </c:dLbl>
            <c:dLbl>
              <c:idx val="1"/>
              <c:tx>
                <c:rich>
                  <a:bodyPr/>
                  <a:lstStyle/>
                  <a:p>
                    <a:fld id="{366AB5A8-0871-45F9-8F09-7C185C8FDE3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F5B-473A-841E-188335D4DD1E}"/>
                </c:ext>
              </c:extLst>
            </c:dLbl>
            <c:dLbl>
              <c:idx val="2"/>
              <c:tx>
                <c:rich>
                  <a:bodyPr/>
                  <a:lstStyle/>
                  <a:p>
                    <a:fld id="{ED0108A8-C51E-4112-8FEA-F220C65994B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F5B-473A-841E-188335D4DD1E}"/>
                </c:ext>
              </c:extLst>
            </c:dLbl>
            <c:dLbl>
              <c:idx val="3"/>
              <c:tx>
                <c:rich>
                  <a:bodyPr/>
                  <a:lstStyle/>
                  <a:p>
                    <a:fld id="{D3843CD8-EC41-48EA-9EC3-16ED2E58262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F5B-473A-841E-188335D4DD1E}"/>
                </c:ext>
              </c:extLst>
            </c:dLbl>
            <c:dLbl>
              <c:idx val="4"/>
              <c:tx>
                <c:rich>
                  <a:bodyPr/>
                  <a:lstStyle/>
                  <a:p>
                    <a:fld id="{42A5B34F-2AEA-4D99-8D99-D7F2F0CBE4C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F5B-473A-841E-188335D4DD1E}"/>
                </c:ext>
              </c:extLst>
            </c:dLbl>
            <c:dLbl>
              <c:idx val="5"/>
              <c:tx>
                <c:rich>
                  <a:bodyPr/>
                  <a:lstStyle/>
                  <a:p>
                    <a:fld id="{CA2EA33A-C280-455F-A18A-252B9C35F19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F5B-473A-841E-188335D4DD1E}"/>
                </c:ext>
              </c:extLst>
            </c:dLbl>
            <c:dLbl>
              <c:idx val="6"/>
              <c:tx>
                <c:rich>
                  <a:bodyPr/>
                  <a:lstStyle/>
                  <a:p>
                    <a:fld id="{8C72EA78-6C25-47E2-AA79-336928EA913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F5B-473A-841E-188335D4DD1E}"/>
                </c:ext>
              </c:extLst>
            </c:dLbl>
            <c:dLbl>
              <c:idx val="7"/>
              <c:tx>
                <c:rich>
                  <a:bodyPr/>
                  <a:lstStyle/>
                  <a:p>
                    <a:fld id="{ADD2CDEC-CFA9-4A49-8A9F-4DDFB25D5C2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F5B-473A-841E-188335D4DD1E}"/>
                </c:ext>
              </c:extLst>
            </c:dLbl>
            <c:dLbl>
              <c:idx val="8"/>
              <c:tx>
                <c:rich>
                  <a:bodyPr/>
                  <a:lstStyle/>
                  <a:p>
                    <a:fld id="{4F5AFE65-ECBA-4E48-94B3-B8305002E01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F5B-473A-841E-188335D4DD1E}"/>
                </c:ext>
              </c:extLst>
            </c:dLbl>
            <c:dLbl>
              <c:idx val="9"/>
              <c:tx>
                <c:rich>
                  <a:bodyPr/>
                  <a:lstStyle/>
                  <a:p>
                    <a:fld id="{EE81B9DE-EDFA-47A8-824C-B6D0F7E3DA7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F5B-473A-841E-188335D4DD1E}"/>
                </c:ext>
              </c:extLst>
            </c:dLbl>
            <c:dLbl>
              <c:idx val="10"/>
              <c:tx>
                <c:rich>
                  <a:bodyPr/>
                  <a:lstStyle/>
                  <a:p>
                    <a:fld id="{8702A296-2933-4BF4-B61E-079C2B70608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F5B-473A-841E-188335D4DD1E}"/>
                </c:ext>
              </c:extLst>
            </c:dLbl>
            <c:dLbl>
              <c:idx val="11"/>
              <c:tx>
                <c:rich>
                  <a:bodyPr/>
                  <a:lstStyle/>
                  <a:p>
                    <a:fld id="{339FDF6A-E68A-436F-BA5E-CE4A406C2A3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F5B-473A-841E-188335D4DD1E}"/>
                </c:ext>
              </c:extLst>
            </c:dLbl>
            <c:dLbl>
              <c:idx val="12"/>
              <c:tx>
                <c:rich>
                  <a:bodyPr/>
                  <a:lstStyle/>
                  <a:p>
                    <a:fld id="{9D0EB950-4C1A-4C9C-A242-9312FB04E08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F5B-473A-841E-188335D4DD1E}"/>
                </c:ext>
              </c:extLst>
            </c:dLbl>
            <c:dLbl>
              <c:idx val="13"/>
              <c:tx>
                <c:rich>
                  <a:bodyPr/>
                  <a:lstStyle/>
                  <a:p>
                    <a:fld id="{75C1DAB8-C2B2-4C5C-85B8-20260C9738F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6F5B-473A-841E-188335D4DD1E}"/>
                </c:ext>
              </c:extLst>
            </c:dLbl>
            <c:dLbl>
              <c:idx val="14"/>
              <c:tx>
                <c:rich>
                  <a:bodyPr/>
                  <a:lstStyle/>
                  <a:p>
                    <a:fld id="{2A6F803A-2ED7-47F7-985E-CECD639B5AA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6F5B-473A-841E-188335D4DD1E}"/>
                </c:ext>
              </c:extLst>
            </c:dLbl>
            <c:dLbl>
              <c:idx val="15"/>
              <c:tx>
                <c:rich>
                  <a:bodyPr/>
                  <a:lstStyle/>
                  <a:p>
                    <a:fld id="{472423F1-1071-4314-BED6-DE2A5179C81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6F5B-473A-841E-188335D4DD1E}"/>
                </c:ext>
              </c:extLst>
            </c:dLbl>
            <c:dLbl>
              <c:idx val="16"/>
              <c:tx>
                <c:rich>
                  <a:bodyPr/>
                  <a:lstStyle/>
                  <a:p>
                    <a:fld id="{203FA0D1-B587-4803-8284-77252B74F66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6F5B-473A-841E-188335D4DD1E}"/>
                </c:ext>
              </c:extLst>
            </c:dLbl>
            <c:dLbl>
              <c:idx val="17"/>
              <c:tx>
                <c:rich>
                  <a:bodyPr/>
                  <a:lstStyle/>
                  <a:p>
                    <a:fld id="{E841C30C-8E06-427F-A4D2-18AC5319AD3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6F5B-473A-841E-188335D4DD1E}"/>
                </c:ext>
              </c:extLst>
            </c:dLbl>
            <c:dLbl>
              <c:idx val="18"/>
              <c:tx>
                <c:rich>
                  <a:bodyPr/>
                  <a:lstStyle/>
                  <a:p>
                    <a:fld id="{ED308200-C497-448C-927B-19E751CA81D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6F5B-473A-841E-188335D4DD1E}"/>
                </c:ext>
              </c:extLst>
            </c:dLbl>
            <c:dLbl>
              <c:idx val="19"/>
              <c:tx>
                <c:rich>
                  <a:bodyPr/>
                  <a:lstStyle/>
                  <a:p>
                    <a:fld id="{B5629FE0-0B81-47A6-8F6D-566C6FC0F53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6F5B-473A-841E-188335D4DD1E}"/>
                </c:ext>
              </c:extLst>
            </c:dLbl>
            <c:dLbl>
              <c:idx val="20"/>
              <c:tx>
                <c:rich>
                  <a:bodyPr/>
                  <a:lstStyle/>
                  <a:p>
                    <a:fld id="{8031999C-6475-4411-8B4E-10FF8C24840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6F5B-473A-841E-188335D4DD1E}"/>
                </c:ext>
              </c:extLst>
            </c:dLbl>
            <c:dLbl>
              <c:idx val="21"/>
              <c:tx>
                <c:rich>
                  <a:bodyPr/>
                  <a:lstStyle/>
                  <a:p>
                    <a:fld id="{03A616D1-12BB-4B1F-AD4C-8EE793146B2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6F5B-473A-841E-188335D4DD1E}"/>
                </c:ext>
              </c:extLst>
            </c:dLbl>
            <c:dLbl>
              <c:idx val="22"/>
              <c:tx>
                <c:rich>
                  <a:bodyPr/>
                  <a:lstStyle/>
                  <a:p>
                    <a:fld id="{5F98F147-0949-40A3-AA18-27DE8315CB8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6F5B-473A-841E-188335D4DD1E}"/>
                </c:ext>
              </c:extLst>
            </c:dLbl>
            <c:dLbl>
              <c:idx val="23"/>
              <c:tx>
                <c:rich>
                  <a:bodyPr/>
                  <a:lstStyle/>
                  <a:p>
                    <a:fld id="{8C8A19F1-04AE-4594-A60D-2272A632F9D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6F5B-473A-841E-188335D4DD1E}"/>
                </c:ext>
              </c:extLst>
            </c:dLbl>
            <c:dLbl>
              <c:idx val="24"/>
              <c:tx>
                <c:rich>
                  <a:bodyPr/>
                  <a:lstStyle/>
                  <a:p>
                    <a:fld id="{F4E7D630-D2FD-47A7-90FA-FABA03D238C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6F5B-473A-841E-188335D4DD1E}"/>
                </c:ext>
              </c:extLst>
            </c:dLbl>
            <c:dLbl>
              <c:idx val="25"/>
              <c:tx>
                <c:rich>
                  <a:bodyPr/>
                  <a:lstStyle/>
                  <a:p>
                    <a:fld id="{63642440-A265-413E-9D62-2F635E67157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6F5B-473A-841E-188335D4DD1E}"/>
                </c:ext>
              </c:extLst>
            </c:dLbl>
            <c:dLbl>
              <c:idx val="26"/>
              <c:tx>
                <c:rich>
                  <a:bodyPr/>
                  <a:lstStyle/>
                  <a:p>
                    <a:fld id="{5726F7EF-33C7-4739-90B3-4A8A12C2A50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6F5B-473A-841E-188335D4DD1E}"/>
                </c:ext>
              </c:extLst>
            </c:dLbl>
            <c:dLbl>
              <c:idx val="27"/>
              <c:tx>
                <c:rich>
                  <a:bodyPr/>
                  <a:lstStyle/>
                  <a:p>
                    <a:fld id="{60D1A7D6-9999-4022-87B3-F55FAF9B3E8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6F5B-473A-841E-188335D4DD1E}"/>
                </c:ext>
              </c:extLst>
            </c:dLbl>
            <c:dLbl>
              <c:idx val="28"/>
              <c:tx>
                <c:rich>
                  <a:bodyPr/>
                  <a:lstStyle/>
                  <a:p>
                    <a:fld id="{73049BA9-FCD1-4C37-BBA6-7F14A7FD83C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6F5B-473A-841E-188335D4DD1E}"/>
                </c:ext>
              </c:extLst>
            </c:dLbl>
            <c:dLbl>
              <c:idx val="29"/>
              <c:tx>
                <c:rich>
                  <a:bodyPr/>
                  <a:lstStyle/>
                  <a:p>
                    <a:fld id="{AF21546D-9F5B-41FD-9D38-92750A5BF8D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6F5B-473A-841E-188335D4DD1E}"/>
                </c:ext>
              </c:extLst>
            </c:dLbl>
            <c:dLbl>
              <c:idx val="30"/>
              <c:tx>
                <c:rich>
                  <a:bodyPr/>
                  <a:lstStyle/>
                  <a:p>
                    <a:fld id="{1D336AC8-358B-4AA1-AF9A-B04208E99CD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6F5B-473A-841E-188335D4DD1E}"/>
                </c:ext>
              </c:extLst>
            </c:dLbl>
            <c:dLbl>
              <c:idx val="31"/>
              <c:tx>
                <c:rich>
                  <a:bodyPr/>
                  <a:lstStyle/>
                  <a:p>
                    <a:fld id="{C4407930-7CCF-4B0D-9B12-30071E3738A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6F5B-473A-841E-188335D4DD1E}"/>
                </c:ext>
              </c:extLst>
            </c:dLbl>
            <c:dLbl>
              <c:idx val="32"/>
              <c:tx>
                <c:rich>
                  <a:bodyPr/>
                  <a:lstStyle/>
                  <a:p>
                    <a:fld id="{598D3FE5-3786-48DB-98E2-1429A788353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6F5B-473A-841E-188335D4DD1E}"/>
                </c:ext>
              </c:extLst>
            </c:dLbl>
            <c:dLbl>
              <c:idx val="33"/>
              <c:tx>
                <c:rich>
                  <a:bodyPr/>
                  <a:lstStyle/>
                  <a:p>
                    <a:fld id="{0C121FCD-7AA1-4DD1-973F-CD8A73D4642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6F5B-473A-841E-188335D4DD1E}"/>
                </c:ext>
              </c:extLst>
            </c:dLbl>
            <c:dLbl>
              <c:idx val="34"/>
              <c:tx>
                <c:rich>
                  <a:bodyPr/>
                  <a:lstStyle/>
                  <a:p>
                    <a:fld id="{449D19BD-BD59-4148-9DE4-0DA2F81C16D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6F5B-473A-841E-188335D4DD1E}"/>
                </c:ext>
              </c:extLst>
            </c:dLbl>
            <c:dLbl>
              <c:idx val="35"/>
              <c:tx>
                <c:rich>
                  <a:bodyPr/>
                  <a:lstStyle/>
                  <a:p>
                    <a:fld id="{A308B806-5AE4-4E9D-BDF4-E1FA555E51B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6F5B-473A-841E-188335D4DD1E}"/>
                </c:ext>
              </c:extLst>
            </c:dLbl>
            <c:dLbl>
              <c:idx val="36"/>
              <c:tx>
                <c:rich>
                  <a:bodyPr/>
                  <a:lstStyle/>
                  <a:p>
                    <a:fld id="{F0A9339D-6AF9-4C17-AD9C-0EDFFA31A06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6F5B-473A-841E-188335D4DD1E}"/>
                </c:ext>
              </c:extLst>
            </c:dLbl>
            <c:dLbl>
              <c:idx val="37"/>
              <c:tx>
                <c:rich>
                  <a:bodyPr/>
                  <a:lstStyle/>
                  <a:p>
                    <a:fld id="{87758F14-EDA6-46B1-B7D9-F6ECD2E6166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6F5B-473A-841E-188335D4DD1E}"/>
                </c:ext>
              </c:extLst>
            </c:dLbl>
            <c:dLbl>
              <c:idx val="38"/>
              <c:tx>
                <c:rich>
                  <a:bodyPr/>
                  <a:lstStyle/>
                  <a:p>
                    <a:fld id="{CB919792-0987-402B-B023-577AAD0114D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6F5B-473A-841E-188335D4DD1E}"/>
                </c:ext>
              </c:extLst>
            </c:dLbl>
            <c:dLbl>
              <c:idx val="39"/>
              <c:tx>
                <c:rich>
                  <a:bodyPr/>
                  <a:lstStyle/>
                  <a:p>
                    <a:fld id="{520CA5E5-C68E-4482-A393-6D137C2F8AD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6F5B-473A-841E-188335D4DD1E}"/>
                </c:ext>
              </c:extLst>
            </c:dLbl>
            <c:dLbl>
              <c:idx val="40"/>
              <c:tx>
                <c:rich>
                  <a:bodyPr/>
                  <a:lstStyle/>
                  <a:p>
                    <a:fld id="{DCA4B293-B642-4816-B6A2-740C566B52B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6F5B-473A-841E-188335D4DD1E}"/>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'Graphic 2'!$K$2:$K$42</c:f>
              <c:numCache>
                <c:formatCode>0</c:formatCode>
                <c:ptCount val="41"/>
                <c:pt idx="0">
                  <c:v>6</c:v>
                </c:pt>
                <c:pt idx="1">
                  <c:v>27</c:v>
                </c:pt>
                <c:pt idx="2">
                  <c:v>39</c:v>
                </c:pt>
                <c:pt idx="3">
                  <c:v>10</c:v>
                </c:pt>
                <c:pt idx="4">
                  <c:v>33</c:v>
                </c:pt>
                <c:pt idx="5">
                  <c:v>129</c:v>
                </c:pt>
                <c:pt idx="6">
                  <c:v>17</c:v>
                </c:pt>
                <c:pt idx="7">
                  <c:v>65</c:v>
                </c:pt>
                <c:pt idx="8">
                  <c:v>10</c:v>
                </c:pt>
                <c:pt idx="9">
                  <c:v>56</c:v>
                </c:pt>
                <c:pt idx="10">
                  <c:v>20</c:v>
                </c:pt>
                <c:pt idx="11">
                  <c:v>160</c:v>
                </c:pt>
                <c:pt idx="12">
                  <c:v>148</c:v>
                </c:pt>
                <c:pt idx="13">
                  <c:v>76</c:v>
                </c:pt>
                <c:pt idx="14">
                  <c:v>50</c:v>
                </c:pt>
                <c:pt idx="15">
                  <c:v>0</c:v>
                </c:pt>
                <c:pt idx="16">
                  <c:v>253</c:v>
                </c:pt>
                <c:pt idx="17">
                  <c:v>11</c:v>
                </c:pt>
                <c:pt idx="18">
                  <c:v>125</c:v>
                </c:pt>
                <c:pt idx="19">
                  <c:v>292</c:v>
                </c:pt>
                <c:pt idx="20">
                  <c:v>90</c:v>
                </c:pt>
                <c:pt idx="21">
                  <c:v>105</c:v>
                </c:pt>
                <c:pt idx="22">
                  <c:v>0</c:v>
                </c:pt>
                <c:pt idx="23">
                  <c:v>24</c:v>
                </c:pt>
                <c:pt idx="24">
                  <c:v>112</c:v>
                </c:pt>
                <c:pt idx="25">
                  <c:v>16</c:v>
                </c:pt>
                <c:pt idx="26">
                  <c:v>0</c:v>
                </c:pt>
                <c:pt idx="27">
                  <c:v>1</c:v>
                </c:pt>
                <c:pt idx="28">
                  <c:v>53</c:v>
                </c:pt>
                <c:pt idx="29">
                  <c:v>76</c:v>
                </c:pt>
                <c:pt idx="30">
                  <c:v>5</c:v>
                </c:pt>
                <c:pt idx="31">
                  <c:v>19</c:v>
                </c:pt>
                <c:pt idx="32">
                  <c:v>52</c:v>
                </c:pt>
                <c:pt idx="33">
                  <c:v>24</c:v>
                </c:pt>
                <c:pt idx="34">
                  <c:v>193</c:v>
                </c:pt>
                <c:pt idx="35">
                  <c:v>283</c:v>
                </c:pt>
                <c:pt idx="36">
                  <c:v>155</c:v>
                </c:pt>
                <c:pt idx="37">
                  <c:v>220</c:v>
                </c:pt>
                <c:pt idx="38">
                  <c:v>122</c:v>
                </c:pt>
                <c:pt idx="39">
                  <c:v>221</c:v>
                </c:pt>
                <c:pt idx="40">
                  <c:v>23</c:v>
                </c:pt>
              </c:numCache>
            </c:numRef>
          </c:xVal>
          <c:yVal>
            <c:numRef>
              <c:f>'Graphic 2'!$J$2:$J$42</c:f>
              <c:numCache>
                <c:formatCode>0</c:formatCode>
                <c:ptCount val="41"/>
                <c:pt idx="0">
                  <c:v>1</c:v>
                </c:pt>
                <c:pt idx="1">
                  <c:v>4</c:v>
                </c:pt>
                <c:pt idx="2">
                  <c:v>3</c:v>
                </c:pt>
                <c:pt idx="3">
                  <c:v>3</c:v>
                </c:pt>
                <c:pt idx="4">
                  <c:v>4</c:v>
                </c:pt>
                <c:pt idx="5">
                  <c:v>4</c:v>
                </c:pt>
                <c:pt idx="6">
                  <c:v>5</c:v>
                </c:pt>
                <c:pt idx="7">
                  <c:v>5</c:v>
                </c:pt>
                <c:pt idx="8">
                  <c:v>2</c:v>
                </c:pt>
                <c:pt idx="9">
                  <c:v>9</c:v>
                </c:pt>
                <c:pt idx="10">
                  <c:v>4</c:v>
                </c:pt>
                <c:pt idx="11">
                  <c:v>10</c:v>
                </c:pt>
                <c:pt idx="12">
                  <c:v>7</c:v>
                </c:pt>
                <c:pt idx="13">
                  <c:v>7</c:v>
                </c:pt>
                <c:pt idx="14">
                  <c:v>4</c:v>
                </c:pt>
                <c:pt idx="15">
                  <c:v>5</c:v>
                </c:pt>
                <c:pt idx="16">
                  <c:v>4</c:v>
                </c:pt>
                <c:pt idx="17">
                  <c:v>8</c:v>
                </c:pt>
                <c:pt idx="18">
                  <c:v>10</c:v>
                </c:pt>
                <c:pt idx="19">
                  <c:v>10</c:v>
                </c:pt>
                <c:pt idx="20">
                  <c:v>9</c:v>
                </c:pt>
                <c:pt idx="21">
                  <c:v>4</c:v>
                </c:pt>
                <c:pt idx="22">
                  <c:v>5</c:v>
                </c:pt>
                <c:pt idx="23">
                  <c:v>3</c:v>
                </c:pt>
                <c:pt idx="24">
                  <c:v>2</c:v>
                </c:pt>
                <c:pt idx="25">
                  <c:v>8</c:v>
                </c:pt>
                <c:pt idx="26">
                  <c:v>2</c:v>
                </c:pt>
                <c:pt idx="27">
                  <c:v>5</c:v>
                </c:pt>
                <c:pt idx="28">
                  <c:v>9</c:v>
                </c:pt>
                <c:pt idx="29">
                  <c:v>4</c:v>
                </c:pt>
                <c:pt idx="30">
                  <c:v>5</c:v>
                </c:pt>
                <c:pt idx="31">
                  <c:v>10</c:v>
                </c:pt>
                <c:pt idx="32">
                  <c:v>10</c:v>
                </c:pt>
                <c:pt idx="33">
                  <c:v>13</c:v>
                </c:pt>
                <c:pt idx="34">
                  <c:v>11</c:v>
                </c:pt>
                <c:pt idx="35">
                  <c:v>24</c:v>
                </c:pt>
                <c:pt idx="36">
                  <c:v>9</c:v>
                </c:pt>
                <c:pt idx="37">
                  <c:v>11</c:v>
                </c:pt>
                <c:pt idx="38">
                  <c:v>9</c:v>
                </c:pt>
                <c:pt idx="39">
                  <c:v>15</c:v>
                </c:pt>
                <c:pt idx="40">
                  <c:v>7</c:v>
                </c:pt>
              </c:numCache>
            </c:numRef>
          </c:yVal>
          <c:smooth val="1"/>
          <c:extLst>
            <c:ext xmlns:c15="http://schemas.microsoft.com/office/drawing/2012/chart" uri="{02D57815-91ED-43cb-92C2-25804820EDAC}">
              <c15:datalabelsRange>
                <c15:f>'Graphic 2'!$I$2:$I$42</c15:f>
                <c15:dlblRangeCache>
                  <c:ptCount val="41"/>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pt idx="38">
                    <c:v>2019</c:v>
                  </c:pt>
                  <c:pt idx="39">
                    <c:v>2020</c:v>
                  </c:pt>
                  <c:pt idx="40">
                    <c:v>2021</c:v>
                  </c:pt>
                </c15:dlblRangeCache>
              </c15:datalabelsRange>
            </c:ext>
            <c:ext xmlns:c16="http://schemas.microsoft.com/office/drawing/2014/chart" uri="{C3380CC4-5D6E-409C-BE32-E72D297353CC}">
              <c16:uniqueId val="{00000000-6F5B-473A-841E-188335D4DD1E}"/>
            </c:ext>
          </c:extLst>
        </c:ser>
        <c:dLbls>
          <c:dLblPos val="r"/>
          <c:showLegendKey val="0"/>
          <c:showVal val="1"/>
          <c:showCatName val="0"/>
          <c:showSerName val="0"/>
          <c:showPercent val="0"/>
          <c:showBubbleSize val="0"/>
        </c:dLbls>
        <c:axId val="318554"/>
        <c:axId val="1903761639"/>
      </c:scatterChart>
      <c:valAx>
        <c:axId val="318554"/>
        <c:scaling>
          <c:orientation val="minMax"/>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lang="en-US" b="0">
                    <a:solidFill>
                      <a:srgbClr val="000000"/>
                    </a:solidFill>
                    <a:latin typeface="+mn-lt"/>
                  </a:rPr>
                  <a:t>Number of AEs</a:t>
                </a:r>
              </a:p>
            </c:rich>
          </c:tx>
          <c:overlay val="0"/>
        </c:title>
        <c:numFmt formatCode="0" sourceLinked="1"/>
        <c:majorTickMark val="none"/>
        <c:minorTickMark val="none"/>
        <c:tickLblPos val="nextTo"/>
        <c:spPr>
          <a:ln/>
        </c:spPr>
        <c:txPr>
          <a:bodyPr/>
          <a:lstStyle/>
          <a:p>
            <a:pPr lvl="0">
              <a:defRPr b="0">
                <a:solidFill>
                  <a:srgbClr val="000000"/>
                </a:solidFill>
                <a:latin typeface="+mn-lt"/>
              </a:defRPr>
            </a:pPr>
            <a:endParaRPr lang="en-US"/>
          </a:p>
        </c:txPr>
        <c:crossAx val="1903761639"/>
        <c:crosses val="autoZero"/>
        <c:crossBetween val="midCat"/>
      </c:valAx>
      <c:valAx>
        <c:axId val="190376163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sz="1800" b="0">
                    <a:solidFill>
                      <a:srgbClr val="000000"/>
                    </a:solidFill>
                    <a:latin typeface="+mn-lt"/>
                  </a:defRPr>
                </a:pPr>
                <a:r>
                  <a:rPr lang="en-US" sz="1800" b="0">
                    <a:solidFill>
                      <a:srgbClr val="000000"/>
                    </a:solidFill>
                    <a:latin typeface="+mn-lt"/>
                  </a:rPr>
                  <a:t>Number of Studies</a:t>
                </a:r>
              </a:p>
            </c:rich>
          </c:tx>
          <c:overlay val="0"/>
        </c:title>
        <c:numFmt formatCode="0" sourceLinked="1"/>
        <c:majorTickMark val="none"/>
        <c:minorTickMark val="none"/>
        <c:tickLblPos val="nextTo"/>
        <c:spPr>
          <a:ln/>
        </c:spPr>
        <c:txPr>
          <a:bodyPr/>
          <a:lstStyle/>
          <a:p>
            <a:pPr lvl="0">
              <a:defRPr b="0">
                <a:solidFill>
                  <a:srgbClr val="000000"/>
                </a:solidFill>
                <a:latin typeface="+mn-lt"/>
              </a:defRPr>
            </a:pPr>
            <a:endParaRPr lang="en-US"/>
          </a:p>
        </c:txPr>
        <c:crossAx val="318554"/>
        <c:crosses val="autoZero"/>
        <c:crossBetween val="midCat"/>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2000" b="0">
                <a:solidFill>
                  <a:srgbClr val="202124"/>
                </a:solidFill>
                <a:latin typeface="+mn-lt"/>
              </a:defRPr>
            </a:pPr>
            <a:r>
              <a:rPr lang="en-US" sz="2000" b="0">
                <a:solidFill>
                  <a:srgbClr val="202124"/>
                </a:solidFill>
                <a:latin typeface="+mn-lt"/>
              </a:rPr>
              <a:t>Number of Studies vs. Number of AEs</a:t>
            </a:r>
          </a:p>
        </c:rich>
      </c:tx>
      <c:overlay val="0"/>
    </c:title>
    <c:autoTitleDeleted val="0"/>
    <c:plotArea>
      <c:layout/>
      <c:scatterChart>
        <c:scatterStyle val="lineMarker"/>
        <c:varyColors val="0"/>
        <c:ser>
          <c:idx val="0"/>
          <c:order val="0"/>
          <c:tx>
            <c:strRef>
              <c:f>'Graphic 2'!$S$1</c:f>
              <c:strCache>
                <c:ptCount val="1"/>
                <c:pt idx="0">
                  <c:v>Number of Studies</c:v>
                </c:pt>
              </c:strCache>
            </c:strRef>
          </c:tx>
          <c:spPr>
            <a:ln>
              <a:noFill/>
            </a:ln>
          </c:spPr>
          <c:marker>
            <c:symbol val="circle"/>
            <c:size val="7"/>
            <c:spPr>
              <a:solidFill>
                <a:schemeClr val="accent1"/>
              </a:solidFill>
              <a:ln cmpd="sng">
                <a:solidFill>
                  <a:schemeClr val="accent1"/>
                </a:solidFill>
              </a:ln>
            </c:spPr>
          </c:marker>
          <c:dLbls>
            <c:dLbl>
              <c:idx val="0"/>
              <c:tx>
                <c:rich>
                  <a:bodyPr/>
                  <a:lstStyle/>
                  <a:p>
                    <a:fld id="{188421CB-9BEB-4C40-AB27-33F47D9D59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868-41AB-AE2A-5CB9EEF718F0}"/>
                </c:ext>
              </c:extLst>
            </c:dLbl>
            <c:dLbl>
              <c:idx val="1"/>
              <c:tx>
                <c:rich>
                  <a:bodyPr/>
                  <a:lstStyle/>
                  <a:p>
                    <a:fld id="{0BD4CBB6-508E-4B22-9DFD-30B8E82077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868-41AB-AE2A-5CB9EEF718F0}"/>
                </c:ext>
              </c:extLst>
            </c:dLbl>
            <c:dLbl>
              <c:idx val="2"/>
              <c:tx>
                <c:rich>
                  <a:bodyPr/>
                  <a:lstStyle/>
                  <a:p>
                    <a:fld id="{D34F3DCD-CA04-4460-B4D5-8DDB54D761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868-41AB-AE2A-5CB9EEF718F0}"/>
                </c:ext>
              </c:extLst>
            </c:dLbl>
            <c:dLbl>
              <c:idx val="3"/>
              <c:tx>
                <c:rich>
                  <a:bodyPr/>
                  <a:lstStyle/>
                  <a:p>
                    <a:fld id="{17836251-E5EA-4390-8522-7BEBC8F74A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868-41AB-AE2A-5CB9EEF718F0}"/>
                </c:ext>
              </c:extLst>
            </c:dLbl>
            <c:dLbl>
              <c:idx val="4"/>
              <c:tx>
                <c:rich>
                  <a:bodyPr/>
                  <a:lstStyle/>
                  <a:p>
                    <a:fld id="{EBB07DA8-38D1-4EAC-8723-4B1CA2A383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868-41AB-AE2A-5CB9EEF718F0}"/>
                </c:ext>
              </c:extLst>
            </c:dLbl>
            <c:dLbl>
              <c:idx val="5"/>
              <c:tx>
                <c:rich>
                  <a:bodyPr/>
                  <a:lstStyle/>
                  <a:p>
                    <a:fld id="{FB6EC778-9F21-4435-B2A5-B6651E7AC0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868-41AB-AE2A-5CB9EEF718F0}"/>
                </c:ext>
              </c:extLst>
            </c:dLbl>
            <c:dLbl>
              <c:idx val="6"/>
              <c:tx>
                <c:rich>
                  <a:bodyPr/>
                  <a:lstStyle/>
                  <a:p>
                    <a:fld id="{509ACAAD-A6F3-4240-BFD7-9CA5184405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868-41AB-AE2A-5CB9EEF718F0}"/>
                </c:ext>
              </c:extLst>
            </c:dLbl>
            <c:dLbl>
              <c:idx val="7"/>
              <c:tx>
                <c:rich>
                  <a:bodyPr/>
                  <a:lstStyle/>
                  <a:p>
                    <a:fld id="{33D8DA1C-A266-45FE-9670-D035909B43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868-41AB-AE2A-5CB9EEF718F0}"/>
                </c:ext>
              </c:extLst>
            </c:dLbl>
            <c:dLbl>
              <c:idx val="8"/>
              <c:tx>
                <c:rich>
                  <a:bodyPr/>
                  <a:lstStyle/>
                  <a:p>
                    <a:fld id="{5F59EDFD-A890-4384-AE76-3C7F05C7EDC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868-41AB-AE2A-5CB9EEF718F0}"/>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'Graphic 2'!$T$2:$T$10</c:f>
              <c:numCache>
                <c:formatCode>General</c:formatCode>
                <c:ptCount val="9"/>
                <c:pt idx="0">
                  <c:v>82</c:v>
                </c:pt>
                <c:pt idx="1">
                  <c:v>254</c:v>
                </c:pt>
                <c:pt idx="2">
                  <c:v>460</c:v>
                </c:pt>
                <c:pt idx="3">
                  <c:v>439</c:v>
                </c:pt>
                <c:pt idx="4">
                  <c:v>511</c:v>
                </c:pt>
                <c:pt idx="5">
                  <c:v>182</c:v>
                </c:pt>
                <c:pt idx="6">
                  <c:v>176</c:v>
                </c:pt>
                <c:pt idx="7">
                  <c:v>973</c:v>
                </c:pt>
                <c:pt idx="8">
                  <c:v>244</c:v>
                </c:pt>
              </c:numCache>
            </c:numRef>
          </c:xVal>
          <c:yVal>
            <c:numRef>
              <c:f>'Graphic 2'!$S$2:$S$10</c:f>
              <c:numCache>
                <c:formatCode>General</c:formatCode>
                <c:ptCount val="9"/>
                <c:pt idx="0">
                  <c:v>11</c:v>
                </c:pt>
                <c:pt idx="1">
                  <c:v>20</c:v>
                </c:pt>
                <c:pt idx="2">
                  <c:v>37</c:v>
                </c:pt>
                <c:pt idx="3">
                  <c:v>31</c:v>
                </c:pt>
                <c:pt idx="4">
                  <c:v>31</c:v>
                </c:pt>
                <c:pt idx="5">
                  <c:v>26</c:v>
                </c:pt>
                <c:pt idx="6">
                  <c:v>42</c:v>
                </c:pt>
                <c:pt idx="7">
                  <c:v>64</c:v>
                </c:pt>
                <c:pt idx="8">
                  <c:v>22</c:v>
                </c:pt>
              </c:numCache>
            </c:numRef>
          </c:yVal>
          <c:smooth val="1"/>
          <c:extLst>
            <c:ext xmlns:c15="http://schemas.microsoft.com/office/drawing/2012/chart" uri="{02D57815-91ED-43cb-92C2-25804820EDAC}">
              <c15:datalabelsRange>
                <c15:f>'Graphic 2'!$R$2:$R$10</c15:f>
                <c15:dlblRangeCache>
                  <c:ptCount val="9"/>
                  <c:pt idx="0">
                    <c:v>1980-1984</c:v>
                  </c:pt>
                  <c:pt idx="1">
                    <c:v>1985-1989</c:v>
                  </c:pt>
                  <c:pt idx="2">
                    <c:v>1990-1994</c:v>
                  </c:pt>
                  <c:pt idx="3">
                    <c:v>1995-1999</c:v>
                  </c:pt>
                  <c:pt idx="4">
                    <c:v>2000-2004</c:v>
                  </c:pt>
                  <c:pt idx="5">
                    <c:v>2005-2009</c:v>
                  </c:pt>
                  <c:pt idx="6">
                    <c:v>2010-2014</c:v>
                  </c:pt>
                  <c:pt idx="7">
                    <c:v>2015-2019</c:v>
                  </c:pt>
                  <c:pt idx="8">
                    <c:v>2020-2021</c:v>
                  </c:pt>
                </c15:dlblRangeCache>
              </c15:datalabelsRange>
            </c:ext>
            <c:ext xmlns:c16="http://schemas.microsoft.com/office/drawing/2014/chart" uri="{C3380CC4-5D6E-409C-BE32-E72D297353CC}">
              <c16:uniqueId val="{00000000-5868-41AB-AE2A-5CB9EEF718F0}"/>
            </c:ext>
          </c:extLst>
        </c:ser>
        <c:dLbls>
          <c:showLegendKey val="0"/>
          <c:showVal val="1"/>
          <c:showCatName val="0"/>
          <c:showSerName val="0"/>
          <c:showPercent val="0"/>
          <c:showBubbleSize val="0"/>
        </c:dLbls>
        <c:axId val="270229505"/>
        <c:axId val="120335050"/>
      </c:scatterChart>
      <c:valAx>
        <c:axId val="270229505"/>
        <c:scaling>
          <c:orientation val="minMax"/>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sz="1800" b="0">
                    <a:solidFill>
                      <a:srgbClr val="000000"/>
                    </a:solidFill>
                    <a:latin typeface="+mn-lt"/>
                  </a:defRPr>
                </a:pPr>
                <a:r>
                  <a:rPr lang="en-US" sz="1800" b="0">
                    <a:solidFill>
                      <a:srgbClr val="000000"/>
                    </a:solidFill>
                    <a:latin typeface="+mn-lt"/>
                  </a:rPr>
                  <a:t>Number of AEs</a:t>
                </a:r>
              </a:p>
            </c:rich>
          </c:tx>
          <c:overlay val="0"/>
        </c:title>
        <c:numFmt formatCode="General" sourceLinked="1"/>
        <c:majorTickMark val="none"/>
        <c:minorTickMark val="none"/>
        <c:tickLblPos val="nextTo"/>
        <c:spPr>
          <a:ln/>
        </c:spPr>
        <c:txPr>
          <a:bodyPr/>
          <a:lstStyle/>
          <a:p>
            <a:pPr lvl="0">
              <a:defRPr sz="1600" b="0">
                <a:solidFill>
                  <a:srgbClr val="000000"/>
                </a:solidFill>
                <a:latin typeface="+mn-lt"/>
              </a:defRPr>
            </a:pPr>
            <a:endParaRPr lang="en-US"/>
          </a:p>
        </c:txPr>
        <c:crossAx val="120335050"/>
        <c:crosses val="autoZero"/>
        <c:crossBetween val="midCat"/>
      </c:valAx>
      <c:valAx>
        <c:axId val="120335050"/>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sz="1800" b="0">
                    <a:solidFill>
                      <a:srgbClr val="000000"/>
                    </a:solidFill>
                    <a:latin typeface="+mn-lt"/>
                  </a:defRPr>
                </a:pPr>
                <a:r>
                  <a:rPr lang="en-US" sz="1800" b="0">
                    <a:solidFill>
                      <a:srgbClr val="000000"/>
                    </a:solidFill>
                    <a:latin typeface="+mn-lt"/>
                  </a:rPr>
                  <a:t>Number of Studies</a:t>
                </a:r>
              </a:p>
            </c:rich>
          </c:tx>
          <c:overlay val="0"/>
        </c:title>
        <c:numFmt formatCode="General" sourceLinked="1"/>
        <c:majorTickMark val="none"/>
        <c:minorTickMark val="none"/>
        <c:tickLblPos val="nextTo"/>
        <c:spPr>
          <a:ln/>
        </c:spPr>
        <c:txPr>
          <a:bodyPr/>
          <a:lstStyle/>
          <a:p>
            <a:pPr lvl="0">
              <a:defRPr sz="1600" b="0">
                <a:solidFill>
                  <a:srgbClr val="000000"/>
                </a:solidFill>
                <a:latin typeface="+mn-lt"/>
              </a:defRPr>
            </a:pPr>
            <a:endParaRPr lang="en-US"/>
          </a:p>
        </c:txPr>
        <c:crossAx val="270229505"/>
        <c:crosses val="autoZero"/>
        <c:crossBetween val="midCat"/>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Studies Registered/Unregistered</a:t>
            </a:r>
          </a:p>
        </c:rich>
      </c:tx>
      <c:layout>
        <c:manualLayout>
          <c:xMode val="edge"/>
          <c:yMode val="edge"/>
          <c:x val="3.2583333333333332E-2"/>
          <c:y val="0.05"/>
        </c:manualLayout>
      </c:layout>
      <c:overlay val="0"/>
    </c:title>
    <c:autoTitleDeleted val="0"/>
    <c:plotArea>
      <c:layout/>
      <c:barChart>
        <c:barDir val="col"/>
        <c:grouping val="clustered"/>
        <c:varyColors val="1"/>
        <c:ser>
          <c:idx val="0"/>
          <c:order val="0"/>
          <c:tx>
            <c:strRef>
              <c:f>'Table 3c'!$AI$4</c:f>
              <c:strCache>
                <c:ptCount val="1"/>
                <c:pt idx="0">
                  <c:v>Number of studies registered in a database, n</c:v>
                </c:pt>
              </c:strCache>
            </c:strRef>
          </c:tx>
          <c:spPr>
            <a:solidFill>
              <a:srgbClr val="4285F4"/>
            </a:solidFill>
            <a:ln cmpd="sng">
              <a:solidFill>
                <a:srgbClr val="000000"/>
              </a:solidFill>
            </a:ln>
          </c:spPr>
          <c:invertIfNegative val="1"/>
          <c:cat>
            <c:strRef>
              <c:f>'Table 3c'!$A$5:$A$9</c:f>
              <c:strCache>
                <c:ptCount val="5"/>
                <c:pt idx="0">
                  <c:v>1980s</c:v>
                </c:pt>
                <c:pt idx="1">
                  <c:v>1990s</c:v>
                </c:pt>
                <c:pt idx="2">
                  <c:v>2000s</c:v>
                </c:pt>
                <c:pt idx="3">
                  <c:v>2010s</c:v>
                </c:pt>
                <c:pt idx="4">
                  <c:v>2020s</c:v>
                </c:pt>
              </c:strCache>
            </c:strRef>
          </c:cat>
          <c:val>
            <c:numRef>
              <c:f>'Table 3c'!$AI$5:$AI$9</c:f>
              <c:numCache>
                <c:formatCode>General</c:formatCode>
                <c:ptCount val="5"/>
                <c:pt idx="0">
                  <c:v>0</c:v>
                </c:pt>
                <c:pt idx="1">
                  <c:v>0</c:v>
                </c:pt>
                <c:pt idx="2">
                  <c:v>3</c:v>
                </c:pt>
                <c:pt idx="3">
                  <c:v>81</c:v>
                </c:pt>
                <c:pt idx="4">
                  <c:v>22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36F5-45BB-A51C-9CFC88742045}"/>
            </c:ext>
          </c:extLst>
        </c:ser>
        <c:ser>
          <c:idx val="1"/>
          <c:order val="1"/>
          <c:tx>
            <c:strRef>
              <c:f>'Table 3c'!$AJ$4</c:f>
              <c:strCache>
                <c:ptCount val="1"/>
                <c:pt idx="0">
                  <c:v>Number of studies not registered in a database, n</c:v>
                </c:pt>
              </c:strCache>
            </c:strRef>
          </c:tx>
          <c:spPr>
            <a:solidFill>
              <a:srgbClr val="EA4335"/>
            </a:solidFill>
            <a:ln cmpd="sng">
              <a:solidFill>
                <a:srgbClr val="000000"/>
              </a:solidFill>
            </a:ln>
          </c:spPr>
          <c:invertIfNegative val="1"/>
          <c:cat>
            <c:strRef>
              <c:f>'Table 3c'!$A$5:$A$9</c:f>
              <c:strCache>
                <c:ptCount val="5"/>
                <c:pt idx="0">
                  <c:v>1980s</c:v>
                </c:pt>
                <c:pt idx="1">
                  <c:v>1990s</c:v>
                </c:pt>
                <c:pt idx="2">
                  <c:v>2000s</c:v>
                </c:pt>
                <c:pt idx="3">
                  <c:v>2010s</c:v>
                </c:pt>
                <c:pt idx="4">
                  <c:v>2020s</c:v>
                </c:pt>
              </c:strCache>
            </c:strRef>
          </c:cat>
          <c:val>
            <c:numRef>
              <c:f>'Table 3c'!$AJ$5:$AJ$9</c:f>
              <c:numCache>
                <c:formatCode>General</c:formatCode>
                <c:ptCount val="5"/>
                <c:pt idx="0">
                  <c:v>31</c:v>
                </c:pt>
                <c:pt idx="1">
                  <c:v>68</c:v>
                </c:pt>
                <c:pt idx="2">
                  <c:v>54</c:v>
                </c:pt>
                <c:pt idx="3">
                  <c:v>25</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36F5-45BB-A51C-9CFC88742045}"/>
            </c:ext>
          </c:extLst>
        </c:ser>
        <c:dLbls>
          <c:showLegendKey val="0"/>
          <c:showVal val="0"/>
          <c:showCatName val="0"/>
          <c:showSerName val="0"/>
          <c:showPercent val="0"/>
          <c:showBubbleSize val="0"/>
        </c:dLbls>
        <c:gapWidth val="150"/>
        <c:axId val="576046135"/>
        <c:axId val="776782538"/>
      </c:barChart>
      <c:catAx>
        <c:axId val="57604613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776782538"/>
        <c:crosses val="autoZero"/>
        <c:auto val="1"/>
        <c:lblAlgn val="ctr"/>
        <c:lblOffset val="100"/>
        <c:noMultiLvlLbl val="1"/>
      </c:catAx>
      <c:valAx>
        <c:axId val="776782538"/>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576046135"/>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Studies Registered/Unregistered</a:t>
            </a:r>
          </a:p>
        </c:rich>
      </c:tx>
      <c:overlay val="0"/>
    </c:title>
    <c:autoTitleDeleted val="0"/>
    <c:view3D>
      <c:rotX val="15"/>
      <c:rotY val="20"/>
      <c:depthPercent val="100"/>
      <c:rAngAx val="1"/>
    </c:view3D>
    <c:floor>
      <c:thickness val="0"/>
    </c:floor>
    <c:sideWall>
      <c:thickness val="0"/>
    </c:sideWall>
    <c:backWall>
      <c:thickness val="0"/>
    </c:backWall>
    <c:plotArea>
      <c:layout/>
      <c:bar3DChart>
        <c:barDir val="col"/>
        <c:grouping val="clustered"/>
        <c:varyColors val="1"/>
        <c:ser>
          <c:idx val="0"/>
          <c:order val="0"/>
          <c:spPr>
            <a:solidFill>
              <a:srgbClr val="4285F4"/>
            </a:solidFill>
            <a:ln cmpd="sng">
              <a:solidFill>
                <a:srgbClr val="000000"/>
              </a:solidFill>
            </a:ln>
          </c:spPr>
          <c:invertIfNegative val="1"/>
          <c:trendline>
            <c:name>Registered Study Trend</c:name>
            <c:spPr>
              <a:ln w="6350">
                <a:solidFill>
                  <a:schemeClr val="tx1"/>
                </a:solidFill>
              </a:ln>
            </c:spPr>
            <c:trendlineType val="movingAvg"/>
            <c:period val="2"/>
            <c:dispRSqr val="1"/>
            <c:dispEq val="0"/>
            <c:trendlineLbl>
              <c:numFmt formatCode="General" sourceLinked="0"/>
            </c:trendlineLbl>
          </c:trendline>
          <c:cat>
            <c:numRef>
              <c:f>'Graphic 2'!$I$2:$I$42</c:f>
              <c:numCache>
                <c:formatCode>0</c:formatCode>
                <c:ptCount val="41"/>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pt idx="38">
                  <c:v>2019</c:v>
                </c:pt>
                <c:pt idx="39">
                  <c:v>2020</c:v>
                </c:pt>
                <c:pt idx="40">
                  <c:v>2021</c:v>
                </c:pt>
              </c:numCache>
            </c:numRef>
          </c:cat>
          <c:val>
            <c:numRef>
              <c:f>'Graphic 2'!$L$2:$L$42</c:f>
              <c:numCache>
                <c:formatCode>0</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2</c:v>
                </c:pt>
                <c:pt idx="29">
                  <c:v>2</c:v>
                </c:pt>
                <c:pt idx="30">
                  <c:v>3</c:v>
                </c:pt>
                <c:pt idx="31">
                  <c:v>4</c:v>
                </c:pt>
                <c:pt idx="32">
                  <c:v>7</c:v>
                </c:pt>
                <c:pt idx="33">
                  <c:v>9</c:v>
                </c:pt>
                <c:pt idx="34">
                  <c:v>10</c:v>
                </c:pt>
                <c:pt idx="35">
                  <c:v>20</c:v>
                </c:pt>
                <c:pt idx="36">
                  <c:v>8</c:v>
                </c:pt>
                <c:pt idx="37">
                  <c:v>10</c:v>
                </c:pt>
                <c:pt idx="38">
                  <c:v>8</c:v>
                </c:pt>
                <c:pt idx="39">
                  <c:v>15</c:v>
                </c:pt>
                <c:pt idx="40">
                  <c:v>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7115-4BF5-BF78-02566F0F0D0A}"/>
            </c:ext>
          </c:extLst>
        </c:ser>
        <c:ser>
          <c:idx val="1"/>
          <c:order val="1"/>
          <c:spPr>
            <a:solidFill>
              <a:srgbClr val="EA4335"/>
            </a:solidFill>
            <a:ln cmpd="sng">
              <a:solidFill>
                <a:srgbClr val="000000"/>
              </a:solidFill>
            </a:ln>
          </c:spPr>
          <c:invertIfNegative val="1"/>
          <c:trendline>
            <c:name>Unregistered Study Trend</c:name>
            <c:spPr>
              <a:ln w="19050">
                <a:solidFill>
                  <a:srgbClr val="000000"/>
                </a:solidFill>
              </a:ln>
            </c:spPr>
            <c:trendlineType val="movingAvg"/>
            <c:period val="2"/>
            <c:dispRSqr val="1"/>
            <c:dispEq val="0"/>
            <c:trendlineLbl>
              <c:numFmt formatCode="General" sourceLinked="0"/>
            </c:trendlineLbl>
          </c:trendline>
          <c:cat>
            <c:numRef>
              <c:f>'Graphic 2'!$I$2:$I$42</c:f>
              <c:numCache>
                <c:formatCode>0</c:formatCode>
                <c:ptCount val="41"/>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pt idx="38">
                  <c:v>2019</c:v>
                </c:pt>
                <c:pt idx="39">
                  <c:v>2020</c:v>
                </c:pt>
                <c:pt idx="40">
                  <c:v>2021</c:v>
                </c:pt>
              </c:numCache>
            </c:numRef>
          </c:cat>
          <c:val>
            <c:numRef>
              <c:f>'Graphic 2'!$M$2:$M$42</c:f>
              <c:numCache>
                <c:formatCode>0</c:formatCode>
                <c:ptCount val="41"/>
                <c:pt idx="0">
                  <c:v>1</c:v>
                </c:pt>
                <c:pt idx="1">
                  <c:v>4</c:v>
                </c:pt>
                <c:pt idx="2">
                  <c:v>3</c:v>
                </c:pt>
                <c:pt idx="3">
                  <c:v>3</c:v>
                </c:pt>
                <c:pt idx="4">
                  <c:v>4</c:v>
                </c:pt>
                <c:pt idx="5">
                  <c:v>4</c:v>
                </c:pt>
                <c:pt idx="6">
                  <c:v>5</c:v>
                </c:pt>
                <c:pt idx="7">
                  <c:v>5</c:v>
                </c:pt>
                <c:pt idx="8">
                  <c:v>2</c:v>
                </c:pt>
                <c:pt idx="9">
                  <c:v>9</c:v>
                </c:pt>
                <c:pt idx="10">
                  <c:v>4</c:v>
                </c:pt>
                <c:pt idx="11">
                  <c:v>10</c:v>
                </c:pt>
                <c:pt idx="12">
                  <c:v>7</c:v>
                </c:pt>
                <c:pt idx="13">
                  <c:v>7</c:v>
                </c:pt>
                <c:pt idx="14">
                  <c:v>4</c:v>
                </c:pt>
                <c:pt idx="15">
                  <c:v>5</c:v>
                </c:pt>
                <c:pt idx="16">
                  <c:v>4</c:v>
                </c:pt>
                <c:pt idx="17">
                  <c:v>8</c:v>
                </c:pt>
                <c:pt idx="18">
                  <c:v>10</c:v>
                </c:pt>
                <c:pt idx="19">
                  <c:v>10</c:v>
                </c:pt>
                <c:pt idx="20">
                  <c:v>9</c:v>
                </c:pt>
                <c:pt idx="21">
                  <c:v>4</c:v>
                </c:pt>
                <c:pt idx="22">
                  <c:v>5</c:v>
                </c:pt>
                <c:pt idx="23">
                  <c:v>3</c:v>
                </c:pt>
                <c:pt idx="24">
                  <c:v>2</c:v>
                </c:pt>
                <c:pt idx="25">
                  <c:v>8</c:v>
                </c:pt>
                <c:pt idx="26">
                  <c:v>2</c:v>
                </c:pt>
                <c:pt idx="27">
                  <c:v>4</c:v>
                </c:pt>
                <c:pt idx="28">
                  <c:v>7</c:v>
                </c:pt>
                <c:pt idx="29">
                  <c:v>2</c:v>
                </c:pt>
                <c:pt idx="30">
                  <c:v>2</c:v>
                </c:pt>
                <c:pt idx="31">
                  <c:v>6</c:v>
                </c:pt>
                <c:pt idx="32">
                  <c:v>3</c:v>
                </c:pt>
                <c:pt idx="33">
                  <c:v>4</c:v>
                </c:pt>
                <c:pt idx="34">
                  <c:v>1</c:v>
                </c:pt>
                <c:pt idx="35">
                  <c:v>4</c:v>
                </c:pt>
                <c:pt idx="36">
                  <c:v>1</c:v>
                </c:pt>
                <c:pt idx="37">
                  <c:v>1</c:v>
                </c:pt>
                <c:pt idx="38">
                  <c:v>1</c:v>
                </c:pt>
                <c:pt idx="39">
                  <c:v>0</c:v>
                </c:pt>
                <c:pt idx="40">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7115-4BF5-BF78-02566F0F0D0A}"/>
            </c:ext>
          </c:extLst>
        </c:ser>
        <c:dLbls>
          <c:showLegendKey val="0"/>
          <c:showVal val="0"/>
          <c:showCatName val="0"/>
          <c:showSerName val="0"/>
          <c:showPercent val="0"/>
          <c:showBubbleSize val="0"/>
        </c:dLbls>
        <c:gapWidth val="150"/>
        <c:shape val="box"/>
        <c:axId val="1004722159"/>
        <c:axId val="605185421"/>
        <c:axId val="0"/>
      </c:bar3DChart>
      <c:catAx>
        <c:axId val="1004722159"/>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Year of Publication</a:t>
                </a:r>
              </a:p>
            </c:rich>
          </c:tx>
          <c:overlay val="0"/>
        </c:title>
        <c:numFmt formatCode="0" sourceLinked="1"/>
        <c:majorTickMark val="none"/>
        <c:minorTickMark val="none"/>
        <c:tickLblPos val="nextTo"/>
        <c:txPr>
          <a:bodyPr rot="-3600000"/>
          <a:lstStyle/>
          <a:p>
            <a:pPr lvl="0">
              <a:defRPr b="0">
                <a:solidFill>
                  <a:srgbClr val="000000"/>
                </a:solidFill>
                <a:latin typeface="+mn-lt"/>
              </a:defRPr>
            </a:pPr>
            <a:endParaRPr lang="en-US"/>
          </a:p>
        </c:txPr>
        <c:crossAx val="605185421"/>
        <c:crosses val="autoZero"/>
        <c:auto val="1"/>
        <c:lblAlgn val="ctr"/>
        <c:lblOffset val="100"/>
        <c:noMultiLvlLbl val="1"/>
      </c:catAx>
      <c:valAx>
        <c:axId val="605185421"/>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lang="en-US" b="0">
                    <a:solidFill>
                      <a:srgbClr val="000000"/>
                    </a:solidFill>
                    <a:latin typeface="+mn-lt"/>
                  </a:rPr>
                  <a:t>Studies Published</a:t>
                </a:r>
              </a:p>
            </c:rich>
          </c:tx>
          <c:overlay val="0"/>
        </c:title>
        <c:numFmt formatCode="0" sourceLinked="1"/>
        <c:majorTickMark val="none"/>
        <c:minorTickMark val="none"/>
        <c:tickLblPos val="nextTo"/>
        <c:spPr>
          <a:ln/>
        </c:spPr>
        <c:txPr>
          <a:bodyPr/>
          <a:lstStyle/>
          <a:p>
            <a:pPr lvl="0">
              <a:defRPr b="0">
                <a:solidFill>
                  <a:srgbClr val="000000"/>
                </a:solidFill>
                <a:latin typeface="+mn-lt"/>
              </a:defRPr>
            </a:pPr>
            <a:endParaRPr lang="en-US"/>
          </a:p>
        </c:txPr>
        <c:crossAx val="1004722159"/>
        <c:crosses val="autoZero"/>
        <c:crossBetween val="between"/>
        <c:majorUnit val="5"/>
        <c:minorUnit val="1"/>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(B) Studies by Registration Status and Publication Year</a:t>
            </a:r>
          </a:p>
        </c:rich>
      </c:tx>
      <c:overlay val="0"/>
    </c:title>
    <c:autoTitleDeleted val="0"/>
    <c:plotArea>
      <c:layout/>
      <c:barChart>
        <c:barDir val="col"/>
        <c:grouping val="stacked"/>
        <c:varyColors val="1"/>
        <c:ser>
          <c:idx val="0"/>
          <c:order val="0"/>
          <c:tx>
            <c:strRef>
              <c:f>'Graphic 2'!$L$1</c:f>
              <c:strCache>
                <c:ptCount val="1"/>
                <c:pt idx="0">
                  <c:v>Registered</c:v>
                </c:pt>
              </c:strCache>
            </c:strRef>
          </c:tx>
          <c:spPr>
            <a:solidFill>
              <a:srgbClr val="4285F4"/>
            </a:solidFill>
            <a:ln cmpd="sng">
              <a:solidFill>
                <a:srgbClr val="000000"/>
              </a:solidFill>
            </a:ln>
          </c:spPr>
          <c:invertIfNegative val="1"/>
          <c:cat>
            <c:numRef>
              <c:f>'Graphic 2'!$I$2:$I$42</c:f>
              <c:numCache>
                <c:formatCode>0</c:formatCode>
                <c:ptCount val="41"/>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pt idx="38">
                  <c:v>2019</c:v>
                </c:pt>
                <c:pt idx="39">
                  <c:v>2020</c:v>
                </c:pt>
                <c:pt idx="40">
                  <c:v>2021</c:v>
                </c:pt>
              </c:numCache>
            </c:numRef>
          </c:cat>
          <c:val>
            <c:numRef>
              <c:f>'Graphic 2'!$L$2:$L$42</c:f>
              <c:numCache>
                <c:formatCode>0</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2</c:v>
                </c:pt>
                <c:pt idx="29">
                  <c:v>2</c:v>
                </c:pt>
                <c:pt idx="30">
                  <c:v>3</c:v>
                </c:pt>
                <c:pt idx="31">
                  <c:v>4</c:v>
                </c:pt>
                <c:pt idx="32">
                  <c:v>7</c:v>
                </c:pt>
                <c:pt idx="33">
                  <c:v>9</c:v>
                </c:pt>
                <c:pt idx="34">
                  <c:v>10</c:v>
                </c:pt>
                <c:pt idx="35">
                  <c:v>20</c:v>
                </c:pt>
                <c:pt idx="36">
                  <c:v>8</c:v>
                </c:pt>
                <c:pt idx="37">
                  <c:v>10</c:v>
                </c:pt>
                <c:pt idx="38">
                  <c:v>8</c:v>
                </c:pt>
                <c:pt idx="39">
                  <c:v>15</c:v>
                </c:pt>
                <c:pt idx="40">
                  <c:v>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EBD4-4E1B-9535-4F7C28D67F4E}"/>
            </c:ext>
          </c:extLst>
        </c:ser>
        <c:ser>
          <c:idx val="1"/>
          <c:order val="1"/>
          <c:tx>
            <c:strRef>
              <c:f>'Graphic 2'!$M$1</c:f>
              <c:strCache>
                <c:ptCount val="1"/>
                <c:pt idx="0">
                  <c:v>Unregistered</c:v>
                </c:pt>
              </c:strCache>
            </c:strRef>
          </c:tx>
          <c:spPr>
            <a:solidFill>
              <a:srgbClr val="EA4335"/>
            </a:solidFill>
            <a:ln cmpd="sng">
              <a:solidFill>
                <a:srgbClr val="000000"/>
              </a:solidFill>
            </a:ln>
          </c:spPr>
          <c:invertIfNegative val="1"/>
          <c:cat>
            <c:numRef>
              <c:f>'Graphic 2'!$I$2:$I$42</c:f>
              <c:numCache>
                <c:formatCode>0</c:formatCode>
                <c:ptCount val="41"/>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pt idx="38">
                  <c:v>2019</c:v>
                </c:pt>
                <c:pt idx="39">
                  <c:v>2020</c:v>
                </c:pt>
                <c:pt idx="40">
                  <c:v>2021</c:v>
                </c:pt>
              </c:numCache>
            </c:numRef>
          </c:cat>
          <c:val>
            <c:numRef>
              <c:f>'Graphic 2'!$M$2:$M$42</c:f>
              <c:numCache>
                <c:formatCode>0</c:formatCode>
                <c:ptCount val="41"/>
                <c:pt idx="0">
                  <c:v>1</c:v>
                </c:pt>
                <c:pt idx="1">
                  <c:v>4</c:v>
                </c:pt>
                <c:pt idx="2">
                  <c:v>3</c:v>
                </c:pt>
                <c:pt idx="3">
                  <c:v>3</c:v>
                </c:pt>
                <c:pt idx="4">
                  <c:v>4</c:v>
                </c:pt>
                <c:pt idx="5">
                  <c:v>4</c:v>
                </c:pt>
                <c:pt idx="6">
                  <c:v>5</c:v>
                </c:pt>
                <c:pt idx="7">
                  <c:v>5</c:v>
                </c:pt>
                <c:pt idx="8">
                  <c:v>2</c:v>
                </c:pt>
                <c:pt idx="9">
                  <c:v>9</c:v>
                </c:pt>
                <c:pt idx="10">
                  <c:v>4</c:v>
                </c:pt>
                <c:pt idx="11">
                  <c:v>10</c:v>
                </c:pt>
                <c:pt idx="12">
                  <c:v>7</c:v>
                </c:pt>
                <c:pt idx="13">
                  <c:v>7</c:v>
                </c:pt>
                <c:pt idx="14">
                  <c:v>4</c:v>
                </c:pt>
                <c:pt idx="15">
                  <c:v>5</c:v>
                </c:pt>
                <c:pt idx="16">
                  <c:v>4</c:v>
                </c:pt>
                <c:pt idx="17">
                  <c:v>8</c:v>
                </c:pt>
                <c:pt idx="18">
                  <c:v>10</c:v>
                </c:pt>
                <c:pt idx="19">
                  <c:v>10</c:v>
                </c:pt>
                <c:pt idx="20">
                  <c:v>9</c:v>
                </c:pt>
                <c:pt idx="21">
                  <c:v>4</c:v>
                </c:pt>
                <c:pt idx="22">
                  <c:v>5</c:v>
                </c:pt>
                <c:pt idx="23">
                  <c:v>3</c:v>
                </c:pt>
                <c:pt idx="24">
                  <c:v>2</c:v>
                </c:pt>
                <c:pt idx="25">
                  <c:v>8</c:v>
                </c:pt>
                <c:pt idx="26">
                  <c:v>2</c:v>
                </c:pt>
                <c:pt idx="27">
                  <c:v>4</c:v>
                </c:pt>
                <c:pt idx="28">
                  <c:v>7</c:v>
                </c:pt>
                <c:pt idx="29">
                  <c:v>2</c:v>
                </c:pt>
                <c:pt idx="30">
                  <c:v>2</c:v>
                </c:pt>
                <c:pt idx="31">
                  <c:v>6</c:v>
                </c:pt>
                <c:pt idx="32">
                  <c:v>3</c:v>
                </c:pt>
                <c:pt idx="33">
                  <c:v>4</c:v>
                </c:pt>
                <c:pt idx="34">
                  <c:v>1</c:v>
                </c:pt>
                <c:pt idx="35">
                  <c:v>4</c:v>
                </c:pt>
                <c:pt idx="36">
                  <c:v>1</c:v>
                </c:pt>
                <c:pt idx="37">
                  <c:v>1</c:v>
                </c:pt>
                <c:pt idx="38">
                  <c:v>1</c:v>
                </c:pt>
                <c:pt idx="39">
                  <c:v>0</c:v>
                </c:pt>
                <c:pt idx="40">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EBD4-4E1B-9535-4F7C28D67F4E}"/>
            </c:ext>
          </c:extLst>
        </c:ser>
        <c:dLbls>
          <c:showLegendKey val="0"/>
          <c:showVal val="0"/>
          <c:showCatName val="0"/>
          <c:showSerName val="0"/>
          <c:showPercent val="0"/>
          <c:showBubbleSize val="0"/>
        </c:dLbls>
        <c:gapWidth val="150"/>
        <c:overlap val="100"/>
        <c:axId val="882404748"/>
        <c:axId val="1801951279"/>
      </c:barChart>
      <c:catAx>
        <c:axId val="882404748"/>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Year of Publication</a:t>
                </a:r>
              </a:p>
            </c:rich>
          </c:tx>
          <c:overlay val="0"/>
        </c:title>
        <c:numFmt formatCode="0" sourceLinked="1"/>
        <c:majorTickMark val="none"/>
        <c:minorTickMark val="none"/>
        <c:tickLblPos val="nextTo"/>
        <c:txPr>
          <a:bodyPr rot="-3600000"/>
          <a:lstStyle/>
          <a:p>
            <a:pPr lvl="0">
              <a:defRPr b="0">
                <a:solidFill>
                  <a:srgbClr val="000000"/>
                </a:solidFill>
                <a:latin typeface="+mn-lt"/>
              </a:defRPr>
            </a:pPr>
            <a:endParaRPr lang="en-US"/>
          </a:p>
        </c:txPr>
        <c:crossAx val="1801951279"/>
        <c:crosses val="autoZero"/>
        <c:auto val="1"/>
        <c:lblAlgn val="ctr"/>
        <c:lblOffset val="100"/>
        <c:noMultiLvlLbl val="1"/>
      </c:catAx>
      <c:valAx>
        <c:axId val="180195127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lang="en-US" b="0">
                    <a:solidFill>
                      <a:srgbClr val="000000"/>
                    </a:solidFill>
                    <a:latin typeface="+mn-lt"/>
                  </a:rPr>
                  <a:t>Studies Published</a:t>
                </a:r>
              </a:p>
            </c:rich>
          </c:tx>
          <c:overlay val="0"/>
        </c:title>
        <c:numFmt formatCode="0" sourceLinked="1"/>
        <c:majorTickMark val="none"/>
        <c:minorTickMark val="none"/>
        <c:tickLblPos val="nextTo"/>
        <c:spPr>
          <a:ln/>
        </c:spPr>
        <c:txPr>
          <a:bodyPr/>
          <a:lstStyle/>
          <a:p>
            <a:pPr lvl="0">
              <a:defRPr b="0">
                <a:solidFill>
                  <a:srgbClr val="000000"/>
                </a:solidFill>
                <a:latin typeface="+mn-lt"/>
              </a:defRPr>
            </a:pPr>
            <a:endParaRPr lang="en-US"/>
          </a:p>
        </c:txPr>
        <c:crossAx val="882404748"/>
        <c:crosses val="autoZero"/>
        <c:crossBetween val="between"/>
        <c:majorUnit val="5"/>
        <c:minorUnit val="1"/>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Studies Registered/Unregistered</a:t>
            </a:r>
          </a:p>
        </c:rich>
      </c:tx>
      <c:layout>
        <c:manualLayout>
          <c:xMode val="edge"/>
          <c:yMode val="edge"/>
          <c:x val="3.2583333333333332E-2"/>
          <c:y val="0.05"/>
        </c:manualLayout>
      </c:layout>
      <c:overlay val="0"/>
    </c:title>
    <c:autoTitleDeleted val="0"/>
    <c:plotArea>
      <c:layout/>
      <c:barChart>
        <c:barDir val="col"/>
        <c:grouping val="clustered"/>
        <c:varyColors val="1"/>
        <c:ser>
          <c:idx val="0"/>
          <c:order val="0"/>
          <c:tx>
            <c:strRef>
              <c:f>'Table 3c'!$AI$4</c:f>
              <c:strCache>
                <c:ptCount val="1"/>
                <c:pt idx="0">
                  <c:v>Number of studies registered in a database, n</c:v>
                </c:pt>
              </c:strCache>
            </c:strRef>
          </c:tx>
          <c:spPr>
            <a:solidFill>
              <a:srgbClr val="4285F4"/>
            </a:solidFill>
            <a:ln cmpd="sng">
              <a:solidFill>
                <a:srgbClr val="000000"/>
              </a:solidFill>
            </a:ln>
          </c:spPr>
          <c:invertIfNegative val="1"/>
          <c:cat>
            <c:strRef>
              <c:f>'Table 3c'!$A$5:$A$9</c:f>
              <c:strCache>
                <c:ptCount val="5"/>
                <c:pt idx="0">
                  <c:v>1980s</c:v>
                </c:pt>
                <c:pt idx="1">
                  <c:v>1990s</c:v>
                </c:pt>
                <c:pt idx="2">
                  <c:v>2000s</c:v>
                </c:pt>
                <c:pt idx="3">
                  <c:v>2010s</c:v>
                </c:pt>
                <c:pt idx="4">
                  <c:v>2020s</c:v>
                </c:pt>
              </c:strCache>
            </c:strRef>
          </c:cat>
          <c:val>
            <c:numRef>
              <c:f>'Table 3c'!$AI$5:$AI$9</c:f>
              <c:numCache>
                <c:formatCode>General</c:formatCode>
                <c:ptCount val="5"/>
                <c:pt idx="0">
                  <c:v>0</c:v>
                </c:pt>
                <c:pt idx="1">
                  <c:v>0</c:v>
                </c:pt>
                <c:pt idx="2">
                  <c:v>3</c:v>
                </c:pt>
                <c:pt idx="3">
                  <c:v>81</c:v>
                </c:pt>
                <c:pt idx="4">
                  <c:v>22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7AC5-4D91-BF3F-DC9D239BB1F0}"/>
            </c:ext>
          </c:extLst>
        </c:ser>
        <c:ser>
          <c:idx val="1"/>
          <c:order val="1"/>
          <c:tx>
            <c:strRef>
              <c:f>'Table 3c'!$AJ$4</c:f>
              <c:strCache>
                <c:ptCount val="1"/>
                <c:pt idx="0">
                  <c:v>Number of studies not registered in a database, n</c:v>
                </c:pt>
              </c:strCache>
            </c:strRef>
          </c:tx>
          <c:spPr>
            <a:solidFill>
              <a:srgbClr val="EA4335"/>
            </a:solidFill>
            <a:ln cmpd="sng">
              <a:solidFill>
                <a:srgbClr val="000000"/>
              </a:solidFill>
            </a:ln>
          </c:spPr>
          <c:invertIfNegative val="1"/>
          <c:cat>
            <c:strRef>
              <c:f>'Table 3c'!$A$5:$A$9</c:f>
              <c:strCache>
                <c:ptCount val="5"/>
                <c:pt idx="0">
                  <c:v>1980s</c:v>
                </c:pt>
                <c:pt idx="1">
                  <c:v>1990s</c:v>
                </c:pt>
                <c:pt idx="2">
                  <c:v>2000s</c:v>
                </c:pt>
                <c:pt idx="3">
                  <c:v>2010s</c:v>
                </c:pt>
                <c:pt idx="4">
                  <c:v>2020s</c:v>
                </c:pt>
              </c:strCache>
            </c:strRef>
          </c:cat>
          <c:val>
            <c:numRef>
              <c:f>'Table 3c'!$AJ$5:$AJ$9</c:f>
              <c:numCache>
                <c:formatCode>General</c:formatCode>
                <c:ptCount val="5"/>
                <c:pt idx="0">
                  <c:v>31</c:v>
                </c:pt>
                <c:pt idx="1">
                  <c:v>68</c:v>
                </c:pt>
                <c:pt idx="2">
                  <c:v>54</c:v>
                </c:pt>
                <c:pt idx="3">
                  <c:v>25</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7AC5-4D91-BF3F-DC9D239BB1F0}"/>
            </c:ext>
          </c:extLst>
        </c:ser>
        <c:dLbls>
          <c:showLegendKey val="0"/>
          <c:showVal val="0"/>
          <c:showCatName val="0"/>
          <c:showSerName val="0"/>
          <c:showPercent val="0"/>
          <c:showBubbleSize val="0"/>
        </c:dLbls>
        <c:gapWidth val="150"/>
        <c:axId val="125148919"/>
        <c:axId val="1131105599"/>
      </c:barChart>
      <c:catAx>
        <c:axId val="12514891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131105599"/>
        <c:crosses val="autoZero"/>
        <c:auto val="1"/>
        <c:lblAlgn val="ctr"/>
        <c:lblOffset val="100"/>
        <c:noMultiLvlLbl val="1"/>
      </c:catAx>
      <c:valAx>
        <c:axId val="113110559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125148919"/>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Studies Registered/Unregistered</a:t>
            </a:r>
          </a:p>
        </c:rich>
      </c:tx>
      <c:layout>
        <c:manualLayout>
          <c:xMode val="edge"/>
          <c:yMode val="edge"/>
          <c:x val="0.19702782152230972"/>
          <c:y val="5.7187851518560179E-2"/>
        </c:manualLayout>
      </c:layout>
      <c:overlay val="0"/>
    </c:title>
    <c:autoTitleDeleted val="0"/>
    <c:plotArea>
      <c:layout/>
      <c:barChart>
        <c:barDir val="col"/>
        <c:grouping val="clustered"/>
        <c:varyColors val="1"/>
        <c:ser>
          <c:idx val="0"/>
          <c:order val="0"/>
          <c:tx>
            <c:strRef>
              <c:f>'Table 3c (AE)'!$AG$3</c:f>
              <c:strCache>
                <c:ptCount val="1"/>
                <c:pt idx="0">
                  <c:v>Number of studies registered in a database, n</c:v>
                </c:pt>
              </c:strCache>
            </c:strRef>
          </c:tx>
          <c:spPr>
            <a:solidFill>
              <a:srgbClr val="4285F4"/>
            </a:solidFill>
            <a:ln cmpd="sng">
              <a:solidFill>
                <a:srgbClr val="000000"/>
              </a:solidFill>
            </a:ln>
          </c:spPr>
          <c:invertIfNegative val="1"/>
          <c:cat>
            <c:strRef>
              <c:f>'Table 3c (AE)'!$A$4:$A$8</c:f>
              <c:strCache>
                <c:ptCount val="5"/>
                <c:pt idx="0">
                  <c:v>1980s</c:v>
                </c:pt>
                <c:pt idx="1">
                  <c:v>1990s</c:v>
                </c:pt>
                <c:pt idx="2">
                  <c:v>2000s</c:v>
                </c:pt>
                <c:pt idx="3">
                  <c:v>2010s</c:v>
                </c:pt>
                <c:pt idx="4">
                  <c:v>2020s</c:v>
                </c:pt>
              </c:strCache>
            </c:strRef>
          </c:cat>
          <c:val>
            <c:numRef>
              <c:f>'Table 3c (AE)'!$AG$4:$AG$8</c:f>
              <c:numCache>
                <c:formatCode>General</c:formatCode>
                <c:ptCount val="5"/>
                <c:pt idx="0">
                  <c:v>0</c:v>
                </c:pt>
                <c:pt idx="1">
                  <c:v>0</c:v>
                </c:pt>
                <c:pt idx="2">
                  <c:v>1</c:v>
                </c:pt>
                <c:pt idx="3">
                  <c:v>65</c:v>
                </c:pt>
                <c:pt idx="4">
                  <c:v>20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679E-4006-97FF-B016A554E495}"/>
            </c:ext>
          </c:extLst>
        </c:ser>
        <c:ser>
          <c:idx val="1"/>
          <c:order val="1"/>
          <c:tx>
            <c:strRef>
              <c:f>'Table 3c (AE)'!$AH$3</c:f>
              <c:strCache>
                <c:ptCount val="1"/>
                <c:pt idx="0">
                  <c:v>Number of studies not registered in a database, n</c:v>
                </c:pt>
              </c:strCache>
            </c:strRef>
          </c:tx>
          <c:spPr>
            <a:solidFill>
              <a:srgbClr val="EA4335"/>
            </a:solidFill>
            <a:ln cmpd="sng">
              <a:solidFill>
                <a:srgbClr val="000000"/>
              </a:solidFill>
            </a:ln>
          </c:spPr>
          <c:invertIfNegative val="1"/>
          <c:cat>
            <c:strRef>
              <c:f>'Table 3c (AE)'!$A$4:$A$8</c:f>
              <c:strCache>
                <c:ptCount val="5"/>
                <c:pt idx="0">
                  <c:v>1980s</c:v>
                </c:pt>
                <c:pt idx="1">
                  <c:v>1990s</c:v>
                </c:pt>
                <c:pt idx="2">
                  <c:v>2000s</c:v>
                </c:pt>
                <c:pt idx="3">
                  <c:v>2010s</c:v>
                </c:pt>
                <c:pt idx="4">
                  <c:v>2020s</c:v>
                </c:pt>
              </c:strCache>
            </c:strRef>
          </c:cat>
          <c:val>
            <c:numRef>
              <c:f>'Table 3c (AE)'!$AH$4:$AH$8</c:f>
              <c:numCache>
                <c:formatCode>General</c:formatCode>
                <c:ptCount val="5"/>
                <c:pt idx="0">
                  <c:v>23</c:v>
                </c:pt>
                <c:pt idx="1">
                  <c:v>41</c:v>
                </c:pt>
                <c:pt idx="2">
                  <c:v>25</c:v>
                </c:pt>
                <c:pt idx="3">
                  <c:v>15</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679E-4006-97FF-B016A554E495}"/>
            </c:ext>
          </c:extLst>
        </c:ser>
        <c:dLbls>
          <c:showLegendKey val="0"/>
          <c:showVal val="0"/>
          <c:showCatName val="0"/>
          <c:showSerName val="0"/>
          <c:showPercent val="0"/>
          <c:showBubbleSize val="0"/>
        </c:dLbls>
        <c:gapWidth val="150"/>
        <c:axId val="1439689557"/>
        <c:axId val="166234033"/>
      </c:barChart>
      <c:catAx>
        <c:axId val="143968955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66234033"/>
        <c:crosses val="autoZero"/>
        <c:auto val="1"/>
        <c:lblAlgn val="ctr"/>
        <c:lblOffset val="100"/>
        <c:noMultiLvlLbl val="1"/>
      </c:catAx>
      <c:valAx>
        <c:axId val="16623403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n-US"/>
          </a:p>
        </c:txPr>
        <c:crossAx val="1439689557"/>
        <c:crosses val="autoZero"/>
        <c:crossBetween val="between"/>
      </c:valAx>
    </c:plotArea>
    <c:legend>
      <c:legendPos val="r"/>
      <c:overlay val="0"/>
      <c:txPr>
        <a:bodyPr/>
        <a:lstStyle/>
        <a:p>
          <a:pPr lvl="0">
            <a:defRPr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757575"/>
                </a:solidFill>
                <a:latin typeface="+mn-lt"/>
              </a:defRPr>
            </a:pPr>
            <a:r>
              <a:rPr lang="en-US" b="0">
                <a:solidFill>
                  <a:srgbClr val="757575"/>
                </a:solidFill>
                <a:latin typeface="+mn-lt"/>
              </a:rPr>
              <a:t>Studies by Decade</a:t>
            </a:r>
          </a:p>
        </c:rich>
      </c:tx>
      <c:overlay val="0"/>
    </c:title>
    <c:autoTitleDeleted val="0"/>
    <c:view3D>
      <c:rotX val="15"/>
      <c:rotY val="20"/>
      <c:depthPercent val="100"/>
      <c:rAngAx val="1"/>
    </c:view3D>
    <c:floor>
      <c:thickness val="0"/>
    </c:floor>
    <c:sideWall>
      <c:thickness val="0"/>
    </c:sideWall>
    <c:backWall>
      <c:thickness val="0"/>
    </c:backWall>
    <c:plotArea>
      <c:layout/>
      <c:bar3DChart>
        <c:barDir val="col"/>
        <c:grouping val="stacked"/>
        <c:varyColors val="1"/>
        <c:ser>
          <c:idx val="0"/>
          <c:order val="0"/>
          <c:tx>
            <c:strRef>
              <c:f>'TAB 3'!$A$25</c:f>
              <c:strCache>
                <c:ptCount val="1"/>
                <c:pt idx="0">
                  <c:v>Number of studies that don't define AEs, n (%)</c:v>
                </c:pt>
              </c:strCache>
            </c:strRef>
          </c:tx>
          <c:spPr>
            <a:solidFill>
              <a:srgbClr val="4285F4"/>
            </a:solidFill>
            <a:ln cmpd="sng">
              <a:solidFill>
                <a:srgbClr val="000000"/>
              </a:solidFill>
            </a:ln>
          </c:spPr>
          <c:invertIfNegative val="1"/>
          <c:cat>
            <c:strRef>
              <c:f>'TAB 3'!$B$1:$F$1</c:f>
              <c:strCache>
                <c:ptCount val="5"/>
                <c:pt idx="0">
                  <c:v>1980s</c:v>
                </c:pt>
                <c:pt idx="1">
                  <c:v>1990s</c:v>
                </c:pt>
                <c:pt idx="2">
                  <c:v>2000s</c:v>
                </c:pt>
                <c:pt idx="3">
                  <c:v>2010s</c:v>
                </c:pt>
                <c:pt idx="4">
                  <c:v>2020s</c:v>
                </c:pt>
              </c:strCache>
            </c:strRef>
          </c:cat>
          <c:val>
            <c:numRef>
              <c:f>'TAB 3'!$B$25:$F$25</c:f>
              <c:numCache>
                <c:formatCode>General</c:formatCode>
                <c:ptCount val="5"/>
                <c:pt idx="0">
                  <c:v>25</c:v>
                </c:pt>
                <c:pt idx="1">
                  <c:v>52</c:v>
                </c:pt>
                <c:pt idx="2">
                  <c:v>45</c:v>
                </c:pt>
                <c:pt idx="3">
                  <c:v>33</c:v>
                </c:pt>
                <c:pt idx="4">
                  <c:v>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6082-4DC1-BD1F-75819530EF9D}"/>
            </c:ext>
          </c:extLst>
        </c:ser>
        <c:ser>
          <c:idx val="1"/>
          <c:order val="1"/>
          <c:tx>
            <c:strRef>
              <c:f>'TAB 3'!$A$26</c:f>
              <c:strCache>
                <c:ptCount val="1"/>
                <c:pt idx="0">
                  <c:v>0</c:v>
                </c:pt>
              </c:strCache>
            </c:strRef>
          </c:tx>
          <c:invertIfNegative val="1"/>
          <c:cat>
            <c:strRef>
              <c:f>'TAB 3'!$B$1:$F$1</c:f>
              <c:strCache>
                <c:ptCount val="5"/>
                <c:pt idx="0">
                  <c:v>1980s</c:v>
                </c:pt>
                <c:pt idx="1">
                  <c:v>1990s</c:v>
                </c:pt>
                <c:pt idx="2">
                  <c:v>2000s</c:v>
                </c:pt>
                <c:pt idx="3">
                  <c:v>2010s</c:v>
                </c:pt>
                <c:pt idx="4">
                  <c:v>2020s</c:v>
                </c:pt>
              </c:strCache>
            </c:strRef>
          </c:cat>
          <c:val>
            <c:numRef>
              <c:f>'TAB 3'!$B$26:$F$26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6082-4DC1-BD1F-75819530EF9D}"/>
            </c:ext>
          </c:extLst>
        </c:ser>
        <c:dLbls>
          <c:showLegendKey val="0"/>
          <c:showVal val="0"/>
          <c:showCatName val="0"/>
          <c:showSerName val="0"/>
          <c:showPercent val="0"/>
          <c:showBubbleSize val="0"/>
        </c:dLbls>
        <c:gapWidth val="150"/>
        <c:shape val="box"/>
        <c:axId val="172662215"/>
        <c:axId val="845629924"/>
        <c:axId val="0"/>
      </c:bar3DChart>
      <c:catAx>
        <c:axId val="172662215"/>
        <c:scaling>
          <c:orientation val="minMax"/>
        </c:scaling>
        <c:delete val="0"/>
        <c:axPos val="b"/>
        <c:title>
          <c:tx>
            <c:rich>
              <a:bodyPr/>
              <a:lstStyle/>
              <a:p>
                <a:pPr lvl="0">
                  <a:defRPr b="0">
                    <a:solidFill>
                      <a:srgbClr val="000000"/>
                    </a:solidFill>
                    <a:latin typeface="+mn-lt"/>
                  </a:defRPr>
                </a:pPr>
                <a:r>
                  <a:rPr lang="en-US" b="0">
                    <a:solidFill>
                      <a:srgbClr val="000000"/>
                    </a:solidFill>
                    <a:latin typeface="+mn-lt"/>
                  </a:rPr>
                  <a:t>Decade</a:t>
                </a: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845629924"/>
        <c:crosses val="autoZero"/>
        <c:auto val="1"/>
        <c:lblAlgn val="ctr"/>
        <c:lblOffset val="100"/>
        <c:noMultiLvlLbl val="1"/>
      </c:catAx>
      <c:valAx>
        <c:axId val="84562992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in"/>
        <c:minorTickMark val="none"/>
        <c:tickLblPos val="nextTo"/>
        <c:spPr>
          <a:ln/>
        </c:spPr>
        <c:txPr>
          <a:bodyPr/>
          <a:lstStyle/>
          <a:p>
            <a:pPr lvl="0">
              <a:defRPr b="0">
                <a:solidFill>
                  <a:srgbClr val="000000"/>
                </a:solidFill>
                <a:latin typeface="+mn-lt"/>
              </a:defRPr>
            </a:pPr>
            <a:endParaRPr lang="en-US"/>
          </a:p>
        </c:txPr>
        <c:crossAx val="172662215"/>
        <c:crosses val="autoZero"/>
        <c:crossBetween val="between"/>
      </c:valAx>
    </c:plotArea>
    <c:legend>
      <c:legendPos val="tr"/>
      <c:overlay val="1"/>
      <c:txPr>
        <a:bodyPr/>
        <a:lstStyle/>
        <a:p>
          <a:pPr lvl="0">
            <a:defRPr sz="1000"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1"/>
        <c:ser>
          <c:idx val="0"/>
          <c:order val="0"/>
          <c:tx>
            <c:strRef>
              <c:f>'Scratchpad for Graphs'!$B$2</c:f>
              <c:strCache>
                <c:ptCount val="1"/>
                <c:pt idx="0">
                  <c:v>Number of studies </c:v>
                </c:pt>
              </c:strCache>
            </c:strRef>
          </c:tx>
          <c:spPr>
            <a:solidFill>
              <a:schemeClr val="accent1"/>
            </a:solidFill>
            <a:ln>
              <a:noFill/>
            </a:ln>
            <a:effectLst/>
          </c:spPr>
          <c:cat>
            <c:strRef>
              <c:f>'Scratchpad for Graphs'!$A$2:$A$22</c:f>
              <c:strCache>
                <c:ptCount val="21"/>
                <c:pt idx="0">
                  <c:v>Pathogen Category</c:v>
                </c:pt>
                <c:pt idx="1">
                  <c:v>Vibrio Cholerae</c:v>
                </c:pt>
                <c:pt idx="2">
                  <c:v>Plasmodium Spp.</c:v>
                </c:pt>
                <c:pt idx="3">
                  <c:v>Respiratory Syncytial Virus</c:v>
                </c:pt>
                <c:pt idx="4">
                  <c:v>Necator Americanus</c:v>
                </c:pt>
                <c:pt idx="5">
                  <c:v>Schistosoma Mansoni</c:v>
                </c:pt>
                <c:pt idx="6">
                  <c:v>Rhinovirus</c:v>
                </c:pt>
                <c:pt idx="7">
                  <c:v>Influenza Viruses</c:v>
                </c:pt>
                <c:pt idx="8">
                  <c:v>Bcg</c:v>
                </c:pt>
                <c:pt idx="9">
                  <c:v>Streptococcus Pneumoniae</c:v>
                </c:pt>
                <c:pt idx="10">
                  <c:v>Norovirus</c:v>
                </c:pt>
                <c:pt idx="11">
                  <c:v>Shigella Spp.</c:v>
                </c:pt>
                <c:pt idx="12">
                  <c:v>Escherichia Coli</c:v>
                </c:pt>
                <c:pt idx="13">
                  <c:v>Salmonella Spp.</c:v>
                </c:pt>
                <c:pt idx="14">
                  <c:v>Bordetella Pertussis</c:v>
                </c:pt>
                <c:pt idx="15">
                  <c:v>Haemophilus Ducreyi</c:v>
                </c:pt>
                <c:pt idx="16">
                  <c:v>Parvovirus</c:v>
                </c:pt>
                <c:pt idx="17">
                  <c:v>Parainfluenza</c:v>
                </c:pt>
                <c:pt idx="18">
                  <c:v>Trachoma Virus</c:v>
                </c:pt>
                <c:pt idx="19">
                  <c:v>Dengue Virus</c:v>
                </c:pt>
                <c:pt idx="20">
                  <c:v>Cryptosporidium Spp.</c:v>
                </c:pt>
              </c:strCache>
            </c:strRef>
          </c:cat>
          <c:val>
            <c:numRef>
              <c:f>'Scratchpad for Graphs'!$B$3:$B$22</c:f>
              <c:numCache>
                <c:formatCode>General</c:formatCode>
                <c:ptCount val="20"/>
                <c:pt idx="0">
                  <c:v>5</c:v>
                </c:pt>
                <c:pt idx="1">
                  <c:v>79</c:v>
                </c:pt>
                <c:pt idx="2">
                  <c:v>9</c:v>
                </c:pt>
                <c:pt idx="3">
                  <c:v>6</c:v>
                </c:pt>
                <c:pt idx="4">
                  <c:v>1</c:v>
                </c:pt>
                <c:pt idx="5">
                  <c:v>43</c:v>
                </c:pt>
                <c:pt idx="6">
                  <c:v>47</c:v>
                </c:pt>
                <c:pt idx="7">
                  <c:v>3</c:v>
                </c:pt>
                <c:pt idx="8">
                  <c:v>10</c:v>
                </c:pt>
                <c:pt idx="9">
                  <c:v>6</c:v>
                </c:pt>
                <c:pt idx="10">
                  <c:v>15</c:v>
                </c:pt>
                <c:pt idx="11">
                  <c:v>21</c:v>
                </c:pt>
                <c:pt idx="12">
                  <c:v>8</c:v>
                </c:pt>
                <c:pt idx="13">
                  <c:v>1</c:v>
                </c:pt>
                <c:pt idx="14">
                  <c:v>31</c:v>
                </c:pt>
                <c:pt idx="15">
                  <c:v>1</c:v>
                </c:pt>
                <c:pt idx="16">
                  <c:v>1</c:v>
                </c:pt>
                <c:pt idx="17">
                  <c:v>0</c:v>
                </c:pt>
                <c:pt idx="18">
                  <c:v>3</c:v>
                </c:pt>
                <c:pt idx="19">
                  <c:v>3</c:v>
                </c:pt>
              </c:numCache>
            </c:numRef>
          </c:val>
          <c:extLst>
            <c:ext xmlns:c16="http://schemas.microsoft.com/office/drawing/2014/chart" uri="{C3380CC4-5D6E-409C-BE32-E72D297353CC}">
              <c16:uniqueId val="{00000000-A9EB-4E97-9633-6E1CEB1BAC23}"/>
            </c:ext>
          </c:extLst>
        </c:ser>
        <c:ser>
          <c:idx val="1"/>
          <c:order val="1"/>
          <c:tx>
            <c:strRef>
              <c:f>'Scratchpad for Graphs'!$C$2</c:f>
              <c:strCache>
                <c:ptCount val="1"/>
                <c:pt idx="0">
                  <c:v>Number challenged across all studies</c:v>
                </c:pt>
              </c:strCache>
            </c:strRef>
          </c:tx>
          <c:spPr>
            <a:solidFill>
              <a:schemeClr val="accent2"/>
            </a:solidFill>
            <a:ln>
              <a:noFill/>
            </a:ln>
            <a:effectLst/>
          </c:spPr>
          <c:cat>
            <c:strRef>
              <c:f>'Scratchpad for Graphs'!$A$2:$A$22</c:f>
              <c:strCache>
                <c:ptCount val="21"/>
                <c:pt idx="0">
                  <c:v>Pathogen Category</c:v>
                </c:pt>
                <c:pt idx="1">
                  <c:v>Vibrio Cholerae</c:v>
                </c:pt>
                <c:pt idx="2">
                  <c:v>Plasmodium Spp.</c:v>
                </c:pt>
                <c:pt idx="3">
                  <c:v>Respiratory Syncytial Virus</c:v>
                </c:pt>
                <c:pt idx="4">
                  <c:v>Necator Americanus</c:v>
                </c:pt>
                <c:pt idx="5">
                  <c:v>Schistosoma Mansoni</c:v>
                </c:pt>
                <c:pt idx="6">
                  <c:v>Rhinovirus</c:v>
                </c:pt>
                <c:pt idx="7">
                  <c:v>Influenza Viruses</c:v>
                </c:pt>
                <c:pt idx="8">
                  <c:v>Bcg</c:v>
                </c:pt>
                <c:pt idx="9">
                  <c:v>Streptococcus Pneumoniae</c:v>
                </c:pt>
                <c:pt idx="10">
                  <c:v>Norovirus</c:v>
                </c:pt>
                <c:pt idx="11">
                  <c:v>Shigella Spp.</c:v>
                </c:pt>
                <c:pt idx="12">
                  <c:v>Escherichia Coli</c:v>
                </c:pt>
                <c:pt idx="13">
                  <c:v>Salmonella Spp.</c:v>
                </c:pt>
                <c:pt idx="14">
                  <c:v>Bordetella Pertussis</c:v>
                </c:pt>
                <c:pt idx="15">
                  <c:v>Haemophilus Ducreyi</c:v>
                </c:pt>
                <c:pt idx="16">
                  <c:v>Parvovirus</c:v>
                </c:pt>
                <c:pt idx="17">
                  <c:v>Parainfluenza</c:v>
                </c:pt>
                <c:pt idx="18">
                  <c:v>Trachoma Virus</c:v>
                </c:pt>
                <c:pt idx="19">
                  <c:v>Dengue Virus</c:v>
                </c:pt>
                <c:pt idx="20">
                  <c:v>Cryptosporidium Spp.</c:v>
                </c:pt>
              </c:strCache>
            </c:strRef>
          </c:cat>
          <c:val>
            <c:numRef>
              <c:f>'Scratchpad for Graphs'!$C$3:$C$22</c:f>
              <c:numCache>
                <c:formatCode>General</c:formatCode>
                <c:ptCount val="20"/>
                <c:pt idx="0">
                  <c:v>267</c:v>
                </c:pt>
                <c:pt idx="1">
                  <c:v>1732</c:v>
                </c:pt>
                <c:pt idx="2">
                  <c:v>502</c:v>
                </c:pt>
                <c:pt idx="3">
                  <c:v>86</c:v>
                </c:pt>
                <c:pt idx="4">
                  <c:v>17</c:v>
                </c:pt>
                <c:pt idx="5">
                  <c:v>4332</c:v>
                </c:pt>
                <c:pt idx="6">
                  <c:v>3568</c:v>
                </c:pt>
                <c:pt idx="7">
                  <c:v>128</c:v>
                </c:pt>
                <c:pt idx="8">
                  <c:v>936</c:v>
                </c:pt>
                <c:pt idx="9">
                  <c:v>293</c:v>
                </c:pt>
                <c:pt idx="10">
                  <c:v>714</c:v>
                </c:pt>
                <c:pt idx="11">
                  <c:v>599</c:v>
                </c:pt>
                <c:pt idx="12">
                  <c:v>449</c:v>
                </c:pt>
                <c:pt idx="13">
                  <c:v>34</c:v>
                </c:pt>
                <c:pt idx="14">
                  <c:v>272</c:v>
                </c:pt>
                <c:pt idx="15">
                  <c:v>9</c:v>
                </c:pt>
                <c:pt idx="16">
                  <c:v>83</c:v>
                </c:pt>
                <c:pt idx="17">
                  <c:v>0</c:v>
                </c:pt>
                <c:pt idx="18">
                  <c:v>104</c:v>
                </c:pt>
                <c:pt idx="19">
                  <c:v>79</c:v>
                </c:pt>
              </c:numCache>
            </c:numRef>
          </c:val>
          <c:extLst>
            <c:ext xmlns:c16="http://schemas.microsoft.com/office/drawing/2014/chart" uri="{C3380CC4-5D6E-409C-BE32-E72D297353CC}">
              <c16:uniqueId val="{00000001-A9EB-4E97-9633-6E1CEB1BAC23}"/>
            </c:ext>
          </c:extLst>
        </c:ser>
        <c:dLbls>
          <c:showLegendKey val="0"/>
          <c:showVal val="0"/>
          <c:showCatName val="0"/>
          <c:showSerName val="0"/>
          <c:showPercent val="0"/>
          <c:showBubbleSize val="0"/>
        </c:dLbls>
        <c:axId val="2016233591"/>
        <c:axId val="1580561726"/>
      </c:areaChart>
      <c:areaChart>
        <c:grouping val="stacked"/>
        <c:varyColors val="1"/>
        <c:ser>
          <c:idx val="2"/>
          <c:order val="2"/>
          <c:tx>
            <c:strRef>
              <c:f>'Scratchpad for Graphs'!$G$2</c:f>
              <c:strCache>
                <c:ptCount val="1"/>
                <c:pt idx="0">
                  <c:v>Global Deaths, 2015</c:v>
                </c:pt>
              </c:strCache>
            </c:strRef>
          </c:tx>
          <c:spPr>
            <a:solidFill>
              <a:schemeClr val="accent3"/>
            </a:solidFill>
            <a:ln>
              <a:noFill/>
            </a:ln>
            <a:effectLst/>
          </c:spPr>
          <c:cat>
            <c:strRef>
              <c:f>'Scratchpad for Graphs'!$A$3:$A$20</c:f>
              <c:strCache>
                <c:ptCount val="18"/>
                <c:pt idx="0">
                  <c:v>Vibrio Cholerae</c:v>
                </c:pt>
                <c:pt idx="1">
                  <c:v>Plasmodium Spp.</c:v>
                </c:pt>
                <c:pt idx="2">
                  <c:v>Respiratory Syncytial Virus</c:v>
                </c:pt>
                <c:pt idx="3">
                  <c:v>Necator Americanus</c:v>
                </c:pt>
                <c:pt idx="4">
                  <c:v>Schistosoma Mansoni</c:v>
                </c:pt>
                <c:pt idx="5">
                  <c:v>Rhinovirus</c:v>
                </c:pt>
                <c:pt idx="6">
                  <c:v>Influenza Viruses</c:v>
                </c:pt>
                <c:pt idx="7">
                  <c:v>Bcg</c:v>
                </c:pt>
                <c:pt idx="8">
                  <c:v>Streptococcus Pneumoniae</c:v>
                </c:pt>
                <c:pt idx="9">
                  <c:v>Norovirus</c:v>
                </c:pt>
                <c:pt idx="10">
                  <c:v>Shigella Spp.</c:v>
                </c:pt>
                <c:pt idx="11">
                  <c:v>Escherichia Coli</c:v>
                </c:pt>
                <c:pt idx="12">
                  <c:v>Salmonella Spp.</c:v>
                </c:pt>
                <c:pt idx="13">
                  <c:v>Bordetella Pertussis</c:v>
                </c:pt>
                <c:pt idx="14">
                  <c:v>Haemophilus Ducreyi</c:v>
                </c:pt>
                <c:pt idx="15">
                  <c:v>Parvovirus</c:v>
                </c:pt>
                <c:pt idx="16">
                  <c:v>Parainfluenza</c:v>
                </c:pt>
                <c:pt idx="17">
                  <c:v>Trachoma Virus</c:v>
                </c:pt>
              </c:strCache>
            </c:strRef>
          </c:cat>
          <c:val>
            <c:numRef>
              <c:f>'Scratchpad for Graphs'!$G$3:$G$22</c:f>
              <c:numCache>
                <c:formatCode>General</c:formatCode>
                <c:ptCount val="20"/>
                <c:pt idx="0">
                  <c:v>730500</c:v>
                </c:pt>
                <c:pt idx="1">
                  <c:v>1517.4</c:v>
                </c:pt>
                <c:pt idx="2">
                  <c:v>29700</c:v>
                </c:pt>
                <c:pt idx="3">
                  <c:v>164300</c:v>
                </c:pt>
                <c:pt idx="4">
                  <c:v>74000</c:v>
                </c:pt>
                <c:pt idx="7">
                  <c:v>82000</c:v>
                </c:pt>
                <c:pt idx="9">
                  <c:v>83100</c:v>
                </c:pt>
                <c:pt idx="13">
                  <c:v>12000</c:v>
                </c:pt>
                <c:pt idx="14">
                  <c:v>0</c:v>
                </c:pt>
                <c:pt idx="16">
                  <c:v>0</c:v>
                </c:pt>
              </c:numCache>
            </c:numRef>
          </c:val>
          <c:extLst>
            <c:ext xmlns:c16="http://schemas.microsoft.com/office/drawing/2014/chart" uri="{C3380CC4-5D6E-409C-BE32-E72D297353CC}">
              <c16:uniqueId val="{00000002-A9EB-4E97-9633-6E1CEB1BAC23}"/>
            </c:ext>
          </c:extLst>
        </c:ser>
        <c:dLbls>
          <c:showLegendKey val="0"/>
          <c:showVal val="0"/>
          <c:showCatName val="0"/>
          <c:showSerName val="0"/>
          <c:showPercent val="0"/>
          <c:showBubbleSize val="0"/>
        </c:dLbls>
        <c:axId val="1915755929"/>
        <c:axId val="356463727"/>
      </c:areaChart>
      <c:catAx>
        <c:axId val="20162335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0561726"/>
        <c:crosses val="autoZero"/>
        <c:auto val="1"/>
        <c:lblAlgn val="ctr"/>
        <c:lblOffset val="100"/>
        <c:noMultiLvlLbl val="1"/>
      </c:catAx>
      <c:valAx>
        <c:axId val="158056172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233591"/>
        <c:crosses val="autoZero"/>
        <c:crossBetween val="midCat"/>
      </c:valAx>
      <c:catAx>
        <c:axId val="1915755929"/>
        <c:scaling>
          <c:orientation val="minMax"/>
        </c:scaling>
        <c:delete val="1"/>
        <c:axPos val="b"/>
        <c:numFmt formatCode="General" sourceLinked="1"/>
        <c:majorTickMark val="none"/>
        <c:minorTickMark val="none"/>
        <c:tickLblPos val="nextTo"/>
        <c:crossAx val="356463727"/>
        <c:crosses val="autoZero"/>
        <c:auto val="1"/>
        <c:lblAlgn val="ctr"/>
        <c:lblOffset val="100"/>
        <c:noMultiLvlLbl val="1"/>
      </c:catAx>
      <c:valAx>
        <c:axId val="356463727"/>
        <c:scaling>
          <c:orientation val="minMax"/>
        </c:scaling>
        <c:delete val="0"/>
        <c:axPos val="r"/>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575592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1"/>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3" lockText="1" noThreeD="1"/>
</file>

<file path=xl/ctrlProps/ctrlProp2.xml><?xml version="1.0" encoding="utf-8"?>
<formControlPr xmlns="http://schemas.microsoft.com/office/spreadsheetml/2009/9/main" objectType="CheckBox" checked="Checked" fmlaLink="$D$4" lockText="1" noThreeD="1"/>
</file>

<file path=xl/ctrlProps/ctrlProp3.xml><?xml version="1.0" encoding="utf-8"?>
<formControlPr xmlns="http://schemas.microsoft.com/office/spreadsheetml/2009/9/main" objectType="CheckBox" checked="Checked" fmlaLink="$D$5" lockText="1" noThreeD="1"/>
</file>

<file path=xl/ctrlProps/ctrlProp4.xml><?xml version="1.0" encoding="utf-8"?>
<formControlPr xmlns="http://schemas.microsoft.com/office/spreadsheetml/2009/9/main" objectType="CheckBox" fmlaLink="$D$6" lockText="1" noThreeD="1"/>
</file>

<file path=xl/ctrlProps/ctrlProp5.xml><?xml version="1.0" encoding="utf-8"?>
<formControlPr xmlns="http://schemas.microsoft.com/office/spreadsheetml/2009/9/main" objectType="CheckBox" fmlaLink="$D$7" lockText="1" noThreeD="1"/>
</file>

<file path=xl/ctrlProps/ctrlProp6.xml><?xml version="1.0" encoding="utf-8"?>
<formControlPr xmlns="http://schemas.microsoft.com/office/spreadsheetml/2009/9/main" objectType="CheckBox" fmlaLink="$D$8" lockText="1" noThreeD="1"/>
</file>

<file path=xl/ctrlProps/ctrlProp7.xml><?xml version="1.0" encoding="utf-8"?>
<formControlPr xmlns="http://schemas.microsoft.com/office/spreadsheetml/2009/9/main" objectType="CheckBox" fmlaLink="$D$9" lockText="1" noThreeD="1"/>
</file>

<file path=xl/ctrlProps/ctrlProp8.xml><?xml version="1.0" encoding="utf-8"?>
<formControlPr xmlns="http://schemas.microsoft.com/office/spreadsheetml/2009/9/main" objectType="CheckBox" checked="Checked" fmlaLink="$D$10" lockText="1" noThreeD="1"/>
</file>

<file path=xl/ctrlProps/ctrlProp9.xml><?xml version="1.0" encoding="utf-8"?>
<formControlPr xmlns="http://schemas.microsoft.com/office/spreadsheetml/2009/9/main" objectType="CheckBox" fmlaLink="$D$11"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3</xdr:col>
          <xdr:colOff>295275</xdr:colOff>
          <xdr:row>3</xdr:row>
          <xdr:rowOff>9525</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444448ED-A68D-4F6C-BE98-063121CBE92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295275</xdr:colOff>
          <xdr:row>4</xdr:row>
          <xdr:rowOff>9525</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B8E2AB6A-47FE-42F3-8FA2-469BAABA1B9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3</xdr:col>
          <xdr:colOff>295275</xdr:colOff>
          <xdr:row>5</xdr:row>
          <xdr:rowOff>9525</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193C9FB9-0863-4153-A34E-53CA09F5C5B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3</xdr:col>
          <xdr:colOff>295275</xdr:colOff>
          <xdr:row>6</xdr:row>
          <xdr:rowOff>9525</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EC91B0A-BABA-4D69-81CF-E3D4A4FB1A4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3</xdr:col>
          <xdr:colOff>295275</xdr:colOff>
          <xdr:row>7</xdr:row>
          <xdr:rowOff>9525</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C3158201-3CAB-48F9-98F4-9E47EDDE46E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295275</xdr:colOff>
          <xdr:row>8</xdr:row>
          <xdr:rowOff>9525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397F8E3B-E692-4F1A-93A4-9FDB02B8DE9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3</xdr:col>
          <xdr:colOff>295275</xdr:colOff>
          <xdr:row>9</xdr:row>
          <xdr:rowOff>47625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A80EBA54-B287-4479-BC57-7C4F873F09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3</xdr:col>
          <xdr:colOff>295275</xdr:colOff>
          <xdr:row>10</xdr:row>
          <xdr:rowOff>47625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29E6367E-C46B-48BB-9914-04879EE4F08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3</xdr:col>
          <xdr:colOff>295275</xdr:colOff>
          <xdr:row>11</xdr:row>
          <xdr:rowOff>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EB6344E1-074A-43A5-9D72-29C3E33ABCB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14</xdr:col>
      <xdr:colOff>190500</xdr:colOff>
      <xdr:row>2</xdr:row>
      <xdr:rowOff>171450</xdr:rowOff>
    </xdr:from>
    <xdr:ext cx="9267825" cy="5753100"/>
    <xdr:graphicFrame macro="">
      <xdr:nvGraphicFramePr>
        <xdr:cNvPr id="2" name="Chart 1" title="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1</xdr:col>
      <xdr:colOff>123825</xdr:colOff>
      <xdr:row>42</xdr:row>
      <xdr:rowOff>47625</xdr:rowOff>
    </xdr:from>
    <xdr:ext cx="6486525" cy="6715125"/>
    <xdr:graphicFrame macro="">
      <xdr:nvGraphicFramePr>
        <xdr:cNvPr id="2" name="Chart 2" title="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9</xdr:col>
      <xdr:colOff>428625</xdr:colOff>
      <xdr:row>42</xdr:row>
      <xdr:rowOff>38100</xdr:rowOff>
    </xdr:from>
    <xdr:ext cx="6543675" cy="6724650"/>
    <xdr:graphicFrame macro="">
      <xdr:nvGraphicFramePr>
        <xdr:cNvPr id="3" name="Chart 3" title="Chart">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29</xdr:col>
      <xdr:colOff>333375</xdr:colOff>
      <xdr:row>20</xdr:row>
      <xdr:rowOff>114300</xdr:rowOff>
    </xdr:from>
    <xdr:ext cx="5715000" cy="3533775"/>
    <xdr:graphicFrame macro="">
      <xdr:nvGraphicFramePr>
        <xdr:cNvPr id="4" name="Chart 4" title="Chart">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9</xdr:col>
      <xdr:colOff>323850</xdr:colOff>
      <xdr:row>20</xdr:row>
      <xdr:rowOff>9525</xdr:rowOff>
    </xdr:from>
    <xdr:ext cx="11449050" cy="6153150"/>
    <xdr:graphicFrame macro="">
      <xdr:nvGraphicFramePr>
        <xdr:cNvPr id="5" name="Chart 5" title="Chart">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0</xdr:col>
      <xdr:colOff>0</xdr:colOff>
      <xdr:row>20</xdr:row>
      <xdr:rowOff>9525</xdr:rowOff>
    </xdr:from>
    <xdr:ext cx="9667875" cy="6153150"/>
    <xdr:graphicFrame macro="">
      <xdr:nvGraphicFramePr>
        <xdr:cNvPr id="6" name="Chart 6" title="Chart">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29</xdr:col>
      <xdr:colOff>333375</xdr:colOff>
      <xdr:row>20</xdr:row>
      <xdr:rowOff>114300</xdr:rowOff>
    </xdr:from>
    <xdr:ext cx="5715000" cy="3533775"/>
    <xdr:graphicFrame macro="">
      <xdr:nvGraphicFramePr>
        <xdr:cNvPr id="7" name="Chart 7" title="Chart">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28575</xdr:colOff>
      <xdr:row>37</xdr:row>
      <xdr:rowOff>47625</xdr:rowOff>
    </xdr:from>
    <xdr:ext cx="5715000" cy="3533775"/>
    <xdr:graphicFrame macro="">
      <xdr:nvGraphicFramePr>
        <xdr:cNvPr id="8" name="Chart 8" title="Chart">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161925</xdr:colOff>
      <xdr:row>40</xdr:row>
      <xdr:rowOff>66675</xdr:rowOff>
    </xdr:from>
    <xdr:ext cx="5343525" cy="4362450"/>
    <xdr:graphicFrame macro="">
      <xdr:nvGraphicFramePr>
        <xdr:cNvPr id="9" name="Chart 9" title="Chart">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142875</xdr:colOff>
      <xdr:row>37</xdr:row>
      <xdr:rowOff>76200</xdr:rowOff>
    </xdr:from>
    <xdr:ext cx="12249150" cy="6029325"/>
    <xdr:graphicFrame macro="">
      <xdr:nvGraphicFramePr>
        <xdr:cNvPr id="10" name="Chart 10" title="Chart">
          <a:extLst>
            <a:ext uri="{FF2B5EF4-FFF2-40B4-BE49-F238E27FC236}">
              <a16:creationId xmlns:a16="http://schemas.microsoft.com/office/drawing/2014/main" id="{00000000-0008-0000-1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17" Type="http://schemas.openxmlformats.org/officeDocument/2006/relationships/hyperlink" Target="https://pubmed.ncbi.nlm.nih.gov/27158907/" TargetMode="External"/><Relationship Id="rId299" Type="http://schemas.openxmlformats.org/officeDocument/2006/relationships/hyperlink" Target="https://pubmed.ncbi.nlm.nih.gov/23024024/" TargetMode="External"/><Relationship Id="rId21" Type="http://schemas.openxmlformats.org/officeDocument/2006/relationships/hyperlink" Target="https://clinicaltrials.gov/ct2/show/NCT02692963?term=NCT02692963&amp;draw=2&amp;rank=1" TargetMode="External"/><Relationship Id="rId63" Type="http://schemas.openxmlformats.org/officeDocument/2006/relationships/hyperlink" Target="http://clinicaltrials.gov/" TargetMode="External"/><Relationship Id="rId159" Type="http://schemas.openxmlformats.org/officeDocument/2006/relationships/hyperlink" Target="https://pubmed.ncbi.nlm.nih.gov/17893130/" TargetMode="External"/><Relationship Id="rId324" Type="http://schemas.openxmlformats.org/officeDocument/2006/relationships/hyperlink" Target="https://clinicaltrials.gov/ct2/show/NCT01719874?term=NCT01719874&amp;draw=2&amp;rank=1" TargetMode="External"/><Relationship Id="rId170" Type="http://schemas.openxmlformats.org/officeDocument/2006/relationships/hyperlink" Target="https://pubmed.ncbi.nlm.nih.gov/9607840/" TargetMode="External"/><Relationship Id="rId226" Type="http://schemas.openxmlformats.org/officeDocument/2006/relationships/hyperlink" Target="https://pubmed.ncbi.nlm.nih.gov/10569747/" TargetMode="External"/><Relationship Id="rId268" Type="http://schemas.openxmlformats.org/officeDocument/2006/relationships/hyperlink" Target="https://clinicaltrials.gov/ct2/show/NCT02100397?term=NCT02100397&amp;draw=2&amp;rank=1" TargetMode="External"/><Relationship Id="rId32" Type="http://schemas.openxmlformats.org/officeDocument/2006/relationships/hyperlink" Target="https://clinicaltrials.gov/ct2/show/NCT02431637?term=NCT02431637&amp;draw=2&amp;rank=1" TargetMode="External"/><Relationship Id="rId74" Type="http://schemas.openxmlformats.org/officeDocument/2006/relationships/hyperlink" Target="https://clinicaltrials.gov/ct2/show/NCT03721549?term=NCT03721549&amp;draw=2&amp;rank=1" TargetMode="External"/><Relationship Id="rId128" Type="http://schemas.openxmlformats.org/officeDocument/2006/relationships/hyperlink" Target="https://clinicaltrials.gov/ct2/show/NCT02015091" TargetMode="External"/><Relationship Id="rId335" Type="http://schemas.openxmlformats.org/officeDocument/2006/relationships/hyperlink" Target="https://www.clinicaltrials.gov/ct2/show/NCT00385047" TargetMode="External"/><Relationship Id="rId5" Type="http://schemas.openxmlformats.org/officeDocument/2006/relationships/hyperlink" Target="http://clinicaltrials.gov/show/NCT01895855)." TargetMode="External"/><Relationship Id="rId181" Type="http://schemas.openxmlformats.org/officeDocument/2006/relationships/hyperlink" Target="https://clinicaltrials.gov/ct2/show/NCT01422954" TargetMode="External"/><Relationship Id="rId237" Type="http://schemas.openxmlformats.org/officeDocument/2006/relationships/hyperlink" Target="https://pubmed.ncbi.nlm.nih.gov/29943719/" TargetMode="External"/><Relationship Id="rId279" Type="http://schemas.openxmlformats.org/officeDocument/2006/relationships/hyperlink" Target="https://pubmed.ncbi.nlm.nih.gov/15306577/" TargetMode="External"/><Relationship Id="rId43" Type="http://schemas.openxmlformats.org/officeDocument/2006/relationships/hyperlink" Target="https://clinicaltrials.gov/ct2/show/NCT02192008?term=NCT02192008&amp;draw=2&amp;rank=1" TargetMode="External"/><Relationship Id="rId139" Type="http://schemas.openxmlformats.org/officeDocument/2006/relationships/hyperlink" Target="https://pubmed.ncbi.nlm.nih.gov/4550416/" TargetMode="External"/><Relationship Id="rId290" Type="http://schemas.openxmlformats.org/officeDocument/2006/relationships/hyperlink" Target="https://pubmed.ncbi.nlm.nih.gov/2153185/" TargetMode="External"/><Relationship Id="rId304" Type="http://schemas.openxmlformats.org/officeDocument/2006/relationships/hyperlink" Target="https://pubmed.ncbi.nlm.nih.gov/27094330/" TargetMode="External"/><Relationship Id="rId346" Type="http://schemas.openxmlformats.org/officeDocument/2006/relationships/hyperlink" Target="https://pubmed.ncbi.nlm.nih.gov/28363637/" TargetMode="External"/><Relationship Id="rId85" Type="http://schemas.openxmlformats.org/officeDocument/2006/relationships/hyperlink" Target="http://clinicaltrials.gov/" TargetMode="External"/><Relationship Id="rId150" Type="http://schemas.openxmlformats.org/officeDocument/2006/relationships/hyperlink" Target="https://pubmed.ncbi.nlm.nih.gov/10720550/" TargetMode="External"/><Relationship Id="rId192" Type="http://schemas.openxmlformats.org/officeDocument/2006/relationships/hyperlink" Target="https://pubmed.ncbi.nlm.nih.gov/8357078/" TargetMode="External"/><Relationship Id="rId206" Type="http://schemas.openxmlformats.org/officeDocument/2006/relationships/hyperlink" Target="https://pubmed.ncbi.nlm.nih.gov/3343522/" TargetMode="External"/><Relationship Id="rId248" Type="http://schemas.openxmlformats.org/officeDocument/2006/relationships/hyperlink" Target="https://clinicaltrials.gov/ct2/show/NCT01157897" TargetMode="External"/><Relationship Id="rId12" Type="http://schemas.openxmlformats.org/officeDocument/2006/relationships/hyperlink" Target="https://clinicaltrials.gov/ct2/show/NCT00870987?term=NCT00870987&amp;draw=2&amp;rank=1" TargetMode="External"/><Relationship Id="rId108" Type="http://schemas.openxmlformats.org/officeDocument/2006/relationships/hyperlink" Target="https://pubmed.ncbi.nlm.nih.gov/7985753/" TargetMode="External"/><Relationship Id="rId315" Type="http://schemas.openxmlformats.org/officeDocument/2006/relationships/hyperlink" Target="https://clinicaltrials.gov/ct2/show/NCT02115516" TargetMode="External"/><Relationship Id="rId357" Type="http://schemas.openxmlformats.org/officeDocument/2006/relationships/hyperlink" Target="https://pubmed.ncbi.nlm.nih.gov/24457412/" TargetMode="External"/><Relationship Id="rId54" Type="http://schemas.openxmlformats.org/officeDocument/2006/relationships/hyperlink" Target="https://clinicaltrials.gov/ct2/show/NCT01500980?term=NCT01500980&amp;draw=2&amp;rank=1" TargetMode="External"/><Relationship Id="rId96" Type="http://schemas.openxmlformats.org/officeDocument/2006/relationships/hyperlink" Target="https://pubmed.ncbi.nlm.nih.gov/4583408/" TargetMode="External"/><Relationship Id="rId161" Type="http://schemas.openxmlformats.org/officeDocument/2006/relationships/hyperlink" Target="https://pubmed.ncbi.nlm.nih.gov/16428791/" TargetMode="External"/><Relationship Id="rId217" Type="http://schemas.openxmlformats.org/officeDocument/2006/relationships/hyperlink" Target="https://pubmed.ncbi.nlm.nih.gov/25070995/" TargetMode="External"/><Relationship Id="rId259" Type="http://schemas.openxmlformats.org/officeDocument/2006/relationships/hyperlink" Target="https://pubmed.ncbi.nlm.nih.gov/25814628/" TargetMode="External"/><Relationship Id="rId23" Type="http://schemas.openxmlformats.org/officeDocument/2006/relationships/hyperlink" Target="https://clinicaltrials.gov/ct2/show/NCT01728701?term=NCT01728701&amp;draw=2&amp;rank=1" TargetMode="External"/><Relationship Id="rId119" Type="http://schemas.openxmlformats.org/officeDocument/2006/relationships/hyperlink" Target="https://pubmed.ncbi.nlm.nih.gov/27158907/" TargetMode="External"/><Relationship Id="rId270" Type="http://schemas.openxmlformats.org/officeDocument/2006/relationships/hyperlink" Target="https://pubmed.ncbi.nlm.nih.gov/3078739/" TargetMode="External"/><Relationship Id="rId326" Type="http://schemas.openxmlformats.org/officeDocument/2006/relationships/hyperlink" Target="https://clinicaltrials.gov/ct2/show/NCT01441167?term=NCT01441167&amp;draw=2&amp;rank=1" TargetMode="External"/><Relationship Id="rId65" Type="http://schemas.openxmlformats.org/officeDocument/2006/relationships/hyperlink" Target="https://clinicaltrials.gov/ct2/show/NCT02237586?term=NCT02237586&amp;draw=2&amp;rank=1" TargetMode="External"/><Relationship Id="rId130" Type="http://schemas.openxmlformats.org/officeDocument/2006/relationships/hyperlink" Target="https://clinicaltrials.gov/ct2/show/NCT02015091" TargetMode="External"/><Relationship Id="rId172" Type="http://schemas.openxmlformats.org/officeDocument/2006/relationships/hyperlink" Target="https://pubmed.ncbi.nlm.nih.gov/10569746/" TargetMode="External"/><Relationship Id="rId228" Type="http://schemas.openxmlformats.org/officeDocument/2006/relationships/hyperlink" Target="https://pubmed.ncbi.nlm.nih.gov/10569747/" TargetMode="External"/><Relationship Id="rId281" Type="http://schemas.openxmlformats.org/officeDocument/2006/relationships/hyperlink" Target="https://pubmed.ncbi.nlm.nih.gov/15306577/" TargetMode="External"/><Relationship Id="rId337" Type="http://schemas.openxmlformats.org/officeDocument/2006/relationships/hyperlink" Target="https://clinicaltrials.gov/ct2/show/NCT02450578" TargetMode="External"/><Relationship Id="rId34" Type="http://schemas.openxmlformats.org/officeDocument/2006/relationships/hyperlink" Target="https://clinicaltrials.gov/ct2/show/NCT01405521?term=NCT01405521&amp;draw=2&amp;rank=1" TargetMode="External"/><Relationship Id="rId76" Type="http://schemas.openxmlformats.org/officeDocument/2006/relationships/hyperlink" Target="https://clinicaltrials.gov/ct2/show/NCT01980966?term=NCT01980966&amp;draw=2&amp;rank=1" TargetMode="External"/><Relationship Id="rId141" Type="http://schemas.openxmlformats.org/officeDocument/2006/relationships/hyperlink" Target="https://pubmed.ncbi.nlm.nih.gov/4550416/" TargetMode="External"/><Relationship Id="rId7" Type="http://schemas.openxmlformats.org/officeDocument/2006/relationships/hyperlink" Target="http://clinicaltrials.gov/show/NCT01895855)." TargetMode="External"/><Relationship Id="rId183" Type="http://schemas.openxmlformats.org/officeDocument/2006/relationships/hyperlink" Target="https://clinicaltrials.gov/ct2/show/NCT00757887?term=NCT00757887&amp;draw=2&amp;rank=1" TargetMode="External"/><Relationship Id="rId239" Type="http://schemas.openxmlformats.org/officeDocument/2006/relationships/hyperlink" Target="https://pubmed.ncbi.nlm.nih.gov/29943719/" TargetMode="External"/><Relationship Id="rId250" Type="http://schemas.openxmlformats.org/officeDocument/2006/relationships/hyperlink" Target="https://pubmed.ncbi.nlm.nih.gov/17123976/" TargetMode="External"/><Relationship Id="rId292" Type="http://schemas.openxmlformats.org/officeDocument/2006/relationships/hyperlink" Target="https://pubmed.ncbi.nlm.nih.gov/2153185/" TargetMode="External"/><Relationship Id="rId306" Type="http://schemas.openxmlformats.org/officeDocument/2006/relationships/hyperlink" Target="https://pubmed.ncbi.nlm.nih.gov/27094330/" TargetMode="External"/><Relationship Id="rId45" Type="http://schemas.openxmlformats.org/officeDocument/2006/relationships/hyperlink" Target="https://clinicaltrials.gov/ct2/show/NCT01771848?term=NCT01771848&amp;draw=2&amp;rank=1" TargetMode="External"/><Relationship Id="rId87" Type="http://schemas.openxmlformats.org/officeDocument/2006/relationships/hyperlink" Target="https://www.clinicaltrials.gov/ct2/show/NCT00312702?term=NCT00312702&amp;draw=2&amp;rank=1" TargetMode="External"/><Relationship Id="rId110" Type="http://schemas.openxmlformats.org/officeDocument/2006/relationships/hyperlink" Target="https://clinicaltrials.gov/ct2/show/NCT02015091" TargetMode="External"/><Relationship Id="rId348" Type="http://schemas.openxmlformats.org/officeDocument/2006/relationships/hyperlink" Target="https://pubmed.ncbi.nlm.nih.gov/19842970/" TargetMode="External"/><Relationship Id="rId152" Type="http://schemas.openxmlformats.org/officeDocument/2006/relationships/hyperlink" Target="https://pubmed.ncbi.nlm.nih.gov/18422457/" TargetMode="External"/><Relationship Id="rId194" Type="http://schemas.openxmlformats.org/officeDocument/2006/relationships/hyperlink" Target="https://pubmed.ncbi.nlm.nih.gov/1563771/" TargetMode="External"/><Relationship Id="rId208" Type="http://schemas.openxmlformats.org/officeDocument/2006/relationships/hyperlink" Target="https://pubmed.ncbi.nlm.nih.gov/3343522/" TargetMode="External"/><Relationship Id="rId261" Type="http://schemas.openxmlformats.org/officeDocument/2006/relationships/hyperlink" Target="https://pubmed.ncbi.nlm.nih.gov/25814628/" TargetMode="External"/><Relationship Id="rId14" Type="http://schemas.openxmlformats.org/officeDocument/2006/relationships/hyperlink" Target="https://clinicaltrials.gov/ct2/show/NCT01756482?term=NCT01756482&amp;draw=2&amp;rank=1" TargetMode="External"/><Relationship Id="rId56" Type="http://schemas.openxmlformats.org/officeDocument/2006/relationships/hyperlink" Target="https://clinicaltrials.gov/ct2/show/NCT01623557?term=NCT01623557&amp;draw=2&amp;rank=1" TargetMode="External"/><Relationship Id="rId317" Type="http://schemas.openxmlformats.org/officeDocument/2006/relationships/hyperlink" Target="https://clinicaltrials.gov/ct2/show/NCT02111772?term=NCT02111772&amp;draw=2&amp;rank=1" TargetMode="External"/><Relationship Id="rId98" Type="http://schemas.openxmlformats.org/officeDocument/2006/relationships/hyperlink" Target="https://pubmed.ncbi.nlm.nih.gov/4583408/" TargetMode="External"/><Relationship Id="rId121" Type="http://schemas.openxmlformats.org/officeDocument/2006/relationships/hyperlink" Target="https://pubmed.ncbi.nlm.nih.gov/27158907/" TargetMode="External"/><Relationship Id="rId163" Type="http://schemas.openxmlformats.org/officeDocument/2006/relationships/hyperlink" Target="https://pubmed.ncbi.nlm.nih.gov/17436224/" TargetMode="External"/><Relationship Id="rId219" Type="http://schemas.openxmlformats.org/officeDocument/2006/relationships/hyperlink" Target="https://pubmed.ncbi.nlm.nih.gov/25070995/" TargetMode="External"/><Relationship Id="rId230" Type="http://schemas.openxmlformats.org/officeDocument/2006/relationships/hyperlink" Target="https://clinicaltrials.gov/ct2/show/NCT01585077" TargetMode="External"/><Relationship Id="rId25" Type="http://schemas.openxmlformats.org/officeDocument/2006/relationships/hyperlink" Target="https://clinicaltrials.gov/ct2/show/NCT01609257?term=NCT01609257&amp;draw=2&amp;rank=1" TargetMode="External"/><Relationship Id="rId46" Type="http://schemas.openxmlformats.org/officeDocument/2006/relationships/hyperlink" Target="https://clinicaltrials.gov/ct2/show/NCT03502291?term=rylance&amp;cond=Streptococcus+Pneumonia&amp;draw=2&amp;rank=1" TargetMode="External"/><Relationship Id="rId67" Type="http://schemas.openxmlformats.org/officeDocument/2006/relationships/hyperlink" Target="https://clinicaltrials.gov/ct2/show/NCT02237586?term=NCT02237586&amp;draw=2&amp;rank=1" TargetMode="External"/><Relationship Id="rId272" Type="http://schemas.openxmlformats.org/officeDocument/2006/relationships/hyperlink" Target="https://pubmed.ncbi.nlm.nih.gov/3078739/" TargetMode="External"/><Relationship Id="rId293" Type="http://schemas.openxmlformats.org/officeDocument/2006/relationships/hyperlink" Target="https://pubmed.ncbi.nlm.nih.gov/2153185/" TargetMode="External"/><Relationship Id="rId307" Type="http://schemas.openxmlformats.org/officeDocument/2006/relationships/hyperlink" Target="https://clinicaltrials.gov/ct2/show/NCT01971255" TargetMode="External"/><Relationship Id="rId328" Type="http://schemas.openxmlformats.org/officeDocument/2006/relationships/hyperlink" Target="https://pubmed.ncbi.nlm.nih.gov/27927680/" TargetMode="External"/><Relationship Id="rId349" Type="http://schemas.openxmlformats.org/officeDocument/2006/relationships/hyperlink" Target="https://pubmed.ncbi.nlm.nih.gov/24519873/" TargetMode="External"/><Relationship Id="rId88" Type="http://schemas.openxmlformats.org/officeDocument/2006/relationships/hyperlink" Target="https://www.clinicaltrials.gov/ct2/show/NCT00312702?term=NCT00312702&amp;draw=2&amp;rank=1" TargetMode="External"/><Relationship Id="rId111" Type="http://schemas.openxmlformats.org/officeDocument/2006/relationships/hyperlink" Target="https://pubmed.ncbi.nlm.nih.gov/27158907/" TargetMode="External"/><Relationship Id="rId132" Type="http://schemas.openxmlformats.org/officeDocument/2006/relationships/hyperlink" Target="https://clinicaltrials.gov/ct2/show/NCT02015091" TargetMode="External"/><Relationship Id="rId153" Type="http://schemas.openxmlformats.org/officeDocument/2006/relationships/hyperlink" Target="https://pubmed.ncbi.nlm.nih.gov/19199547/" TargetMode="External"/><Relationship Id="rId174" Type="http://schemas.openxmlformats.org/officeDocument/2006/relationships/hyperlink" Target="https://pubmed.ncbi.nlm.nih.gov/11349097/" TargetMode="External"/><Relationship Id="rId195" Type="http://schemas.openxmlformats.org/officeDocument/2006/relationships/hyperlink" Target="https://pubmed.ncbi.nlm.nih.gov/7769295/" TargetMode="External"/><Relationship Id="rId209" Type="http://schemas.openxmlformats.org/officeDocument/2006/relationships/hyperlink" Target="https://pubmed.ncbi.nlm.nih.gov/2437220/" TargetMode="External"/><Relationship Id="rId220" Type="http://schemas.openxmlformats.org/officeDocument/2006/relationships/hyperlink" Target="https://clinicaltrials.gov/ct2/show/NCT01540903" TargetMode="External"/><Relationship Id="rId241" Type="http://schemas.openxmlformats.org/officeDocument/2006/relationships/hyperlink" Target="https://pubmed.ncbi.nlm.nih.gov/11738758/" TargetMode="External"/><Relationship Id="rId15" Type="http://schemas.openxmlformats.org/officeDocument/2006/relationships/hyperlink" Target="https://clinicaltrials.gov/ct2/show/NCT02094365?term=NCT02094365&amp;draw=2&amp;rank=1" TargetMode="External"/><Relationship Id="rId36" Type="http://schemas.openxmlformats.org/officeDocument/2006/relationships/hyperlink" Target="https://clinicaltrials.gov/ct2/show/NCT03751514?term=NCT03751514&amp;draw=2&amp;rank=1" TargetMode="External"/><Relationship Id="rId57" Type="http://schemas.openxmlformats.org/officeDocument/2006/relationships/hyperlink" Target="https://clinicaltrials.gov/ct2/show/NCT02324751?term=NCT02324751&amp;draw=2&amp;rank=1" TargetMode="External"/><Relationship Id="rId262" Type="http://schemas.openxmlformats.org/officeDocument/2006/relationships/hyperlink" Target="https://clinicaltrials.gov/ct2/show/NCT02249598?term=NCT02249598&amp;draw=2&amp;rank=1" TargetMode="External"/><Relationship Id="rId283" Type="http://schemas.openxmlformats.org/officeDocument/2006/relationships/hyperlink" Target="https://pubmed.ncbi.nlm.nih.gov/24995531/" TargetMode="External"/><Relationship Id="rId318" Type="http://schemas.openxmlformats.org/officeDocument/2006/relationships/hyperlink" Target="https://pubmed.ncbi.nlm.nih.gov/2341723/" TargetMode="External"/><Relationship Id="rId339" Type="http://schemas.openxmlformats.org/officeDocument/2006/relationships/hyperlink" Target="https://clinicaltrials.gov/ct2/show/NCT02450578" TargetMode="External"/><Relationship Id="rId78" Type="http://schemas.openxmlformats.org/officeDocument/2006/relationships/hyperlink" Target="https://clinicaltrials.gov/ct2/show/NCT01771848?term=NCT01771848&amp;draw=2&amp;rank=1" TargetMode="External"/><Relationship Id="rId99" Type="http://schemas.openxmlformats.org/officeDocument/2006/relationships/hyperlink" Target="https://pubmed.ncbi.nlm.nih.gov/1346766/" TargetMode="External"/><Relationship Id="rId101" Type="http://schemas.openxmlformats.org/officeDocument/2006/relationships/hyperlink" Target="https://pubmed.ncbi.nlm.nih.gov/8376823/" TargetMode="External"/><Relationship Id="rId122" Type="http://schemas.openxmlformats.org/officeDocument/2006/relationships/hyperlink" Target="https://clinicaltrials.gov/ct2/show/NCT02015091" TargetMode="External"/><Relationship Id="rId143" Type="http://schemas.openxmlformats.org/officeDocument/2006/relationships/hyperlink" Target="https://pubmed.ncbi.nlm.nih.gov/1524140/" TargetMode="External"/><Relationship Id="rId164" Type="http://schemas.openxmlformats.org/officeDocument/2006/relationships/hyperlink" Target="https://pubmed.ncbi.nlm.nih.gov/18462159/" TargetMode="External"/><Relationship Id="rId185" Type="http://schemas.openxmlformats.org/officeDocument/2006/relationships/hyperlink" Target="https://clinicaltrials.gov/ct2/show/NCT00757887?term=NCT00757887&amp;draw=2&amp;rank=1" TargetMode="External"/><Relationship Id="rId350" Type="http://schemas.openxmlformats.org/officeDocument/2006/relationships/hyperlink" Target="https://pubmed.ncbi.nlm.nih.gov/24519873/" TargetMode="External"/><Relationship Id="rId9" Type="http://schemas.openxmlformats.org/officeDocument/2006/relationships/hyperlink" Target="http://clinicaltrials.gov/show/NCT01895855)." TargetMode="External"/><Relationship Id="rId210" Type="http://schemas.openxmlformats.org/officeDocument/2006/relationships/hyperlink" Target="https://pubmed.ncbi.nlm.nih.gov/6415182/" TargetMode="External"/><Relationship Id="rId26" Type="http://schemas.openxmlformats.org/officeDocument/2006/relationships/hyperlink" Target="https://clinicaltrials.gov/ct2/show/NCT01609257?term=NCT01609257&amp;draw=2&amp;rank=1" TargetMode="External"/><Relationship Id="rId231" Type="http://schemas.openxmlformats.org/officeDocument/2006/relationships/hyperlink" Target="http://clinicaltrials.gov/" TargetMode="External"/><Relationship Id="rId252" Type="http://schemas.openxmlformats.org/officeDocument/2006/relationships/hyperlink" Target="https://pubmed.ncbi.nlm.nih.gov/25671106/" TargetMode="External"/><Relationship Id="rId273" Type="http://schemas.openxmlformats.org/officeDocument/2006/relationships/hyperlink" Target="https://pubmed.ncbi.nlm.nih.gov/3078739/" TargetMode="External"/><Relationship Id="rId294" Type="http://schemas.openxmlformats.org/officeDocument/2006/relationships/hyperlink" Target="https://pubmed.ncbi.nlm.nih.gov/27089205/" TargetMode="External"/><Relationship Id="rId308" Type="http://schemas.openxmlformats.org/officeDocument/2006/relationships/hyperlink" Target="https://pubmed.ncbi.nlm.nih.gov/27094330/" TargetMode="External"/><Relationship Id="rId329" Type="http://schemas.openxmlformats.org/officeDocument/2006/relationships/hyperlink" Target="https://pubmed.ncbi.nlm.nih.gov/28176804/" TargetMode="External"/><Relationship Id="rId47" Type="http://schemas.openxmlformats.org/officeDocument/2006/relationships/hyperlink" Target="https://clinicaltrials.gov/ct2/show/NCT03502291?term=rylance&amp;cond=Streptococcus+Pneumonia&amp;draw=2&amp;rank=1" TargetMode="External"/><Relationship Id="rId68" Type="http://schemas.openxmlformats.org/officeDocument/2006/relationships/hyperlink" Target="https://clinicaltrials.gov/ct2/show/NCT00890760?term=NCT00890760&amp;draw=2&amp;rank=1" TargetMode="External"/><Relationship Id="rId89" Type="http://schemas.openxmlformats.org/officeDocument/2006/relationships/hyperlink" Target="https://clinicaltrials.gov/ct2/show/NCT00442377?term=NCT00442377&amp;draw=2&amp;rank=1" TargetMode="External"/><Relationship Id="rId112" Type="http://schemas.openxmlformats.org/officeDocument/2006/relationships/hyperlink" Target="https://clinicaltrials.gov/ct2/show/NCT02015091" TargetMode="External"/><Relationship Id="rId133" Type="http://schemas.openxmlformats.org/officeDocument/2006/relationships/hyperlink" Target="https://pubmed.ncbi.nlm.nih.gov/28223498/" TargetMode="External"/><Relationship Id="rId154" Type="http://schemas.openxmlformats.org/officeDocument/2006/relationships/hyperlink" Target="https://pubmed.ncbi.nlm.nih.gov/11179317/" TargetMode="External"/><Relationship Id="rId175" Type="http://schemas.openxmlformats.org/officeDocument/2006/relationships/hyperlink" Target="https://pubmed.ncbi.nlm.nih.gov/11179379/" TargetMode="External"/><Relationship Id="rId340" Type="http://schemas.openxmlformats.org/officeDocument/2006/relationships/hyperlink" Target="https://pubmed.ncbi.nlm.nih.gov/28363637/" TargetMode="External"/><Relationship Id="rId196" Type="http://schemas.openxmlformats.org/officeDocument/2006/relationships/hyperlink" Target="https://pubmed.ncbi.nlm.nih.gov/7769295/" TargetMode="External"/><Relationship Id="rId200" Type="http://schemas.openxmlformats.org/officeDocument/2006/relationships/hyperlink" Target="https://pubmed.ncbi.nlm.nih.gov/9200634/" TargetMode="External"/><Relationship Id="rId16" Type="http://schemas.openxmlformats.org/officeDocument/2006/relationships/hyperlink" Target="https://clinicaltrials.gov/ct2/show/NCT03257072?term=NCT03257072&amp;draw=2&amp;rank=1" TargetMode="External"/><Relationship Id="rId221" Type="http://schemas.openxmlformats.org/officeDocument/2006/relationships/hyperlink" Target="https://pubmed.ncbi.nlm.nih.gov/25070995/" TargetMode="External"/><Relationship Id="rId242" Type="http://schemas.openxmlformats.org/officeDocument/2006/relationships/hyperlink" Target="https://pubmed.ncbi.nlm.nih.gov/16430195/" TargetMode="External"/><Relationship Id="rId263" Type="http://schemas.openxmlformats.org/officeDocument/2006/relationships/hyperlink" Target="https://pubmed.ncbi.nlm.nih.gov/25814628/" TargetMode="External"/><Relationship Id="rId284" Type="http://schemas.openxmlformats.org/officeDocument/2006/relationships/hyperlink" Target="https://pubmed.ncbi.nlm.nih.gov/11170976/" TargetMode="External"/><Relationship Id="rId319" Type="http://schemas.openxmlformats.org/officeDocument/2006/relationships/hyperlink" Target="https://pubmed.ncbi.nlm.nih.gov/27056954/" TargetMode="External"/><Relationship Id="rId37" Type="http://schemas.openxmlformats.org/officeDocument/2006/relationships/hyperlink" Target="https://clinicaltrials.gov/ct2/show/NCT03258502?term=NCT03258502&amp;draw=2&amp;rank=1" TargetMode="External"/><Relationship Id="rId58" Type="http://schemas.openxmlformats.org/officeDocument/2006/relationships/hyperlink" Target="https://clinicaltrials.gov/ct2/show/NCT02324751?term=NCT02324751&amp;draw=2&amp;rank=1" TargetMode="External"/><Relationship Id="rId79" Type="http://schemas.openxmlformats.org/officeDocument/2006/relationships/hyperlink" Target="http://clinicaltrials.gov/" TargetMode="External"/><Relationship Id="rId102" Type="http://schemas.openxmlformats.org/officeDocument/2006/relationships/hyperlink" Target="https://pubmed.ncbi.nlm.nih.gov/21903775/" TargetMode="External"/><Relationship Id="rId123" Type="http://schemas.openxmlformats.org/officeDocument/2006/relationships/hyperlink" Target="https://pubmed.ncbi.nlm.nih.gov/27158907/" TargetMode="External"/><Relationship Id="rId144" Type="http://schemas.openxmlformats.org/officeDocument/2006/relationships/hyperlink" Target="https://pubmed.ncbi.nlm.nih.gov/1524140/" TargetMode="External"/><Relationship Id="rId330" Type="http://schemas.openxmlformats.org/officeDocument/2006/relationships/hyperlink" Target="https://clinicaltrials.gov/ct2/show/NCT02389348" TargetMode="External"/><Relationship Id="rId90" Type="http://schemas.openxmlformats.org/officeDocument/2006/relationships/hyperlink" Target="https://clinicaltrials.gov/ct2/show/NCT00442377?term=NCT00442377&amp;draw=2&amp;rank=1" TargetMode="External"/><Relationship Id="rId165" Type="http://schemas.openxmlformats.org/officeDocument/2006/relationships/hyperlink" Target="https://pubmed.ncbi.nlm.nih.gov/9652440/" TargetMode="External"/><Relationship Id="rId186" Type="http://schemas.openxmlformats.org/officeDocument/2006/relationships/hyperlink" Target="https://pubmed.ncbi.nlm.nih.gov/21514658/" TargetMode="External"/><Relationship Id="rId351" Type="http://schemas.openxmlformats.org/officeDocument/2006/relationships/hyperlink" Target="https://pubmed.ncbi.nlm.nih.gov/24519873/" TargetMode="External"/><Relationship Id="rId211" Type="http://schemas.openxmlformats.org/officeDocument/2006/relationships/hyperlink" Target="https://pubmed.ncbi.nlm.nih.gov/7251144/" TargetMode="External"/><Relationship Id="rId232" Type="http://schemas.openxmlformats.org/officeDocument/2006/relationships/hyperlink" Target="https://pubmed.ncbi.nlm.nih.gov/27760143/" TargetMode="External"/><Relationship Id="rId253" Type="http://schemas.openxmlformats.org/officeDocument/2006/relationships/hyperlink" Target="https://pubmed.ncbi.nlm.nih.gov/25248819/" TargetMode="External"/><Relationship Id="rId274" Type="http://schemas.openxmlformats.org/officeDocument/2006/relationships/hyperlink" Target="https://pubmed.ncbi.nlm.nih.gov/19400893/" TargetMode="External"/><Relationship Id="rId295" Type="http://schemas.openxmlformats.org/officeDocument/2006/relationships/hyperlink" Target="https://clinicaltrials.gov/ct2/show/NCT02021968" TargetMode="External"/><Relationship Id="rId309" Type="http://schemas.openxmlformats.org/officeDocument/2006/relationships/hyperlink" Target="https://clinicaltrials.gov/ct2/show/NCT01971255" TargetMode="External"/><Relationship Id="rId27" Type="http://schemas.openxmlformats.org/officeDocument/2006/relationships/hyperlink" Target="https://clinicaltrials.gov/ct2/show/NCT01236612?term=NCT01236612&amp;draw=2&amp;rank=1" TargetMode="External"/><Relationship Id="rId48" Type="http://schemas.openxmlformats.org/officeDocument/2006/relationships/hyperlink" Target="https://clinicaltrials.gov/ct2/show/NCT03502291?term=rylance&amp;cond=Streptococcus+Pneumonia&amp;draw=2&amp;rank=1" TargetMode="External"/><Relationship Id="rId69" Type="http://schemas.openxmlformats.org/officeDocument/2006/relationships/hyperlink" Target="https://clinicaltrials.gov/ct2/show/NCT00993083?term=NCT00993083&amp;draw=2&amp;rank=1" TargetMode="External"/><Relationship Id="rId113" Type="http://schemas.openxmlformats.org/officeDocument/2006/relationships/hyperlink" Target="https://pubmed.ncbi.nlm.nih.gov/27158907/" TargetMode="External"/><Relationship Id="rId134" Type="http://schemas.openxmlformats.org/officeDocument/2006/relationships/hyperlink" Target="https://clinicaltrials.gov/ct2/show/NCT02015091" TargetMode="External"/><Relationship Id="rId320" Type="http://schemas.openxmlformats.org/officeDocument/2006/relationships/hyperlink" Target="https://pubmed.ncbi.nlm.nih.gov/27403678/" TargetMode="External"/><Relationship Id="rId80" Type="http://schemas.openxmlformats.org/officeDocument/2006/relationships/hyperlink" Target="https://clinicaltrials.gov/ct2/show/NCT01710111?term=NCT01710111&amp;draw=2&amp;rank=1" TargetMode="External"/><Relationship Id="rId155" Type="http://schemas.openxmlformats.org/officeDocument/2006/relationships/hyperlink" Target="https://pubmed.ncbi.nlm.nih.gov/11854222/" TargetMode="External"/><Relationship Id="rId176" Type="http://schemas.openxmlformats.org/officeDocument/2006/relationships/hyperlink" Target="https://pubmed.ncbi.nlm.nih.gov/11179379/" TargetMode="External"/><Relationship Id="rId197" Type="http://schemas.openxmlformats.org/officeDocument/2006/relationships/hyperlink" Target="https://pubmed.ncbi.nlm.nih.gov/7769295/" TargetMode="External"/><Relationship Id="rId341" Type="http://schemas.openxmlformats.org/officeDocument/2006/relationships/hyperlink" Target="https://clinicaltrials.gov/ct2/show/NCT02450578" TargetMode="External"/><Relationship Id="rId201" Type="http://schemas.openxmlformats.org/officeDocument/2006/relationships/hyperlink" Target="https://pubmed.ncbi.nlm.nih.gov/9593010/" TargetMode="External"/><Relationship Id="rId222" Type="http://schemas.openxmlformats.org/officeDocument/2006/relationships/hyperlink" Target="https://clinicaltrials.gov/ct2/show/NCT01540903" TargetMode="External"/><Relationship Id="rId243" Type="http://schemas.openxmlformats.org/officeDocument/2006/relationships/hyperlink" Target="https://pubmed.ncbi.nlm.nih.gov/16430195/" TargetMode="External"/><Relationship Id="rId264" Type="http://schemas.openxmlformats.org/officeDocument/2006/relationships/hyperlink" Target="https://clinicaltrials.gov/ct2/show/NCT02249598?term=NCT02249598&amp;draw=2&amp;rank=1" TargetMode="External"/><Relationship Id="rId285" Type="http://schemas.openxmlformats.org/officeDocument/2006/relationships/hyperlink" Target="https://pubmed.ncbi.nlm.nih.gov/25730467/" TargetMode="External"/><Relationship Id="rId17" Type="http://schemas.openxmlformats.org/officeDocument/2006/relationships/hyperlink" Target="https://clinicaltrials.gov/ct2/show/NCT02755324?term=NCT02755324&amp;draw=2&amp;rank=1" TargetMode="External"/><Relationship Id="rId38" Type="http://schemas.openxmlformats.org/officeDocument/2006/relationships/hyperlink" Target="https://clinicaltrials.gov/ct2/show/NCT03257072?term=NCT03257072&amp;draw=2&amp;rank=1" TargetMode="External"/><Relationship Id="rId59" Type="http://schemas.openxmlformats.org/officeDocument/2006/relationships/hyperlink" Target="http://clinicaltrials.gov/" TargetMode="External"/><Relationship Id="rId103" Type="http://schemas.openxmlformats.org/officeDocument/2006/relationships/hyperlink" Target="https://pubmed.ncbi.nlm.nih.gov/21903775/" TargetMode="External"/><Relationship Id="rId124" Type="http://schemas.openxmlformats.org/officeDocument/2006/relationships/hyperlink" Target="https://clinicaltrials.gov/ct2/show/NCT02015091" TargetMode="External"/><Relationship Id="rId310" Type="http://schemas.openxmlformats.org/officeDocument/2006/relationships/hyperlink" Target="https://pubmed.ncbi.nlm.nih.gov/22396610/" TargetMode="External"/><Relationship Id="rId70" Type="http://schemas.openxmlformats.org/officeDocument/2006/relationships/hyperlink" Target="https://clinicaltrials.gov/ct2/show/NCT03278808?term=NCT03278808&amp;draw=2&amp;rank=1" TargetMode="External"/><Relationship Id="rId91" Type="http://schemas.openxmlformats.org/officeDocument/2006/relationships/hyperlink" Target="https://clinicaltrials.gov/ct2/show/NCT02783833?term=NCT02783833&amp;draw=2&amp;rank=1" TargetMode="External"/><Relationship Id="rId145" Type="http://schemas.openxmlformats.org/officeDocument/2006/relationships/hyperlink" Target="https://pubmed.ncbi.nlm.nih.gov/1524140/" TargetMode="External"/><Relationship Id="rId166" Type="http://schemas.openxmlformats.org/officeDocument/2006/relationships/hyperlink" Target="https://pubmed.ncbi.nlm.nih.gov/8169411/" TargetMode="External"/><Relationship Id="rId187" Type="http://schemas.openxmlformats.org/officeDocument/2006/relationships/hyperlink" Target="https://clinicaltrials.gov/ct2/show/NCT00757887?term=NCT00757887&amp;draw=2&amp;rank=1" TargetMode="External"/><Relationship Id="rId331" Type="http://schemas.openxmlformats.org/officeDocument/2006/relationships/hyperlink" Target="https://pubmed.ncbi.nlm.nih.gov/14573692/" TargetMode="External"/><Relationship Id="rId352" Type="http://schemas.openxmlformats.org/officeDocument/2006/relationships/hyperlink" Target="https://pubmed.ncbi.nlm.nih.gov/22286307/" TargetMode="External"/><Relationship Id="rId1" Type="http://schemas.openxmlformats.org/officeDocument/2006/relationships/hyperlink" Target="http://clinicaltrials.gov/" TargetMode="External"/><Relationship Id="rId212" Type="http://schemas.openxmlformats.org/officeDocument/2006/relationships/hyperlink" Target="https://pubmed.ncbi.nlm.nih.gov/7251144/" TargetMode="External"/><Relationship Id="rId233" Type="http://schemas.openxmlformats.org/officeDocument/2006/relationships/hyperlink" Target="https://clinicaltrials.gov/ct2/show/NCT01082341" TargetMode="External"/><Relationship Id="rId254" Type="http://schemas.openxmlformats.org/officeDocument/2006/relationships/hyperlink" Target="https://clinicaltrials.gov/ct2/show/NCT01661933?term=AU%2F3%2FBOBD012&amp;draw=2&amp;rank=1" TargetMode="External"/><Relationship Id="rId28" Type="http://schemas.openxmlformats.org/officeDocument/2006/relationships/hyperlink" Target="https://clinicaltrials.gov/ct2/show/NCT01236612?term=NCT01236612&amp;draw=2&amp;rank=1" TargetMode="External"/><Relationship Id="rId49" Type="http://schemas.openxmlformats.org/officeDocument/2006/relationships/hyperlink" Target="https://pubmed.ncbi.nlm.nih.gov/32035708/" TargetMode="External"/><Relationship Id="rId114" Type="http://schemas.openxmlformats.org/officeDocument/2006/relationships/hyperlink" Target="https://clinicaltrials.gov/ct2/show/NCT02015091" TargetMode="External"/><Relationship Id="rId275" Type="http://schemas.openxmlformats.org/officeDocument/2006/relationships/hyperlink" Target="https://pubmed.ncbi.nlm.nih.gov/22927452/" TargetMode="External"/><Relationship Id="rId296" Type="http://schemas.openxmlformats.org/officeDocument/2006/relationships/hyperlink" Target="https://pubmed.ncbi.nlm.nih.gov/12692541/" TargetMode="External"/><Relationship Id="rId300" Type="http://schemas.openxmlformats.org/officeDocument/2006/relationships/hyperlink" Target="https://pubmed.ncbi.nlm.nih.gov/23024024/" TargetMode="External"/><Relationship Id="rId60" Type="http://schemas.openxmlformats.org/officeDocument/2006/relationships/hyperlink" Target="https://clinicaltrials.gov/ct2/show/NCT02522754?term=NCT02522754&amp;draw=2&amp;rank=1" TargetMode="External"/><Relationship Id="rId81" Type="http://schemas.openxmlformats.org/officeDocument/2006/relationships/hyperlink" Target="https://clinicaltrials.gov/ct2/show/NCT02044198?term=NCT02044198&amp;draw=2&amp;rank=1" TargetMode="External"/><Relationship Id="rId135" Type="http://schemas.openxmlformats.org/officeDocument/2006/relationships/hyperlink" Target="https://pubmed.ncbi.nlm.nih.gov/28223498/" TargetMode="External"/><Relationship Id="rId156" Type="http://schemas.openxmlformats.org/officeDocument/2006/relationships/hyperlink" Target="https://pubmed.ncbi.nlm.nih.gov/11035757/" TargetMode="External"/><Relationship Id="rId177" Type="http://schemas.openxmlformats.org/officeDocument/2006/relationships/hyperlink" Target="https://pubmed.ncbi.nlm.nih.gov/28637923/" TargetMode="External"/><Relationship Id="rId198" Type="http://schemas.openxmlformats.org/officeDocument/2006/relationships/hyperlink" Target="https://pubmed.ncbi.nlm.nih.gov/2240371/" TargetMode="External"/><Relationship Id="rId321" Type="http://schemas.openxmlformats.org/officeDocument/2006/relationships/hyperlink" Target="https://pubmed.ncbi.nlm.nih.gov/27403678/" TargetMode="External"/><Relationship Id="rId342" Type="http://schemas.openxmlformats.org/officeDocument/2006/relationships/hyperlink" Target="https://pubmed.ncbi.nlm.nih.gov/28363637/" TargetMode="External"/><Relationship Id="rId202" Type="http://schemas.openxmlformats.org/officeDocument/2006/relationships/hyperlink" Target="https://pubmed.ncbi.nlm.nih.gov/12134249/" TargetMode="External"/><Relationship Id="rId223" Type="http://schemas.openxmlformats.org/officeDocument/2006/relationships/hyperlink" Target="https://pubmed.ncbi.nlm.nih.gov/25070995/" TargetMode="External"/><Relationship Id="rId244" Type="http://schemas.openxmlformats.org/officeDocument/2006/relationships/hyperlink" Target="https://pubmed.ncbi.nlm.nih.gov/16430195/" TargetMode="External"/><Relationship Id="rId18" Type="http://schemas.openxmlformats.org/officeDocument/2006/relationships/hyperlink" Target="https://clinicaltrials.gov/ct2/show/NCT03220048?term=NCT03220048.&amp;draw=2&amp;rank=1" TargetMode="External"/><Relationship Id="rId39" Type="http://schemas.openxmlformats.org/officeDocument/2006/relationships/hyperlink" Target="https://clinicaltrials.gov/ct2/show/NCT02525055?term=NCT02525055&amp;draw=2&amp;rank=1" TargetMode="External"/><Relationship Id="rId265" Type="http://schemas.openxmlformats.org/officeDocument/2006/relationships/hyperlink" Target="https://pubmed.ncbi.nlm.nih.gov/22052893/" TargetMode="External"/><Relationship Id="rId286" Type="http://schemas.openxmlformats.org/officeDocument/2006/relationships/hyperlink" Target="https://pubmed.ncbi.nlm.nih.gov/19368793/" TargetMode="External"/><Relationship Id="rId50" Type="http://schemas.openxmlformats.org/officeDocument/2006/relationships/hyperlink" Target="https://clinicaltrials.gov/ct2/show/NCT03502291?term=rylance&amp;cond=Streptococcus+Pneumonia&amp;draw=2&amp;rank=1" TargetMode="External"/><Relationship Id="rId104" Type="http://schemas.openxmlformats.org/officeDocument/2006/relationships/hyperlink" Target="https://pubmed.ncbi.nlm.nih.gov/2439920/" TargetMode="External"/><Relationship Id="rId125" Type="http://schemas.openxmlformats.org/officeDocument/2006/relationships/hyperlink" Target="https://pubmed.ncbi.nlm.nih.gov/26416102/" TargetMode="External"/><Relationship Id="rId146" Type="http://schemas.openxmlformats.org/officeDocument/2006/relationships/hyperlink" Target="https://pubmed.ncbi.nlm.nih.gov/16586388/" TargetMode="External"/><Relationship Id="rId167" Type="http://schemas.openxmlformats.org/officeDocument/2006/relationships/hyperlink" Target="https://pubmed.ncbi.nlm.nih.gov/8169411/" TargetMode="External"/><Relationship Id="rId188" Type="http://schemas.openxmlformats.org/officeDocument/2006/relationships/hyperlink" Target="https://pubmed.ncbi.nlm.nih.gov/2884410/" TargetMode="External"/><Relationship Id="rId311" Type="http://schemas.openxmlformats.org/officeDocument/2006/relationships/hyperlink" Target="https://pubmed.ncbi.nlm.nih.gov/22396610/" TargetMode="External"/><Relationship Id="rId332" Type="http://schemas.openxmlformats.org/officeDocument/2006/relationships/hyperlink" Target="https://pubmed.ncbi.nlm.nih.gov/14573692/" TargetMode="External"/><Relationship Id="rId353" Type="http://schemas.openxmlformats.org/officeDocument/2006/relationships/hyperlink" Target="https://pubmed.ncbi.nlm.nih.gov/22286307/" TargetMode="External"/><Relationship Id="rId71" Type="http://schemas.openxmlformats.org/officeDocument/2006/relationships/hyperlink" Target="https://clinicaltrials.gov/ct2/show/NCT00744133?term=NCT00744133&amp;draw=2&amp;rank=1" TargetMode="External"/><Relationship Id="rId92" Type="http://schemas.openxmlformats.org/officeDocument/2006/relationships/hyperlink" Target="https://clinicaltrials.gov/ct2/show/NCT02646371?term=NCT02646371&amp;draw=2&amp;rank=1" TargetMode="External"/><Relationship Id="rId213" Type="http://schemas.openxmlformats.org/officeDocument/2006/relationships/hyperlink" Target="https://pubmed.ncbi.nlm.nih.gov/7251144/" TargetMode="External"/><Relationship Id="rId234" Type="http://schemas.openxmlformats.org/officeDocument/2006/relationships/hyperlink" Target="https://pubmed.ncbi.nlm.nih.gov/3511753/" TargetMode="External"/><Relationship Id="rId2" Type="http://schemas.openxmlformats.org/officeDocument/2006/relationships/hyperlink" Target="https://clinicaltrials.gov/ct2/show/NCT01895855?term=NCT01895855&amp;draw=2&amp;rank=1" TargetMode="External"/><Relationship Id="rId29" Type="http://schemas.openxmlformats.org/officeDocument/2006/relationships/hyperlink" Target="https://clinicaltrials.gov/ct2/show/NCT01218893?term=NCT01218893&amp;draw=2&amp;rank=1" TargetMode="External"/><Relationship Id="rId255" Type="http://schemas.openxmlformats.org/officeDocument/2006/relationships/hyperlink" Target="https://pubmed.ncbi.nlm.nih.gov/16344586/" TargetMode="External"/><Relationship Id="rId276" Type="http://schemas.openxmlformats.org/officeDocument/2006/relationships/hyperlink" Target="https://clinicaltrials.gov/ct2/show/NCT01322503?term=NCT01322503&amp;draw=2&amp;rank=1" TargetMode="External"/><Relationship Id="rId297" Type="http://schemas.openxmlformats.org/officeDocument/2006/relationships/hyperlink" Target="https://pubmed.ncbi.nlm.nih.gov/23024024/" TargetMode="External"/><Relationship Id="rId40" Type="http://schemas.openxmlformats.org/officeDocument/2006/relationships/hyperlink" Target="https://clinicaltrials.gov/ct2/show/NCT02522832?term=NCT02522832&amp;draw=2&amp;rank=1" TargetMode="External"/><Relationship Id="rId115" Type="http://schemas.openxmlformats.org/officeDocument/2006/relationships/hyperlink" Target="https://pubmed.ncbi.nlm.nih.gov/27158907/" TargetMode="External"/><Relationship Id="rId136" Type="http://schemas.openxmlformats.org/officeDocument/2006/relationships/hyperlink" Target="https://clinicaltrials.gov/ct2/show/NCT02015091" TargetMode="External"/><Relationship Id="rId157" Type="http://schemas.openxmlformats.org/officeDocument/2006/relationships/hyperlink" Target="https://pubmed.ncbi.nlm.nih.gov/16622201/" TargetMode="External"/><Relationship Id="rId178" Type="http://schemas.openxmlformats.org/officeDocument/2006/relationships/hyperlink" Target="https://pubmed.ncbi.nlm.nih.gov/25396417/" TargetMode="External"/><Relationship Id="rId301" Type="http://schemas.openxmlformats.org/officeDocument/2006/relationships/hyperlink" Target="https://pubmed.ncbi.nlm.nih.gov/24468542/" TargetMode="External"/><Relationship Id="rId322" Type="http://schemas.openxmlformats.org/officeDocument/2006/relationships/hyperlink" Target="https://pubmed.ncbi.nlm.nih.gov/27403678/" TargetMode="External"/><Relationship Id="rId343" Type="http://schemas.openxmlformats.org/officeDocument/2006/relationships/hyperlink" Target="https://clinicaltrials.gov/ct2/show/NCT02450578" TargetMode="External"/><Relationship Id="rId61" Type="http://schemas.openxmlformats.org/officeDocument/2006/relationships/hyperlink" Target="https://clinicaltrials.gov/ct2/show/NCT02149550?term=NCT02149550&amp;draw=2&amp;rank=1" TargetMode="External"/><Relationship Id="rId82" Type="http://schemas.openxmlformats.org/officeDocument/2006/relationships/hyperlink" Target="https://clinicaltrials.gov/ct2/show/NCT01080716?term=NCT01080716&amp;draw=2&amp;rank=1" TargetMode="External"/><Relationship Id="rId199" Type="http://schemas.openxmlformats.org/officeDocument/2006/relationships/hyperlink" Target="https://pubmed.ncbi.nlm.nih.gov/8291822/" TargetMode="External"/><Relationship Id="rId203" Type="http://schemas.openxmlformats.org/officeDocument/2006/relationships/hyperlink" Target="https://pubmed.ncbi.nlm.nih.gov/18768794/" TargetMode="External"/><Relationship Id="rId19" Type="http://schemas.openxmlformats.org/officeDocument/2006/relationships/hyperlink" Target="https://clinicaltrials.gov/ct2/show/NCT02387606?term=NCT02387606&amp;draw=2&amp;rank=1" TargetMode="External"/><Relationship Id="rId224" Type="http://schemas.openxmlformats.org/officeDocument/2006/relationships/hyperlink" Target="https://clinicaltrials.gov/ct2/show/NCT01540903" TargetMode="External"/><Relationship Id="rId245" Type="http://schemas.openxmlformats.org/officeDocument/2006/relationships/hyperlink" Target="https://pubmed.ncbi.nlm.nih.gov/16430195/" TargetMode="External"/><Relationship Id="rId266" Type="http://schemas.openxmlformats.org/officeDocument/2006/relationships/hyperlink" Target="https://clinicaltrials.gov/ct2/show/NCT00984256?term=NCT00984256&amp;draw=2&amp;rank=1" TargetMode="External"/><Relationship Id="rId287" Type="http://schemas.openxmlformats.org/officeDocument/2006/relationships/hyperlink" Target="https://pubmed.ncbi.nlm.nih.gov/19368793/" TargetMode="External"/><Relationship Id="rId30" Type="http://schemas.openxmlformats.org/officeDocument/2006/relationships/hyperlink" Target="https://clinicaltrials.gov/ct2/show/NCT01218893?term=NCT01218893&amp;draw=2&amp;rank=1" TargetMode="External"/><Relationship Id="rId105" Type="http://schemas.openxmlformats.org/officeDocument/2006/relationships/hyperlink" Target="https://pubmed.ncbi.nlm.nih.gov/2439920/" TargetMode="External"/><Relationship Id="rId126" Type="http://schemas.openxmlformats.org/officeDocument/2006/relationships/hyperlink" Target="https://clinicaltrials.gov/ct2/show/NCT01546389?term=NCT01546389&amp;draw=2&amp;rank=1" TargetMode="External"/><Relationship Id="rId147" Type="http://schemas.openxmlformats.org/officeDocument/2006/relationships/hyperlink" Target="https://pubmed.ncbi.nlm.nih.gov/9815220/" TargetMode="External"/><Relationship Id="rId168" Type="http://schemas.openxmlformats.org/officeDocument/2006/relationships/hyperlink" Target="https://pubmed.ncbi.nlm.nih.gov/14638812/" TargetMode="External"/><Relationship Id="rId312" Type="http://schemas.openxmlformats.org/officeDocument/2006/relationships/hyperlink" Target="https://pubmed.ncbi.nlm.nih.gov/22396610/" TargetMode="External"/><Relationship Id="rId333" Type="http://schemas.openxmlformats.org/officeDocument/2006/relationships/hyperlink" Target="https://pubmed.ncbi.nlm.nih.gov/14573692/" TargetMode="External"/><Relationship Id="rId354" Type="http://schemas.openxmlformats.org/officeDocument/2006/relationships/hyperlink" Target="https://pubmed.ncbi.nlm.nih.gov/22286307/" TargetMode="External"/><Relationship Id="rId51" Type="http://schemas.openxmlformats.org/officeDocument/2006/relationships/hyperlink" Target="https://clinicaltrials.gov/ct2/show/NCT01194180?term=NCT01194180&amp;draw=2&amp;rank=1" TargetMode="External"/><Relationship Id="rId72" Type="http://schemas.openxmlformats.org/officeDocument/2006/relationships/hyperlink" Target="https://pubmed.ncbi.nlm.nih.gov/23874828" TargetMode="External"/><Relationship Id="rId93" Type="http://schemas.openxmlformats.org/officeDocument/2006/relationships/hyperlink" Target="https://clinicaltrials.gov/ct2/show/NCT03527173?term=NCT03527173&amp;draw=2&amp;rank=1" TargetMode="External"/><Relationship Id="rId189" Type="http://schemas.openxmlformats.org/officeDocument/2006/relationships/hyperlink" Target="https://pubmed.ncbi.nlm.nih.gov/8357078/" TargetMode="External"/><Relationship Id="rId3" Type="http://schemas.openxmlformats.org/officeDocument/2006/relationships/hyperlink" Target="http://clinicaltrials.gov/show/NCT01895855)." TargetMode="External"/><Relationship Id="rId214" Type="http://schemas.openxmlformats.org/officeDocument/2006/relationships/hyperlink" Target="https://pubmed.ncbi.nlm.nih.gov/18826818/" TargetMode="External"/><Relationship Id="rId235" Type="http://schemas.openxmlformats.org/officeDocument/2006/relationships/hyperlink" Target="https://pubmed.ncbi.nlm.nih.gov/30561539/" TargetMode="External"/><Relationship Id="rId256" Type="http://schemas.openxmlformats.org/officeDocument/2006/relationships/hyperlink" Target="https://pubmed.ncbi.nlm.nih.gov/16344586/" TargetMode="External"/><Relationship Id="rId277" Type="http://schemas.openxmlformats.org/officeDocument/2006/relationships/hyperlink" Target="https://pubmed.ncbi.nlm.nih.gov/25921341/" TargetMode="External"/><Relationship Id="rId298" Type="http://schemas.openxmlformats.org/officeDocument/2006/relationships/hyperlink" Target="https://pubmed.ncbi.nlm.nih.gov/23024024/" TargetMode="External"/><Relationship Id="rId116" Type="http://schemas.openxmlformats.org/officeDocument/2006/relationships/hyperlink" Target="https://clinicaltrials.gov/ct2/show/NCT02015091" TargetMode="External"/><Relationship Id="rId137" Type="http://schemas.openxmlformats.org/officeDocument/2006/relationships/hyperlink" Target="https://pubmed.ncbi.nlm.nih.gov/10377124/" TargetMode="External"/><Relationship Id="rId158" Type="http://schemas.openxmlformats.org/officeDocument/2006/relationships/hyperlink" Target="https://pubmed.ncbi.nlm.nih.gov/12444138/" TargetMode="External"/><Relationship Id="rId302" Type="http://schemas.openxmlformats.org/officeDocument/2006/relationships/hyperlink" Target="https://pubmed.ncbi.nlm.nih.gov/28363636/" TargetMode="External"/><Relationship Id="rId323" Type="http://schemas.openxmlformats.org/officeDocument/2006/relationships/hyperlink" Target="https://pubmed.ncbi.nlm.nih.gov/25281755/" TargetMode="External"/><Relationship Id="rId344" Type="http://schemas.openxmlformats.org/officeDocument/2006/relationships/hyperlink" Target="https://pubmed.ncbi.nlm.nih.gov/28363637/" TargetMode="External"/><Relationship Id="rId20" Type="http://schemas.openxmlformats.org/officeDocument/2006/relationships/hyperlink" Target="https://clinicaltrials.gov/ct2/show/NCT02692963?term=NCT02692963&amp;draw=2&amp;rank=1" TargetMode="External"/><Relationship Id="rId41" Type="http://schemas.openxmlformats.org/officeDocument/2006/relationships/hyperlink" Target="http://clinicaltrials.gov/" TargetMode="External"/><Relationship Id="rId62" Type="http://schemas.openxmlformats.org/officeDocument/2006/relationships/hyperlink" Target="https://clinicaltrials.gov/ct2/show/NCT00744133?term=NCT00744133&amp;draw=2&amp;rank=1" TargetMode="External"/><Relationship Id="rId83" Type="http://schemas.openxmlformats.org/officeDocument/2006/relationships/hyperlink" Target="https://clinicaltrials.gov/ct2/show/NCT01080716?term=NCT01080716&amp;draw=2&amp;rank=1" TargetMode="External"/><Relationship Id="rId179" Type="http://schemas.openxmlformats.org/officeDocument/2006/relationships/hyperlink" Target="https://clinicaltrials.gov/ct2/show/NCT01422954" TargetMode="External"/><Relationship Id="rId190" Type="http://schemas.openxmlformats.org/officeDocument/2006/relationships/hyperlink" Target="https://pubmed.ncbi.nlm.nih.gov/8357078/" TargetMode="External"/><Relationship Id="rId204" Type="http://schemas.openxmlformats.org/officeDocument/2006/relationships/hyperlink" Target="https://pubmed.ncbi.nlm.nih.gov/3343522/" TargetMode="External"/><Relationship Id="rId225" Type="http://schemas.openxmlformats.org/officeDocument/2006/relationships/hyperlink" Target="https://pubmed.ncbi.nlm.nih.gov/1621412/" TargetMode="External"/><Relationship Id="rId246" Type="http://schemas.openxmlformats.org/officeDocument/2006/relationships/hyperlink" Target="https://pubmed.ncbi.nlm.nih.gov/16430195/" TargetMode="External"/><Relationship Id="rId267" Type="http://schemas.openxmlformats.org/officeDocument/2006/relationships/hyperlink" Target="https://pubmed.ncbi.nlm.nih.gov/28158395/" TargetMode="External"/><Relationship Id="rId288" Type="http://schemas.openxmlformats.org/officeDocument/2006/relationships/hyperlink" Target="https://pubmed.ncbi.nlm.nih.gov/19368793/" TargetMode="External"/><Relationship Id="rId106" Type="http://schemas.openxmlformats.org/officeDocument/2006/relationships/hyperlink" Target="https://pubmed.ncbi.nlm.nih.gov/2094588/" TargetMode="External"/><Relationship Id="rId127" Type="http://schemas.openxmlformats.org/officeDocument/2006/relationships/hyperlink" Target="https://pubmed.ncbi.nlm.nih.gov/28223498/" TargetMode="External"/><Relationship Id="rId313" Type="http://schemas.openxmlformats.org/officeDocument/2006/relationships/hyperlink" Target="https://pubmed.ncbi.nlm.nih.gov/27579859/" TargetMode="External"/><Relationship Id="rId10" Type="http://schemas.openxmlformats.org/officeDocument/2006/relationships/hyperlink" Target="https://clinicaltrials.gov/ct2/show/NCT01895855?term=NCT01895855&amp;draw=2&amp;rank=1" TargetMode="External"/><Relationship Id="rId31" Type="http://schemas.openxmlformats.org/officeDocument/2006/relationships/hyperlink" Target="https://clinicaltrials.gov/ct2/show/NCT00844493?term=NCT00844493&amp;draw=2&amp;rank=1" TargetMode="External"/><Relationship Id="rId52" Type="http://schemas.openxmlformats.org/officeDocument/2006/relationships/hyperlink" Target="https://clinicaltrials.gov/ct2/show/NCT01739231?term=NCT01739231&amp;draw=2&amp;rank=1" TargetMode="External"/><Relationship Id="rId73" Type="http://schemas.openxmlformats.org/officeDocument/2006/relationships/hyperlink" Target="https://clinicaltrials.gov/ct2/show/NCT00744133?term=NCT00744133&amp;draw=2&amp;rank=1" TargetMode="External"/><Relationship Id="rId94" Type="http://schemas.openxmlformats.org/officeDocument/2006/relationships/hyperlink" Target="https://clinicaltrials.gov/ct2/show/NCT02739763?term=NCT02739763&amp;draw=2&amp;rank=1" TargetMode="External"/><Relationship Id="rId148" Type="http://schemas.openxmlformats.org/officeDocument/2006/relationships/hyperlink" Target="https://pubmed.ncbi.nlm.nih.gov/10191238/" TargetMode="External"/><Relationship Id="rId169" Type="http://schemas.openxmlformats.org/officeDocument/2006/relationships/hyperlink" Target="https://pubmed.ncbi.nlm.nih.gov/9607840/" TargetMode="External"/><Relationship Id="rId334" Type="http://schemas.openxmlformats.org/officeDocument/2006/relationships/hyperlink" Target="https://pubmed.ncbi.nlm.nih.gov/19390585/" TargetMode="External"/><Relationship Id="rId355" Type="http://schemas.openxmlformats.org/officeDocument/2006/relationships/hyperlink" Target="https://pubmed.ncbi.nlm.nih.gov/23715660/" TargetMode="External"/><Relationship Id="rId4" Type="http://schemas.openxmlformats.org/officeDocument/2006/relationships/hyperlink" Target="https://clinicaltrials.gov/ct2/show/NCT01895855?term=NCT01895855&amp;draw=2&amp;rank=1" TargetMode="External"/><Relationship Id="rId180" Type="http://schemas.openxmlformats.org/officeDocument/2006/relationships/hyperlink" Target="https://pubmed.ncbi.nlm.nih.gov/25396417/" TargetMode="External"/><Relationship Id="rId215" Type="http://schemas.openxmlformats.org/officeDocument/2006/relationships/hyperlink" Target="https://clinicaltrials.gov/ct2/show/NCT00138476?term=NCT00138476&amp;draw=2&amp;rank=1" TargetMode="External"/><Relationship Id="rId236" Type="http://schemas.openxmlformats.org/officeDocument/2006/relationships/hyperlink" Target="https://pubmed.ncbi.nlm.nih.gov/19861603/" TargetMode="External"/><Relationship Id="rId257" Type="http://schemas.openxmlformats.org/officeDocument/2006/relationships/hyperlink" Target="https://pubmed.ncbi.nlm.nih.gov/25814628/" TargetMode="External"/><Relationship Id="rId278" Type="http://schemas.openxmlformats.org/officeDocument/2006/relationships/hyperlink" Target="https://pubmed.ncbi.nlm.nih.gov/6352386/" TargetMode="External"/><Relationship Id="rId303" Type="http://schemas.openxmlformats.org/officeDocument/2006/relationships/hyperlink" Target="https://pubmed.ncbi.nlm.nih.gov/27624471/" TargetMode="External"/><Relationship Id="rId42" Type="http://schemas.openxmlformats.org/officeDocument/2006/relationships/hyperlink" Target="https://clinicaltrials.gov/ct2/show/NCT02192008?term=NCT02192008&amp;draw=2&amp;rank=1" TargetMode="External"/><Relationship Id="rId84" Type="http://schemas.openxmlformats.org/officeDocument/2006/relationships/hyperlink" Target="http://clinicaltrials.gov/" TargetMode="External"/><Relationship Id="rId138" Type="http://schemas.openxmlformats.org/officeDocument/2006/relationships/hyperlink" Target="https://pubmed.ncbi.nlm.nih.gov/4550416/" TargetMode="External"/><Relationship Id="rId345" Type="http://schemas.openxmlformats.org/officeDocument/2006/relationships/hyperlink" Target="https://clinicaltrials.gov/ct2/show/NCT02450578" TargetMode="External"/><Relationship Id="rId191" Type="http://schemas.openxmlformats.org/officeDocument/2006/relationships/hyperlink" Target="https://pubmed.ncbi.nlm.nih.gov/8357078/" TargetMode="External"/><Relationship Id="rId205" Type="http://schemas.openxmlformats.org/officeDocument/2006/relationships/hyperlink" Target="https://pubmed.ncbi.nlm.nih.gov/3343522/" TargetMode="External"/><Relationship Id="rId247" Type="http://schemas.openxmlformats.org/officeDocument/2006/relationships/hyperlink" Target="https://pubmed.ncbi.nlm.nih.gov/26919472/" TargetMode="External"/><Relationship Id="rId107" Type="http://schemas.openxmlformats.org/officeDocument/2006/relationships/hyperlink" Target="https://pubmed.ncbi.nlm.nih.gov/1951863/" TargetMode="External"/><Relationship Id="rId289" Type="http://schemas.openxmlformats.org/officeDocument/2006/relationships/hyperlink" Target="https://pubmed.ncbi.nlm.nih.gov/19368793/" TargetMode="External"/><Relationship Id="rId11" Type="http://schemas.openxmlformats.org/officeDocument/2006/relationships/hyperlink" Target="http://clinicaltrials.gov/show/NCT01895855)." TargetMode="External"/><Relationship Id="rId53" Type="http://schemas.openxmlformats.org/officeDocument/2006/relationships/hyperlink" Target="https://clinicaltrials.gov/ct2/show/NCT01739231?term=NCT01739231&amp;draw=2&amp;rank=1" TargetMode="External"/><Relationship Id="rId149" Type="http://schemas.openxmlformats.org/officeDocument/2006/relationships/hyperlink" Target="https://pubmed.ncbi.nlm.nih.gov/10191238/" TargetMode="External"/><Relationship Id="rId314" Type="http://schemas.openxmlformats.org/officeDocument/2006/relationships/hyperlink" Target="https://pubmed.ncbi.nlm.nih.gov/28199305/" TargetMode="External"/><Relationship Id="rId356" Type="http://schemas.openxmlformats.org/officeDocument/2006/relationships/hyperlink" Target="https://pubmed.ncbi.nlm.nih.gov/22496648/" TargetMode="External"/><Relationship Id="rId95" Type="http://schemas.openxmlformats.org/officeDocument/2006/relationships/hyperlink" Target="https://pubmed.ncbi.nlm.nih.gov/4583408/" TargetMode="External"/><Relationship Id="rId160" Type="http://schemas.openxmlformats.org/officeDocument/2006/relationships/hyperlink" Target="https://pubmed.ncbi.nlm.nih.gov/15271912/" TargetMode="External"/><Relationship Id="rId216" Type="http://schemas.openxmlformats.org/officeDocument/2006/relationships/hyperlink" Target="https://pubmed.ncbi.nlm.nih.gov/4593870/" TargetMode="External"/><Relationship Id="rId258" Type="http://schemas.openxmlformats.org/officeDocument/2006/relationships/hyperlink" Target="https://clinicaltrials.gov/ct2/show/NCT02249598?term=NCT02249598&amp;draw=2&amp;rank=1" TargetMode="External"/><Relationship Id="rId22" Type="http://schemas.openxmlformats.org/officeDocument/2006/relationships/hyperlink" Target="https://clinicaltrials.gov/ct2/show/NCT03496454?term=NCT03496454&amp;draw=2&amp;rank=1" TargetMode="External"/><Relationship Id="rId64" Type="http://schemas.openxmlformats.org/officeDocument/2006/relationships/hyperlink" Target="https://clinicaltrials.gov/ct2/show/NCT02237586?term=NCT02237586&amp;draw=2&amp;rank=1" TargetMode="External"/><Relationship Id="rId118" Type="http://schemas.openxmlformats.org/officeDocument/2006/relationships/hyperlink" Target="https://clinicaltrials.gov/ct2/show/NCT02015091" TargetMode="External"/><Relationship Id="rId325" Type="http://schemas.openxmlformats.org/officeDocument/2006/relationships/hyperlink" Target="https://pubmed.ncbi.nlm.nih.gov/23929949/" TargetMode="External"/><Relationship Id="rId171" Type="http://schemas.openxmlformats.org/officeDocument/2006/relationships/hyperlink" Target="https://pubmed.ncbi.nlm.nih.gov/10768950/" TargetMode="External"/><Relationship Id="rId227" Type="http://schemas.openxmlformats.org/officeDocument/2006/relationships/hyperlink" Target="https://pubmed.ncbi.nlm.nih.gov/10569747/" TargetMode="External"/><Relationship Id="rId269" Type="http://schemas.openxmlformats.org/officeDocument/2006/relationships/hyperlink" Target="https://pubmed.ncbi.nlm.nih.gov/7870140/" TargetMode="External"/><Relationship Id="rId33" Type="http://schemas.openxmlformats.org/officeDocument/2006/relationships/hyperlink" Target="https://clinicaltrials.gov/ct2/show/NCT02431650?term=NCT02431650&amp;draw=2&amp;rank=1" TargetMode="External"/><Relationship Id="rId129" Type="http://schemas.openxmlformats.org/officeDocument/2006/relationships/hyperlink" Target="https://pubmed.ncbi.nlm.nih.gov/28223498/" TargetMode="External"/><Relationship Id="rId280" Type="http://schemas.openxmlformats.org/officeDocument/2006/relationships/hyperlink" Target="https://pubmed.ncbi.nlm.nih.gov/15306577/" TargetMode="External"/><Relationship Id="rId336" Type="http://schemas.openxmlformats.org/officeDocument/2006/relationships/hyperlink" Target="https://pubmed.ncbi.nlm.nih.gov/28363637/" TargetMode="External"/><Relationship Id="rId75" Type="http://schemas.openxmlformats.org/officeDocument/2006/relationships/hyperlink" Target="http://clinicaltrials.gov/" TargetMode="External"/><Relationship Id="rId140" Type="http://schemas.openxmlformats.org/officeDocument/2006/relationships/hyperlink" Target="https://pubmed.ncbi.nlm.nih.gov/4550416/" TargetMode="External"/><Relationship Id="rId182" Type="http://schemas.openxmlformats.org/officeDocument/2006/relationships/hyperlink" Target="https://pubmed.ncbi.nlm.nih.gov/21514658/" TargetMode="External"/><Relationship Id="rId6" Type="http://schemas.openxmlformats.org/officeDocument/2006/relationships/hyperlink" Target="https://clinicaltrials.gov/ct2/show/NCT01895855?term=NCT01895855&amp;draw=2&amp;rank=1" TargetMode="External"/><Relationship Id="rId238" Type="http://schemas.openxmlformats.org/officeDocument/2006/relationships/hyperlink" Target="https://clinicaltrials.gov/ct2/show/NCT02132299?term=NCT02132299&amp;draw=2&amp;rank=1" TargetMode="External"/><Relationship Id="rId291" Type="http://schemas.openxmlformats.org/officeDocument/2006/relationships/hyperlink" Target="https://pubmed.ncbi.nlm.nih.gov/2153185/" TargetMode="External"/><Relationship Id="rId305" Type="http://schemas.openxmlformats.org/officeDocument/2006/relationships/hyperlink" Target="https://clinicaltrials.gov/ct2/show/NCT01971255" TargetMode="External"/><Relationship Id="rId347" Type="http://schemas.openxmlformats.org/officeDocument/2006/relationships/hyperlink" Target="https://clinicaltrials.gov/ct2/show/NCT02450578" TargetMode="External"/><Relationship Id="rId44" Type="http://schemas.openxmlformats.org/officeDocument/2006/relationships/hyperlink" Target="https://clinicaltrials.gov/ct2/show/NCT02192008?term=NCT02192008&amp;draw=2&amp;rank=1" TargetMode="External"/><Relationship Id="rId86" Type="http://schemas.openxmlformats.org/officeDocument/2006/relationships/hyperlink" Target="http://clinicaltrials.gov/" TargetMode="External"/><Relationship Id="rId151" Type="http://schemas.openxmlformats.org/officeDocument/2006/relationships/hyperlink" Target="https://pubmed.ncbi.nlm.nih.gov/10720530/" TargetMode="External"/><Relationship Id="rId193" Type="http://schemas.openxmlformats.org/officeDocument/2006/relationships/hyperlink" Target="https://pubmed.ncbi.nlm.nih.gov/1563771/" TargetMode="External"/><Relationship Id="rId207" Type="http://schemas.openxmlformats.org/officeDocument/2006/relationships/hyperlink" Target="https://pubmed.ncbi.nlm.nih.gov/3343522/" TargetMode="External"/><Relationship Id="rId249" Type="http://schemas.openxmlformats.org/officeDocument/2006/relationships/hyperlink" Target="https://pubmed.ncbi.nlm.nih.gov/7051247/" TargetMode="External"/><Relationship Id="rId13" Type="http://schemas.openxmlformats.org/officeDocument/2006/relationships/hyperlink" Target="https://clinicaltrials.gov/ct2/show/NCT00870987?term=NCT00870987&amp;draw=2&amp;rank=1" TargetMode="External"/><Relationship Id="rId109" Type="http://schemas.openxmlformats.org/officeDocument/2006/relationships/hyperlink" Target="https://pubmed.ncbi.nlm.nih.gov/27158907/" TargetMode="External"/><Relationship Id="rId260" Type="http://schemas.openxmlformats.org/officeDocument/2006/relationships/hyperlink" Target="https://clinicaltrials.gov/ct2/show/NCT02249598?term=NCT02249598&amp;draw=2&amp;rank=1" TargetMode="External"/><Relationship Id="rId316" Type="http://schemas.openxmlformats.org/officeDocument/2006/relationships/hyperlink" Target="https://pubmed.ncbi.nlm.nih.gov/27591323/" TargetMode="External"/><Relationship Id="rId55" Type="http://schemas.openxmlformats.org/officeDocument/2006/relationships/hyperlink" Target="https://clinicaltrials.gov/ct2/show/NCT01500980?term=NCT01500980&amp;draw=2&amp;rank=1" TargetMode="External"/><Relationship Id="rId97" Type="http://schemas.openxmlformats.org/officeDocument/2006/relationships/hyperlink" Target="https://pubmed.ncbi.nlm.nih.gov/4583408/" TargetMode="External"/><Relationship Id="rId120" Type="http://schemas.openxmlformats.org/officeDocument/2006/relationships/hyperlink" Target="https://clinicaltrials.gov/ct2/show/NCT02015091" TargetMode="External"/><Relationship Id="rId162" Type="http://schemas.openxmlformats.org/officeDocument/2006/relationships/hyperlink" Target="https://pubmed.ncbi.nlm.nih.gov/16426809/" TargetMode="External"/><Relationship Id="rId218" Type="http://schemas.openxmlformats.org/officeDocument/2006/relationships/hyperlink" Target="https://clinicaltrials.gov/ct2/show/NCT01540903" TargetMode="External"/><Relationship Id="rId271" Type="http://schemas.openxmlformats.org/officeDocument/2006/relationships/hyperlink" Target="https://pubmed.ncbi.nlm.nih.gov/3078739/" TargetMode="External"/><Relationship Id="rId24" Type="http://schemas.openxmlformats.org/officeDocument/2006/relationships/hyperlink" Target="https://clinicaltrials.gov/ct2/show/NCT01728701?term=NCT01728701&amp;draw=2&amp;rank=1" TargetMode="External"/><Relationship Id="rId66" Type="http://schemas.openxmlformats.org/officeDocument/2006/relationships/hyperlink" Target="https://clinicaltrials.gov/ct2/show/NCT02237586?term=NCT02237586&amp;draw=2&amp;rank=1" TargetMode="External"/><Relationship Id="rId131" Type="http://schemas.openxmlformats.org/officeDocument/2006/relationships/hyperlink" Target="https://pubmed.ncbi.nlm.nih.gov/28223498/" TargetMode="External"/><Relationship Id="rId327" Type="http://schemas.openxmlformats.org/officeDocument/2006/relationships/hyperlink" Target="https://pubmed.ncbi.nlm.nih.gov/27927680/" TargetMode="External"/><Relationship Id="rId173" Type="http://schemas.openxmlformats.org/officeDocument/2006/relationships/hyperlink" Target="https://pubmed.ncbi.nlm.nih.gov/10569746/" TargetMode="External"/><Relationship Id="rId229" Type="http://schemas.openxmlformats.org/officeDocument/2006/relationships/hyperlink" Target="https://pubmed.ncbi.nlm.nih.gov/24963662/" TargetMode="External"/><Relationship Id="rId240" Type="http://schemas.openxmlformats.org/officeDocument/2006/relationships/hyperlink" Target="https://clinicaltrials.gov/ct2/show/NCT02132299?term=NCT02132299&amp;draw=2&amp;rank=1" TargetMode="External"/><Relationship Id="rId35" Type="http://schemas.openxmlformats.org/officeDocument/2006/relationships/hyperlink" Target="https://clinicaltrials.gov/ct2/show/NCT01405521?term=NCT01405521&amp;draw=2&amp;rank=1" TargetMode="External"/><Relationship Id="rId77" Type="http://schemas.openxmlformats.org/officeDocument/2006/relationships/hyperlink" Target="https://clinicaltrials.gov/ct2/show/NCT02088892?term=NCT02088892&amp;draw=2&amp;rank=1" TargetMode="External"/><Relationship Id="rId100" Type="http://schemas.openxmlformats.org/officeDocument/2006/relationships/hyperlink" Target="https://pubmed.ncbi.nlm.nih.gov/8376823/" TargetMode="External"/><Relationship Id="rId282" Type="http://schemas.openxmlformats.org/officeDocument/2006/relationships/hyperlink" Target="https://pubmed.ncbi.nlm.nih.gov/23439027/" TargetMode="External"/><Relationship Id="rId338" Type="http://schemas.openxmlformats.org/officeDocument/2006/relationships/hyperlink" Target="https://pubmed.ncbi.nlm.nih.gov/28363637/" TargetMode="External"/><Relationship Id="rId8" Type="http://schemas.openxmlformats.org/officeDocument/2006/relationships/hyperlink" Target="https://clinicaltrials.gov/ct2/show/NCT01895855?term=NCT01895855&amp;draw=2&amp;rank=1" TargetMode="External"/><Relationship Id="rId142" Type="http://schemas.openxmlformats.org/officeDocument/2006/relationships/hyperlink" Target="https://pubmed.ncbi.nlm.nih.gov/7639017/" TargetMode="External"/><Relationship Id="rId184" Type="http://schemas.openxmlformats.org/officeDocument/2006/relationships/hyperlink" Target="https://pubmed.ncbi.nlm.nih.gov/21514658/" TargetMode="External"/><Relationship Id="rId251" Type="http://schemas.openxmlformats.org/officeDocument/2006/relationships/hyperlink" Target="https://pubmed.ncbi.nlm.nih.gov/26114410/" TargetMode="External"/></Relationships>
</file>

<file path=xl/worksheets/_rels/sheet15.xml.rels><?xml version="1.0" encoding="UTF-8" standalone="yes"?>
<Relationships xmlns="http://schemas.openxmlformats.org/package/2006/relationships"><Relationship Id="rId117" Type="http://schemas.openxmlformats.org/officeDocument/2006/relationships/hyperlink" Target="https://pubmed.ncbi.nlm.nih.gov/3078739/" TargetMode="External"/><Relationship Id="rId21" Type="http://schemas.openxmlformats.org/officeDocument/2006/relationships/hyperlink" Target="https://pubmed.ncbi.nlm.nih.gov/8578831/" TargetMode="External"/><Relationship Id="rId42" Type="http://schemas.openxmlformats.org/officeDocument/2006/relationships/hyperlink" Target="https://pubmed.ncbi.nlm.nih.gov/15271912/" TargetMode="External"/><Relationship Id="rId63" Type="http://schemas.openxmlformats.org/officeDocument/2006/relationships/hyperlink" Target="https://pubmed.ncbi.nlm.nih.gov/3043855/" TargetMode="External"/><Relationship Id="rId84" Type="http://schemas.openxmlformats.org/officeDocument/2006/relationships/hyperlink" Target="https://pubmed.ncbi.nlm.nih.gov/25070995/" TargetMode="External"/><Relationship Id="rId138" Type="http://schemas.openxmlformats.org/officeDocument/2006/relationships/hyperlink" Target="https://pubmed.ncbi.nlm.nih.gov/27624471/" TargetMode="External"/><Relationship Id="rId159" Type="http://schemas.openxmlformats.org/officeDocument/2006/relationships/hyperlink" Target="https://pubmed.ncbi.nlm.nih.gov/24519873/" TargetMode="External"/><Relationship Id="rId107" Type="http://schemas.openxmlformats.org/officeDocument/2006/relationships/hyperlink" Target="https://pubmed.ncbi.nlm.nih.gov/26114410/" TargetMode="External"/><Relationship Id="rId11" Type="http://schemas.openxmlformats.org/officeDocument/2006/relationships/hyperlink" Target="https://pubmed.ncbi.nlm.nih.gov/7985753/" TargetMode="External"/><Relationship Id="rId32" Type="http://schemas.openxmlformats.org/officeDocument/2006/relationships/hyperlink" Target="https://pubmed.ncbi.nlm.nih.gov/10722634/" TargetMode="External"/><Relationship Id="rId53" Type="http://schemas.openxmlformats.org/officeDocument/2006/relationships/hyperlink" Target="https://pubmed.ncbi.nlm.nih.gov/10768950/" TargetMode="External"/><Relationship Id="rId74" Type="http://schemas.openxmlformats.org/officeDocument/2006/relationships/hyperlink" Target="https://pubmed.ncbi.nlm.nih.gov/18768794/" TargetMode="External"/><Relationship Id="rId128" Type="http://schemas.openxmlformats.org/officeDocument/2006/relationships/hyperlink" Target="https://pubmed.ncbi.nlm.nih.gov/11930326/" TargetMode="External"/><Relationship Id="rId149" Type="http://schemas.openxmlformats.org/officeDocument/2006/relationships/hyperlink" Target="https://pubmed.ncbi.nlm.nih.gov/22906296/" TargetMode="External"/><Relationship Id="rId5" Type="http://schemas.openxmlformats.org/officeDocument/2006/relationships/hyperlink" Target="https://pubmed.ncbi.nlm.nih.gov/8376823/" TargetMode="External"/><Relationship Id="rId95" Type="http://schemas.openxmlformats.org/officeDocument/2006/relationships/hyperlink" Target="https://pubmed.ncbi.nlm.nih.gov/29943719/" TargetMode="External"/><Relationship Id="rId160" Type="http://schemas.openxmlformats.org/officeDocument/2006/relationships/hyperlink" Target="https://pubmed.ncbi.nlm.nih.gov/22286307/" TargetMode="External"/><Relationship Id="rId22" Type="http://schemas.openxmlformats.org/officeDocument/2006/relationships/hyperlink" Target="https://pubmed.ncbi.nlm.nih.gov/27146000/" TargetMode="External"/><Relationship Id="rId43" Type="http://schemas.openxmlformats.org/officeDocument/2006/relationships/hyperlink" Target="https://pubmed.ncbi.nlm.nih.gov/16428791/" TargetMode="External"/><Relationship Id="rId64" Type="http://schemas.openxmlformats.org/officeDocument/2006/relationships/hyperlink" Target="https://pubmed.ncbi.nlm.nih.gov/2094588/" TargetMode="External"/><Relationship Id="rId118" Type="http://schemas.openxmlformats.org/officeDocument/2006/relationships/hyperlink" Target="https://pubmed.ncbi.nlm.nih.gov/19400893/" TargetMode="External"/><Relationship Id="rId139" Type="http://schemas.openxmlformats.org/officeDocument/2006/relationships/hyperlink" Target="https://pubmed.ncbi.nlm.nih.gov/28363636/" TargetMode="External"/><Relationship Id="rId85" Type="http://schemas.openxmlformats.org/officeDocument/2006/relationships/hyperlink" Target="https://pubmed.ncbi.nlm.nih.gov/24872394/" TargetMode="External"/><Relationship Id="rId150" Type="http://schemas.openxmlformats.org/officeDocument/2006/relationships/hyperlink" Target="https://pubmed.ncbi.nlm.nih.gov/21616116/" TargetMode="External"/><Relationship Id="rId12" Type="http://schemas.openxmlformats.org/officeDocument/2006/relationships/hyperlink" Target="https://pubmed.ncbi.nlm.nih.gov/27158907/" TargetMode="External"/><Relationship Id="rId17" Type="http://schemas.openxmlformats.org/officeDocument/2006/relationships/hyperlink" Target="https://pubmed.ncbi.nlm.nih.gov/10377124/" TargetMode="External"/><Relationship Id="rId33" Type="http://schemas.openxmlformats.org/officeDocument/2006/relationships/hyperlink" Target="https://pubmed.ncbi.nlm.nih.gov/19199547/" TargetMode="External"/><Relationship Id="rId38" Type="http://schemas.openxmlformats.org/officeDocument/2006/relationships/hyperlink" Target="https://pubmed.ncbi.nlm.nih.gov/16622201/" TargetMode="External"/><Relationship Id="rId59" Type="http://schemas.openxmlformats.org/officeDocument/2006/relationships/hyperlink" Target="https://pubmed.ncbi.nlm.nih.gov/8357078/" TargetMode="External"/><Relationship Id="rId103" Type="http://schemas.openxmlformats.org/officeDocument/2006/relationships/hyperlink" Target="https://pubmed.ncbi.nlm.nih.gov/7051247/" TargetMode="External"/><Relationship Id="rId108" Type="http://schemas.openxmlformats.org/officeDocument/2006/relationships/hyperlink" Target="https://pubmed.ncbi.nlm.nih.gov/25671106/" TargetMode="External"/><Relationship Id="rId124" Type="http://schemas.openxmlformats.org/officeDocument/2006/relationships/hyperlink" Target="https://pubmed.ncbi.nlm.nih.gov/23439027/" TargetMode="External"/><Relationship Id="rId129" Type="http://schemas.openxmlformats.org/officeDocument/2006/relationships/hyperlink" Target="https://pubmed.ncbi.nlm.nih.gov/19368793/" TargetMode="External"/><Relationship Id="rId54" Type="http://schemas.openxmlformats.org/officeDocument/2006/relationships/hyperlink" Target="https://pubmed.ncbi.nlm.nih.gov/10569746/" TargetMode="External"/><Relationship Id="rId70" Type="http://schemas.openxmlformats.org/officeDocument/2006/relationships/hyperlink" Target="https://pubmed.ncbi.nlm.nih.gov/9200634/" TargetMode="External"/><Relationship Id="rId75" Type="http://schemas.openxmlformats.org/officeDocument/2006/relationships/hyperlink" Target="https://pubmed.ncbi.nlm.nih.gov/3343522/" TargetMode="External"/><Relationship Id="rId91" Type="http://schemas.openxmlformats.org/officeDocument/2006/relationships/hyperlink" Target="https://www.ncbi.nlm.nih.gov/pmc/articles/PMC4179291/" TargetMode="External"/><Relationship Id="rId96" Type="http://schemas.openxmlformats.org/officeDocument/2006/relationships/hyperlink" Target="https://pubmed.ncbi.nlm.nih.gov/19958549/" TargetMode="External"/><Relationship Id="rId140" Type="http://schemas.openxmlformats.org/officeDocument/2006/relationships/hyperlink" Target="https://pubmed.ncbi.nlm.nih.gov/27094330/" TargetMode="External"/><Relationship Id="rId145" Type="http://schemas.openxmlformats.org/officeDocument/2006/relationships/hyperlink" Target="https://pubmed.ncbi.nlm.nih.gov/2341723/" TargetMode="External"/><Relationship Id="rId161" Type="http://schemas.openxmlformats.org/officeDocument/2006/relationships/hyperlink" Target="https://pubmed.ncbi.nlm.nih.gov/23715660/" TargetMode="External"/><Relationship Id="rId1" Type="http://schemas.openxmlformats.org/officeDocument/2006/relationships/hyperlink" Target="https://pubmed.ncbi.nlm.nih.gov/4583408/" TargetMode="External"/><Relationship Id="rId6" Type="http://schemas.openxmlformats.org/officeDocument/2006/relationships/hyperlink" Target="https://pubmed.ncbi.nlm.nih.gov/21903775/" TargetMode="External"/><Relationship Id="rId23" Type="http://schemas.openxmlformats.org/officeDocument/2006/relationships/hyperlink" Target="https://pubmed.ncbi.nlm.nih.gov/1524140/" TargetMode="External"/><Relationship Id="rId28" Type="http://schemas.openxmlformats.org/officeDocument/2006/relationships/hyperlink" Target="https://pubmed.ncbi.nlm.nih.gov/10720550/" TargetMode="External"/><Relationship Id="rId49" Type="http://schemas.openxmlformats.org/officeDocument/2006/relationships/hyperlink" Target="https://pubmed.ncbi.nlm.nih.gov/8169411/" TargetMode="External"/><Relationship Id="rId114" Type="http://schemas.openxmlformats.org/officeDocument/2006/relationships/hyperlink" Target="https://pubmed.ncbi.nlm.nih.gov/28158395/" TargetMode="External"/><Relationship Id="rId119" Type="http://schemas.openxmlformats.org/officeDocument/2006/relationships/hyperlink" Target="https://pubmed.ncbi.nlm.nih.gov/22927452/" TargetMode="External"/><Relationship Id="rId44" Type="http://schemas.openxmlformats.org/officeDocument/2006/relationships/hyperlink" Target="https://pubmed.ncbi.nlm.nih.gov/16426809/" TargetMode="External"/><Relationship Id="rId60" Type="http://schemas.openxmlformats.org/officeDocument/2006/relationships/hyperlink" Target="https://pubmed.ncbi.nlm.nih.gov/1563771/" TargetMode="External"/><Relationship Id="rId65" Type="http://schemas.openxmlformats.org/officeDocument/2006/relationships/hyperlink" Target="https://pubmed.ncbi.nlm.nih.gov/1951863/" TargetMode="External"/><Relationship Id="rId81" Type="http://schemas.openxmlformats.org/officeDocument/2006/relationships/hyperlink" Target="https://pubmed.ncbi.nlm.nih.gov/24253285/" TargetMode="External"/><Relationship Id="rId86" Type="http://schemas.openxmlformats.org/officeDocument/2006/relationships/hyperlink" Target="https://pubmed.ncbi.nlm.nih.gov/1621412/" TargetMode="External"/><Relationship Id="rId130" Type="http://schemas.openxmlformats.org/officeDocument/2006/relationships/hyperlink" Target="https://pubmed.ncbi.nlm.nih.gov/2153185/" TargetMode="External"/><Relationship Id="rId135" Type="http://schemas.openxmlformats.org/officeDocument/2006/relationships/hyperlink" Target="https://pubmed.ncbi.nlm.nih.gov/12692541/" TargetMode="External"/><Relationship Id="rId151" Type="http://schemas.openxmlformats.org/officeDocument/2006/relationships/hyperlink" Target="https://pubmed.ncbi.nlm.nih.gov/25281755/" TargetMode="External"/><Relationship Id="rId156" Type="http://schemas.openxmlformats.org/officeDocument/2006/relationships/hyperlink" Target="https://pubmed.ncbi.nlm.nih.gov/19390585/" TargetMode="External"/><Relationship Id="rId13" Type="http://schemas.openxmlformats.org/officeDocument/2006/relationships/hyperlink" Target="https://pubmed.ncbi.nlm.nih.gov/23874828/" TargetMode="External"/><Relationship Id="rId18" Type="http://schemas.openxmlformats.org/officeDocument/2006/relationships/hyperlink" Target="https://pubmed.ncbi.nlm.nih.gov/4550416/" TargetMode="External"/><Relationship Id="rId39" Type="http://schemas.openxmlformats.org/officeDocument/2006/relationships/hyperlink" Target="https://pubmed.ncbi.nlm.nih.gov/11401958/" TargetMode="External"/><Relationship Id="rId109" Type="http://schemas.openxmlformats.org/officeDocument/2006/relationships/hyperlink" Target="https://pubmed.ncbi.nlm.nih.gov/25248819/" TargetMode="External"/><Relationship Id="rId34" Type="http://schemas.openxmlformats.org/officeDocument/2006/relationships/hyperlink" Target="https://pubmed.ncbi.nlm.nih.gov/11179317/" TargetMode="External"/><Relationship Id="rId50" Type="http://schemas.openxmlformats.org/officeDocument/2006/relationships/hyperlink" Target="https://pubmed.ncbi.nlm.nih.gov/14573692/" TargetMode="External"/><Relationship Id="rId55" Type="http://schemas.openxmlformats.org/officeDocument/2006/relationships/hyperlink" Target="https://pubmed.ncbi.nlm.nih.gov/11349097/" TargetMode="External"/><Relationship Id="rId76" Type="http://schemas.openxmlformats.org/officeDocument/2006/relationships/hyperlink" Target="https://pubmed.ncbi.nlm.nih.gov/2437220/" TargetMode="External"/><Relationship Id="rId97" Type="http://schemas.openxmlformats.org/officeDocument/2006/relationships/hyperlink" Target="https://pubmed.ncbi.nlm.nih.gov/11738758/" TargetMode="External"/><Relationship Id="rId104" Type="http://schemas.openxmlformats.org/officeDocument/2006/relationships/hyperlink" Target="https://pubmed.ncbi.nlm.nih.gov/17123976/" TargetMode="External"/><Relationship Id="rId120" Type="http://schemas.openxmlformats.org/officeDocument/2006/relationships/hyperlink" Target="https://pubmed.ncbi.nlm.nih.gov/25921341/" TargetMode="External"/><Relationship Id="rId125" Type="http://schemas.openxmlformats.org/officeDocument/2006/relationships/hyperlink" Target="https://pubmed.ncbi.nlm.nih.gov/11170976/" TargetMode="External"/><Relationship Id="rId141" Type="http://schemas.openxmlformats.org/officeDocument/2006/relationships/hyperlink" Target="https://pubmed.ncbi.nlm.nih.gov/22396610/" TargetMode="External"/><Relationship Id="rId146" Type="http://schemas.openxmlformats.org/officeDocument/2006/relationships/hyperlink" Target="https://pubmed.ncbi.nlm.nih.gov/405590/" TargetMode="External"/><Relationship Id="rId7" Type="http://schemas.openxmlformats.org/officeDocument/2006/relationships/hyperlink" Target="https://pubmed.ncbi.nlm.nih.gov/2439920/" TargetMode="External"/><Relationship Id="rId71" Type="http://schemas.openxmlformats.org/officeDocument/2006/relationships/hyperlink" Target="https://pubmed.ncbi.nlm.nih.gov/9593010/" TargetMode="External"/><Relationship Id="rId92" Type="http://schemas.openxmlformats.org/officeDocument/2006/relationships/hyperlink" Target="https://pubmed.ncbi.nlm.nih.gov/3511753/" TargetMode="External"/><Relationship Id="rId162" Type="http://schemas.openxmlformats.org/officeDocument/2006/relationships/hyperlink" Target="https://pubmed.ncbi.nlm.nih.gov/22496648/" TargetMode="External"/><Relationship Id="rId2" Type="http://schemas.openxmlformats.org/officeDocument/2006/relationships/hyperlink" Target="https://pubmed.ncbi.nlm.nih.gov/4590095/" TargetMode="External"/><Relationship Id="rId29" Type="http://schemas.openxmlformats.org/officeDocument/2006/relationships/hyperlink" Target="https://pubmed.ncbi.nlm.nih.gov/10720530/" TargetMode="External"/><Relationship Id="rId24" Type="http://schemas.openxmlformats.org/officeDocument/2006/relationships/hyperlink" Target="https://pubmed.ncbi.nlm.nih.gov/16586388/" TargetMode="External"/><Relationship Id="rId40" Type="http://schemas.openxmlformats.org/officeDocument/2006/relationships/hyperlink" Target="https://pubmed.ncbi.nlm.nih.gov/12444138/" TargetMode="External"/><Relationship Id="rId45" Type="http://schemas.openxmlformats.org/officeDocument/2006/relationships/hyperlink" Target="https://pubmed.ncbi.nlm.nih.gov/17436224/" TargetMode="External"/><Relationship Id="rId66" Type="http://schemas.openxmlformats.org/officeDocument/2006/relationships/hyperlink" Target="https://pubmed.ncbi.nlm.nih.gov/7985753/" TargetMode="External"/><Relationship Id="rId87" Type="http://schemas.openxmlformats.org/officeDocument/2006/relationships/hyperlink" Target="https://pubmed.ncbi.nlm.nih.gov/10569747/" TargetMode="External"/><Relationship Id="rId110" Type="http://schemas.openxmlformats.org/officeDocument/2006/relationships/hyperlink" Target="https://pubmed.ncbi.nlm.nih.gov/16344586/" TargetMode="External"/><Relationship Id="rId115" Type="http://schemas.openxmlformats.org/officeDocument/2006/relationships/hyperlink" Target="https://pubmed.ncbi.nlm.nih.gov/5111887/" TargetMode="External"/><Relationship Id="rId131" Type="http://schemas.openxmlformats.org/officeDocument/2006/relationships/hyperlink" Target="https://pubmed.ncbi.nlm.nih.gov/27089205/" TargetMode="External"/><Relationship Id="rId136" Type="http://schemas.openxmlformats.org/officeDocument/2006/relationships/hyperlink" Target="https://pubmed.ncbi.nlm.nih.gov/23024024/" TargetMode="External"/><Relationship Id="rId157" Type="http://schemas.openxmlformats.org/officeDocument/2006/relationships/hyperlink" Target="https://pubmed.ncbi.nlm.nih.gov/28363637/" TargetMode="External"/><Relationship Id="rId61" Type="http://schemas.openxmlformats.org/officeDocument/2006/relationships/hyperlink" Target="https://pubmed.ncbi.nlm.nih.gov/7769295/" TargetMode="External"/><Relationship Id="rId82" Type="http://schemas.openxmlformats.org/officeDocument/2006/relationships/hyperlink" Target="https://pubmed.ncbi.nlm.nih.gov/1713648/" TargetMode="External"/><Relationship Id="rId152" Type="http://schemas.openxmlformats.org/officeDocument/2006/relationships/hyperlink" Target="https://pubmed.ncbi.nlm.nih.gov/23929949/" TargetMode="External"/><Relationship Id="rId19" Type="http://schemas.openxmlformats.org/officeDocument/2006/relationships/hyperlink" Target="https://pubmed.ncbi.nlm.nih.gov/2204243/" TargetMode="External"/><Relationship Id="rId14" Type="http://schemas.openxmlformats.org/officeDocument/2006/relationships/hyperlink" Target="https://pubmed.ncbi.nlm.nih.gov/21042404/" TargetMode="External"/><Relationship Id="rId30" Type="http://schemas.openxmlformats.org/officeDocument/2006/relationships/hyperlink" Target="https://pubmed.ncbi.nlm.nih.gov/17923525/" TargetMode="External"/><Relationship Id="rId35" Type="http://schemas.openxmlformats.org/officeDocument/2006/relationships/hyperlink" Target="https://pubmed.ncbi.nlm.nih.gov/11818898/" TargetMode="External"/><Relationship Id="rId56" Type="http://schemas.openxmlformats.org/officeDocument/2006/relationships/hyperlink" Target="https://pubmed.ncbi.nlm.nih.gov/11179379/" TargetMode="External"/><Relationship Id="rId77" Type="http://schemas.openxmlformats.org/officeDocument/2006/relationships/hyperlink" Target="https://pubmed.ncbi.nlm.nih.gov/6415182/" TargetMode="External"/><Relationship Id="rId100" Type="http://schemas.openxmlformats.org/officeDocument/2006/relationships/hyperlink" Target="https://pubmed.ncbi.nlm.nih.gov/24088113/" TargetMode="External"/><Relationship Id="rId105" Type="http://schemas.openxmlformats.org/officeDocument/2006/relationships/hyperlink" Target="https://pubmed.ncbi.nlm.nih.gov/12563811/" TargetMode="External"/><Relationship Id="rId126" Type="http://schemas.openxmlformats.org/officeDocument/2006/relationships/hyperlink" Target="https://pubmed.ncbi.nlm.nih.gov/25730467/" TargetMode="External"/><Relationship Id="rId147" Type="http://schemas.openxmlformats.org/officeDocument/2006/relationships/hyperlink" Target="https://pubmed.ncbi.nlm.nih.gov/27056954/" TargetMode="External"/><Relationship Id="rId8" Type="http://schemas.openxmlformats.org/officeDocument/2006/relationships/hyperlink" Target="https://pubmed.ncbi.nlm.nih.gov/3043855/" TargetMode="External"/><Relationship Id="rId51" Type="http://schemas.openxmlformats.org/officeDocument/2006/relationships/hyperlink" Target="https://pubmed.ncbi.nlm.nih.gov/14638812/" TargetMode="External"/><Relationship Id="rId72" Type="http://schemas.openxmlformats.org/officeDocument/2006/relationships/hyperlink" Target="https://pubmed.ncbi.nlm.nih.gov/4293015/" TargetMode="External"/><Relationship Id="rId93" Type="http://schemas.openxmlformats.org/officeDocument/2006/relationships/hyperlink" Target="https://pubmed.ncbi.nlm.nih.gov/30561539/" TargetMode="External"/><Relationship Id="rId98" Type="http://schemas.openxmlformats.org/officeDocument/2006/relationships/hyperlink" Target="https://pubmed.ncbi.nlm.nih.gov/26041041/" TargetMode="External"/><Relationship Id="rId121" Type="http://schemas.openxmlformats.org/officeDocument/2006/relationships/hyperlink" Target="https://pubmed.ncbi.nlm.nih.gov/6352386/" TargetMode="External"/><Relationship Id="rId142" Type="http://schemas.openxmlformats.org/officeDocument/2006/relationships/hyperlink" Target="https://pubmed.ncbi.nlm.nih.gov/27579859/" TargetMode="External"/><Relationship Id="rId163" Type="http://schemas.openxmlformats.org/officeDocument/2006/relationships/hyperlink" Target="https://pubmed.ncbi.nlm.nih.gov/24457412/" TargetMode="External"/><Relationship Id="rId3" Type="http://schemas.openxmlformats.org/officeDocument/2006/relationships/hyperlink" Target="https://pubmed.ncbi.nlm.nih.gov/808142/" TargetMode="External"/><Relationship Id="rId25" Type="http://schemas.openxmlformats.org/officeDocument/2006/relationships/hyperlink" Target="https://pubmed.ncbi.nlm.nih.gov/20998311/" TargetMode="External"/><Relationship Id="rId46" Type="http://schemas.openxmlformats.org/officeDocument/2006/relationships/hyperlink" Target="https://pubmed.ncbi.nlm.nih.gov/18462159/" TargetMode="External"/><Relationship Id="rId67" Type="http://schemas.openxmlformats.org/officeDocument/2006/relationships/hyperlink" Target="https://pubmed.ncbi.nlm.nih.gov/2240371/" TargetMode="External"/><Relationship Id="rId116" Type="http://schemas.openxmlformats.org/officeDocument/2006/relationships/hyperlink" Target="https://pubmed.ncbi.nlm.nih.gov/7870140/" TargetMode="External"/><Relationship Id="rId137" Type="http://schemas.openxmlformats.org/officeDocument/2006/relationships/hyperlink" Target="https://pubmed.ncbi.nlm.nih.gov/24468542/" TargetMode="External"/><Relationship Id="rId158" Type="http://schemas.openxmlformats.org/officeDocument/2006/relationships/hyperlink" Target="https://pubmed.ncbi.nlm.nih.gov/19842970/" TargetMode="External"/><Relationship Id="rId20" Type="http://schemas.openxmlformats.org/officeDocument/2006/relationships/hyperlink" Target="https://pubmed.ncbi.nlm.nih.gov/7639017/" TargetMode="External"/><Relationship Id="rId41" Type="http://schemas.openxmlformats.org/officeDocument/2006/relationships/hyperlink" Target="https://pubmed.ncbi.nlm.nih.gov/17893130/" TargetMode="External"/><Relationship Id="rId62" Type="http://schemas.openxmlformats.org/officeDocument/2006/relationships/hyperlink" Target="https://pubmed.ncbi.nlm.nih.gov/2439920/" TargetMode="External"/><Relationship Id="rId83" Type="http://schemas.openxmlformats.org/officeDocument/2006/relationships/hyperlink" Target="https://pubmed.ncbi.nlm.nih.gov/4593870/" TargetMode="External"/><Relationship Id="rId88" Type="http://schemas.openxmlformats.org/officeDocument/2006/relationships/hyperlink" Target="https://pubmed.ncbi.nlm.nih.gov/26822406/" TargetMode="External"/><Relationship Id="rId111" Type="http://schemas.openxmlformats.org/officeDocument/2006/relationships/hyperlink" Target="https://jamanetwork.com/journals/jama/article-abstract/338539" TargetMode="External"/><Relationship Id="rId132" Type="http://schemas.openxmlformats.org/officeDocument/2006/relationships/hyperlink" Target="https://www.karger.com/Article/Abstract/403261" TargetMode="External"/><Relationship Id="rId153" Type="http://schemas.openxmlformats.org/officeDocument/2006/relationships/hyperlink" Target="https://pubmed.ncbi.nlm.nih.gov/27927680/" TargetMode="External"/><Relationship Id="rId15" Type="http://schemas.openxmlformats.org/officeDocument/2006/relationships/hyperlink" Target="https://pubmed.ncbi.nlm.nih.gov/26416102/" TargetMode="External"/><Relationship Id="rId36" Type="http://schemas.openxmlformats.org/officeDocument/2006/relationships/hyperlink" Target="https://pubmed.ncbi.nlm.nih.gov/11854222/" TargetMode="External"/><Relationship Id="rId57" Type="http://schemas.openxmlformats.org/officeDocument/2006/relationships/hyperlink" Target="https://pubmed.ncbi.nlm.nih.gov/2884410/" TargetMode="External"/><Relationship Id="rId106" Type="http://schemas.openxmlformats.org/officeDocument/2006/relationships/hyperlink" Target="https://pubmed.ncbi.nlm.nih.gov/15404744/" TargetMode="External"/><Relationship Id="rId127" Type="http://schemas.openxmlformats.org/officeDocument/2006/relationships/hyperlink" Target="https://www.jimmunol.org/content/46/3/163" TargetMode="External"/><Relationship Id="rId10" Type="http://schemas.openxmlformats.org/officeDocument/2006/relationships/hyperlink" Target="https://pubmed.ncbi.nlm.nih.gov/1951863/" TargetMode="External"/><Relationship Id="rId31" Type="http://schemas.openxmlformats.org/officeDocument/2006/relationships/hyperlink" Target="https://pubmed.ncbi.nlm.nih.gov/18422457/" TargetMode="External"/><Relationship Id="rId52" Type="http://schemas.openxmlformats.org/officeDocument/2006/relationships/hyperlink" Target="https://pubmed.ncbi.nlm.nih.gov/9607840/" TargetMode="External"/><Relationship Id="rId73" Type="http://schemas.openxmlformats.org/officeDocument/2006/relationships/hyperlink" Target="https://pubmed.ncbi.nlm.nih.gov/12134249/" TargetMode="External"/><Relationship Id="rId78" Type="http://schemas.openxmlformats.org/officeDocument/2006/relationships/hyperlink" Target="https://pubmed.ncbi.nlm.nih.gov/2204243/" TargetMode="External"/><Relationship Id="rId94" Type="http://schemas.openxmlformats.org/officeDocument/2006/relationships/hyperlink" Target="https://pubmed.ncbi.nlm.nih.gov/19861603/" TargetMode="External"/><Relationship Id="rId99" Type="http://schemas.openxmlformats.org/officeDocument/2006/relationships/hyperlink" Target="https://pubmed.ncbi.nlm.nih.gov/16430195/" TargetMode="External"/><Relationship Id="rId101" Type="http://schemas.openxmlformats.org/officeDocument/2006/relationships/hyperlink" Target="https://pubmed.ncbi.nlm.nih.gov/26919472/" TargetMode="External"/><Relationship Id="rId122" Type="http://schemas.openxmlformats.org/officeDocument/2006/relationships/hyperlink" Target="https://pubmed.ncbi.nlm.nih.gov/15306577/" TargetMode="External"/><Relationship Id="rId143" Type="http://schemas.openxmlformats.org/officeDocument/2006/relationships/hyperlink" Target="https://pubmed.ncbi.nlm.nih.gov/28199305/" TargetMode="External"/><Relationship Id="rId148" Type="http://schemas.openxmlformats.org/officeDocument/2006/relationships/hyperlink" Target="https://pubmed.ncbi.nlm.nih.gov/27403678/" TargetMode="External"/><Relationship Id="rId4" Type="http://schemas.openxmlformats.org/officeDocument/2006/relationships/hyperlink" Target="https://pubmed.ncbi.nlm.nih.gov/1346766/" TargetMode="External"/><Relationship Id="rId9" Type="http://schemas.openxmlformats.org/officeDocument/2006/relationships/hyperlink" Target="https://pubmed.ncbi.nlm.nih.gov/2094588/" TargetMode="External"/><Relationship Id="rId26" Type="http://schemas.openxmlformats.org/officeDocument/2006/relationships/hyperlink" Target="https://pubmed.ncbi.nlm.nih.gov/9815220/" TargetMode="External"/><Relationship Id="rId47" Type="http://schemas.openxmlformats.org/officeDocument/2006/relationships/hyperlink" Target="https://pubmed.ncbi.nlm.nih.gov/9815221/" TargetMode="External"/><Relationship Id="rId68" Type="http://schemas.openxmlformats.org/officeDocument/2006/relationships/hyperlink" Target="https://pubmed.ncbi.nlm.nih.gov/8291822/" TargetMode="External"/><Relationship Id="rId89" Type="http://schemas.openxmlformats.org/officeDocument/2006/relationships/hyperlink" Target="https://pubmed.ncbi.nlm.nih.gov/24963662/" TargetMode="External"/><Relationship Id="rId112" Type="http://schemas.openxmlformats.org/officeDocument/2006/relationships/hyperlink" Target="https://pubmed.ncbi.nlm.nih.gov/25814628/" TargetMode="External"/><Relationship Id="rId133" Type="http://schemas.openxmlformats.org/officeDocument/2006/relationships/hyperlink" Target="https://pubmed.ncbi.nlm.nih.gov/378834/" TargetMode="External"/><Relationship Id="rId154" Type="http://schemas.openxmlformats.org/officeDocument/2006/relationships/hyperlink" Target="https://pubmed.ncbi.nlm.nih.gov/28176804/" TargetMode="External"/><Relationship Id="rId16" Type="http://schemas.openxmlformats.org/officeDocument/2006/relationships/hyperlink" Target="https://pubmed.ncbi.nlm.nih.gov/28223498/" TargetMode="External"/><Relationship Id="rId37" Type="http://schemas.openxmlformats.org/officeDocument/2006/relationships/hyperlink" Target="https://pubmed.ncbi.nlm.nih.gov/11035757/" TargetMode="External"/><Relationship Id="rId58" Type="http://schemas.openxmlformats.org/officeDocument/2006/relationships/hyperlink" Target="https://pubmed.ncbi.nlm.nih.gov/8376823/" TargetMode="External"/><Relationship Id="rId79" Type="http://schemas.openxmlformats.org/officeDocument/2006/relationships/hyperlink" Target="https://pubmed.ncbi.nlm.nih.gov/7251144/" TargetMode="External"/><Relationship Id="rId102" Type="http://schemas.openxmlformats.org/officeDocument/2006/relationships/hyperlink" Target="https://pubmed.ncbi.nlm.nih.gov/5901572/" TargetMode="External"/><Relationship Id="rId123" Type="http://schemas.openxmlformats.org/officeDocument/2006/relationships/hyperlink" Target="https://pubmed.ncbi.nlm.nih.gov/24995531/" TargetMode="External"/><Relationship Id="rId144" Type="http://schemas.openxmlformats.org/officeDocument/2006/relationships/hyperlink" Target="https://pubmed.ncbi.nlm.nih.gov/27591323/" TargetMode="External"/><Relationship Id="rId90" Type="http://schemas.openxmlformats.org/officeDocument/2006/relationships/hyperlink" Target="https://pubmed.ncbi.nlm.nih.gov/27760143/" TargetMode="External"/><Relationship Id="rId27" Type="http://schemas.openxmlformats.org/officeDocument/2006/relationships/hyperlink" Target="https://pubmed.ncbi.nlm.nih.gov/10191238/" TargetMode="External"/><Relationship Id="rId48" Type="http://schemas.openxmlformats.org/officeDocument/2006/relationships/hyperlink" Target="https://pubmed.ncbi.nlm.nih.gov/9652440/" TargetMode="External"/><Relationship Id="rId69" Type="http://schemas.openxmlformats.org/officeDocument/2006/relationships/hyperlink" Target="https://pubmed.ncbi.nlm.nih.gov/3700610/" TargetMode="External"/><Relationship Id="rId113" Type="http://schemas.openxmlformats.org/officeDocument/2006/relationships/hyperlink" Target="https://pubmed.ncbi.nlm.nih.gov/22052893/" TargetMode="External"/><Relationship Id="rId134" Type="http://schemas.openxmlformats.org/officeDocument/2006/relationships/hyperlink" Target="https://pubmed.ncbi.nlm.nih.gov/394667/" TargetMode="External"/><Relationship Id="rId80" Type="http://schemas.openxmlformats.org/officeDocument/2006/relationships/hyperlink" Target="https://pubmed.ncbi.nlm.nih.gov/18826818/" TargetMode="External"/><Relationship Id="rId155" Type="http://schemas.openxmlformats.org/officeDocument/2006/relationships/hyperlink" Target="https://pubmed.ncbi.nlm.nih.gov/14573692/" TargetMode="External"/></Relationships>
</file>

<file path=xl/worksheets/_rels/sheet16.xml.rels><?xml version="1.0" encoding="UTF-8" standalone="yes"?>
<Relationships xmlns="http://schemas.openxmlformats.org/package/2006/relationships"><Relationship Id="rId117" Type="http://schemas.openxmlformats.org/officeDocument/2006/relationships/hyperlink" Target="https://pubmed.ncbi.nlm.nih.gov/15404744/" TargetMode="External"/><Relationship Id="rId21" Type="http://schemas.openxmlformats.org/officeDocument/2006/relationships/hyperlink" Target="https://pubmed.ncbi.nlm.nih.gov/8578831/" TargetMode="External"/><Relationship Id="rId42" Type="http://schemas.openxmlformats.org/officeDocument/2006/relationships/hyperlink" Target="https://pubmed.ncbi.nlm.nih.gov/11401958/" TargetMode="External"/><Relationship Id="rId63" Type="http://schemas.openxmlformats.org/officeDocument/2006/relationships/hyperlink" Target="https://pubmed.ncbi.nlm.nih.gov/25396417/" TargetMode="External"/><Relationship Id="rId84" Type="http://schemas.openxmlformats.org/officeDocument/2006/relationships/hyperlink" Target="https://pubmed.ncbi.nlm.nih.gov/12134249/" TargetMode="External"/><Relationship Id="rId138" Type="http://schemas.openxmlformats.org/officeDocument/2006/relationships/hyperlink" Target="https://www.jimmunol.org/content/46/3/163" TargetMode="External"/><Relationship Id="rId159" Type="http://schemas.openxmlformats.org/officeDocument/2006/relationships/hyperlink" Target="https://pubmed.ncbi.nlm.nih.gov/27403678/" TargetMode="External"/><Relationship Id="rId170" Type="http://schemas.openxmlformats.org/officeDocument/2006/relationships/hyperlink" Target="https://pubmed.ncbi.nlm.nih.gov/24519873/" TargetMode="External"/><Relationship Id="rId107" Type="http://schemas.openxmlformats.org/officeDocument/2006/relationships/hyperlink" Target="https://pubmed.ncbi.nlm.nih.gov/19958549/" TargetMode="External"/><Relationship Id="rId11" Type="http://schemas.openxmlformats.org/officeDocument/2006/relationships/hyperlink" Target="https://pubmed.ncbi.nlm.nih.gov/7985753/" TargetMode="External"/><Relationship Id="rId32" Type="http://schemas.openxmlformats.org/officeDocument/2006/relationships/hyperlink" Target="https://pubmed.ncbi.nlm.nih.gov/10720530/" TargetMode="External"/><Relationship Id="rId53" Type="http://schemas.openxmlformats.org/officeDocument/2006/relationships/hyperlink" Target="https://pubmed.ncbi.nlm.nih.gov/14573692/" TargetMode="External"/><Relationship Id="rId74" Type="http://schemas.openxmlformats.org/officeDocument/2006/relationships/hyperlink" Target="https://pubmed.ncbi.nlm.nih.gov/3043855/" TargetMode="External"/><Relationship Id="rId128" Type="http://schemas.openxmlformats.org/officeDocument/2006/relationships/hyperlink" Target="https://pubmed.ncbi.nlm.nih.gov/3078739/" TargetMode="External"/><Relationship Id="rId149" Type="http://schemas.openxmlformats.org/officeDocument/2006/relationships/hyperlink" Target="https://pubmed.ncbi.nlm.nih.gov/27624471/" TargetMode="External"/><Relationship Id="rId5" Type="http://schemas.openxmlformats.org/officeDocument/2006/relationships/hyperlink" Target="https://pubmed.ncbi.nlm.nih.gov/8376823/" TargetMode="External"/><Relationship Id="rId95" Type="http://schemas.openxmlformats.org/officeDocument/2006/relationships/hyperlink" Target="https://pubmed.ncbi.nlm.nih.gov/25070995/" TargetMode="External"/><Relationship Id="rId160" Type="http://schemas.openxmlformats.org/officeDocument/2006/relationships/hyperlink" Target="https://pubmed.ncbi.nlm.nih.gov/22906296/" TargetMode="External"/><Relationship Id="rId22" Type="http://schemas.openxmlformats.org/officeDocument/2006/relationships/hyperlink" Target="https://pubmed.ncbi.nlm.nih.gov/27146000/" TargetMode="External"/><Relationship Id="rId43" Type="http://schemas.openxmlformats.org/officeDocument/2006/relationships/hyperlink" Target="https://pubmed.ncbi.nlm.nih.gov/12444138/" TargetMode="External"/><Relationship Id="rId64" Type="http://schemas.openxmlformats.org/officeDocument/2006/relationships/hyperlink" Target="https://pubmed.ncbi.nlm.nih.gov/24872326/" TargetMode="External"/><Relationship Id="rId118" Type="http://schemas.openxmlformats.org/officeDocument/2006/relationships/hyperlink" Target="https://pubmed.ncbi.nlm.nih.gov/26114410/" TargetMode="External"/><Relationship Id="rId139" Type="http://schemas.openxmlformats.org/officeDocument/2006/relationships/hyperlink" Target="https://pubmed.ncbi.nlm.nih.gov/11930326/" TargetMode="External"/><Relationship Id="rId85" Type="http://schemas.openxmlformats.org/officeDocument/2006/relationships/hyperlink" Target="https://pubmed.ncbi.nlm.nih.gov/18768794/" TargetMode="External"/><Relationship Id="rId150" Type="http://schemas.openxmlformats.org/officeDocument/2006/relationships/hyperlink" Target="https://pubmed.ncbi.nlm.nih.gov/28363636/" TargetMode="External"/><Relationship Id="rId171" Type="http://schemas.openxmlformats.org/officeDocument/2006/relationships/hyperlink" Target="https://pubmed.ncbi.nlm.nih.gov/22286307/" TargetMode="External"/><Relationship Id="rId12" Type="http://schemas.openxmlformats.org/officeDocument/2006/relationships/hyperlink" Target="https://pubmed.ncbi.nlm.nih.gov/27158907/" TargetMode="External"/><Relationship Id="rId33" Type="http://schemas.openxmlformats.org/officeDocument/2006/relationships/hyperlink" Target="https://pubmed.ncbi.nlm.nih.gov/17923525/" TargetMode="External"/><Relationship Id="rId108" Type="http://schemas.openxmlformats.org/officeDocument/2006/relationships/hyperlink" Target="https://pubmed.ncbi.nlm.nih.gov/11738758/" TargetMode="External"/><Relationship Id="rId129" Type="http://schemas.openxmlformats.org/officeDocument/2006/relationships/hyperlink" Target="https://pubmed.ncbi.nlm.nih.gov/19400893/" TargetMode="External"/><Relationship Id="rId54" Type="http://schemas.openxmlformats.org/officeDocument/2006/relationships/hyperlink" Target="https://pubmed.ncbi.nlm.nih.gov/14638812/" TargetMode="External"/><Relationship Id="rId75" Type="http://schemas.openxmlformats.org/officeDocument/2006/relationships/hyperlink" Target="https://pubmed.ncbi.nlm.nih.gov/2094588/" TargetMode="External"/><Relationship Id="rId96" Type="http://schemas.openxmlformats.org/officeDocument/2006/relationships/hyperlink" Target="https://pubmed.ncbi.nlm.nih.gov/24872394/" TargetMode="External"/><Relationship Id="rId140" Type="http://schemas.openxmlformats.org/officeDocument/2006/relationships/hyperlink" Target="https://pubmed.ncbi.nlm.nih.gov/19368793/" TargetMode="External"/><Relationship Id="rId161" Type="http://schemas.openxmlformats.org/officeDocument/2006/relationships/hyperlink" Target="https://pubmed.ncbi.nlm.nih.gov/21616116/" TargetMode="External"/><Relationship Id="rId1" Type="http://schemas.openxmlformats.org/officeDocument/2006/relationships/hyperlink" Target="https://pubmed.ncbi.nlm.nih.gov/4583408/" TargetMode="External"/><Relationship Id="rId6" Type="http://schemas.openxmlformats.org/officeDocument/2006/relationships/hyperlink" Target="https://pubmed.ncbi.nlm.nih.gov/21903775/" TargetMode="External"/><Relationship Id="rId23" Type="http://schemas.openxmlformats.org/officeDocument/2006/relationships/hyperlink" Target="https://pubmed.ncbi.nlm.nih.gov/1524140/" TargetMode="External"/><Relationship Id="rId28" Type="http://schemas.openxmlformats.org/officeDocument/2006/relationships/hyperlink" Target="https://www.ncbi.nlm.nih.gov/pmc/articles/PMC6810285/" TargetMode="External"/><Relationship Id="rId49" Type="http://schemas.openxmlformats.org/officeDocument/2006/relationships/hyperlink" Target="https://pubmed.ncbi.nlm.nih.gov/18462159/" TargetMode="External"/><Relationship Id="rId114" Type="http://schemas.openxmlformats.org/officeDocument/2006/relationships/hyperlink" Target="https://pubmed.ncbi.nlm.nih.gov/7051247/" TargetMode="External"/><Relationship Id="rId119" Type="http://schemas.openxmlformats.org/officeDocument/2006/relationships/hyperlink" Target="https://pubmed.ncbi.nlm.nih.gov/25671106/" TargetMode="External"/><Relationship Id="rId44" Type="http://schemas.openxmlformats.org/officeDocument/2006/relationships/hyperlink" Target="https://pubmed.ncbi.nlm.nih.gov/17893130/" TargetMode="External"/><Relationship Id="rId60" Type="http://schemas.openxmlformats.org/officeDocument/2006/relationships/hyperlink" Target="https://pubmed.ncbi.nlm.nih.gov/28637923/" TargetMode="External"/><Relationship Id="rId65" Type="http://schemas.openxmlformats.org/officeDocument/2006/relationships/hyperlink" Target="https://pubmed.ncbi.nlm.nih.gov/19641203/" TargetMode="External"/><Relationship Id="rId81" Type="http://schemas.openxmlformats.org/officeDocument/2006/relationships/hyperlink" Target="https://pubmed.ncbi.nlm.nih.gov/9200634/" TargetMode="External"/><Relationship Id="rId86" Type="http://schemas.openxmlformats.org/officeDocument/2006/relationships/hyperlink" Target="https://pubmed.ncbi.nlm.nih.gov/3343522/" TargetMode="External"/><Relationship Id="rId130" Type="http://schemas.openxmlformats.org/officeDocument/2006/relationships/hyperlink" Target="https://pubmed.ncbi.nlm.nih.gov/22927452/" TargetMode="External"/><Relationship Id="rId135" Type="http://schemas.openxmlformats.org/officeDocument/2006/relationships/hyperlink" Target="https://pubmed.ncbi.nlm.nih.gov/23439027/" TargetMode="External"/><Relationship Id="rId151" Type="http://schemas.openxmlformats.org/officeDocument/2006/relationships/hyperlink" Target="https://pubmed.ncbi.nlm.nih.gov/27094330/" TargetMode="External"/><Relationship Id="rId156" Type="http://schemas.openxmlformats.org/officeDocument/2006/relationships/hyperlink" Target="https://pubmed.ncbi.nlm.nih.gov/2341723/" TargetMode="External"/><Relationship Id="rId172" Type="http://schemas.openxmlformats.org/officeDocument/2006/relationships/hyperlink" Target="https://pubmed.ncbi.nlm.nih.gov/23715660/" TargetMode="External"/><Relationship Id="rId13" Type="http://schemas.openxmlformats.org/officeDocument/2006/relationships/hyperlink" Target="https://pubmed.ncbi.nlm.nih.gov/23874828/" TargetMode="External"/><Relationship Id="rId18" Type="http://schemas.openxmlformats.org/officeDocument/2006/relationships/hyperlink" Target="https://pubmed.ncbi.nlm.nih.gov/4550416/" TargetMode="External"/><Relationship Id="rId39" Type="http://schemas.openxmlformats.org/officeDocument/2006/relationships/hyperlink" Target="https://pubmed.ncbi.nlm.nih.gov/11854222/" TargetMode="External"/><Relationship Id="rId109" Type="http://schemas.openxmlformats.org/officeDocument/2006/relationships/hyperlink" Target="https://pubmed.ncbi.nlm.nih.gov/26041041/" TargetMode="External"/><Relationship Id="rId34" Type="http://schemas.openxmlformats.org/officeDocument/2006/relationships/hyperlink" Target="https://pubmed.ncbi.nlm.nih.gov/18422457/" TargetMode="External"/><Relationship Id="rId50" Type="http://schemas.openxmlformats.org/officeDocument/2006/relationships/hyperlink" Target="https://pubmed.ncbi.nlm.nih.gov/9815221/" TargetMode="External"/><Relationship Id="rId55" Type="http://schemas.openxmlformats.org/officeDocument/2006/relationships/hyperlink" Target="https://pubmed.ncbi.nlm.nih.gov/9607840/" TargetMode="External"/><Relationship Id="rId76" Type="http://schemas.openxmlformats.org/officeDocument/2006/relationships/hyperlink" Target="https://pubmed.ncbi.nlm.nih.gov/1951863/" TargetMode="External"/><Relationship Id="rId97" Type="http://schemas.openxmlformats.org/officeDocument/2006/relationships/hyperlink" Target="https://pubmed.ncbi.nlm.nih.gov/1621412/" TargetMode="External"/><Relationship Id="rId104" Type="http://schemas.openxmlformats.org/officeDocument/2006/relationships/hyperlink" Target="https://pubmed.ncbi.nlm.nih.gov/30561539/" TargetMode="External"/><Relationship Id="rId120" Type="http://schemas.openxmlformats.org/officeDocument/2006/relationships/hyperlink" Target="https://pubmed.ncbi.nlm.nih.gov/25248819/" TargetMode="External"/><Relationship Id="rId125" Type="http://schemas.openxmlformats.org/officeDocument/2006/relationships/hyperlink" Target="https://pubmed.ncbi.nlm.nih.gov/28158395/" TargetMode="External"/><Relationship Id="rId141" Type="http://schemas.openxmlformats.org/officeDocument/2006/relationships/hyperlink" Target="https://pubmed.ncbi.nlm.nih.gov/2153185/" TargetMode="External"/><Relationship Id="rId146" Type="http://schemas.openxmlformats.org/officeDocument/2006/relationships/hyperlink" Target="https://pubmed.ncbi.nlm.nih.gov/12692541/" TargetMode="External"/><Relationship Id="rId167" Type="http://schemas.openxmlformats.org/officeDocument/2006/relationships/hyperlink" Target="https://pubmed.ncbi.nlm.nih.gov/19390585/" TargetMode="External"/><Relationship Id="rId7" Type="http://schemas.openxmlformats.org/officeDocument/2006/relationships/hyperlink" Target="https://pubmed.ncbi.nlm.nih.gov/2439920/" TargetMode="External"/><Relationship Id="rId71" Type="http://schemas.openxmlformats.org/officeDocument/2006/relationships/hyperlink" Target="https://pubmed.ncbi.nlm.nih.gov/1563771/" TargetMode="External"/><Relationship Id="rId92" Type="http://schemas.openxmlformats.org/officeDocument/2006/relationships/hyperlink" Target="https://pubmed.ncbi.nlm.nih.gov/24253285/" TargetMode="External"/><Relationship Id="rId162" Type="http://schemas.openxmlformats.org/officeDocument/2006/relationships/hyperlink" Target="https://pubmed.ncbi.nlm.nih.gov/25281755/" TargetMode="External"/><Relationship Id="rId2" Type="http://schemas.openxmlformats.org/officeDocument/2006/relationships/hyperlink" Target="https://pubmed.ncbi.nlm.nih.gov/4590095/" TargetMode="External"/><Relationship Id="rId29" Type="http://schemas.openxmlformats.org/officeDocument/2006/relationships/hyperlink" Target="https://pubmed.ncbi.nlm.nih.gov/9815220/" TargetMode="External"/><Relationship Id="rId24" Type="http://schemas.openxmlformats.org/officeDocument/2006/relationships/hyperlink" Target="https://pubmed.ncbi.nlm.nih.gov/16586388/" TargetMode="External"/><Relationship Id="rId40" Type="http://schemas.openxmlformats.org/officeDocument/2006/relationships/hyperlink" Target="https://pubmed.ncbi.nlm.nih.gov/11035757/" TargetMode="External"/><Relationship Id="rId45" Type="http://schemas.openxmlformats.org/officeDocument/2006/relationships/hyperlink" Target="https://pubmed.ncbi.nlm.nih.gov/15271912/" TargetMode="External"/><Relationship Id="rId66" Type="http://schemas.openxmlformats.org/officeDocument/2006/relationships/hyperlink" Target="https://pubmed.ncbi.nlm.nih.gov/21514658/" TargetMode="External"/><Relationship Id="rId87" Type="http://schemas.openxmlformats.org/officeDocument/2006/relationships/hyperlink" Target="https://pubmed.ncbi.nlm.nih.gov/2437220/" TargetMode="External"/><Relationship Id="rId110" Type="http://schemas.openxmlformats.org/officeDocument/2006/relationships/hyperlink" Target="https://pubmed.ncbi.nlm.nih.gov/16430195/" TargetMode="External"/><Relationship Id="rId115" Type="http://schemas.openxmlformats.org/officeDocument/2006/relationships/hyperlink" Target="https://pubmed.ncbi.nlm.nih.gov/17123976/" TargetMode="External"/><Relationship Id="rId131" Type="http://schemas.openxmlformats.org/officeDocument/2006/relationships/hyperlink" Target="https://pubmed.ncbi.nlm.nih.gov/25921341/" TargetMode="External"/><Relationship Id="rId136" Type="http://schemas.openxmlformats.org/officeDocument/2006/relationships/hyperlink" Target="https://pubmed.ncbi.nlm.nih.gov/11170976/" TargetMode="External"/><Relationship Id="rId157" Type="http://schemas.openxmlformats.org/officeDocument/2006/relationships/hyperlink" Target="https://pubmed.ncbi.nlm.nih.gov/405590/" TargetMode="External"/><Relationship Id="rId61" Type="http://schemas.openxmlformats.org/officeDocument/2006/relationships/hyperlink" Target="https://pubmed.ncbi.nlm.nih.gov/26711509/" TargetMode="External"/><Relationship Id="rId82" Type="http://schemas.openxmlformats.org/officeDocument/2006/relationships/hyperlink" Target="https://pubmed.ncbi.nlm.nih.gov/9593010/" TargetMode="External"/><Relationship Id="rId152" Type="http://schemas.openxmlformats.org/officeDocument/2006/relationships/hyperlink" Target="https://pubmed.ncbi.nlm.nih.gov/22396610/" TargetMode="External"/><Relationship Id="rId173" Type="http://schemas.openxmlformats.org/officeDocument/2006/relationships/hyperlink" Target="https://pubmed.ncbi.nlm.nih.gov/22496648/" TargetMode="External"/><Relationship Id="rId19" Type="http://schemas.openxmlformats.org/officeDocument/2006/relationships/hyperlink" Target="https://pubmed.ncbi.nlm.nih.gov/2204243/" TargetMode="External"/><Relationship Id="rId14" Type="http://schemas.openxmlformats.org/officeDocument/2006/relationships/hyperlink" Target="https://pubmed.ncbi.nlm.nih.gov/21042404/" TargetMode="External"/><Relationship Id="rId30" Type="http://schemas.openxmlformats.org/officeDocument/2006/relationships/hyperlink" Target="https://pubmed.ncbi.nlm.nih.gov/10191238/" TargetMode="External"/><Relationship Id="rId35" Type="http://schemas.openxmlformats.org/officeDocument/2006/relationships/hyperlink" Target="https://pubmed.ncbi.nlm.nih.gov/10722634/" TargetMode="External"/><Relationship Id="rId56" Type="http://schemas.openxmlformats.org/officeDocument/2006/relationships/hyperlink" Target="https://pubmed.ncbi.nlm.nih.gov/10768950/" TargetMode="External"/><Relationship Id="rId77" Type="http://schemas.openxmlformats.org/officeDocument/2006/relationships/hyperlink" Target="https://pubmed.ncbi.nlm.nih.gov/7985753/" TargetMode="External"/><Relationship Id="rId100" Type="http://schemas.openxmlformats.org/officeDocument/2006/relationships/hyperlink" Target="https://pubmed.ncbi.nlm.nih.gov/24963662/" TargetMode="External"/><Relationship Id="rId105" Type="http://schemas.openxmlformats.org/officeDocument/2006/relationships/hyperlink" Target="https://pubmed.ncbi.nlm.nih.gov/19861603/" TargetMode="External"/><Relationship Id="rId126" Type="http://schemas.openxmlformats.org/officeDocument/2006/relationships/hyperlink" Target="https://pubmed.ncbi.nlm.nih.gov/5111887/" TargetMode="External"/><Relationship Id="rId147" Type="http://schemas.openxmlformats.org/officeDocument/2006/relationships/hyperlink" Target="https://pubmed.ncbi.nlm.nih.gov/23024024/" TargetMode="External"/><Relationship Id="rId168" Type="http://schemas.openxmlformats.org/officeDocument/2006/relationships/hyperlink" Target="https://pubmed.ncbi.nlm.nih.gov/28363637/" TargetMode="External"/><Relationship Id="rId8" Type="http://schemas.openxmlformats.org/officeDocument/2006/relationships/hyperlink" Target="https://pubmed.ncbi.nlm.nih.gov/3043855/" TargetMode="External"/><Relationship Id="rId51" Type="http://schemas.openxmlformats.org/officeDocument/2006/relationships/hyperlink" Target="https://pubmed.ncbi.nlm.nih.gov/9652440/" TargetMode="External"/><Relationship Id="rId72" Type="http://schemas.openxmlformats.org/officeDocument/2006/relationships/hyperlink" Target="https://pubmed.ncbi.nlm.nih.gov/7769295/" TargetMode="External"/><Relationship Id="rId93" Type="http://schemas.openxmlformats.org/officeDocument/2006/relationships/hyperlink" Target="https://pubmed.ncbi.nlm.nih.gov/1713648/" TargetMode="External"/><Relationship Id="rId98" Type="http://schemas.openxmlformats.org/officeDocument/2006/relationships/hyperlink" Target="https://pubmed.ncbi.nlm.nih.gov/10569747/" TargetMode="External"/><Relationship Id="rId121" Type="http://schemas.openxmlformats.org/officeDocument/2006/relationships/hyperlink" Target="https://pubmed.ncbi.nlm.nih.gov/16344586/" TargetMode="External"/><Relationship Id="rId142" Type="http://schemas.openxmlformats.org/officeDocument/2006/relationships/hyperlink" Target="https://pubmed.ncbi.nlm.nih.gov/27089205/" TargetMode="External"/><Relationship Id="rId163" Type="http://schemas.openxmlformats.org/officeDocument/2006/relationships/hyperlink" Target="https://pubmed.ncbi.nlm.nih.gov/23929949/" TargetMode="External"/><Relationship Id="rId3" Type="http://schemas.openxmlformats.org/officeDocument/2006/relationships/hyperlink" Target="https://pubmed.ncbi.nlm.nih.gov/808142/" TargetMode="External"/><Relationship Id="rId25" Type="http://schemas.openxmlformats.org/officeDocument/2006/relationships/hyperlink" Target="https://pubmed.ncbi.nlm.nih.gov/20998311/" TargetMode="External"/><Relationship Id="rId46" Type="http://schemas.openxmlformats.org/officeDocument/2006/relationships/hyperlink" Target="https://pubmed.ncbi.nlm.nih.gov/16428791/" TargetMode="External"/><Relationship Id="rId67" Type="http://schemas.openxmlformats.org/officeDocument/2006/relationships/hyperlink" Target="https://pubmed.ncbi.nlm.nih.gov/23186785/" TargetMode="External"/><Relationship Id="rId116" Type="http://schemas.openxmlformats.org/officeDocument/2006/relationships/hyperlink" Target="https://pubmed.ncbi.nlm.nih.gov/12563811/" TargetMode="External"/><Relationship Id="rId137" Type="http://schemas.openxmlformats.org/officeDocument/2006/relationships/hyperlink" Target="https://pubmed.ncbi.nlm.nih.gov/25730467/" TargetMode="External"/><Relationship Id="rId158" Type="http://schemas.openxmlformats.org/officeDocument/2006/relationships/hyperlink" Target="https://pubmed.ncbi.nlm.nih.gov/27056954/" TargetMode="External"/><Relationship Id="rId20" Type="http://schemas.openxmlformats.org/officeDocument/2006/relationships/hyperlink" Target="https://pubmed.ncbi.nlm.nih.gov/7639017/" TargetMode="External"/><Relationship Id="rId41" Type="http://schemas.openxmlformats.org/officeDocument/2006/relationships/hyperlink" Target="https://pubmed.ncbi.nlm.nih.gov/16622201/" TargetMode="External"/><Relationship Id="rId62" Type="http://schemas.openxmlformats.org/officeDocument/2006/relationships/hyperlink" Target="https://pubmed.ncbi.nlm.nih.gov/23599283/" TargetMode="External"/><Relationship Id="rId83" Type="http://schemas.openxmlformats.org/officeDocument/2006/relationships/hyperlink" Target="https://pubmed.ncbi.nlm.nih.gov/4293015/" TargetMode="External"/><Relationship Id="rId88" Type="http://schemas.openxmlformats.org/officeDocument/2006/relationships/hyperlink" Target="https://pubmed.ncbi.nlm.nih.gov/6415182/" TargetMode="External"/><Relationship Id="rId111" Type="http://schemas.openxmlformats.org/officeDocument/2006/relationships/hyperlink" Target="https://pubmed.ncbi.nlm.nih.gov/24088113/" TargetMode="External"/><Relationship Id="rId132" Type="http://schemas.openxmlformats.org/officeDocument/2006/relationships/hyperlink" Target="https://pubmed.ncbi.nlm.nih.gov/6352386/" TargetMode="External"/><Relationship Id="rId153" Type="http://schemas.openxmlformats.org/officeDocument/2006/relationships/hyperlink" Target="https://pubmed.ncbi.nlm.nih.gov/27579859/" TargetMode="External"/><Relationship Id="rId174" Type="http://schemas.openxmlformats.org/officeDocument/2006/relationships/hyperlink" Target="https://pubmed.ncbi.nlm.nih.gov/24457412/" TargetMode="External"/><Relationship Id="rId15" Type="http://schemas.openxmlformats.org/officeDocument/2006/relationships/hyperlink" Target="https://pubmed.ncbi.nlm.nih.gov/26416102/" TargetMode="External"/><Relationship Id="rId36" Type="http://schemas.openxmlformats.org/officeDocument/2006/relationships/hyperlink" Target="https://pubmed.ncbi.nlm.nih.gov/19199547/" TargetMode="External"/><Relationship Id="rId57" Type="http://schemas.openxmlformats.org/officeDocument/2006/relationships/hyperlink" Target="https://pubmed.ncbi.nlm.nih.gov/10569746/" TargetMode="External"/><Relationship Id="rId106" Type="http://schemas.openxmlformats.org/officeDocument/2006/relationships/hyperlink" Target="https://pubmed.ncbi.nlm.nih.gov/29943719/" TargetMode="External"/><Relationship Id="rId127" Type="http://schemas.openxmlformats.org/officeDocument/2006/relationships/hyperlink" Target="https://pubmed.ncbi.nlm.nih.gov/7870140/" TargetMode="External"/><Relationship Id="rId10" Type="http://schemas.openxmlformats.org/officeDocument/2006/relationships/hyperlink" Target="https://pubmed.ncbi.nlm.nih.gov/1951863/" TargetMode="External"/><Relationship Id="rId31" Type="http://schemas.openxmlformats.org/officeDocument/2006/relationships/hyperlink" Target="https://pubmed.ncbi.nlm.nih.gov/10720550/" TargetMode="External"/><Relationship Id="rId52" Type="http://schemas.openxmlformats.org/officeDocument/2006/relationships/hyperlink" Target="https://pubmed.ncbi.nlm.nih.gov/8169411/" TargetMode="External"/><Relationship Id="rId73" Type="http://schemas.openxmlformats.org/officeDocument/2006/relationships/hyperlink" Target="https://pubmed.ncbi.nlm.nih.gov/2439920/" TargetMode="External"/><Relationship Id="rId78" Type="http://schemas.openxmlformats.org/officeDocument/2006/relationships/hyperlink" Target="https://pubmed.ncbi.nlm.nih.gov/2240371/" TargetMode="External"/><Relationship Id="rId94" Type="http://schemas.openxmlformats.org/officeDocument/2006/relationships/hyperlink" Target="https://pubmed.ncbi.nlm.nih.gov/4593870/" TargetMode="External"/><Relationship Id="rId99" Type="http://schemas.openxmlformats.org/officeDocument/2006/relationships/hyperlink" Target="https://pubmed.ncbi.nlm.nih.gov/26822406/" TargetMode="External"/><Relationship Id="rId101" Type="http://schemas.openxmlformats.org/officeDocument/2006/relationships/hyperlink" Target="https://pubmed.ncbi.nlm.nih.gov/27760143/" TargetMode="External"/><Relationship Id="rId122" Type="http://schemas.openxmlformats.org/officeDocument/2006/relationships/hyperlink" Target="https://jamanetwork.com/journals/jama/article-abstract/338539" TargetMode="External"/><Relationship Id="rId143" Type="http://schemas.openxmlformats.org/officeDocument/2006/relationships/hyperlink" Target="https://www.karger.com/Article/Abstract/403261" TargetMode="External"/><Relationship Id="rId148" Type="http://schemas.openxmlformats.org/officeDocument/2006/relationships/hyperlink" Target="https://pubmed.ncbi.nlm.nih.gov/24468542/" TargetMode="External"/><Relationship Id="rId164" Type="http://schemas.openxmlformats.org/officeDocument/2006/relationships/hyperlink" Target="https://pubmed.ncbi.nlm.nih.gov/27927680/" TargetMode="External"/><Relationship Id="rId169" Type="http://schemas.openxmlformats.org/officeDocument/2006/relationships/hyperlink" Target="https://pubmed.ncbi.nlm.nih.gov/19842970/" TargetMode="External"/><Relationship Id="rId4" Type="http://schemas.openxmlformats.org/officeDocument/2006/relationships/hyperlink" Target="https://pubmed.ncbi.nlm.nih.gov/1346766/" TargetMode="External"/><Relationship Id="rId9" Type="http://schemas.openxmlformats.org/officeDocument/2006/relationships/hyperlink" Target="https://pubmed.ncbi.nlm.nih.gov/2094588/" TargetMode="External"/><Relationship Id="rId26" Type="http://schemas.openxmlformats.org/officeDocument/2006/relationships/hyperlink" Target="https://www.biorxiv.org/content/10.1101/2020.09.14.296152v1" TargetMode="External"/><Relationship Id="rId47" Type="http://schemas.openxmlformats.org/officeDocument/2006/relationships/hyperlink" Target="https://pubmed.ncbi.nlm.nih.gov/16426809/" TargetMode="External"/><Relationship Id="rId68" Type="http://schemas.openxmlformats.org/officeDocument/2006/relationships/hyperlink" Target="https://pubmed.ncbi.nlm.nih.gov/2884410/" TargetMode="External"/><Relationship Id="rId89" Type="http://schemas.openxmlformats.org/officeDocument/2006/relationships/hyperlink" Target="https://pubmed.ncbi.nlm.nih.gov/2204243/" TargetMode="External"/><Relationship Id="rId112" Type="http://schemas.openxmlformats.org/officeDocument/2006/relationships/hyperlink" Target="https://pubmed.ncbi.nlm.nih.gov/26919472/" TargetMode="External"/><Relationship Id="rId133" Type="http://schemas.openxmlformats.org/officeDocument/2006/relationships/hyperlink" Target="https://pubmed.ncbi.nlm.nih.gov/15306577/" TargetMode="External"/><Relationship Id="rId154" Type="http://schemas.openxmlformats.org/officeDocument/2006/relationships/hyperlink" Target="https://pubmed.ncbi.nlm.nih.gov/28199305/" TargetMode="External"/><Relationship Id="rId16" Type="http://schemas.openxmlformats.org/officeDocument/2006/relationships/hyperlink" Target="https://pubmed.ncbi.nlm.nih.gov/28223498/" TargetMode="External"/><Relationship Id="rId37" Type="http://schemas.openxmlformats.org/officeDocument/2006/relationships/hyperlink" Target="https://pubmed.ncbi.nlm.nih.gov/11179317/" TargetMode="External"/><Relationship Id="rId58" Type="http://schemas.openxmlformats.org/officeDocument/2006/relationships/hyperlink" Target="https://pubmed.ncbi.nlm.nih.gov/11349097/" TargetMode="External"/><Relationship Id="rId79" Type="http://schemas.openxmlformats.org/officeDocument/2006/relationships/hyperlink" Target="https://pubmed.ncbi.nlm.nih.gov/8291822/" TargetMode="External"/><Relationship Id="rId102" Type="http://schemas.openxmlformats.org/officeDocument/2006/relationships/hyperlink" Target="https://www.ncbi.nlm.nih.gov/pmc/articles/PMC4179291/" TargetMode="External"/><Relationship Id="rId123" Type="http://schemas.openxmlformats.org/officeDocument/2006/relationships/hyperlink" Target="https://pubmed.ncbi.nlm.nih.gov/25814628/" TargetMode="External"/><Relationship Id="rId144" Type="http://schemas.openxmlformats.org/officeDocument/2006/relationships/hyperlink" Target="https://pubmed.ncbi.nlm.nih.gov/378834/" TargetMode="External"/><Relationship Id="rId90" Type="http://schemas.openxmlformats.org/officeDocument/2006/relationships/hyperlink" Target="https://pubmed.ncbi.nlm.nih.gov/7251144/" TargetMode="External"/><Relationship Id="rId165" Type="http://schemas.openxmlformats.org/officeDocument/2006/relationships/hyperlink" Target="https://pubmed.ncbi.nlm.nih.gov/28176804/" TargetMode="External"/><Relationship Id="rId27" Type="http://schemas.openxmlformats.org/officeDocument/2006/relationships/hyperlink" Target="https://clinicaltrials.gov/ct2/show/study/NCT02704533?term=NCT02704533&amp;draw=2&amp;rank=1" TargetMode="External"/><Relationship Id="rId48" Type="http://schemas.openxmlformats.org/officeDocument/2006/relationships/hyperlink" Target="https://pubmed.ncbi.nlm.nih.gov/17436224/" TargetMode="External"/><Relationship Id="rId69" Type="http://schemas.openxmlformats.org/officeDocument/2006/relationships/hyperlink" Target="https://pubmed.ncbi.nlm.nih.gov/8376823/" TargetMode="External"/><Relationship Id="rId113" Type="http://schemas.openxmlformats.org/officeDocument/2006/relationships/hyperlink" Target="https://pubmed.ncbi.nlm.nih.gov/5901572/" TargetMode="External"/><Relationship Id="rId134" Type="http://schemas.openxmlformats.org/officeDocument/2006/relationships/hyperlink" Target="https://pubmed.ncbi.nlm.nih.gov/24995531/" TargetMode="External"/><Relationship Id="rId80" Type="http://schemas.openxmlformats.org/officeDocument/2006/relationships/hyperlink" Target="https://pubmed.ncbi.nlm.nih.gov/3700610/" TargetMode="External"/><Relationship Id="rId155" Type="http://schemas.openxmlformats.org/officeDocument/2006/relationships/hyperlink" Target="https://pubmed.ncbi.nlm.nih.gov/27591323/" TargetMode="External"/><Relationship Id="rId17" Type="http://schemas.openxmlformats.org/officeDocument/2006/relationships/hyperlink" Target="https://pubmed.ncbi.nlm.nih.gov/10377124/" TargetMode="External"/><Relationship Id="rId38" Type="http://schemas.openxmlformats.org/officeDocument/2006/relationships/hyperlink" Target="https://pubmed.ncbi.nlm.nih.gov/11818898/" TargetMode="External"/><Relationship Id="rId59" Type="http://schemas.openxmlformats.org/officeDocument/2006/relationships/hyperlink" Target="https://pubmed.ncbi.nlm.nih.gov/11179379/" TargetMode="External"/><Relationship Id="rId103" Type="http://schemas.openxmlformats.org/officeDocument/2006/relationships/hyperlink" Target="https://pubmed.ncbi.nlm.nih.gov/3511753/" TargetMode="External"/><Relationship Id="rId124" Type="http://schemas.openxmlformats.org/officeDocument/2006/relationships/hyperlink" Target="https://pubmed.ncbi.nlm.nih.gov/22052893/" TargetMode="External"/><Relationship Id="rId70" Type="http://schemas.openxmlformats.org/officeDocument/2006/relationships/hyperlink" Target="https://pubmed.ncbi.nlm.nih.gov/8357078/" TargetMode="External"/><Relationship Id="rId91" Type="http://schemas.openxmlformats.org/officeDocument/2006/relationships/hyperlink" Target="https://pubmed.ncbi.nlm.nih.gov/18826818/" TargetMode="External"/><Relationship Id="rId145" Type="http://schemas.openxmlformats.org/officeDocument/2006/relationships/hyperlink" Target="https://pubmed.ncbi.nlm.nih.gov/394667/" TargetMode="External"/><Relationship Id="rId166" Type="http://schemas.openxmlformats.org/officeDocument/2006/relationships/hyperlink" Target="https://pubmed.ncbi.nlm.nih.gov/14573692/"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www.ncbi.nlm.nih.gov/pmc/articles/PMC6810285/" TargetMode="External"/><Relationship Id="rId13" Type="http://schemas.openxmlformats.org/officeDocument/2006/relationships/hyperlink" Target="https://www.ncbi.nlm.nih.gov/pmc/articles/PMC6291618/" TargetMode="External"/><Relationship Id="rId3" Type="http://schemas.openxmlformats.org/officeDocument/2006/relationships/hyperlink" Target="https://www.ncbi.nlm.nih.gov/pmc/articles/PMC7151876/" TargetMode="External"/><Relationship Id="rId7" Type="http://schemas.openxmlformats.org/officeDocument/2006/relationships/hyperlink" Target="https://www.ncbi.nlm.nih.gov/pmc/articles/PMC7168573/" TargetMode="External"/><Relationship Id="rId12" Type="http://schemas.openxmlformats.org/officeDocument/2006/relationships/hyperlink" Target="https://www.ncbi.nlm.nih.gov/pmc/articles/PMC7973060/" TargetMode="External"/><Relationship Id="rId17" Type="http://schemas.openxmlformats.org/officeDocument/2006/relationships/hyperlink" Target="https://www.ncbi.nlm.nih.gov/pmc/articles/PMC7717257/" TargetMode="External"/><Relationship Id="rId2" Type="http://schemas.openxmlformats.org/officeDocument/2006/relationships/hyperlink" Target="https://www.ncbi.nlm.nih.gov/pmc/articles/PMC7149605/" TargetMode="External"/><Relationship Id="rId16" Type="http://schemas.openxmlformats.org/officeDocument/2006/relationships/hyperlink" Target="https://www.ncbi.nlm.nih.gov/pmc/articles/PMC7798584/" TargetMode="External"/><Relationship Id="rId1" Type="http://schemas.openxmlformats.org/officeDocument/2006/relationships/hyperlink" Target="https://www.researchgate.net/profile/James-Patrie/publication/24233124_Effects_of_dietary_supplementation_with_conjugated_linoleic_acid_on_experimental_human_rhinovirus_infection_and_illness/links/5a2935464585155dd428ba6f/Effects-of-dietary-supplementation-with-conjugated-linoleic-acid-on-experimental-human-rhinovirus-infection-and-illness.pdf" TargetMode="External"/><Relationship Id="rId6" Type="http://schemas.openxmlformats.org/officeDocument/2006/relationships/hyperlink" Target="https://www.ncbi.nlm.nih.gov/pmc/articles/PMC7122369/" TargetMode="External"/><Relationship Id="rId11" Type="http://schemas.openxmlformats.org/officeDocument/2006/relationships/hyperlink" Target="https://www.ncbi.nlm.nih.gov/pmc/articles/PMC6602583/" TargetMode="External"/><Relationship Id="rId5" Type="http://schemas.openxmlformats.org/officeDocument/2006/relationships/hyperlink" Target="https://www.ncbi.nlm.nih.gov/pmc/articles/PMC7987580/" TargetMode="External"/><Relationship Id="rId15" Type="http://schemas.openxmlformats.org/officeDocument/2006/relationships/hyperlink" Target="https://www.ncbi.nlm.nih.gov/pmc/articles/PMC3009578/" TargetMode="External"/><Relationship Id="rId10" Type="http://schemas.openxmlformats.org/officeDocument/2006/relationships/hyperlink" Target="https://www.ncbi.nlm.nih.gov/pmc/articles/PMC7173443/" TargetMode="External"/><Relationship Id="rId4" Type="http://schemas.openxmlformats.org/officeDocument/2006/relationships/hyperlink" Target="https://www.ncbi.nlm.nih.gov/pmc/articles/PMC7152312/" TargetMode="External"/><Relationship Id="rId9" Type="http://schemas.openxmlformats.org/officeDocument/2006/relationships/hyperlink" Target="https://www.ncbi.nlm.nih.gov/pmc/articles/PMC7150179/" TargetMode="External"/><Relationship Id="rId14" Type="http://schemas.openxmlformats.org/officeDocument/2006/relationships/hyperlink" Target="https://pubmed.ncbi.nlm.nih.gov/31728525/" TargetMode="External"/></Relationships>
</file>

<file path=xl/worksheets/_rels/sheet19.xml.rels><?xml version="1.0" encoding="UTF-8" standalone="yes"?>
<Relationships xmlns="http://schemas.openxmlformats.org/package/2006/relationships"><Relationship Id="rId1" Type="http://schemas.openxmlformats.org/officeDocument/2006/relationships/hyperlink" Target="https://www.researchgate.net/profile/James-Patrie/publication/24233124_Effects_of_dietary_supplementation_with_conjugated_linoleic_acid_on_experimental_human_rhinovirus_infection_and_illness/links/5a2935464585155dd428ba6f/Effects-of-dietary-supplementation-with-conjugated-linoleic-acid-on-experimental-human-rhinovirus-infection-and-illness.pdf"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www.ncbi.nlm.nih.gov/pmc/articles/PMC7150179/" TargetMode="External"/><Relationship Id="rId13" Type="http://schemas.openxmlformats.org/officeDocument/2006/relationships/hyperlink" Target="https://pubmed.ncbi.nlm.nih.gov/31728525/" TargetMode="External"/><Relationship Id="rId3" Type="http://schemas.openxmlformats.org/officeDocument/2006/relationships/hyperlink" Target="https://www.ncbi.nlm.nih.gov/pmc/articles/PMC7152312/" TargetMode="External"/><Relationship Id="rId7" Type="http://schemas.openxmlformats.org/officeDocument/2006/relationships/hyperlink" Target="https://www.ncbi.nlm.nih.gov/pmc/articles/PMC6810285/" TargetMode="External"/><Relationship Id="rId12" Type="http://schemas.openxmlformats.org/officeDocument/2006/relationships/hyperlink" Target="https://www.ncbi.nlm.nih.gov/pmc/articles/PMC6291618/" TargetMode="External"/><Relationship Id="rId2" Type="http://schemas.openxmlformats.org/officeDocument/2006/relationships/hyperlink" Target="https://www.ncbi.nlm.nih.gov/pmc/articles/PMC7151876/" TargetMode="External"/><Relationship Id="rId16" Type="http://schemas.openxmlformats.org/officeDocument/2006/relationships/hyperlink" Target="https://www.ncbi.nlm.nih.gov/pmc/articles/PMC7717257/" TargetMode="External"/><Relationship Id="rId1" Type="http://schemas.openxmlformats.org/officeDocument/2006/relationships/hyperlink" Target="https://www.ncbi.nlm.nih.gov/pmc/articles/PMC7149605/" TargetMode="External"/><Relationship Id="rId6" Type="http://schemas.openxmlformats.org/officeDocument/2006/relationships/hyperlink" Target="https://www.ncbi.nlm.nih.gov/pmc/articles/PMC7168573/" TargetMode="External"/><Relationship Id="rId11" Type="http://schemas.openxmlformats.org/officeDocument/2006/relationships/hyperlink" Target="https://www.ncbi.nlm.nih.gov/pmc/articles/PMC7973060/" TargetMode="External"/><Relationship Id="rId5" Type="http://schemas.openxmlformats.org/officeDocument/2006/relationships/hyperlink" Target="https://www.ncbi.nlm.nih.gov/pmc/articles/PMC7122369/" TargetMode="External"/><Relationship Id="rId15" Type="http://schemas.openxmlformats.org/officeDocument/2006/relationships/hyperlink" Target="https://www.ncbi.nlm.nih.gov/pmc/articles/PMC7798584/" TargetMode="External"/><Relationship Id="rId10" Type="http://schemas.openxmlformats.org/officeDocument/2006/relationships/hyperlink" Target="https://www.ncbi.nlm.nih.gov/pmc/articles/PMC6602583/" TargetMode="External"/><Relationship Id="rId4" Type="http://schemas.openxmlformats.org/officeDocument/2006/relationships/hyperlink" Target="https://www.ncbi.nlm.nih.gov/pmc/articles/PMC7987580/" TargetMode="External"/><Relationship Id="rId9" Type="http://schemas.openxmlformats.org/officeDocument/2006/relationships/hyperlink" Target="https://www.ncbi.nlm.nih.gov/pmc/articles/PMC7173443/" TargetMode="External"/><Relationship Id="rId14" Type="http://schemas.openxmlformats.org/officeDocument/2006/relationships/hyperlink" Target="https://www.ncbi.nlm.nih.gov/pmc/articles/PMC3009578/" TargetMode="External"/></Relationships>
</file>

<file path=xl/worksheets/_rels/sheet26.xml.rels><?xml version="1.0" encoding="UTF-8" standalone="yes"?>
<Relationships xmlns="http://schemas.openxmlformats.org/package/2006/relationships"><Relationship Id="rId8" Type="http://schemas.openxmlformats.org/officeDocument/2006/relationships/hyperlink" Target="https://www.nejm.org/doi/full/10.1056/NEJMoa2034031" TargetMode="External"/><Relationship Id="rId3" Type="http://schemas.openxmlformats.org/officeDocument/2006/relationships/hyperlink" Target="https://pubmed.ncbi.nlm.nih.gov/27001804/" TargetMode="External"/><Relationship Id="rId7" Type="http://schemas.openxmlformats.org/officeDocument/2006/relationships/hyperlink" Target="https://pubmed.ncbi.nlm.nih.gov/15668866/" TargetMode="External"/><Relationship Id="rId2" Type="http://schemas.openxmlformats.org/officeDocument/2006/relationships/hyperlink" Target="https://pubmed.ncbi.nlm.nih.gov/1527420/" TargetMode="External"/><Relationship Id="rId1" Type="http://schemas.openxmlformats.org/officeDocument/2006/relationships/hyperlink" Target="https://pubmed.ncbi.nlm.nih.gov/21887214/" TargetMode="External"/><Relationship Id="rId6" Type="http://schemas.openxmlformats.org/officeDocument/2006/relationships/hyperlink" Target="https://pubmed.ncbi.nlm.nih.gov/23899517/" TargetMode="External"/><Relationship Id="rId5" Type="http://schemas.openxmlformats.org/officeDocument/2006/relationships/hyperlink" Target="https://pubmed.ncbi.nlm.nih.gov/33400792/" TargetMode="External"/><Relationship Id="rId10" Type="http://schemas.openxmlformats.org/officeDocument/2006/relationships/hyperlink" Target="https://journals.sagepub.com/doi/abs/10.1177/095632029100200110" TargetMode="External"/><Relationship Id="rId4" Type="http://schemas.openxmlformats.org/officeDocument/2006/relationships/hyperlink" Target="https://pubmed.ncbi.nlm.nih.gov/34194041/" TargetMode="External"/><Relationship Id="rId9" Type="http://schemas.openxmlformats.org/officeDocument/2006/relationships/hyperlink" Target="https://pubmed.ncbi.nlm.nih.gov/2170159/"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s://www.cdc.gov/norovirus/downloads/global-burden-report.pdf" TargetMode="External"/><Relationship Id="rId7" Type="http://schemas.openxmlformats.org/officeDocument/2006/relationships/drawing" Target="../drawings/drawing7.xml"/><Relationship Id="rId2" Type="http://schemas.openxmlformats.org/officeDocument/2006/relationships/hyperlink" Target="https://www.ncbi.nlm.nih.gov/pmc/articles/PMC5388903/" TargetMode="External"/><Relationship Id="rId1" Type="http://schemas.openxmlformats.org/officeDocument/2006/relationships/hyperlink" Target="https://en.wikipedia.org/wiki/Pandemic_Severity_Assessment_Framework" TargetMode="External"/><Relationship Id="rId6" Type="http://schemas.openxmlformats.org/officeDocument/2006/relationships/hyperlink" Target="https://pubmed.ncbi.nlm.nih.gov/17016951/" TargetMode="External"/><Relationship Id="rId5" Type="http://schemas.openxmlformats.org/officeDocument/2006/relationships/hyperlink" Target="https://www.medscape.com/answers/215241-93705/what-is-the-mortality-risk-for-coxsackievirus-infection" TargetMode="External"/><Relationship Id="rId4" Type="http://schemas.openxmlformats.org/officeDocument/2006/relationships/hyperlink" Target="http://textbookofbacteriology.net/Shigella.html"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s://dictionary.cambridge.org/us/media/english/us_pron/c/ces/cespu/cespus000483.mp3" TargetMode="External"/><Relationship Id="rId2" Type="http://schemas.openxmlformats.org/officeDocument/2006/relationships/hyperlink" Target="https://ssl.gstatic.com/dictionary/static/pronunciation/2021-06-17/audio/ha/haemophilus%20influenzae_en_us_1.mp3" TargetMode="External"/><Relationship Id="rId1" Type="http://schemas.openxmlformats.org/officeDocument/2006/relationships/hyperlink" Target="https://ssl.gstatic.com/dictionary/static/pronunciation/2021-06-17/audio/ha/haemophilus%20ducreyi_en_us_1.mp3" TargetMode="External"/><Relationship Id="rId5" Type="http://schemas.openxmlformats.org/officeDocument/2006/relationships/hyperlink" Target="https://en-audio.howtopronounce.com/15756076575de9dd691f7a6.mp3" TargetMode="External"/><Relationship Id="rId4" Type="http://schemas.openxmlformats.org/officeDocument/2006/relationships/hyperlink" Target="https://www.merriam-webster.com/dictionary/parainfluenza%20virus?pronunciation&amp;lang=en_us&amp;dir=p&amp;file=parain0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E34"/>
  <sheetViews>
    <sheetView tabSelected="1" workbookViewId="0">
      <selection activeCell="C19" sqref="C19"/>
    </sheetView>
  </sheetViews>
  <sheetFormatPr defaultColWidth="14.42578125" defaultRowHeight="15.75" customHeight="1"/>
  <cols>
    <col min="1" max="1" width="36.140625" customWidth="1"/>
    <col min="2" max="2" width="37.7109375" customWidth="1"/>
    <col min="4" max="4" width="13.140625" customWidth="1"/>
  </cols>
  <sheetData>
    <row r="1" spans="1:5">
      <c r="A1" s="1" t="s">
        <v>0</v>
      </c>
      <c r="B1" s="2" t="s">
        <v>1</v>
      </c>
      <c r="C1" s="403" t="s">
        <v>2</v>
      </c>
      <c r="D1" s="404"/>
    </row>
    <row r="2" spans="1:5" ht="15.75" customHeight="1">
      <c r="A2" s="3" t="s">
        <v>3</v>
      </c>
      <c r="B2" s="4" t="s">
        <v>4</v>
      </c>
      <c r="C2" s="405" t="s">
        <v>5</v>
      </c>
      <c r="D2" s="406"/>
      <c r="E2" s="5" t="s">
        <v>6</v>
      </c>
    </row>
    <row r="3" spans="1:5" ht="15.75" customHeight="1">
      <c r="A3" s="3" t="s">
        <v>7</v>
      </c>
      <c r="B3" s="4" t="s">
        <v>8</v>
      </c>
      <c r="C3" s="6" t="s">
        <v>9</v>
      </c>
      <c r="D3" s="439" t="b">
        <v>0</v>
      </c>
      <c r="E3" s="7" t="str">
        <f ca="1">IFERROR(__xludf.DUMMYFUNCTION("IFERROR(query(exclude,""select C where D = TRUE""),""None"")"),"Prechallenge")</f>
        <v>Prechallenge</v>
      </c>
    </row>
    <row r="4" spans="1:5" ht="15.75" customHeight="1">
      <c r="A4" s="3" t="s">
        <v>10</v>
      </c>
      <c r="B4" s="4" t="s">
        <v>11</v>
      </c>
      <c r="C4" s="6" t="s">
        <v>12</v>
      </c>
      <c r="D4" s="439" t="b">
        <v>1</v>
      </c>
      <c r="E4" s="8" t="str">
        <f ca="1">IFERROR(__xludf.DUMMYFUNCTION("""COMPUTED_VALUE"""),"Rechallenge")</f>
        <v>Rechallenge</v>
      </c>
    </row>
    <row r="5" spans="1:5" ht="15.75" customHeight="1">
      <c r="A5" s="3" t="s">
        <v>13</v>
      </c>
      <c r="B5" s="4" t="s">
        <v>14</v>
      </c>
      <c r="C5" s="6" t="s">
        <v>15</v>
      </c>
      <c r="D5" s="439" t="b">
        <v>1</v>
      </c>
      <c r="E5" s="8" t="str">
        <f ca="1">IFERROR(__xludf.DUMMYFUNCTION("""COMPUTED_VALUE"""),"Excluded")</f>
        <v>Excluded</v>
      </c>
    </row>
    <row r="6" spans="1:5" ht="15.75" customHeight="1">
      <c r="A6" s="3" t="s">
        <v>16</v>
      </c>
      <c r="B6" s="4" t="s">
        <v>17</v>
      </c>
      <c r="C6" s="6" t="s">
        <v>18</v>
      </c>
      <c r="D6" s="439" t="b">
        <v>0</v>
      </c>
      <c r="E6" s="8"/>
    </row>
    <row r="7" spans="1:5" ht="15.75" customHeight="1">
      <c r="A7" s="3" t="s">
        <v>19</v>
      </c>
      <c r="B7" s="4" t="s">
        <v>20</v>
      </c>
      <c r="C7" s="6" t="s">
        <v>21</v>
      </c>
      <c r="D7" s="439" t="b">
        <v>0</v>
      </c>
      <c r="E7" s="8"/>
    </row>
    <row r="8" spans="1:5" ht="15.75" customHeight="1">
      <c r="A8" s="3" t="s">
        <v>22</v>
      </c>
      <c r="B8" s="4" t="s">
        <v>23</v>
      </c>
      <c r="C8" s="6" t="s">
        <v>24</v>
      </c>
      <c r="D8" s="439" t="b">
        <v>0</v>
      </c>
      <c r="E8" s="8"/>
    </row>
    <row r="9" spans="1:5" ht="12.75">
      <c r="A9" s="9"/>
      <c r="B9" s="10"/>
      <c r="C9" s="6" t="s">
        <v>25</v>
      </c>
      <c r="D9" s="439" t="b">
        <v>0</v>
      </c>
      <c r="E9" s="8"/>
    </row>
    <row r="10" spans="1:5" ht="12.75">
      <c r="A10" s="11" t="s">
        <v>26</v>
      </c>
      <c r="B10" s="10"/>
      <c r="C10" s="6" t="s">
        <v>6</v>
      </c>
      <c r="D10" s="439" t="b">
        <v>1</v>
      </c>
      <c r="E10" s="8"/>
    </row>
    <row r="11" spans="1:5" ht="26.25" thickBot="1">
      <c r="A11" s="3" t="s">
        <v>27</v>
      </c>
      <c r="B11" s="4" t="s">
        <v>28</v>
      </c>
      <c r="C11" s="12" t="s">
        <v>29</v>
      </c>
      <c r="D11" s="440" t="b">
        <v>0</v>
      </c>
      <c r="E11" s="8"/>
    </row>
    <row r="12" spans="1:5" ht="38.25">
      <c r="A12" s="3" t="s">
        <v>30</v>
      </c>
      <c r="B12" s="4" t="s">
        <v>31</v>
      </c>
      <c r="C12" s="13" t="str" cm="1">
        <f t="array" ref="C12">_xlfn.TEXTJOIN("|",TRUE,IF($D$3:$D$11=TRUE,$C$3:$C$11,""))</f>
        <v>Prechallenge|Rechallenge|Excluded</v>
      </c>
      <c r="D12" s="14"/>
      <c r="E12" s="8"/>
    </row>
    <row r="13" spans="1:5" ht="12.75">
      <c r="A13" s="9"/>
      <c r="B13" s="10"/>
      <c r="C13" s="9"/>
      <c r="E13" s="8"/>
    </row>
    <row r="14" spans="1:5" ht="12.75">
      <c r="A14" s="11" t="s">
        <v>32</v>
      </c>
      <c r="B14" s="10"/>
      <c r="C14" s="9"/>
    </row>
    <row r="15" spans="1:5" ht="25.5">
      <c r="A15" s="3" t="s">
        <v>33</v>
      </c>
      <c r="B15" s="4" t="s">
        <v>34</v>
      </c>
      <c r="C15" s="9"/>
    </row>
    <row r="16" spans="1:5" ht="25.5">
      <c r="A16" s="3" t="s">
        <v>35</v>
      </c>
      <c r="B16" s="4" t="s">
        <v>36</v>
      </c>
      <c r="C16" s="9"/>
    </row>
    <row r="17" spans="1:3" ht="12.75">
      <c r="A17" s="9"/>
      <c r="B17" s="10"/>
      <c r="C17" s="9"/>
    </row>
    <row r="18" spans="1:3" ht="12.75">
      <c r="A18" s="11" t="s">
        <v>37</v>
      </c>
      <c r="B18" s="10"/>
      <c r="C18" s="9"/>
    </row>
    <row r="19" spans="1:3" ht="25.5">
      <c r="A19" s="3" t="s">
        <v>38</v>
      </c>
      <c r="B19" s="4" t="s">
        <v>39</v>
      </c>
      <c r="C19" s="9"/>
    </row>
    <row r="20" spans="1:3" ht="12.75">
      <c r="A20" s="441" t="s">
        <v>40</v>
      </c>
      <c r="B20" s="10"/>
      <c r="C20" s="9"/>
    </row>
    <row r="21" spans="1:3" ht="12.75">
      <c r="A21" s="441" t="s">
        <v>41</v>
      </c>
      <c r="B21" s="10"/>
      <c r="C21" s="9"/>
    </row>
    <row r="22" spans="1:3" ht="12.75">
      <c r="A22" s="441" t="s">
        <v>42</v>
      </c>
      <c r="B22" s="10"/>
      <c r="C22" s="9"/>
    </row>
    <row r="23" spans="1:3" ht="12.75">
      <c r="A23" s="9"/>
      <c r="B23" s="10"/>
      <c r="C23" s="9"/>
    </row>
    <row r="24" spans="1:3" ht="12.75">
      <c r="A24" s="11" t="s">
        <v>43</v>
      </c>
      <c r="B24" s="10"/>
      <c r="C24" s="9"/>
    </row>
    <row r="25" spans="1:3" ht="12.75">
      <c r="A25" s="441" t="s">
        <v>44</v>
      </c>
      <c r="B25" s="10"/>
      <c r="C25" s="9"/>
    </row>
    <row r="26" spans="1:3" ht="12.75">
      <c r="A26" s="441" t="s">
        <v>45</v>
      </c>
      <c r="B26" s="10"/>
      <c r="C26" s="9"/>
    </row>
    <row r="27" spans="1:3" ht="12.75">
      <c r="A27" s="441" t="s">
        <v>46</v>
      </c>
      <c r="B27" s="10"/>
      <c r="C27" s="9"/>
    </row>
    <row r="28" spans="1:3" ht="12.75">
      <c r="A28" s="9"/>
      <c r="B28" s="10"/>
      <c r="C28" s="9"/>
    </row>
    <row r="29" spans="1:3" ht="12.75">
      <c r="A29" s="11" t="s">
        <v>47</v>
      </c>
      <c r="B29" s="10"/>
      <c r="C29" s="9"/>
    </row>
    <row r="30" spans="1:3" ht="38.25">
      <c r="A30" s="441" t="s">
        <v>48</v>
      </c>
      <c r="B30" s="4" t="s">
        <v>49</v>
      </c>
      <c r="C30" s="9"/>
    </row>
    <row r="31" spans="1:3" ht="12.75">
      <c r="A31" s="15"/>
      <c r="B31" s="4"/>
      <c r="C31" s="9"/>
    </row>
    <row r="32" spans="1:3" ht="35.25" customHeight="1">
      <c r="A32" s="16" t="s">
        <v>50</v>
      </c>
      <c r="B32" s="4"/>
      <c r="C32" s="9"/>
    </row>
    <row r="33" spans="1:3" ht="12.75">
      <c r="A33" s="441" t="s">
        <v>51</v>
      </c>
      <c r="B33" s="4" t="s">
        <v>52</v>
      </c>
      <c r="C33" s="9"/>
    </row>
    <row r="34" spans="1:3" ht="12.75">
      <c r="A34" s="441" t="s">
        <v>53</v>
      </c>
      <c r="B34" s="10"/>
    </row>
  </sheetData>
  <mergeCells count="2">
    <mergeCell ref="C1:D1"/>
    <mergeCell ref="C2:D2"/>
  </mergeCells>
  <hyperlinks>
    <hyperlink ref="A11" location="Included!A1" display="Included" xr:uid="{00000000-0004-0000-0000-000007000000}"/>
    <hyperlink ref="A12" location="'Full-text Review'!A1" display="Full-text Review" xr:uid="{00000000-0004-0000-0000-000008000000}"/>
    <hyperlink ref="A15" location="'Reasons for Exclusion - Full-te'!A1" display="Reasons for Exclusion - Full-text Review" xr:uid="{00000000-0004-0000-0000-000009000000}"/>
    <hyperlink ref="A16" location="'Reasons for Exclusion - Screeni'!A1" display="Reasons for Exclusion - Screening" xr:uid="{00000000-0004-0000-0000-00000A000000}"/>
    <hyperlink ref="A19" location="'Screening - 10.7.21 Results'!A1" display="Screening - 10.7.21 Results" xr:uid="{00000000-0004-0000-0000-00000B000000}"/>
    <hyperlink ref="A20" location="'Screening - 6.1.21 Results'!A1" display="Screening - 7.1.21 Results" xr:uid="{00000000-0004-0000-0000-00000C000000}"/>
    <hyperlink ref="A21" location="'Screening - 4.20.21 Results'!A1" display="Screening - 4.20.21 Results" xr:uid="{00000000-0004-0000-0000-00000D000000}"/>
    <hyperlink ref="A22" location="'Screening - 4.14.21 Results'!A1" display="Screening - 4.14.21 Results" xr:uid="{00000000-0004-0000-0000-00000E000000}"/>
    <hyperlink ref="A25" location="'PubMed 10.7.21 Results'!A1" display="PubMed - 10.7.21 Results" xr:uid="{00000000-0004-0000-0000-00000F000000}"/>
    <hyperlink ref="A26" location="'PubMed 7.1.21 Results'!A1" display="PubMed - 7.1.21 Results" xr:uid="{00000000-0004-0000-0000-000010000000}"/>
    <hyperlink ref="A27" location="'PMC 4.20.21 Results'!A1" display="PMC 4.20.21 Results" xr:uid="{00000000-0004-0000-0000-000011000000}"/>
    <hyperlink ref="A30" location="'Additional Studies'!A1" display="Additional Studies" xr:uid="{00000000-0004-0000-0000-000012000000}"/>
    <hyperlink ref="A33" location="CatTag!A1" display="CatTag" xr:uid="{00000000-0004-0000-0000-000013000000}"/>
    <hyperlink ref="A34" location="'Scratchpad for Graphs'!A1" display="Scratchpad for Graphs" xr:uid="{00000000-0004-0000-0000-000014000000}"/>
    <hyperlink ref="A8" location="'TAB 3'!A1" display="TAB 3" xr:uid="{00000000-0004-0000-0000-000006000000}"/>
    <hyperlink ref="A7" location="'Table 3c (AE)'!A1" display="Table 3c (AE)" xr:uid="{00000000-0004-0000-0000-000005000000}"/>
    <hyperlink ref="A6" location="'Table 3c'!A1" display="Table 3c" xr:uid="{00000000-0004-0000-0000-000004000000}"/>
    <hyperlink ref="A5" location="'Graphic 2'!C1" display="Graphic 2" xr:uid="{00000000-0004-0000-0000-000003000000}"/>
    <hyperlink ref="A4" location="'Graphic 1'!H3" display="Graphic 1" xr:uid="{00000000-0004-0000-0000-000002000000}"/>
    <hyperlink ref="A3" location="'TAB 2'!A1" display="TAB 2" xr:uid="{00000000-0004-0000-0000-000001000000}"/>
    <hyperlink ref="A2" location="'TAB 1'!A1" display="TAB 1" xr:uid="{00000000-0004-0000-0000-00000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3" r:id="rId4" name="Check Box 29">
              <controlPr defaultSize="0" autoFill="0" autoLine="0" autoPict="0">
                <anchor moveWithCells="1">
                  <from>
                    <xdr:col>3</xdr:col>
                    <xdr:colOff>0</xdr:colOff>
                    <xdr:row>2</xdr:row>
                    <xdr:rowOff>0</xdr:rowOff>
                  </from>
                  <to>
                    <xdr:col>3</xdr:col>
                    <xdr:colOff>295275</xdr:colOff>
                    <xdr:row>3</xdr:row>
                    <xdr:rowOff>9525</xdr:rowOff>
                  </to>
                </anchor>
              </controlPr>
            </control>
          </mc:Choice>
        </mc:AlternateContent>
        <mc:AlternateContent xmlns:mc="http://schemas.openxmlformats.org/markup-compatibility/2006">
          <mc:Choice Requires="x14">
            <control shapeId="1054" r:id="rId5" name="Check Box 30">
              <controlPr defaultSize="0" autoFill="0" autoLine="0" autoPict="0">
                <anchor moveWithCells="1">
                  <from>
                    <xdr:col>3</xdr:col>
                    <xdr:colOff>0</xdr:colOff>
                    <xdr:row>3</xdr:row>
                    <xdr:rowOff>0</xdr:rowOff>
                  </from>
                  <to>
                    <xdr:col>3</xdr:col>
                    <xdr:colOff>295275</xdr:colOff>
                    <xdr:row>4</xdr:row>
                    <xdr:rowOff>9525</xdr:rowOff>
                  </to>
                </anchor>
              </controlPr>
            </control>
          </mc:Choice>
        </mc:AlternateContent>
        <mc:AlternateContent xmlns:mc="http://schemas.openxmlformats.org/markup-compatibility/2006">
          <mc:Choice Requires="x14">
            <control shapeId="1055" r:id="rId6" name="Check Box 31">
              <controlPr defaultSize="0" autoFill="0" autoLine="0" autoPict="0">
                <anchor moveWithCells="1">
                  <from>
                    <xdr:col>3</xdr:col>
                    <xdr:colOff>0</xdr:colOff>
                    <xdr:row>4</xdr:row>
                    <xdr:rowOff>0</xdr:rowOff>
                  </from>
                  <to>
                    <xdr:col>3</xdr:col>
                    <xdr:colOff>295275</xdr:colOff>
                    <xdr:row>5</xdr:row>
                    <xdr:rowOff>9525</xdr:rowOff>
                  </to>
                </anchor>
              </controlPr>
            </control>
          </mc:Choice>
        </mc:AlternateContent>
        <mc:AlternateContent xmlns:mc="http://schemas.openxmlformats.org/markup-compatibility/2006">
          <mc:Choice Requires="x14">
            <control shapeId="1056" r:id="rId7" name="Check Box 32">
              <controlPr defaultSize="0" autoFill="0" autoLine="0" autoPict="0">
                <anchor moveWithCells="1">
                  <from>
                    <xdr:col>3</xdr:col>
                    <xdr:colOff>0</xdr:colOff>
                    <xdr:row>5</xdr:row>
                    <xdr:rowOff>0</xdr:rowOff>
                  </from>
                  <to>
                    <xdr:col>3</xdr:col>
                    <xdr:colOff>295275</xdr:colOff>
                    <xdr:row>6</xdr:row>
                    <xdr:rowOff>9525</xdr:rowOff>
                  </to>
                </anchor>
              </controlPr>
            </control>
          </mc:Choice>
        </mc:AlternateContent>
        <mc:AlternateContent xmlns:mc="http://schemas.openxmlformats.org/markup-compatibility/2006">
          <mc:Choice Requires="x14">
            <control shapeId="1057" r:id="rId8" name="Check Box 33">
              <controlPr defaultSize="0" autoFill="0" autoLine="0" autoPict="0">
                <anchor moveWithCells="1">
                  <from>
                    <xdr:col>3</xdr:col>
                    <xdr:colOff>0</xdr:colOff>
                    <xdr:row>6</xdr:row>
                    <xdr:rowOff>0</xdr:rowOff>
                  </from>
                  <to>
                    <xdr:col>3</xdr:col>
                    <xdr:colOff>295275</xdr:colOff>
                    <xdr:row>7</xdr:row>
                    <xdr:rowOff>9525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3</xdr:col>
                    <xdr:colOff>0</xdr:colOff>
                    <xdr:row>7</xdr:row>
                    <xdr:rowOff>0</xdr:rowOff>
                  </from>
                  <to>
                    <xdr:col>3</xdr:col>
                    <xdr:colOff>295275</xdr:colOff>
                    <xdr:row>8</xdr:row>
                    <xdr:rowOff>9525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3</xdr:col>
                    <xdr:colOff>0</xdr:colOff>
                    <xdr:row>8</xdr:row>
                    <xdr:rowOff>0</xdr:rowOff>
                  </from>
                  <to>
                    <xdr:col>3</xdr:col>
                    <xdr:colOff>295275</xdr:colOff>
                    <xdr:row>9</xdr:row>
                    <xdr:rowOff>47625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3</xdr:col>
                    <xdr:colOff>0</xdr:colOff>
                    <xdr:row>9</xdr:row>
                    <xdr:rowOff>0</xdr:rowOff>
                  </from>
                  <to>
                    <xdr:col>3</xdr:col>
                    <xdr:colOff>295275</xdr:colOff>
                    <xdr:row>10</xdr:row>
                    <xdr:rowOff>47625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3</xdr:col>
                    <xdr:colOff>0</xdr:colOff>
                    <xdr:row>10</xdr:row>
                    <xdr:rowOff>0</xdr:rowOff>
                  </from>
                  <to>
                    <xdr:col>3</xdr:col>
                    <xdr:colOff>295275</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H66"/>
  <sheetViews>
    <sheetView workbookViewId="0">
      <selection sqref="A1:B1"/>
    </sheetView>
  </sheetViews>
  <sheetFormatPr defaultColWidth="14.42578125" defaultRowHeight="15.75" customHeight="1"/>
  <cols>
    <col min="1" max="1" width="45.5703125" customWidth="1"/>
    <col min="2" max="2" width="24.5703125" customWidth="1"/>
  </cols>
  <sheetData>
    <row r="1" spans="1:8">
      <c r="A1" s="413" t="s">
        <v>32</v>
      </c>
      <c r="B1" s="409"/>
      <c r="D1" s="413" t="s">
        <v>54</v>
      </c>
      <c r="E1" s="408"/>
      <c r="F1" s="408"/>
      <c r="G1" s="408"/>
      <c r="H1" s="409"/>
    </row>
    <row r="2" spans="1:8">
      <c r="A2" s="17" t="s">
        <v>55</v>
      </c>
      <c r="B2" s="18" t="s">
        <v>56</v>
      </c>
      <c r="D2" s="412" t="s">
        <v>57</v>
      </c>
      <c r="E2" s="408"/>
      <c r="F2" s="409"/>
      <c r="G2" s="412" t="s">
        <v>56</v>
      </c>
      <c r="H2" s="409"/>
    </row>
    <row r="3" spans="1:8">
      <c r="A3" s="19" t="s">
        <v>58</v>
      </c>
      <c r="B3" s="20">
        <f ca="1">IFERROR(__xludf.DUMMYFUNCTION(" QUERY(xscreened,""select count(N) label count(N) ''"") + QUERY(xscreened,""select count(O) label count(O) ''"")"),1053)</f>
        <v>1053</v>
      </c>
      <c r="D3" s="407" t="s">
        <v>59</v>
      </c>
      <c r="E3" s="408"/>
      <c r="F3" s="409"/>
      <c r="G3" s="410">
        <f>COUNTIFS('Reasons for Exclusion - Full-te'!J:J, "1", 'Reasons for Exclusion - Full-te'!W:W, "Search")</f>
        <v>0</v>
      </c>
      <c r="H3" s="409"/>
    </row>
    <row r="4" spans="1:8">
      <c r="A4" s="21" t="s">
        <v>60</v>
      </c>
      <c r="B4" s="20">
        <f ca="1">IFERROR(__xludf.DUMMYFUNCTION(" QUERY(xscreened,""select count(J) label count(J) ''"")"),974)</f>
        <v>974</v>
      </c>
      <c r="D4" s="407" t="s">
        <v>58</v>
      </c>
      <c r="E4" s="408"/>
      <c r="F4" s="409"/>
      <c r="G4" s="410">
        <f>COUNTIFS('Reasons for Exclusion - Full-te'!K:K, "1", 'Reasons for Exclusion - Full-te'!W:W, "Search") + COUNTIFS('Reasons for Exclusion - Full-te'!P:P, "1", 'Reasons for Exclusion - Full-te'!W:W, "Search")</f>
        <v>26</v>
      </c>
      <c r="H4" s="409"/>
    </row>
    <row r="5" spans="1:8">
      <c r="A5" s="19" t="s">
        <v>61</v>
      </c>
      <c r="B5" s="22">
        <f ca="1">IFERROR(__xludf.DUMMYFUNCTION(" QUERY(xscreened,""select count(L) label count(L) ''"")"),327)</f>
        <v>327</v>
      </c>
      <c r="D5" s="407" t="s">
        <v>62</v>
      </c>
      <c r="E5" s="408"/>
      <c r="F5" s="409"/>
      <c r="G5" s="410">
        <f>COUNTIFS('Reasons for Exclusion - Full-te'!L:L, "1", 'Reasons for Exclusion - Full-te'!W:W, "Search")</f>
        <v>18</v>
      </c>
      <c r="H5" s="409"/>
    </row>
    <row r="6" spans="1:8">
      <c r="A6" s="23" t="s">
        <v>63</v>
      </c>
      <c r="B6" s="20">
        <f ca="1">IFERROR(__xludf.DUMMYFUNCTION(" QUERY(xscreened,""select count(M) label count(M) ''"")"),38)</f>
        <v>38</v>
      </c>
      <c r="D6" s="407" t="s">
        <v>64</v>
      </c>
      <c r="E6" s="408"/>
      <c r="F6" s="409"/>
      <c r="G6" s="410">
        <f>COUNTIFS('Reasons for Exclusion - Full-te'!O:O, "1", 'Reasons for Exclusion - Full-te'!W:W, "Search")</f>
        <v>19</v>
      </c>
      <c r="H6" s="409"/>
    </row>
    <row r="7" spans="1:8">
      <c r="A7" s="21" t="s">
        <v>65</v>
      </c>
      <c r="B7" s="20">
        <f ca="1">IFERROR(__xludf.DUMMYFUNCTION(" QUERY(xscreened,""select count(K) label count(K) ''"")"),21)</f>
        <v>21</v>
      </c>
      <c r="D7" s="407" t="s">
        <v>66</v>
      </c>
      <c r="E7" s="408"/>
      <c r="F7" s="409"/>
      <c r="G7" s="410">
        <f>COUNTIFS('Reasons for Exclusion - Full-te'!R:R, "1", 'Reasons for Exclusion - Full-te'!W:W, "Search")</f>
        <v>0</v>
      </c>
      <c r="H7" s="409"/>
    </row>
    <row r="8" spans="1:8">
      <c r="A8" s="21" t="s">
        <v>67</v>
      </c>
      <c r="B8" s="20">
        <f ca="1">IFERROR(__xludf.DUMMYFUNCTION(" QUERY(xscreened,""select count(P) label count(P) ''"")"),1)</f>
        <v>1</v>
      </c>
      <c r="D8" s="407" t="s">
        <v>68</v>
      </c>
      <c r="E8" s="408"/>
      <c r="F8" s="409"/>
      <c r="G8" s="410">
        <f>COUNTIFS('Reasons for Exclusion - Full-te'!S:S, "1", 'Reasons for Exclusion - Full-te'!W:W, "Search")</f>
        <v>14</v>
      </c>
      <c r="H8" s="409"/>
    </row>
    <row r="9" spans="1:8">
      <c r="A9" s="24" t="s">
        <v>69</v>
      </c>
      <c r="B9" s="25">
        <f ca="1">SUM(B3:B8)</f>
        <v>2414</v>
      </c>
      <c r="D9" s="407" t="s">
        <v>70</v>
      </c>
      <c r="E9" s="408"/>
      <c r="F9" s="409"/>
      <c r="G9" s="410">
        <f>COUNTIFS('Reasons for Exclusion - Full-te'!M:M, "1", 'Reasons for Exclusion - Full-te'!W:W, "Search")</f>
        <v>1</v>
      </c>
      <c r="H9" s="409"/>
    </row>
    <row r="10" spans="1:8">
      <c r="A10" s="18" t="s">
        <v>71</v>
      </c>
      <c r="B10" s="18" t="s">
        <v>56</v>
      </c>
      <c r="D10" s="407" t="s">
        <v>72</v>
      </c>
      <c r="E10" s="408"/>
      <c r="F10" s="409"/>
      <c r="G10" s="410">
        <f>COUNTIFS('Reasons for Exclusion - Full-te'!Q:Q, "1", 'Reasons for Exclusion - Full-te'!W:W, "Search")</f>
        <v>1</v>
      </c>
      <c r="H10" s="409"/>
    </row>
    <row r="11" spans="1:8">
      <c r="A11" s="24" t="s">
        <v>67</v>
      </c>
      <c r="B11" s="20">
        <f ca="1">IFERROR(__xludf.DUMMYFUNCTION("QUERY(xreviewed,""select count(O) label count(O) ''"")"),47)</f>
        <v>47</v>
      </c>
      <c r="D11" s="407" t="s">
        <v>73</v>
      </c>
      <c r="E11" s="408"/>
      <c r="F11" s="409"/>
      <c r="G11" s="410">
        <f>COUNTIFS('Reasons for Exclusion - Full-te'!N:N, "1", 'Reasons for Exclusion - Full-te'!W:W, "Search")</f>
        <v>0</v>
      </c>
      <c r="H11" s="409"/>
    </row>
    <row r="12" spans="1:8">
      <c r="A12" s="24" t="s">
        <v>68</v>
      </c>
      <c r="B12" s="20">
        <f ca="1">IFERROR(__xludf.DUMMYFUNCTION("QUERY(xreviewed,""select count(S) label count(S) ''"")"),30)</f>
        <v>30</v>
      </c>
      <c r="D12" s="407" t="s">
        <v>74</v>
      </c>
      <c r="E12" s="408"/>
      <c r="F12" s="409"/>
      <c r="G12" s="410">
        <f>COUNTIFS('Reasons for Exclusion - Full-te'!T:T, "1", 'Reasons for Exclusion - Full-te'!W:W, "Search")</f>
        <v>1</v>
      </c>
      <c r="H12" s="409"/>
    </row>
    <row r="13" spans="1:8">
      <c r="A13" s="26" t="s">
        <v>58</v>
      </c>
      <c r="B13" s="20">
        <f ca="1">IFERROR(__xludf.DUMMYFUNCTION("QUERY(xreviewed,""select count(K) label count(K) ''"") + QUERY(xreviewed,""select count(P) label count(P) ''"")"),28)</f>
        <v>28</v>
      </c>
      <c r="D13" s="407" t="s">
        <v>63</v>
      </c>
      <c r="E13" s="408"/>
      <c r="F13" s="409"/>
      <c r="G13" s="411">
        <f>COUNTIFS('Reasons for Exclusion - Full-te'!U:U, "1", 'Reasons for Exclusion - Full-te'!W:W, "Search")</f>
        <v>0</v>
      </c>
      <c r="H13" s="409"/>
    </row>
    <row r="14" spans="1:8">
      <c r="A14" s="19" t="s">
        <v>62</v>
      </c>
      <c r="B14" s="20">
        <f ca="1">IFERROR(__xludf.DUMMYFUNCTION("QUERY(xreviewed,""select count(L) label count(L) ''"")"),26)</f>
        <v>26</v>
      </c>
      <c r="D14" s="407" t="s">
        <v>69</v>
      </c>
      <c r="E14" s="408"/>
      <c r="F14" s="409"/>
      <c r="G14" s="410">
        <f>SUM(G3:G13)</f>
        <v>80</v>
      </c>
      <c r="H14" s="409"/>
    </row>
    <row r="15" spans="1:8">
      <c r="A15" s="24" t="s">
        <v>74</v>
      </c>
      <c r="B15" s="20">
        <f ca="1">IFERROR(__xludf.DUMMYFUNCTION("QUERY(xreviewed,""select count(T) label count(T) ''"")"),6)</f>
        <v>6</v>
      </c>
      <c r="D15" s="412" t="s">
        <v>75</v>
      </c>
      <c r="E15" s="408"/>
      <c r="F15" s="409"/>
      <c r="G15" s="412" t="s">
        <v>56</v>
      </c>
      <c r="H15" s="409"/>
    </row>
    <row r="16" spans="1:8">
      <c r="A16" s="24" t="s">
        <v>76</v>
      </c>
      <c r="B16" s="20">
        <f ca="1">IFERROR(__xludf.DUMMYFUNCTION("QUERY(xreviewed,""select count(Q) label count(Q) ''"")"),5)</f>
        <v>5</v>
      </c>
      <c r="D16" s="407" t="s">
        <v>59</v>
      </c>
      <c r="E16" s="408"/>
      <c r="F16" s="409"/>
      <c r="G16" s="410">
        <f>COUNTIFS('Reasons for Exclusion - Full-te'!J:J, "1", 'Reasons for Exclusion - Full-te'!W:W, "Reference")</f>
        <v>1</v>
      </c>
      <c r="H16" s="409"/>
    </row>
    <row r="17" spans="1:8">
      <c r="A17" s="24" t="s">
        <v>73</v>
      </c>
      <c r="B17" s="20">
        <f ca="1">IFERROR(__xludf.DUMMYFUNCTION("QUERY(xreviewed,""select count(N) label count(N) ''"")"),2)</f>
        <v>2</v>
      </c>
      <c r="D17" s="407" t="s">
        <v>58</v>
      </c>
      <c r="E17" s="408"/>
      <c r="F17" s="409"/>
      <c r="G17" s="410">
        <f>COUNTIFS('Reasons for Exclusion - Full-te'!K:K, "1", 'Reasons for Exclusion - Full-te'!W:W, "Reference") + COUNTIFS('Reasons for Exclusion - Full-te'!P:P, "1", 'Reasons for Exclusion - Full-te'!W:W, "Reference")</f>
        <v>1</v>
      </c>
      <c r="H17" s="409"/>
    </row>
    <row r="18" spans="1:8">
      <c r="A18" s="19" t="s">
        <v>59</v>
      </c>
      <c r="B18" s="20">
        <f ca="1">IFERROR(__xludf.DUMMYFUNCTION("QUERY(xreviewed,""select count(J) label count(J) ''"")"),1)</f>
        <v>1</v>
      </c>
      <c r="D18" s="407" t="s">
        <v>62</v>
      </c>
      <c r="E18" s="408"/>
      <c r="F18" s="409"/>
      <c r="G18" s="410">
        <f>COUNTIFS('Reasons for Exclusion - Full-te'!L:L, "1", 'Reasons for Exclusion - Full-te'!W:W, "Reference")</f>
        <v>5</v>
      </c>
      <c r="H18" s="409"/>
    </row>
    <row r="19" spans="1:8">
      <c r="A19" s="27" t="s">
        <v>77</v>
      </c>
      <c r="B19" s="20">
        <f ca="1">IFERROR(__xludf.DUMMYFUNCTION("QUERY(xreviewed,""select count(M) label count(M) ''"")"),1)</f>
        <v>1</v>
      </c>
      <c r="D19" s="407" t="s">
        <v>64</v>
      </c>
      <c r="E19" s="408"/>
      <c r="F19" s="409"/>
      <c r="G19" s="410">
        <f>COUNTIFS('Reasons for Exclusion - Full-te'!O:O, "1", 'Reasons for Exclusion - Full-te'!W:W, "Reference")</f>
        <v>24</v>
      </c>
      <c r="H19" s="409"/>
    </row>
    <row r="20" spans="1:8">
      <c r="A20" s="24" t="s">
        <v>66</v>
      </c>
      <c r="B20" s="20">
        <f ca="1">IFERROR(__xludf.DUMMYFUNCTION("QUERY(xreviewed,""select count(R) label count(R) ''"")"),1)</f>
        <v>1</v>
      </c>
      <c r="D20" s="407" t="s">
        <v>66</v>
      </c>
      <c r="E20" s="408"/>
      <c r="F20" s="409"/>
      <c r="G20" s="410">
        <f>COUNTIFS('Reasons for Exclusion - Full-te'!R:R, "1", 'Reasons for Exclusion - Full-te'!W:W, "Reference")</f>
        <v>0</v>
      </c>
      <c r="H20" s="409"/>
    </row>
    <row r="21" spans="1:8">
      <c r="A21" s="24" t="s">
        <v>63</v>
      </c>
      <c r="B21" s="20">
        <f ca="1">IFERROR(__xludf.DUMMYFUNCTION("QUERY(xreviewed,""select count(U) label count(U) ''"")"),1)</f>
        <v>1</v>
      </c>
      <c r="D21" s="407" t="s">
        <v>68</v>
      </c>
      <c r="E21" s="408"/>
      <c r="F21" s="409"/>
      <c r="G21" s="410">
        <f>COUNTIFS('Reasons for Exclusion - Full-te'!S:S, "1", 'Reasons for Exclusion - Full-te'!W:W, "Reference")</f>
        <v>6</v>
      </c>
      <c r="H21" s="409"/>
    </row>
    <row r="22" spans="1:8">
      <c r="A22" s="24" t="s">
        <v>69</v>
      </c>
      <c r="B22" s="25">
        <f ca="1">SUM(B11:B21)</f>
        <v>148</v>
      </c>
      <c r="D22" s="407" t="s">
        <v>70</v>
      </c>
      <c r="E22" s="408"/>
      <c r="F22" s="409"/>
      <c r="G22" s="410">
        <f>COUNTIFS('Reasons for Exclusion - Full-te'!M:M, "1", 'Reasons for Exclusion - Full-te'!W:W, "Reference")</f>
        <v>0</v>
      </c>
      <c r="H22" s="409"/>
    </row>
    <row r="23" spans="1:8">
      <c r="D23" s="407" t="s">
        <v>72</v>
      </c>
      <c r="E23" s="408"/>
      <c r="F23" s="409"/>
      <c r="G23" s="410">
        <f>COUNTIFS('Reasons for Exclusion - Full-te'!Q:Q, "1", 'Reasons for Exclusion - Full-te'!W:W, "Reference")</f>
        <v>3</v>
      </c>
      <c r="H23" s="409"/>
    </row>
    <row r="24" spans="1:8">
      <c r="D24" s="407" t="s">
        <v>73</v>
      </c>
      <c r="E24" s="408"/>
      <c r="F24" s="409"/>
      <c r="G24" s="410">
        <f>COUNTIFS('Reasons for Exclusion - Full-te'!N:N, "1", 'Reasons for Exclusion - Full-te'!W:W, "Reference")</f>
        <v>0</v>
      </c>
      <c r="H24" s="409"/>
    </row>
    <row r="25" spans="1:8">
      <c r="D25" s="407" t="s">
        <v>74</v>
      </c>
      <c r="E25" s="408"/>
      <c r="F25" s="409"/>
      <c r="G25" s="410">
        <f>COUNTIFS('Reasons for Exclusion - Full-te'!T:T, "1", 'Reasons for Exclusion - Full-te'!W:W, "Reference")</f>
        <v>5</v>
      </c>
      <c r="H25" s="409"/>
    </row>
    <row r="26" spans="1:8">
      <c r="D26" s="407" t="s">
        <v>63</v>
      </c>
      <c r="E26" s="408"/>
      <c r="F26" s="409"/>
      <c r="G26" s="411">
        <f>COUNTIFS('Reasons for Exclusion - Full-te'!U:U, "1", 'Reasons for Exclusion - Full-te'!W:W, "Reference")</f>
        <v>0</v>
      </c>
      <c r="H26" s="409"/>
    </row>
    <row r="27" spans="1:8">
      <c r="D27" s="407" t="s">
        <v>69</v>
      </c>
      <c r="E27" s="408"/>
      <c r="F27" s="409"/>
      <c r="G27" s="410">
        <f>SUM(G16:G26)</f>
        <v>45</v>
      </c>
      <c r="H27" s="409"/>
    </row>
    <row r="28" spans="1:8">
      <c r="D28" s="412" t="s">
        <v>78</v>
      </c>
      <c r="E28" s="408"/>
      <c r="F28" s="409"/>
      <c r="G28" s="412" t="s">
        <v>56</v>
      </c>
      <c r="H28" s="409"/>
    </row>
    <row r="29" spans="1:8">
      <c r="D29" s="407" t="s">
        <v>59</v>
      </c>
      <c r="E29" s="408"/>
      <c r="F29" s="409"/>
      <c r="G29" s="410">
        <f>COUNTIFS('Reasons for Exclusion - Full-te'!J:J, "1", 'Reasons for Exclusion - Full-te'!W:W, "Zeb")</f>
        <v>0</v>
      </c>
      <c r="H29" s="409"/>
    </row>
    <row r="30" spans="1:8">
      <c r="D30" s="407" t="s">
        <v>58</v>
      </c>
      <c r="E30" s="408"/>
      <c r="F30" s="409"/>
      <c r="G30" s="410">
        <f>COUNTIFS('Reasons for Exclusion - Full-te'!K:K, "1", 'Reasons for Exclusion - Full-te'!W:W, "Zeb") + COUNTIFS('Reasons for Exclusion - Full-te'!P:P, "1", 'Reasons for Exclusion - Full-te'!W:W, "Zeb")</f>
        <v>1</v>
      </c>
      <c r="H30" s="409"/>
    </row>
    <row r="31" spans="1:8">
      <c r="D31" s="407" t="s">
        <v>62</v>
      </c>
      <c r="E31" s="408"/>
      <c r="F31" s="409"/>
      <c r="G31" s="410">
        <f>COUNTIFS('Reasons for Exclusion - Full-te'!L:L, "1", 'Reasons for Exclusion - Full-te'!W:W, "Zeb")</f>
        <v>1</v>
      </c>
      <c r="H31" s="409"/>
    </row>
    <row r="32" spans="1:8">
      <c r="D32" s="407" t="s">
        <v>64</v>
      </c>
      <c r="E32" s="408"/>
      <c r="F32" s="409"/>
      <c r="G32" s="410">
        <f>COUNTIFS('Reasons for Exclusion - Full-te'!O:O, "1", 'Reasons for Exclusion - Full-te'!W:W, "Zeb")</f>
        <v>0</v>
      </c>
      <c r="H32" s="409"/>
    </row>
    <row r="33" spans="4:8">
      <c r="D33" s="407" t="s">
        <v>66</v>
      </c>
      <c r="E33" s="408"/>
      <c r="F33" s="409"/>
      <c r="G33" s="410">
        <f>COUNTIFS('Reasons for Exclusion - Full-te'!R:R, "1", 'Reasons for Exclusion - Full-te'!W:W, "Zeb")</f>
        <v>1</v>
      </c>
      <c r="H33" s="409"/>
    </row>
    <row r="34" spans="4:8">
      <c r="D34" s="407" t="s">
        <v>68</v>
      </c>
      <c r="E34" s="408"/>
      <c r="F34" s="409"/>
      <c r="G34" s="410">
        <f>COUNTIFS('Reasons for Exclusion - Full-te'!S:S, "1", 'Reasons for Exclusion - Full-te'!W:W, "Zeb")</f>
        <v>1</v>
      </c>
      <c r="H34" s="409"/>
    </row>
    <row r="35" spans="4:8">
      <c r="D35" s="407" t="s">
        <v>70</v>
      </c>
      <c r="E35" s="408"/>
      <c r="F35" s="409"/>
      <c r="G35" s="410">
        <f>COUNTIFS('Reasons for Exclusion - Full-te'!M:M, "1", 'Reasons for Exclusion - Full-te'!W:W, "Zeb")</f>
        <v>0</v>
      </c>
      <c r="H35" s="409"/>
    </row>
    <row r="36" spans="4:8">
      <c r="D36" s="407" t="s">
        <v>72</v>
      </c>
      <c r="E36" s="408"/>
      <c r="F36" s="409"/>
      <c r="G36" s="410">
        <f>COUNTIFS('Reasons for Exclusion - Full-te'!Q:Q, "1", 'Reasons for Exclusion - Full-te'!W:W, "Zeb")</f>
        <v>1</v>
      </c>
      <c r="H36" s="409"/>
    </row>
    <row r="37" spans="4:8">
      <c r="D37" s="407" t="s">
        <v>73</v>
      </c>
      <c r="E37" s="408"/>
      <c r="F37" s="409"/>
      <c r="G37" s="410">
        <f>COUNTIFS('Reasons for Exclusion - Full-te'!N:N, "1", 'Reasons for Exclusion - Full-te'!W:W, "Zeb")</f>
        <v>0</v>
      </c>
      <c r="H37" s="409"/>
    </row>
    <row r="38" spans="4:8">
      <c r="D38" s="407" t="s">
        <v>74</v>
      </c>
      <c r="E38" s="408"/>
      <c r="F38" s="409"/>
      <c r="G38" s="410">
        <f>COUNTIFS('Reasons for Exclusion - Full-te'!T:T, "1", 'Reasons for Exclusion - Full-te'!W:W, "Zeb")</f>
        <v>0</v>
      </c>
      <c r="H38" s="409"/>
    </row>
    <row r="39" spans="4:8">
      <c r="D39" s="407" t="s">
        <v>63</v>
      </c>
      <c r="E39" s="408"/>
      <c r="F39" s="409"/>
      <c r="G39" s="411">
        <f>COUNTIFS('Reasons for Exclusion - Full-te'!U:U, "1", 'Reasons for Exclusion - Full-te'!W:W, "Zeb")</f>
        <v>0</v>
      </c>
      <c r="H39" s="409"/>
    </row>
    <row r="40" spans="4:8">
      <c r="D40" s="407" t="s">
        <v>69</v>
      </c>
      <c r="E40" s="408"/>
      <c r="F40" s="409"/>
      <c r="G40" s="410">
        <f>SUM(G29:G39)</f>
        <v>5</v>
      </c>
      <c r="H40" s="409"/>
    </row>
    <row r="41" spans="4:8">
      <c r="D41" s="412" t="s">
        <v>79</v>
      </c>
      <c r="E41" s="408"/>
      <c r="F41" s="409"/>
      <c r="G41" s="412" t="s">
        <v>56</v>
      </c>
      <c r="H41" s="409"/>
    </row>
    <row r="42" spans="4:8">
      <c r="D42" s="407" t="s">
        <v>59</v>
      </c>
      <c r="E42" s="408"/>
      <c r="F42" s="409"/>
      <c r="G42" s="410">
        <f>COUNTIFS('Reasons for Exclusion - Full-te'!J:J, "1", 'Reasons for Exclusion - Full-te'!W:W, "Meta")</f>
        <v>0</v>
      </c>
      <c r="H42" s="409"/>
    </row>
    <row r="43" spans="4:8">
      <c r="D43" s="407" t="s">
        <v>58</v>
      </c>
      <c r="E43" s="408"/>
      <c r="F43" s="409"/>
      <c r="G43" s="410">
        <f>COUNTIFS('Reasons for Exclusion - Full-te'!K:K, "1", 'Reasons for Exclusion - Full-te'!W:W, "Meta") + COUNTIFS('Reasons for Exclusion - Full-te'!P:P, "1", 'Reasons for Exclusion - Full-te'!W:W, "Meta")</f>
        <v>0</v>
      </c>
      <c r="H43" s="409"/>
    </row>
    <row r="44" spans="4:8">
      <c r="D44" s="407" t="s">
        <v>62</v>
      </c>
      <c r="E44" s="408"/>
      <c r="F44" s="409"/>
      <c r="G44" s="410">
        <f>COUNTIFS('Reasons for Exclusion - Full-te'!L:L, "1", 'Reasons for Exclusion - Full-te'!W:W, "Meta")</f>
        <v>2</v>
      </c>
      <c r="H44" s="409"/>
    </row>
    <row r="45" spans="4:8">
      <c r="D45" s="407" t="s">
        <v>64</v>
      </c>
      <c r="E45" s="408"/>
      <c r="F45" s="409"/>
      <c r="G45" s="410">
        <f>COUNTIFS('Reasons for Exclusion - Full-te'!O:O, "1", 'Reasons for Exclusion - Full-te'!W:W, "Meta")</f>
        <v>4</v>
      </c>
      <c r="H45" s="409"/>
    </row>
    <row r="46" spans="4:8">
      <c r="D46" s="407" t="s">
        <v>66</v>
      </c>
      <c r="E46" s="408"/>
      <c r="F46" s="409"/>
      <c r="G46" s="410">
        <f>COUNTIFS('Reasons for Exclusion - Full-te'!R:R, "1", 'Reasons for Exclusion - Full-te'!W:W, "Meta")</f>
        <v>0</v>
      </c>
      <c r="H46" s="409"/>
    </row>
    <row r="47" spans="4:8">
      <c r="D47" s="407" t="s">
        <v>68</v>
      </c>
      <c r="E47" s="408"/>
      <c r="F47" s="409"/>
      <c r="G47" s="410">
        <f>COUNTIFS('Reasons for Exclusion - Full-te'!S:S, "1", 'Reasons for Exclusion - Full-te'!W:W, "Meta")</f>
        <v>9</v>
      </c>
      <c r="H47" s="409"/>
    </row>
    <row r="48" spans="4:8">
      <c r="D48" s="407" t="s">
        <v>70</v>
      </c>
      <c r="E48" s="408"/>
      <c r="F48" s="409"/>
      <c r="G48" s="410">
        <f>COUNTIFS('Reasons for Exclusion - Full-te'!M:M, "1", 'Reasons for Exclusion - Full-te'!W:W, "Meta")</f>
        <v>0</v>
      </c>
      <c r="H48" s="409"/>
    </row>
    <row r="49" spans="4:8">
      <c r="D49" s="407" t="s">
        <v>72</v>
      </c>
      <c r="E49" s="408"/>
      <c r="F49" s="409"/>
      <c r="G49" s="410">
        <f>COUNTIFS('Reasons for Exclusion - Full-te'!Q:Q, "1", 'Reasons for Exclusion - Full-te'!W:W, "Meta")</f>
        <v>0</v>
      </c>
      <c r="H49" s="409"/>
    </row>
    <row r="50" spans="4:8">
      <c r="D50" s="407" t="s">
        <v>73</v>
      </c>
      <c r="E50" s="408"/>
      <c r="F50" s="409"/>
      <c r="G50" s="410">
        <f>COUNTIFS('Reasons for Exclusion - Full-te'!N:N, "1", 'Reasons for Exclusion - Full-te'!W:W, "Meta")</f>
        <v>2</v>
      </c>
      <c r="H50" s="409"/>
    </row>
    <row r="51" spans="4:8">
      <c r="D51" s="407" t="s">
        <v>74</v>
      </c>
      <c r="E51" s="408"/>
      <c r="F51" s="409"/>
      <c r="G51" s="410">
        <f>COUNTIFS('Reasons for Exclusion - Full-te'!T:T, "1", 'Reasons for Exclusion - Full-te'!W:W, "Meta")</f>
        <v>0</v>
      </c>
      <c r="H51" s="409"/>
    </row>
    <row r="52" spans="4:8">
      <c r="D52" s="407" t="s">
        <v>63</v>
      </c>
      <c r="E52" s="408"/>
      <c r="F52" s="409"/>
      <c r="G52" s="411">
        <f>COUNTIFS('Reasons for Exclusion - Full-te'!U:U, "1", 'Reasons for Exclusion - Full-te'!W:W, "Meta")</f>
        <v>1</v>
      </c>
      <c r="H52" s="409"/>
    </row>
    <row r="53" spans="4:8">
      <c r="D53" s="407" t="s">
        <v>69</v>
      </c>
      <c r="E53" s="408"/>
      <c r="F53" s="409"/>
      <c r="G53" s="410">
        <f>SUM(G42:G52)</f>
        <v>18</v>
      </c>
      <c r="H53" s="409"/>
    </row>
    <row r="54" spans="4:8">
      <c r="D54" s="412" t="s">
        <v>80</v>
      </c>
      <c r="E54" s="408"/>
      <c r="F54" s="409"/>
      <c r="G54" s="412" t="s">
        <v>56</v>
      </c>
      <c r="H54" s="409"/>
    </row>
    <row r="55" spans="4:8">
      <c r="D55" s="407" t="s">
        <v>59</v>
      </c>
      <c r="E55" s="408"/>
      <c r="F55" s="409"/>
      <c r="G55" s="410">
        <f t="shared" ref="G55:G65" si="0">G16+G29+G42</f>
        <v>1</v>
      </c>
      <c r="H55" s="409"/>
    </row>
    <row r="56" spans="4:8">
      <c r="D56" s="407" t="s">
        <v>58</v>
      </c>
      <c r="E56" s="408"/>
      <c r="F56" s="409"/>
      <c r="G56" s="410">
        <f t="shared" si="0"/>
        <v>2</v>
      </c>
      <c r="H56" s="409"/>
    </row>
    <row r="57" spans="4:8">
      <c r="D57" s="407" t="s">
        <v>62</v>
      </c>
      <c r="E57" s="408"/>
      <c r="F57" s="409"/>
      <c r="G57" s="410">
        <f t="shared" si="0"/>
        <v>8</v>
      </c>
      <c r="H57" s="409"/>
    </row>
    <row r="58" spans="4:8">
      <c r="D58" s="407" t="s">
        <v>64</v>
      </c>
      <c r="E58" s="408"/>
      <c r="F58" s="409"/>
      <c r="G58" s="410">
        <f t="shared" si="0"/>
        <v>28</v>
      </c>
      <c r="H58" s="409"/>
    </row>
    <row r="59" spans="4:8">
      <c r="D59" s="407" t="s">
        <v>66</v>
      </c>
      <c r="E59" s="408"/>
      <c r="F59" s="409"/>
      <c r="G59" s="410">
        <f t="shared" si="0"/>
        <v>1</v>
      </c>
      <c r="H59" s="409"/>
    </row>
    <row r="60" spans="4:8">
      <c r="D60" s="407" t="s">
        <v>68</v>
      </c>
      <c r="E60" s="408"/>
      <c r="F60" s="409"/>
      <c r="G60" s="410">
        <f t="shared" si="0"/>
        <v>16</v>
      </c>
      <c r="H60" s="409"/>
    </row>
    <row r="61" spans="4:8">
      <c r="D61" s="407" t="s">
        <v>70</v>
      </c>
      <c r="E61" s="408"/>
      <c r="F61" s="409"/>
      <c r="G61" s="410">
        <f t="shared" si="0"/>
        <v>0</v>
      </c>
      <c r="H61" s="409"/>
    </row>
    <row r="62" spans="4:8">
      <c r="D62" s="407" t="s">
        <v>72</v>
      </c>
      <c r="E62" s="408"/>
      <c r="F62" s="409"/>
      <c r="G62" s="410">
        <f t="shared" si="0"/>
        <v>4</v>
      </c>
      <c r="H62" s="409"/>
    </row>
    <row r="63" spans="4:8">
      <c r="D63" s="407" t="s">
        <v>73</v>
      </c>
      <c r="E63" s="408"/>
      <c r="F63" s="409"/>
      <c r="G63" s="410">
        <f t="shared" si="0"/>
        <v>2</v>
      </c>
      <c r="H63" s="409"/>
    </row>
    <row r="64" spans="4:8">
      <c r="D64" s="407" t="s">
        <v>74</v>
      </c>
      <c r="E64" s="408"/>
      <c r="F64" s="409"/>
      <c r="G64" s="410">
        <f t="shared" si="0"/>
        <v>5</v>
      </c>
      <c r="H64" s="409"/>
    </row>
    <row r="65" spans="4:8">
      <c r="D65" s="407" t="s">
        <v>63</v>
      </c>
      <c r="E65" s="408"/>
      <c r="F65" s="409"/>
      <c r="G65" s="410">
        <f t="shared" si="0"/>
        <v>1</v>
      </c>
      <c r="H65" s="409"/>
    </row>
    <row r="66" spans="4:8">
      <c r="D66" s="407" t="s">
        <v>69</v>
      </c>
      <c r="E66" s="408"/>
      <c r="F66" s="409"/>
      <c r="G66" s="410">
        <f>SUM(G55:G65)</f>
        <v>68</v>
      </c>
      <c r="H66" s="409"/>
    </row>
  </sheetData>
  <mergeCells count="132">
    <mergeCell ref="D21:F21"/>
    <mergeCell ref="G21:H21"/>
    <mergeCell ref="D64:F64"/>
    <mergeCell ref="G64:H64"/>
    <mergeCell ref="D65:F65"/>
    <mergeCell ref="G65:H65"/>
    <mergeCell ref="D66:F66"/>
    <mergeCell ref="G66:H66"/>
    <mergeCell ref="D16:F16"/>
    <mergeCell ref="G16:H16"/>
    <mergeCell ref="D17:F17"/>
    <mergeCell ref="G17:H17"/>
    <mergeCell ref="G18:H18"/>
    <mergeCell ref="D18:F18"/>
    <mergeCell ref="D19:F19"/>
    <mergeCell ref="G19:H19"/>
    <mergeCell ref="D20:F20"/>
    <mergeCell ref="G20:H20"/>
    <mergeCell ref="G11:H11"/>
    <mergeCell ref="D11:F11"/>
    <mergeCell ref="D12:F12"/>
    <mergeCell ref="G12:H12"/>
    <mergeCell ref="D13:F13"/>
    <mergeCell ref="G13:H13"/>
    <mergeCell ref="D14:F14"/>
    <mergeCell ref="G14:H14"/>
    <mergeCell ref="D15:F15"/>
    <mergeCell ref="G15:H15"/>
    <mergeCell ref="D62:F62"/>
    <mergeCell ref="G62:H62"/>
    <mergeCell ref="D63:F63"/>
    <mergeCell ref="G63:H63"/>
    <mergeCell ref="A1:B1"/>
    <mergeCell ref="D1:H1"/>
    <mergeCell ref="D2:F2"/>
    <mergeCell ref="G2:H2"/>
    <mergeCell ref="D3:F3"/>
    <mergeCell ref="G3:H3"/>
    <mergeCell ref="G4:H4"/>
    <mergeCell ref="D4:F4"/>
    <mergeCell ref="D5:F5"/>
    <mergeCell ref="G5:H5"/>
    <mergeCell ref="D6:F6"/>
    <mergeCell ref="G6:H6"/>
    <mergeCell ref="D7:F7"/>
    <mergeCell ref="G7:H7"/>
    <mergeCell ref="D8:F8"/>
    <mergeCell ref="G8:H8"/>
    <mergeCell ref="D9:F9"/>
    <mergeCell ref="G9:H9"/>
    <mergeCell ref="D10:F10"/>
    <mergeCell ref="G10:H10"/>
    <mergeCell ref="D57:F57"/>
    <mergeCell ref="G57:H57"/>
    <mergeCell ref="D58:F58"/>
    <mergeCell ref="G58:H58"/>
    <mergeCell ref="D59:F59"/>
    <mergeCell ref="G59:H59"/>
    <mergeCell ref="G60:H60"/>
    <mergeCell ref="D60:F60"/>
    <mergeCell ref="D61:F61"/>
    <mergeCell ref="G61:H61"/>
    <mergeCell ref="D52:F52"/>
    <mergeCell ref="G52:H52"/>
    <mergeCell ref="G53:H53"/>
    <mergeCell ref="D53:F53"/>
    <mergeCell ref="D54:F54"/>
    <mergeCell ref="G54:H54"/>
    <mergeCell ref="D55:F55"/>
    <mergeCell ref="G55:H55"/>
    <mergeCell ref="D56:F56"/>
    <mergeCell ref="G56:H56"/>
    <mergeCell ref="D47:F47"/>
    <mergeCell ref="G47:H47"/>
    <mergeCell ref="D48:F48"/>
    <mergeCell ref="G48:H48"/>
    <mergeCell ref="D49:F49"/>
    <mergeCell ref="G49:H49"/>
    <mergeCell ref="D50:F50"/>
    <mergeCell ref="G50:H50"/>
    <mergeCell ref="D51:F51"/>
    <mergeCell ref="G51:H51"/>
    <mergeCell ref="D42:F42"/>
    <mergeCell ref="G42:H42"/>
    <mergeCell ref="D43:F43"/>
    <mergeCell ref="G43:H43"/>
    <mergeCell ref="D44:F44"/>
    <mergeCell ref="G44:H44"/>
    <mergeCell ref="D45:F45"/>
    <mergeCell ref="G45:H45"/>
    <mergeCell ref="G46:H46"/>
    <mergeCell ref="D46:F46"/>
    <mergeCell ref="D37:F37"/>
    <mergeCell ref="G37:H37"/>
    <mergeCell ref="D38:F38"/>
    <mergeCell ref="G38:H38"/>
    <mergeCell ref="G39:H39"/>
    <mergeCell ref="D39:F39"/>
    <mergeCell ref="D40:F40"/>
    <mergeCell ref="G40:H40"/>
    <mergeCell ref="D41:F41"/>
    <mergeCell ref="G41:H41"/>
    <mergeCell ref="G32:H32"/>
    <mergeCell ref="D32:F32"/>
    <mergeCell ref="D33:F33"/>
    <mergeCell ref="G33:H33"/>
    <mergeCell ref="D34:F34"/>
    <mergeCell ref="G34:H34"/>
    <mergeCell ref="D35:F35"/>
    <mergeCell ref="G35:H35"/>
    <mergeCell ref="D36:F36"/>
    <mergeCell ref="G36:H36"/>
    <mergeCell ref="D27:F27"/>
    <mergeCell ref="G27:H27"/>
    <mergeCell ref="D28:F28"/>
    <mergeCell ref="G28:H28"/>
    <mergeCell ref="D29:F29"/>
    <mergeCell ref="G29:H29"/>
    <mergeCell ref="D30:F30"/>
    <mergeCell ref="G30:H30"/>
    <mergeCell ref="D31:F31"/>
    <mergeCell ref="G31:H31"/>
    <mergeCell ref="D22:F22"/>
    <mergeCell ref="G22:H22"/>
    <mergeCell ref="D23:F23"/>
    <mergeCell ref="G23:H23"/>
    <mergeCell ref="D24:F24"/>
    <mergeCell ref="G24:H24"/>
    <mergeCell ref="G25:H25"/>
    <mergeCell ref="D25:F25"/>
    <mergeCell ref="D26:F26"/>
    <mergeCell ref="G26:H2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G16"/>
  <sheetViews>
    <sheetView workbookViewId="0"/>
  </sheetViews>
  <sheetFormatPr defaultColWidth="14.42578125" defaultRowHeight="15.75" customHeight="1"/>
  <cols>
    <col min="1" max="1" width="47" customWidth="1"/>
    <col min="2" max="2" width="18.42578125" customWidth="1"/>
  </cols>
  <sheetData>
    <row r="1" spans="1:7">
      <c r="A1" s="413" t="s">
        <v>81</v>
      </c>
      <c r="B1" s="409"/>
      <c r="D1" s="28" t="s">
        <v>82</v>
      </c>
    </row>
    <row r="2" spans="1:7">
      <c r="A2" s="29" t="s">
        <v>83</v>
      </c>
      <c r="B2" s="29" t="s">
        <v>84</v>
      </c>
      <c r="D2" s="30" t="s">
        <v>85</v>
      </c>
      <c r="E2" s="31">
        <f>'Reasons for Exclusion - Screeni'!E2</f>
        <v>2654</v>
      </c>
    </row>
    <row r="3" spans="1:7">
      <c r="A3" s="32" t="s">
        <v>60</v>
      </c>
      <c r="B3" s="33">
        <f>'Reasons for Exclusion - Screeni'!J2+'Reasons for Exclusion - Full-te'!N2</f>
        <v>976</v>
      </c>
      <c r="D3" s="30" t="s">
        <v>86</v>
      </c>
      <c r="E3" s="31">
        <f>B9</f>
        <v>48</v>
      </c>
    </row>
    <row r="4" spans="1:7">
      <c r="A4" s="34" t="s">
        <v>87</v>
      </c>
      <c r="B4" s="35">
        <f>'Reasons for Exclusion - Screeni'!L2</f>
        <v>327</v>
      </c>
      <c r="D4" s="30" t="s">
        <v>88</v>
      </c>
      <c r="E4" s="31">
        <f>E2-E3</f>
        <v>2606</v>
      </c>
      <c r="G4" s="4"/>
    </row>
    <row r="5" spans="1:7">
      <c r="A5" s="34" t="s">
        <v>89</v>
      </c>
      <c r="B5" s="33">
        <f>'Reasons for Exclusion - Screeni'!N2</f>
        <v>862</v>
      </c>
      <c r="D5" s="30" t="s">
        <v>90</v>
      </c>
      <c r="E5" s="31" t="e">
        <f>SUM(B3:B8)</f>
        <v>#REF!</v>
      </c>
    </row>
    <row r="6" spans="1:7">
      <c r="A6" s="34" t="s">
        <v>91</v>
      </c>
      <c r="B6" s="33" t="e">
        <f>'Reasons for Exclusion - Screeni'!O2+#REF!</f>
        <v>#REF!</v>
      </c>
      <c r="D6" s="30" t="s">
        <v>92</v>
      </c>
      <c r="E6" s="31" t="e">
        <f>E4-E5</f>
        <v>#REF!</v>
      </c>
    </row>
    <row r="7" spans="1:7">
      <c r="A7" s="32" t="s">
        <v>93</v>
      </c>
      <c r="B7" s="33">
        <f>'Reasons for Exclusion - Screeni'!M2</f>
        <v>38</v>
      </c>
      <c r="D7" s="30" t="s">
        <v>94</v>
      </c>
      <c r="E7" s="31">
        <f>SUM(B12:B16)</f>
        <v>47</v>
      </c>
    </row>
    <row r="8" spans="1:7">
      <c r="A8" s="32" t="s">
        <v>65</v>
      </c>
      <c r="B8" s="33">
        <f>'Reasons for Exclusion - Screeni'!K2</f>
        <v>21</v>
      </c>
      <c r="D8" s="30" t="s">
        <v>95</v>
      </c>
      <c r="E8" s="36" t="e">
        <f>E6-E7</f>
        <v>#REF!</v>
      </c>
    </row>
    <row r="9" spans="1:7">
      <c r="A9" s="32" t="s">
        <v>67</v>
      </c>
      <c r="B9" s="33">
        <f>'Reasons for Exclusion - Screeni'!P2+'Reasons for Exclusion - Full-te'!O2</f>
        <v>48</v>
      </c>
      <c r="D9" s="30" t="s">
        <v>96</v>
      </c>
      <c r="E9" s="31">
        <f>B11</f>
        <v>1</v>
      </c>
    </row>
    <row r="10" spans="1:7">
      <c r="A10" s="29" t="s">
        <v>97</v>
      </c>
      <c r="B10" s="29" t="s">
        <v>84</v>
      </c>
      <c r="D10" s="30" t="s">
        <v>98</v>
      </c>
      <c r="E10" s="31" t="e">
        <f>E8-E9</f>
        <v>#REF!</v>
      </c>
    </row>
    <row r="11" spans="1:7">
      <c r="A11" s="37" t="s">
        <v>99</v>
      </c>
      <c r="B11" s="33">
        <f>'Reasons for Exclusion - Full-te'!J2</f>
        <v>1</v>
      </c>
      <c r="D11" s="28" t="s">
        <v>100</v>
      </c>
      <c r="F11" s="4"/>
      <c r="G11" s="4"/>
    </row>
    <row r="12" spans="1:7">
      <c r="A12" s="38" t="s">
        <v>101</v>
      </c>
      <c r="B12" s="33">
        <f>'Reasons for Exclusion - Full-te'!K2</f>
        <v>20</v>
      </c>
    </row>
    <row r="13" spans="1:7">
      <c r="A13" s="34" t="s">
        <v>102</v>
      </c>
      <c r="B13" s="33">
        <f>'Reasons for Exclusion - Full-te'!L2</f>
        <v>26</v>
      </c>
    </row>
    <row r="14" spans="1:7">
      <c r="A14" s="39" t="s">
        <v>77</v>
      </c>
      <c r="B14" s="40">
        <f>'Reasons for Exclusion - Full-te'!M2</f>
        <v>1</v>
      </c>
    </row>
    <row r="15" spans="1:7">
      <c r="A15" s="41"/>
      <c r="B15" s="42"/>
    </row>
    <row r="16" spans="1:7">
      <c r="A16" s="30"/>
    </row>
  </sheetData>
  <mergeCells count="1">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Z996"/>
  <sheetViews>
    <sheetView workbookViewId="0">
      <selection activeCell="C10" sqref="C10"/>
    </sheetView>
  </sheetViews>
  <sheetFormatPr defaultColWidth="14.42578125" defaultRowHeight="15.75" customHeight="1"/>
  <cols>
    <col min="1" max="1" width="24.5703125" customWidth="1"/>
    <col min="2" max="7" width="7.7109375" customWidth="1"/>
    <col min="9" max="9" width="27.5703125" customWidth="1"/>
  </cols>
  <sheetData>
    <row r="1" spans="1:26" ht="31.5" customHeight="1">
      <c r="A1" s="414" t="s">
        <v>103</v>
      </c>
      <c r="B1" s="408"/>
      <c r="C1" s="408"/>
      <c r="D1" s="408"/>
      <c r="E1" s="408"/>
      <c r="F1" s="409"/>
      <c r="G1" s="43"/>
      <c r="H1" s="44" t="s">
        <v>19504</v>
      </c>
      <c r="I1" s="415" t="s">
        <v>103</v>
      </c>
      <c r="J1" s="408"/>
      <c r="K1" s="408"/>
      <c r="L1" s="408"/>
      <c r="M1" s="408"/>
      <c r="N1" s="409"/>
      <c r="P1" s="28" t="s">
        <v>104</v>
      </c>
      <c r="Q1" s="28">
        <v>1900</v>
      </c>
      <c r="R1" s="45">
        <f t="shared" ref="R1:U1" si="0">Q2+1</f>
        <v>1990</v>
      </c>
      <c r="S1" s="45">
        <f t="shared" si="0"/>
        <v>2000</v>
      </c>
      <c r="T1" s="45">
        <f t="shared" si="0"/>
        <v>2010</v>
      </c>
      <c r="U1" s="45">
        <f t="shared" si="0"/>
        <v>2020</v>
      </c>
      <c r="V1" s="46"/>
      <c r="W1" s="46"/>
      <c r="X1" s="46"/>
      <c r="Y1" s="46"/>
      <c r="Z1" s="46"/>
    </row>
    <row r="2" spans="1:26" ht="51" customHeight="1">
      <c r="A2" s="47" t="s">
        <v>105</v>
      </c>
      <c r="B2" s="48" t="s">
        <v>106</v>
      </c>
      <c r="C2" s="49" t="s">
        <v>107</v>
      </c>
      <c r="D2" s="49" t="s">
        <v>108</v>
      </c>
      <c r="E2" s="416" t="s">
        <v>109</v>
      </c>
      <c r="F2" s="417"/>
      <c r="G2" s="50" t="s">
        <v>110</v>
      </c>
      <c r="H2" s="46"/>
      <c r="I2" s="51" t="str">
        <f ca="1">IFERROR(__xludf.DUMMYFUNCTION("ArrayFormula(UNIQUE(proper(Included!C:C)))"),"Pathogen Category")</f>
        <v>Pathogen Category</v>
      </c>
      <c r="J2" s="52" t="s">
        <v>226</v>
      </c>
      <c r="K2" s="52" t="s">
        <v>107</v>
      </c>
      <c r="L2" s="52" t="s">
        <v>108</v>
      </c>
      <c r="M2" s="418" t="s">
        <v>109</v>
      </c>
      <c r="N2" s="419"/>
      <c r="O2" s="46"/>
      <c r="P2" s="28" t="s">
        <v>111</v>
      </c>
      <c r="Q2" s="28">
        <v>1989</v>
      </c>
      <c r="R2" s="45">
        <f t="shared" ref="R2:U2" si="1">R1+9</f>
        <v>1999</v>
      </c>
      <c r="S2" s="45">
        <f t="shared" si="1"/>
        <v>2009</v>
      </c>
      <c r="T2" s="45">
        <f t="shared" si="1"/>
        <v>2019</v>
      </c>
      <c r="U2" s="45">
        <f t="shared" si="1"/>
        <v>2029</v>
      </c>
      <c r="V2" s="46"/>
      <c r="W2" s="46"/>
      <c r="X2" s="46"/>
      <c r="Y2" s="46"/>
      <c r="Z2" s="46"/>
    </row>
    <row r="3" spans="1:26">
      <c r="A3" s="53" t="str">
        <f>Included!C20</f>
        <v>Plasmodium spp.</v>
      </c>
      <c r="B3" s="48">
        <f>COUNTA(Included!G20)</f>
        <v>1</v>
      </c>
      <c r="C3" s="49">
        <f>SUM(Included!X20)</f>
        <v>19</v>
      </c>
      <c r="D3" s="49">
        <f>SUM(Included!Z20)</f>
        <v>17</v>
      </c>
      <c r="E3" s="54">
        <f>SUM(Included!AI20)</f>
        <v>0</v>
      </c>
      <c r="F3" s="55" t="str">
        <f t="shared" ref="F3:F16" si="2">"("&amp;TEXT(IFERROR(E3/D3,0),"0.0%")&amp;")"</f>
        <v>(0.0%)</v>
      </c>
      <c r="G3" s="55"/>
      <c r="I3" s="56" t="str">
        <f ca="1">IFERROR(__xludf.DUMMYFUNCTION("""COMPUTED_VALUE"""),"Vibrio Cholerae")</f>
        <v>Vibrio Cholerae</v>
      </c>
      <c r="J3" s="57">
        <f ca="1">COUNTIFS(Included!C:C,I3,Included!AS:AS, "yes")</f>
        <v>5</v>
      </c>
      <c r="K3" s="57">
        <f ca="1">SUMIFS(Included!X:X,Included!C:C,I3,Included!AS:AS, "yes")</f>
        <v>267</v>
      </c>
      <c r="L3" s="57">
        <f ca="1">SUMIFS(Included!Z:Z,Included!C:C,I3,Included!AS:AS, "yes")</f>
        <v>199</v>
      </c>
      <c r="M3" s="57">
        <f ca="1">SUMIFS(Included!AI:AI,Included!C:C,I3,Included!AS:AS, "yes")</f>
        <v>0</v>
      </c>
      <c r="N3" s="58" t="str">
        <f t="shared" ref="N3:N31" ca="1" si="3">IFERROR("("&amp;TEXT(M3/L3,"0.0%")&amp;")","N/A")</f>
        <v>(0.0%)</v>
      </c>
      <c r="Q3" s="45">
        <f ca="1">COUNTIFS(Included!$C:$C,$I3,Included!$H:$H,"&lt;="&amp;Q$2,Included!$H:$H,"&gt;="&amp;Q$1)</f>
        <v>0</v>
      </c>
      <c r="R3" s="45">
        <f ca="1">COUNTIFS(Included!$C:$C,$I3,Included!$H:$H,"&lt;="&amp;R$2,Included!$H:$H,"&gt;="&amp;R$1)</f>
        <v>5</v>
      </c>
      <c r="S3" s="45">
        <f ca="1">COUNTIFS(Included!$C:$C,$I3,Included!$H:$H,"&lt;="&amp;S$2,Included!$H:$H,"&gt;="&amp;S$1)</f>
        <v>1</v>
      </c>
      <c r="T3" s="45">
        <f ca="1">COUNTIFS(Included!$C:$C,$I3,Included!$H:$H,"&lt;="&amp;T$2,Included!$H:$H,"&gt;="&amp;T$1)</f>
        <v>5</v>
      </c>
      <c r="U3" s="45">
        <f ca="1">COUNTIFS(Included!$C:$C,$I3,Included!$H:$H,"&lt;="&amp;U$2,Included!$H:$H,"&gt;="&amp;U$1)</f>
        <v>0</v>
      </c>
    </row>
    <row r="4" spans="1:26">
      <c r="A4" s="53" t="str">
        <f>Included!C21</f>
        <v>Streptococcus pneumoniae</v>
      </c>
      <c r="B4" s="59">
        <f>COUNTA(Included!G21)</f>
        <v>1</v>
      </c>
      <c r="C4" s="50">
        <f>SUM(Included!X21)</f>
        <v>64</v>
      </c>
      <c r="D4" s="50">
        <f>SUM(Included!Z21)</f>
        <v>25</v>
      </c>
      <c r="E4" s="60">
        <f>SUM(Included!AI21)</f>
        <v>0</v>
      </c>
      <c r="F4" s="61" t="str">
        <f t="shared" si="2"/>
        <v>(0.0%)</v>
      </c>
      <c r="G4" s="61"/>
      <c r="I4" s="62" t="str">
        <f ca="1">IFERROR(__xludf.DUMMYFUNCTION("""COMPUTED_VALUE"""),"Plasmodium Spp.")</f>
        <v>Plasmodium Spp.</v>
      </c>
      <c r="J4" s="63">
        <f ca="1">COUNTIFS(Included!C:C,I4,Included!AS:AS, "yes")</f>
        <v>79</v>
      </c>
      <c r="K4" s="63">
        <f ca="1">SUMIFS(Included!X:X,Included!C:C,I4,Included!AS:AS, "yes")</f>
        <v>1732</v>
      </c>
      <c r="L4" s="63">
        <f ca="1">SUMIFS(Included!Z:Z,Included!C:C,I4,Included!AS:AS, "yes")</f>
        <v>1326</v>
      </c>
      <c r="M4" s="63">
        <f ca="1">SUMIFS(Included!AI:AI,Included!C:C,I4,Included!AS:AS, "yes")</f>
        <v>7</v>
      </c>
      <c r="N4" s="64" t="str">
        <f t="shared" ca="1" si="3"/>
        <v>(0.5%)</v>
      </c>
      <c r="Q4" s="45">
        <f ca="1">COUNTIFS(Included!$C:$C,$I4,Included!$H:$H,"&lt;="&amp;Q$2,Included!$H:$H,"&gt;="&amp;Q$1)</f>
        <v>9</v>
      </c>
      <c r="R4" s="45">
        <f ca="1">COUNTIFS(Included!$C:$C,$I4,Included!$H:$H,"&lt;="&amp;R$2,Included!$H:$H,"&gt;="&amp;R$1)</f>
        <v>17</v>
      </c>
      <c r="S4" s="45">
        <f ca="1">COUNTIFS(Included!$C:$C,$I4,Included!$H:$H,"&lt;="&amp;S$2,Included!$H:$H,"&gt;="&amp;S$1)</f>
        <v>13</v>
      </c>
      <c r="T4" s="45">
        <f ca="1">COUNTIFS(Included!$C:$C,$I4,Included!$H:$H,"&lt;="&amp;T$2,Included!$H:$H,"&gt;="&amp;T$1)</f>
        <v>83</v>
      </c>
      <c r="U4" s="45">
        <f ca="1">COUNTIFS(Included!$C:$C,$I4,Included!$H:$H,"&lt;="&amp;U$2,Included!$H:$H,"&gt;="&amp;U$1)</f>
        <v>1</v>
      </c>
    </row>
    <row r="5" spans="1:26">
      <c r="A5" s="53" t="str">
        <f>Included!C22</f>
        <v>Plasmodium spp.</v>
      </c>
      <c r="B5" s="59">
        <f>COUNTA(Included!G22)</f>
        <v>1</v>
      </c>
      <c r="C5" s="50">
        <f>SUM(Included!X22)</f>
        <v>20</v>
      </c>
      <c r="D5" s="50">
        <f>SUM(Included!Z22)</f>
        <v>0</v>
      </c>
      <c r="E5" s="60">
        <f>SUM(Included!AI22)</f>
        <v>0</v>
      </c>
      <c r="F5" s="61" t="str">
        <f t="shared" si="2"/>
        <v>(0.0%)</v>
      </c>
      <c r="G5" s="61"/>
      <c r="I5" s="56" t="str">
        <f ca="1">IFERROR(__xludf.DUMMYFUNCTION("""COMPUTED_VALUE"""),"Respiratory Syncytial Virus")</f>
        <v>Respiratory Syncytial Virus</v>
      </c>
      <c r="J5" s="57">
        <f ca="1">COUNTIFS(Included!C:C,I5,Included!AS:AS, "yes")</f>
        <v>9</v>
      </c>
      <c r="K5" s="57">
        <f ca="1">SUMIFS(Included!X:X,Included!C:C,I5,Included!AS:AS, "yes")</f>
        <v>502</v>
      </c>
      <c r="L5" s="57">
        <f ca="1">SUMIFS(Included!Z:Z,Included!C:C,I5,Included!AS:AS, "yes")</f>
        <v>332</v>
      </c>
      <c r="M5" s="57">
        <f ca="1">SUMIFS(Included!AI:AI,Included!C:C,I5,Included!AS:AS, "yes")</f>
        <v>1</v>
      </c>
      <c r="N5" s="58" t="str">
        <f t="shared" ca="1" si="3"/>
        <v>(0.3%)</v>
      </c>
      <c r="Q5" s="45">
        <f ca="1">COUNTIFS(Included!$C:$C,$I5,Included!$H:$H,"&lt;="&amp;Q$2,Included!$H:$H,"&gt;="&amp;Q$1)</f>
        <v>1</v>
      </c>
      <c r="R5" s="45">
        <f ca="1">COUNTIFS(Included!$C:$C,$I5,Included!$H:$H,"&lt;="&amp;R$2,Included!$H:$H,"&gt;="&amp;R$1)</f>
        <v>0</v>
      </c>
      <c r="S5" s="45">
        <f ca="1">COUNTIFS(Included!$C:$C,$I5,Included!$H:$H,"&lt;="&amp;S$2,Included!$H:$H,"&gt;="&amp;S$1)</f>
        <v>3</v>
      </c>
      <c r="T5" s="45">
        <f ca="1">COUNTIFS(Included!$C:$C,$I5,Included!$H:$H,"&lt;="&amp;T$2,Included!$H:$H,"&gt;="&amp;T$1)</f>
        <v>5</v>
      </c>
      <c r="U5" s="45">
        <f ca="1">COUNTIFS(Included!$C:$C,$I5,Included!$H:$H,"&lt;="&amp;U$2,Included!$H:$H,"&gt;="&amp;U$1)</f>
        <v>0</v>
      </c>
    </row>
    <row r="6" spans="1:26">
      <c r="A6" s="53" t="str">
        <f>Included!C24</f>
        <v>Norovirus</v>
      </c>
      <c r="B6" s="59">
        <f>COUNTA(Included!G24:'Included'!G38)</f>
        <v>15</v>
      </c>
      <c r="C6" s="50">
        <f>SUM(Included!X24:'Included'!X38)</f>
        <v>622</v>
      </c>
      <c r="D6" s="50">
        <f>SUM(Included!Z24:'Included'!Z38)</f>
        <v>280</v>
      </c>
      <c r="E6" s="60">
        <f>SUM(Included!AI24:'Included'!AI38)</f>
        <v>6</v>
      </c>
      <c r="F6" s="61" t="str">
        <f t="shared" si="2"/>
        <v>(2.1%)</v>
      </c>
      <c r="G6" s="61"/>
      <c r="I6" s="62" t="str">
        <f ca="1">IFERROR(__xludf.DUMMYFUNCTION("""COMPUTED_VALUE"""),"Necator Americanus")</f>
        <v>Necator Americanus</v>
      </c>
      <c r="J6" s="63">
        <f ca="1">COUNTIFS(Included!C:C,I6,Included!AS:AS, "yes")</f>
        <v>6</v>
      </c>
      <c r="K6" s="63">
        <f ca="1">SUMIFS(Included!X:X,Included!C:C,I6,Included!AS:AS, "yes")</f>
        <v>86</v>
      </c>
      <c r="L6" s="63">
        <f ca="1">SUMIFS(Included!Z:Z,Included!C:C,I6,Included!AS:AS, "yes")</f>
        <v>58</v>
      </c>
      <c r="M6" s="63">
        <f ca="1">SUMIFS(Included!AI:AI,Included!C:C,I6,Included!AS:AS, "yes")</f>
        <v>0</v>
      </c>
      <c r="N6" s="64" t="str">
        <f t="shared" ca="1" si="3"/>
        <v>(0.0%)</v>
      </c>
      <c r="Q6" s="45">
        <f ca="1">COUNTIFS(Included!$C:$C,$I6,Included!$H:$H,"&lt;="&amp;Q$2,Included!$H:$H,"&gt;="&amp;Q$1)</f>
        <v>0</v>
      </c>
      <c r="R6" s="45">
        <f ca="1">COUNTIFS(Included!$C:$C,$I6,Included!$H:$H,"&lt;="&amp;R$2,Included!$H:$H,"&gt;="&amp;R$1)</f>
        <v>0</v>
      </c>
      <c r="S6" s="45">
        <f ca="1">COUNTIFS(Included!$C:$C,$I6,Included!$H:$H,"&lt;="&amp;S$2,Included!$H:$H,"&gt;="&amp;S$1)</f>
        <v>3</v>
      </c>
      <c r="T6" s="45">
        <f ca="1">COUNTIFS(Included!$C:$C,$I6,Included!$H:$H,"&lt;="&amp;T$2,Included!$H:$H,"&gt;="&amp;T$1)</f>
        <v>7</v>
      </c>
      <c r="U6" s="45">
        <f ca="1">COUNTIFS(Included!$C:$C,$I6,Included!$H:$H,"&lt;="&amp;U$2,Included!$H:$H,"&gt;="&amp;U$1)</f>
        <v>0</v>
      </c>
    </row>
    <row r="7" spans="1:26">
      <c r="A7" s="53" t="str">
        <f>Included!C39</f>
        <v>Respiratory syncytial virus</v>
      </c>
      <c r="B7" s="59">
        <f>COUNTA(Included!G39)</f>
        <v>1</v>
      </c>
      <c r="C7" s="50">
        <f>SUM(Included!X39)</f>
        <v>66</v>
      </c>
      <c r="D7" s="50">
        <f>SUM(Included!Z39)</f>
        <v>53</v>
      </c>
      <c r="E7" s="60">
        <f>SUM(Included!AI39)</f>
        <v>1</v>
      </c>
      <c r="F7" s="61" t="str">
        <f t="shared" si="2"/>
        <v>(1.9%)</v>
      </c>
      <c r="G7" s="61"/>
      <c r="I7" s="56" t="str">
        <f ca="1">IFERROR(__xludf.DUMMYFUNCTION("""COMPUTED_VALUE"""),"Schistosoma Mansoni")</f>
        <v>Schistosoma Mansoni</v>
      </c>
      <c r="J7" s="57">
        <f ca="1">COUNTIFS(Included!C:C,I7,Included!AS:AS, "yes")</f>
        <v>1</v>
      </c>
      <c r="K7" s="57">
        <f ca="1">SUMIFS(Included!X:X,Included!C:C,I7,Included!AS:AS, "yes")</f>
        <v>17</v>
      </c>
      <c r="L7" s="57">
        <f ca="1">SUMIFS(Included!Z:Z,Included!C:C,I7,Included!AS:AS, "yes")</f>
        <v>17</v>
      </c>
      <c r="M7" s="57">
        <f ca="1">SUMIFS(Included!AI:AI,Included!C:C,I7,Included!AS:AS, "yes")</f>
        <v>0</v>
      </c>
      <c r="N7" s="58" t="str">
        <f t="shared" ca="1" si="3"/>
        <v>(0.0%)</v>
      </c>
      <c r="Q7" s="45">
        <f ca="1">COUNTIFS(Included!$C:$C,$I7,Included!$H:$H,"&lt;="&amp;Q$2,Included!$H:$H,"&gt;="&amp;Q$1)</f>
        <v>0</v>
      </c>
      <c r="R7" s="45">
        <f ca="1">COUNTIFS(Included!$C:$C,$I7,Included!$H:$H,"&lt;="&amp;R$2,Included!$H:$H,"&gt;="&amp;R$1)</f>
        <v>0</v>
      </c>
      <c r="S7" s="45">
        <f ca="1">COUNTIFS(Included!$C:$C,$I7,Included!$H:$H,"&lt;="&amp;S$2,Included!$H:$H,"&gt;="&amp;S$1)</f>
        <v>0</v>
      </c>
      <c r="T7" s="45">
        <f ca="1">COUNTIFS(Included!$C:$C,$I7,Included!$H:$H,"&lt;="&amp;T$2,Included!$H:$H,"&gt;="&amp;T$1)</f>
        <v>1</v>
      </c>
      <c r="U7" s="45">
        <f ca="1">COUNTIFS(Included!$C:$C,$I7,Included!$H:$H,"&lt;="&amp;U$2,Included!$H:$H,"&gt;="&amp;U$1)</f>
        <v>0</v>
      </c>
    </row>
    <row r="8" spans="1:26">
      <c r="A8" s="53" t="str">
        <f>Included!C40</f>
        <v>Necator americanus</v>
      </c>
      <c r="B8" s="59">
        <f>COUNTA(Included!G40)</f>
        <v>1</v>
      </c>
      <c r="C8" s="50">
        <f>SUM(Included!X40)</f>
        <v>20</v>
      </c>
      <c r="D8" s="50">
        <f>SUM(Included!Z40)</f>
        <v>20</v>
      </c>
      <c r="E8" s="60">
        <f>SUM(Included!AI40)</f>
        <v>0</v>
      </c>
      <c r="F8" s="61" t="str">
        <f t="shared" si="2"/>
        <v>(0.0%)</v>
      </c>
      <c r="G8" s="61"/>
      <c r="I8" s="62" t="str">
        <f ca="1">IFERROR(__xludf.DUMMYFUNCTION("""COMPUTED_VALUE"""),"Rhinovirus")</f>
        <v>Rhinovirus</v>
      </c>
      <c r="J8" s="63">
        <f ca="1">COUNTIFS(Included!C:C,I8,Included!AS:AS, "yes")</f>
        <v>43</v>
      </c>
      <c r="K8" s="63">
        <f ca="1">SUMIFS(Included!X:X,Included!C:C,I8,Included!AS:AS, "yes")</f>
        <v>4332</v>
      </c>
      <c r="L8" s="63">
        <f ca="1">SUMIFS(Included!Z:Z,Included!C:C,I8,Included!AS:AS, "yes")</f>
        <v>3285</v>
      </c>
      <c r="M8" s="63">
        <f ca="1">SUMIFS(Included!AI:AI,Included!C:C,I8,Included!AS:AS, "yes")</f>
        <v>0</v>
      </c>
      <c r="N8" s="64" t="str">
        <f t="shared" ca="1" si="3"/>
        <v>(0.0%)</v>
      </c>
      <c r="Q8" s="45">
        <f ca="1">COUNTIFS(Included!$C:$C,$I8,Included!$H:$H,"&lt;="&amp;Q$2,Included!$H:$H,"&gt;="&amp;Q$1)</f>
        <v>10</v>
      </c>
      <c r="R8" s="45">
        <f ca="1">COUNTIFS(Included!$C:$C,$I8,Included!$H:$H,"&lt;="&amp;R$2,Included!$H:$H,"&gt;="&amp;R$1)</f>
        <v>22</v>
      </c>
      <c r="S8" s="45">
        <f ca="1">COUNTIFS(Included!$C:$C,$I8,Included!$H:$H,"&lt;="&amp;S$2,Included!$H:$H,"&gt;="&amp;S$1)</f>
        <v>16</v>
      </c>
      <c r="T8" s="45">
        <f ca="1">COUNTIFS(Included!$C:$C,$I8,Included!$H:$H,"&lt;="&amp;T$2,Included!$H:$H,"&gt;="&amp;T$1)</f>
        <v>9</v>
      </c>
      <c r="U8" s="45">
        <f ca="1">COUNTIFS(Included!$C:$C,$I8,Included!$H:$H,"&lt;="&amp;U$2,Included!$H:$H,"&gt;="&amp;U$1)</f>
        <v>0</v>
      </c>
    </row>
    <row r="9" spans="1:26">
      <c r="A9" s="53" t="str">
        <f>Included!C42</f>
        <v>Streptococcus pneumoniae</v>
      </c>
      <c r="B9" s="59">
        <f>COUNTA(Included!G42:'Included'!G50)</f>
        <v>9</v>
      </c>
      <c r="C9" s="50">
        <f>SUM(Included!X42:'Included'!X50)</f>
        <v>528</v>
      </c>
      <c r="D9" s="50">
        <f>SUM(Included!Z42:'Included'!Z50)</f>
        <v>273</v>
      </c>
      <c r="E9" s="60">
        <f>SUM(Included!AI42:'Included'!AI50)</f>
        <v>4</v>
      </c>
      <c r="F9" s="61" t="str">
        <f t="shared" si="2"/>
        <v>(1.5%)</v>
      </c>
      <c r="G9" s="61"/>
      <c r="I9" s="56" t="str">
        <f ca="1">IFERROR(__xludf.DUMMYFUNCTION("""COMPUTED_VALUE"""),"Influenza Viruses")</f>
        <v>Influenza Viruses</v>
      </c>
      <c r="J9" s="57">
        <f ca="1">COUNTIFS(Included!C:C,I9,Included!AS:AS, "yes")</f>
        <v>47</v>
      </c>
      <c r="K9" s="57">
        <f ca="1">SUMIFS(Included!X:X,Included!C:C,I9,Included!AS:AS, "yes")</f>
        <v>3568</v>
      </c>
      <c r="L9" s="57">
        <f ca="1">SUMIFS(Included!Z:Z,Included!C:C,I9,Included!AS:AS, "yes")</f>
        <v>2240</v>
      </c>
      <c r="M9" s="57">
        <f ca="1">SUMIFS(Included!AI:AI,Included!C:C,I9,Included!AS:AS, "yes")</f>
        <v>1</v>
      </c>
      <c r="N9" s="58" t="str">
        <f t="shared" ca="1" si="3"/>
        <v>(0.0%)</v>
      </c>
      <c r="Q9" s="45">
        <f ca="1">COUNTIFS(Included!$C:$C,$I9,Included!$H:$H,"&lt;="&amp;Q$2,Included!$H:$H,"&gt;="&amp;Q$1)</f>
        <v>57</v>
      </c>
      <c r="R9" s="45">
        <f ca="1">COUNTIFS(Included!$C:$C,$I9,Included!$H:$H,"&lt;="&amp;R$2,Included!$H:$H,"&gt;="&amp;R$1)</f>
        <v>32</v>
      </c>
      <c r="S9" s="45">
        <f ca="1">COUNTIFS(Included!$C:$C,$I9,Included!$H:$H,"&lt;="&amp;S$2,Included!$H:$H,"&gt;="&amp;S$1)</f>
        <v>9</v>
      </c>
      <c r="T9" s="45">
        <f ca="1">COUNTIFS(Included!$C:$C,$I9,Included!$H:$H,"&lt;="&amp;T$2,Included!$H:$H,"&gt;="&amp;T$1)</f>
        <v>16</v>
      </c>
      <c r="U9" s="45">
        <f ca="1">COUNTIFS(Included!$C:$C,$I9,Included!$H:$H,"&lt;="&amp;U$2,Included!$H:$H,"&gt;="&amp;U$1)</f>
        <v>0</v>
      </c>
    </row>
    <row r="10" spans="1:26">
      <c r="A10" s="53" t="str">
        <f>Included!C67</f>
        <v>Haemophilus ducreyi</v>
      </c>
      <c r="B10" s="59">
        <f>COUNTA(#REF!:'Included'!G94)</f>
        <v>1</v>
      </c>
      <c r="C10" s="50" t="e">
        <f>SUM(#REF!:'Included'!X94)</f>
        <v>#REF!</v>
      </c>
      <c r="D10" s="50" t="e">
        <f>SUM(#REF!:'Included'!Z94)</f>
        <v>#REF!</v>
      </c>
      <c r="E10" s="60" t="e">
        <f>SUM(#REF!:'Included'!AI94)</f>
        <v>#REF!</v>
      </c>
      <c r="F10" s="61" t="str">
        <f t="shared" si="2"/>
        <v>(0.0%)</v>
      </c>
      <c r="G10" s="61"/>
      <c r="I10" s="62" t="str">
        <f ca="1">IFERROR(__xludf.DUMMYFUNCTION("""COMPUTED_VALUE"""),"Bcg")</f>
        <v>Bcg</v>
      </c>
      <c r="J10" s="63">
        <f ca="1">COUNTIFS(Included!C:C,I10,Included!AS:AS, "yes")</f>
        <v>3</v>
      </c>
      <c r="K10" s="63">
        <f ca="1">SUMIFS(Included!X:X,Included!C:C,I10,Included!AS:AS, "yes")</f>
        <v>128</v>
      </c>
      <c r="L10" s="63">
        <f ca="1">SUMIFS(Included!Z:Z,Included!C:C,I10,Included!AS:AS, "yes")</f>
        <v>88</v>
      </c>
      <c r="M10" s="63">
        <f ca="1">SUMIFS(Included!AI:AI,Included!C:C,I10,Included!AS:AS, "yes")</f>
        <v>0</v>
      </c>
      <c r="N10" s="64" t="str">
        <f t="shared" ca="1" si="3"/>
        <v>(0.0%)</v>
      </c>
      <c r="Q10" s="45">
        <f ca="1">COUNTIFS(Included!$C:$C,$I10,Included!$H:$H,"&lt;="&amp;Q$2,Included!$H:$H,"&gt;="&amp;Q$1)</f>
        <v>0</v>
      </c>
      <c r="R10" s="45">
        <f ca="1">COUNTIFS(Included!$C:$C,$I10,Included!$H:$H,"&lt;="&amp;R$2,Included!$H:$H,"&gt;="&amp;R$1)</f>
        <v>0</v>
      </c>
      <c r="S10" s="45">
        <f ca="1">COUNTIFS(Included!$C:$C,$I10,Included!$H:$H,"&lt;="&amp;S$2,Included!$H:$H,"&gt;="&amp;S$1)</f>
        <v>0</v>
      </c>
      <c r="T10" s="45">
        <f ca="1">COUNTIFS(Included!$C:$C,$I10,Included!$H:$H,"&lt;="&amp;T$2,Included!$H:$H,"&gt;="&amp;T$1)</f>
        <v>6</v>
      </c>
      <c r="U10" s="45">
        <f ca="1">COUNTIFS(Included!$C:$C,$I10,Included!$H:$H,"&lt;="&amp;U$2,Included!$H:$H,"&gt;="&amp;U$1)</f>
        <v>0</v>
      </c>
    </row>
    <row r="11" spans="1:26">
      <c r="A11" s="53" t="str">
        <f>Included!C96</f>
        <v>Influenza viruses</v>
      </c>
      <c r="B11" s="59">
        <f>COUNTA(Included!G96:'Included'!G98)</f>
        <v>3</v>
      </c>
      <c r="C11" s="50">
        <f>SUM(Included!X96:'Included'!X98)</f>
        <v>157</v>
      </c>
      <c r="D11" s="50">
        <f>SUM(Included!Z96:'Included'!Z98)</f>
        <v>82</v>
      </c>
      <c r="E11" s="60">
        <f>SUM(Included!AI96:'Included'!AI98)</f>
        <v>1</v>
      </c>
      <c r="F11" s="61" t="str">
        <f t="shared" si="2"/>
        <v>(1.2%)</v>
      </c>
      <c r="G11" s="61"/>
      <c r="I11" s="56" t="str">
        <f ca="1">IFERROR(__xludf.DUMMYFUNCTION("""COMPUTED_VALUE"""),"Streptococcus Pneumoniae")</f>
        <v>Streptococcus Pneumoniae</v>
      </c>
      <c r="J11" s="57">
        <f ca="1">COUNTIFS(Included!C:C,I11,Included!AS:AS, "yes")</f>
        <v>10</v>
      </c>
      <c r="K11" s="57">
        <f ca="1">SUMIFS(Included!X:X,Included!C:C,I11,Included!AS:AS, "yes")</f>
        <v>936</v>
      </c>
      <c r="L11" s="57">
        <f ca="1">SUMIFS(Included!Z:Z,Included!C:C,I11,Included!AS:AS, "yes")</f>
        <v>330</v>
      </c>
      <c r="M11" s="57">
        <f ca="1">SUMIFS(Included!AI:AI,Included!C:C,I11,Included!AS:AS, "yes")</f>
        <v>0</v>
      </c>
      <c r="N11" s="58" t="str">
        <f t="shared" ca="1" si="3"/>
        <v>(0.0%)</v>
      </c>
      <c r="Q11" s="45">
        <f ca="1">COUNTIFS(Included!$C:$C,$I11,Included!$H:$H,"&lt;="&amp;Q$2,Included!$H:$H,"&gt;="&amp;Q$1)</f>
        <v>0</v>
      </c>
      <c r="R11" s="45">
        <f ca="1">COUNTIFS(Included!$C:$C,$I11,Included!$H:$H,"&lt;="&amp;R$2,Included!$H:$H,"&gt;="&amp;R$1)</f>
        <v>0</v>
      </c>
      <c r="S11" s="45">
        <f ca="1">COUNTIFS(Included!$C:$C,$I11,Included!$H:$H,"&lt;="&amp;S$2,Included!$H:$H,"&gt;="&amp;S$1)</f>
        <v>0</v>
      </c>
      <c r="T11" s="45">
        <f ca="1">COUNTIFS(Included!$C:$C,$I11,Included!$H:$H,"&lt;="&amp;T$2,Included!$H:$H,"&gt;="&amp;T$1)</f>
        <v>18</v>
      </c>
      <c r="U11" s="45">
        <f ca="1">COUNTIFS(Included!$C:$C,$I11,Included!$H:$H,"&lt;="&amp;U$2,Included!$H:$H,"&gt;="&amp;U$1)</f>
        <v>0</v>
      </c>
    </row>
    <row r="12" spans="1:26">
      <c r="A12" s="53" t="str">
        <f>Included!C53</f>
        <v>Streptococcus pneumoniae</v>
      </c>
      <c r="B12" s="59">
        <f>COUNTA(Included!G53)</f>
        <v>1</v>
      </c>
      <c r="C12" s="50">
        <f>SUM(Included!X53)</f>
        <v>117</v>
      </c>
      <c r="D12" s="50">
        <f>SUM(Included!Z53)</f>
        <v>49</v>
      </c>
      <c r="E12" s="60">
        <f>SUM(Included!AI53)</f>
        <v>0</v>
      </c>
      <c r="F12" s="61" t="str">
        <f t="shared" si="2"/>
        <v>(0.0%)</v>
      </c>
      <c r="G12" s="61"/>
      <c r="I12" s="62" t="str">
        <f ca="1">IFERROR(__xludf.DUMMYFUNCTION("""COMPUTED_VALUE"""),"Norovirus")</f>
        <v>Norovirus</v>
      </c>
      <c r="J12" s="63">
        <f ca="1">COUNTIFS(Included!C:C,I12,Included!AS:AS, "yes")</f>
        <v>6</v>
      </c>
      <c r="K12" s="63">
        <f ca="1">SUMIFS(Included!X:X,Included!C:C,I12,Included!AS:AS, "yes")</f>
        <v>293</v>
      </c>
      <c r="L12" s="63">
        <f ca="1">SUMIFS(Included!Z:Z,Included!C:C,I12,Included!AS:AS, "yes")</f>
        <v>150</v>
      </c>
      <c r="M12" s="63">
        <f ca="1">SUMIFS(Included!AI:AI,Included!C:C,I12,Included!AS:AS, "yes")</f>
        <v>4</v>
      </c>
      <c r="N12" s="64" t="str">
        <f t="shared" ca="1" si="3"/>
        <v>(2.7%)</v>
      </c>
      <c r="Q12" s="45">
        <f ca="1">COUNTIFS(Included!$C:$C,$I12,Included!$H:$H,"&lt;="&amp;Q$2,Included!$H:$H,"&gt;="&amp;Q$1)</f>
        <v>0</v>
      </c>
      <c r="R12" s="45">
        <f ca="1">COUNTIFS(Included!$C:$C,$I12,Included!$H:$H,"&lt;="&amp;R$2,Included!$H:$H,"&gt;="&amp;R$1)</f>
        <v>0</v>
      </c>
      <c r="S12" s="45">
        <f ca="1">COUNTIFS(Included!$C:$C,$I12,Included!$H:$H,"&lt;="&amp;S$2,Included!$H:$H,"&gt;="&amp;S$1)</f>
        <v>1</v>
      </c>
      <c r="T12" s="45">
        <f ca="1">COUNTIFS(Included!$C:$C,$I12,Included!$H:$H,"&lt;="&amp;T$2,Included!$H:$H,"&gt;="&amp;T$1)</f>
        <v>6</v>
      </c>
      <c r="U12" s="45">
        <f ca="1">COUNTIFS(Included!$C:$C,$I12,Included!$H:$H,"&lt;="&amp;U$2,Included!$H:$H,"&gt;="&amp;U$1)</f>
        <v>0</v>
      </c>
    </row>
    <row r="13" spans="1:26">
      <c r="A13" s="53" t="str">
        <f>Included!C99</f>
        <v>Escherichia coli</v>
      </c>
      <c r="B13" s="59">
        <f>COUNTA(Included!G99)</f>
        <v>1</v>
      </c>
      <c r="C13" s="50">
        <f>SUM(Included!X99)</f>
        <v>21</v>
      </c>
      <c r="D13" s="50">
        <f>SUM(Included!Z99)</f>
        <v>10</v>
      </c>
      <c r="E13" s="60">
        <f>SUM(Included!AI99)</f>
        <v>0</v>
      </c>
      <c r="F13" s="65" t="str">
        <f t="shared" si="2"/>
        <v>(0.0%)</v>
      </c>
      <c r="G13" s="65"/>
      <c r="I13" s="56" t="str">
        <f ca="1">IFERROR(__xludf.DUMMYFUNCTION("""COMPUTED_VALUE"""),"Shigella Spp.")</f>
        <v>Shigella Spp.</v>
      </c>
      <c r="J13" s="57">
        <f ca="1">COUNTIFS(Included!C:C,I13,Included!AS:AS, "yes")</f>
        <v>15</v>
      </c>
      <c r="K13" s="57">
        <f ca="1">SUMIFS(Included!X:X,Included!C:C,I13,Included!AS:AS, "yes")</f>
        <v>714</v>
      </c>
      <c r="L13" s="57">
        <f ca="1">SUMIFS(Included!Z:Z,Included!C:C,I13,Included!AS:AS, "yes")</f>
        <v>387</v>
      </c>
      <c r="M13" s="57">
        <f ca="1">SUMIFS(Included!AI:AI,Included!C:C,I13,Included!AS:AS, "yes")</f>
        <v>2</v>
      </c>
      <c r="N13" s="58" t="str">
        <f t="shared" ca="1" si="3"/>
        <v>(0.5%)</v>
      </c>
      <c r="Q13" s="45">
        <f ca="1">COUNTIFS(Included!$C:$C,$I13,Included!$H:$H,"&lt;="&amp;Q$2,Included!$H:$H,"&gt;="&amp;Q$1)</f>
        <v>6</v>
      </c>
      <c r="R13" s="45">
        <f ca="1">COUNTIFS(Included!$C:$C,$I13,Included!$H:$H,"&lt;="&amp;R$2,Included!$H:$H,"&gt;="&amp;R$1)</f>
        <v>15</v>
      </c>
      <c r="S13" s="45">
        <f ca="1">COUNTIFS(Included!$C:$C,$I13,Included!$H:$H,"&lt;="&amp;S$2,Included!$H:$H,"&gt;="&amp;S$1)</f>
        <v>1</v>
      </c>
      <c r="T13" s="45">
        <f ca="1">COUNTIFS(Included!$C:$C,$I13,Included!$H:$H,"&lt;="&amp;T$2,Included!$H:$H,"&gt;="&amp;T$1)</f>
        <v>7</v>
      </c>
      <c r="U13" s="45">
        <f ca="1">COUNTIFS(Included!$C:$C,$I13,Included!$H:$H,"&lt;="&amp;U$2,Included!$H:$H,"&gt;="&amp;U$1)</f>
        <v>0</v>
      </c>
    </row>
    <row r="14" spans="1:26">
      <c r="A14" s="53" t="str">
        <f>Included!C100</f>
        <v>Escherichia coli</v>
      </c>
      <c r="B14" s="59">
        <f>COUNTA(Included!G100:'Included'!G105)</f>
        <v>6</v>
      </c>
      <c r="C14" s="50">
        <f>SUM(Included!X100:'Included'!X105)</f>
        <v>141</v>
      </c>
      <c r="D14" s="50">
        <f>SUM(Included!Z100:'Included'!Z105)</f>
        <v>107</v>
      </c>
      <c r="E14" s="60">
        <f>SUM(Included!AI100:'Included'!AI105)</f>
        <v>0</v>
      </c>
      <c r="F14" s="61" t="str">
        <f t="shared" si="2"/>
        <v>(0.0%)</v>
      </c>
      <c r="G14" s="61"/>
      <c r="I14" s="62" t="str">
        <f ca="1">IFERROR(__xludf.DUMMYFUNCTION("""COMPUTED_VALUE"""),"Escherichia Coli")</f>
        <v>Escherichia Coli</v>
      </c>
      <c r="J14" s="63">
        <f ca="1">COUNTIFS(Included!C:C,I14,Included!AS:AS, "yes")</f>
        <v>21</v>
      </c>
      <c r="K14" s="63">
        <f ca="1">SUMIFS(Included!X:X,Included!C:C,I14,Included!AS:AS, "yes")</f>
        <v>599</v>
      </c>
      <c r="L14" s="63">
        <f ca="1">SUMIFS(Included!Z:Z,Included!C:C,I14,Included!AS:AS, "yes")</f>
        <v>428</v>
      </c>
      <c r="M14" s="63">
        <f ca="1">SUMIFS(Included!AI:AI,Included!C:C,I14,Included!AS:AS, "yes")</f>
        <v>6</v>
      </c>
      <c r="N14" s="64" t="str">
        <f t="shared" ca="1" si="3"/>
        <v>(1.4%)</v>
      </c>
      <c r="Q14" s="45">
        <f ca="1">COUNTIFS(Included!$C:$C,$I14,Included!$H:$H,"&lt;="&amp;Q$2,Included!$H:$H,"&gt;="&amp;Q$1)</f>
        <v>6</v>
      </c>
      <c r="R14" s="45">
        <f ca="1">COUNTIFS(Included!$C:$C,$I14,Included!$H:$H,"&lt;="&amp;R$2,Included!$H:$H,"&gt;="&amp;R$1)</f>
        <v>5</v>
      </c>
      <c r="S14" s="45">
        <f ca="1">COUNTIFS(Included!$C:$C,$I14,Included!$H:$H,"&lt;="&amp;S$2,Included!$H:$H,"&gt;="&amp;S$1)</f>
        <v>3</v>
      </c>
      <c r="T14" s="45">
        <f ca="1">COUNTIFS(Included!$C:$C,$I14,Included!$H:$H,"&lt;="&amp;T$2,Included!$H:$H,"&gt;="&amp;T$1)</f>
        <v>12</v>
      </c>
      <c r="U14" s="45">
        <f ca="1">COUNTIFS(Included!$C:$C,$I14,Included!$H:$H,"&lt;="&amp;U$2,Included!$H:$H,"&gt;="&amp;U$1)</f>
        <v>0</v>
      </c>
    </row>
    <row r="15" spans="1:26">
      <c r="A15" s="53" t="str">
        <f>Included!C107</f>
        <v>Escherichia coli</v>
      </c>
      <c r="B15" s="59">
        <f>COUNTA(Included!G107:'Included'!G108)</f>
        <v>2</v>
      </c>
      <c r="C15" s="50">
        <f>SUM(Included!X107:'Included'!X108)</f>
        <v>65</v>
      </c>
      <c r="D15" s="50">
        <f>SUM(Included!Z107:'Included'!Z108)</f>
        <v>39</v>
      </c>
      <c r="E15" s="60">
        <f>SUM(Included!AI107:'Included'!AI108)</f>
        <v>0</v>
      </c>
      <c r="F15" s="61" t="str">
        <f t="shared" si="2"/>
        <v>(0.0%)</v>
      </c>
      <c r="G15" s="61"/>
      <c r="I15" s="56" t="str">
        <f ca="1">IFERROR(__xludf.DUMMYFUNCTION("""COMPUTED_VALUE"""),"Salmonella Spp.")</f>
        <v>Salmonella Spp.</v>
      </c>
      <c r="J15" s="57">
        <f ca="1">COUNTIFS(Included!C:C,I15,Included!AS:AS, "yes")</f>
        <v>8</v>
      </c>
      <c r="K15" s="57">
        <f ca="1">SUMIFS(Included!X:X,Included!C:C,I15,Included!AS:AS, "yes")</f>
        <v>449</v>
      </c>
      <c r="L15" s="57">
        <f ca="1">SUMIFS(Included!Z:Z,Included!C:C,I15,Included!AS:AS, "yes")</f>
        <v>232</v>
      </c>
      <c r="M15" s="57">
        <f ca="1">SUMIFS(Included!AI:AI,Included!C:C,I15,Included!AS:AS, "yes")</f>
        <v>3</v>
      </c>
      <c r="N15" s="58" t="str">
        <f t="shared" ca="1" si="3"/>
        <v>(1.3%)</v>
      </c>
      <c r="Q15" s="45">
        <f ca="1">COUNTIFS(Included!$C:$C,$I15,Included!$H:$H,"&lt;="&amp;Q$2,Included!$H:$H,"&gt;="&amp;Q$1)</f>
        <v>0</v>
      </c>
      <c r="R15" s="45">
        <f ca="1">COUNTIFS(Included!$C:$C,$I15,Included!$H:$H,"&lt;="&amp;R$2,Included!$H:$H,"&gt;="&amp;R$1)</f>
        <v>1</v>
      </c>
      <c r="S15" s="45">
        <f ca="1">COUNTIFS(Included!$C:$C,$I15,Included!$H:$H,"&lt;="&amp;S$2,Included!$H:$H,"&gt;="&amp;S$1)</f>
        <v>1</v>
      </c>
      <c r="T15" s="45">
        <f ca="1">COUNTIFS(Included!$C:$C,$I15,Included!$H:$H,"&lt;="&amp;T$2,Included!$H:$H,"&gt;="&amp;T$1)</f>
        <v>12</v>
      </c>
      <c r="U15" s="45">
        <f ca="1">COUNTIFS(Included!$C:$C,$I15,Included!$H:$H,"&lt;="&amp;U$2,Included!$H:$H,"&gt;="&amp;U$1)</f>
        <v>0</v>
      </c>
    </row>
    <row r="16" spans="1:26">
      <c r="A16" s="66" t="str">
        <f>Included!C109</f>
        <v>Plasmodium spp.</v>
      </c>
      <c r="B16" s="59">
        <f>COUNTA(Included!G109:'Included'!G112)</f>
        <v>4</v>
      </c>
      <c r="C16" s="50">
        <f>SUM(Included!X109:'Included'!X112)</f>
        <v>83</v>
      </c>
      <c r="D16" s="50">
        <f>SUM(Included!Z109:'Included'!Z112)</f>
        <v>67</v>
      </c>
      <c r="E16" s="60">
        <f>SUM(Included!AI109:'Included'!AI112)</f>
        <v>0</v>
      </c>
      <c r="F16" s="61" t="str">
        <f t="shared" si="2"/>
        <v>(0.0%)</v>
      </c>
      <c r="G16" s="61"/>
      <c r="I16" s="62" t="str">
        <f ca="1">IFERROR(__xludf.DUMMYFUNCTION("""COMPUTED_VALUE"""),"Bordetella Pertussis")</f>
        <v>Bordetella Pertussis</v>
      </c>
      <c r="J16" s="63">
        <f ca="1">COUNTIFS(Included!C:C,I16,Included!AS:AS, "yes")</f>
        <v>1</v>
      </c>
      <c r="K16" s="63">
        <f ca="1">SUMIFS(Included!X:X,Included!C:C,I16,Included!AS:AS, "yes")</f>
        <v>34</v>
      </c>
      <c r="L16" s="63">
        <f ca="1">SUMIFS(Included!Z:Z,Included!C:C,I16,Included!AS:AS, "yes")</f>
        <v>19</v>
      </c>
      <c r="M16" s="63">
        <f ca="1">SUMIFS(Included!AI:AI,Included!C:C,I16,Included!AS:AS, "yes")</f>
        <v>0</v>
      </c>
      <c r="N16" s="64" t="str">
        <f t="shared" ca="1" si="3"/>
        <v>(0.0%)</v>
      </c>
      <c r="Q16" s="45">
        <f ca="1">COUNTIFS(Included!$C:$C,$I16,Included!$H:$H,"&lt;="&amp;Q$2,Included!$H:$H,"&gt;="&amp;Q$1)</f>
        <v>0</v>
      </c>
      <c r="R16" s="45">
        <f ca="1">COUNTIFS(Included!$C:$C,$I16,Included!$H:$H,"&lt;="&amp;R$2,Included!$H:$H,"&gt;="&amp;R$1)</f>
        <v>0</v>
      </c>
      <c r="S16" s="45">
        <f ca="1">COUNTIFS(Included!$C:$C,$I16,Included!$H:$H,"&lt;="&amp;S$2,Included!$H:$H,"&gt;="&amp;S$1)</f>
        <v>0</v>
      </c>
      <c r="T16" s="45">
        <f ca="1">COUNTIFS(Included!$C:$C,$I16,Included!$H:$H,"&lt;="&amp;T$2,Included!$H:$H,"&gt;="&amp;T$1)</f>
        <v>1</v>
      </c>
      <c r="U16" s="45">
        <f ca="1">COUNTIFS(Included!$C:$C,$I16,Included!$H:$H,"&lt;="&amp;U$2,Included!$H:$H,"&gt;="&amp;U$1)</f>
        <v>0</v>
      </c>
    </row>
    <row r="17" spans="1:21">
      <c r="A17" s="67" t="s">
        <v>112</v>
      </c>
      <c r="B17" s="68">
        <f t="shared" ref="B17:E17" si="4">SUM(B3:B16)</f>
        <v>47</v>
      </c>
      <c r="C17" s="69" t="e">
        <f t="shared" si="4"/>
        <v>#REF!</v>
      </c>
      <c r="D17" s="69" t="e">
        <f t="shared" si="4"/>
        <v>#REF!</v>
      </c>
      <c r="E17" s="70" t="e">
        <f t="shared" si="4"/>
        <v>#REF!</v>
      </c>
      <c r="F17" s="71" t="e">
        <f>"("&amp;TEXT(E17/D17,"0.0%")&amp;")"</f>
        <v>#REF!</v>
      </c>
      <c r="G17" s="71"/>
      <c r="I17" s="56" t="str">
        <f ca="1">IFERROR(__xludf.DUMMYFUNCTION("""COMPUTED_VALUE"""),"Haemophilus Ducreyi")</f>
        <v>Haemophilus Ducreyi</v>
      </c>
      <c r="J17" s="57">
        <f ca="1">COUNTIFS(Included!C:C,I17,Included!AS:AS, "yes")</f>
        <v>31</v>
      </c>
      <c r="K17" s="57">
        <f ca="1">SUMIFS(Included!X:X,Included!C:C,I17,Included!AS:AS, "yes")</f>
        <v>272</v>
      </c>
      <c r="L17" s="57">
        <f ca="1">SUMIFS(Included!Z:Z,Included!C:C,I17,Included!AS:AS, "yes")</f>
        <v>207</v>
      </c>
      <c r="M17" s="57">
        <f ca="1">SUMIFS(Included!AI:AI,Included!C:C,I17,Included!AS:AS, "yes")</f>
        <v>0</v>
      </c>
      <c r="N17" s="58" t="str">
        <f t="shared" ca="1" si="3"/>
        <v>(0.0%)</v>
      </c>
      <c r="Q17" s="45">
        <f ca="1">COUNTIFS(Included!$C:$C,$I17,Included!$H:$H,"&lt;="&amp;Q$2,Included!$H:$H,"&gt;="&amp;Q$1)</f>
        <v>0</v>
      </c>
      <c r="R17" s="45">
        <f ca="1">COUNTIFS(Included!$C:$C,$I17,Included!$H:$H,"&lt;="&amp;R$2,Included!$H:$H,"&gt;="&amp;R$1)</f>
        <v>10</v>
      </c>
      <c r="S17" s="45">
        <f ca="1">COUNTIFS(Included!$C:$C,$I17,Included!$H:$H,"&lt;="&amp;S$2,Included!$H:$H,"&gt;="&amp;S$1)</f>
        <v>24</v>
      </c>
      <c r="T17" s="45">
        <f ca="1">COUNTIFS(Included!$C:$C,$I17,Included!$H:$H,"&lt;="&amp;T$2,Included!$H:$H,"&gt;="&amp;T$1)</f>
        <v>0</v>
      </c>
      <c r="U17" s="45">
        <f ca="1">COUNTIFS(Included!$C:$C,$I17,Included!$H:$H,"&lt;="&amp;U$2,Included!$H:$H,"&gt;="&amp;U$1)</f>
        <v>0</v>
      </c>
    </row>
    <row r="18" spans="1:21">
      <c r="A18" s="4"/>
      <c r="B18" s="4"/>
      <c r="E18" s="57"/>
      <c r="F18" s="57"/>
      <c r="I18" s="62" t="str">
        <f ca="1">IFERROR(__xludf.DUMMYFUNCTION("""COMPUTED_VALUE"""),"Parvovirus")</f>
        <v>Parvovirus</v>
      </c>
      <c r="J18" s="63">
        <f ca="1">COUNTIFS(Included!C:C,I18,Included!AS:AS, "yes")</f>
        <v>1</v>
      </c>
      <c r="K18" s="63">
        <f ca="1">SUMIFS(Included!X:X,Included!C:C,I18,Included!AS:AS, "yes")</f>
        <v>9</v>
      </c>
      <c r="L18" s="63">
        <f ca="1">SUMIFS(Included!Z:Z,Included!C:C,I18,Included!AS:AS, "yes")</f>
        <v>5</v>
      </c>
      <c r="M18" s="63">
        <f ca="1">SUMIFS(Included!AI:AI,Included!C:C,I18,Included!AS:AS, "yes")</f>
        <v>0</v>
      </c>
      <c r="N18" s="64" t="str">
        <f t="shared" ca="1" si="3"/>
        <v>(0.0%)</v>
      </c>
      <c r="Q18" s="45">
        <f ca="1">COUNTIFS(Included!$C:$C,$I18,Included!$H:$H,"&lt;="&amp;Q$2,Included!$H:$H,"&gt;="&amp;Q$1)</f>
        <v>1</v>
      </c>
      <c r="R18" s="45">
        <f ca="1">COUNTIFS(Included!$C:$C,$I18,Included!$H:$H,"&lt;="&amp;R$2,Included!$H:$H,"&gt;="&amp;R$1)</f>
        <v>0</v>
      </c>
      <c r="S18" s="45">
        <f ca="1">COUNTIFS(Included!$C:$C,$I18,Included!$H:$H,"&lt;="&amp;S$2,Included!$H:$H,"&gt;="&amp;S$1)</f>
        <v>0</v>
      </c>
      <c r="T18" s="45">
        <f ca="1">COUNTIFS(Included!$C:$C,$I18,Included!$H:$H,"&lt;="&amp;T$2,Included!$H:$H,"&gt;="&amp;T$1)</f>
        <v>0</v>
      </c>
      <c r="U18" s="45">
        <f ca="1">COUNTIFS(Included!$C:$C,$I18,Included!$H:$H,"&lt;="&amp;U$2,Included!$H:$H,"&gt;="&amp;U$1)</f>
        <v>0</v>
      </c>
    </row>
    <row r="19" spans="1:21">
      <c r="A19" s="4"/>
      <c r="B19" s="4"/>
      <c r="C19" s="4"/>
      <c r="D19" s="4"/>
      <c r="E19" s="72"/>
      <c r="F19" s="72"/>
      <c r="I19" s="56" t="str">
        <f ca="1">IFERROR(__xludf.DUMMYFUNCTION("""COMPUTED_VALUE"""),"Parainfluenza")</f>
        <v>Parainfluenza</v>
      </c>
      <c r="J19" s="57">
        <f ca="1">COUNTIFS(Included!C:C,I19,Included!AS:AS, "yes")</f>
        <v>1</v>
      </c>
      <c r="K19" s="57">
        <f ca="1">SUMIFS(Included!X:X,Included!C:C,I19,Included!AS:AS, "yes")</f>
        <v>83</v>
      </c>
      <c r="L19" s="57">
        <f ca="1">SUMIFS(Included!Z:Z,Included!C:C,I19,Included!AS:AS, "yes")</f>
        <v>34</v>
      </c>
      <c r="M19" s="57">
        <f ca="1">SUMIFS(Included!AI:AI,Included!C:C,I19,Included!AS:AS, "yes")</f>
        <v>0</v>
      </c>
      <c r="N19" s="58" t="str">
        <f t="shared" ca="1" si="3"/>
        <v>(0.0%)</v>
      </c>
      <c r="Q19" s="45">
        <f ca="1">COUNTIFS(Included!$C:$C,$I19,Included!$H:$H,"&lt;="&amp;Q$2,Included!$H:$H,"&gt;="&amp;Q$1)</f>
        <v>0</v>
      </c>
      <c r="R19" s="45">
        <f ca="1">COUNTIFS(Included!$C:$C,$I19,Included!$H:$H,"&lt;="&amp;R$2,Included!$H:$H,"&gt;="&amp;R$1)</f>
        <v>3</v>
      </c>
      <c r="S19" s="45">
        <f ca="1">COUNTIFS(Included!$C:$C,$I19,Included!$H:$H,"&lt;="&amp;S$2,Included!$H:$H,"&gt;="&amp;S$1)</f>
        <v>0</v>
      </c>
      <c r="T19" s="45">
        <f ca="1">COUNTIFS(Included!$C:$C,$I19,Included!$H:$H,"&lt;="&amp;T$2,Included!$H:$H,"&gt;="&amp;T$1)</f>
        <v>0</v>
      </c>
      <c r="U19" s="45">
        <f ca="1">COUNTIFS(Included!$C:$C,$I19,Included!$H:$H,"&lt;="&amp;U$2,Included!$H:$H,"&gt;="&amp;U$1)</f>
        <v>0</v>
      </c>
    </row>
    <row r="20" spans="1:21">
      <c r="A20" s="4"/>
      <c r="B20" s="4"/>
      <c r="C20" s="4"/>
      <c r="D20" s="4"/>
      <c r="E20" s="72"/>
      <c r="F20" s="72"/>
      <c r="I20" s="62" t="str">
        <f ca="1">IFERROR(__xludf.DUMMYFUNCTION("""COMPUTED_VALUE"""),"Trachoma Virus")</f>
        <v>Trachoma Virus</v>
      </c>
      <c r="J20" s="63">
        <f ca="1">COUNTIFS(Included!C:C,I20,Included!AS:AS, "yes")</f>
        <v>0</v>
      </c>
      <c r="K20" s="63">
        <f ca="1">SUMIFS(Included!X:X,Included!C:C,I20,Included!AS:AS, "yes")</f>
        <v>0</v>
      </c>
      <c r="L20" s="63">
        <f ca="1">SUMIFS(Included!Z:Z,Included!C:C,I20,Included!AS:AS, "yes")</f>
        <v>0</v>
      </c>
      <c r="M20" s="63">
        <f ca="1">SUMIFS(Included!AI:AI,Included!C:C,I20,Included!AS:AS, "yes")</f>
        <v>0</v>
      </c>
      <c r="N20" s="64" t="str">
        <f t="shared" ca="1" si="3"/>
        <v>N/A</v>
      </c>
      <c r="Q20" s="45">
        <f ca="1">COUNTIFS(Included!$C:$C,$I20,Included!$H:$H,"&lt;="&amp;Q$2,Included!$H:$H,"&gt;="&amp;Q$1)</f>
        <v>1</v>
      </c>
      <c r="R20" s="45">
        <f ca="1">COUNTIFS(Included!$C:$C,$I20,Included!$H:$H,"&lt;="&amp;R$2,Included!$H:$H,"&gt;="&amp;R$1)</f>
        <v>0</v>
      </c>
      <c r="S20" s="45">
        <f ca="1">COUNTIFS(Included!$C:$C,$I20,Included!$H:$H,"&lt;="&amp;S$2,Included!$H:$H,"&gt;="&amp;S$1)</f>
        <v>0</v>
      </c>
      <c r="T20" s="45">
        <f ca="1">COUNTIFS(Included!$C:$C,$I20,Included!$H:$H,"&lt;="&amp;T$2,Included!$H:$H,"&gt;="&amp;T$1)</f>
        <v>0</v>
      </c>
      <c r="U20" s="45">
        <f ca="1">COUNTIFS(Included!$C:$C,$I20,Included!$H:$H,"&lt;="&amp;U$2,Included!$H:$H,"&gt;="&amp;U$1)</f>
        <v>0</v>
      </c>
    </row>
    <row r="21" spans="1:21">
      <c r="A21" s="4"/>
      <c r="B21" s="4"/>
      <c r="C21" s="4"/>
      <c r="D21" s="4"/>
      <c r="E21" s="72"/>
      <c r="F21" s="72"/>
      <c r="I21" s="56" t="str">
        <f ca="1">IFERROR(__xludf.DUMMYFUNCTION("""COMPUTED_VALUE"""),"Dengue Virus")</f>
        <v>Dengue Virus</v>
      </c>
      <c r="J21" s="57">
        <f ca="1">COUNTIFS(Included!C:C,I21,Included!AS:AS, "yes")</f>
        <v>3</v>
      </c>
      <c r="K21" s="57">
        <f ca="1">SUMIFS(Included!X:X,Included!C:C,I21,Included!AS:AS, "yes")</f>
        <v>104</v>
      </c>
      <c r="L21" s="57">
        <f ca="1">SUMIFS(Included!Z:Z,Included!C:C,I21,Included!AS:AS, "yes")</f>
        <v>70</v>
      </c>
      <c r="M21" s="57">
        <f ca="1">SUMIFS(Included!AI:AI,Included!C:C,I21,Included!AS:AS, "yes")</f>
        <v>0</v>
      </c>
      <c r="N21" s="58" t="str">
        <f t="shared" ca="1" si="3"/>
        <v>(0.0%)</v>
      </c>
      <c r="Q21" s="45">
        <f ca="1">COUNTIFS(Included!$C:$C,$I21,Included!$H:$H,"&lt;="&amp;Q$2,Included!$H:$H,"&gt;="&amp;Q$1)</f>
        <v>0</v>
      </c>
      <c r="R21" s="45">
        <f ca="1">COUNTIFS(Included!$C:$C,$I21,Included!$H:$H,"&lt;="&amp;R$2,Included!$H:$H,"&gt;="&amp;R$1)</f>
        <v>1</v>
      </c>
      <c r="S21" s="45">
        <f ca="1">COUNTIFS(Included!$C:$C,$I21,Included!$H:$H,"&lt;="&amp;S$2,Included!$H:$H,"&gt;="&amp;S$1)</f>
        <v>1</v>
      </c>
      <c r="T21" s="45">
        <f ca="1">COUNTIFS(Included!$C:$C,$I21,Included!$H:$H,"&lt;="&amp;T$2,Included!$H:$H,"&gt;="&amp;T$1)</f>
        <v>1</v>
      </c>
      <c r="U21" s="45">
        <f ca="1">COUNTIFS(Included!$C:$C,$I21,Included!$H:$H,"&lt;="&amp;U$2,Included!$H:$H,"&gt;="&amp;U$1)</f>
        <v>0</v>
      </c>
    </row>
    <row r="22" spans="1:21">
      <c r="A22" s="4"/>
      <c r="B22" s="4"/>
      <c r="E22" s="57"/>
      <c r="F22" s="57"/>
      <c r="I22" s="62" t="str">
        <f ca="1">IFERROR(__xludf.DUMMYFUNCTION("""COMPUTED_VALUE"""),"Cryptosporidium Spp.")</f>
        <v>Cryptosporidium Spp.</v>
      </c>
      <c r="J22" s="63">
        <f ca="1">COUNTIFS(Included!C:C,I22,Included!AS:AS, "yes")</f>
        <v>3</v>
      </c>
      <c r="K22" s="63">
        <f ca="1">SUMIFS(Included!X:X,Included!C:C,I22,Included!AS:AS, "yes")</f>
        <v>79</v>
      </c>
      <c r="L22" s="63">
        <f ca="1">SUMIFS(Included!Z:Z,Included!C:C,I22,Included!AS:AS, "yes")</f>
        <v>45</v>
      </c>
      <c r="M22" s="63">
        <f ca="1">SUMIFS(Included!AI:AI,Included!C:C,I22,Included!AS:AS, "yes")</f>
        <v>0</v>
      </c>
      <c r="N22" s="64" t="str">
        <f t="shared" ca="1" si="3"/>
        <v>(0.0%)</v>
      </c>
    </row>
    <row r="23" spans="1:21">
      <c r="A23" s="4"/>
      <c r="E23" s="72"/>
      <c r="F23" s="72"/>
      <c r="I23" s="56" t="str">
        <f ca="1">IFERROR(__xludf.DUMMYFUNCTION("""COMPUTED_VALUE"""),"Rubella Virus")</f>
        <v>Rubella Virus</v>
      </c>
      <c r="J23" s="57">
        <f ca="1">COUNTIFS(Included!C:C,I23,Included!AS:AS, "yes")</f>
        <v>2</v>
      </c>
      <c r="K23" s="57">
        <f ca="1">SUMIFS(Included!X:X,Included!C:C,I23,Included!AS:AS, "yes")</f>
        <v>40</v>
      </c>
      <c r="L23" s="57">
        <f ca="1">SUMIFS(Included!Z:Z,Included!C:C,I23,Included!AS:AS, "yes")</f>
        <v>28</v>
      </c>
      <c r="M23" s="57">
        <f ca="1">SUMIFS(Included!AI:AI,Included!C:C,I23,Included!AS:AS, "yes")</f>
        <v>0</v>
      </c>
      <c r="N23" s="58" t="str">
        <f t="shared" ca="1" si="3"/>
        <v>(0.0%)</v>
      </c>
    </row>
    <row r="24" spans="1:21">
      <c r="A24" s="4"/>
      <c r="B24" s="4"/>
      <c r="C24" s="4"/>
      <c r="D24" s="4"/>
      <c r="E24" s="72"/>
      <c r="F24" s="72"/>
      <c r="I24" s="62" t="str">
        <f ca="1">IFERROR(__xludf.DUMMYFUNCTION("""COMPUTED_VALUE"""),"Coxsackievirus A21")</f>
        <v>Coxsackievirus A21</v>
      </c>
      <c r="J24" s="63">
        <f ca="1">COUNTIFS(Included!C:C,I24,Included!AS:AS, "yes")</f>
        <v>1</v>
      </c>
      <c r="K24" s="63">
        <f ca="1">SUMIFS(Included!X:X,Included!C:C,I24,Included!AS:AS, "yes")</f>
        <v>31</v>
      </c>
      <c r="L24" s="63">
        <f ca="1">SUMIFS(Included!Z:Z,Included!C:C,I24,Included!AS:AS, "yes")</f>
        <v>29</v>
      </c>
      <c r="M24" s="63">
        <f ca="1">SUMIFS(Included!AI:AI,Included!C:C,I24,Included!AS:AS, "yes")</f>
        <v>0</v>
      </c>
      <c r="N24" s="64" t="str">
        <f t="shared" ca="1" si="3"/>
        <v>(0.0%)</v>
      </c>
    </row>
    <row r="25" spans="1:21">
      <c r="A25" s="4"/>
      <c r="C25" s="4"/>
      <c r="D25" s="4"/>
      <c r="E25" s="72"/>
      <c r="F25" s="72"/>
      <c r="I25" s="56" t="str">
        <f ca="1">IFERROR(__xludf.DUMMYFUNCTION("""COMPUTED_VALUE"""),"Campylobacter Jejuni")</f>
        <v>Campylobacter Jejuni</v>
      </c>
      <c r="J25" s="57">
        <f ca="1">COUNTIFS(Included!C:C,I25,Included!AS:AS, "yes")</f>
        <v>5</v>
      </c>
      <c r="K25" s="57">
        <f ca="1">SUMIFS(Included!X:X,Included!C:C,I25,Included!AS:AS, "yes")</f>
        <v>221</v>
      </c>
      <c r="L25" s="57">
        <f ca="1">SUMIFS(Included!Z:Z,Included!C:C,I25,Included!AS:AS, "yes")</f>
        <v>196</v>
      </c>
      <c r="M25" s="57">
        <f ca="1">SUMIFS(Included!AI:AI,Included!C:C,I25,Included!AS:AS, "yes")</f>
        <v>0</v>
      </c>
      <c r="N25" s="58" t="str">
        <f t="shared" ca="1" si="3"/>
        <v>(0.0%)</v>
      </c>
    </row>
    <row r="26" spans="1:21">
      <c r="A26" s="4"/>
      <c r="E26" s="72"/>
      <c r="F26" s="72"/>
      <c r="I26" s="62" t="str">
        <f ca="1">IFERROR(__xludf.DUMMYFUNCTION("""COMPUTED_VALUE"""),"Coronavirus")</f>
        <v>Coronavirus</v>
      </c>
      <c r="J26" s="63">
        <f ca="1">COUNTIFS(Included!C:C,I26,Included!AS:AS, "yes")</f>
        <v>1</v>
      </c>
      <c r="K26" s="63">
        <f ca="1">SUMIFS(Included!X:X,Included!C:C,I26,Included!AS:AS, "yes")</f>
        <v>55</v>
      </c>
      <c r="L26" s="63">
        <f ca="1">SUMIFS(Included!Z:Z,Included!C:C,I26,Included!AS:AS, "yes")</f>
        <v>50</v>
      </c>
      <c r="M26" s="63">
        <f ca="1">SUMIFS(Included!AI:AI,Included!C:C,I26,Included!AS:AS, "yes")</f>
        <v>0</v>
      </c>
      <c r="N26" s="64" t="str">
        <f t="shared" ca="1" si="3"/>
        <v>(0.0%)</v>
      </c>
    </row>
    <row r="27" spans="1:21">
      <c r="A27" s="4"/>
      <c r="B27" s="4"/>
      <c r="E27" s="72"/>
      <c r="F27" s="72"/>
      <c r="I27" s="56" t="str">
        <f ca="1">IFERROR(__xludf.DUMMYFUNCTION("""COMPUTED_VALUE"""),"Rickettsia Rickettsii")</f>
        <v>Rickettsia Rickettsii</v>
      </c>
      <c r="J27" s="57">
        <f ca="1">COUNTIFS(Included!C:C,I27,Included!AS:AS, "yes")</f>
        <v>1</v>
      </c>
      <c r="K27" s="57">
        <f ca="1">SUMIFS(Included!X:X,Included!C:C,I27,Included!AS:AS, "yes")</f>
        <v>22</v>
      </c>
      <c r="L27" s="57">
        <f ca="1">SUMIFS(Included!Z:Z,Included!C:C,I27,Included!AS:AS, "yes")</f>
        <v>18</v>
      </c>
      <c r="M27" s="57">
        <f ca="1">SUMIFS(Included!AI:AI,Included!C:C,I27,Included!AS:AS, "yes")</f>
        <v>0</v>
      </c>
      <c r="N27" s="58" t="str">
        <f t="shared" ca="1" si="3"/>
        <v>(0.0%)</v>
      </c>
    </row>
    <row r="28" spans="1:21">
      <c r="A28" s="4"/>
      <c r="B28" s="4"/>
      <c r="E28" s="72"/>
      <c r="F28" s="72"/>
      <c r="I28" s="62" t="str">
        <f ca="1">IFERROR(__xludf.DUMMYFUNCTION("""COMPUTED_VALUE"""),"Neisseria Lactamica")</f>
        <v>Neisseria Lactamica</v>
      </c>
      <c r="J28" s="63">
        <f ca="1">COUNTIFS(Included!C:C,I28,Included!AS:AS, "yes")</f>
        <v>2</v>
      </c>
      <c r="K28" s="63">
        <f ca="1">SUMIFS(Included!X:X,Included!C:C,I28,Included!AS:AS, "yes")</f>
        <v>419</v>
      </c>
      <c r="L28" s="63">
        <f ca="1">SUMIFS(Included!Z:Z,Included!C:C,I28,Included!AS:AS, "yes")</f>
        <v>141</v>
      </c>
      <c r="M28" s="63">
        <f ca="1">SUMIFS(Included!AI:AI,Included!C:C,I28,Included!AS:AS, "yes")</f>
        <v>0</v>
      </c>
      <c r="N28" s="64" t="str">
        <f t="shared" ca="1" si="3"/>
        <v>(0.0%)</v>
      </c>
    </row>
    <row r="29" spans="1:21">
      <c r="A29" s="4"/>
      <c r="B29" s="4"/>
      <c r="E29" s="72"/>
      <c r="F29" s="72"/>
      <c r="I29" s="56" t="str">
        <f ca="1">IFERROR(__xludf.DUMMYFUNCTION("""COMPUTED_VALUE"""),"Helicobacter Pylori")</f>
        <v>Helicobacter Pylori</v>
      </c>
      <c r="J29" s="57">
        <f ca="1">COUNTIFS(Included!C:C,I29,Included!AS:AS, "yes")</f>
        <v>1</v>
      </c>
      <c r="K29" s="57">
        <f ca="1">SUMIFS(Included!X:X,Included!C:C,I29,Included!AS:AS, "yes")</f>
        <v>20</v>
      </c>
      <c r="L29" s="57">
        <f ca="1">SUMIFS(Included!Z:Z,Included!C:C,I29,Included!AS:AS, "yes")</f>
        <v>18</v>
      </c>
      <c r="M29" s="57">
        <f ca="1">SUMIFS(Included!AI:AI,Included!C:C,I29,Included!AS:AS, "yes")</f>
        <v>0</v>
      </c>
      <c r="N29" s="58" t="str">
        <f t="shared" ca="1" si="3"/>
        <v>(0.0%)</v>
      </c>
    </row>
    <row r="30" spans="1:21">
      <c r="A30" s="4"/>
      <c r="B30" s="4"/>
      <c r="C30" s="4"/>
      <c r="D30" s="4"/>
      <c r="E30" s="72"/>
      <c r="F30" s="72"/>
      <c r="I30" s="62" t="str">
        <f ca="1">IFERROR(__xludf.DUMMYFUNCTION("""COMPUTED_VALUE"""),"Giardia Lamblia")</f>
        <v>Giardia Lamblia</v>
      </c>
      <c r="J30" s="63">
        <f ca="1">COUNTIFS(Included!C:C,I30,Included!AS:AS, "yes")</f>
        <v>1</v>
      </c>
      <c r="K30" s="63">
        <f ca="1">SUMIFS(Included!X:X,Included!C:C,I30,Included!AS:AS, "yes")</f>
        <v>19</v>
      </c>
      <c r="L30" s="63">
        <f ca="1">SUMIFS(Included!Z:Z,Included!C:C,I30,Included!AS:AS, "yes")</f>
        <v>5</v>
      </c>
      <c r="M30" s="63">
        <f ca="1">SUMIFS(Included!AI:AI,Included!C:C,I30,Included!AS:AS, "yes")</f>
        <v>0</v>
      </c>
      <c r="N30" s="64" t="str">
        <f t="shared" ca="1" si="3"/>
        <v>(0.0%)</v>
      </c>
    </row>
    <row r="31" spans="1:21">
      <c r="A31" s="4"/>
      <c r="B31" s="4"/>
      <c r="C31" s="4"/>
      <c r="D31" s="10"/>
      <c r="E31" s="72"/>
      <c r="F31" s="72"/>
      <c r="I31" s="56" t="str">
        <f ca="1">IFERROR(__xludf.DUMMYFUNCTION("""COMPUTED_VALUE"""),"Haemophilus Influenzae")</f>
        <v>Haemophilus Influenzae</v>
      </c>
      <c r="J31" s="57">
        <f ca="1">COUNTIFS(Included!C:C,I31,Included!AS:AS, "yes")</f>
        <v>1</v>
      </c>
      <c r="K31" s="57">
        <f ca="1">SUMIFS(Included!X:X,Included!C:C,I31,Included!AS:AS, "yes")</f>
        <v>15</v>
      </c>
      <c r="L31" s="57">
        <f ca="1">SUMIFS(Included!Z:Z,Included!C:C,I31,Included!AS:AS, "yes")</f>
        <v>9</v>
      </c>
      <c r="M31" s="57">
        <f ca="1">SUMIFS(Included!AI:AI,Included!C:C,I31,Included!AS:AS, "yes")</f>
        <v>0</v>
      </c>
      <c r="N31" s="58" t="str">
        <f t="shared" ca="1" si="3"/>
        <v>(0.0%)</v>
      </c>
    </row>
    <row r="32" spans="1:21">
      <c r="A32" s="4"/>
      <c r="B32" s="4"/>
      <c r="C32" s="4"/>
      <c r="D32" s="4"/>
      <c r="E32" s="72"/>
      <c r="F32" s="72"/>
      <c r="I32" s="62" t="str">
        <f ca="1">IFERROR(__xludf.DUMMYFUNCTION("""COMPUTED_VALUE"""),"")</f>
        <v/>
      </c>
      <c r="J32" s="63"/>
      <c r="K32" s="63"/>
      <c r="L32" s="63"/>
      <c r="M32" s="63"/>
      <c r="N32" s="64"/>
    </row>
    <row r="33" spans="1:14">
      <c r="A33" s="4"/>
      <c r="B33" s="4"/>
      <c r="C33" s="4"/>
      <c r="D33" s="10"/>
      <c r="E33" s="72"/>
      <c r="F33" s="72"/>
      <c r="I33" s="56"/>
      <c r="J33" s="57"/>
      <c r="K33" s="57"/>
      <c r="L33" s="57"/>
      <c r="M33" s="57"/>
      <c r="N33" s="58"/>
    </row>
    <row r="34" spans="1:14">
      <c r="A34" s="4"/>
      <c r="E34" s="72"/>
      <c r="F34" s="72"/>
      <c r="I34" s="73" t="s">
        <v>112</v>
      </c>
      <c r="J34" s="74">
        <f t="shared" ref="J34:M34" ca="1" si="5">SUM(J3:J32)</f>
        <v>308</v>
      </c>
      <c r="K34" s="74">
        <f t="shared" ca="1" si="5"/>
        <v>15046</v>
      </c>
      <c r="L34" s="74">
        <f t="shared" ca="1" si="5"/>
        <v>9946</v>
      </c>
      <c r="M34" s="74">
        <f t="shared" ca="1" si="5"/>
        <v>24</v>
      </c>
      <c r="N34" s="75" t="str">
        <f ca="1">"("&amp;TEXT(M34/L34,"0.0%")&amp;")"</f>
        <v>(0.2%)</v>
      </c>
    </row>
    <row r="35" spans="1:14">
      <c r="A35" s="4"/>
      <c r="B35" s="4"/>
      <c r="C35" s="10"/>
      <c r="D35" s="10"/>
      <c r="E35" s="72"/>
      <c r="F35" s="72"/>
    </row>
    <row r="36" spans="1:14">
      <c r="A36" s="4"/>
      <c r="B36" s="4"/>
      <c r="C36" s="4"/>
      <c r="D36" s="10"/>
      <c r="E36" s="72"/>
      <c r="F36" s="72"/>
    </row>
    <row r="37" spans="1:14">
      <c r="A37" s="4"/>
      <c r="B37" s="4"/>
      <c r="C37" s="4"/>
      <c r="D37" s="4"/>
      <c r="E37" s="72"/>
      <c r="F37" s="72"/>
    </row>
    <row r="38" spans="1:14">
      <c r="A38" s="4"/>
      <c r="B38" s="4"/>
      <c r="C38" s="10"/>
      <c r="D38" s="4"/>
      <c r="E38" s="72"/>
      <c r="F38" s="72"/>
    </row>
    <row r="39" spans="1:14">
      <c r="A39" s="4"/>
      <c r="E39" s="57"/>
      <c r="F39" s="57"/>
    </row>
    <row r="40" spans="1:14">
      <c r="A40" s="4"/>
      <c r="B40" s="4"/>
      <c r="E40" s="57"/>
      <c r="F40" s="57"/>
    </row>
    <row r="41" spans="1:14">
      <c r="A41" s="4"/>
      <c r="E41" s="72"/>
      <c r="F41" s="72"/>
    </row>
    <row r="42" spans="1:14">
      <c r="A42" s="4"/>
      <c r="E42" s="57"/>
      <c r="F42" s="57"/>
    </row>
    <row r="43" spans="1:14">
      <c r="A43" s="4"/>
      <c r="B43" s="4"/>
      <c r="C43" s="4"/>
      <c r="D43" s="10"/>
      <c r="E43" s="72"/>
      <c r="F43" s="72"/>
    </row>
    <row r="44" spans="1:14">
      <c r="A44" s="4"/>
      <c r="B44" s="4"/>
      <c r="C44" s="4"/>
      <c r="D44" s="4"/>
      <c r="E44" s="72"/>
      <c r="F44" s="72"/>
    </row>
    <row r="45" spans="1:14">
      <c r="A45" s="4"/>
      <c r="E45" s="72"/>
      <c r="F45" s="72"/>
    </row>
    <row r="46" spans="1:14">
      <c r="A46" s="4"/>
      <c r="E46" s="57"/>
      <c r="F46" s="57"/>
    </row>
    <row r="47" spans="1:14">
      <c r="A47" s="4"/>
      <c r="E47" s="72"/>
      <c r="F47" s="72"/>
    </row>
    <row r="48" spans="1:14">
      <c r="A48" s="4"/>
      <c r="E48" s="72"/>
      <c r="F48" s="72"/>
    </row>
    <row r="49" spans="1:6">
      <c r="A49" s="4"/>
      <c r="B49" s="4"/>
      <c r="C49" s="4"/>
      <c r="D49" s="10"/>
      <c r="E49" s="72"/>
      <c r="F49" s="72"/>
    </row>
    <row r="50" spans="1:6">
      <c r="A50" s="4"/>
      <c r="B50" s="4"/>
      <c r="C50" s="4"/>
      <c r="D50" s="10"/>
      <c r="E50" s="72"/>
      <c r="F50" s="72"/>
    </row>
    <row r="51" spans="1:6">
      <c r="A51" s="4"/>
      <c r="B51" s="4"/>
      <c r="C51" s="4"/>
      <c r="D51" s="4"/>
      <c r="E51" s="57"/>
      <c r="F51" s="57"/>
    </row>
    <row r="52" spans="1:6">
      <c r="A52" s="4"/>
      <c r="B52" s="4"/>
      <c r="C52" s="4"/>
      <c r="D52" s="4"/>
      <c r="E52" s="72"/>
      <c r="F52" s="72"/>
    </row>
    <row r="53" spans="1:6">
      <c r="A53" s="4"/>
      <c r="B53" s="4"/>
      <c r="C53" s="4"/>
      <c r="D53" s="10"/>
      <c r="E53" s="72"/>
      <c r="F53" s="72"/>
    </row>
    <row r="54" spans="1:6">
      <c r="A54" s="4"/>
      <c r="B54" s="4"/>
      <c r="C54" s="4"/>
      <c r="D54" s="10"/>
      <c r="E54" s="72"/>
      <c r="F54" s="72"/>
    </row>
    <row r="55" spans="1:6">
      <c r="A55" s="4"/>
      <c r="B55" s="4"/>
      <c r="E55" s="72"/>
      <c r="F55" s="72"/>
    </row>
    <row r="56" spans="1:6">
      <c r="A56" s="4"/>
      <c r="E56" s="57"/>
      <c r="F56" s="57"/>
    </row>
    <row r="57" spans="1:6">
      <c r="A57" s="4"/>
      <c r="B57" s="4"/>
      <c r="C57" s="4"/>
      <c r="D57" s="10"/>
      <c r="E57" s="72"/>
      <c r="F57" s="72"/>
    </row>
    <row r="58" spans="1:6">
      <c r="A58" s="4"/>
      <c r="C58" s="4"/>
      <c r="D58" s="4"/>
      <c r="E58" s="72"/>
      <c r="F58" s="72"/>
    </row>
    <row r="59" spans="1:6">
      <c r="A59" s="4"/>
      <c r="B59" s="4"/>
      <c r="C59" s="4"/>
      <c r="D59" s="10"/>
      <c r="E59" s="72"/>
      <c r="F59" s="72"/>
    </row>
    <row r="60" spans="1:6">
      <c r="A60" s="4"/>
      <c r="B60" s="4"/>
      <c r="C60" s="4"/>
      <c r="D60" s="4"/>
      <c r="E60" s="72"/>
      <c r="F60" s="72"/>
    </row>
    <row r="61" spans="1:6">
      <c r="E61" s="57"/>
      <c r="F61" s="57"/>
    </row>
    <row r="62" spans="1:6">
      <c r="E62" s="57"/>
      <c r="F62" s="57"/>
    </row>
    <row r="63" spans="1:6">
      <c r="E63" s="57"/>
      <c r="F63" s="57"/>
    </row>
    <row r="64" spans="1:6">
      <c r="E64" s="57"/>
      <c r="F64" s="57"/>
    </row>
    <row r="65" spans="5:6">
      <c r="E65" s="57"/>
      <c r="F65" s="57"/>
    </row>
    <row r="66" spans="5:6">
      <c r="E66" s="57"/>
      <c r="F66" s="57"/>
    </row>
    <row r="67" spans="5:6">
      <c r="E67" s="57"/>
      <c r="F67" s="57"/>
    </row>
    <row r="68" spans="5:6">
      <c r="E68" s="57"/>
      <c r="F68" s="57"/>
    </row>
    <row r="69" spans="5:6">
      <c r="E69" s="57"/>
      <c r="F69" s="57"/>
    </row>
    <row r="70" spans="5:6">
      <c r="E70" s="57"/>
      <c r="F70" s="57"/>
    </row>
    <row r="71" spans="5:6">
      <c r="E71" s="57"/>
      <c r="F71" s="57"/>
    </row>
    <row r="72" spans="5:6">
      <c r="E72" s="57"/>
      <c r="F72" s="57"/>
    </row>
    <row r="73" spans="5:6">
      <c r="E73" s="57"/>
      <c r="F73" s="57"/>
    </row>
    <row r="74" spans="5:6">
      <c r="E74" s="57"/>
      <c r="F74" s="57"/>
    </row>
    <row r="75" spans="5:6">
      <c r="E75" s="57"/>
      <c r="F75" s="57"/>
    </row>
    <row r="76" spans="5:6">
      <c r="E76" s="57"/>
      <c r="F76" s="57"/>
    </row>
    <row r="77" spans="5:6">
      <c r="E77" s="57"/>
      <c r="F77" s="57"/>
    </row>
    <row r="78" spans="5:6">
      <c r="E78" s="57"/>
      <c r="F78" s="57"/>
    </row>
    <row r="79" spans="5:6">
      <c r="E79" s="57"/>
      <c r="F79" s="57"/>
    </row>
    <row r="80" spans="5:6">
      <c r="E80" s="57"/>
      <c r="F80" s="57"/>
    </row>
    <row r="81" spans="5:6">
      <c r="E81" s="57"/>
      <c r="F81" s="57"/>
    </row>
    <row r="82" spans="5:6">
      <c r="E82" s="57"/>
      <c r="F82" s="57"/>
    </row>
    <row r="83" spans="5:6">
      <c r="E83" s="57"/>
      <c r="F83" s="57"/>
    </row>
    <row r="84" spans="5:6">
      <c r="E84" s="57"/>
      <c r="F84" s="57"/>
    </row>
    <row r="85" spans="5:6">
      <c r="E85" s="57"/>
      <c r="F85" s="57"/>
    </row>
    <row r="86" spans="5:6">
      <c r="E86" s="57"/>
      <c r="F86" s="57"/>
    </row>
    <row r="87" spans="5:6">
      <c r="E87" s="57"/>
      <c r="F87" s="57"/>
    </row>
    <row r="88" spans="5:6">
      <c r="E88" s="57"/>
      <c r="F88" s="57"/>
    </row>
    <row r="89" spans="5:6">
      <c r="E89" s="57"/>
      <c r="F89" s="57"/>
    </row>
    <row r="90" spans="5:6">
      <c r="E90" s="57"/>
      <c r="F90" s="57"/>
    </row>
    <row r="91" spans="5:6">
      <c r="E91" s="57"/>
      <c r="F91" s="57"/>
    </row>
    <row r="92" spans="5:6">
      <c r="E92" s="57"/>
      <c r="F92" s="57"/>
    </row>
    <row r="93" spans="5:6">
      <c r="E93" s="57"/>
      <c r="F93" s="57"/>
    </row>
    <row r="94" spans="5:6">
      <c r="E94" s="57"/>
      <c r="F94" s="57"/>
    </row>
    <row r="95" spans="5:6">
      <c r="E95" s="57"/>
      <c r="F95" s="57"/>
    </row>
    <row r="96" spans="5:6">
      <c r="E96" s="57"/>
      <c r="F96" s="57"/>
    </row>
    <row r="97" spans="5:6">
      <c r="E97" s="57"/>
      <c r="F97" s="57"/>
    </row>
    <row r="98" spans="5:6">
      <c r="E98" s="57"/>
      <c r="F98" s="57"/>
    </row>
    <row r="99" spans="5:6">
      <c r="E99" s="57"/>
      <c r="F99" s="57"/>
    </row>
    <row r="100" spans="5:6">
      <c r="E100" s="57"/>
      <c r="F100" s="57"/>
    </row>
    <row r="101" spans="5:6">
      <c r="E101" s="57"/>
      <c r="F101" s="57"/>
    </row>
    <row r="102" spans="5:6">
      <c r="E102" s="57"/>
      <c r="F102" s="57"/>
    </row>
    <row r="103" spans="5:6">
      <c r="E103" s="57"/>
      <c r="F103" s="57"/>
    </row>
    <row r="104" spans="5:6">
      <c r="E104" s="57"/>
      <c r="F104" s="57"/>
    </row>
    <row r="105" spans="5:6">
      <c r="E105" s="57"/>
      <c r="F105" s="57"/>
    </row>
    <row r="106" spans="5:6">
      <c r="E106" s="57"/>
      <c r="F106" s="57"/>
    </row>
    <row r="107" spans="5:6">
      <c r="E107" s="57"/>
      <c r="F107" s="57"/>
    </row>
    <row r="108" spans="5:6">
      <c r="E108" s="57"/>
      <c r="F108" s="57"/>
    </row>
    <row r="109" spans="5:6">
      <c r="E109" s="57"/>
      <c r="F109" s="57"/>
    </row>
    <row r="110" spans="5:6">
      <c r="E110" s="57"/>
      <c r="F110" s="57"/>
    </row>
    <row r="111" spans="5:6">
      <c r="E111" s="57"/>
      <c r="F111" s="57"/>
    </row>
    <row r="112" spans="5:6">
      <c r="E112" s="57"/>
      <c r="F112" s="57"/>
    </row>
    <row r="113" spans="5:6">
      <c r="E113" s="57"/>
      <c r="F113" s="57"/>
    </row>
    <row r="114" spans="5:6">
      <c r="E114" s="57"/>
      <c r="F114" s="57"/>
    </row>
    <row r="115" spans="5:6">
      <c r="E115" s="57"/>
      <c r="F115" s="57"/>
    </row>
    <row r="116" spans="5:6">
      <c r="E116" s="57"/>
      <c r="F116" s="57"/>
    </row>
    <row r="117" spans="5:6">
      <c r="E117" s="57"/>
      <c r="F117" s="57"/>
    </row>
    <row r="118" spans="5:6">
      <c r="E118" s="57"/>
      <c r="F118" s="57"/>
    </row>
    <row r="119" spans="5:6">
      <c r="E119" s="57"/>
      <c r="F119" s="57"/>
    </row>
    <row r="120" spans="5:6">
      <c r="E120" s="57"/>
      <c r="F120" s="57"/>
    </row>
    <row r="121" spans="5:6">
      <c r="E121" s="57"/>
      <c r="F121" s="57"/>
    </row>
    <row r="122" spans="5:6">
      <c r="E122" s="57"/>
      <c r="F122" s="57"/>
    </row>
    <row r="123" spans="5:6">
      <c r="E123" s="57"/>
      <c r="F123" s="57"/>
    </row>
    <row r="124" spans="5:6">
      <c r="E124" s="57"/>
      <c r="F124" s="57"/>
    </row>
    <row r="125" spans="5:6">
      <c r="E125" s="57"/>
      <c r="F125" s="57"/>
    </row>
    <row r="126" spans="5:6">
      <c r="E126" s="57"/>
      <c r="F126" s="57"/>
    </row>
    <row r="127" spans="5:6">
      <c r="E127" s="57"/>
      <c r="F127" s="57"/>
    </row>
    <row r="128" spans="5:6">
      <c r="E128" s="57"/>
      <c r="F128" s="57"/>
    </row>
    <row r="129" spans="5:6">
      <c r="E129" s="57"/>
      <c r="F129" s="57"/>
    </row>
    <row r="130" spans="5:6">
      <c r="E130" s="57"/>
      <c r="F130" s="57"/>
    </row>
    <row r="131" spans="5:6">
      <c r="E131" s="57"/>
      <c r="F131" s="57"/>
    </row>
    <row r="132" spans="5:6">
      <c r="E132" s="57"/>
      <c r="F132" s="57"/>
    </row>
    <row r="133" spans="5:6">
      <c r="E133" s="57"/>
      <c r="F133" s="57"/>
    </row>
    <row r="134" spans="5:6">
      <c r="E134" s="57"/>
      <c r="F134" s="57"/>
    </row>
    <row r="135" spans="5:6">
      <c r="E135" s="57"/>
      <c r="F135" s="57"/>
    </row>
    <row r="136" spans="5:6">
      <c r="E136" s="57"/>
      <c r="F136" s="57"/>
    </row>
    <row r="137" spans="5:6">
      <c r="E137" s="57"/>
      <c r="F137" s="57"/>
    </row>
    <row r="138" spans="5:6">
      <c r="E138" s="57"/>
      <c r="F138" s="57"/>
    </row>
    <row r="139" spans="5:6">
      <c r="E139" s="57"/>
      <c r="F139" s="57"/>
    </row>
    <row r="140" spans="5:6">
      <c r="E140" s="57"/>
      <c r="F140" s="57"/>
    </row>
    <row r="141" spans="5:6">
      <c r="E141" s="57"/>
      <c r="F141" s="57"/>
    </row>
    <row r="142" spans="5:6">
      <c r="E142" s="57"/>
      <c r="F142" s="57"/>
    </row>
    <row r="143" spans="5:6">
      <c r="E143" s="57"/>
      <c r="F143" s="57"/>
    </row>
    <row r="144" spans="5:6">
      <c r="E144" s="57"/>
      <c r="F144" s="57"/>
    </row>
    <row r="145" spans="5:6">
      <c r="E145" s="57"/>
      <c r="F145" s="57"/>
    </row>
    <row r="146" spans="5:6">
      <c r="E146" s="57"/>
      <c r="F146" s="57"/>
    </row>
    <row r="147" spans="5:6">
      <c r="E147" s="57"/>
      <c r="F147" s="57"/>
    </row>
    <row r="148" spans="5:6">
      <c r="E148" s="57"/>
      <c r="F148" s="57"/>
    </row>
    <row r="149" spans="5:6">
      <c r="E149" s="57"/>
      <c r="F149" s="57"/>
    </row>
    <row r="150" spans="5:6">
      <c r="E150" s="57"/>
      <c r="F150" s="57"/>
    </row>
    <row r="151" spans="5:6">
      <c r="E151" s="57"/>
      <c r="F151" s="57"/>
    </row>
    <row r="152" spans="5:6">
      <c r="E152" s="57"/>
      <c r="F152" s="57"/>
    </row>
    <row r="153" spans="5:6">
      <c r="E153" s="57"/>
      <c r="F153" s="57"/>
    </row>
    <row r="154" spans="5:6">
      <c r="E154" s="57"/>
      <c r="F154" s="57"/>
    </row>
    <row r="155" spans="5:6">
      <c r="E155" s="57"/>
      <c r="F155" s="57"/>
    </row>
    <row r="156" spans="5:6">
      <c r="E156" s="57"/>
      <c r="F156" s="57"/>
    </row>
    <row r="157" spans="5:6">
      <c r="E157" s="57"/>
      <c r="F157" s="57"/>
    </row>
    <row r="158" spans="5:6">
      <c r="E158" s="57"/>
      <c r="F158" s="57"/>
    </row>
    <row r="159" spans="5:6">
      <c r="E159" s="57"/>
      <c r="F159" s="57"/>
    </row>
    <row r="160" spans="5:6">
      <c r="E160" s="57"/>
      <c r="F160" s="57"/>
    </row>
    <row r="161" spans="5:6">
      <c r="E161" s="57"/>
      <c r="F161" s="57"/>
    </row>
    <row r="162" spans="5:6">
      <c r="E162" s="57"/>
      <c r="F162" s="57"/>
    </row>
    <row r="163" spans="5:6">
      <c r="E163" s="57"/>
      <c r="F163" s="57"/>
    </row>
    <row r="164" spans="5:6">
      <c r="E164" s="57"/>
      <c r="F164" s="57"/>
    </row>
    <row r="165" spans="5:6">
      <c r="E165" s="57"/>
      <c r="F165" s="57"/>
    </row>
    <row r="166" spans="5:6">
      <c r="E166" s="57"/>
      <c r="F166" s="57"/>
    </row>
    <row r="167" spans="5:6">
      <c r="E167" s="57"/>
      <c r="F167" s="57"/>
    </row>
    <row r="168" spans="5:6">
      <c r="E168" s="57"/>
      <c r="F168" s="57"/>
    </row>
    <row r="169" spans="5:6">
      <c r="E169" s="57"/>
      <c r="F169" s="57"/>
    </row>
    <row r="170" spans="5:6">
      <c r="E170" s="57"/>
      <c r="F170" s="57"/>
    </row>
    <row r="171" spans="5:6">
      <c r="E171" s="57"/>
      <c r="F171" s="57"/>
    </row>
    <row r="172" spans="5:6">
      <c r="E172" s="57"/>
      <c r="F172" s="57"/>
    </row>
    <row r="173" spans="5:6">
      <c r="E173" s="57"/>
      <c r="F173" s="57"/>
    </row>
    <row r="174" spans="5:6">
      <c r="E174" s="57"/>
      <c r="F174" s="57"/>
    </row>
    <row r="175" spans="5:6">
      <c r="E175" s="57"/>
      <c r="F175" s="57"/>
    </row>
    <row r="176" spans="5:6">
      <c r="E176" s="57"/>
      <c r="F176" s="57"/>
    </row>
    <row r="177" spans="5:6">
      <c r="E177" s="57"/>
      <c r="F177" s="57"/>
    </row>
    <row r="178" spans="5:6">
      <c r="E178" s="57"/>
      <c r="F178" s="57"/>
    </row>
    <row r="179" spans="5:6">
      <c r="E179" s="57"/>
      <c r="F179" s="57"/>
    </row>
    <row r="180" spans="5:6">
      <c r="E180" s="57"/>
      <c r="F180" s="57"/>
    </row>
    <row r="181" spans="5:6">
      <c r="E181" s="57"/>
      <c r="F181" s="57"/>
    </row>
    <row r="182" spans="5:6">
      <c r="E182" s="57"/>
      <c r="F182" s="57"/>
    </row>
    <row r="183" spans="5:6">
      <c r="E183" s="57"/>
      <c r="F183" s="57"/>
    </row>
    <row r="184" spans="5:6">
      <c r="E184" s="57"/>
      <c r="F184" s="57"/>
    </row>
    <row r="185" spans="5:6">
      <c r="E185" s="57"/>
      <c r="F185" s="57"/>
    </row>
    <row r="186" spans="5:6">
      <c r="E186" s="57"/>
      <c r="F186" s="57"/>
    </row>
    <row r="187" spans="5:6">
      <c r="E187" s="57"/>
      <c r="F187" s="57"/>
    </row>
    <row r="188" spans="5:6">
      <c r="E188" s="57"/>
      <c r="F188" s="57"/>
    </row>
    <row r="189" spans="5:6">
      <c r="E189" s="57"/>
      <c r="F189" s="57"/>
    </row>
    <row r="190" spans="5:6">
      <c r="E190" s="57"/>
      <c r="F190" s="57"/>
    </row>
    <row r="191" spans="5:6">
      <c r="E191" s="57"/>
      <c r="F191" s="57"/>
    </row>
    <row r="192" spans="5:6">
      <c r="E192" s="57"/>
      <c r="F192" s="57"/>
    </row>
    <row r="193" spans="5:6">
      <c r="E193" s="57"/>
      <c r="F193" s="57"/>
    </row>
    <row r="194" spans="5:6">
      <c r="E194" s="57"/>
      <c r="F194" s="57"/>
    </row>
    <row r="195" spans="5:6">
      <c r="E195" s="57"/>
      <c r="F195" s="57"/>
    </row>
    <row r="196" spans="5:6">
      <c r="E196" s="57"/>
      <c r="F196" s="57"/>
    </row>
    <row r="197" spans="5:6">
      <c r="E197" s="57"/>
      <c r="F197" s="57"/>
    </row>
    <row r="198" spans="5:6">
      <c r="E198" s="57"/>
      <c r="F198" s="57"/>
    </row>
    <row r="199" spans="5:6">
      <c r="E199" s="57"/>
      <c r="F199" s="57"/>
    </row>
    <row r="200" spans="5:6">
      <c r="E200" s="57"/>
      <c r="F200" s="57"/>
    </row>
    <row r="201" spans="5:6">
      <c r="E201" s="57"/>
      <c r="F201" s="57"/>
    </row>
    <row r="202" spans="5:6">
      <c r="E202" s="57"/>
      <c r="F202" s="57"/>
    </row>
    <row r="203" spans="5:6">
      <c r="E203" s="57"/>
      <c r="F203" s="57"/>
    </row>
    <row r="204" spans="5:6">
      <c r="E204" s="57"/>
      <c r="F204" s="57"/>
    </row>
    <row r="205" spans="5:6">
      <c r="E205" s="57"/>
      <c r="F205" s="57"/>
    </row>
    <row r="206" spans="5:6">
      <c r="E206" s="57"/>
      <c r="F206" s="57"/>
    </row>
    <row r="207" spans="5:6">
      <c r="E207" s="57"/>
      <c r="F207" s="57"/>
    </row>
    <row r="208" spans="5:6">
      <c r="E208" s="57"/>
      <c r="F208" s="57"/>
    </row>
    <row r="209" spans="5:6">
      <c r="E209" s="57"/>
      <c r="F209" s="57"/>
    </row>
    <row r="210" spans="5:6">
      <c r="E210" s="57"/>
      <c r="F210" s="57"/>
    </row>
    <row r="211" spans="5:6">
      <c r="E211" s="57"/>
      <c r="F211" s="57"/>
    </row>
    <row r="212" spans="5:6">
      <c r="E212" s="57"/>
      <c r="F212" s="57"/>
    </row>
    <row r="213" spans="5:6">
      <c r="E213" s="57"/>
      <c r="F213" s="57"/>
    </row>
    <row r="214" spans="5:6">
      <c r="E214" s="57"/>
      <c r="F214" s="57"/>
    </row>
    <row r="215" spans="5:6">
      <c r="E215" s="57"/>
      <c r="F215" s="57"/>
    </row>
    <row r="216" spans="5:6">
      <c r="E216" s="57"/>
      <c r="F216" s="57"/>
    </row>
    <row r="217" spans="5:6">
      <c r="E217" s="57"/>
      <c r="F217" s="57"/>
    </row>
    <row r="218" spans="5:6">
      <c r="E218" s="57"/>
      <c r="F218" s="57"/>
    </row>
    <row r="219" spans="5:6">
      <c r="E219" s="57"/>
      <c r="F219" s="57"/>
    </row>
    <row r="220" spans="5:6">
      <c r="E220" s="57"/>
      <c r="F220" s="57"/>
    </row>
    <row r="221" spans="5:6">
      <c r="E221" s="57"/>
      <c r="F221" s="57"/>
    </row>
    <row r="222" spans="5:6">
      <c r="E222" s="57"/>
      <c r="F222" s="57"/>
    </row>
    <row r="223" spans="5:6">
      <c r="E223" s="57"/>
      <c r="F223" s="57"/>
    </row>
    <row r="224" spans="5:6">
      <c r="E224" s="57"/>
      <c r="F224" s="57"/>
    </row>
    <row r="225" spans="5:6">
      <c r="E225" s="57"/>
      <c r="F225" s="57"/>
    </row>
    <row r="226" spans="5:6">
      <c r="E226" s="57"/>
      <c r="F226" s="57"/>
    </row>
    <row r="227" spans="5:6">
      <c r="E227" s="57"/>
      <c r="F227" s="57"/>
    </row>
    <row r="228" spans="5:6">
      <c r="E228" s="57"/>
      <c r="F228" s="57"/>
    </row>
    <row r="229" spans="5:6">
      <c r="E229" s="57"/>
      <c r="F229" s="57"/>
    </row>
    <row r="230" spans="5:6">
      <c r="E230" s="57"/>
      <c r="F230" s="57"/>
    </row>
    <row r="231" spans="5:6">
      <c r="E231" s="57"/>
      <c r="F231" s="57"/>
    </row>
    <row r="232" spans="5:6">
      <c r="E232" s="57"/>
      <c r="F232" s="57"/>
    </row>
    <row r="233" spans="5:6">
      <c r="E233" s="57"/>
      <c r="F233" s="57"/>
    </row>
    <row r="234" spans="5:6">
      <c r="E234" s="57"/>
      <c r="F234" s="57"/>
    </row>
    <row r="235" spans="5:6">
      <c r="E235" s="57"/>
      <c r="F235" s="57"/>
    </row>
    <row r="236" spans="5:6">
      <c r="E236" s="57"/>
      <c r="F236" s="57"/>
    </row>
    <row r="237" spans="5:6">
      <c r="E237" s="57"/>
      <c r="F237" s="57"/>
    </row>
    <row r="238" spans="5:6">
      <c r="E238" s="57"/>
      <c r="F238" s="57"/>
    </row>
    <row r="239" spans="5:6">
      <c r="E239" s="57"/>
      <c r="F239" s="57"/>
    </row>
    <row r="240" spans="5:6">
      <c r="E240" s="57"/>
      <c r="F240" s="57"/>
    </row>
    <row r="241" spans="5:6">
      <c r="E241" s="57"/>
      <c r="F241" s="57"/>
    </row>
    <row r="242" spans="5:6">
      <c r="E242" s="57"/>
      <c r="F242" s="57"/>
    </row>
    <row r="243" spans="5:6">
      <c r="E243" s="57"/>
      <c r="F243" s="57"/>
    </row>
    <row r="244" spans="5:6">
      <c r="E244" s="57"/>
      <c r="F244" s="57"/>
    </row>
    <row r="245" spans="5:6">
      <c r="E245" s="57"/>
      <c r="F245" s="57"/>
    </row>
    <row r="246" spans="5:6">
      <c r="E246" s="57"/>
      <c r="F246" s="57"/>
    </row>
    <row r="247" spans="5:6">
      <c r="E247" s="57"/>
      <c r="F247" s="57"/>
    </row>
    <row r="248" spans="5:6">
      <c r="E248" s="57"/>
      <c r="F248" s="57"/>
    </row>
    <row r="249" spans="5:6">
      <c r="E249" s="57"/>
      <c r="F249" s="57"/>
    </row>
    <row r="250" spans="5:6">
      <c r="E250" s="57"/>
      <c r="F250" s="57"/>
    </row>
    <row r="251" spans="5:6">
      <c r="E251" s="57"/>
      <c r="F251" s="57"/>
    </row>
    <row r="252" spans="5:6">
      <c r="E252" s="57"/>
      <c r="F252" s="57"/>
    </row>
    <row r="253" spans="5:6">
      <c r="E253" s="57"/>
      <c r="F253" s="57"/>
    </row>
    <row r="254" spans="5:6">
      <c r="E254" s="57"/>
      <c r="F254" s="57"/>
    </row>
    <row r="255" spans="5:6">
      <c r="E255" s="57"/>
      <c r="F255" s="57"/>
    </row>
    <row r="256" spans="5:6">
      <c r="E256" s="57"/>
      <c r="F256" s="57"/>
    </row>
    <row r="257" spans="5:6">
      <c r="E257" s="57"/>
      <c r="F257" s="57"/>
    </row>
    <row r="258" spans="5:6">
      <c r="E258" s="57"/>
      <c r="F258" s="57"/>
    </row>
    <row r="259" spans="5:6">
      <c r="E259" s="57"/>
      <c r="F259" s="57"/>
    </row>
    <row r="260" spans="5:6">
      <c r="E260" s="57"/>
      <c r="F260" s="57"/>
    </row>
    <row r="261" spans="5:6">
      <c r="E261" s="57"/>
      <c r="F261" s="57"/>
    </row>
    <row r="262" spans="5:6">
      <c r="E262" s="57"/>
      <c r="F262" s="57"/>
    </row>
    <row r="263" spans="5:6">
      <c r="E263" s="57"/>
      <c r="F263" s="57"/>
    </row>
    <row r="264" spans="5:6">
      <c r="E264" s="57"/>
      <c r="F264" s="57"/>
    </row>
    <row r="265" spans="5:6">
      <c r="E265" s="57"/>
      <c r="F265" s="57"/>
    </row>
    <row r="266" spans="5:6">
      <c r="E266" s="57"/>
      <c r="F266" s="57"/>
    </row>
    <row r="267" spans="5:6">
      <c r="E267" s="57"/>
      <c r="F267" s="57"/>
    </row>
    <row r="268" spans="5:6">
      <c r="E268" s="57"/>
      <c r="F268" s="57"/>
    </row>
    <row r="269" spans="5:6">
      <c r="E269" s="57"/>
      <c r="F269" s="57"/>
    </row>
    <row r="270" spans="5:6">
      <c r="E270" s="57"/>
      <c r="F270" s="57"/>
    </row>
    <row r="271" spans="5:6">
      <c r="E271" s="57"/>
      <c r="F271" s="57"/>
    </row>
    <row r="272" spans="5:6">
      <c r="E272" s="57"/>
      <c r="F272" s="57"/>
    </row>
    <row r="273" spans="5:6">
      <c r="E273" s="57"/>
      <c r="F273" s="57"/>
    </row>
    <row r="274" spans="5:6">
      <c r="E274" s="57"/>
      <c r="F274" s="57"/>
    </row>
    <row r="275" spans="5:6">
      <c r="E275" s="57"/>
      <c r="F275" s="57"/>
    </row>
    <row r="276" spans="5:6">
      <c r="E276" s="57"/>
      <c r="F276" s="57"/>
    </row>
    <row r="277" spans="5:6">
      <c r="E277" s="57"/>
      <c r="F277" s="57"/>
    </row>
    <row r="278" spans="5:6">
      <c r="E278" s="57"/>
      <c r="F278" s="57"/>
    </row>
    <row r="279" spans="5:6">
      <c r="E279" s="57"/>
      <c r="F279" s="57"/>
    </row>
    <row r="280" spans="5:6">
      <c r="E280" s="57"/>
      <c r="F280" s="57"/>
    </row>
    <row r="281" spans="5:6">
      <c r="E281" s="57"/>
      <c r="F281" s="57"/>
    </row>
    <row r="282" spans="5:6">
      <c r="E282" s="57"/>
      <c r="F282" s="57"/>
    </row>
    <row r="283" spans="5:6">
      <c r="E283" s="57"/>
      <c r="F283" s="57"/>
    </row>
    <row r="284" spans="5:6">
      <c r="E284" s="57"/>
      <c r="F284" s="57"/>
    </row>
    <row r="285" spans="5:6">
      <c r="E285" s="57"/>
      <c r="F285" s="57"/>
    </row>
    <row r="286" spans="5:6">
      <c r="E286" s="57"/>
      <c r="F286" s="57"/>
    </row>
    <row r="287" spans="5:6">
      <c r="E287" s="57"/>
      <c r="F287" s="57"/>
    </row>
    <row r="288" spans="5:6">
      <c r="E288" s="57"/>
      <c r="F288" s="57"/>
    </row>
    <row r="289" spans="5:6">
      <c r="E289" s="57"/>
      <c r="F289" s="57"/>
    </row>
    <row r="290" spans="5:6">
      <c r="E290" s="57"/>
      <c r="F290" s="57"/>
    </row>
    <row r="291" spans="5:6">
      <c r="E291" s="57"/>
      <c r="F291" s="57"/>
    </row>
    <row r="292" spans="5:6">
      <c r="E292" s="57"/>
      <c r="F292" s="57"/>
    </row>
    <row r="293" spans="5:6">
      <c r="E293" s="57"/>
      <c r="F293" s="57"/>
    </row>
    <row r="294" spans="5:6">
      <c r="E294" s="57"/>
      <c r="F294" s="57"/>
    </row>
    <row r="295" spans="5:6">
      <c r="E295" s="57"/>
      <c r="F295" s="57"/>
    </row>
    <row r="296" spans="5:6">
      <c r="E296" s="57"/>
      <c r="F296" s="57"/>
    </row>
    <row r="297" spans="5:6">
      <c r="E297" s="57"/>
      <c r="F297" s="57"/>
    </row>
    <row r="298" spans="5:6">
      <c r="E298" s="57"/>
      <c r="F298" s="57"/>
    </row>
    <row r="299" spans="5:6">
      <c r="E299" s="57"/>
      <c r="F299" s="57"/>
    </row>
    <row r="300" spans="5:6">
      <c r="E300" s="57"/>
      <c r="F300" s="57"/>
    </row>
    <row r="301" spans="5:6">
      <c r="E301" s="57"/>
      <c r="F301" s="57"/>
    </row>
    <row r="302" spans="5:6">
      <c r="E302" s="57"/>
      <c r="F302" s="57"/>
    </row>
    <row r="303" spans="5:6">
      <c r="E303" s="57"/>
      <c r="F303" s="57"/>
    </row>
    <row r="304" spans="5:6">
      <c r="E304" s="57"/>
      <c r="F304" s="57"/>
    </row>
    <row r="305" spans="5:6">
      <c r="E305" s="57"/>
      <c r="F305" s="57"/>
    </row>
    <row r="306" spans="5:6">
      <c r="E306" s="57"/>
      <c r="F306" s="57"/>
    </row>
    <row r="307" spans="5:6">
      <c r="E307" s="57"/>
      <c r="F307" s="57"/>
    </row>
    <row r="308" spans="5:6">
      <c r="E308" s="57"/>
      <c r="F308" s="57"/>
    </row>
    <row r="309" spans="5:6">
      <c r="E309" s="57"/>
      <c r="F309" s="57"/>
    </row>
    <row r="310" spans="5:6">
      <c r="E310" s="57"/>
      <c r="F310" s="57"/>
    </row>
    <row r="311" spans="5:6">
      <c r="E311" s="57"/>
      <c r="F311" s="57"/>
    </row>
    <row r="312" spans="5:6">
      <c r="E312" s="57"/>
      <c r="F312" s="57"/>
    </row>
    <row r="313" spans="5:6">
      <c r="E313" s="57"/>
      <c r="F313" s="57"/>
    </row>
    <row r="314" spans="5:6">
      <c r="E314" s="57"/>
      <c r="F314" s="57"/>
    </row>
    <row r="315" spans="5:6">
      <c r="E315" s="57"/>
      <c r="F315" s="57"/>
    </row>
    <row r="316" spans="5:6">
      <c r="E316" s="57"/>
      <c r="F316" s="57"/>
    </row>
    <row r="317" spans="5:6">
      <c r="E317" s="57"/>
      <c r="F317" s="57"/>
    </row>
    <row r="318" spans="5:6">
      <c r="E318" s="57"/>
      <c r="F318" s="57"/>
    </row>
    <row r="319" spans="5:6">
      <c r="E319" s="57"/>
      <c r="F319" s="57"/>
    </row>
    <row r="320" spans="5:6">
      <c r="E320" s="57"/>
      <c r="F320" s="57"/>
    </row>
    <row r="321" spans="5:6">
      <c r="E321" s="57"/>
      <c r="F321" s="57"/>
    </row>
    <row r="322" spans="5:6">
      <c r="E322" s="57"/>
      <c r="F322" s="57"/>
    </row>
    <row r="323" spans="5:6">
      <c r="E323" s="57"/>
      <c r="F323" s="57"/>
    </row>
    <row r="324" spans="5:6">
      <c r="E324" s="57"/>
      <c r="F324" s="57"/>
    </row>
    <row r="325" spans="5:6">
      <c r="E325" s="57"/>
      <c r="F325" s="57"/>
    </row>
    <row r="326" spans="5:6">
      <c r="E326" s="57"/>
      <c r="F326" s="57"/>
    </row>
    <row r="327" spans="5:6">
      <c r="E327" s="57"/>
      <c r="F327" s="57"/>
    </row>
    <row r="328" spans="5:6">
      <c r="E328" s="57"/>
      <c r="F328" s="57"/>
    </row>
    <row r="329" spans="5:6">
      <c r="E329" s="57"/>
      <c r="F329" s="57"/>
    </row>
    <row r="330" spans="5:6">
      <c r="E330" s="57"/>
      <c r="F330" s="57"/>
    </row>
    <row r="331" spans="5:6">
      <c r="E331" s="57"/>
      <c r="F331" s="57"/>
    </row>
    <row r="332" spans="5:6">
      <c r="E332" s="57"/>
      <c r="F332" s="57"/>
    </row>
    <row r="333" spans="5:6">
      <c r="E333" s="57"/>
      <c r="F333" s="57"/>
    </row>
    <row r="334" spans="5:6">
      <c r="E334" s="57"/>
      <c r="F334" s="57"/>
    </row>
    <row r="335" spans="5:6">
      <c r="E335" s="57"/>
      <c r="F335" s="57"/>
    </row>
    <row r="336" spans="5:6">
      <c r="E336" s="57"/>
      <c r="F336" s="57"/>
    </row>
    <row r="337" spans="5:6">
      <c r="E337" s="57"/>
      <c r="F337" s="57"/>
    </row>
    <row r="338" spans="5:6">
      <c r="E338" s="57"/>
      <c r="F338" s="57"/>
    </row>
    <row r="339" spans="5:6">
      <c r="E339" s="57"/>
      <c r="F339" s="57"/>
    </row>
    <row r="340" spans="5:6">
      <c r="E340" s="57"/>
      <c r="F340" s="57"/>
    </row>
    <row r="341" spans="5:6">
      <c r="E341" s="57"/>
      <c r="F341" s="57"/>
    </row>
    <row r="342" spans="5:6">
      <c r="E342" s="57"/>
      <c r="F342" s="57"/>
    </row>
    <row r="343" spans="5:6">
      <c r="E343" s="57"/>
      <c r="F343" s="57"/>
    </row>
    <row r="344" spans="5:6">
      <c r="E344" s="57"/>
      <c r="F344" s="57"/>
    </row>
    <row r="345" spans="5:6">
      <c r="E345" s="57"/>
      <c r="F345" s="57"/>
    </row>
    <row r="346" spans="5:6">
      <c r="E346" s="57"/>
      <c r="F346" s="57"/>
    </row>
    <row r="347" spans="5:6">
      <c r="E347" s="57"/>
      <c r="F347" s="57"/>
    </row>
    <row r="348" spans="5:6">
      <c r="E348" s="57"/>
      <c r="F348" s="57"/>
    </row>
    <row r="349" spans="5:6">
      <c r="E349" s="57"/>
      <c r="F349" s="57"/>
    </row>
    <row r="350" spans="5:6">
      <c r="E350" s="57"/>
      <c r="F350" s="57"/>
    </row>
    <row r="351" spans="5:6">
      <c r="E351" s="57"/>
      <c r="F351" s="57"/>
    </row>
    <row r="352" spans="5:6">
      <c r="E352" s="57"/>
      <c r="F352" s="57"/>
    </row>
    <row r="353" spans="5:6">
      <c r="E353" s="57"/>
      <c r="F353" s="57"/>
    </row>
    <row r="354" spans="5:6">
      <c r="E354" s="57"/>
      <c r="F354" s="57"/>
    </row>
    <row r="355" spans="5:6">
      <c r="E355" s="57"/>
      <c r="F355" s="57"/>
    </row>
    <row r="356" spans="5:6">
      <c r="E356" s="57"/>
      <c r="F356" s="57"/>
    </row>
    <row r="357" spans="5:6">
      <c r="E357" s="57"/>
      <c r="F357" s="57"/>
    </row>
    <row r="358" spans="5:6">
      <c r="E358" s="57"/>
      <c r="F358" s="57"/>
    </row>
    <row r="359" spans="5:6">
      <c r="E359" s="57"/>
      <c r="F359" s="57"/>
    </row>
    <row r="360" spans="5:6">
      <c r="E360" s="57"/>
      <c r="F360" s="57"/>
    </row>
    <row r="361" spans="5:6">
      <c r="E361" s="57"/>
      <c r="F361" s="57"/>
    </row>
    <row r="362" spans="5:6">
      <c r="E362" s="57"/>
      <c r="F362" s="57"/>
    </row>
    <row r="363" spans="5:6">
      <c r="E363" s="57"/>
      <c r="F363" s="57"/>
    </row>
    <row r="364" spans="5:6">
      <c r="E364" s="57"/>
      <c r="F364" s="57"/>
    </row>
    <row r="365" spans="5:6">
      <c r="E365" s="57"/>
      <c r="F365" s="57"/>
    </row>
    <row r="366" spans="5:6">
      <c r="E366" s="57"/>
      <c r="F366" s="57"/>
    </row>
    <row r="367" spans="5:6">
      <c r="E367" s="57"/>
      <c r="F367" s="57"/>
    </row>
    <row r="368" spans="5:6">
      <c r="E368" s="57"/>
      <c r="F368" s="57"/>
    </row>
    <row r="369" spans="5:6">
      <c r="E369" s="57"/>
      <c r="F369" s="57"/>
    </row>
    <row r="370" spans="5:6">
      <c r="E370" s="57"/>
      <c r="F370" s="57"/>
    </row>
    <row r="371" spans="5:6">
      <c r="E371" s="57"/>
      <c r="F371" s="57"/>
    </row>
    <row r="372" spans="5:6">
      <c r="E372" s="57"/>
      <c r="F372" s="57"/>
    </row>
    <row r="373" spans="5:6">
      <c r="E373" s="57"/>
      <c r="F373" s="57"/>
    </row>
    <row r="374" spans="5:6">
      <c r="E374" s="57"/>
      <c r="F374" s="57"/>
    </row>
    <row r="375" spans="5:6">
      <c r="E375" s="57"/>
      <c r="F375" s="57"/>
    </row>
    <row r="376" spans="5:6">
      <c r="E376" s="57"/>
      <c r="F376" s="57"/>
    </row>
    <row r="377" spans="5:6">
      <c r="E377" s="57"/>
      <c r="F377" s="57"/>
    </row>
    <row r="378" spans="5:6">
      <c r="E378" s="57"/>
      <c r="F378" s="57"/>
    </row>
    <row r="379" spans="5:6">
      <c r="E379" s="57"/>
      <c r="F379" s="57"/>
    </row>
    <row r="380" spans="5:6">
      <c r="E380" s="57"/>
      <c r="F380" s="57"/>
    </row>
    <row r="381" spans="5:6">
      <c r="E381" s="57"/>
      <c r="F381" s="57"/>
    </row>
    <row r="382" spans="5:6">
      <c r="E382" s="57"/>
      <c r="F382" s="57"/>
    </row>
    <row r="383" spans="5:6">
      <c r="E383" s="57"/>
      <c r="F383" s="57"/>
    </row>
    <row r="384" spans="5:6">
      <c r="E384" s="57"/>
      <c r="F384" s="57"/>
    </row>
    <row r="385" spans="5:6">
      <c r="E385" s="57"/>
      <c r="F385" s="57"/>
    </row>
    <row r="386" spans="5:6">
      <c r="E386" s="57"/>
      <c r="F386" s="57"/>
    </row>
    <row r="387" spans="5:6">
      <c r="E387" s="57"/>
      <c r="F387" s="57"/>
    </row>
    <row r="388" spans="5:6">
      <c r="E388" s="57"/>
      <c r="F388" s="57"/>
    </row>
    <row r="389" spans="5:6">
      <c r="E389" s="57"/>
      <c r="F389" s="57"/>
    </row>
    <row r="390" spans="5:6">
      <c r="E390" s="57"/>
      <c r="F390" s="57"/>
    </row>
    <row r="391" spans="5:6">
      <c r="E391" s="57"/>
      <c r="F391" s="57"/>
    </row>
    <row r="392" spans="5:6">
      <c r="E392" s="57"/>
      <c r="F392" s="57"/>
    </row>
    <row r="393" spans="5:6">
      <c r="E393" s="57"/>
      <c r="F393" s="57"/>
    </row>
    <row r="394" spans="5:6">
      <c r="E394" s="57"/>
      <c r="F394" s="57"/>
    </row>
    <row r="395" spans="5:6">
      <c r="E395" s="57"/>
      <c r="F395" s="57"/>
    </row>
    <row r="396" spans="5:6">
      <c r="E396" s="57"/>
      <c r="F396" s="57"/>
    </row>
    <row r="397" spans="5:6">
      <c r="E397" s="57"/>
      <c r="F397" s="57"/>
    </row>
    <row r="398" spans="5:6">
      <c r="E398" s="57"/>
      <c r="F398" s="57"/>
    </row>
    <row r="399" spans="5:6">
      <c r="E399" s="57"/>
      <c r="F399" s="57"/>
    </row>
    <row r="400" spans="5:6">
      <c r="E400" s="57"/>
      <c r="F400" s="57"/>
    </row>
    <row r="401" spans="5:6">
      <c r="E401" s="57"/>
      <c r="F401" s="57"/>
    </row>
    <row r="402" spans="5:6">
      <c r="E402" s="57"/>
      <c r="F402" s="57"/>
    </row>
    <row r="403" spans="5:6">
      <c r="E403" s="57"/>
      <c r="F403" s="57"/>
    </row>
    <row r="404" spans="5:6">
      <c r="E404" s="57"/>
      <c r="F404" s="57"/>
    </row>
    <row r="405" spans="5:6">
      <c r="E405" s="57"/>
      <c r="F405" s="57"/>
    </row>
    <row r="406" spans="5:6">
      <c r="E406" s="57"/>
      <c r="F406" s="57"/>
    </row>
    <row r="407" spans="5:6">
      <c r="E407" s="57"/>
      <c r="F407" s="57"/>
    </row>
    <row r="408" spans="5:6">
      <c r="E408" s="57"/>
      <c r="F408" s="57"/>
    </row>
    <row r="409" spans="5:6">
      <c r="E409" s="57"/>
      <c r="F409" s="57"/>
    </row>
    <row r="410" spans="5:6">
      <c r="E410" s="57"/>
      <c r="F410" s="57"/>
    </row>
    <row r="411" spans="5:6">
      <c r="E411" s="57"/>
      <c r="F411" s="57"/>
    </row>
    <row r="412" spans="5:6">
      <c r="E412" s="57"/>
      <c r="F412" s="57"/>
    </row>
    <row r="413" spans="5:6">
      <c r="E413" s="57"/>
      <c r="F413" s="57"/>
    </row>
    <row r="414" spans="5:6">
      <c r="E414" s="57"/>
      <c r="F414" s="57"/>
    </row>
    <row r="415" spans="5:6">
      <c r="E415" s="57"/>
      <c r="F415" s="57"/>
    </row>
    <row r="416" spans="5:6">
      <c r="E416" s="57"/>
      <c r="F416" s="57"/>
    </row>
    <row r="417" spans="5:6">
      <c r="E417" s="57"/>
      <c r="F417" s="57"/>
    </row>
    <row r="418" spans="5:6">
      <c r="E418" s="57"/>
      <c r="F418" s="57"/>
    </row>
    <row r="419" spans="5:6">
      <c r="E419" s="57"/>
      <c r="F419" s="57"/>
    </row>
    <row r="420" spans="5:6">
      <c r="E420" s="57"/>
      <c r="F420" s="57"/>
    </row>
    <row r="421" spans="5:6">
      <c r="E421" s="57"/>
      <c r="F421" s="57"/>
    </row>
    <row r="422" spans="5:6">
      <c r="E422" s="57"/>
      <c r="F422" s="57"/>
    </row>
    <row r="423" spans="5:6">
      <c r="E423" s="57"/>
      <c r="F423" s="57"/>
    </row>
    <row r="424" spans="5:6">
      <c r="E424" s="57"/>
      <c r="F424" s="57"/>
    </row>
    <row r="425" spans="5:6">
      <c r="E425" s="57"/>
      <c r="F425" s="57"/>
    </row>
    <row r="426" spans="5:6">
      <c r="E426" s="57"/>
      <c r="F426" s="57"/>
    </row>
    <row r="427" spans="5:6">
      <c r="E427" s="57"/>
      <c r="F427" s="57"/>
    </row>
    <row r="428" spans="5:6">
      <c r="E428" s="57"/>
      <c r="F428" s="57"/>
    </row>
    <row r="429" spans="5:6">
      <c r="E429" s="57"/>
      <c r="F429" s="57"/>
    </row>
    <row r="430" spans="5:6">
      <c r="E430" s="57"/>
      <c r="F430" s="57"/>
    </row>
    <row r="431" spans="5:6">
      <c r="E431" s="57"/>
      <c r="F431" s="57"/>
    </row>
    <row r="432" spans="5:6">
      <c r="E432" s="57"/>
      <c r="F432" s="57"/>
    </row>
    <row r="433" spans="5:6">
      <c r="E433" s="57"/>
      <c r="F433" s="57"/>
    </row>
    <row r="434" spans="5:6">
      <c r="E434" s="57"/>
      <c r="F434" s="57"/>
    </row>
    <row r="435" spans="5:6">
      <c r="E435" s="57"/>
      <c r="F435" s="57"/>
    </row>
    <row r="436" spans="5:6">
      <c r="E436" s="57"/>
      <c r="F436" s="57"/>
    </row>
    <row r="437" spans="5:6">
      <c r="E437" s="57"/>
      <c r="F437" s="57"/>
    </row>
    <row r="438" spans="5:6">
      <c r="E438" s="57"/>
      <c r="F438" s="57"/>
    </row>
    <row r="439" spans="5:6">
      <c r="E439" s="57"/>
      <c r="F439" s="57"/>
    </row>
    <row r="440" spans="5:6">
      <c r="E440" s="57"/>
      <c r="F440" s="57"/>
    </row>
    <row r="441" spans="5:6">
      <c r="E441" s="57"/>
      <c r="F441" s="57"/>
    </row>
    <row r="442" spans="5:6">
      <c r="E442" s="57"/>
      <c r="F442" s="57"/>
    </row>
    <row r="443" spans="5:6">
      <c r="E443" s="57"/>
      <c r="F443" s="57"/>
    </row>
    <row r="444" spans="5:6">
      <c r="E444" s="57"/>
      <c r="F444" s="57"/>
    </row>
    <row r="445" spans="5:6">
      <c r="E445" s="57"/>
      <c r="F445" s="57"/>
    </row>
    <row r="446" spans="5:6">
      <c r="E446" s="57"/>
      <c r="F446" s="57"/>
    </row>
    <row r="447" spans="5:6">
      <c r="E447" s="57"/>
      <c r="F447" s="57"/>
    </row>
    <row r="448" spans="5:6">
      <c r="E448" s="57"/>
      <c r="F448" s="57"/>
    </row>
    <row r="449" spans="5:6">
      <c r="E449" s="57"/>
      <c r="F449" s="57"/>
    </row>
    <row r="450" spans="5:6">
      <c r="E450" s="57"/>
      <c r="F450" s="57"/>
    </row>
    <row r="451" spans="5:6">
      <c r="E451" s="57"/>
      <c r="F451" s="57"/>
    </row>
    <row r="452" spans="5:6">
      <c r="E452" s="57"/>
      <c r="F452" s="57"/>
    </row>
    <row r="453" spans="5:6">
      <c r="E453" s="57"/>
      <c r="F453" s="57"/>
    </row>
    <row r="454" spans="5:6">
      <c r="E454" s="57"/>
      <c r="F454" s="57"/>
    </row>
    <row r="455" spans="5:6">
      <c r="E455" s="57"/>
      <c r="F455" s="57"/>
    </row>
    <row r="456" spans="5:6">
      <c r="E456" s="57"/>
      <c r="F456" s="57"/>
    </row>
    <row r="457" spans="5:6">
      <c r="E457" s="57"/>
      <c r="F457" s="57"/>
    </row>
    <row r="458" spans="5:6">
      <c r="E458" s="57"/>
      <c r="F458" s="57"/>
    </row>
    <row r="459" spans="5:6">
      <c r="E459" s="57"/>
      <c r="F459" s="57"/>
    </row>
    <row r="460" spans="5:6">
      <c r="E460" s="57"/>
      <c r="F460" s="57"/>
    </row>
    <row r="461" spans="5:6">
      <c r="E461" s="57"/>
      <c r="F461" s="57"/>
    </row>
    <row r="462" spans="5:6">
      <c r="E462" s="57"/>
      <c r="F462" s="57"/>
    </row>
    <row r="463" spans="5:6">
      <c r="E463" s="57"/>
      <c r="F463" s="57"/>
    </row>
    <row r="464" spans="5:6">
      <c r="E464" s="57"/>
      <c r="F464" s="57"/>
    </row>
    <row r="465" spans="5:6">
      <c r="E465" s="57"/>
      <c r="F465" s="57"/>
    </row>
    <row r="466" spans="5:6">
      <c r="E466" s="57"/>
      <c r="F466" s="57"/>
    </row>
    <row r="467" spans="5:6">
      <c r="E467" s="57"/>
      <c r="F467" s="57"/>
    </row>
    <row r="468" spans="5:6">
      <c r="E468" s="57"/>
      <c r="F468" s="57"/>
    </row>
    <row r="469" spans="5:6">
      <c r="E469" s="57"/>
      <c r="F469" s="57"/>
    </row>
    <row r="470" spans="5:6">
      <c r="E470" s="57"/>
      <c r="F470" s="57"/>
    </row>
    <row r="471" spans="5:6">
      <c r="E471" s="57"/>
      <c r="F471" s="57"/>
    </row>
    <row r="472" spans="5:6">
      <c r="E472" s="57"/>
      <c r="F472" s="57"/>
    </row>
    <row r="473" spans="5:6">
      <c r="E473" s="57"/>
      <c r="F473" s="57"/>
    </row>
    <row r="474" spans="5:6">
      <c r="E474" s="57"/>
      <c r="F474" s="57"/>
    </row>
    <row r="475" spans="5:6">
      <c r="E475" s="57"/>
      <c r="F475" s="57"/>
    </row>
    <row r="476" spans="5:6">
      <c r="E476" s="57"/>
      <c r="F476" s="57"/>
    </row>
    <row r="477" spans="5:6">
      <c r="E477" s="57"/>
      <c r="F477" s="57"/>
    </row>
    <row r="478" spans="5:6">
      <c r="E478" s="57"/>
      <c r="F478" s="57"/>
    </row>
    <row r="479" spans="5:6">
      <c r="E479" s="57"/>
      <c r="F479" s="57"/>
    </row>
    <row r="480" spans="5:6">
      <c r="E480" s="57"/>
      <c r="F480" s="57"/>
    </row>
    <row r="481" spans="5:6">
      <c r="E481" s="57"/>
      <c r="F481" s="57"/>
    </row>
    <row r="482" spans="5:6">
      <c r="E482" s="57"/>
      <c r="F482" s="57"/>
    </row>
    <row r="483" spans="5:6">
      <c r="E483" s="57"/>
      <c r="F483" s="57"/>
    </row>
    <row r="484" spans="5:6">
      <c r="E484" s="57"/>
      <c r="F484" s="57"/>
    </row>
    <row r="485" spans="5:6">
      <c r="E485" s="57"/>
      <c r="F485" s="57"/>
    </row>
    <row r="486" spans="5:6">
      <c r="E486" s="57"/>
      <c r="F486" s="57"/>
    </row>
    <row r="487" spans="5:6">
      <c r="E487" s="57"/>
      <c r="F487" s="57"/>
    </row>
    <row r="488" spans="5:6">
      <c r="E488" s="57"/>
      <c r="F488" s="57"/>
    </row>
    <row r="489" spans="5:6">
      <c r="E489" s="57"/>
      <c r="F489" s="57"/>
    </row>
    <row r="490" spans="5:6">
      <c r="E490" s="57"/>
      <c r="F490" s="57"/>
    </row>
    <row r="491" spans="5:6">
      <c r="E491" s="57"/>
      <c r="F491" s="57"/>
    </row>
    <row r="492" spans="5:6">
      <c r="E492" s="57"/>
      <c r="F492" s="57"/>
    </row>
    <row r="493" spans="5:6">
      <c r="E493" s="57"/>
      <c r="F493" s="57"/>
    </row>
    <row r="494" spans="5:6">
      <c r="E494" s="57"/>
      <c r="F494" s="57"/>
    </row>
    <row r="495" spans="5:6">
      <c r="E495" s="57"/>
      <c r="F495" s="57"/>
    </row>
    <row r="496" spans="5:6">
      <c r="E496" s="57"/>
      <c r="F496" s="57"/>
    </row>
    <row r="497" spans="5:6">
      <c r="E497" s="57"/>
      <c r="F497" s="57"/>
    </row>
    <row r="498" spans="5:6">
      <c r="E498" s="57"/>
      <c r="F498" s="57"/>
    </row>
    <row r="499" spans="5:6">
      <c r="E499" s="57"/>
      <c r="F499" s="57"/>
    </row>
    <row r="500" spans="5:6">
      <c r="E500" s="57"/>
      <c r="F500" s="57"/>
    </row>
    <row r="501" spans="5:6">
      <c r="E501" s="57"/>
      <c r="F501" s="57"/>
    </row>
    <row r="502" spans="5:6">
      <c r="E502" s="57"/>
      <c r="F502" s="57"/>
    </row>
    <row r="503" spans="5:6">
      <c r="E503" s="57"/>
      <c r="F503" s="57"/>
    </row>
    <row r="504" spans="5:6">
      <c r="E504" s="57"/>
      <c r="F504" s="57"/>
    </row>
    <row r="505" spans="5:6">
      <c r="E505" s="57"/>
      <c r="F505" s="57"/>
    </row>
    <row r="506" spans="5:6">
      <c r="E506" s="57"/>
      <c r="F506" s="57"/>
    </row>
    <row r="507" spans="5:6">
      <c r="E507" s="57"/>
      <c r="F507" s="57"/>
    </row>
    <row r="508" spans="5:6">
      <c r="E508" s="57"/>
      <c r="F508" s="57"/>
    </row>
    <row r="509" spans="5:6">
      <c r="E509" s="57"/>
      <c r="F509" s="57"/>
    </row>
    <row r="510" spans="5:6">
      <c r="E510" s="57"/>
      <c r="F510" s="57"/>
    </row>
    <row r="511" spans="5:6">
      <c r="E511" s="57"/>
      <c r="F511" s="57"/>
    </row>
    <row r="512" spans="5:6">
      <c r="E512" s="57"/>
      <c r="F512" s="57"/>
    </row>
    <row r="513" spans="5:6">
      <c r="E513" s="57"/>
      <c r="F513" s="57"/>
    </row>
    <row r="514" spans="5:6">
      <c r="E514" s="57"/>
      <c r="F514" s="57"/>
    </row>
    <row r="515" spans="5:6">
      <c r="E515" s="57"/>
      <c r="F515" s="57"/>
    </row>
    <row r="516" spans="5:6">
      <c r="E516" s="57"/>
      <c r="F516" s="57"/>
    </row>
    <row r="517" spans="5:6">
      <c r="E517" s="57"/>
      <c r="F517" s="57"/>
    </row>
    <row r="518" spans="5:6">
      <c r="E518" s="57"/>
      <c r="F518" s="57"/>
    </row>
    <row r="519" spans="5:6">
      <c r="E519" s="57"/>
      <c r="F519" s="57"/>
    </row>
    <row r="520" spans="5:6">
      <c r="E520" s="57"/>
      <c r="F520" s="57"/>
    </row>
    <row r="521" spans="5:6">
      <c r="E521" s="57"/>
      <c r="F521" s="57"/>
    </row>
    <row r="522" spans="5:6">
      <c r="E522" s="57"/>
      <c r="F522" s="57"/>
    </row>
    <row r="523" spans="5:6">
      <c r="E523" s="57"/>
      <c r="F523" s="57"/>
    </row>
    <row r="524" spans="5:6">
      <c r="E524" s="57"/>
      <c r="F524" s="57"/>
    </row>
    <row r="525" spans="5:6">
      <c r="E525" s="57"/>
      <c r="F525" s="57"/>
    </row>
    <row r="526" spans="5:6">
      <c r="E526" s="57"/>
      <c r="F526" s="57"/>
    </row>
    <row r="527" spans="5:6">
      <c r="E527" s="57"/>
      <c r="F527" s="57"/>
    </row>
    <row r="528" spans="5:6">
      <c r="E528" s="57"/>
      <c r="F528" s="57"/>
    </row>
    <row r="529" spans="5:6">
      <c r="E529" s="57"/>
      <c r="F529" s="57"/>
    </row>
    <row r="530" spans="5:6">
      <c r="E530" s="57"/>
      <c r="F530" s="57"/>
    </row>
    <row r="531" spans="5:6">
      <c r="E531" s="57"/>
      <c r="F531" s="57"/>
    </row>
    <row r="532" spans="5:6">
      <c r="E532" s="57"/>
      <c r="F532" s="57"/>
    </row>
    <row r="533" spans="5:6">
      <c r="E533" s="57"/>
      <c r="F533" s="57"/>
    </row>
    <row r="534" spans="5:6">
      <c r="E534" s="57"/>
      <c r="F534" s="57"/>
    </row>
    <row r="535" spans="5:6">
      <c r="E535" s="57"/>
      <c r="F535" s="57"/>
    </row>
    <row r="536" spans="5:6">
      <c r="E536" s="57"/>
      <c r="F536" s="57"/>
    </row>
    <row r="537" spans="5:6">
      <c r="E537" s="57"/>
      <c r="F537" s="57"/>
    </row>
    <row r="538" spans="5:6">
      <c r="E538" s="57"/>
      <c r="F538" s="57"/>
    </row>
    <row r="539" spans="5:6">
      <c r="E539" s="57"/>
      <c r="F539" s="57"/>
    </row>
    <row r="540" spans="5:6">
      <c r="E540" s="57"/>
      <c r="F540" s="57"/>
    </row>
    <row r="541" spans="5:6">
      <c r="E541" s="57"/>
      <c r="F541" s="57"/>
    </row>
    <row r="542" spans="5:6">
      <c r="E542" s="57"/>
      <c r="F542" s="57"/>
    </row>
    <row r="543" spans="5:6">
      <c r="E543" s="57"/>
      <c r="F543" s="57"/>
    </row>
    <row r="544" spans="5:6">
      <c r="E544" s="57"/>
      <c r="F544" s="57"/>
    </row>
    <row r="545" spans="5:6">
      <c r="E545" s="57"/>
      <c r="F545" s="57"/>
    </row>
    <row r="546" spans="5:6">
      <c r="E546" s="57"/>
      <c r="F546" s="57"/>
    </row>
    <row r="547" spans="5:6">
      <c r="E547" s="57"/>
      <c r="F547" s="57"/>
    </row>
    <row r="548" spans="5:6">
      <c r="E548" s="57"/>
      <c r="F548" s="57"/>
    </row>
    <row r="549" spans="5:6">
      <c r="E549" s="57"/>
      <c r="F549" s="57"/>
    </row>
    <row r="550" spans="5:6">
      <c r="E550" s="57"/>
      <c r="F550" s="57"/>
    </row>
    <row r="551" spans="5:6">
      <c r="E551" s="57"/>
      <c r="F551" s="57"/>
    </row>
    <row r="552" spans="5:6">
      <c r="E552" s="57"/>
      <c r="F552" s="57"/>
    </row>
    <row r="553" spans="5:6">
      <c r="E553" s="57"/>
      <c r="F553" s="57"/>
    </row>
    <row r="554" spans="5:6">
      <c r="E554" s="57"/>
      <c r="F554" s="57"/>
    </row>
    <row r="555" spans="5:6">
      <c r="E555" s="57"/>
      <c r="F555" s="57"/>
    </row>
    <row r="556" spans="5:6">
      <c r="E556" s="57"/>
      <c r="F556" s="57"/>
    </row>
    <row r="557" spans="5:6">
      <c r="E557" s="57"/>
      <c r="F557" s="57"/>
    </row>
    <row r="558" spans="5:6">
      <c r="E558" s="57"/>
      <c r="F558" s="57"/>
    </row>
    <row r="559" spans="5:6">
      <c r="E559" s="57"/>
      <c r="F559" s="57"/>
    </row>
    <row r="560" spans="5:6">
      <c r="E560" s="57"/>
      <c r="F560" s="57"/>
    </row>
    <row r="561" spans="5:6">
      <c r="E561" s="57"/>
      <c r="F561" s="57"/>
    </row>
    <row r="562" spans="5:6">
      <c r="E562" s="57"/>
      <c r="F562" s="57"/>
    </row>
    <row r="563" spans="5:6">
      <c r="E563" s="57"/>
      <c r="F563" s="57"/>
    </row>
    <row r="564" spans="5:6">
      <c r="E564" s="57"/>
      <c r="F564" s="57"/>
    </row>
    <row r="565" spans="5:6">
      <c r="E565" s="57"/>
      <c r="F565" s="57"/>
    </row>
    <row r="566" spans="5:6">
      <c r="E566" s="57"/>
      <c r="F566" s="57"/>
    </row>
    <row r="567" spans="5:6">
      <c r="E567" s="57"/>
      <c r="F567" s="57"/>
    </row>
    <row r="568" spans="5:6">
      <c r="E568" s="57"/>
      <c r="F568" s="57"/>
    </row>
    <row r="569" spans="5:6">
      <c r="E569" s="57"/>
      <c r="F569" s="57"/>
    </row>
    <row r="570" spans="5:6">
      <c r="E570" s="57"/>
      <c r="F570" s="57"/>
    </row>
    <row r="571" spans="5:6">
      <c r="E571" s="57"/>
      <c r="F571" s="57"/>
    </row>
    <row r="572" spans="5:6">
      <c r="E572" s="57"/>
      <c r="F572" s="57"/>
    </row>
    <row r="573" spans="5:6">
      <c r="E573" s="57"/>
      <c r="F573" s="57"/>
    </row>
    <row r="574" spans="5:6">
      <c r="E574" s="57"/>
      <c r="F574" s="57"/>
    </row>
    <row r="575" spans="5:6">
      <c r="E575" s="57"/>
      <c r="F575" s="57"/>
    </row>
    <row r="576" spans="5:6">
      <c r="E576" s="57"/>
      <c r="F576" s="57"/>
    </row>
    <row r="577" spans="5:6">
      <c r="E577" s="57"/>
      <c r="F577" s="57"/>
    </row>
    <row r="578" spans="5:6">
      <c r="E578" s="57"/>
      <c r="F578" s="57"/>
    </row>
    <row r="579" spans="5:6">
      <c r="E579" s="57"/>
      <c r="F579" s="57"/>
    </row>
    <row r="580" spans="5:6">
      <c r="E580" s="57"/>
      <c r="F580" s="57"/>
    </row>
    <row r="581" spans="5:6">
      <c r="E581" s="57"/>
      <c r="F581" s="57"/>
    </row>
    <row r="582" spans="5:6">
      <c r="E582" s="57"/>
      <c r="F582" s="57"/>
    </row>
    <row r="583" spans="5:6">
      <c r="E583" s="57"/>
      <c r="F583" s="57"/>
    </row>
    <row r="584" spans="5:6">
      <c r="E584" s="57"/>
      <c r="F584" s="57"/>
    </row>
    <row r="585" spans="5:6">
      <c r="E585" s="57"/>
      <c r="F585" s="57"/>
    </row>
    <row r="586" spans="5:6">
      <c r="E586" s="57"/>
      <c r="F586" s="57"/>
    </row>
    <row r="587" spans="5:6">
      <c r="E587" s="57"/>
      <c r="F587" s="57"/>
    </row>
    <row r="588" spans="5:6">
      <c r="E588" s="57"/>
      <c r="F588" s="57"/>
    </row>
    <row r="589" spans="5:6">
      <c r="E589" s="57"/>
      <c r="F589" s="57"/>
    </row>
    <row r="590" spans="5:6">
      <c r="E590" s="57"/>
      <c r="F590" s="57"/>
    </row>
    <row r="591" spans="5:6">
      <c r="E591" s="57"/>
      <c r="F591" s="57"/>
    </row>
    <row r="592" spans="5:6">
      <c r="E592" s="57"/>
      <c r="F592" s="57"/>
    </row>
    <row r="593" spans="5:6">
      <c r="E593" s="57"/>
      <c r="F593" s="57"/>
    </row>
    <row r="594" spans="5:6">
      <c r="E594" s="57"/>
      <c r="F594" s="57"/>
    </row>
    <row r="595" spans="5:6">
      <c r="E595" s="57"/>
      <c r="F595" s="57"/>
    </row>
    <row r="596" spans="5:6">
      <c r="E596" s="57"/>
      <c r="F596" s="57"/>
    </row>
    <row r="597" spans="5:6">
      <c r="E597" s="57"/>
      <c r="F597" s="57"/>
    </row>
    <row r="598" spans="5:6">
      <c r="E598" s="57"/>
      <c r="F598" s="57"/>
    </row>
    <row r="599" spans="5:6">
      <c r="E599" s="57"/>
      <c r="F599" s="57"/>
    </row>
    <row r="600" spans="5:6">
      <c r="E600" s="57"/>
      <c r="F600" s="57"/>
    </row>
    <row r="601" spans="5:6">
      <c r="E601" s="57"/>
      <c r="F601" s="57"/>
    </row>
    <row r="602" spans="5:6">
      <c r="E602" s="57"/>
      <c r="F602" s="57"/>
    </row>
    <row r="603" spans="5:6">
      <c r="E603" s="57"/>
      <c r="F603" s="57"/>
    </row>
    <row r="604" spans="5:6">
      <c r="E604" s="57"/>
      <c r="F604" s="57"/>
    </row>
    <row r="605" spans="5:6">
      <c r="E605" s="57"/>
      <c r="F605" s="57"/>
    </row>
    <row r="606" spans="5:6">
      <c r="E606" s="57"/>
      <c r="F606" s="57"/>
    </row>
    <row r="607" spans="5:6">
      <c r="E607" s="57"/>
      <c r="F607" s="57"/>
    </row>
    <row r="608" spans="5:6">
      <c r="E608" s="57"/>
      <c r="F608" s="57"/>
    </row>
    <row r="609" spans="5:6">
      <c r="E609" s="57"/>
      <c r="F609" s="57"/>
    </row>
    <row r="610" spans="5:6">
      <c r="E610" s="57"/>
      <c r="F610" s="57"/>
    </row>
    <row r="611" spans="5:6">
      <c r="E611" s="57"/>
      <c r="F611" s="57"/>
    </row>
    <row r="612" spans="5:6">
      <c r="E612" s="57"/>
      <c r="F612" s="57"/>
    </row>
    <row r="613" spans="5:6">
      <c r="E613" s="57"/>
      <c r="F613" s="57"/>
    </row>
    <row r="614" spans="5:6">
      <c r="E614" s="57"/>
      <c r="F614" s="57"/>
    </row>
    <row r="615" spans="5:6">
      <c r="E615" s="57"/>
      <c r="F615" s="57"/>
    </row>
    <row r="616" spans="5:6">
      <c r="E616" s="57"/>
      <c r="F616" s="57"/>
    </row>
    <row r="617" spans="5:6">
      <c r="E617" s="57"/>
      <c r="F617" s="57"/>
    </row>
    <row r="618" spans="5:6">
      <c r="E618" s="57"/>
      <c r="F618" s="57"/>
    </row>
    <row r="619" spans="5:6">
      <c r="E619" s="57"/>
      <c r="F619" s="57"/>
    </row>
    <row r="620" spans="5:6">
      <c r="E620" s="57"/>
      <c r="F620" s="57"/>
    </row>
    <row r="621" spans="5:6">
      <c r="E621" s="57"/>
      <c r="F621" s="57"/>
    </row>
    <row r="622" spans="5:6">
      <c r="E622" s="57"/>
      <c r="F622" s="57"/>
    </row>
    <row r="623" spans="5:6">
      <c r="E623" s="57"/>
      <c r="F623" s="57"/>
    </row>
    <row r="624" spans="5:6">
      <c r="E624" s="57"/>
      <c r="F624" s="57"/>
    </row>
    <row r="625" spans="5:6">
      <c r="E625" s="57"/>
      <c r="F625" s="57"/>
    </row>
    <row r="626" spans="5:6">
      <c r="E626" s="57"/>
      <c r="F626" s="57"/>
    </row>
    <row r="627" spans="5:6">
      <c r="E627" s="57"/>
      <c r="F627" s="57"/>
    </row>
    <row r="628" spans="5:6">
      <c r="E628" s="57"/>
      <c r="F628" s="57"/>
    </row>
    <row r="629" spans="5:6">
      <c r="E629" s="57"/>
      <c r="F629" s="57"/>
    </row>
    <row r="630" spans="5:6">
      <c r="E630" s="57"/>
      <c r="F630" s="57"/>
    </row>
    <row r="631" spans="5:6">
      <c r="E631" s="57"/>
      <c r="F631" s="57"/>
    </row>
    <row r="632" spans="5:6">
      <c r="E632" s="57"/>
      <c r="F632" s="57"/>
    </row>
    <row r="633" spans="5:6">
      <c r="E633" s="57"/>
      <c r="F633" s="57"/>
    </row>
    <row r="634" spans="5:6">
      <c r="E634" s="57"/>
      <c r="F634" s="57"/>
    </row>
    <row r="635" spans="5:6">
      <c r="E635" s="57"/>
      <c r="F635" s="57"/>
    </row>
    <row r="636" spans="5:6">
      <c r="E636" s="57"/>
      <c r="F636" s="57"/>
    </row>
    <row r="637" spans="5:6">
      <c r="E637" s="57"/>
      <c r="F637" s="57"/>
    </row>
    <row r="638" spans="5:6">
      <c r="E638" s="57"/>
      <c r="F638" s="57"/>
    </row>
    <row r="639" spans="5:6">
      <c r="E639" s="57"/>
      <c r="F639" s="57"/>
    </row>
    <row r="640" spans="5:6">
      <c r="E640" s="57"/>
      <c r="F640" s="57"/>
    </row>
    <row r="641" spans="5:6">
      <c r="E641" s="57"/>
      <c r="F641" s="57"/>
    </row>
    <row r="642" spans="5:6">
      <c r="E642" s="57"/>
      <c r="F642" s="57"/>
    </row>
    <row r="643" spans="5:6">
      <c r="E643" s="57"/>
      <c r="F643" s="57"/>
    </row>
    <row r="644" spans="5:6">
      <c r="E644" s="57"/>
      <c r="F644" s="57"/>
    </row>
    <row r="645" spans="5:6">
      <c r="E645" s="57"/>
      <c r="F645" s="57"/>
    </row>
    <row r="646" spans="5:6">
      <c r="E646" s="57"/>
      <c r="F646" s="57"/>
    </row>
    <row r="647" spans="5:6">
      <c r="E647" s="57"/>
      <c r="F647" s="57"/>
    </row>
    <row r="648" spans="5:6">
      <c r="E648" s="57"/>
      <c r="F648" s="57"/>
    </row>
    <row r="649" spans="5:6">
      <c r="E649" s="57"/>
      <c r="F649" s="57"/>
    </row>
    <row r="650" spans="5:6">
      <c r="E650" s="57"/>
      <c r="F650" s="57"/>
    </row>
    <row r="651" spans="5:6">
      <c r="E651" s="57"/>
      <c r="F651" s="57"/>
    </row>
    <row r="652" spans="5:6">
      <c r="E652" s="57"/>
      <c r="F652" s="57"/>
    </row>
    <row r="653" spans="5:6">
      <c r="E653" s="57"/>
      <c r="F653" s="57"/>
    </row>
    <row r="654" spans="5:6">
      <c r="E654" s="57"/>
      <c r="F654" s="57"/>
    </row>
    <row r="655" spans="5:6">
      <c r="E655" s="57"/>
      <c r="F655" s="57"/>
    </row>
    <row r="656" spans="5:6">
      <c r="E656" s="57"/>
      <c r="F656" s="57"/>
    </row>
    <row r="657" spans="5:6">
      <c r="E657" s="57"/>
      <c r="F657" s="57"/>
    </row>
    <row r="658" spans="5:6">
      <c r="E658" s="57"/>
      <c r="F658" s="57"/>
    </row>
    <row r="659" spans="5:6">
      <c r="E659" s="57"/>
      <c r="F659" s="57"/>
    </row>
    <row r="660" spans="5:6">
      <c r="E660" s="57"/>
      <c r="F660" s="57"/>
    </row>
    <row r="661" spans="5:6">
      <c r="E661" s="57"/>
      <c r="F661" s="57"/>
    </row>
    <row r="662" spans="5:6">
      <c r="E662" s="57"/>
      <c r="F662" s="57"/>
    </row>
    <row r="663" spans="5:6">
      <c r="E663" s="57"/>
      <c r="F663" s="57"/>
    </row>
    <row r="664" spans="5:6">
      <c r="E664" s="57"/>
      <c r="F664" s="57"/>
    </row>
    <row r="665" spans="5:6">
      <c r="E665" s="57"/>
      <c r="F665" s="57"/>
    </row>
    <row r="666" spans="5:6">
      <c r="E666" s="57"/>
      <c r="F666" s="57"/>
    </row>
    <row r="667" spans="5:6">
      <c r="E667" s="57"/>
      <c r="F667" s="57"/>
    </row>
    <row r="668" spans="5:6">
      <c r="E668" s="57"/>
      <c r="F668" s="57"/>
    </row>
    <row r="669" spans="5:6">
      <c r="E669" s="57"/>
      <c r="F669" s="57"/>
    </row>
    <row r="670" spans="5:6">
      <c r="E670" s="57"/>
      <c r="F670" s="57"/>
    </row>
    <row r="671" spans="5:6">
      <c r="E671" s="57"/>
      <c r="F671" s="57"/>
    </row>
    <row r="672" spans="5:6">
      <c r="E672" s="57"/>
      <c r="F672" s="57"/>
    </row>
    <row r="673" spans="5:6">
      <c r="E673" s="57"/>
      <c r="F673" s="57"/>
    </row>
    <row r="674" spans="5:6">
      <c r="E674" s="57"/>
      <c r="F674" s="57"/>
    </row>
    <row r="675" spans="5:6">
      <c r="E675" s="57"/>
      <c r="F675" s="57"/>
    </row>
    <row r="676" spans="5:6">
      <c r="E676" s="57"/>
      <c r="F676" s="57"/>
    </row>
    <row r="677" spans="5:6">
      <c r="E677" s="57"/>
      <c r="F677" s="57"/>
    </row>
    <row r="678" spans="5:6">
      <c r="E678" s="57"/>
      <c r="F678" s="57"/>
    </row>
    <row r="679" spans="5:6">
      <c r="E679" s="57"/>
      <c r="F679" s="57"/>
    </row>
    <row r="680" spans="5:6">
      <c r="E680" s="57"/>
      <c r="F680" s="57"/>
    </row>
    <row r="681" spans="5:6">
      <c r="E681" s="57"/>
      <c r="F681" s="57"/>
    </row>
    <row r="682" spans="5:6">
      <c r="E682" s="57"/>
      <c r="F682" s="57"/>
    </row>
    <row r="683" spans="5:6">
      <c r="E683" s="57"/>
      <c r="F683" s="57"/>
    </row>
    <row r="684" spans="5:6">
      <c r="E684" s="57"/>
      <c r="F684" s="57"/>
    </row>
    <row r="685" spans="5:6">
      <c r="E685" s="57"/>
      <c r="F685" s="57"/>
    </row>
    <row r="686" spans="5:6">
      <c r="E686" s="57"/>
      <c r="F686" s="57"/>
    </row>
    <row r="687" spans="5:6">
      <c r="E687" s="57"/>
      <c r="F687" s="57"/>
    </row>
    <row r="688" spans="5:6">
      <c r="E688" s="57"/>
      <c r="F688" s="57"/>
    </row>
    <row r="689" spans="5:6">
      <c r="E689" s="57"/>
      <c r="F689" s="57"/>
    </row>
    <row r="690" spans="5:6">
      <c r="E690" s="57"/>
      <c r="F690" s="57"/>
    </row>
    <row r="691" spans="5:6">
      <c r="E691" s="57"/>
      <c r="F691" s="57"/>
    </row>
    <row r="692" spans="5:6">
      <c r="E692" s="57"/>
      <c r="F692" s="57"/>
    </row>
    <row r="693" spans="5:6">
      <c r="E693" s="57"/>
      <c r="F693" s="57"/>
    </row>
    <row r="694" spans="5:6">
      <c r="E694" s="57"/>
      <c r="F694" s="57"/>
    </row>
    <row r="695" spans="5:6">
      <c r="E695" s="57"/>
      <c r="F695" s="57"/>
    </row>
    <row r="696" spans="5:6">
      <c r="E696" s="57"/>
      <c r="F696" s="57"/>
    </row>
    <row r="697" spans="5:6">
      <c r="E697" s="57"/>
      <c r="F697" s="57"/>
    </row>
    <row r="698" spans="5:6">
      <c r="E698" s="57"/>
      <c r="F698" s="57"/>
    </row>
    <row r="699" spans="5:6">
      <c r="E699" s="57"/>
      <c r="F699" s="57"/>
    </row>
    <row r="700" spans="5:6">
      <c r="E700" s="57"/>
      <c r="F700" s="57"/>
    </row>
    <row r="701" spans="5:6">
      <c r="E701" s="57"/>
      <c r="F701" s="57"/>
    </row>
    <row r="702" spans="5:6">
      <c r="E702" s="57"/>
      <c r="F702" s="57"/>
    </row>
    <row r="703" spans="5:6">
      <c r="E703" s="57"/>
      <c r="F703" s="57"/>
    </row>
    <row r="704" spans="5:6">
      <c r="E704" s="57"/>
      <c r="F704" s="57"/>
    </row>
    <row r="705" spans="5:6">
      <c r="E705" s="57"/>
      <c r="F705" s="57"/>
    </row>
    <row r="706" spans="5:6">
      <c r="E706" s="57"/>
      <c r="F706" s="57"/>
    </row>
    <row r="707" spans="5:6">
      <c r="E707" s="57"/>
      <c r="F707" s="57"/>
    </row>
    <row r="708" spans="5:6">
      <c r="E708" s="57"/>
      <c r="F708" s="57"/>
    </row>
    <row r="709" spans="5:6">
      <c r="E709" s="57"/>
      <c r="F709" s="57"/>
    </row>
    <row r="710" spans="5:6">
      <c r="E710" s="57"/>
      <c r="F710" s="57"/>
    </row>
    <row r="711" spans="5:6">
      <c r="E711" s="57"/>
      <c r="F711" s="57"/>
    </row>
    <row r="712" spans="5:6">
      <c r="E712" s="57"/>
      <c r="F712" s="57"/>
    </row>
    <row r="713" spans="5:6">
      <c r="E713" s="57"/>
      <c r="F713" s="57"/>
    </row>
    <row r="714" spans="5:6">
      <c r="E714" s="57"/>
      <c r="F714" s="57"/>
    </row>
    <row r="715" spans="5:6">
      <c r="E715" s="57"/>
      <c r="F715" s="57"/>
    </row>
    <row r="716" spans="5:6">
      <c r="E716" s="57"/>
      <c r="F716" s="57"/>
    </row>
    <row r="717" spans="5:6">
      <c r="E717" s="57"/>
      <c r="F717" s="57"/>
    </row>
    <row r="718" spans="5:6">
      <c r="E718" s="57"/>
      <c r="F718" s="57"/>
    </row>
    <row r="719" spans="5:6">
      <c r="E719" s="57"/>
      <c r="F719" s="57"/>
    </row>
    <row r="720" spans="5:6">
      <c r="E720" s="57"/>
      <c r="F720" s="57"/>
    </row>
    <row r="721" spans="5:6">
      <c r="E721" s="57"/>
      <c r="F721" s="57"/>
    </row>
    <row r="722" spans="5:6">
      <c r="E722" s="57"/>
      <c r="F722" s="57"/>
    </row>
    <row r="723" spans="5:6">
      <c r="E723" s="57"/>
      <c r="F723" s="57"/>
    </row>
    <row r="724" spans="5:6">
      <c r="E724" s="57"/>
      <c r="F724" s="57"/>
    </row>
    <row r="725" spans="5:6">
      <c r="E725" s="57"/>
      <c r="F725" s="57"/>
    </row>
    <row r="726" spans="5:6">
      <c r="E726" s="57"/>
      <c r="F726" s="57"/>
    </row>
    <row r="727" spans="5:6">
      <c r="E727" s="57"/>
      <c r="F727" s="57"/>
    </row>
    <row r="728" spans="5:6">
      <c r="E728" s="57"/>
      <c r="F728" s="57"/>
    </row>
    <row r="729" spans="5:6">
      <c r="E729" s="57"/>
      <c r="F729" s="57"/>
    </row>
    <row r="730" spans="5:6">
      <c r="E730" s="57"/>
      <c r="F730" s="57"/>
    </row>
    <row r="731" spans="5:6">
      <c r="E731" s="57"/>
      <c r="F731" s="57"/>
    </row>
    <row r="732" spans="5:6">
      <c r="E732" s="57"/>
      <c r="F732" s="57"/>
    </row>
    <row r="733" spans="5:6">
      <c r="E733" s="57"/>
      <c r="F733" s="57"/>
    </row>
    <row r="734" spans="5:6">
      <c r="E734" s="57"/>
      <c r="F734" s="57"/>
    </row>
    <row r="735" spans="5:6">
      <c r="E735" s="57"/>
      <c r="F735" s="57"/>
    </row>
    <row r="736" spans="5:6">
      <c r="E736" s="57"/>
      <c r="F736" s="57"/>
    </row>
    <row r="737" spans="5:6">
      <c r="E737" s="57"/>
      <c r="F737" s="57"/>
    </row>
    <row r="738" spans="5:6">
      <c r="E738" s="57"/>
      <c r="F738" s="57"/>
    </row>
    <row r="739" spans="5:6">
      <c r="E739" s="57"/>
      <c r="F739" s="57"/>
    </row>
    <row r="740" spans="5:6">
      <c r="E740" s="57"/>
      <c r="F740" s="57"/>
    </row>
    <row r="741" spans="5:6">
      <c r="E741" s="57"/>
      <c r="F741" s="57"/>
    </row>
    <row r="742" spans="5:6">
      <c r="E742" s="57"/>
      <c r="F742" s="57"/>
    </row>
    <row r="743" spans="5:6">
      <c r="E743" s="57"/>
      <c r="F743" s="57"/>
    </row>
    <row r="744" spans="5:6">
      <c r="E744" s="57"/>
      <c r="F744" s="57"/>
    </row>
    <row r="745" spans="5:6">
      <c r="E745" s="57"/>
      <c r="F745" s="57"/>
    </row>
    <row r="746" spans="5:6">
      <c r="E746" s="57"/>
      <c r="F746" s="57"/>
    </row>
    <row r="747" spans="5:6">
      <c r="E747" s="57"/>
      <c r="F747" s="57"/>
    </row>
    <row r="748" spans="5:6">
      <c r="E748" s="57"/>
      <c r="F748" s="57"/>
    </row>
    <row r="749" spans="5:6">
      <c r="E749" s="57"/>
      <c r="F749" s="57"/>
    </row>
    <row r="750" spans="5:6">
      <c r="E750" s="57"/>
      <c r="F750" s="57"/>
    </row>
    <row r="751" spans="5:6">
      <c r="E751" s="57"/>
      <c r="F751" s="57"/>
    </row>
    <row r="752" spans="5:6">
      <c r="E752" s="57"/>
      <c r="F752" s="57"/>
    </row>
    <row r="753" spans="5:6">
      <c r="E753" s="57"/>
      <c r="F753" s="57"/>
    </row>
    <row r="754" spans="5:6">
      <c r="E754" s="57"/>
      <c r="F754" s="57"/>
    </row>
    <row r="755" spans="5:6">
      <c r="E755" s="57"/>
      <c r="F755" s="57"/>
    </row>
    <row r="756" spans="5:6">
      <c r="E756" s="57"/>
      <c r="F756" s="57"/>
    </row>
    <row r="757" spans="5:6">
      <c r="E757" s="57"/>
      <c r="F757" s="57"/>
    </row>
    <row r="758" spans="5:6">
      <c r="E758" s="57"/>
      <c r="F758" s="57"/>
    </row>
    <row r="759" spans="5:6">
      <c r="E759" s="57"/>
      <c r="F759" s="57"/>
    </row>
    <row r="760" spans="5:6">
      <c r="E760" s="57"/>
      <c r="F760" s="57"/>
    </row>
    <row r="761" spans="5:6">
      <c r="E761" s="57"/>
      <c r="F761" s="57"/>
    </row>
    <row r="762" spans="5:6">
      <c r="E762" s="57"/>
      <c r="F762" s="57"/>
    </row>
    <row r="763" spans="5:6">
      <c r="E763" s="57"/>
      <c r="F763" s="57"/>
    </row>
    <row r="764" spans="5:6">
      <c r="E764" s="57"/>
      <c r="F764" s="57"/>
    </row>
    <row r="765" spans="5:6">
      <c r="E765" s="57"/>
      <c r="F765" s="57"/>
    </row>
    <row r="766" spans="5:6">
      <c r="E766" s="57"/>
      <c r="F766" s="57"/>
    </row>
    <row r="767" spans="5:6">
      <c r="E767" s="57"/>
      <c r="F767" s="57"/>
    </row>
    <row r="768" spans="5:6">
      <c r="E768" s="57"/>
      <c r="F768" s="57"/>
    </row>
    <row r="769" spans="5:6">
      <c r="E769" s="57"/>
      <c r="F769" s="57"/>
    </row>
    <row r="770" spans="5:6">
      <c r="E770" s="57"/>
      <c r="F770" s="57"/>
    </row>
    <row r="771" spans="5:6">
      <c r="E771" s="57"/>
      <c r="F771" s="57"/>
    </row>
    <row r="772" spans="5:6">
      <c r="E772" s="57"/>
      <c r="F772" s="57"/>
    </row>
    <row r="773" spans="5:6">
      <c r="E773" s="57"/>
      <c r="F773" s="57"/>
    </row>
    <row r="774" spans="5:6">
      <c r="E774" s="57"/>
      <c r="F774" s="57"/>
    </row>
    <row r="775" spans="5:6">
      <c r="E775" s="57"/>
      <c r="F775" s="57"/>
    </row>
    <row r="776" spans="5:6">
      <c r="E776" s="57"/>
      <c r="F776" s="57"/>
    </row>
    <row r="777" spans="5:6">
      <c r="E777" s="57"/>
      <c r="F777" s="57"/>
    </row>
    <row r="778" spans="5:6">
      <c r="E778" s="57"/>
      <c r="F778" s="57"/>
    </row>
    <row r="779" spans="5:6">
      <c r="E779" s="57"/>
      <c r="F779" s="57"/>
    </row>
    <row r="780" spans="5:6">
      <c r="E780" s="57"/>
      <c r="F780" s="57"/>
    </row>
    <row r="781" spans="5:6">
      <c r="E781" s="57"/>
      <c r="F781" s="57"/>
    </row>
    <row r="782" spans="5:6">
      <c r="E782" s="57"/>
      <c r="F782" s="57"/>
    </row>
    <row r="783" spans="5:6">
      <c r="E783" s="57"/>
      <c r="F783" s="57"/>
    </row>
    <row r="784" spans="5:6">
      <c r="E784" s="57"/>
      <c r="F784" s="57"/>
    </row>
    <row r="785" spans="5:6">
      <c r="E785" s="57"/>
      <c r="F785" s="57"/>
    </row>
    <row r="786" spans="5:6">
      <c r="E786" s="57"/>
      <c r="F786" s="57"/>
    </row>
    <row r="787" spans="5:6">
      <c r="E787" s="57"/>
      <c r="F787" s="57"/>
    </row>
    <row r="788" spans="5:6">
      <c r="E788" s="57"/>
      <c r="F788" s="57"/>
    </row>
    <row r="789" spans="5:6">
      <c r="E789" s="57"/>
      <c r="F789" s="57"/>
    </row>
    <row r="790" spans="5:6">
      <c r="E790" s="57"/>
      <c r="F790" s="57"/>
    </row>
    <row r="791" spans="5:6">
      <c r="E791" s="57"/>
      <c r="F791" s="57"/>
    </row>
    <row r="792" spans="5:6">
      <c r="E792" s="57"/>
      <c r="F792" s="57"/>
    </row>
    <row r="793" spans="5:6">
      <c r="E793" s="57"/>
      <c r="F793" s="57"/>
    </row>
    <row r="794" spans="5:6">
      <c r="E794" s="57"/>
      <c r="F794" s="57"/>
    </row>
    <row r="795" spans="5:6">
      <c r="E795" s="57"/>
      <c r="F795" s="57"/>
    </row>
    <row r="796" spans="5:6">
      <c r="E796" s="57"/>
      <c r="F796" s="57"/>
    </row>
    <row r="797" spans="5:6">
      <c r="E797" s="57"/>
      <c r="F797" s="57"/>
    </row>
    <row r="798" spans="5:6">
      <c r="E798" s="57"/>
      <c r="F798" s="57"/>
    </row>
    <row r="799" spans="5:6">
      <c r="E799" s="57"/>
      <c r="F799" s="57"/>
    </row>
    <row r="800" spans="5:6">
      <c r="E800" s="57"/>
      <c r="F800" s="57"/>
    </row>
    <row r="801" spans="5:6">
      <c r="E801" s="57"/>
      <c r="F801" s="57"/>
    </row>
    <row r="802" spans="5:6">
      <c r="E802" s="57"/>
      <c r="F802" s="57"/>
    </row>
    <row r="803" spans="5:6">
      <c r="E803" s="57"/>
      <c r="F803" s="57"/>
    </row>
    <row r="804" spans="5:6">
      <c r="E804" s="57"/>
      <c r="F804" s="57"/>
    </row>
    <row r="805" spans="5:6">
      <c r="E805" s="57"/>
      <c r="F805" s="57"/>
    </row>
    <row r="806" spans="5:6">
      <c r="E806" s="57"/>
      <c r="F806" s="57"/>
    </row>
    <row r="807" spans="5:6">
      <c r="E807" s="57"/>
      <c r="F807" s="57"/>
    </row>
    <row r="808" spans="5:6">
      <c r="E808" s="57"/>
      <c r="F808" s="57"/>
    </row>
    <row r="809" spans="5:6">
      <c r="E809" s="57"/>
      <c r="F809" s="57"/>
    </row>
    <row r="810" spans="5:6">
      <c r="E810" s="57"/>
      <c r="F810" s="57"/>
    </row>
    <row r="811" spans="5:6">
      <c r="E811" s="57"/>
      <c r="F811" s="57"/>
    </row>
    <row r="812" spans="5:6">
      <c r="E812" s="57"/>
      <c r="F812" s="57"/>
    </row>
    <row r="813" spans="5:6">
      <c r="E813" s="57"/>
      <c r="F813" s="57"/>
    </row>
    <row r="814" spans="5:6">
      <c r="E814" s="57"/>
      <c r="F814" s="57"/>
    </row>
    <row r="815" spans="5:6">
      <c r="E815" s="57"/>
      <c r="F815" s="57"/>
    </row>
    <row r="816" spans="5:6">
      <c r="E816" s="57"/>
      <c r="F816" s="57"/>
    </row>
    <row r="817" spans="5:6">
      <c r="E817" s="57"/>
      <c r="F817" s="57"/>
    </row>
    <row r="818" spans="5:6">
      <c r="E818" s="57"/>
      <c r="F818" s="57"/>
    </row>
    <row r="819" spans="5:6">
      <c r="E819" s="57"/>
      <c r="F819" s="57"/>
    </row>
    <row r="820" spans="5:6">
      <c r="E820" s="57"/>
      <c r="F820" s="57"/>
    </row>
    <row r="821" spans="5:6">
      <c r="E821" s="57"/>
      <c r="F821" s="57"/>
    </row>
    <row r="822" spans="5:6">
      <c r="E822" s="57"/>
      <c r="F822" s="57"/>
    </row>
    <row r="823" spans="5:6">
      <c r="E823" s="57"/>
      <c r="F823" s="57"/>
    </row>
    <row r="824" spans="5:6">
      <c r="E824" s="57"/>
      <c r="F824" s="57"/>
    </row>
    <row r="825" spans="5:6">
      <c r="E825" s="57"/>
      <c r="F825" s="57"/>
    </row>
    <row r="826" spans="5:6">
      <c r="E826" s="57"/>
      <c r="F826" s="57"/>
    </row>
    <row r="827" spans="5:6">
      <c r="E827" s="57"/>
      <c r="F827" s="57"/>
    </row>
    <row r="828" spans="5:6">
      <c r="E828" s="57"/>
      <c r="F828" s="57"/>
    </row>
    <row r="829" spans="5:6">
      <c r="E829" s="57"/>
      <c r="F829" s="57"/>
    </row>
    <row r="830" spans="5:6">
      <c r="E830" s="57"/>
      <c r="F830" s="57"/>
    </row>
    <row r="831" spans="5:6">
      <c r="E831" s="57"/>
      <c r="F831" s="57"/>
    </row>
    <row r="832" spans="5:6">
      <c r="E832" s="57"/>
      <c r="F832" s="57"/>
    </row>
    <row r="833" spans="5:6">
      <c r="E833" s="57"/>
      <c r="F833" s="57"/>
    </row>
    <row r="834" spans="5:6">
      <c r="E834" s="57"/>
      <c r="F834" s="57"/>
    </row>
    <row r="835" spans="5:6">
      <c r="E835" s="57"/>
      <c r="F835" s="57"/>
    </row>
    <row r="836" spans="5:6">
      <c r="E836" s="57"/>
      <c r="F836" s="57"/>
    </row>
    <row r="837" spans="5:6">
      <c r="E837" s="57"/>
      <c r="F837" s="57"/>
    </row>
    <row r="838" spans="5:6">
      <c r="E838" s="57"/>
      <c r="F838" s="57"/>
    </row>
    <row r="839" spans="5:6">
      <c r="E839" s="57"/>
      <c r="F839" s="57"/>
    </row>
    <row r="840" spans="5:6">
      <c r="E840" s="57"/>
      <c r="F840" s="57"/>
    </row>
    <row r="841" spans="5:6">
      <c r="E841" s="57"/>
      <c r="F841" s="57"/>
    </row>
    <row r="842" spans="5:6">
      <c r="E842" s="57"/>
      <c r="F842" s="57"/>
    </row>
    <row r="843" spans="5:6">
      <c r="E843" s="57"/>
      <c r="F843" s="57"/>
    </row>
    <row r="844" spans="5:6">
      <c r="E844" s="57"/>
      <c r="F844" s="57"/>
    </row>
    <row r="845" spans="5:6">
      <c r="E845" s="57"/>
      <c r="F845" s="57"/>
    </row>
    <row r="846" spans="5:6">
      <c r="E846" s="57"/>
      <c r="F846" s="57"/>
    </row>
    <row r="847" spans="5:6">
      <c r="E847" s="57"/>
      <c r="F847" s="57"/>
    </row>
    <row r="848" spans="5:6">
      <c r="E848" s="57"/>
      <c r="F848" s="57"/>
    </row>
    <row r="849" spans="5:6">
      <c r="E849" s="57"/>
      <c r="F849" s="57"/>
    </row>
    <row r="850" spans="5:6">
      <c r="E850" s="57"/>
      <c r="F850" s="57"/>
    </row>
    <row r="851" spans="5:6">
      <c r="E851" s="57"/>
      <c r="F851" s="57"/>
    </row>
    <row r="852" spans="5:6">
      <c r="E852" s="57"/>
      <c r="F852" s="57"/>
    </row>
    <row r="853" spans="5:6">
      <c r="E853" s="57"/>
      <c r="F853" s="57"/>
    </row>
    <row r="854" spans="5:6">
      <c r="E854" s="57"/>
      <c r="F854" s="57"/>
    </row>
    <row r="855" spans="5:6">
      <c r="E855" s="57"/>
      <c r="F855" s="57"/>
    </row>
    <row r="856" spans="5:6">
      <c r="E856" s="57"/>
      <c r="F856" s="57"/>
    </row>
    <row r="857" spans="5:6">
      <c r="E857" s="57"/>
      <c r="F857" s="57"/>
    </row>
    <row r="858" spans="5:6">
      <c r="E858" s="57"/>
      <c r="F858" s="57"/>
    </row>
    <row r="859" spans="5:6">
      <c r="E859" s="57"/>
      <c r="F859" s="57"/>
    </row>
    <row r="860" spans="5:6">
      <c r="E860" s="57"/>
      <c r="F860" s="57"/>
    </row>
    <row r="861" spans="5:6">
      <c r="E861" s="57"/>
      <c r="F861" s="57"/>
    </row>
    <row r="862" spans="5:6">
      <c r="E862" s="57"/>
      <c r="F862" s="57"/>
    </row>
    <row r="863" spans="5:6">
      <c r="E863" s="57"/>
      <c r="F863" s="57"/>
    </row>
    <row r="864" spans="5:6">
      <c r="E864" s="57"/>
      <c r="F864" s="57"/>
    </row>
    <row r="865" spans="5:6">
      <c r="E865" s="57"/>
      <c r="F865" s="57"/>
    </row>
    <row r="866" spans="5:6">
      <c r="E866" s="57"/>
      <c r="F866" s="57"/>
    </row>
    <row r="867" spans="5:6">
      <c r="E867" s="57"/>
      <c r="F867" s="57"/>
    </row>
    <row r="868" spans="5:6">
      <c r="E868" s="57"/>
      <c r="F868" s="57"/>
    </row>
    <row r="869" spans="5:6">
      <c r="E869" s="57"/>
      <c r="F869" s="57"/>
    </row>
    <row r="870" spans="5:6">
      <c r="E870" s="57"/>
      <c r="F870" s="57"/>
    </row>
    <row r="871" spans="5:6">
      <c r="E871" s="57"/>
      <c r="F871" s="57"/>
    </row>
    <row r="872" spans="5:6">
      <c r="E872" s="57"/>
      <c r="F872" s="57"/>
    </row>
    <row r="873" spans="5:6">
      <c r="E873" s="57"/>
      <c r="F873" s="57"/>
    </row>
    <row r="874" spans="5:6">
      <c r="E874" s="57"/>
      <c r="F874" s="57"/>
    </row>
    <row r="875" spans="5:6">
      <c r="E875" s="57"/>
      <c r="F875" s="57"/>
    </row>
    <row r="876" spans="5:6">
      <c r="E876" s="57"/>
      <c r="F876" s="57"/>
    </row>
    <row r="877" spans="5:6">
      <c r="E877" s="57"/>
      <c r="F877" s="57"/>
    </row>
    <row r="878" spans="5:6">
      <c r="E878" s="57"/>
      <c r="F878" s="57"/>
    </row>
    <row r="879" spans="5:6">
      <c r="E879" s="57"/>
      <c r="F879" s="57"/>
    </row>
    <row r="880" spans="5:6">
      <c r="E880" s="57"/>
      <c r="F880" s="57"/>
    </row>
    <row r="881" spans="5:6">
      <c r="E881" s="57"/>
      <c r="F881" s="57"/>
    </row>
    <row r="882" spans="5:6">
      <c r="E882" s="57"/>
      <c r="F882" s="57"/>
    </row>
    <row r="883" spans="5:6">
      <c r="E883" s="57"/>
      <c r="F883" s="57"/>
    </row>
    <row r="884" spans="5:6">
      <c r="E884" s="57"/>
      <c r="F884" s="57"/>
    </row>
    <row r="885" spans="5:6">
      <c r="E885" s="57"/>
      <c r="F885" s="57"/>
    </row>
    <row r="886" spans="5:6">
      <c r="E886" s="57"/>
      <c r="F886" s="57"/>
    </row>
    <row r="887" spans="5:6">
      <c r="E887" s="57"/>
      <c r="F887" s="57"/>
    </row>
    <row r="888" spans="5:6">
      <c r="E888" s="57"/>
      <c r="F888" s="57"/>
    </row>
    <row r="889" spans="5:6">
      <c r="E889" s="57"/>
      <c r="F889" s="57"/>
    </row>
    <row r="890" spans="5:6">
      <c r="E890" s="57"/>
      <c r="F890" s="57"/>
    </row>
    <row r="891" spans="5:6">
      <c r="E891" s="57"/>
      <c r="F891" s="57"/>
    </row>
    <row r="892" spans="5:6">
      <c r="E892" s="57"/>
      <c r="F892" s="57"/>
    </row>
    <row r="893" spans="5:6">
      <c r="E893" s="57"/>
      <c r="F893" s="57"/>
    </row>
    <row r="894" spans="5:6">
      <c r="E894" s="57"/>
      <c r="F894" s="57"/>
    </row>
    <row r="895" spans="5:6">
      <c r="E895" s="57"/>
      <c r="F895" s="57"/>
    </row>
    <row r="896" spans="5:6">
      <c r="E896" s="57"/>
      <c r="F896" s="57"/>
    </row>
    <row r="897" spans="5:6">
      <c r="E897" s="57"/>
      <c r="F897" s="57"/>
    </row>
    <row r="898" spans="5:6">
      <c r="E898" s="57"/>
      <c r="F898" s="57"/>
    </row>
    <row r="899" spans="5:6">
      <c r="E899" s="57"/>
      <c r="F899" s="57"/>
    </row>
    <row r="900" spans="5:6">
      <c r="E900" s="57"/>
      <c r="F900" s="57"/>
    </row>
    <row r="901" spans="5:6">
      <c r="E901" s="57"/>
      <c r="F901" s="57"/>
    </row>
    <row r="902" spans="5:6">
      <c r="E902" s="57"/>
      <c r="F902" s="57"/>
    </row>
    <row r="903" spans="5:6">
      <c r="E903" s="57"/>
      <c r="F903" s="57"/>
    </row>
    <row r="904" spans="5:6">
      <c r="E904" s="57"/>
      <c r="F904" s="57"/>
    </row>
    <row r="905" spans="5:6">
      <c r="E905" s="57"/>
      <c r="F905" s="57"/>
    </row>
    <row r="906" spans="5:6">
      <c r="E906" s="57"/>
      <c r="F906" s="57"/>
    </row>
    <row r="907" spans="5:6">
      <c r="E907" s="57"/>
      <c r="F907" s="57"/>
    </row>
    <row r="908" spans="5:6">
      <c r="E908" s="57"/>
      <c r="F908" s="57"/>
    </row>
    <row r="909" spans="5:6">
      <c r="E909" s="57"/>
      <c r="F909" s="57"/>
    </row>
    <row r="910" spans="5:6">
      <c r="E910" s="57"/>
      <c r="F910" s="57"/>
    </row>
    <row r="911" spans="5:6">
      <c r="E911" s="57"/>
      <c r="F911" s="57"/>
    </row>
    <row r="912" spans="5:6">
      <c r="E912" s="57"/>
      <c r="F912" s="57"/>
    </row>
    <row r="913" spans="5:6">
      <c r="E913" s="57"/>
      <c r="F913" s="57"/>
    </row>
    <row r="914" spans="5:6">
      <c r="E914" s="57"/>
      <c r="F914" s="57"/>
    </row>
    <row r="915" spans="5:6">
      <c r="E915" s="57"/>
      <c r="F915" s="57"/>
    </row>
    <row r="916" spans="5:6">
      <c r="E916" s="57"/>
      <c r="F916" s="57"/>
    </row>
    <row r="917" spans="5:6">
      <c r="E917" s="57"/>
      <c r="F917" s="57"/>
    </row>
    <row r="918" spans="5:6">
      <c r="E918" s="57"/>
      <c r="F918" s="57"/>
    </row>
    <row r="919" spans="5:6">
      <c r="E919" s="57"/>
      <c r="F919" s="57"/>
    </row>
    <row r="920" spans="5:6">
      <c r="E920" s="57"/>
      <c r="F920" s="57"/>
    </row>
    <row r="921" spans="5:6">
      <c r="E921" s="57"/>
      <c r="F921" s="57"/>
    </row>
    <row r="922" spans="5:6">
      <c r="E922" s="57"/>
      <c r="F922" s="57"/>
    </row>
    <row r="923" spans="5:6">
      <c r="E923" s="57"/>
      <c r="F923" s="57"/>
    </row>
    <row r="924" spans="5:6">
      <c r="E924" s="57"/>
      <c r="F924" s="57"/>
    </row>
    <row r="925" spans="5:6">
      <c r="E925" s="57"/>
      <c r="F925" s="57"/>
    </row>
    <row r="926" spans="5:6">
      <c r="E926" s="57"/>
      <c r="F926" s="57"/>
    </row>
    <row r="927" spans="5:6">
      <c r="E927" s="57"/>
      <c r="F927" s="57"/>
    </row>
    <row r="928" spans="5:6">
      <c r="E928" s="57"/>
      <c r="F928" s="57"/>
    </row>
    <row r="929" spans="5:6">
      <c r="E929" s="57"/>
      <c r="F929" s="57"/>
    </row>
    <row r="930" spans="5:6">
      <c r="E930" s="57"/>
      <c r="F930" s="57"/>
    </row>
    <row r="931" spans="5:6">
      <c r="E931" s="57"/>
      <c r="F931" s="57"/>
    </row>
    <row r="932" spans="5:6">
      <c r="E932" s="57"/>
      <c r="F932" s="57"/>
    </row>
    <row r="933" spans="5:6">
      <c r="E933" s="57"/>
      <c r="F933" s="57"/>
    </row>
    <row r="934" spans="5:6">
      <c r="E934" s="57"/>
      <c r="F934" s="57"/>
    </row>
    <row r="935" spans="5:6">
      <c r="E935" s="57"/>
      <c r="F935" s="57"/>
    </row>
    <row r="936" spans="5:6">
      <c r="E936" s="57"/>
      <c r="F936" s="57"/>
    </row>
    <row r="937" spans="5:6">
      <c r="E937" s="57"/>
      <c r="F937" s="57"/>
    </row>
    <row r="938" spans="5:6">
      <c r="E938" s="57"/>
      <c r="F938" s="57"/>
    </row>
    <row r="939" spans="5:6">
      <c r="E939" s="57"/>
      <c r="F939" s="57"/>
    </row>
    <row r="940" spans="5:6">
      <c r="E940" s="57"/>
      <c r="F940" s="57"/>
    </row>
    <row r="941" spans="5:6">
      <c r="E941" s="57"/>
      <c r="F941" s="57"/>
    </row>
    <row r="942" spans="5:6">
      <c r="E942" s="57"/>
      <c r="F942" s="57"/>
    </row>
    <row r="943" spans="5:6">
      <c r="E943" s="57"/>
      <c r="F943" s="57"/>
    </row>
    <row r="944" spans="5:6">
      <c r="E944" s="57"/>
      <c r="F944" s="57"/>
    </row>
    <row r="945" spans="5:6">
      <c r="E945" s="57"/>
      <c r="F945" s="57"/>
    </row>
    <row r="946" spans="5:6">
      <c r="E946" s="57"/>
      <c r="F946" s="57"/>
    </row>
    <row r="947" spans="5:6">
      <c r="E947" s="57"/>
      <c r="F947" s="57"/>
    </row>
    <row r="948" spans="5:6">
      <c r="E948" s="57"/>
      <c r="F948" s="57"/>
    </row>
    <row r="949" spans="5:6">
      <c r="E949" s="57"/>
      <c r="F949" s="57"/>
    </row>
    <row r="950" spans="5:6">
      <c r="E950" s="57"/>
      <c r="F950" s="57"/>
    </row>
    <row r="951" spans="5:6">
      <c r="E951" s="57"/>
      <c r="F951" s="57"/>
    </row>
    <row r="952" spans="5:6">
      <c r="E952" s="57"/>
      <c r="F952" s="57"/>
    </row>
    <row r="953" spans="5:6">
      <c r="E953" s="57"/>
      <c r="F953" s="57"/>
    </row>
    <row r="954" spans="5:6">
      <c r="E954" s="57"/>
      <c r="F954" s="57"/>
    </row>
    <row r="955" spans="5:6">
      <c r="E955" s="57"/>
      <c r="F955" s="57"/>
    </row>
    <row r="956" spans="5:6">
      <c r="E956" s="57"/>
      <c r="F956" s="57"/>
    </row>
    <row r="957" spans="5:6">
      <c r="E957" s="57"/>
      <c r="F957" s="57"/>
    </row>
    <row r="958" spans="5:6">
      <c r="E958" s="57"/>
      <c r="F958" s="57"/>
    </row>
    <row r="959" spans="5:6">
      <c r="E959" s="57"/>
      <c r="F959" s="57"/>
    </row>
    <row r="960" spans="5:6">
      <c r="E960" s="57"/>
      <c r="F960" s="57"/>
    </row>
    <row r="961" spans="5:6">
      <c r="E961" s="57"/>
      <c r="F961" s="57"/>
    </row>
    <row r="962" spans="5:6">
      <c r="E962" s="57"/>
      <c r="F962" s="57"/>
    </row>
    <row r="963" spans="5:6">
      <c r="E963" s="57"/>
      <c r="F963" s="57"/>
    </row>
    <row r="964" spans="5:6">
      <c r="E964" s="57"/>
      <c r="F964" s="57"/>
    </row>
    <row r="965" spans="5:6">
      <c r="E965" s="57"/>
      <c r="F965" s="57"/>
    </row>
    <row r="966" spans="5:6">
      <c r="E966" s="57"/>
      <c r="F966" s="57"/>
    </row>
    <row r="967" spans="5:6">
      <c r="E967" s="57"/>
      <c r="F967" s="57"/>
    </row>
    <row r="968" spans="5:6">
      <c r="E968" s="57"/>
      <c r="F968" s="57"/>
    </row>
    <row r="969" spans="5:6">
      <c r="E969" s="57"/>
      <c r="F969" s="57"/>
    </row>
    <row r="970" spans="5:6">
      <c r="E970" s="57"/>
      <c r="F970" s="57"/>
    </row>
    <row r="971" spans="5:6">
      <c r="E971" s="57"/>
      <c r="F971" s="57"/>
    </row>
    <row r="972" spans="5:6">
      <c r="E972" s="57"/>
      <c r="F972" s="57"/>
    </row>
    <row r="973" spans="5:6">
      <c r="E973" s="57"/>
      <c r="F973" s="57"/>
    </row>
    <row r="974" spans="5:6">
      <c r="E974" s="57"/>
      <c r="F974" s="57"/>
    </row>
    <row r="975" spans="5:6">
      <c r="E975" s="57"/>
      <c r="F975" s="57"/>
    </row>
    <row r="976" spans="5:6">
      <c r="E976" s="57"/>
      <c r="F976" s="57"/>
    </row>
    <row r="977" spans="5:6">
      <c r="E977" s="57"/>
      <c r="F977" s="57"/>
    </row>
    <row r="978" spans="5:6">
      <c r="E978" s="57"/>
      <c r="F978" s="57"/>
    </row>
    <row r="979" spans="5:6">
      <c r="E979" s="57"/>
      <c r="F979" s="57"/>
    </row>
    <row r="980" spans="5:6">
      <c r="E980" s="57"/>
      <c r="F980" s="57"/>
    </row>
    <row r="981" spans="5:6">
      <c r="E981" s="57"/>
      <c r="F981" s="57"/>
    </row>
    <row r="982" spans="5:6">
      <c r="E982" s="57"/>
      <c r="F982" s="57"/>
    </row>
    <row r="983" spans="5:6">
      <c r="E983" s="57"/>
      <c r="F983" s="57"/>
    </row>
    <row r="984" spans="5:6">
      <c r="E984" s="57"/>
      <c r="F984" s="57"/>
    </row>
    <row r="985" spans="5:6">
      <c r="E985" s="57"/>
      <c r="F985" s="57"/>
    </row>
    <row r="986" spans="5:6">
      <c r="E986" s="57"/>
      <c r="F986" s="57"/>
    </row>
    <row r="987" spans="5:6">
      <c r="E987" s="57"/>
      <c r="F987" s="57"/>
    </row>
    <row r="988" spans="5:6">
      <c r="E988" s="57"/>
      <c r="F988" s="57"/>
    </row>
    <row r="989" spans="5:6">
      <c r="E989" s="57"/>
      <c r="F989" s="57"/>
    </row>
    <row r="990" spans="5:6">
      <c r="E990" s="57"/>
      <c r="F990" s="57"/>
    </row>
    <row r="991" spans="5:6">
      <c r="E991" s="57"/>
      <c r="F991" s="57"/>
    </row>
    <row r="992" spans="5:6">
      <c r="E992" s="57"/>
      <c r="F992" s="57"/>
    </row>
    <row r="993" spans="5:6">
      <c r="E993" s="57"/>
      <c r="F993" s="57"/>
    </row>
    <row r="994" spans="5:6">
      <c r="E994" s="57"/>
      <c r="F994" s="57"/>
    </row>
    <row r="995" spans="5:6">
      <c r="E995" s="57"/>
      <c r="F995" s="57"/>
    </row>
    <row r="996" spans="5:6">
      <c r="E996" s="57"/>
      <c r="F996" s="57"/>
    </row>
  </sheetData>
  <mergeCells count="4">
    <mergeCell ref="A1:F1"/>
    <mergeCell ref="I1:N1"/>
    <mergeCell ref="E2:F2"/>
    <mergeCell ref="M2:N2"/>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K31"/>
  <sheetViews>
    <sheetView workbookViewId="0"/>
  </sheetViews>
  <sheetFormatPr defaultColWidth="14.42578125" defaultRowHeight="15.75" customHeight="1"/>
  <cols>
    <col min="1" max="1" width="24" customWidth="1"/>
    <col min="2" max="2" width="11.7109375" customWidth="1"/>
    <col min="3" max="3" width="18.28515625" customWidth="1"/>
    <col min="4" max="4" width="13.42578125" customWidth="1"/>
    <col min="5" max="5" width="11.7109375" customWidth="1"/>
    <col min="6" max="7" width="21" customWidth="1"/>
    <col min="10" max="11" width="14.42578125" hidden="1"/>
  </cols>
  <sheetData>
    <row r="1" spans="1:11" ht="35.25" customHeight="1">
      <c r="A1" s="76" t="s">
        <v>113</v>
      </c>
      <c r="B1" s="76" t="s">
        <v>114</v>
      </c>
      <c r="C1" s="76" t="s">
        <v>115</v>
      </c>
      <c r="D1" s="420" t="s">
        <v>116</v>
      </c>
      <c r="E1" s="409"/>
      <c r="F1" s="76" t="s">
        <v>117</v>
      </c>
      <c r="G1" s="76" t="s">
        <v>118</v>
      </c>
      <c r="H1" s="420" t="s">
        <v>119</v>
      </c>
      <c r="I1" s="409"/>
      <c r="J1" s="77"/>
      <c r="K1" s="77"/>
    </row>
    <row r="2" spans="1:11">
      <c r="A2" s="21" t="str">
        <f ca="1">IFERROR(__xludf.DUMMYFUNCTION("UNIQUE(QUERY(db,""select C where C is not NULL order by C""))"),"BCG")</f>
        <v>BCG</v>
      </c>
      <c r="B2" s="78">
        <f ca="1">IFERROR(__xludf.DUMMYFUNCTION("iferror(query(db,""select count(C) where C like '""&amp;$A2&amp;""' AND AW = 'Yes' LABEL COUNT(C) ''""),0) + 0"),3)</f>
        <v>3</v>
      </c>
      <c r="C2" s="79">
        <f ca="1">IFERROR(__xludf.DUMMYFUNCTION("iferror(query(db,""select sum(X) where C like '""&amp;$A2&amp;""' AND AW = 'Yes' label sum(X) ''""),0) + 0"),128)</f>
        <v>128</v>
      </c>
      <c r="D2" s="79">
        <f ca="1">IFERROR(__xludf.DUMMYFUNCTION("iferror(query(db,""select sum(Z) where C like '""&amp;$A2&amp;""' AND AW = 'Yes' label sum(Z) ''""),0) + 0"),88)</f>
        <v>88</v>
      </c>
      <c r="E2" s="80">
        <f t="shared" ref="E2:E30" ca="1" si="0">IF(C2&gt;0,D2/C2,0)</f>
        <v>0.6875</v>
      </c>
      <c r="F2" s="78">
        <f ca="1">COUNTIFS(Included!C:C, "="&amp;A2, IncludedCat, "yes", Included!BE:BE, TRUE )</f>
        <v>3</v>
      </c>
      <c r="G2" s="79">
        <f ca="1">SUMIFS(Included!X:X, Included!C:C, "="&amp;A2, IncludedCat, "yes", Included!BE:BE, TRUE )</f>
        <v>128</v>
      </c>
      <c r="H2" s="79">
        <f ca="1">IFERROR(__xludf.DUMMYFUNCTION("iferror(query(db,""select sum(AI) where C like '""&amp;$A2&amp;""' AND AW = 'Yes' label sum(AI) ''""),0) + 0"),0)</f>
        <v>0</v>
      </c>
      <c r="I2" s="80">
        <f t="shared" ref="I2:I30" ca="1" si="1">IF(G2&gt;0,H2/G2,0)</f>
        <v>0</v>
      </c>
      <c r="J2" s="81" t="str">
        <f t="shared" ref="J2:J23" ca="1" si="2">D2 &amp; " ("&amp; ROUND(100*E2,0) &amp;"%)"</f>
        <v>88 (69%)</v>
      </c>
      <c r="K2" s="81" t="str">
        <f t="shared" ref="K2:K28" ca="1" si="3">H2&amp;" ("&amp; ROUND(100*I2,1) &amp;"%)"</f>
        <v>0 (0%)</v>
      </c>
    </row>
    <row r="3" spans="1:11">
      <c r="A3" s="82" t="str">
        <f ca="1">IFERROR(__xludf.DUMMYFUNCTION("""COMPUTED_VALUE"""),"Bordetella pertussis")</f>
        <v>Bordetella pertussis</v>
      </c>
      <c r="B3" s="83">
        <f ca="1">IFERROR(__xludf.DUMMYFUNCTION("iferror(query(db,""select count(C) where C like '""&amp;$A3&amp;""' AND AW = 'Yes' LABEL COUNT(C) ''""),0) + 0"),1)</f>
        <v>1</v>
      </c>
      <c r="C3" s="84">
        <f ca="1">IFERROR(__xludf.DUMMYFUNCTION("iferror(query(db,""select sum(X) where C like '""&amp;$A3&amp;""' AND AW = 'Yes' label sum(X) ''""),0) + 0"),34)</f>
        <v>34</v>
      </c>
      <c r="D3" s="84">
        <f ca="1">IFERROR(__xludf.DUMMYFUNCTION("iferror(query(db,""select sum(Z) where C like '""&amp;$A3&amp;""' AND AW = 'Yes' label sum(Z) ''""),0) + 0"),19)</f>
        <v>19</v>
      </c>
      <c r="E3" s="85">
        <f t="shared" ca="1" si="0"/>
        <v>0.55882352941176472</v>
      </c>
      <c r="F3" s="83">
        <f ca="1">COUNTIFS(Included!C:C, "="&amp;A3, IncludedCat, "yes", Included!BE:BE, TRUE )</f>
        <v>1</v>
      </c>
      <c r="G3" s="84">
        <f ca="1">SUMIFS(Included!X:X, Included!C:C, "="&amp;A3, IncludedCat, "yes", Included!BE:BE, TRUE )</f>
        <v>34</v>
      </c>
      <c r="H3" s="84">
        <f ca="1">IFERROR(__xludf.DUMMYFUNCTION("iferror(query(db,""select sum(AI) where C like '""&amp;$A3&amp;""' AND AW = 'Yes' label sum(AI) ''""),0) + 0"),0)</f>
        <v>0</v>
      </c>
      <c r="I3" s="85">
        <f t="shared" ca="1" si="1"/>
        <v>0</v>
      </c>
      <c r="J3" s="86" t="str">
        <f t="shared" ca="1" si="2"/>
        <v>19 (56%)</v>
      </c>
      <c r="K3" s="86" t="str">
        <f t="shared" ca="1" si="3"/>
        <v>0 (0%)</v>
      </c>
    </row>
    <row r="4" spans="1:11">
      <c r="A4" s="21" t="str">
        <f ca="1">IFERROR(__xludf.DUMMYFUNCTION("""COMPUTED_VALUE"""),"Campylobacter jejuni")</f>
        <v>Campylobacter jejuni</v>
      </c>
      <c r="B4" s="78">
        <f ca="1">IFERROR(__xludf.DUMMYFUNCTION("iferror(query(db,""select count(C) where C like '""&amp;$A4&amp;""' AND AW = 'Yes' LABEL COUNT(C) ''""),0) + 0"),3)</f>
        <v>3</v>
      </c>
      <c r="C4" s="79">
        <f ca="1">IFERROR(__xludf.DUMMYFUNCTION("iferror(query(db,""select sum(X) where C like '""&amp;$A4&amp;""' AND AW = 'Yes' label sum(X) ''""),0) + 0"),197)</f>
        <v>197</v>
      </c>
      <c r="D4" s="79">
        <f ca="1">IFERROR(__xludf.DUMMYFUNCTION("iferror(query(db,""select sum(Z) where C like '""&amp;$A4&amp;""' AND AW = 'Yes' label sum(Z) ''""),0) + 0"),178)</f>
        <v>178</v>
      </c>
      <c r="E4" s="80">
        <f t="shared" ca="1" si="0"/>
        <v>0.90355329949238583</v>
      </c>
      <c r="F4" s="78">
        <f ca="1">COUNTIFS(Included!C:C, "="&amp;A4, IncludedCat, "yes", Included!BE:BE, TRUE )</f>
        <v>3</v>
      </c>
      <c r="G4" s="79">
        <f ca="1">SUMIFS(Included!X:X, Included!C:C, "="&amp;A4, IncludedCat, "yes", Included!BE:BE, TRUE )</f>
        <v>197</v>
      </c>
      <c r="H4" s="79">
        <f ca="1">IFERROR(__xludf.DUMMYFUNCTION("iferror(query(db,""select sum(AI) where C like '""&amp;$A4&amp;""' AND AW = 'Yes' label sum(AI) ''""),0) + 0"),0)</f>
        <v>0</v>
      </c>
      <c r="I4" s="80">
        <f t="shared" ca="1" si="1"/>
        <v>0</v>
      </c>
      <c r="J4" s="81" t="str">
        <f t="shared" ca="1" si="2"/>
        <v>178 (90%)</v>
      </c>
      <c r="K4" s="81" t="str">
        <f t="shared" ca="1" si="3"/>
        <v>0 (0%)</v>
      </c>
    </row>
    <row r="5" spans="1:11">
      <c r="A5" s="82" t="str">
        <f ca="1">IFERROR(__xludf.DUMMYFUNCTION("""COMPUTED_VALUE"""),"Coronavirus")</f>
        <v>Coronavirus</v>
      </c>
      <c r="B5" s="83">
        <f ca="1">IFERROR(__xludf.DUMMYFUNCTION("iferror(query(db,""select count(C) where C like '""&amp;$A5&amp;""' AND AW = 'Yes' LABEL COUNT(C) ''""),0) + 0"),1)</f>
        <v>1</v>
      </c>
      <c r="C5" s="84">
        <f ca="1">IFERROR(__xludf.DUMMYFUNCTION("iferror(query(db,""select sum(X) where C like '""&amp;$A5&amp;""' AND AW = 'Yes' label sum(X) ''""),0) + 0"),55)</f>
        <v>55</v>
      </c>
      <c r="D5" s="84">
        <f ca="1">IFERROR(__xludf.DUMMYFUNCTION("iferror(query(db,""select sum(Z) where C like '""&amp;$A5&amp;""' AND AW = 'Yes' label sum(Z) ''""),0) + 0"),50)</f>
        <v>50</v>
      </c>
      <c r="E5" s="85">
        <f t="shared" ca="1" si="0"/>
        <v>0.90909090909090906</v>
      </c>
      <c r="F5" s="83">
        <f ca="1">COUNTIFS(Included!C:C, "="&amp;A5, IncludedCat, "yes", Included!BE:BE, TRUE )</f>
        <v>1</v>
      </c>
      <c r="G5" s="84">
        <f ca="1">SUMIFS(Included!X:X, Included!C:C, "="&amp;A5, IncludedCat, "yes", Included!BE:BE, TRUE )</f>
        <v>55</v>
      </c>
      <c r="H5" s="84">
        <f ca="1">IFERROR(__xludf.DUMMYFUNCTION("iferror(query(db,""select sum(AI) where C like '""&amp;$A5&amp;""' AND AW = 'Yes' label sum(AI) ''""),0) + 0"),0)</f>
        <v>0</v>
      </c>
      <c r="I5" s="85">
        <f t="shared" ca="1" si="1"/>
        <v>0</v>
      </c>
      <c r="J5" s="86" t="str">
        <f t="shared" ca="1" si="2"/>
        <v>50 (91%)</v>
      </c>
      <c r="K5" s="86" t="str">
        <f t="shared" ca="1" si="3"/>
        <v>0 (0%)</v>
      </c>
    </row>
    <row r="6" spans="1:11">
      <c r="A6" s="21" t="str">
        <f ca="1">IFERROR(__xludf.DUMMYFUNCTION("""COMPUTED_VALUE"""),"Coxsackievirus A21")</f>
        <v>Coxsackievirus A21</v>
      </c>
      <c r="B6" s="78">
        <f ca="1">IFERROR(__xludf.DUMMYFUNCTION("iferror(query(db,""select count(C) where C like '""&amp;$A6&amp;""' AND AW = 'Yes' LABEL COUNT(C) ''""),0) + 0"),1)</f>
        <v>1</v>
      </c>
      <c r="C6" s="79">
        <f ca="1">IFERROR(__xludf.DUMMYFUNCTION("iferror(query(db,""select sum(X) where C like '""&amp;$A6&amp;""' AND AW = 'Yes' label sum(X) ''""),0) + 0"),31)</f>
        <v>31</v>
      </c>
      <c r="D6" s="79">
        <f ca="1">IFERROR(__xludf.DUMMYFUNCTION("iferror(query(db,""select sum(Z) where C like '""&amp;$A6&amp;""' AND AW = 'Yes' label sum(Z) ''""),0) + 0"),29)</f>
        <v>29</v>
      </c>
      <c r="E6" s="80">
        <f t="shared" ca="1" si="0"/>
        <v>0.93548387096774188</v>
      </c>
      <c r="F6" s="78">
        <f ca="1">COUNTIFS(Included!C:C, "="&amp;A6, IncludedCat, "yes", Included!BE:BE, TRUE )</f>
        <v>1</v>
      </c>
      <c r="G6" s="79">
        <f ca="1">SUMIFS(Included!X:X, Included!C:C, "="&amp;A6, IncludedCat, "yes", Included!BE:BE, TRUE )</f>
        <v>31</v>
      </c>
      <c r="H6" s="79">
        <f ca="1">IFERROR(__xludf.DUMMYFUNCTION("iferror(query(db,""select sum(AI) where C like '""&amp;$A6&amp;""' AND AW = 'Yes' label sum(AI) ''""),0) + 0"),0)</f>
        <v>0</v>
      </c>
      <c r="I6" s="80">
        <f t="shared" ca="1" si="1"/>
        <v>0</v>
      </c>
      <c r="J6" s="81" t="str">
        <f t="shared" ca="1" si="2"/>
        <v>29 (94%)</v>
      </c>
      <c r="K6" s="81" t="str">
        <f t="shared" ca="1" si="3"/>
        <v>0 (0%)</v>
      </c>
    </row>
    <row r="7" spans="1:11">
      <c r="A7" s="82" t="str">
        <f ca="1">IFERROR(__xludf.DUMMYFUNCTION("""COMPUTED_VALUE"""),"Cryptosporidium spp.")</f>
        <v>Cryptosporidium spp.</v>
      </c>
      <c r="B7" s="83">
        <f ca="1">IFERROR(__xludf.DUMMYFUNCTION("iferror(query(db,""select count(C) where C like '""&amp;$A7&amp;""' AND AW = 'Yes' LABEL COUNT(C) ''""),0) + 0"),3)</f>
        <v>3</v>
      </c>
      <c r="C7" s="84">
        <f ca="1">IFERROR(__xludf.DUMMYFUNCTION("iferror(query(db,""select sum(X) where C like '""&amp;$A7&amp;""' AND AW = 'Yes' label sum(X) ''""),0) + 0"),79)</f>
        <v>79</v>
      </c>
      <c r="D7" s="84">
        <f ca="1">IFERROR(__xludf.DUMMYFUNCTION("iferror(query(db,""select sum(Z) where C like '""&amp;$A7&amp;""' AND AW = 'Yes' label sum(Z) ''""),0) + 0"),45)</f>
        <v>45</v>
      </c>
      <c r="E7" s="85">
        <f t="shared" ca="1" si="0"/>
        <v>0.569620253164557</v>
      </c>
      <c r="F7" s="83">
        <f ca="1">COUNTIFS(Included!C:C, "="&amp;A7, IncludedCat, "yes", Included!BE:BE, TRUE )</f>
        <v>3</v>
      </c>
      <c r="G7" s="84">
        <f ca="1">SUMIFS(Included!X:X, Included!C:C, "="&amp;A7, IncludedCat, "yes", Included!BE:BE, TRUE )</f>
        <v>79</v>
      </c>
      <c r="H7" s="84">
        <f ca="1">IFERROR(__xludf.DUMMYFUNCTION("iferror(query(db,""select sum(AI) where C like '""&amp;$A7&amp;""' AND AW = 'Yes' label sum(AI) ''""),0) + 0"),0)</f>
        <v>0</v>
      </c>
      <c r="I7" s="85">
        <f t="shared" ca="1" si="1"/>
        <v>0</v>
      </c>
      <c r="J7" s="86" t="str">
        <f t="shared" ca="1" si="2"/>
        <v>45 (57%)</v>
      </c>
      <c r="K7" s="86" t="str">
        <f t="shared" ca="1" si="3"/>
        <v>0 (0%)</v>
      </c>
    </row>
    <row r="8" spans="1:11">
      <c r="A8" s="21" t="str">
        <f ca="1">IFERROR(__xludf.DUMMYFUNCTION("""COMPUTED_VALUE"""),"Dengue virus")</f>
        <v>Dengue virus</v>
      </c>
      <c r="B8" s="78">
        <f ca="1">IFERROR(__xludf.DUMMYFUNCTION("iferror(query(db,""select count(C) where C like '""&amp;$A8&amp;""' AND AW = 'Yes' LABEL COUNT(C) ''""),0) + 0"),3)</f>
        <v>3</v>
      </c>
      <c r="C8" s="79">
        <f ca="1">IFERROR(__xludf.DUMMYFUNCTION("iferror(query(db,""select sum(X) where C like '""&amp;$A8&amp;""' AND AW = 'Yes' label sum(X) ''""),0) + 0"),104)</f>
        <v>104</v>
      </c>
      <c r="D8" s="79">
        <f ca="1">IFERROR(__xludf.DUMMYFUNCTION("iferror(query(db,""select sum(Z) where C like '""&amp;$A8&amp;""' AND AW = 'Yes' label sum(Z) ''""),0) + 0"),70)</f>
        <v>70</v>
      </c>
      <c r="E8" s="80">
        <f t="shared" ca="1" si="0"/>
        <v>0.67307692307692313</v>
      </c>
      <c r="F8" s="78">
        <f ca="1">COUNTIFS(Included!C:C, "="&amp;A8, IncludedCat, "yes", Included!BE:BE, TRUE )</f>
        <v>2</v>
      </c>
      <c r="G8" s="79">
        <f ca="1">SUMIFS(Included!X:X, Included!C:C, "="&amp;A8, IncludedCat, "yes", Included!BE:BE, TRUE )</f>
        <v>63</v>
      </c>
      <c r="H8" s="79">
        <f ca="1">IFERROR(__xludf.DUMMYFUNCTION("iferror(query(db,""select sum(AI) where C like '""&amp;$A8&amp;""' AND AW = 'Yes' label sum(AI) ''""),0) + 0"),0)</f>
        <v>0</v>
      </c>
      <c r="I8" s="80">
        <f t="shared" ca="1" si="1"/>
        <v>0</v>
      </c>
      <c r="J8" s="81" t="str">
        <f t="shared" ca="1" si="2"/>
        <v>70 (67%)</v>
      </c>
      <c r="K8" s="81" t="str">
        <f t="shared" ca="1" si="3"/>
        <v>0 (0%)</v>
      </c>
    </row>
    <row r="9" spans="1:11">
      <c r="A9" s="82" t="str">
        <f ca="1">IFERROR(__xludf.DUMMYFUNCTION("""COMPUTED_VALUE"""),"Escherichia coli")</f>
        <v>Escherichia coli</v>
      </c>
      <c r="B9" s="83">
        <f ca="1">IFERROR(__xludf.DUMMYFUNCTION("iferror(query(db,""select count(C) where C like '""&amp;$A9&amp;""' AND AW = 'Yes' LABEL COUNT(C) ''""),0) + 0"),17)</f>
        <v>17</v>
      </c>
      <c r="C9" s="84">
        <f ca="1">IFERROR(__xludf.DUMMYFUNCTION("iferror(query(db,""select sum(X) where C like '""&amp;$A9&amp;""' AND AW = 'Yes' label sum(X) ''""),0) + 0"),559)</f>
        <v>559</v>
      </c>
      <c r="D9" s="84">
        <f ca="1">IFERROR(__xludf.DUMMYFUNCTION("iferror(query(db,""select sum(Z) where C like '""&amp;$A9&amp;""' AND AW = 'Yes' label sum(Z) ''""),0) + 0"),395)</f>
        <v>395</v>
      </c>
      <c r="E9" s="85">
        <f t="shared" ca="1" si="0"/>
        <v>0.70661896243291589</v>
      </c>
      <c r="F9" s="83">
        <f ca="1">COUNTIFS(Included!C:C, "="&amp;A9, IncludedCat, "yes", Included!BE:BE, TRUE )</f>
        <v>9</v>
      </c>
      <c r="G9" s="84">
        <f ca="1">SUMIFS(Included!X:X, Included!C:C, "="&amp;A9, IncludedCat, "yes", Included!BE:BE, TRUE )</f>
        <v>300</v>
      </c>
      <c r="H9" s="84">
        <f ca="1">IFERROR(__xludf.DUMMYFUNCTION("iferror(query(db,""select sum(AI) where C like '""&amp;$A9&amp;""' AND AW = 'Yes' label sum(AI) ''""),0) + 0"),6)</f>
        <v>6</v>
      </c>
      <c r="I9" s="85">
        <f t="shared" ca="1" si="1"/>
        <v>0.02</v>
      </c>
      <c r="J9" s="86" t="str">
        <f t="shared" ca="1" si="2"/>
        <v>395 (71%)</v>
      </c>
      <c r="K9" s="86" t="str">
        <f t="shared" ca="1" si="3"/>
        <v>6 (2%)</v>
      </c>
    </row>
    <row r="10" spans="1:11">
      <c r="A10" s="21" t="str">
        <f ca="1">IFERROR(__xludf.DUMMYFUNCTION("""COMPUTED_VALUE"""),"Giardia lamblia")</f>
        <v>Giardia lamblia</v>
      </c>
      <c r="B10" s="78">
        <f ca="1">IFERROR(__xludf.DUMMYFUNCTION("iferror(query(db,""select count(C) where C like '""&amp;$A10&amp;""' AND AW = 'Yes' LABEL COUNT(C) ''""),0) + 0"),1)</f>
        <v>1</v>
      </c>
      <c r="C10" s="79">
        <f ca="1">IFERROR(__xludf.DUMMYFUNCTION("iferror(query(db,""select sum(X) where C like '""&amp;$A10&amp;""' AND AW = 'Yes' label sum(X) ''""),0) + 0"),19)</f>
        <v>19</v>
      </c>
      <c r="D10" s="79">
        <f ca="1">IFERROR(__xludf.DUMMYFUNCTION("iferror(query(db,""select sum(Z) where C like '""&amp;$A10&amp;""' AND AW = 'Yes' label sum(Z) ''""),0) + 0"),5)</f>
        <v>5</v>
      </c>
      <c r="E10" s="80">
        <f t="shared" ca="1" si="0"/>
        <v>0.26315789473684209</v>
      </c>
      <c r="F10" s="78">
        <f ca="1">COUNTIFS(Included!C:C, "="&amp;A10, IncludedCat, "yes", Included!BE:BE, TRUE )</f>
        <v>0</v>
      </c>
      <c r="G10" s="79">
        <f ca="1">SUMIFS(Included!X:X, Included!C:C, "="&amp;A10, IncludedCat, "yes", Included!BE:BE, TRUE )</f>
        <v>0</v>
      </c>
      <c r="H10" s="79">
        <f ca="1">IFERROR(__xludf.DUMMYFUNCTION("iferror(query(db,""select sum(AI) where C like '""&amp;$A10&amp;""' AND AW = 'Yes' label sum(AI) ''""),0) + 0"),0)</f>
        <v>0</v>
      </c>
      <c r="I10" s="80">
        <f t="shared" ca="1" si="1"/>
        <v>0</v>
      </c>
      <c r="J10" s="81" t="str">
        <f t="shared" ca="1" si="2"/>
        <v>5 (26%)</v>
      </c>
      <c r="K10" s="81" t="str">
        <f t="shared" ca="1" si="3"/>
        <v>0 (0%)</v>
      </c>
    </row>
    <row r="11" spans="1:11">
      <c r="A11" s="82" t="str">
        <f ca="1">IFERROR(__xludf.DUMMYFUNCTION("""COMPUTED_VALUE"""),"Haemophilus ducreyi")</f>
        <v>Haemophilus ducreyi</v>
      </c>
      <c r="B11" s="83">
        <f ca="1">IFERROR(__xludf.DUMMYFUNCTION("iferror(query(db,""select count(C) where C like '""&amp;$A11&amp;""' AND AW = 'Yes' LABEL COUNT(C) ''""),0) + 0"),26)</f>
        <v>26</v>
      </c>
      <c r="C11" s="84">
        <f ca="1">IFERROR(__xludf.DUMMYFUNCTION("iferror(query(db,""select sum(X) where C like '""&amp;$A11&amp;""' AND AW = 'Yes' label sum(X) ''""),0) + 0"),218)</f>
        <v>218</v>
      </c>
      <c r="D11" s="84">
        <f ca="1">IFERROR(__xludf.DUMMYFUNCTION("iferror(query(db,""select sum(Z) where C like '""&amp;$A11&amp;""' AND AW = 'Yes' label sum(Z) ''""),0) + 0"),180)</f>
        <v>180</v>
      </c>
      <c r="E11" s="85">
        <f t="shared" ca="1" si="0"/>
        <v>0.82568807339449546</v>
      </c>
      <c r="F11" s="83">
        <f ca="1">COUNTIFS(Included!C:C, "="&amp;A11, IncludedCat, "yes", Included!BE:BE, TRUE )</f>
        <v>0</v>
      </c>
      <c r="G11" s="84">
        <f ca="1">SUMIFS(Included!X:X, Included!C:C, "="&amp;A11, IncludedCat, "yes", Included!BE:BE, TRUE )</f>
        <v>0</v>
      </c>
      <c r="H11" s="84">
        <f ca="1">IFERROR(__xludf.DUMMYFUNCTION("iferror(query(db,""select sum(AI) where C like '""&amp;$A11&amp;""' AND AW = 'Yes' label sum(AI) ''""),0) + 0"),0)</f>
        <v>0</v>
      </c>
      <c r="I11" s="85">
        <f t="shared" ca="1" si="1"/>
        <v>0</v>
      </c>
      <c r="J11" s="86" t="str">
        <f t="shared" ca="1" si="2"/>
        <v>180 (83%)</v>
      </c>
      <c r="K11" s="86" t="str">
        <f t="shared" ca="1" si="3"/>
        <v>0 (0%)</v>
      </c>
    </row>
    <row r="12" spans="1:11">
      <c r="A12" s="21" t="str">
        <f ca="1">IFERROR(__xludf.DUMMYFUNCTION("""COMPUTED_VALUE"""),"Haemophilus influenzae")</f>
        <v>Haemophilus influenzae</v>
      </c>
      <c r="B12" s="78">
        <f ca="1">IFERROR(__xludf.DUMMYFUNCTION("iferror(query(db,""select count(C) where C like '""&amp;$A12&amp;""' AND AW = 'Yes' LABEL COUNT(C) ''""),0) + 0"),1)</f>
        <v>1</v>
      </c>
      <c r="C12" s="79">
        <f ca="1">IFERROR(__xludf.DUMMYFUNCTION("iferror(query(db,""select sum(X) where C like '""&amp;$A12&amp;""' AND AW = 'Yes' label sum(X) ''""),0) + 0"),15)</f>
        <v>15</v>
      </c>
      <c r="D12" s="79">
        <f ca="1">IFERROR(__xludf.DUMMYFUNCTION("iferror(query(db,""select sum(Z) where C like '""&amp;$A12&amp;""' AND AW = 'Yes' label sum(Z) ''""),0) + 0"),9)</f>
        <v>9</v>
      </c>
      <c r="E12" s="80">
        <f t="shared" ca="1" si="0"/>
        <v>0.6</v>
      </c>
      <c r="F12" s="78">
        <f ca="1">COUNTIFS(Included!C:C, "="&amp;A12, IncludedCat, "yes", Included!BE:BE, TRUE )</f>
        <v>0</v>
      </c>
      <c r="G12" s="79">
        <f ca="1">SUMIFS(Included!X:X, Included!C:C, "="&amp;A12, IncludedCat, "yes", Included!BE:BE, TRUE )</f>
        <v>0</v>
      </c>
      <c r="H12" s="79">
        <f ca="1">IFERROR(__xludf.DUMMYFUNCTION("iferror(query(db,""select sum(AI) where C like '""&amp;$A12&amp;""' AND AW = 'Yes' label sum(AI) ''""),0) + 0"),0)</f>
        <v>0</v>
      </c>
      <c r="I12" s="80">
        <f t="shared" ca="1" si="1"/>
        <v>0</v>
      </c>
      <c r="J12" s="81" t="str">
        <f t="shared" ca="1" si="2"/>
        <v>9 (60%)</v>
      </c>
      <c r="K12" s="81" t="str">
        <f t="shared" ca="1" si="3"/>
        <v>0 (0%)</v>
      </c>
    </row>
    <row r="13" spans="1:11">
      <c r="A13" s="82" t="str">
        <f ca="1">IFERROR(__xludf.DUMMYFUNCTION("""COMPUTED_VALUE"""),"Helicobacter pylori")</f>
        <v>Helicobacter pylori</v>
      </c>
      <c r="B13" s="83">
        <f ca="1">IFERROR(__xludf.DUMMYFUNCTION("iferror(query(db,""select count(C) where C like '""&amp;$A13&amp;""' AND AW = 'Yes' LABEL COUNT(C) ''""),0) + 0"),1)</f>
        <v>1</v>
      </c>
      <c r="C13" s="84">
        <f ca="1">IFERROR(__xludf.DUMMYFUNCTION("iferror(query(db,""select sum(X) where C like '""&amp;$A13&amp;""' AND AW = 'Yes' label sum(X) ''""),0) + 0"),20)</f>
        <v>20</v>
      </c>
      <c r="D13" s="84">
        <f ca="1">IFERROR(__xludf.DUMMYFUNCTION("iferror(query(db,""select sum(Z) where C like '""&amp;$A13&amp;""' AND AW = 'Yes' label sum(Z) ''""),0) + 0"),18)</f>
        <v>18</v>
      </c>
      <c r="E13" s="85">
        <f t="shared" ca="1" si="0"/>
        <v>0.9</v>
      </c>
      <c r="F13" s="83">
        <f ca="1">COUNTIFS(Included!C:C, "="&amp;A13, IncludedCat, "yes", Included!BE:BE, TRUE )</f>
        <v>1</v>
      </c>
      <c r="G13" s="84">
        <f ca="1">SUMIFS(Included!X:X, Included!C:C, "="&amp;A13, IncludedCat, "yes", Included!BE:BE, TRUE )</f>
        <v>20</v>
      </c>
      <c r="H13" s="84">
        <f ca="1">IFERROR(__xludf.DUMMYFUNCTION("iferror(query(db,""select sum(AI) where C like '""&amp;$A13&amp;""' AND AW = 'Yes' label sum(AI) ''""),0) + 0"),0)</f>
        <v>0</v>
      </c>
      <c r="I13" s="85">
        <f t="shared" ca="1" si="1"/>
        <v>0</v>
      </c>
      <c r="J13" s="86" t="str">
        <f t="shared" ca="1" si="2"/>
        <v>18 (90%)</v>
      </c>
      <c r="K13" s="86" t="str">
        <f t="shared" ca="1" si="3"/>
        <v>0 (0%)</v>
      </c>
    </row>
    <row r="14" spans="1:11">
      <c r="A14" s="21" t="str">
        <f ca="1">IFERROR(__xludf.DUMMYFUNCTION("""COMPUTED_VALUE"""),"Influenza viruses")</f>
        <v>Influenza viruses</v>
      </c>
      <c r="B14" s="78">
        <f ca="1">IFERROR(__xludf.DUMMYFUNCTION("iferror(query(db,""select count(C) where C like '""&amp;$A14&amp;""' AND AW = 'Yes' LABEL COUNT(C) ''""),0) + 0"),45)</f>
        <v>45</v>
      </c>
      <c r="C14" s="79">
        <f ca="1">IFERROR(__xludf.DUMMYFUNCTION("iferror(query(db,""select sum(X) where C like '""&amp;$A14&amp;""' AND AW = 'Yes' label sum(X) ''""),0) + 0"),3536)</f>
        <v>3536</v>
      </c>
      <c r="D14" s="79">
        <f ca="1">IFERROR(__xludf.DUMMYFUNCTION("iferror(query(db,""select sum(Z) where C like '""&amp;$A14&amp;""' AND AW = 'Yes' label sum(Z) ''""),0) + 0"),2224)</f>
        <v>2224</v>
      </c>
      <c r="E14" s="80">
        <f t="shared" ca="1" si="0"/>
        <v>0.62895927601809953</v>
      </c>
      <c r="F14" s="78">
        <f ca="1">COUNTIFS(Included!C:C, "="&amp;A14, IncludedCat, "yes", Included!BE:BE, TRUE )</f>
        <v>38</v>
      </c>
      <c r="G14" s="79">
        <f ca="1">SUMIFS(Included!X:X, Included!C:C, "="&amp;A14, IncludedCat, "yes", Included!BE:BE, TRUE )</f>
        <v>3011</v>
      </c>
      <c r="H14" s="79">
        <f ca="1">IFERROR(__xludf.DUMMYFUNCTION("iferror(query(db,""select sum(AI) where C like '""&amp;$A14&amp;""' AND AW = 'Yes' label sum(AI) ''""),0) + 0"),1)</f>
        <v>1</v>
      </c>
      <c r="I14" s="80">
        <f t="shared" ca="1" si="1"/>
        <v>3.3211557622052476E-4</v>
      </c>
      <c r="J14" s="81" t="str">
        <f t="shared" ca="1" si="2"/>
        <v>2224 (63%)</v>
      </c>
      <c r="K14" s="81" t="str">
        <f t="shared" ca="1" si="3"/>
        <v>1 (0%)</v>
      </c>
    </row>
    <row r="15" spans="1:11">
      <c r="A15" s="82" t="str">
        <f ca="1">IFERROR(__xludf.DUMMYFUNCTION("""COMPUTED_VALUE"""),"Necator americanus")</f>
        <v>Necator americanus</v>
      </c>
      <c r="B15" s="83">
        <f ca="1">IFERROR(__xludf.DUMMYFUNCTION("iferror(query(db,""select count(C) where C like '""&amp;$A15&amp;""' AND AW = 'Yes' LABEL COUNT(C) ''""),0) + 0"),4)</f>
        <v>4</v>
      </c>
      <c r="C15" s="84">
        <f ca="1">IFERROR(__xludf.DUMMYFUNCTION("iferror(query(db,""select sum(X) where C like '""&amp;$A15&amp;""' AND AW = 'Yes' label sum(X) ''""),0) + 0"),69)</f>
        <v>69</v>
      </c>
      <c r="D15" s="84">
        <f ca="1">IFERROR(__xludf.DUMMYFUNCTION("iferror(query(db,""select sum(Z) where C like '""&amp;$A15&amp;""' AND AW = 'Yes' label sum(Z) ''""),0) + 0"),44)</f>
        <v>44</v>
      </c>
      <c r="E15" s="85">
        <f t="shared" ca="1" si="0"/>
        <v>0.6376811594202898</v>
      </c>
      <c r="F15" s="83">
        <f ca="1">COUNTIFS(Included!C:C, "="&amp;A15, IncludedCat, "yes", Included!BE:BE, TRUE )</f>
        <v>2</v>
      </c>
      <c r="G15" s="84">
        <f ca="1">SUMIFS(Included!X:X, Included!C:C, "="&amp;A15, IncludedCat, "yes", Included!BE:BE, TRUE )</f>
        <v>45</v>
      </c>
      <c r="H15" s="84">
        <f ca="1">IFERROR(__xludf.DUMMYFUNCTION("iferror(query(db,""select sum(AI) where C like '""&amp;$A15&amp;""' AND AW = 'Yes' label sum(AI) ''""),0) + 0"),0)</f>
        <v>0</v>
      </c>
      <c r="I15" s="85">
        <f t="shared" ca="1" si="1"/>
        <v>0</v>
      </c>
      <c r="J15" s="86" t="str">
        <f t="shared" ca="1" si="2"/>
        <v>44 (64%)</v>
      </c>
      <c r="K15" s="86" t="str">
        <f t="shared" ca="1" si="3"/>
        <v>0 (0%)</v>
      </c>
    </row>
    <row r="16" spans="1:11">
      <c r="A16" s="21" t="str">
        <f ca="1">IFERROR(__xludf.DUMMYFUNCTION("""COMPUTED_VALUE"""),"Neisseria lactamica")</f>
        <v>Neisseria lactamica</v>
      </c>
      <c r="B16" s="78">
        <f ca="1">IFERROR(__xludf.DUMMYFUNCTION("iferror(query(db,""select count(C) where C like '""&amp;$A16&amp;""' AND AW = 'Yes' LABEL COUNT(C) ''""),0) + 0"),1)</f>
        <v>1</v>
      </c>
      <c r="C16" s="79">
        <f ca="1">IFERROR(__xludf.DUMMYFUNCTION("iferror(query(db,""select sum(X) where C like '""&amp;$A16&amp;""' AND AW = 'Yes' label sum(X) ''""),0) + 0"),292)</f>
        <v>292</v>
      </c>
      <c r="D16" s="79">
        <f ca="1">IFERROR(__xludf.DUMMYFUNCTION("iferror(query(db,""select sum(Z) where C like '""&amp;$A16&amp;""' AND AW = 'Yes' label sum(Z) ''""),0) + 0"),97)</f>
        <v>97</v>
      </c>
      <c r="E16" s="80">
        <f t="shared" ca="1" si="0"/>
        <v>0.3321917808219178</v>
      </c>
      <c r="F16" s="78">
        <f ca="1">COUNTIFS(Included!C:C, "="&amp;A16, IncludedCat, "yes", Included!BE:BE, TRUE )</f>
        <v>1</v>
      </c>
      <c r="G16" s="79">
        <f ca="1">SUMIFS(Included!X:X, Included!C:C, "="&amp;A16, IncludedCat, "yes", Included!BE:BE, TRUE )</f>
        <v>292</v>
      </c>
      <c r="H16" s="79">
        <f ca="1">IFERROR(__xludf.DUMMYFUNCTION("iferror(query(db,""select sum(AI) where C like '""&amp;$A16&amp;""' AND AW = 'Yes' label sum(AI) ''""),0) + 0"),0)</f>
        <v>0</v>
      </c>
      <c r="I16" s="80">
        <f t="shared" ca="1" si="1"/>
        <v>0</v>
      </c>
      <c r="J16" s="81" t="str">
        <f t="shared" ca="1" si="2"/>
        <v>97 (33%)</v>
      </c>
      <c r="K16" s="81" t="str">
        <f t="shared" ca="1" si="3"/>
        <v>0 (0%)</v>
      </c>
    </row>
    <row r="17" spans="1:11">
      <c r="A17" s="82" t="str">
        <f ca="1">IFERROR(__xludf.DUMMYFUNCTION("""COMPUTED_VALUE"""),"Norovirus")</f>
        <v>Norovirus</v>
      </c>
      <c r="B17" s="83">
        <f ca="1">IFERROR(__xludf.DUMMYFUNCTION("iferror(query(db,""select count(C) where C like '""&amp;$A17&amp;""' AND AW = 'Yes' LABEL COUNT(C) ''""),0) + 0"),6)</f>
        <v>6</v>
      </c>
      <c r="C17" s="84">
        <f ca="1">IFERROR(__xludf.DUMMYFUNCTION("iferror(query(db,""select sum(X) where C like '""&amp;$A17&amp;""' AND AW = 'Yes' label sum(X) ''""),0) + 0"),293)</f>
        <v>293</v>
      </c>
      <c r="D17" s="84">
        <f ca="1">IFERROR(__xludf.DUMMYFUNCTION("iferror(query(db,""select sum(Z) where C like '""&amp;$A17&amp;""' AND AW = 'Yes' label sum(Z) ''""),0) + 0"),150)</f>
        <v>150</v>
      </c>
      <c r="E17" s="85">
        <f t="shared" ca="1" si="0"/>
        <v>0.51194539249146753</v>
      </c>
      <c r="F17" s="83">
        <f ca="1">COUNTIFS(Included!C:C, "="&amp;A17, IncludedCat, "yes", Included!BE:BE, TRUE )</f>
        <v>3</v>
      </c>
      <c r="G17" s="84">
        <f ca="1">SUMIFS(Included!X:X, Included!C:C, "="&amp;A17, IncludedCat, "yes", Included!BE:BE, TRUE )</f>
        <v>163</v>
      </c>
      <c r="H17" s="84">
        <f ca="1">IFERROR(__xludf.DUMMYFUNCTION("iferror(query(db,""select sum(AI) where C like '""&amp;$A17&amp;""' AND AW = 'Yes' label sum(AI) ''""),0) + 0"),4)</f>
        <v>4</v>
      </c>
      <c r="I17" s="85">
        <f t="shared" ca="1" si="1"/>
        <v>2.4539877300613498E-2</v>
      </c>
      <c r="J17" s="86" t="str">
        <f t="shared" ca="1" si="2"/>
        <v>150 (51%)</v>
      </c>
      <c r="K17" s="86" t="str">
        <f t="shared" ca="1" si="3"/>
        <v>4 (2.5%)</v>
      </c>
    </row>
    <row r="18" spans="1:11">
      <c r="A18" s="21" t="str">
        <f ca="1">IFERROR(__xludf.DUMMYFUNCTION("""COMPUTED_VALUE"""),"Parainfluenza")</f>
        <v>Parainfluenza</v>
      </c>
      <c r="B18" s="78">
        <f ca="1">IFERROR(__xludf.DUMMYFUNCTION("iferror(query(db,""select count(C) where C like '""&amp;$A18&amp;""' AND AW = 'Yes' LABEL COUNT(C) ''""),0) + 0"),1)</f>
        <v>1</v>
      </c>
      <c r="C18" s="79">
        <f ca="1">IFERROR(__xludf.DUMMYFUNCTION("iferror(query(db,""select sum(X) where C like '""&amp;$A18&amp;""' AND AW = 'Yes' label sum(X) ''""),0) + 0"),83)</f>
        <v>83</v>
      </c>
      <c r="D18" s="79">
        <f ca="1">IFERROR(__xludf.DUMMYFUNCTION("iferror(query(db,""select sum(Z) where C like '""&amp;$A18&amp;""' AND AW = 'Yes' label sum(Z) ''""),0) + 0"),34)</f>
        <v>34</v>
      </c>
      <c r="E18" s="80">
        <f t="shared" ca="1" si="0"/>
        <v>0.40963855421686746</v>
      </c>
      <c r="F18" s="78">
        <f ca="1">COUNTIFS(Included!C:C, "="&amp;A18, IncludedCat, "yes", Included!BE:BE, TRUE )</f>
        <v>1</v>
      </c>
      <c r="G18" s="79">
        <f ca="1">SUMIFS(Included!X:X, Included!C:C, "="&amp;A18, IncludedCat, "yes", Included!BE:BE, TRUE )</f>
        <v>83</v>
      </c>
      <c r="H18" s="79">
        <f ca="1">IFERROR(__xludf.DUMMYFUNCTION("iferror(query(db,""select sum(AI) where C like '""&amp;$A18&amp;""' AND AW = 'Yes' label sum(AI) ''""),0) + 0"),0)</f>
        <v>0</v>
      </c>
      <c r="I18" s="80">
        <f t="shared" ca="1" si="1"/>
        <v>0</v>
      </c>
      <c r="J18" s="81" t="str">
        <f t="shared" ca="1" si="2"/>
        <v>34 (41%)</v>
      </c>
      <c r="K18" s="81" t="str">
        <f t="shared" ca="1" si="3"/>
        <v>0 (0%)</v>
      </c>
    </row>
    <row r="19" spans="1:11">
      <c r="A19" s="82" t="str">
        <f ca="1">IFERROR(__xludf.DUMMYFUNCTION("""COMPUTED_VALUE"""),"Parvovirus")</f>
        <v>Parvovirus</v>
      </c>
      <c r="B19" s="83">
        <f ca="1">IFERROR(__xludf.DUMMYFUNCTION("iferror(query(db,""select count(C) where C like '""&amp;$A19&amp;""' AND AW = 'Yes' LABEL COUNT(C) ''""),0) + 0"),1)</f>
        <v>1</v>
      </c>
      <c r="C19" s="84">
        <f ca="1">IFERROR(__xludf.DUMMYFUNCTION("iferror(query(db,""select sum(X) where C like '""&amp;$A19&amp;""' AND AW = 'Yes' label sum(X) ''""),0) + 0"),9)</f>
        <v>9</v>
      </c>
      <c r="D19" s="84">
        <f ca="1">IFERROR(__xludf.DUMMYFUNCTION("iferror(query(db,""select sum(Z) where C like '""&amp;$A19&amp;""' AND AW = 'Yes' label sum(Z) ''""),0) + 0"),5)</f>
        <v>5</v>
      </c>
      <c r="E19" s="85">
        <f t="shared" ca="1" si="0"/>
        <v>0.55555555555555558</v>
      </c>
      <c r="F19" s="83">
        <f ca="1">COUNTIFS(Included!C:C, "="&amp;A19, IncludedCat, "yes", Included!BE:BE, TRUE )</f>
        <v>1</v>
      </c>
      <c r="G19" s="84">
        <f ca="1">SUMIFS(Included!X:X, Included!C:C, "="&amp;A19, IncludedCat, "yes", Included!BE:BE, TRUE )</f>
        <v>9</v>
      </c>
      <c r="H19" s="84">
        <f ca="1">IFERROR(__xludf.DUMMYFUNCTION("iferror(query(db,""select sum(AI) where C like '""&amp;$A19&amp;""' AND AW = 'Yes' label sum(AI) ''""),0) + 0"),0)</f>
        <v>0</v>
      </c>
      <c r="I19" s="85">
        <f t="shared" ca="1" si="1"/>
        <v>0</v>
      </c>
      <c r="J19" s="86" t="str">
        <f t="shared" ca="1" si="2"/>
        <v>5 (56%)</v>
      </c>
      <c r="K19" s="86" t="str">
        <f t="shared" ca="1" si="3"/>
        <v>0 (0%)</v>
      </c>
    </row>
    <row r="20" spans="1:11">
      <c r="A20" s="87" t="str">
        <f ca="1">IFERROR(__xludf.DUMMYFUNCTION("""COMPUTED_VALUE"""),"Plasmodium spp.")</f>
        <v>Plasmodium spp.</v>
      </c>
      <c r="B20" s="78">
        <f ca="1">IFERROR(__xludf.DUMMYFUNCTION("iferror(query(db,""select count(C) where C like '""&amp;$A20&amp;""' AND AW = 'Yes' LABEL COUNT(C) ''""),0) + 0"),73)</f>
        <v>73</v>
      </c>
      <c r="C20" s="79">
        <f ca="1">IFERROR(__xludf.DUMMYFUNCTION("iferror(query(db,""select sum(X) where C like '""&amp;$A20&amp;""' AND AW = 'Yes' label sum(X) ''""),0) + 0"),1689)</f>
        <v>1689</v>
      </c>
      <c r="D20" s="79">
        <f ca="1">IFERROR(__xludf.DUMMYFUNCTION("iferror(query(db,""select sum(Z) where C like '""&amp;$A20&amp;""' AND AW = 'Yes' label sum(Z) ''""),0) + 0"),1313)</f>
        <v>1313</v>
      </c>
      <c r="E20" s="80">
        <f t="shared" ca="1" si="0"/>
        <v>0.77738306690349324</v>
      </c>
      <c r="F20" s="78">
        <f ca="1">COUNTIFS(Included!C:C, "="&amp;A20, IncludedCat, "yes", Included!BE:BE, TRUE )</f>
        <v>52</v>
      </c>
      <c r="G20" s="79">
        <f ca="1">SUMIFS(Included!X:X, Included!C:C, "="&amp;A20, IncludedCat, "yes", Included!BE:BE, TRUE )</f>
        <v>1129</v>
      </c>
      <c r="H20" s="79">
        <f ca="1">IFERROR(__xludf.DUMMYFUNCTION("iferror(query(db,""select sum(AI) where C like '""&amp;$A20&amp;""' AND AW = 'Yes' label sum(AI) ''""),0) + 0"),7)</f>
        <v>7</v>
      </c>
      <c r="I20" s="80">
        <f t="shared" ca="1" si="1"/>
        <v>6.2001771479185119E-3</v>
      </c>
      <c r="J20" s="81" t="str">
        <f t="shared" ca="1" si="2"/>
        <v>1313 (78%)</v>
      </c>
      <c r="K20" s="81" t="str">
        <f t="shared" ca="1" si="3"/>
        <v>7 (0.6%)</v>
      </c>
    </row>
    <row r="21" spans="1:11">
      <c r="A21" s="82" t="str">
        <f ca="1">IFERROR(__xludf.DUMMYFUNCTION("""COMPUTED_VALUE"""),"Respiratory syncytial virus")</f>
        <v>Respiratory syncytial virus</v>
      </c>
      <c r="B21" s="83">
        <f ca="1">IFERROR(__xludf.DUMMYFUNCTION("iferror(query(db,""select count(C) where C like '""&amp;$A21&amp;""' AND AW = 'Yes' LABEL COUNT(C) ''""),0) + 0"),9)</f>
        <v>9</v>
      </c>
      <c r="C21" s="84">
        <f ca="1">IFERROR(__xludf.DUMMYFUNCTION("iferror(query(db,""select sum(X) where C like '""&amp;$A21&amp;""' AND AW = 'Yes' label sum(X) ''""),0) + 0"),502)</f>
        <v>502</v>
      </c>
      <c r="D21" s="84">
        <f ca="1">IFERROR(__xludf.DUMMYFUNCTION("iferror(query(db,""select sum(Z) where C like '""&amp;$A21&amp;""' AND AW = 'Yes' label sum(Z) ''""),0) + 0"),332)</f>
        <v>332</v>
      </c>
      <c r="E21" s="85">
        <f t="shared" ca="1" si="0"/>
        <v>0.66135458167330674</v>
      </c>
      <c r="F21" s="83">
        <f ca="1">COUNTIFS(Included!C:C, "="&amp;A21, IncludedCat, "yes", Included!BE:BE, TRUE )</f>
        <v>7</v>
      </c>
      <c r="G21" s="84">
        <f ca="1">SUMIFS(Included!X:X, Included!C:C, "="&amp;A21, IncludedCat, "yes", Included!BE:BE, TRUE )</f>
        <v>420</v>
      </c>
      <c r="H21" s="84">
        <f ca="1">IFERROR(__xludf.DUMMYFUNCTION("iferror(query(db,""select sum(AI) where C like '""&amp;$A21&amp;""' AND AW = 'Yes' label sum(AI) ''""),0) + 0"),1)</f>
        <v>1</v>
      </c>
      <c r="I21" s="85">
        <f t="shared" ca="1" si="1"/>
        <v>2.3809523809523812E-3</v>
      </c>
      <c r="J21" s="86" t="str">
        <f t="shared" ca="1" si="2"/>
        <v>332 (66%)</v>
      </c>
      <c r="K21" s="86" t="str">
        <f t="shared" ca="1" si="3"/>
        <v>1 (0.2%)</v>
      </c>
    </row>
    <row r="22" spans="1:11">
      <c r="A22" s="21" t="str">
        <f ca="1">IFERROR(__xludf.DUMMYFUNCTION("""COMPUTED_VALUE"""),"Rhinovirus")</f>
        <v>Rhinovirus</v>
      </c>
      <c r="B22" s="78">
        <f ca="1">IFERROR(__xludf.DUMMYFUNCTION("iferror(query(db,""select count(C) where C like '""&amp;$A22&amp;""' AND AW = 'Yes' LABEL COUNT(C) ''""),0) + 0"),43)</f>
        <v>43</v>
      </c>
      <c r="C22" s="79">
        <f ca="1">IFERROR(__xludf.DUMMYFUNCTION("iferror(query(db,""select sum(X) where C like '""&amp;$A22&amp;""' AND AW = 'Yes' label sum(X) ''""),0) + 0"),4332)</f>
        <v>4332</v>
      </c>
      <c r="D22" s="79">
        <f ca="1">IFERROR(__xludf.DUMMYFUNCTION("iferror(query(db,""select sum(Z) where C like '""&amp;$A22&amp;""' AND AW = 'Yes' label sum(Z) ''""),0) + 0"),3285)</f>
        <v>3285</v>
      </c>
      <c r="E22" s="80">
        <f t="shared" ca="1" si="0"/>
        <v>0.75831024930747926</v>
      </c>
      <c r="F22" s="78">
        <f ca="1">COUNTIFS(Included!C:C, "="&amp;A22, IncludedCat, "yes", Included!BE:BE, TRUE )</f>
        <v>31</v>
      </c>
      <c r="G22" s="79">
        <f ca="1">SUMIFS(Included!X:X, Included!C:C, "="&amp;A22, IncludedCat, "yes", Included!BE:BE, TRUE )</f>
        <v>2560</v>
      </c>
      <c r="H22" s="79">
        <f ca="1">IFERROR(__xludf.DUMMYFUNCTION("iferror(query(db,""select sum(AI) where C like '""&amp;$A22&amp;""' AND AW = 'Yes' label sum(AI) ''""),0) + 0"),0)</f>
        <v>0</v>
      </c>
      <c r="I22" s="80">
        <f t="shared" ca="1" si="1"/>
        <v>0</v>
      </c>
      <c r="J22" s="81" t="str">
        <f t="shared" ca="1" si="2"/>
        <v>3285 (76%)</v>
      </c>
      <c r="K22" s="81" t="str">
        <f t="shared" ca="1" si="3"/>
        <v>0 (0%)</v>
      </c>
    </row>
    <row r="23" spans="1:11">
      <c r="A23" s="82" t="str">
        <f ca="1">IFERROR(__xludf.DUMMYFUNCTION("""COMPUTED_VALUE"""),"Rickettsia rickettsii")</f>
        <v>Rickettsia rickettsii</v>
      </c>
      <c r="B23" s="83">
        <f ca="1">IFERROR(__xludf.DUMMYFUNCTION("iferror(query(db,""select count(C) where C like '""&amp;$A23&amp;""' AND AW = 'Yes' LABEL COUNT(C) ''""),0) + 0"),1)</f>
        <v>1</v>
      </c>
      <c r="C23" s="84">
        <f ca="1">IFERROR(__xludf.DUMMYFUNCTION("iferror(query(db,""select sum(X) where C like '""&amp;$A23&amp;""' AND AW = 'Yes' label sum(X) ''""),0) + 0"),22)</f>
        <v>22</v>
      </c>
      <c r="D23" s="84">
        <f ca="1">IFERROR(__xludf.DUMMYFUNCTION("iferror(query(db,""select sum(Z) where C like '""&amp;$A23&amp;""' AND AW = 'Yes' label sum(Z) ''""),0) + 0"),18)</f>
        <v>18</v>
      </c>
      <c r="E23" s="85">
        <f t="shared" ca="1" si="0"/>
        <v>0.81818181818181823</v>
      </c>
      <c r="F23" s="83">
        <f ca="1">COUNTIFS(Included!C:C, "="&amp;A23, IncludedCat, "yes", Included!BE:BE, TRUE )</f>
        <v>1</v>
      </c>
      <c r="G23" s="84">
        <f ca="1">SUMIFS(Included!X:X, Included!C:C, "="&amp;A23, IncludedCat, "yes", Included!BE:BE, TRUE )</f>
        <v>22</v>
      </c>
      <c r="H23" s="84">
        <f ca="1">IFERROR(__xludf.DUMMYFUNCTION("iferror(query(db,""select sum(AI) where C like '""&amp;$A23&amp;""' AND AW = 'Yes' label sum(AI) ''""),0) + 0"),0)</f>
        <v>0</v>
      </c>
      <c r="I23" s="85">
        <f t="shared" ca="1" si="1"/>
        <v>0</v>
      </c>
      <c r="J23" s="86" t="str">
        <f t="shared" ca="1" si="2"/>
        <v>18 (82%)</v>
      </c>
      <c r="K23" s="86" t="str">
        <f t="shared" ca="1" si="3"/>
        <v>0 (0%)</v>
      </c>
    </row>
    <row r="24" spans="1:11">
      <c r="A24" s="21" t="str">
        <f ca="1">IFERROR(__xludf.DUMMYFUNCTION("""COMPUTED_VALUE"""),"Rubella virus")</f>
        <v>Rubella virus</v>
      </c>
      <c r="B24" s="78">
        <f ca="1">IFERROR(__xludf.DUMMYFUNCTION("iferror(query(db,""select count(C) where C like '""&amp;$A24&amp;""' AND AW = 'Yes' LABEL COUNT(C) ''""),0) + 0"),2)</f>
        <v>2</v>
      </c>
      <c r="C24" s="79">
        <f ca="1">IFERROR(__xludf.DUMMYFUNCTION("iferror(query(db,""select sum(X) where C like '""&amp;$A24&amp;""' AND AW = 'Yes' label sum(X) ''""),0) + 0"),40)</f>
        <v>40</v>
      </c>
      <c r="D24" s="79">
        <f ca="1">IFERROR(__xludf.DUMMYFUNCTION("iferror(query(db,""select sum(Z) where C like '""&amp;$A24&amp;""' AND AW = 'Yes' label sum(Z) ''""),0) + 0"),28)</f>
        <v>28</v>
      </c>
      <c r="E24" s="80">
        <f t="shared" ca="1" si="0"/>
        <v>0.7</v>
      </c>
      <c r="F24" s="78">
        <f ca="1">COUNTIFS(Included!C:C, "="&amp;A24, IncludedCat, "yes", Included!BE:BE, TRUE )</f>
        <v>2</v>
      </c>
      <c r="G24" s="79">
        <f ca="1">SUMIFS(Included!X:X, Included!C:C, "="&amp;A24, IncludedCat, "yes", Included!BE:BE, TRUE )</f>
        <v>40</v>
      </c>
      <c r="H24" s="79">
        <f ca="1">IFERROR(__xludf.DUMMYFUNCTION("iferror(query(db,""select sum(AI) where C like '""&amp;$A24&amp;""' AND AW = 'Yes' label sum(AI) ''""),0) + 0"),0)</f>
        <v>0</v>
      </c>
      <c r="I24" s="80">
        <f t="shared" ca="1" si="1"/>
        <v>0</v>
      </c>
      <c r="J24" s="88">
        <v>0</v>
      </c>
      <c r="K24" s="81" t="str">
        <f t="shared" ca="1" si="3"/>
        <v>0 (0%)</v>
      </c>
    </row>
    <row r="25" spans="1:11">
      <c r="A25" s="82" t="str">
        <f ca="1">IFERROR(__xludf.DUMMYFUNCTION("""COMPUTED_VALUE"""),"Salmonella spp.")</f>
        <v>Salmonella spp.</v>
      </c>
      <c r="B25" s="83">
        <f ca="1">IFERROR(__xludf.DUMMYFUNCTION("iferror(query(db,""select count(C) where C like '""&amp;$A25&amp;""' AND AW = 'Yes' LABEL COUNT(C) ''""),0) + 0"),7)</f>
        <v>7</v>
      </c>
      <c r="C25" s="84">
        <f ca="1">IFERROR(__xludf.DUMMYFUNCTION("iferror(query(db,""select sum(X) where C like '""&amp;$A25&amp;""' AND AW = 'Yes' label sum(X) ''""),0) + 0"),374)</f>
        <v>374</v>
      </c>
      <c r="D25" s="84">
        <f ca="1">IFERROR(__xludf.DUMMYFUNCTION("iferror(query(db,""select sum(Z) where C like '""&amp;$A25&amp;""' AND AW = 'Yes' label sum(Z) ''""),0) + 0"),197)</f>
        <v>197</v>
      </c>
      <c r="E25" s="85">
        <f t="shared" ca="1" si="0"/>
        <v>0.5267379679144385</v>
      </c>
      <c r="F25" s="83">
        <f ca="1">COUNTIFS(Included!C:C, "="&amp;A25, IncludedCat, "yes", Included!BE:BE, TRUE )</f>
        <v>6</v>
      </c>
      <c r="G25" s="84">
        <f ca="1">SUMIFS(Included!X:X, Included!C:C, "="&amp;A25, IncludedCat, "yes", Included!BE:BE, TRUE )</f>
        <v>282</v>
      </c>
      <c r="H25" s="84">
        <f ca="1">IFERROR(__xludf.DUMMYFUNCTION("iferror(query(db,""select sum(AI) where C like '""&amp;$A25&amp;""' AND AW = 'Yes' label sum(AI) ''""),0) + 0"),2)</f>
        <v>2</v>
      </c>
      <c r="I25" s="85">
        <f t="shared" ca="1" si="1"/>
        <v>7.0921985815602835E-3</v>
      </c>
      <c r="J25" s="86" t="str">
        <f t="shared" ref="J25:J28" ca="1" si="4">D25 &amp; " ("&amp; ROUND(100*E25,0) &amp;"%)"</f>
        <v>197 (53%)</v>
      </c>
      <c r="K25" s="86" t="str">
        <f t="shared" ca="1" si="3"/>
        <v>2 (0.7%)</v>
      </c>
    </row>
    <row r="26" spans="1:11">
      <c r="A26" s="33" t="str">
        <f ca="1">IFERROR(__xludf.DUMMYFUNCTION("""COMPUTED_VALUE"""),"Schistosoma mansoni")</f>
        <v>Schistosoma mansoni</v>
      </c>
      <c r="B26" s="78">
        <f ca="1">IFERROR(__xludf.DUMMYFUNCTION("iferror(query(db,""select count(C) where C like '""&amp;$A26&amp;""' AND AW = 'Yes' LABEL COUNT(C) ''""),0) + 0"),1)</f>
        <v>1</v>
      </c>
      <c r="C26" s="79">
        <f ca="1">IFERROR(__xludf.DUMMYFUNCTION("iferror(query(db,""select sum(X) where C like '""&amp;$A26&amp;""' AND AW = 'Yes' label sum(X) ''""),0) + 0"),17)</f>
        <v>17</v>
      </c>
      <c r="D26" s="79">
        <f ca="1">IFERROR(__xludf.DUMMYFUNCTION("iferror(query(db,""select sum(Z) where C like '""&amp;$A26&amp;""' AND AW = 'Yes' label sum(Z) ''""),0) + 0"),17)</f>
        <v>17</v>
      </c>
      <c r="E26" s="80">
        <f t="shared" ca="1" si="0"/>
        <v>1</v>
      </c>
      <c r="F26" s="78">
        <f ca="1">COUNTIFS(Included!C:C, "="&amp;A26, IncludedCat, "yes", Included!BE:BE, TRUE )</f>
        <v>1</v>
      </c>
      <c r="G26" s="79">
        <f ca="1">SUMIFS(Included!X:X, Included!C:C, "="&amp;A26, IncludedCat, "yes", Included!BE:BE, TRUE )</f>
        <v>17</v>
      </c>
      <c r="H26" s="79">
        <f ca="1">IFERROR(__xludf.DUMMYFUNCTION("iferror(query(db,""select sum(AI) where C like '""&amp;$A26&amp;""' AND AW = 'Yes' label sum(AI) ''""),0) + 0"),0)</f>
        <v>0</v>
      </c>
      <c r="I26" s="80">
        <f t="shared" ca="1" si="1"/>
        <v>0</v>
      </c>
      <c r="J26" s="81" t="str">
        <f t="shared" ca="1" si="4"/>
        <v>17 (100%)</v>
      </c>
      <c r="K26" s="81" t="str">
        <f t="shared" ca="1" si="3"/>
        <v>0 (0%)</v>
      </c>
    </row>
    <row r="27" spans="1:11">
      <c r="A27" s="89" t="str">
        <f ca="1">IFERROR(__xludf.DUMMYFUNCTION("""COMPUTED_VALUE"""),"Shigella spp.")</f>
        <v>Shigella spp.</v>
      </c>
      <c r="B27" s="83">
        <f ca="1">IFERROR(__xludf.DUMMYFUNCTION("iferror(query(db,""select count(C) where C like '""&amp;$A27&amp;""' AND AW = 'Yes' LABEL COUNT(C) ''""),0) + 0"),14)</f>
        <v>14</v>
      </c>
      <c r="C27" s="84">
        <f ca="1">IFERROR(__xludf.DUMMYFUNCTION("iferror(query(db,""select sum(X) where C like '""&amp;$A27&amp;""' AND AW = 'Yes' label sum(X) ''""),0) + 0"),708)</f>
        <v>708</v>
      </c>
      <c r="D27" s="84">
        <f ca="1">IFERROR(__xludf.DUMMYFUNCTION("iferror(query(db,""select sum(Z) where C like '""&amp;$A27&amp;""' AND AW = 'Yes' label sum(Z) ''""),0) + 0"),386)</f>
        <v>386</v>
      </c>
      <c r="E27" s="85">
        <f t="shared" ca="1" si="0"/>
        <v>0.54519774011299438</v>
      </c>
      <c r="F27" s="83">
        <f ca="1">COUNTIFS(Included!C:C, "="&amp;A27, IncludedCat, "yes", Included!BE:BE, TRUE )</f>
        <v>10</v>
      </c>
      <c r="G27" s="84">
        <f ca="1">SUMIFS(Included!X:X, Included!C:C, "="&amp;A27, IncludedCat, "yes", Included!BE:BE, TRUE )</f>
        <v>445</v>
      </c>
      <c r="H27" s="84">
        <f ca="1">IFERROR(__xludf.DUMMYFUNCTION("iferror(query(db,""select sum(AI) where C like '""&amp;$A27&amp;""' AND AW = 'Yes' label sum(AI) ''""),0) + 0"),2)</f>
        <v>2</v>
      </c>
      <c r="I27" s="85">
        <f t="shared" ca="1" si="1"/>
        <v>4.4943820224719105E-3</v>
      </c>
      <c r="J27" s="86" t="str">
        <f t="shared" ca="1" si="4"/>
        <v>386 (55%)</v>
      </c>
      <c r="K27" s="86" t="str">
        <f t="shared" ca="1" si="3"/>
        <v>2 (0.4%)</v>
      </c>
    </row>
    <row r="28" spans="1:11">
      <c r="A28" s="33" t="str">
        <f ca="1">IFERROR(__xludf.DUMMYFUNCTION("""COMPUTED_VALUE"""),"Streptococcus pneumoniae")</f>
        <v>Streptococcus pneumoniae</v>
      </c>
      <c r="B28" s="78">
        <f ca="1">IFERROR(__xludf.DUMMYFUNCTION("iferror(query(db,""select count(C) where C like '""&amp;$A28&amp;""' AND AW = 'Yes' LABEL COUNT(C) ''""),0) + 0"),10)</f>
        <v>10</v>
      </c>
      <c r="C28" s="79">
        <f ca="1">IFERROR(__xludf.DUMMYFUNCTION("iferror(query(db,""select sum(X) where C like '""&amp;$A28&amp;""' AND AW = 'Yes' label sum(X) ''""),0) + 0"),936)</f>
        <v>936</v>
      </c>
      <c r="D28" s="79">
        <f ca="1">IFERROR(__xludf.DUMMYFUNCTION("iferror(query(db,""select sum(Z) where C like '""&amp;$A28&amp;""' AND AW = 'Yes' label sum(Z) ''""),0) + 0"),330)</f>
        <v>330</v>
      </c>
      <c r="E28" s="80">
        <f t="shared" ca="1" si="0"/>
        <v>0.35256410256410259</v>
      </c>
      <c r="F28" s="78">
        <f ca="1">COUNTIFS(Included!C:C, "="&amp;A28, IncludedCat, "yes", Included!BE:BE, TRUE )</f>
        <v>5</v>
      </c>
      <c r="G28" s="79">
        <f ca="1">SUMIFS(Included!X:X, Included!C:C, "="&amp;A28, IncludedCat, "yes", Included!BE:BE, TRUE )</f>
        <v>530</v>
      </c>
      <c r="H28" s="79">
        <f ca="1">IFERROR(__xludf.DUMMYFUNCTION("iferror(query(db,""select sum(AI) where C like '""&amp;$A28&amp;""' AND AW = 'Yes' label sum(AI) ''""),0) + 0"),0)</f>
        <v>0</v>
      </c>
      <c r="I28" s="80">
        <f t="shared" ca="1" si="1"/>
        <v>0</v>
      </c>
      <c r="J28" s="81" t="str">
        <f t="shared" ca="1" si="4"/>
        <v>330 (35%)</v>
      </c>
      <c r="K28" s="81" t="str">
        <f t="shared" ca="1" si="3"/>
        <v>0 (0%)</v>
      </c>
    </row>
    <row r="29" spans="1:11">
      <c r="A29" s="33" t="str">
        <f ca="1">IFERROR(__xludf.DUMMYFUNCTION("""COMPUTED_VALUE"""),"Trachoma virus")</f>
        <v>Trachoma virus</v>
      </c>
      <c r="B29" s="78">
        <f ca="1">IFERROR(__xludf.DUMMYFUNCTION("iferror(query(db,""select count(C) where C like '""&amp;$A29&amp;""' AND AW = 'Yes' LABEL COUNT(C) ''""),0) + 0"),0)</f>
        <v>0</v>
      </c>
      <c r="C29" s="79">
        <f ca="1">IFERROR(__xludf.DUMMYFUNCTION("iferror(query(db,""select sum(X) where C like '""&amp;$A29&amp;""' AND AW = 'Yes' label sum(X) ''""),0) + 0"),0)</f>
        <v>0</v>
      </c>
      <c r="D29" s="79">
        <f ca="1">IFERROR(__xludf.DUMMYFUNCTION("iferror(query(db,""select sum(Z) where C like '""&amp;$A29&amp;""' AND AW = 'Yes' label sum(Z) ''""),0) + 0"),0)</f>
        <v>0</v>
      </c>
      <c r="E29" s="80">
        <f t="shared" ca="1" si="0"/>
        <v>0</v>
      </c>
      <c r="F29" s="78">
        <f ca="1">COUNTIFS(Included!C:C, "="&amp;A29, IncludedCat, "yes", Included!BE:BE, TRUE )</f>
        <v>0</v>
      </c>
      <c r="G29" s="79">
        <f ca="1">SUMIFS(Included!X:X, Included!C:C, "="&amp;A29, IncludedCat, "yes", Included!BE:BE, TRUE )</f>
        <v>0</v>
      </c>
      <c r="H29" s="79">
        <f ca="1">IFERROR(__xludf.DUMMYFUNCTION("iferror(query(db,""select sum(AI) where C like '""&amp;$A29&amp;""' AND AW = 'Yes' label sum(AI) ''""),0) + 0"),0)</f>
        <v>0</v>
      </c>
      <c r="I29" s="80">
        <f t="shared" ca="1" si="1"/>
        <v>0</v>
      </c>
      <c r="J29" s="81"/>
      <c r="K29" s="81"/>
    </row>
    <row r="30" spans="1:11">
      <c r="A30" s="33" t="str">
        <f ca="1">IFERROR(__xludf.DUMMYFUNCTION("""COMPUTED_VALUE"""),"Vibrio cholerae")</f>
        <v>Vibrio cholerae</v>
      </c>
      <c r="B30" s="78">
        <f ca="1">IFERROR(__xludf.DUMMYFUNCTION("iferror(query(db,""select count(C) where C like '""&amp;$A30&amp;""' AND AW = 'Yes' LABEL COUNT(C) ''""),0) + 0"),5)</f>
        <v>5</v>
      </c>
      <c r="C30" s="79">
        <f ca="1">IFERROR(__xludf.DUMMYFUNCTION("iferror(query(db,""select sum(X) where C like '""&amp;$A30&amp;""' AND AW = 'Yes' label sum(X) ''""),0) + 0"),267)</f>
        <v>267</v>
      </c>
      <c r="D30" s="79">
        <f ca="1">IFERROR(__xludf.DUMMYFUNCTION("iferror(query(db,""select sum(Z) where C like '""&amp;$A30&amp;""' AND AW = 'Yes' label sum(Z) ''""),0) + 0"),199)</f>
        <v>199</v>
      </c>
      <c r="E30" s="80">
        <f t="shared" ca="1" si="0"/>
        <v>0.74531835205992514</v>
      </c>
      <c r="F30" s="78">
        <f ca="1">COUNTIFS(Included!C:C, "="&amp;A30, IncludedCat, "yes", Included!BE:BE, TRUE )</f>
        <v>2</v>
      </c>
      <c r="G30" s="79">
        <f ca="1">SUMIFS(Included!X:X, Included!C:C, "="&amp;A30, IncludedCat, "yes", Included!BE:BE, TRUE )</f>
        <v>61</v>
      </c>
      <c r="H30" s="79">
        <f ca="1">IFERROR(__xludf.DUMMYFUNCTION("iferror(query(db,""select sum(AI) where C like '""&amp;$A30&amp;""' AND AW = 'Yes' label sum(AI) ''""),0) + 0"),0)</f>
        <v>0</v>
      </c>
      <c r="I30" s="80">
        <f t="shared" ca="1" si="1"/>
        <v>0</v>
      </c>
      <c r="J30" s="81"/>
      <c r="K30" s="81"/>
    </row>
    <row r="31" spans="1:11">
      <c r="A31" s="90" t="s">
        <v>112</v>
      </c>
      <c r="B31" s="83">
        <f t="shared" ref="B31:D31" ca="1" si="5">SUM(B2:B30)</f>
        <v>284</v>
      </c>
      <c r="C31" s="83">
        <f t="shared" ca="1" si="5"/>
        <v>14628</v>
      </c>
      <c r="D31" s="83">
        <f t="shared" ca="1" si="5"/>
        <v>9745</v>
      </c>
      <c r="E31" s="85">
        <f ca="1">D31/C31</f>
        <v>0.66618813234891983</v>
      </c>
      <c r="F31" s="83">
        <f t="shared" ref="F31:H31" ca="1" si="6">SUM(F2:F30)</f>
        <v>187</v>
      </c>
      <c r="G31" s="83">
        <f t="shared" ca="1" si="6"/>
        <v>10016</v>
      </c>
      <c r="H31" s="83">
        <f t="shared" ca="1" si="6"/>
        <v>23</v>
      </c>
      <c r="I31" s="85">
        <f ca="1">H31/G31</f>
        <v>2.2963258785942491E-3</v>
      </c>
      <c r="J31" s="85"/>
      <c r="K31" s="85"/>
    </row>
  </sheetData>
  <mergeCells count="2">
    <mergeCell ref="D1:E1"/>
    <mergeCell ref="H1:I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N64"/>
  <sheetViews>
    <sheetView topLeftCell="H3" workbookViewId="0">
      <selection activeCell="H3" sqref="H3"/>
    </sheetView>
  </sheetViews>
  <sheetFormatPr defaultColWidth="14.42578125" defaultRowHeight="15.75" customHeight="1"/>
  <cols>
    <col min="1" max="1" width="24.140625" hidden="1" customWidth="1"/>
    <col min="2" max="2" width="8" hidden="1" customWidth="1"/>
    <col min="3" max="3" width="12.42578125" hidden="1" customWidth="1"/>
    <col min="4" max="4" width="13.140625" hidden="1" customWidth="1"/>
    <col min="5" max="6" width="8.7109375" hidden="1" customWidth="1"/>
    <col min="7" max="7" width="6.5703125" hidden="1" customWidth="1"/>
    <col min="8" max="8" width="22.7109375" customWidth="1"/>
    <col min="9" max="14" width="8.7109375" customWidth="1"/>
  </cols>
  <sheetData>
    <row r="1" spans="1:14" ht="12.75" hidden="1">
      <c r="A1" s="91" t="s">
        <v>120</v>
      </c>
      <c r="B1" s="91">
        <v>1980</v>
      </c>
      <c r="C1" s="91">
        <v>1990</v>
      </c>
      <c r="D1" s="91">
        <v>2000</v>
      </c>
      <c r="E1" s="91">
        <v>2010</v>
      </c>
      <c r="F1" s="91">
        <v>2020</v>
      </c>
      <c r="G1" s="92"/>
      <c r="H1" s="92" t="str">
        <f ca="1">"n = " &amp; SUM(B4:F34)</f>
        <v>n = 282</v>
      </c>
      <c r="I1" s="93">
        <f t="shared" ref="I1:M1" ca="1" si="0">SUM(B4:B34)</f>
        <v>34</v>
      </c>
      <c r="J1" s="93">
        <f t="shared" ca="1" si="0"/>
        <v>66</v>
      </c>
      <c r="K1" s="93">
        <f t="shared" ca="1" si="0"/>
        <v>62</v>
      </c>
      <c r="L1" s="93">
        <f t="shared" ca="1" si="0"/>
        <v>119</v>
      </c>
      <c r="M1" s="93">
        <f t="shared" ca="1" si="0"/>
        <v>1</v>
      </c>
      <c r="N1" s="93"/>
    </row>
    <row r="2" spans="1:14" ht="12.75" hidden="1">
      <c r="A2" s="91" t="s">
        <v>121</v>
      </c>
      <c r="B2" s="91">
        <v>1989</v>
      </c>
      <c r="C2" s="91">
        <v>1999</v>
      </c>
      <c r="D2" s="91">
        <v>2009</v>
      </c>
      <c r="E2" s="91">
        <v>2019</v>
      </c>
      <c r="F2" s="91">
        <v>2029</v>
      </c>
      <c r="N2" s="94"/>
    </row>
    <row r="3" spans="1:14" ht="38.25">
      <c r="A3" s="95" t="str">
        <f ca="1">IFERROR(__xludf.DUMMYFUNCTION("QUERY(dbcolumns,""select C limit 1"")"),"Pathogen category")</f>
        <v>Pathogen category</v>
      </c>
      <c r="B3" s="96" t="str">
        <f t="shared" ref="B3:E3" si="1">B1&amp;" to "&amp;B2</f>
        <v>1980 to 1989</v>
      </c>
      <c r="C3" s="95" t="str">
        <f t="shared" si="1"/>
        <v>1990 to 1999</v>
      </c>
      <c r="D3" s="95" t="str">
        <f t="shared" si="1"/>
        <v>2000 to 2009</v>
      </c>
      <c r="E3" s="95" t="str">
        <f t="shared" si="1"/>
        <v>2010 to 2019</v>
      </c>
      <c r="F3" s="96" t="s">
        <v>122</v>
      </c>
      <c r="G3" s="95"/>
      <c r="H3" s="95" t="str">
        <f ca="1">IFERROR(__xludf.DUMMYFUNCTION("query(A3:F31,""select * where (B+C+D+E+F)&gt;0 order by (B+C+D+E+F) desc"")"),"Pathogen category")</f>
        <v>Pathogen category</v>
      </c>
      <c r="I3" s="95" t="str">
        <f ca="1">IFERROR(__xludf.DUMMYFUNCTION("""COMPUTED_VALUE"""),"1980 to 1989")</f>
        <v>1980 to 1989</v>
      </c>
      <c r="J3" s="95" t="str">
        <f ca="1">IFERROR(__xludf.DUMMYFUNCTION("""COMPUTED_VALUE"""),"1990 to 1999")</f>
        <v>1990 to 1999</v>
      </c>
      <c r="K3" s="95" t="str">
        <f ca="1">IFERROR(__xludf.DUMMYFUNCTION("""COMPUTED_VALUE"""),"2000 to 2009")</f>
        <v>2000 to 2009</v>
      </c>
      <c r="L3" s="95" t="str">
        <f ca="1">IFERROR(__xludf.DUMMYFUNCTION("""COMPUTED_VALUE"""),"2010 to 2019")</f>
        <v>2010 to 2019</v>
      </c>
      <c r="M3" s="95" t="str">
        <f ca="1">IFERROR(__xludf.DUMMYFUNCTION("""COMPUTED_VALUE"""),"2020 and later")</f>
        <v>2020 and later</v>
      </c>
      <c r="N3" s="96" t="s">
        <v>123</v>
      </c>
    </row>
    <row r="4" spans="1:14" ht="12.75">
      <c r="A4" s="97" t="str">
        <f ca="1">IFERROR(__xludf.DUMMYFUNCTION("UNIQUE(QUERY(db,""select C where C is not NULL order by C""))"),"BCG")</f>
        <v>BCG</v>
      </c>
      <c r="B4" s="98">
        <f ca="1">IFERROR(__xludf.DUMMYFUNCTION("iferror(query(db,""select count(C) where C like '""&amp;$A4&amp;""' and H&gt;=""&amp;B$1&amp;"" and H&lt;=""&amp;B$2&amp;"" AND AW = 'Yes'  LABEL COUNT(C) ''""),0)"),0)</f>
        <v>0</v>
      </c>
      <c r="C4" s="98">
        <f ca="1">IFERROR(__xludf.DUMMYFUNCTION("iferror(query(db,""select count(C) where C like '""&amp;$A4&amp;""' and H&gt;=""&amp;C$1&amp;"" and H&lt;=""&amp;C$2&amp;"" AND AW = 'Yes'  LABEL COUNT(C) ''""),0)"),0)</f>
        <v>0</v>
      </c>
      <c r="D4" s="98">
        <f ca="1">IFERROR(__xludf.DUMMYFUNCTION("iferror(query(db,""select count(C) where C like '""&amp;$A4&amp;""' and H&gt;=""&amp;D$1&amp;"" and H&lt;=""&amp;D$2&amp;"" AND AW = 'Yes'  LABEL COUNT(C) ''""),0)"),0)</f>
        <v>0</v>
      </c>
      <c r="E4" s="98">
        <f ca="1">IFERROR(__xludf.DUMMYFUNCTION("iferror(query(db,""select count(C) where C like '""&amp;$A4&amp;""' and H&gt;=""&amp;E$1&amp;"" and H&lt;=""&amp;E$2&amp;"" AND AW = 'Yes'  LABEL COUNT(C) ''""),0)"),3)</f>
        <v>3</v>
      </c>
      <c r="F4" s="98">
        <f ca="1">IFERROR(__xludf.DUMMYFUNCTION("iferror(query(db,""select count(C) where C like '""&amp;$A4&amp;""' and H&gt;=""&amp;F$1&amp;"" and H&lt;=""&amp;F$2&amp;"" AND AW = 'Yes'  LABEL COUNT(C) ''""),0)"),0)</f>
        <v>0</v>
      </c>
      <c r="G4" s="91"/>
      <c r="H4" s="99" t="str">
        <f ca="1">IFERROR(__xludf.DUMMYFUNCTION("""COMPUTED_VALUE"""),"Bordetella pertussis")</f>
        <v>Bordetella pertussis</v>
      </c>
      <c r="I4" s="100">
        <f ca="1">IFERROR(__xludf.DUMMYFUNCTION("""COMPUTED_VALUE"""),0)</f>
        <v>0</v>
      </c>
      <c r="J4" s="100">
        <f ca="1">IFERROR(__xludf.DUMMYFUNCTION("""COMPUTED_VALUE"""),0)</f>
        <v>0</v>
      </c>
      <c r="K4" s="100">
        <f ca="1">IFERROR(__xludf.DUMMYFUNCTION("""COMPUTED_VALUE"""),0)</f>
        <v>0</v>
      </c>
      <c r="L4" s="100">
        <f ca="1">IFERROR(__xludf.DUMMYFUNCTION("""COMPUTED_VALUE"""),1)</f>
        <v>1</v>
      </c>
      <c r="M4" s="100">
        <f ca="1">IFERROR(__xludf.DUMMYFUNCTION("""COMPUTED_VALUE"""),0)</f>
        <v>0</v>
      </c>
      <c r="N4" s="91">
        <f t="shared" ref="N4:N31" ca="1" si="2">SUM(I4:M4)</f>
        <v>1</v>
      </c>
    </row>
    <row r="5" spans="1:14" ht="12.75">
      <c r="A5" s="97" t="str">
        <f ca="1">IFERROR(__xludf.DUMMYFUNCTION("""COMPUTED_VALUE"""),"Bordetella pertussis")</f>
        <v>Bordetella pertussis</v>
      </c>
      <c r="B5" s="98">
        <f ca="1">IFERROR(__xludf.DUMMYFUNCTION("iferror(query(db,""select count(C) where C like '""&amp;$A5&amp;""' and H&gt;=""&amp;B$1&amp;"" and H&lt;=""&amp;B$2&amp;"" AND AW = 'Yes'  LABEL COUNT(C) ''""),0)"),0)</f>
        <v>0</v>
      </c>
      <c r="C5" s="98">
        <f ca="1">IFERROR(__xludf.DUMMYFUNCTION("iferror(query(db,""select count(C) where C like '""&amp;$A5&amp;""' and H&gt;=""&amp;C$1&amp;"" and H&lt;=""&amp;C$2&amp;"" AND AW = 'Yes'  LABEL COUNT(C) ''""),0)"),0)</f>
        <v>0</v>
      </c>
      <c r="D5" s="98">
        <f ca="1">IFERROR(__xludf.DUMMYFUNCTION("iferror(query(db,""select count(C) where C like '""&amp;$A5&amp;""' and H&gt;=""&amp;D$1&amp;"" and H&lt;=""&amp;D$2&amp;"" AND AW = 'Yes'  LABEL COUNT(C) ''""),0)"),0)</f>
        <v>0</v>
      </c>
      <c r="E5" s="98">
        <f ca="1">IFERROR(__xludf.DUMMYFUNCTION("iferror(query(db,""select count(C) where C like '""&amp;$A5&amp;""' and H&gt;=""&amp;E$1&amp;"" and H&lt;=""&amp;E$2&amp;"" AND AW = 'Yes'  LABEL COUNT(C) ''""),0)"),1)</f>
        <v>1</v>
      </c>
      <c r="F5" s="98">
        <f ca="1">IFERROR(__xludf.DUMMYFUNCTION("iferror(query(db,""select count(C) where C like '""&amp;$A5&amp;""' and H&gt;=""&amp;F$1&amp;"" and H&lt;=""&amp;F$2&amp;"" AND AW = 'Yes'  LABEL COUNT(C) ''""),0)"),0)</f>
        <v>0</v>
      </c>
      <c r="G5" s="91"/>
      <c r="H5" s="99" t="str">
        <f ca="1">IFERROR(__xludf.DUMMYFUNCTION("""COMPUTED_VALUE"""),"Coronavirus")</f>
        <v>Coronavirus</v>
      </c>
      <c r="I5" s="100">
        <f ca="1">IFERROR(__xludf.DUMMYFUNCTION("""COMPUTED_VALUE"""),1)</f>
        <v>1</v>
      </c>
      <c r="J5" s="100">
        <f ca="1">IFERROR(__xludf.DUMMYFUNCTION("""COMPUTED_VALUE"""),0)</f>
        <v>0</v>
      </c>
      <c r="K5" s="100">
        <f ca="1">IFERROR(__xludf.DUMMYFUNCTION("""COMPUTED_VALUE"""),0)</f>
        <v>0</v>
      </c>
      <c r="L5" s="100">
        <f ca="1">IFERROR(__xludf.DUMMYFUNCTION("""COMPUTED_VALUE"""),0)</f>
        <v>0</v>
      </c>
      <c r="M5" s="100">
        <f ca="1">IFERROR(__xludf.DUMMYFUNCTION("""COMPUTED_VALUE"""),0)</f>
        <v>0</v>
      </c>
      <c r="N5" s="91">
        <f t="shared" ca="1" si="2"/>
        <v>1</v>
      </c>
    </row>
    <row r="6" spans="1:14" ht="12.75">
      <c r="A6" s="97" t="str">
        <f ca="1">IFERROR(__xludf.DUMMYFUNCTION("""COMPUTED_VALUE"""),"Campylobacter jejuni")</f>
        <v>Campylobacter jejuni</v>
      </c>
      <c r="B6" s="98">
        <f ca="1">IFERROR(__xludf.DUMMYFUNCTION("iferror(query(db,""select count(C) where C like '""&amp;$A6&amp;""' and H&gt;=""&amp;B$1&amp;"" and H&lt;=""&amp;B$2&amp;"" AND AW = 'Yes'  LABEL COUNT(C) ''""),0)"),1)</f>
        <v>1</v>
      </c>
      <c r="C6" s="98">
        <f ca="1">IFERROR(__xludf.DUMMYFUNCTION("iferror(query(db,""select count(C) where C like '""&amp;$A6&amp;""' and H&gt;=""&amp;C$1&amp;"" and H&lt;=""&amp;C$2&amp;"" AND AW = 'Yes'  LABEL COUNT(C) ''""),0)"),0)</f>
        <v>0</v>
      </c>
      <c r="D6" s="98">
        <f ca="1">IFERROR(__xludf.DUMMYFUNCTION("iferror(query(db,""select count(C) where C like '""&amp;$A6&amp;""' and H&gt;=""&amp;D$1&amp;"" and H&lt;=""&amp;D$2&amp;"" AND AW = 'Yes'  LABEL COUNT(C) ''""),0)"),1)</f>
        <v>1</v>
      </c>
      <c r="E6" s="98">
        <f ca="1">IFERROR(__xludf.DUMMYFUNCTION("iferror(query(db,""select count(C) where C like '""&amp;$A6&amp;""' and H&gt;=""&amp;E$1&amp;"" and H&lt;=""&amp;E$2&amp;"" AND AW = 'Yes'  LABEL COUNT(C) ''""),0)"),1)</f>
        <v>1</v>
      </c>
      <c r="F6" s="98">
        <f ca="1">IFERROR(__xludf.DUMMYFUNCTION("iferror(query(db,""select count(C) where C like '""&amp;$A6&amp;""' and H&gt;=""&amp;F$1&amp;"" and H&lt;=""&amp;F$2&amp;"" AND AW = 'Yes'  LABEL COUNT(C) ''""),0)"),0)</f>
        <v>0</v>
      </c>
      <c r="G6" s="98"/>
      <c r="H6" s="98" t="str">
        <f ca="1">IFERROR(__xludf.DUMMYFUNCTION("""COMPUTED_VALUE"""),"Coxsackievirus A21")</f>
        <v>Coxsackievirus A21</v>
      </c>
      <c r="I6" s="98">
        <f ca="1">IFERROR(__xludf.DUMMYFUNCTION("""COMPUTED_VALUE"""),0)</f>
        <v>0</v>
      </c>
      <c r="J6" s="98">
        <f ca="1">IFERROR(__xludf.DUMMYFUNCTION("""COMPUTED_VALUE"""),1)</f>
        <v>1</v>
      </c>
      <c r="K6" s="98">
        <f ca="1">IFERROR(__xludf.DUMMYFUNCTION("""COMPUTED_VALUE"""),0)</f>
        <v>0</v>
      </c>
      <c r="L6" s="98">
        <f ca="1">IFERROR(__xludf.DUMMYFUNCTION("""COMPUTED_VALUE"""),0)</f>
        <v>0</v>
      </c>
      <c r="M6" s="98">
        <f ca="1">IFERROR(__xludf.DUMMYFUNCTION("""COMPUTED_VALUE"""),0)</f>
        <v>0</v>
      </c>
      <c r="N6" s="91">
        <f t="shared" ca="1" si="2"/>
        <v>1</v>
      </c>
    </row>
    <row r="7" spans="1:14" ht="12.75">
      <c r="A7" s="97" t="str">
        <f ca="1">IFERROR(__xludf.DUMMYFUNCTION("""COMPUTED_VALUE"""),"Coronavirus")</f>
        <v>Coronavirus</v>
      </c>
      <c r="B7" s="98">
        <f ca="1">IFERROR(__xludf.DUMMYFUNCTION("iferror(query(db,""select count(C) where C like '""&amp;$A7&amp;""' and H&gt;=""&amp;B$1&amp;"" and H&lt;=""&amp;B$2&amp;"" AND AW = 'Yes'  LABEL COUNT(C) ''""),0)"),1)</f>
        <v>1</v>
      </c>
      <c r="C7" s="98">
        <f ca="1">IFERROR(__xludf.DUMMYFUNCTION("iferror(query(db,""select count(C) where C like '""&amp;$A7&amp;""' and H&gt;=""&amp;C$1&amp;"" and H&lt;=""&amp;C$2&amp;"" AND AW = 'Yes'  LABEL COUNT(C) ''""),0)"),0)</f>
        <v>0</v>
      </c>
      <c r="D7" s="98">
        <f ca="1">IFERROR(__xludf.DUMMYFUNCTION("iferror(query(db,""select count(C) where C like '""&amp;$A7&amp;""' and H&gt;=""&amp;D$1&amp;"" and H&lt;=""&amp;D$2&amp;"" AND AW = 'Yes'  LABEL COUNT(C) ''""),0)"),0)</f>
        <v>0</v>
      </c>
      <c r="E7" s="98">
        <f ca="1">IFERROR(__xludf.DUMMYFUNCTION("iferror(query(db,""select count(C) where C like '""&amp;$A7&amp;""' and H&gt;=""&amp;E$1&amp;"" and H&lt;=""&amp;E$2&amp;"" AND AW = 'Yes'  LABEL COUNT(C) ''""),0)"),0)</f>
        <v>0</v>
      </c>
      <c r="F7" s="98">
        <f ca="1">IFERROR(__xludf.DUMMYFUNCTION("iferror(query(db,""select count(C) where C like '""&amp;$A7&amp;""' and H&gt;=""&amp;F$1&amp;"" and H&lt;=""&amp;F$2&amp;"" AND AW = 'Yes'  LABEL COUNT(C) ''""),0)"),0)</f>
        <v>0</v>
      </c>
      <c r="G7" s="98"/>
      <c r="H7" s="98" t="str">
        <f ca="1">IFERROR(__xludf.DUMMYFUNCTION("""COMPUTED_VALUE"""),"Giardia lamblia")</f>
        <v>Giardia lamblia</v>
      </c>
      <c r="I7" s="98">
        <f ca="1">IFERROR(__xludf.DUMMYFUNCTION("""COMPUTED_VALUE"""),0)</f>
        <v>0</v>
      </c>
      <c r="J7" s="98">
        <f ca="1">IFERROR(__xludf.DUMMYFUNCTION("""COMPUTED_VALUE"""),1)</f>
        <v>1</v>
      </c>
      <c r="K7" s="98">
        <f ca="1">IFERROR(__xludf.DUMMYFUNCTION("""COMPUTED_VALUE"""),0)</f>
        <v>0</v>
      </c>
      <c r="L7" s="98">
        <f ca="1">IFERROR(__xludf.DUMMYFUNCTION("""COMPUTED_VALUE"""),0)</f>
        <v>0</v>
      </c>
      <c r="M7" s="98">
        <f ca="1">IFERROR(__xludf.DUMMYFUNCTION("""COMPUTED_VALUE"""),0)</f>
        <v>0</v>
      </c>
      <c r="N7" s="91">
        <f t="shared" ca="1" si="2"/>
        <v>1</v>
      </c>
    </row>
    <row r="8" spans="1:14" ht="12.75">
      <c r="A8" s="97" t="str">
        <f ca="1">IFERROR(__xludf.DUMMYFUNCTION("""COMPUTED_VALUE"""),"Coxsackievirus A21")</f>
        <v>Coxsackievirus A21</v>
      </c>
      <c r="B8" s="98">
        <f ca="1">IFERROR(__xludf.DUMMYFUNCTION("iferror(query(db,""select count(C) where C like '""&amp;$A8&amp;""' and H&gt;=""&amp;B$1&amp;"" and H&lt;=""&amp;B$2&amp;"" AND AW = 'Yes'  LABEL COUNT(C) ''""),0)"),0)</f>
        <v>0</v>
      </c>
      <c r="C8" s="98">
        <f ca="1">IFERROR(__xludf.DUMMYFUNCTION("iferror(query(db,""select count(C) where C like '""&amp;$A8&amp;""' and H&gt;=""&amp;C$1&amp;"" and H&lt;=""&amp;C$2&amp;"" AND AW = 'Yes'  LABEL COUNT(C) ''""),0)"),1)</f>
        <v>1</v>
      </c>
      <c r="D8" s="98">
        <f ca="1">IFERROR(__xludf.DUMMYFUNCTION("iferror(query(db,""select count(C) where C like '""&amp;$A8&amp;""' and H&gt;=""&amp;D$1&amp;"" and H&lt;=""&amp;D$2&amp;"" AND AW = 'Yes'  LABEL COUNT(C) ''""),0)"),0)</f>
        <v>0</v>
      </c>
      <c r="E8" s="98">
        <f ca="1">IFERROR(__xludf.DUMMYFUNCTION("iferror(query(db,""select count(C) where C like '""&amp;$A8&amp;""' and H&gt;=""&amp;E$1&amp;"" and H&lt;=""&amp;E$2&amp;"" AND AW = 'Yes'  LABEL COUNT(C) ''""),0)"),0)</f>
        <v>0</v>
      </c>
      <c r="F8" s="98">
        <f ca="1">IFERROR(__xludf.DUMMYFUNCTION("iferror(query(db,""select count(C) where C like '""&amp;$A8&amp;""' and H&gt;=""&amp;F$1&amp;"" and H&lt;=""&amp;F$2&amp;"" AND AW = 'Yes'  LABEL COUNT(C) ''""),0)"),0)</f>
        <v>0</v>
      </c>
      <c r="G8" s="98"/>
      <c r="H8" s="98" t="str">
        <f ca="1">IFERROR(__xludf.DUMMYFUNCTION("""COMPUTED_VALUE"""),"Haemophilus influenzae")</f>
        <v>Haemophilus influenzae</v>
      </c>
      <c r="I8" s="98">
        <f ca="1">IFERROR(__xludf.DUMMYFUNCTION("""COMPUTED_VALUE"""),0)</f>
        <v>0</v>
      </c>
      <c r="J8" s="98">
        <f ca="1">IFERROR(__xludf.DUMMYFUNCTION("""COMPUTED_VALUE"""),0)</f>
        <v>0</v>
      </c>
      <c r="K8" s="98">
        <f ca="1">IFERROR(__xludf.DUMMYFUNCTION("""COMPUTED_VALUE"""),0)</f>
        <v>0</v>
      </c>
      <c r="L8" s="98">
        <f ca="1">IFERROR(__xludf.DUMMYFUNCTION("""COMPUTED_VALUE"""),1)</f>
        <v>1</v>
      </c>
      <c r="M8" s="98">
        <f ca="1">IFERROR(__xludf.DUMMYFUNCTION("""COMPUTED_VALUE"""),0)</f>
        <v>0</v>
      </c>
      <c r="N8" s="91">
        <f t="shared" ca="1" si="2"/>
        <v>1</v>
      </c>
    </row>
    <row r="9" spans="1:14" ht="12.75">
      <c r="A9" s="97" t="str">
        <f ca="1">IFERROR(__xludf.DUMMYFUNCTION("""COMPUTED_VALUE"""),"Cryptosporidium spp.")</f>
        <v>Cryptosporidium spp.</v>
      </c>
      <c r="B9" s="98">
        <f ca="1">IFERROR(__xludf.DUMMYFUNCTION("iferror(query(db,""select count(C) where C like '""&amp;$A9&amp;""' and H&gt;=""&amp;B$1&amp;"" and H&lt;=""&amp;B$2&amp;"" AND AW = 'Yes'  LABEL COUNT(C) ''""),0)"),0)</f>
        <v>0</v>
      </c>
      <c r="C9" s="98">
        <f ca="1">IFERROR(__xludf.DUMMYFUNCTION("iferror(query(db,""select count(C) where C like '""&amp;$A9&amp;""' and H&gt;=""&amp;C$1&amp;"" and H&lt;=""&amp;C$2&amp;"" AND AW = 'Yes'  LABEL COUNT(C) ''""),0)"),2)</f>
        <v>2</v>
      </c>
      <c r="D9" s="98">
        <f ca="1">IFERROR(__xludf.DUMMYFUNCTION("iferror(query(db,""select count(C) where C like '""&amp;$A9&amp;""' and H&gt;=""&amp;D$1&amp;"" and H&lt;=""&amp;D$2&amp;"" AND AW = 'Yes'  LABEL COUNT(C) ''""),0)"),1)</f>
        <v>1</v>
      </c>
      <c r="E9" s="98">
        <f ca="1">IFERROR(__xludf.DUMMYFUNCTION("iferror(query(db,""select count(C) where C like '""&amp;$A9&amp;""' and H&gt;=""&amp;E$1&amp;"" and H&lt;=""&amp;E$2&amp;"" AND AW = 'Yes'  LABEL COUNT(C) ''""),0)"),0)</f>
        <v>0</v>
      </c>
      <c r="F9" s="98">
        <f ca="1">IFERROR(__xludf.DUMMYFUNCTION("iferror(query(db,""select count(C) where C like '""&amp;$A9&amp;""' and H&gt;=""&amp;F$1&amp;"" and H&lt;=""&amp;F$2&amp;"" AND AW = 'Yes'  LABEL COUNT(C) ''""),0)"),0)</f>
        <v>0</v>
      </c>
      <c r="G9" s="98"/>
      <c r="H9" s="98" t="str">
        <f ca="1">IFERROR(__xludf.DUMMYFUNCTION("""COMPUTED_VALUE"""),"Helicobacter pylori")</f>
        <v>Helicobacter pylori</v>
      </c>
      <c r="I9" s="98">
        <f ca="1">IFERROR(__xludf.DUMMYFUNCTION("""COMPUTED_VALUE"""),0)</f>
        <v>0</v>
      </c>
      <c r="J9" s="98">
        <f ca="1">IFERROR(__xludf.DUMMYFUNCTION("""COMPUTED_VALUE"""),0)</f>
        <v>0</v>
      </c>
      <c r="K9" s="98">
        <f ca="1">IFERROR(__xludf.DUMMYFUNCTION("""COMPUTED_VALUE"""),1)</f>
        <v>1</v>
      </c>
      <c r="L9" s="98">
        <f ca="1">IFERROR(__xludf.DUMMYFUNCTION("""COMPUTED_VALUE"""),0)</f>
        <v>0</v>
      </c>
      <c r="M9" s="98">
        <f ca="1">IFERROR(__xludf.DUMMYFUNCTION("""COMPUTED_VALUE"""),0)</f>
        <v>0</v>
      </c>
      <c r="N9" s="91">
        <f t="shared" ca="1" si="2"/>
        <v>1</v>
      </c>
    </row>
    <row r="10" spans="1:14" ht="12.75">
      <c r="A10" s="97" t="str">
        <f ca="1">IFERROR(__xludf.DUMMYFUNCTION("""COMPUTED_VALUE"""),"Dengue virus")</f>
        <v>Dengue virus</v>
      </c>
      <c r="B10" s="98">
        <f ca="1">IFERROR(__xludf.DUMMYFUNCTION("iferror(query(db,""select count(C) where C like '""&amp;$A10&amp;""' and H&gt;=""&amp;B$1&amp;"" and H&lt;=""&amp;B$2&amp;"" AND AW = 'Yes'  LABEL COUNT(C) ''""),0)"),0)</f>
        <v>0</v>
      </c>
      <c r="C10" s="98">
        <f ca="1">IFERROR(__xludf.DUMMYFUNCTION("iferror(query(db,""select count(C) where C like '""&amp;$A10&amp;""' and H&gt;=""&amp;C$1&amp;"" and H&lt;=""&amp;C$2&amp;"" AND AW = 'Yes'  LABEL COUNT(C) ''""),0)"),1)</f>
        <v>1</v>
      </c>
      <c r="D10" s="98">
        <f ca="1">IFERROR(__xludf.DUMMYFUNCTION("iferror(query(db,""select count(C) where C like '""&amp;$A10&amp;""' and H&gt;=""&amp;D$1&amp;"" and H&lt;=""&amp;D$2&amp;"" AND AW = 'Yes'  LABEL COUNT(C) ''""),0)"),1)</f>
        <v>1</v>
      </c>
      <c r="E10" s="98">
        <f ca="1">IFERROR(__xludf.DUMMYFUNCTION("iferror(query(db,""select count(C) where C like '""&amp;$A10&amp;""' and H&gt;=""&amp;E$1&amp;"" and H&lt;=""&amp;E$2&amp;"" AND AW = 'Yes'  LABEL COUNT(C) ''""),0)"),1)</f>
        <v>1</v>
      </c>
      <c r="F10" s="98">
        <f ca="1">IFERROR(__xludf.DUMMYFUNCTION("iferror(query(db,""select count(C) where C like '""&amp;$A10&amp;""' and H&gt;=""&amp;F$1&amp;"" and H&lt;=""&amp;F$2&amp;"" AND AW = 'Yes'  LABEL COUNT(C) ''""),0)"),0)</f>
        <v>0</v>
      </c>
      <c r="G10" s="98"/>
      <c r="H10" s="98" t="str">
        <f ca="1">IFERROR(__xludf.DUMMYFUNCTION("""COMPUTED_VALUE"""),"Neisseria lactamica")</f>
        <v>Neisseria lactamica</v>
      </c>
      <c r="I10" s="98">
        <f ca="1">IFERROR(__xludf.DUMMYFUNCTION("""COMPUTED_VALUE"""),0)</f>
        <v>0</v>
      </c>
      <c r="J10" s="98">
        <f ca="1">IFERROR(__xludf.DUMMYFUNCTION("""COMPUTED_VALUE"""),0)</f>
        <v>0</v>
      </c>
      <c r="K10" s="98">
        <f ca="1">IFERROR(__xludf.DUMMYFUNCTION("""COMPUTED_VALUE"""),0)</f>
        <v>0</v>
      </c>
      <c r="L10" s="98">
        <f ca="1">IFERROR(__xludf.DUMMYFUNCTION("""COMPUTED_VALUE"""),1)</f>
        <v>1</v>
      </c>
      <c r="M10" s="98">
        <f ca="1">IFERROR(__xludf.DUMMYFUNCTION("""COMPUTED_VALUE"""),0)</f>
        <v>0</v>
      </c>
      <c r="N10" s="91">
        <f t="shared" ca="1" si="2"/>
        <v>1</v>
      </c>
    </row>
    <row r="11" spans="1:14" ht="12.75">
      <c r="A11" s="97" t="str">
        <f ca="1">IFERROR(__xludf.DUMMYFUNCTION("""COMPUTED_VALUE"""),"Escherichia coli")</f>
        <v>Escherichia coli</v>
      </c>
      <c r="B11" s="98">
        <f ca="1">IFERROR(__xludf.DUMMYFUNCTION("iferror(query(db,""select count(C) where C like '""&amp;$A11&amp;""' and H&gt;=""&amp;B$1&amp;"" and H&lt;=""&amp;B$2&amp;"" AND AW = 'Yes'  LABEL COUNT(C) ''""),0)"),3)</f>
        <v>3</v>
      </c>
      <c r="C11" s="98">
        <f ca="1">IFERROR(__xludf.DUMMYFUNCTION("iferror(query(db,""select count(C) where C like '""&amp;$A11&amp;""' and H&gt;=""&amp;C$1&amp;"" and H&lt;=""&amp;C$2&amp;"" AND AW = 'Yes'  LABEL COUNT(C) ''""),0)"),3)</f>
        <v>3</v>
      </c>
      <c r="D11" s="98">
        <f ca="1">IFERROR(__xludf.DUMMYFUNCTION("iferror(query(db,""select count(C) where C like '""&amp;$A11&amp;""' and H&gt;=""&amp;D$1&amp;"" and H&lt;=""&amp;D$2&amp;"" AND AW = 'Yes'  LABEL COUNT(C) ''""),0)"),2)</f>
        <v>2</v>
      </c>
      <c r="E11" s="98">
        <f ca="1">IFERROR(__xludf.DUMMYFUNCTION("iferror(query(db,""select count(C) where C like '""&amp;$A11&amp;""' and H&gt;=""&amp;E$1&amp;"" and H&lt;=""&amp;E$2&amp;"" AND AW = 'Yes'  LABEL COUNT(C) ''""),0)"),9)</f>
        <v>9</v>
      </c>
      <c r="F11" s="98">
        <f ca="1">IFERROR(__xludf.DUMMYFUNCTION("iferror(query(db,""select count(C) where C like '""&amp;$A11&amp;""' and H&gt;=""&amp;F$1&amp;"" and H&lt;=""&amp;F$2&amp;"" AND AW = 'Yes'  LABEL COUNT(C) ''""),0)"),0)</f>
        <v>0</v>
      </c>
      <c r="G11" s="98"/>
      <c r="H11" s="98" t="str">
        <f ca="1">IFERROR(__xludf.DUMMYFUNCTION("""COMPUTED_VALUE"""),"Parainfluenza")</f>
        <v>Parainfluenza</v>
      </c>
      <c r="I11" s="98">
        <f ca="1">IFERROR(__xludf.DUMMYFUNCTION("""COMPUTED_VALUE"""),0)</f>
        <v>0</v>
      </c>
      <c r="J11" s="98">
        <f ca="1">IFERROR(__xludf.DUMMYFUNCTION("""COMPUTED_VALUE"""),1)</f>
        <v>1</v>
      </c>
      <c r="K11" s="98">
        <f ca="1">IFERROR(__xludf.DUMMYFUNCTION("""COMPUTED_VALUE"""),0)</f>
        <v>0</v>
      </c>
      <c r="L11" s="98">
        <f ca="1">IFERROR(__xludf.DUMMYFUNCTION("""COMPUTED_VALUE"""),0)</f>
        <v>0</v>
      </c>
      <c r="M11" s="98">
        <f ca="1">IFERROR(__xludf.DUMMYFUNCTION("""COMPUTED_VALUE"""),0)</f>
        <v>0</v>
      </c>
      <c r="N11" s="91">
        <f t="shared" ca="1" si="2"/>
        <v>1</v>
      </c>
    </row>
    <row r="12" spans="1:14" ht="12.75">
      <c r="A12" s="97" t="str">
        <f ca="1">IFERROR(__xludf.DUMMYFUNCTION("""COMPUTED_VALUE"""),"Giardia lamblia")</f>
        <v>Giardia lamblia</v>
      </c>
      <c r="B12" s="98">
        <f ca="1">IFERROR(__xludf.DUMMYFUNCTION("iferror(query(db,""select count(C) where C like '""&amp;$A12&amp;""' and H&gt;=""&amp;B$1&amp;"" and H&lt;=""&amp;B$2&amp;"" AND AW = 'Yes'  LABEL COUNT(C) ''""),0)"),0)</f>
        <v>0</v>
      </c>
      <c r="C12" s="98">
        <f ca="1">IFERROR(__xludf.DUMMYFUNCTION("iferror(query(db,""select count(C) where C like '""&amp;$A12&amp;""' and H&gt;=""&amp;C$1&amp;"" and H&lt;=""&amp;C$2&amp;"" AND AW = 'Yes'  LABEL COUNT(C) ''""),0)"),1)</f>
        <v>1</v>
      </c>
      <c r="D12" s="98">
        <f ca="1">IFERROR(__xludf.DUMMYFUNCTION("iferror(query(db,""select count(C) where C like '""&amp;$A12&amp;""' and H&gt;=""&amp;D$1&amp;"" and H&lt;=""&amp;D$2&amp;"" AND AW = 'Yes'  LABEL COUNT(C) ''""),0)"),0)</f>
        <v>0</v>
      </c>
      <c r="E12" s="98">
        <f ca="1">IFERROR(__xludf.DUMMYFUNCTION("iferror(query(db,""select count(C) where C like '""&amp;$A12&amp;""' and H&gt;=""&amp;E$1&amp;"" and H&lt;=""&amp;E$2&amp;"" AND AW = 'Yes'  LABEL COUNT(C) ''""),0)"),0)</f>
        <v>0</v>
      </c>
      <c r="F12" s="98">
        <f ca="1">IFERROR(__xludf.DUMMYFUNCTION("iferror(query(db,""select count(C) where C like '""&amp;$A12&amp;""' and H&gt;=""&amp;F$1&amp;"" and H&lt;=""&amp;F$2&amp;"" AND AW = 'Yes'  LABEL COUNT(C) ''""),0)"),0)</f>
        <v>0</v>
      </c>
      <c r="G12" s="98"/>
      <c r="H12" s="98" t="str">
        <f ca="1">IFERROR(__xludf.DUMMYFUNCTION("""COMPUTED_VALUE"""),"Parvovirus")</f>
        <v>Parvovirus</v>
      </c>
      <c r="I12" s="98">
        <f ca="1">IFERROR(__xludf.DUMMYFUNCTION("""COMPUTED_VALUE"""),1)</f>
        <v>1</v>
      </c>
      <c r="J12" s="98">
        <f ca="1">IFERROR(__xludf.DUMMYFUNCTION("""COMPUTED_VALUE"""),0)</f>
        <v>0</v>
      </c>
      <c r="K12" s="98">
        <f ca="1">IFERROR(__xludf.DUMMYFUNCTION("""COMPUTED_VALUE"""),0)</f>
        <v>0</v>
      </c>
      <c r="L12" s="98">
        <f ca="1">IFERROR(__xludf.DUMMYFUNCTION("""COMPUTED_VALUE"""),0)</f>
        <v>0</v>
      </c>
      <c r="M12" s="98">
        <f ca="1">IFERROR(__xludf.DUMMYFUNCTION("""COMPUTED_VALUE"""),0)</f>
        <v>0</v>
      </c>
      <c r="N12" s="91">
        <f t="shared" ca="1" si="2"/>
        <v>1</v>
      </c>
    </row>
    <row r="13" spans="1:14" ht="12.75">
      <c r="A13" s="97" t="str">
        <f ca="1">IFERROR(__xludf.DUMMYFUNCTION("""COMPUTED_VALUE"""),"Haemophilus ducreyi")</f>
        <v>Haemophilus ducreyi</v>
      </c>
      <c r="B13" s="98">
        <f ca="1">IFERROR(__xludf.DUMMYFUNCTION("iferror(query(db,""select count(C) where C like '""&amp;$A13&amp;""' and H&gt;=""&amp;B$1&amp;"" and H&lt;=""&amp;B$2&amp;"" AND AW = 'Yes'  LABEL COUNT(C) ''""),0)"),0)</f>
        <v>0</v>
      </c>
      <c r="C13" s="98">
        <f ca="1">IFERROR(__xludf.DUMMYFUNCTION("iferror(query(db,""select count(C) where C like '""&amp;$A13&amp;""' and H&gt;=""&amp;C$1&amp;"" and H&lt;=""&amp;C$2&amp;"" AND AW = 'Yes'  LABEL COUNT(C) ''""),0)"),7)</f>
        <v>7</v>
      </c>
      <c r="D13" s="98">
        <f ca="1">IFERROR(__xludf.DUMMYFUNCTION("iferror(query(db,""select count(C) where C like '""&amp;$A13&amp;""' and H&gt;=""&amp;D$1&amp;"" and H&lt;=""&amp;D$2&amp;"" AND AW = 'Yes'  LABEL COUNT(C) ''""),0)"),19)</f>
        <v>19</v>
      </c>
      <c r="E13" s="98">
        <f ca="1">IFERROR(__xludf.DUMMYFUNCTION("iferror(query(db,""select count(C) where C like '""&amp;$A13&amp;""' and H&gt;=""&amp;E$1&amp;"" and H&lt;=""&amp;E$2&amp;"" AND AW = 'Yes'  LABEL COUNT(C) ''""),0)"),0)</f>
        <v>0</v>
      </c>
      <c r="F13" s="98">
        <f ca="1">IFERROR(__xludf.DUMMYFUNCTION("iferror(query(db,""select count(C) where C like '""&amp;$A13&amp;""' and H&gt;=""&amp;F$1&amp;"" and H&lt;=""&amp;F$2&amp;"" AND AW = 'Yes'  LABEL COUNT(C) ''""),0)"),0)</f>
        <v>0</v>
      </c>
      <c r="G13" s="98"/>
      <c r="H13" s="98" t="str">
        <f ca="1">IFERROR(__xludf.DUMMYFUNCTION("""COMPUTED_VALUE"""),"Rickettsia rickettsii")</f>
        <v>Rickettsia rickettsii</v>
      </c>
      <c r="I13" s="98">
        <f ca="1">IFERROR(__xludf.DUMMYFUNCTION("""COMPUTED_VALUE"""),1)</f>
        <v>1</v>
      </c>
      <c r="J13" s="98">
        <f ca="1">IFERROR(__xludf.DUMMYFUNCTION("""COMPUTED_VALUE"""),0)</f>
        <v>0</v>
      </c>
      <c r="K13" s="98">
        <f ca="1">IFERROR(__xludf.DUMMYFUNCTION("""COMPUTED_VALUE"""),0)</f>
        <v>0</v>
      </c>
      <c r="L13" s="98">
        <f ca="1">IFERROR(__xludf.DUMMYFUNCTION("""COMPUTED_VALUE"""),0)</f>
        <v>0</v>
      </c>
      <c r="M13" s="98">
        <f ca="1">IFERROR(__xludf.DUMMYFUNCTION("""COMPUTED_VALUE"""),0)</f>
        <v>0</v>
      </c>
      <c r="N13" s="91">
        <f t="shared" ca="1" si="2"/>
        <v>1</v>
      </c>
    </row>
    <row r="14" spans="1:14" ht="12.75">
      <c r="A14" s="97" t="str">
        <f ca="1">IFERROR(__xludf.DUMMYFUNCTION("""COMPUTED_VALUE"""),"Haemophilus influenzae")</f>
        <v>Haemophilus influenzae</v>
      </c>
      <c r="B14" s="98">
        <f ca="1">IFERROR(__xludf.DUMMYFUNCTION("iferror(query(db,""select count(C) where C like '""&amp;$A14&amp;""' and H&gt;=""&amp;B$1&amp;"" and H&lt;=""&amp;B$2&amp;"" AND AW = 'Yes'  LABEL COUNT(C) ''""),0)"),0)</f>
        <v>0</v>
      </c>
      <c r="C14" s="98">
        <f ca="1">IFERROR(__xludf.DUMMYFUNCTION("iferror(query(db,""select count(C) where C like '""&amp;$A14&amp;""' and H&gt;=""&amp;C$1&amp;"" and H&lt;=""&amp;C$2&amp;"" AND AW = 'Yes'  LABEL COUNT(C) ''""),0)"),0)</f>
        <v>0</v>
      </c>
      <c r="D14" s="98">
        <f ca="1">IFERROR(__xludf.DUMMYFUNCTION("iferror(query(db,""select count(C) where C like '""&amp;$A14&amp;""' and H&gt;=""&amp;D$1&amp;"" and H&lt;=""&amp;D$2&amp;"" AND AW = 'Yes'  LABEL COUNT(C) ''""),0)"),0)</f>
        <v>0</v>
      </c>
      <c r="E14" s="98">
        <f ca="1">IFERROR(__xludf.DUMMYFUNCTION("iferror(query(db,""select count(C) where C like '""&amp;$A14&amp;""' and H&gt;=""&amp;E$1&amp;"" and H&lt;=""&amp;E$2&amp;"" AND AW = 'Yes'  LABEL COUNT(C) ''""),0)"),1)</f>
        <v>1</v>
      </c>
      <c r="F14" s="98">
        <f ca="1">IFERROR(__xludf.DUMMYFUNCTION("iferror(query(db,""select count(C) where C like '""&amp;$A14&amp;""' and H&gt;=""&amp;F$1&amp;"" and H&lt;=""&amp;F$2&amp;"" AND AW = 'Yes'  LABEL COUNT(C) ''""),0)"),0)</f>
        <v>0</v>
      </c>
      <c r="G14" s="98"/>
      <c r="H14" s="98" t="str">
        <f ca="1">IFERROR(__xludf.DUMMYFUNCTION("""COMPUTED_VALUE"""),"Rubella virus")</f>
        <v>Rubella virus</v>
      </c>
      <c r="I14" s="98">
        <f ca="1">IFERROR(__xludf.DUMMYFUNCTION("""COMPUTED_VALUE"""),1)</f>
        <v>1</v>
      </c>
      <c r="J14" s="98">
        <f ca="1">IFERROR(__xludf.DUMMYFUNCTION("""COMPUTED_VALUE"""),0)</f>
        <v>0</v>
      </c>
      <c r="K14" s="98">
        <f ca="1">IFERROR(__xludf.DUMMYFUNCTION("""COMPUTED_VALUE"""),0)</f>
        <v>0</v>
      </c>
      <c r="L14" s="98">
        <f ca="1">IFERROR(__xludf.DUMMYFUNCTION("""COMPUTED_VALUE"""),0)</f>
        <v>0</v>
      </c>
      <c r="M14" s="98">
        <f ca="1">IFERROR(__xludf.DUMMYFUNCTION("""COMPUTED_VALUE"""),0)</f>
        <v>0</v>
      </c>
      <c r="N14" s="91">
        <f t="shared" ca="1" si="2"/>
        <v>1</v>
      </c>
    </row>
    <row r="15" spans="1:14" ht="12.75">
      <c r="A15" s="97" t="str">
        <f ca="1">IFERROR(__xludf.DUMMYFUNCTION("""COMPUTED_VALUE"""),"Helicobacter pylori")</f>
        <v>Helicobacter pylori</v>
      </c>
      <c r="B15" s="98">
        <f ca="1">IFERROR(__xludf.DUMMYFUNCTION("iferror(query(db,""select count(C) where C like '""&amp;$A15&amp;""' and H&gt;=""&amp;B$1&amp;"" and H&lt;=""&amp;B$2&amp;"" AND AW = 'Yes'  LABEL COUNT(C) ''""),0)"),0)</f>
        <v>0</v>
      </c>
      <c r="C15" s="98">
        <f ca="1">IFERROR(__xludf.DUMMYFUNCTION("iferror(query(db,""select count(C) where C like '""&amp;$A15&amp;""' and H&gt;=""&amp;C$1&amp;"" and H&lt;=""&amp;C$2&amp;"" AND AW = 'Yes'  LABEL COUNT(C) ''""),0)"),0)</f>
        <v>0</v>
      </c>
      <c r="D15" s="98">
        <f ca="1">IFERROR(__xludf.DUMMYFUNCTION("iferror(query(db,""select count(C) where C like '""&amp;$A15&amp;""' and H&gt;=""&amp;D$1&amp;"" and H&lt;=""&amp;D$2&amp;"" AND AW = 'Yes'  LABEL COUNT(C) ''""),0)"),1)</f>
        <v>1</v>
      </c>
      <c r="E15" s="98">
        <f ca="1">IFERROR(__xludf.DUMMYFUNCTION("iferror(query(db,""select count(C) where C like '""&amp;$A15&amp;""' and H&gt;=""&amp;E$1&amp;"" and H&lt;=""&amp;E$2&amp;"" AND AW = 'Yes'  LABEL COUNT(C) ''""),0)"),0)</f>
        <v>0</v>
      </c>
      <c r="F15" s="98">
        <f ca="1">IFERROR(__xludf.DUMMYFUNCTION("iferror(query(db,""select count(C) where C like '""&amp;$A15&amp;""' and H&gt;=""&amp;F$1&amp;"" and H&lt;=""&amp;F$2&amp;"" AND AW = 'Yes'  LABEL COUNT(C) ''""),0)"),0)</f>
        <v>0</v>
      </c>
      <c r="G15" s="98"/>
      <c r="H15" s="98" t="str">
        <f ca="1">IFERROR(__xludf.DUMMYFUNCTION("""COMPUTED_VALUE"""),"Schistosoma mansoni")</f>
        <v>Schistosoma mansoni</v>
      </c>
      <c r="I15" s="98">
        <f ca="1">IFERROR(__xludf.DUMMYFUNCTION("""COMPUTED_VALUE"""),0)</f>
        <v>0</v>
      </c>
      <c r="J15" s="98">
        <f ca="1">IFERROR(__xludf.DUMMYFUNCTION("""COMPUTED_VALUE"""),0)</f>
        <v>0</v>
      </c>
      <c r="K15" s="98">
        <f ca="1">IFERROR(__xludf.DUMMYFUNCTION("""COMPUTED_VALUE"""),0)</f>
        <v>0</v>
      </c>
      <c r="L15" s="98">
        <f ca="1">IFERROR(__xludf.DUMMYFUNCTION("""COMPUTED_VALUE"""),1)</f>
        <v>1</v>
      </c>
      <c r="M15" s="98">
        <f ca="1">IFERROR(__xludf.DUMMYFUNCTION("""COMPUTED_VALUE"""),0)</f>
        <v>0</v>
      </c>
      <c r="N15" s="91">
        <f t="shared" ca="1" si="2"/>
        <v>1</v>
      </c>
    </row>
    <row r="16" spans="1:14" ht="12.75">
      <c r="A16" s="97" t="str">
        <f ca="1">IFERROR(__xludf.DUMMYFUNCTION("""COMPUTED_VALUE"""),"Influenza viruses")</f>
        <v>Influenza viruses</v>
      </c>
      <c r="B16" s="98">
        <f ca="1">IFERROR(__xludf.DUMMYFUNCTION("iferror(query(db,""select count(C) where C like '""&amp;$A16&amp;""' and H&gt;=""&amp;B$1&amp;"" and H&lt;=""&amp;B$2&amp;"" AND AW = 'Yes'  LABEL COUNT(C) ''""),0)"),14)</f>
        <v>14</v>
      </c>
      <c r="C16" s="98">
        <f ca="1">IFERROR(__xludf.DUMMYFUNCTION("iferror(query(db,""select count(C) where C like '""&amp;$A16&amp;""' and H&gt;=""&amp;C$1&amp;"" and H&lt;=""&amp;C$2&amp;"" AND AW = 'Yes'  LABEL COUNT(C) ''""),0)"),14)</f>
        <v>14</v>
      </c>
      <c r="D16" s="98">
        <f ca="1">IFERROR(__xludf.DUMMYFUNCTION("iferror(query(db,""select count(C) where C like '""&amp;$A16&amp;""' and H&gt;=""&amp;D$1&amp;"" and H&lt;=""&amp;D$2&amp;"" AND AW = 'Yes'  LABEL COUNT(C) ''""),0)"),5)</f>
        <v>5</v>
      </c>
      <c r="E16" s="98">
        <f ca="1">IFERROR(__xludf.DUMMYFUNCTION("iferror(query(db,""select count(C) where C like '""&amp;$A16&amp;""' and H&gt;=""&amp;E$1&amp;"" and H&lt;=""&amp;E$2&amp;"" AND AW = 'Yes'  LABEL COUNT(C) ''""),0)"),12)</f>
        <v>12</v>
      </c>
      <c r="F16" s="98">
        <f ca="1">IFERROR(__xludf.DUMMYFUNCTION("iferror(query(db,""select count(C) where C like '""&amp;$A16&amp;""' and H&gt;=""&amp;F$1&amp;"" and H&lt;=""&amp;F$2&amp;"" AND AW = 'Yes'  LABEL COUNT(C) ''""),0)"),0)</f>
        <v>0</v>
      </c>
      <c r="G16" s="98"/>
      <c r="H16" s="98" t="str">
        <f ca="1">IFERROR(__xludf.DUMMYFUNCTION("""COMPUTED_VALUE"""),"BCG")</f>
        <v>BCG</v>
      </c>
      <c r="I16" s="98">
        <f ca="1">IFERROR(__xludf.DUMMYFUNCTION("""COMPUTED_VALUE"""),0)</f>
        <v>0</v>
      </c>
      <c r="J16" s="98">
        <f ca="1">IFERROR(__xludf.DUMMYFUNCTION("""COMPUTED_VALUE"""),0)</f>
        <v>0</v>
      </c>
      <c r="K16" s="98">
        <f ca="1">IFERROR(__xludf.DUMMYFUNCTION("""COMPUTED_VALUE"""),0)</f>
        <v>0</v>
      </c>
      <c r="L16" s="98">
        <f ca="1">IFERROR(__xludf.DUMMYFUNCTION("""COMPUTED_VALUE"""),3)</f>
        <v>3</v>
      </c>
      <c r="M16" s="98">
        <f ca="1">IFERROR(__xludf.DUMMYFUNCTION("""COMPUTED_VALUE"""),0)</f>
        <v>0</v>
      </c>
      <c r="N16" s="91">
        <f t="shared" ca="1" si="2"/>
        <v>3</v>
      </c>
    </row>
    <row r="17" spans="1:14" ht="12.75">
      <c r="A17" s="97" t="str">
        <f ca="1">IFERROR(__xludf.DUMMYFUNCTION("""COMPUTED_VALUE"""),"Necator americanus")</f>
        <v>Necator americanus</v>
      </c>
      <c r="B17" s="98">
        <f ca="1">IFERROR(__xludf.DUMMYFUNCTION("iferror(query(db,""select count(C) where C like '""&amp;$A17&amp;""' and H&gt;=""&amp;B$1&amp;"" and H&lt;=""&amp;B$2&amp;"" AND AW = 'Yes'  LABEL COUNT(C) ''""),0)"),0)</f>
        <v>0</v>
      </c>
      <c r="C17" s="98">
        <f ca="1">IFERROR(__xludf.DUMMYFUNCTION("iferror(query(db,""select count(C) where C like '""&amp;$A17&amp;""' and H&gt;=""&amp;C$1&amp;"" and H&lt;=""&amp;C$2&amp;"" AND AW = 'Yes'  LABEL COUNT(C) ''""),0)"),0)</f>
        <v>0</v>
      </c>
      <c r="D17" s="98">
        <f ca="1">IFERROR(__xludf.DUMMYFUNCTION("iferror(query(db,""select count(C) where C like '""&amp;$A17&amp;""' and H&gt;=""&amp;D$1&amp;"" and H&lt;=""&amp;D$2&amp;"" AND AW = 'Yes'  LABEL COUNT(C) ''""),0)"),2)</f>
        <v>2</v>
      </c>
      <c r="E17" s="98">
        <f ca="1">IFERROR(__xludf.DUMMYFUNCTION("iferror(query(db,""select count(C) where C like '""&amp;$A17&amp;""' and H&gt;=""&amp;E$1&amp;"" and H&lt;=""&amp;E$2&amp;"" AND AW = 'Yes'  LABEL COUNT(C) ''""),0)"),2)</f>
        <v>2</v>
      </c>
      <c r="F17" s="98">
        <f ca="1">IFERROR(__xludf.DUMMYFUNCTION("iferror(query(db,""select count(C) where C like '""&amp;$A17&amp;""' and H&gt;=""&amp;F$1&amp;"" and H&lt;=""&amp;F$2&amp;"" AND AW = 'Yes'  LABEL COUNT(C) ''""),0)"),0)</f>
        <v>0</v>
      </c>
      <c r="G17" s="98"/>
      <c r="H17" s="98" t="str">
        <f ca="1">IFERROR(__xludf.DUMMYFUNCTION("""COMPUTED_VALUE"""),"Campylobacter jejuni")</f>
        <v>Campylobacter jejuni</v>
      </c>
      <c r="I17" s="98">
        <f ca="1">IFERROR(__xludf.DUMMYFUNCTION("""COMPUTED_VALUE"""),1)</f>
        <v>1</v>
      </c>
      <c r="J17" s="98">
        <f ca="1">IFERROR(__xludf.DUMMYFUNCTION("""COMPUTED_VALUE"""),0)</f>
        <v>0</v>
      </c>
      <c r="K17" s="98">
        <f ca="1">IFERROR(__xludf.DUMMYFUNCTION("""COMPUTED_VALUE"""),1)</f>
        <v>1</v>
      </c>
      <c r="L17" s="98">
        <f ca="1">IFERROR(__xludf.DUMMYFUNCTION("""COMPUTED_VALUE"""),1)</f>
        <v>1</v>
      </c>
      <c r="M17" s="98">
        <f ca="1">IFERROR(__xludf.DUMMYFUNCTION("""COMPUTED_VALUE"""),0)</f>
        <v>0</v>
      </c>
      <c r="N17" s="91">
        <f t="shared" ca="1" si="2"/>
        <v>3</v>
      </c>
    </row>
    <row r="18" spans="1:14" ht="12.75">
      <c r="A18" s="97" t="str">
        <f ca="1">IFERROR(__xludf.DUMMYFUNCTION("""COMPUTED_VALUE"""),"Neisseria lactamica")</f>
        <v>Neisseria lactamica</v>
      </c>
      <c r="B18" s="98">
        <f ca="1">IFERROR(__xludf.DUMMYFUNCTION("iferror(query(db,""select count(C) where C like '""&amp;$A18&amp;""' and H&gt;=""&amp;B$1&amp;"" and H&lt;=""&amp;B$2&amp;"" AND AW = 'Yes'  LABEL COUNT(C) ''""),0)"),0)</f>
        <v>0</v>
      </c>
      <c r="C18" s="98">
        <f ca="1">IFERROR(__xludf.DUMMYFUNCTION("iferror(query(db,""select count(C) where C like '""&amp;$A18&amp;""' and H&gt;=""&amp;C$1&amp;"" and H&lt;=""&amp;C$2&amp;"" AND AW = 'Yes'  LABEL COUNT(C) ''""),0)"),0)</f>
        <v>0</v>
      </c>
      <c r="D18" s="98">
        <f ca="1">IFERROR(__xludf.DUMMYFUNCTION("iferror(query(db,""select count(C) where C like '""&amp;$A18&amp;""' and H&gt;=""&amp;D$1&amp;"" and H&lt;=""&amp;D$2&amp;"" AND AW = 'Yes'  LABEL COUNT(C) ''""),0)"),0)</f>
        <v>0</v>
      </c>
      <c r="E18" s="98">
        <f ca="1">IFERROR(__xludf.DUMMYFUNCTION("iferror(query(db,""select count(C) where C like '""&amp;$A18&amp;""' and H&gt;=""&amp;E$1&amp;"" and H&lt;=""&amp;E$2&amp;"" AND AW = 'Yes'  LABEL COUNT(C) ''""),0)"),1)</f>
        <v>1</v>
      </c>
      <c r="F18" s="98">
        <f ca="1">IFERROR(__xludf.DUMMYFUNCTION("iferror(query(db,""select count(C) where C like '""&amp;$A18&amp;""' and H&gt;=""&amp;F$1&amp;"" and H&lt;=""&amp;F$2&amp;"" AND AW = 'Yes'  LABEL COUNT(C) ''""),0)"),0)</f>
        <v>0</v>
      </c>
      <c r="G18" s="98"/>
      <c r="H18" s="98" t="str">
        <f ca="1">IFERROR(__xludf.DUMMYFUNCTION("""COMPUTED_VALUE"""),"Cryptosporidium spp.")</f>
        <v>Cryptosporidium spp.</v>
      </c>
      <c r="I18" s="98">
        <f ca="1">IFERROR(__xludf.DUMMYFUNCTION("""COMPUTED_VALUE"""),0)</f>
        <v>0</v>
      </c>
      <c r="J18" s="98">
        <f ca="1">IFERROR(__xludf.DUMMYFUNCTION("""COMPUTED_VALUE"""),2)</f>
        <v>2</v>
      </c>
      <c r="K18" s="98">
        <f ca="1">IFERROR(__xludf.DUMMYFUNCTION("""COMPUTED_VALUE"""),1)</f>
        <v>1</v>
      </c>
      <c r="L18" s="98">
        <f ca="1">IFERROR(__xludf.DUMMYFUNCTION("""COMPUTED_VALUE"""),0)</f>
        <v>0</v>
      </c>
      <c r="M18" s="98">
        <f ca="1">IFERROR(__xludf.DUMMYFUNCTION("""COMPUTED_VALUE"""),0)</f>
        <v>0</v>
      </c>
      <c r="N18" s="91">
        <f t="shared" ca="1" si="2"/>
        <v>3</v>
      </c>
    </row>
    <row r="19" spans="1:14" ht="12.75">
      <c r="A19" s="97" t="str">
        <f ca="1">IFERROR(__xludf.DUMMYFUNCTION("""COMPUTED_VALUE"""),"Norovirus")</f>
        <v>Norovirus</v>
      </c>
      <c r="B19" s="98">
        <f ca="1">IFERROR(__xludf.DUMMYFUNCTION("iferror(query(db,""select count(C) where C like '""&amp;$A19&amp;""' and H&gt;=""&amp;B$1&amp;"" and H&lt;=""&amp;B$2&amp;"" AND AW = 'Yes'  LABEL COUNT(C) ''""),0)"),0)</f>
        <v>0</v>
      </c>
      <c r="C19" s="98">
        <f ca="1">IFERROR(__xludf.DUMMYFUNCTION("iferror(query(db,""select count(C) where C like '""&amp;$A19&amp;""' and H&gt;=""&amp;C$1&amp;"" and H&lt;=""&amp;C$2&amp;"" AND AW = 'Yes'  LABEL COUNT(C) ''""),0)"),0)</f>
        <v>0</v>
      </c>
      <c r="D19" s="98">
        <f ca="1">IFERROR(__xludf.DUMMYFUNCTION("iferror(query(db,""select count(C) where C like '""&amp;$A19&amp;""' and H&gt;=""&amp;D$1&amp;"" and H&lt;=""&amp;D$2&amp;"" AND AW = 'Yes'  LABEL COUNT(C) ''""),0)"),1)</f>
        <v>1</v>
      </c>
      <c r="E19" s="98">
        <f ca="1">IFERROR(__xludf.DUMMYFUNCTION("iferror(query(db,""select count(C) where C like '""&amp;$A19&amp;""' and H&gt;=""&amp;E$1&amp;"" and H&lt;=""&amp;E$2&amp;"" AND AW = 'Yes'  LABEL COUNT(C) ''""),0)"),5)</f>
        <v>5</v>
      </c>
      <c r="F19" s="98">
        <f ca="1">IFERROR(__xludf.DUMMYFUNCTION("iferror(query(db,""select count(C) where C like '""&amp;$A19&amp;""' and H&gt;=""&amp;F$1&amp;"" and H&lt;=""&amp;F$2&amp;"" AND AW = 'Yes'  LABEL COUNT(C) ''""),0)"),0)</f>
        <v>0</v>
      </c>
      <c r="G19" s="98"/>
      <c r="H19" s="98" t="str">
        <f ca="1">IFERROR(__xludf.DUMMYFUNCTION("""COMPUTED_VALUE"""),"Dengue virus")</f>
        <v>Dengue virus</v>
      </c>
      <c r="I19" s="98">
        <f ca="1">IFERROR(__xludf.DUMMYFUNCTION("""COMPUTED_VALUE"""),0)</f>
        <v>0</v>
      </c>
      <c r="J19" s="98">
        <f ca="1">IFERROR(__xludf.DUMMYFUNCTION("""COMPUTED_VALUE"""),1)</f>
        <v>1</v>
      </c>
      <c r="K19" s="98">
        <f ca="1">IFERROR(__xludf.DUMMYFUNCTION("""COMPUTED_VALUE"""),1)</f>
        <v>1</v>
      </c>
      <c r="L19" s="98">
        <f ca="1">IFERROR(__xludf.DUMMYFUNCTION("""COMPUTED_VALUE"""),1)</f>
        <v>1</v>
      </c>
      <c r="M19" s="98">
        <f ca="1">IFERROR(__xludf.DUMMYFUNCTION("""COMPUTED_VALUE"""),0)</f>
        <v>0</v>
      </c>
      <c r="N19" s="91">
        <f t="shared" ca="1" si="2"/>
        <v>3</v>
      </c>
    </row>
    <row r="20" spans="1:14" ht="12.75">
      <c r="A20" s="97" t="str">
        <f ca="1">IFERROR(__xludf.DUMMYFUNCTION("""COMPUTED_VALUE"""),"Parainfluenza")</f>
        <v>Parainfluenza</v>
      </c>
      <c r="B20" s="98">
        <f ca="1">IFERROR(__xludf.DUMMYFUNCTION("iferror(query(db,""select count(C) where C like '""&amp;$A20&amp;""' and H&gt;=""&amp;B$1&amp;"" and H&lt;=""&amp;B$2&amp;"" AND AW = 'Yes'  LABEL COUNT(C) ''""),0)"),0)</f>
        <v>0</v>
      </c>
      <c r="C20" s="98">
        <f ca="1">IFERROR(__xludf.DUMMYFUNCTION("iferror(query(db,""select count(C) where C like '""&amp;$A20&amp;""' and H&gt;=""&amp;C$1&amp;"" and H&lt;=""&amp;C$2&amp;"" AND AW = 'Yes'  LABEL COUNT(C) ''""),0)"),1)</f>
        <v>1</v>
      </c>
      <c r="D20" s="98">
        <f ca="1">IFERROR(__xludf.DUMMYFUNCTION("iferror(query(db,""select count(C) where C like '""&amp;$A20&amp;""' and H&gt;=""&amp;D$1&amp;"" and H&lt;=""&amp;D$2&amp;"" AND AW = 'Yes'  LABEL COUNT(C) ''""),0)"),0)</f>
        <v>0</v>
      </c>
      <c r="E20" s="98">
        <f ca="1">IFERROR(__xludf.DUMMYFUNCTION("iferror(query(db,""select count(C) where C like '""&amp;$A20&amp;""' and H&gt;=""&amp;E$1&amp;"" and H&lt;=""&amp;E$2&amp;"" AND AW = 'Yes'  LABEL COUNT(C) ''""),0)"),0)</f>
        <v>0</v>
      </c>
      <c r="F20" s="98">
        <f ca="1">IFERROR(__xludf.DUMMYFUNCTION("iferror(query(db,""select count(C) where C like '""&amp;$A20&amp;""' and H&gt;=""&amp;F$1&amp;"" and H&lt;=""&amp;F$2&amp;"" AND AW = 'Yes'  LABEL COUNT(C) ''""),0)"),0)</f>
        <v>0</v>
      </c>
      <c r="G20" s="98"/>
      <c r="H20" s="98" t="str">
        <f ca="1">IFERROR(__xludf.DUMMYFUNCTION("""COMPUTED_VALUE"""),"Necator americanus")</f>
        <v>Necator americanus</v>
      </c>
      <c r="I20" s="98">
        <f ca="1">IFERROR(__xludf.DUMMYFUNCTION("""COMPUTED_VALUE"""),0)</f>
        <v>0</v>
      </c>
      <c r="J20" s="98">
        <f ca="1">IFERROR(__xludf.DUMMYFUNCTION("""COMPUTED_VALUE"""),0)</f>
        <v>0</v>
      </c>
      <c r="K20" s="98">
        <f ca="1">IFERROR(__xludf.DUMMYFUNCTION("""COMPUTED_VALUE"""),2)</f>
        <v>2</v>
      </c>
      <c r="L20" s="98">
        <f ca="1">IFERROR(__xludf.DUMMYFUNCTION("""COMPUTED_VALUE"""),2)</f>
        <v>2</v>
      </c>
      <c r="M20" s="98">
        <f ca="1">IFERROR(__xludf.DUMMYFUNCTION("""COMPUTED_VALUE"""),0)</f>
        <v>0</v>
      </c>
      <c r="N20" s="91">
        <f t="shared" ca="1" si="2"/>
        <v>4</v>
      </c>
    </row>
    <row r="21" spans="1:14" ht="12.75">
      <c r="A21" s="97" t="str">
        <f ca="1">IFERROR(__xludf.DUMMYFUNCTION("""COMPUTED_VALUE"""),"Parvovirus")</f>
        <v>Parvovirus</v>
      </c>
      <c r="B21" s="98">
        <f ca="1">IFERROR(__xludf.DUMMYFUNCTION("iferror(query(db,""select count(C) where C like '""&amp;$A21&amp;""' and H&gt;=""&amp;B$1&amp;"" and H&lt;=""&amp;B$2&amp;"" AND AW = 'Yes'  LABEL COUNT(C) ''""),0)"),1)</f>
        <v>1</v>
      </c>
      <c r="C21" s="98">
        <f ca="1">IFERROR(__xludf.DUMMYFUNCTION("iferror(query(db,""select count(C) where C like '""&amp;$A21&amp;""' and H&gt;=""&amp;C$1&amp;"" and H&lt;=""&amp;C$2&amp;"" AND AW = 'Yes'  LABEL COUNT(C) ''""),0)"),0)</f>
        <v>0</v>
      </c>
      <c r="D21" s="98">
        <f ca="1">IFERROR(__xludf.DUMMYFUNCTION("iferror(query(db,""select count(C) where C like '""&amp;$A21&amp;""' and H&gt;=""&amp;D$1&amp;"" and H&lt;=""&amp;D$2&amp;"" AND AW = 'Yes'  LABEL COUNT(C) ''""),0)"),0)</f>
        <v>0</v>
      </c>
      <c r="E21" s="98">
        <f ca="1">IFERROR(__xludf.DUMMYFUNCTION("iferror(query(db,""select count(C) where C like '""&amp;$A21&amp;""' and H&gt;=""&amp;E$1&amp;"" and H&lt;=""&amp;E$2&amp;"" AND AW = 'Yes'  LABEL COUNT(C) ''""),0)"),0)</f>
        <v>0</v>
      </c>
      <c r="F21" s="98">
        <f ca="1">IFERROR(__xludf.DUMMYFUNCTION("iferror(query(db,""select count(C) where C like '""&amp;$A21&amp;""' and H&gt;=""&amp;F$1&amp;"" and H&lt;=""&amp;F$2&amp;"" AND AW = 'Yes'  LABEL COUNT(C) ''""),0)"),0)</f>
        <v>0</v>
      </c>
      <c r="G21" s="98"/>
      <c r="H21" s="98" t="str">
        <f ca="1">IFERROR(__xludf.DUMMYFUNCTION("""COMPUTED_VALUE"""),"Vibrio cholerae")</f>
        <v>Vibrio cholerae</v>
      </c>
      <c r="I21" s="98">
        <f ca="1">IFERROR(__xludf.DUMMYFUNCTION("""COMPUTED_VALUE"""),0)</f>
        <v>0</v>
      </c>
      <c r="J21" s="98">
        <f ca="1">IFERROR(__xludf.DUMMYFUNCTION("""COMPUTED_VALUE"""),3)</f>
        <v>3</v>
      </c>
      <c r="K21" s="98">
        <f ca="1">IFERROR(__xludf.DUMMYFUNCTION("""COMPUTED_VALUE"""),1)</f>
        <v>1</v>
      </c>
      <c r="L21" s="98">
        <f ca="1">IFERROR(__xludf.DUMMYFUNCTION("""COMPUTED_VALUE"""),1)</f>
        <v>1</v>
      </c>
      <c r="M21" s="98">
        <f ca="1">IFERROR(__xludf.DUMMYFUNCTION("""COMPUTED_VALUE"""),0)</f>
        <v>0</v>
      </c>
      <c r="N21" s="91">
        <f t="shared" ca="1" si="2"/>
        <v>5</v>
      </c>
    </row>
    <row r="22" spans="1:14" ht="12.75">
      <c r="A22" s="101" t="str">
        <f ca="1">IFERROR(__xludf.DUMMYFUNCTION("""COMPUTED_VALUE"""),"Plasmodium spp.")</f>
        <v>Plasmodium spp.</v>
      </c>
      <c r="B22" s="98">
        <f ca="1">IFERROR(__xludf.DUMMYFUNCTION("iferror(query(db,""select count(C) where C like '""&amp;$A22&amp;""' and H&gt;=""&amp;B$1&amp;"" and H&lt;=""&amp;B$2&amp;"" AND AW = 'Yes'  LABEL COUNT(C) ''""),0)"),3)</f>
        <v>3</v>
      </c>
      <c r="C22" s="98">
        <f ca="1">IFERROR(__xludf.DUMMYFUNCTION("iferror(query(db,""select count(C) where C like '""&amp;$A22&amp;""' and H&gt;=""&amp;C$1&amp;"" and H&lt;=""&amp;C$2&amp;"" AND AW = 'Yes'  LABEL COUNT(C) ''""),0)"),10)</f>
        <v>10</v>
      </c>
      <c r="D22" s="98">
        <f ca="1">IFERROR(__xludf.DUMMYFUNCTION("iferror(query(db,""select count(C) where C like '""&amp;$A22&amp;""' and H&gt;=""&amp;D$1&amp;"" and H&lt;=""&amp;D$2&amp;"" AND AW = 'Yes'  LABEL COUNT(C) ''""),0)"),7)</f>
        <v>7</v>
      </c>
      <c r="E22" s="98">
        <f ca="1">IFERROR(__xludf.DUMMYFUNCTION("iferror(query(db,""select count(C) where C like '""&amp;$A22&amp;""' and H&gt;=""&amp;E$1&amp;"" and H&lt;=""&amp;E$2&amp;"" AND AW = 'Yes'  LABEL COUNT(C) ''""),0)"),52)</f>
        <v>52</v>
      </c>
      <c r="F22" s="98">
        <f ca="1">IFERROR(__xludf.DUMMYFUNCTION("iferror(query(db,""select count(C) where C like '""&amp;$A22&amp;""' and H&gt;=""&amp;F$1&amp;"" and H&lt;=""&amp;F$2&amp;"" AND AW = 'Yes'  LABEL COUNT(C) ''""),0)"),1)</f>
        <v>1</v>
      </c>
      <c r="G22" s="98"/>
      <c r="H22" s="98" t="str">
        <f ca="1">IFERROR(__xludf.DUMMYFUNCTION("""COMPUTED_VALUE"""),"Norovirus")</f>
        <v>Norovirus</v>
      </c>
      <c r="I22" s="98">
        <f ca="1">IFERROR(__xludf.DUMMYFUNCTION("""COMPUTED_VALUE"""),0)</f>
        <v>0</v>
      </c>
      <c r="J22" s="98">
        <f ca="1">IFERROR(__xludf.DUMMYFUNCTION("""COMPUTED_VALUE"""),0)</f>
        <v>0</v>
      </c>
      <c r="K22" s="98">
        <f ca="1">IFERROR(__xludf.DUMMYFUNCTION("""COMPUTED_VALUE"""),1)</f>
        <v>1</v>
      </c>
      <c r="L22" s="98">
        <f ca="1">IFERROR(__xludf.DUMMYFUNCTION("""COMPUTED_VALUE"""),5)</f>
        <v>5</v>
      </c>
      <c r="M22" s="98">
        <f ca="1">IFERROR(__xludf.DUMMYFUNCTION("""COMPUTED_VALUE"""),0)</f>
        <v>0</v>
      </c>
      <c r="N22" s="91">
        <f t="shared" ca="1" si="2"/>
        <v>6</v>
      </c>
    </row>
    <row r="23" spans="1:14" ht="12.75">
      <c r="A23" s="97" t="str">
        <f ca="1">IFERROR(__xludf.DUMMYFUNCTION("""COMPUTED_VALUE"""),"Respiratory syncytial virus")</f>
        <v>Respiratory syncytial virus</v>
      </c>
      <c r="B23" s="98">
        <f ca="1">IFERROR(__xludf.DUMMYFUNCTION("iferror(query(db,""select count(C) where C like '""&amp;$A23&amp;""' and H&gt;=""&amp;B$1&amp;"" and H&lt;=""&amp;B$2&amp;"" AND AW = 'Yes'  LABEL COUNT(C) ''""),0)"),1)</f>
        <v>1</v>
      </c>
      <c r="C23" s="98">
        <f ca="1">IFERROR(__xludf.DUMMYFUNCTION("iferror(query(db,""select count(C) where C like '""&amp;$A23&amp;""' and H&gt;=""&amp;C$1&amp;"" and H&lt;=""&amp;C$2&amp;"" AND AW = 'Yes'  LABEL COUNT(C) ''""),0)"),0)</f>
        <v>0</v>
      </c>
      <c r="D23" s="98">
        <f ca="1">IFERROR(__xludf.DUMMYFUNCTION("iferror(query(db,""select count(C) where C like '""&amp;$A23&amp;""' and H&gt;=""&amp;D$1&amp;"" and H&lt;=""&amp;D$2&amp;"" AND AW = 'Yes'  LABEL COUNT(C) ''""),0)"),3)</f>
        <v>3</v>
      </c>
      <c r="E23" s="98">
        <f ca="1">IFERROR(__xludf.DUMMYFUNCTION("iferror(query(db,""select count(C) where C like '""&amp;$A23&amp;""' and H&gt;=""&amp;E$1&amp;"" and H&lt;=""&amp;E$2&amp;"" AND AW = 'Yes'  LABEL COUNT(C) ''""),0)"),5)</f>
        <v>5</v>
      </c>
      <c r="F23" s="98">
        <f ca="1">IFERROR(__xludf.DUMMYFUNCTION("iferror(query(db,""select count(C) where C like '""&amp;$A23&amp;""' and H&gt;=""&amp;F$1&amp;"" and H&lt;=""&amp;F$2&amp;"" AND AW = 'Yes'  LABEL COUNT(C) ''""),0)"),0)</f>
        <v>0</v>
      </c>
      <c r="G23" s="98"/>
      <c r="H23" s="98" t="str">
        <f ca="1">IFERROR(__xludf.DUMMYFUNCTION("""COMPUTED_VALUE"""),"Salmonella spp.")</f>
        <v>Salmonella spp.</v>
      </c>
      <c r="I23" s="98">
        <f ca="1">IFERROR(__xludf.DUMMYFUNCTION("""COMPUTED_VALUE"""),0)</f>
        <v>0</v>
      </c>
      <c r="J23" s="98">
        <f ca="1">IFERROR(__xludf.DUMMYFUNCTION("""COMPUTED_VALUE"""),0)</f>
        <v>0</v>
      </c>
      <c r="K23" s="98">
        <f ca="1">IFERROR(__xludf.DUMMYFUNCTION("""COMPUTED_VALUE"""),1)</f>
        <v>1</v>
      </c>
      <c r="L23" s="98">
        <f ca="1">IFERROR(__xludf.DUMMYFUNCTION("""COMPUTED_VALUE"""),6)</f>
        <v>6</v>
      </c>
      <c r="M23" s="98">
        <f ca="1">IFERROR(__xludf.DUMMYFUNCTION("""COMPUTED_VALUE"""),0)</f>
        <v>0</v>
      </c>
      <c r="N23" s="91">
        <f t="shared" ca="1" si="2"/>
        <v>7</v>
      </c>
    </row>
    <row r="24" spans="1:14" ht="12.75">
      <c r="A24" s="97" t="str">
        <f ca="1">IFERROR(__xludf.DUMMYFUNCTION("""COMPUTED_VALUE"""),"Rhinovirus")</f>
        <v>Rhinovirus</v>
      </c>
      <c r="B24" s="98">
        <f ca="1">IFERROR(__xludf.DUMMYFUNCTION("iferror(query(db,""select count(C) where C like '""&amp;$A24&amp;""' and H&gt;=""&amp;B$1&amp;"" and H&lt;=""&amp;B$2&amp;"" AND AW = 'Yes'  LABEL COUNT(C) ''""),0)"),6)</f>
        <v>6</v>
      </c>
      <c r="C24" s="98">
        <f ca="1">IFERROR(__xludf.DUMMYFUNCTION("iferror(query(db,""select count(C) where C like '""&amp;$A24&amp;""' and H&gt;=""&amp;C$1&amp;"" and H&lt;=""&amp;C$2&amp;"" AND AW = 'Yes'  LABEL COUNT(C) ''""),0)"),16)</f>
        <v>16</v>
      </c>
      <c r="D24" s="98">
        <f ca="1">IFERROR(__xludf.DUMMYFUNCTION("iferror(query(db,""select count(C) where C like '""&amp;$A24&amp;""' and H&gt;=""&amp;D$1&amp;"" and H&lt;=""&amp;D$2&amp;"" AND AW = 'Yes'  LABEL COUNT(C) ''""),0)"),16)</f>
        <v>16</v>
      </c>
      <c r="E24" s="98">
        <f ca="1">IFERROR(__xludf.DUMMYFUNCTION("iferror(query(db,""select count(C) where C like '""&amp;$A24&amp;""' and H&gt;=""&amp;E$1&amp;"" and H&lt;=""&amp;E$2&amp;"" AND AW = 'Yes'  LABEL COUNT(C) ''""),0)"),5)</f>
        <v>5</v>
      </c>
      <c r="F24" s="98">
        <f ca="1">IFERROR(__xludf.DUMMYFUNCTION("iferror(query(db,""select count(C) where C like '""&amp;$A24&amp;""' and H&gt;=""&amp;F$1&amp;"" and H&lt;=""&amp;F$2&amp;"" AND AW = 'Yes'  LABEL COUNT(C) ''""),0)"),0)</f>
        <v>0</v>
      </c>
      <c r="G24" s="98"/>
      <c r="H24" s="98" t="str">
        <f ca="1">IFERROR(__xludf.DUMMYFUNCTION("""COMPUTED_VALUE"""),"Respiratory syncytial virus")</f>
        <v>Respiratory syncytial virus</v>
      </c>
      <c r="I24" s="98">
        <f ca="1">IFERROR(__xludf.DUMMYFUNCTION("""COMPUTED_VALUE"""),1)</f>
        <v>1</v>
      </c>
      <c r="J24" s="98">
        <f ca="1">IFERROR(__xludf.DUMMYFUNCTION("""COMPUTED_VALUE"""),0)</f>
        <v>0</v>
      </c>
      <c r="K24" s="98">
        <f ca="1">IFERROR(__xludf.DUMMYFUNCTION("""COMPUTED_VALUE"""),3)</f>
        <v>3</v>
      </c>
      <c r="L24" s="98">
        <f ca="1">IFERROR(__xludf.DUMMYFUNCTION("""COMPUTED_VALUE"""),5)</f>
        <v>5</v>
      </c>
      <c r="M24" s="98">
        <f ca="1">IFERROR(__xludf.DUMMYFUNCTION("""COMPUTED_VALUE"""),0)</f>
        <v>0</v>
      </c>
      <c r="N24" s="91">
        <f t="shared" ca="1" si="2"/>
        <v>9</v>
      </c>
    </row>
    <row r="25" spans="1:14" ht="12.75">
      <c r="A25" s="97" t="str">
        <f ca="1">IFERROR(__xludf.DUMMYFUNCTION("""COMPUTED_VALUE"""),"Rickettsia rickettsii")</f>
        <v>Rickettsia rickettsii</v>
      </c>
      <c r="B25" s="98">
        <f ca="1">IFERROR(__xludf.DUMMYFUNCTION("iferror(query(db,""select count(C) where C like '""&amp;$A25&amp;""' and H&gt;=""&amp;B$1&amp;"" and H&lt;=""&amp;B$2&amp;"" AND AW = 'Yes'  LABEL COUNT(C) ''""),0)"),1)</f>
        <v>1</v>
      </c>
      <c r="C25" s="98">
        <f ca="1">IFERROR(__xludf.DUMMYFUNCTION("iferror(query(db,""select count(C) where C like '""&amp;$A25&amp;""' and H&gt;=""&amp;C$1&amp;"" and H&lt;=""&amp;C$2&amp;"" AND AW = 'Yes'  LABEL COUNT(C) ''""),0)"),0)</f>
        <v>0</v>
      </c>
      <c r="D25" s="98">
        <f ca="1">IFERROR(__xludf.DUMMYFUNCTION("iferror(query(db,""select count(C) where C like '""&amp;$A25&amp;""' and H&gt;=""&amp;D$1&amp;"" and H&lt;=""&amp;D$2&amp;"" AND AW = 'Yes'  LABEL COUNT(C) ''""),0)"),0)</f>
        <v>0</v>
      </c>
      <c r="E25" s="98">
        <f ca="1">IFERROR(__xludf.DUMMYFUNCTION("iferror(query(db,""select count(C) where C like '""&amp;$A25&amp;""' and H&gt;=""&amp;E$1&amp;"" and H&lt;=""&amp;E$2&amp;"" AND AW = 'Yes'  LABEL COUNT(C) ''""),0)"),0)</f>
        <v>0</v>
      </c>
      <c r="F25" s="98">
        <f ca="1">IFERROR(__xludf.DUMMYFUNCTION("iferror(query(db,""select count(C) where C like '""&amp;$A25&amp;""' and H&gt;=""&amp;F$1&amp;"" and H&lt;=""&amp;F$2&amp;"" AND AW = 'Yes'  LABEL COUNT(C) ''""),0)"),0)</f>
        <v>0</v>
      </c>
      <c r="G25" s="98"/>
      <c r="H25" s="98" t="str">
        <f ca="1">IFERROR(__xludf.DUMMYFUNCTION("""COMPUTED_VALUE"""),"Streptococcus pneumoniae")</f>
        <v>Streptococcus pneumoniae</v>
      </c>
      <c r="I25" s="98">
        <f ca="1">IFERROR(__xludf.DUMMYFUNCTION("""COMPUTED_VALUE"""),0)</f>
        <v>0</v>
      </c>
      <c r="J25" s="98">
        <f ca="1">IFERROR(__xludf.DUMMYFUNCTION("""COMPUTED_VALUE"""),0)</f>
        <v>0</v>
      </c>
      <c r="K25" s="98">
        <f ca="1">IFERROR(__xludf.DUMMYFUNCTION("""COMPUTED_VALUE"""),0)</f>
        <v>0</v>
      </c>
      <c r="L25" s="98">
        <f ca="1">IFERROR(__xludf.DUMMYFUNCTION("""COMPUTED_VALUE"""),9)</f>
        <v>9</v>
      </c>
      <c r="M25" s="98">
        <f ca="1">IFERROR(__xludf.DUMMYFUNCTION("""COMPUTED_VALUE"""),0)</f>
        <v>0</v>
      </c>
      <c r="N25" s="91">
        <f t="shared" ca="1" si="2"/>
        <v>9</v>
      </c>
    </row>
    <row r="26" spans="1:14" ht="12.75">
      <c r="A26" s="97" t="str">
        <f ca="1">IFERROR(__xludf.DUMMYFUNCTION("""COMPUTED_VALUE"""),"Rubella virus")</f>
        <v>Rubella virus</v>
      </c>
      <c r="B26" s="98">
        <f ca="1">IFERROR(__xludf.DUMMYFUNCTION("iferror(query(db,""select count(C) where C like '""&amp;$A26&amp;""' and H&gt;=""&amp;B$1&amp;"" and H&lt;=""&amp;B$2&amp;"" AND AW = 'Yes'  LABEL COUNT(C) ''""),0)"),1)</f>
        <v>1</v>
      </c>
      <c r="C26" s="98">
        <f ca="1">IFERROR(__xludf.DUMMYFUNCTION("iferror(query(db,""select count(C) where C like '""&amp;$A26&amp;""' and H&gt;=""&amp;C$1&amp;"" and H&lt;=""&amp;C$2&amp;"" AND AW = 'Yes'  LABEL COUNT(C) ''""),0)"),0)</f>
        <v>0</v>
      </c>
      <c r="D26" s="98">
        <f ca="1">IFERROR(__xludf.DUMMYFUNCTION("iferror(query(db,""select count(C) where C like '""&amp;$A26&amp;""' and H&gt;=""&amp;D$1&amp;"" and H&lt;=""&amp;D$2&amp;"" AND AW = 'Yes'  LABEL COUNT(C) ''""),0)"),0)</f>
        <v>0</v>
      </c>
      <c r="E26" s="98">
        <f ca="1">IFERROR(__xludf.DUMMYFUNCTION("iferror(query(db,""select count(C) where C like '""&amp;$A26&amp;""' and H&gt;=""&amp;E$1&amp;"" and H&lt;=""&amp;E$2&amp;"" AND AW = 'Yes'  LABEL COUNT(C) ''""),0)"),0)</f>
        <v>0</v>
      </c>
      <c r="F26" s="98">
        <f ca="1">IFERROR(__xludf.DUMMYFUNCTION("iferror(query(db,""select count(C) where C like '""&amp;$A26&amp;""' and H&gt;=""&amp;F$1&amp;"" and H&lt;=""&amp;F$2&amp;"" AND AW = 'Yes'  LABEL COUNT(C) ''""),0)"),0)</f>
        <v>0</v>
      </c>
      <c r="G26" s="98"/>
      <c r="H26" s="98" t="str">
        <f ca="1">IFERROR(__xludf.DUMMYFUNCTION("""COMPUTED_VALUE"""),"Shigella spp.")</f>
        <v>Shigella spp.</v>
      </c>
      <c r="I26" s="98">
        <f ca="1">IFERROR(__xludf.DUMMYFUNCTION("""COMPUTED_VALUE"""),2)</f>
        <v>2</v>
      </c>
      <c r="J26" s="98">
        <f ca="1">IFERROR(__xludf.DUMMYFUNCTION("""COMPUTED_VALUE"""),7)</f>
        <v>7</v>
      </c>
      <c r="K26" s="98">
        <f ca="1">IFERROR(__xludf.DUMMYFUNCTION("""COMPUTED_VALUE"""),1)</f>
        <v>1</v>
      </c>
      <c r="L26" s="98">
        <f ca="1">IFERROR(__xludf.DUMMYFUNCTION("""COMPUTED_VALUE"""),4)</f>
        <v>4</v>
      </c>
      <c r="M26" s="98">
        <f ca="1">IFERROR(__xludf.DUMMYFUNCTION("""COMPUTED_VALUE"""),0)</f>
        <v>0</v>
      </c>
      <c r="N26" s="91">
        <f t="shared" ca="1" si="2"/>
        <v>14</v>
      </c>
    </row>
    <row r="27" spans="1:14" ht="12.75">
      <c r="A27" s="97" t="str">
        <f ca="1">IFERROR(__xludf.DUMMYFUNCTION("""COMPUTED_VALUE"""),"Salmonella spp.")</f>
        <v>Salmonella spp.</v>
      </c>
      <c r="B27" s="98">
        <f ca="1">IFERROR(__xludf.DUMMYFUNCTION("iferror(query(db,""select count(C) where C like '""&amp;$A27&amp;""' and H&gt;=""&amp;B$1&amp;"" and H&lt;=""&amp;B$2&amp;"" AND AW = 'Yes'  LABEL COUNT(C) ''""),0)"),0)</f>
        <v>0</v>
      </c>
      <c r="C27" s="98">
        <f ca="1">IFERROR(__xludf.DUMMYFUNCTION("iferror(query(db,""select count(C) where C like '""&amp;$A27&amp;""' and H&gt;=""&amp;C$1&amp;"" and H&lt;=""&amp;C$2&amp;"" AND AW = 'Yes'  LABEL COUNT(C) ''""),0)"),0)</f>
        <v>0</v>
      </c>
      <c r="D27" s="98">
        <f ca="1">IFERROR(__xludf.DUMMYFUNCTION("iferror(query(db,""select count(C) where C like '""&amp;$A27&amp;""' and H&gt;=""&amp;D$1&amp;"" and H&lt;=""&amp;D$2&amp;"" AND AW = 'Yes'  LABEL COUNT(C) ''""),0)"),1)</f>
        <v>1</v>
      </c>
      <c r="E27" s="98">
        <f ca="1">IFERROR(__xludf.DUMMYFUNCTION("iferror(query(db,""select count(C) where C like '""&amp;$A27&amp;""' and H&gt;=""&amp;E$1&amp;"" and H&lt;=""&amp;E$2&amp;"" AND AW = 'Yes'  LABEL COUNT(C) ''""),0)"),6)</f>
        <v>6</v>
      </c>
      <c r="F27" s="98">
        <f ca="1">IFERROR(__xludf.DUMMYFUNCTION("iferror(query(db,""select count(C) where C like '""&amp;$A27&amp;""' and H&gt;=""&amp;F$1&amp;"" and H&lt;=""&amp;F$2&amp;"" AND AW = 'Yes'  LABEL COUNT(C) ''""),0)"),0)</f>
        <v>0</v>
      </c>
      <c r="G27" s="98"/>
      <c r="H27" s="98" t="str">
        <f ca="1">IFERROR(__xludf.DUMMYFUNCTION("""COMPUTED_VALUE"""),"Escherichia coli")</f>
        <v>Escherichia coli</v>
      </c>
      <c r="I27" s="98">
        <f ca="1">IFERROR(__xludf.DUMMYFUNCTION("""COMPUTED_VALUE"""),3)</f>
        <v>3</v>
      </c>
      <c r="J27" s="98">
        <f ca="1">IFERROR(__xludf.DUMMYFUNCTION("""COMPUTED_VALUE"""),3)</f>
        <v>3</v>
      </c>
      <c r="K27" s="98">
        <f ca="1">IFERROR(__xludf.DUMMYFUNCTION("""COMPUTED_VALUE"""),2)</f>
        <v>2</v>
      </c>
      <c r="L27" s="98">
        <f ca="1">IFERROR(__xludf.DUMMYFUNCTION("""COMPUTED_VALUE"""),9)</f>
        <v>9</v>
      </c>
      <c r="M27" s="98">
        <f ca="1">IFERROR(__xludf.DUMMYFUNCTION("""COMPUTED_VALUE"""),0)</f>
        <v>0</v>
      </c>
      <c r="N27" s="91">
        <f t="shared" ca="1" si="2"/>
        <v>17</v>
      </c>
    </row>
    <row r="28" spans="1:14" ht="12.75">
      <c r="A28" s="97" t="str">
        <f ca="1">IFERROR(__xludf.DUMMYFUNCTION("""COMPUTED_VALUE"""),"Schistosoma mansoni")</f>
        <v>Schistosoma mansoni</v>
      </c>
      <c r="B28" s="98">
        <f ca="1">IFERROR(__xludf.DUMMYFUNCTION("iferror(query(db,""select count(C) where C like '""&amp;$A28&amp;""' and H&gt;=""&amp;B$1&amp;"" and H&lt;=""&amp;B$2&amp;"" AND AW = 'Yes'  LABEL COUNT(C) ''""),0)"),0)</f>
        <v>0</v>
      </c>
      <c r="C28" s="98">
        <f ca="1">IFERROR(__xludf.DUMMYFUNCTION("iferror(query(db,""select count(C) where C like '""&amp;$A28&amp;""' and H&gt;=""&amp;C$1&amp;"" and H&lt;=""&amp;C$2&amp;"" AND AW = 'Yes'  LABEL COUNT(C) ''""),0)"),0)</f>
        <v>0</v>
      </c>
      <c r="D28" s="98">
        <f ca="1">IFERROR(__xludf.DUMMYFUNCTION("iferror(query(db,""select count(C) where C like '""&amp;$A28&amp;""' and H&gt;=""&amp;D$1&amp;"" and H&lt;=""&amp;D$2&amp;"" AND AW = 'Yes'  LABEL COUNT(C) ''""),0)"),0)</f>
        <v>0</v>
      </c>
      <c r="E28" s="98">
        <f ca="1">IFERROR(__xludf.DUMMYFUNCTION("iferror(query(db,""select count(C) where C like '""&amp;$A28&amp;""' and H&gt;=""&amp;E$1&amp;"" and H&lt;=""&amp;E$2&amp;"" AND AW = 'Yes'  LABEL COUNT(C) ''""),0)"),1)</f>
        <v>1</v>
      </c>
      <c r="F28" s="98">
        <f ca="1">IFERROR(__xludf.DUMMYFUNCTION("iferror(query(db,""select count(C) where C like '""&amp;$A28&amp;""' and H&gt;=""&amp;F$1&amp;"" and H&lt;=""&amp;F$2&amp;"" AND AW = 'Yes'  LABEL COUNT(C) ''""),0)"),0)</f>
        <v>0</v>
      </c>
      <c r="G28" s="98"/>
      <c r="H28" s="98" t="str">
        <f ca="1">IFERROR(__xludf.DUMMYFUNCTION("""COMPUTED_VALUE"""),"Haemophilus ducreyi")</f>
        <v>Haemophilus ducreyi</v>
      </c>
      <c r="I28" s="98">
        <f ca="1">IFERROR(__xludf.DUMMYFUNCTION("""COMPUTED_VALUE"""),0)</f>
        <v>0</v>
      </c>
      <c r="J28" s="98">
        <f ca="1">IFERROR(__xludf.DUMMYFUNCTION("""COMPUTED_VALUE"""),7)</f>
        <v>7</v>
      </c>
      <c r="K28" s="98">
        <f ca="1">IFERROR(__xludf.DUMMYFUNCTION("""COMPUTED_VALUE"""),19)</f>
        <v>19</v>
      </c>
      <c r="L28" s="98">
        <f ca="1">IFERROR(__xludf.DUMMYFUNCTION("""COMPUTED_VALUE"""),0)</f>
        <v>0</v>
      </c>
      <c r="M28" s="98">
        <f ca="1">IFERROR(__xludf.DUMMYFUNCTION("""COMPUTED_VALUE"""),0)</f>
        <v>0</v>
      </c>
      <c r="N28" s="91">
        <f t="shared" ca="1" si="2"/>
        <v>26</v>
      </c>
    </row>
    <row r="29" spans="1:14" ht="12.75">
      <c r="A29" s="97" t="str">
        <f ca="1">IFERROR(__xludf.DUMMYFUNCTION("""COMPUTED_VALUE"""),"Shigella spp.")</f>
        <v>Shigella spp.</v>
      </c>
      <c r="B29" s="98">
        <f ca="1">IFERROR(__xludf.DUMMYFUNCTION("iferror(query(db,""select count(C) where C like '""&amp;$A29&amp;""' and H&gt;=""&amp;B$1&amp;"" and H&lt;=""&amp;B$2&amp;"" AND AW = 'Yes'  LABEL COUNT(C) ''""),0)"),2)</f>
        <v>2</v>
      </c>
      <c r="C29" s="98">
        <f ca="1">IFERROR(__xludf.DUMMYFUNCTION("iferror(query(db,""select count(C) where C like '""&amp;$A29&amp;""' and H&gt;=""&amp;C$1&amp;"" and H&lt;=""&amp;C$2&amp;"" AND AW = 'Yes'  LABEL COUNT(C) ''""),0)"),7)</f>
        <v>7</v>
      </c>
      <c r="D29" s="98">
        <f ca="1">IFERROR(__xludf.DUMMYFUNCTION("iferror(query(db,""select count(C) where C like '""&amp;$A29&amp;""' and H&gt;=""&amp;D$1&amp;"" and H&lt;=""&amp;D$2&amp;"" AND AW = 'Yes'  LABEL COUNT(C) ''""),0)"),1)</f>
        <v>1</v>
      </c>
      <c r="E29" s="98">
        <f ca="1">IFERROR(__xludf.DUMMYFUNCTION("iferror(query(db,""select count(C) where C like '""&amp;$A29&amp;""' and H&gt;=""&amp;E$1&amp;"" and H&lt;=""&amp;E$2&amp;"" AND AW = 'Yes'  LABEL COUNT(C) ''""),0)"),4)</f>
        <v>4</v>
      </c>
      <c r="F29" s="98">
        <f ca="1">IFERROR(__xludf.DUMMYFUNCTION("iferror(query(db,""select count(C) where C like '""&amp;$A29&amp;""' and H&gt;=""&amp;F$1&amp;"" and H&lt;=""&amp;F$2&amp;"" AND AW = 'Yes'  LABEL COUNT(C) ''""),0)"),0)</f>
        <v>0</v>
      </c>
      <c r="G29" s="98"/>
      <c r="H29" s="98" t="str">
        <f ca="1">IFERROR(__xludf.DUMMYFUNCTION("""COMPUTED_VALUE"""),"Rhinovirus")</f>
        <v>Rhinovirus</v>
      </c>
      <c r="I29" s="98">
        <f ca="1">IFERROR(__xludf.DUMMYFUNCTION("""COMPUTED_VALUE"""),6)</f>
        <v>6</v>
      </c>
      <c r="J29" s="98">
        <f ca="1">IFERROR(__xludf.DUMMYFUNCTION("""COMPUTED_VALUE"""),16)</f>
        <v>16</v>
      </c>
      <c r="K29" s="98">
        <f ca="1">IFERROR(__xludf.DUMMYFUNCTION("""COMPUTED_VALUE"""),16)</f>
        <v>16</v>
      </c>
      <c r="L29" s="98">
        <f ca="1">IFERROR(__xludf.DUMMYFUNCTION("""COMPUTED_VALUE"""),5)</f>
        <v>5</v>
      </c>
      <c r="M29" s="98">
        <f ca="1">IFERROR(__xludf.DUMMYFUNCTION("""COMPUTED_VALUE"""),0)</f>
        <v>0</v>
      </c>
      <c r="N29" s="91">
        <f t="shared" ca="1" si="2"/>
        <v>43</v>
      </c>
    </row>
    <row r="30" spans="1:14" ht="12.75">
      <c r="A30" s="97" t="str">
        <f ca="1">IFERROR(__xludf.DUMMYFUNCTION("""COMPUTED_VALUE"""),"Streptococcus pneumoniae")</f>
        <v>Streptococcus pneumoniae</v>
      </c>
      <c r="B30" s="98">
        <f ca="1">IFERROR(__xludf.DUMMYFUNCTION("iferror(query(db,""select count(C) where C like '""&amp;$A30&amp;""' and H&gt;=""&amp;B$1&amp;"" and H&lt;=""&amp;B$2&amp;"" AND AW = 'Yes'  LABEL COUNT(C) ''""),0)"),0)</f>
        <v>0</v>
      </c>
      <c r="C30" s="98">
        <f ca="1">IFERROR(__xludf.DUMMYFUNCTION("iferror(query(db,""select count(C) where C like '""&amp;$A30&amp;""' and H&gt;=""&amp;C$1&amp;"" and H&lt;=""&amp;C$2&amp;"" AND AW = 'Yes'  LABEL COUNT(C) ''""),0)"),0)</f>
        <v>0</v>
      </c>
      <c r="D30" s="98">
        <f ca="1">IFERROR(__xludf.DUMMYFUNCTION("iferror(query(db,""select count(C) where C like '""&amp;$A30&amp;""' and H&gt;=""&amp;D$1&amp;"" and H&lt;=""&amp;D$2&amp;"" AND AW = 'Yes'  LABEL COUNT(C) ''""),0)"),0)</f>
        <v>0</v>
      </c>
      <c r="E30" s="98">
        <f ca="1">IFERROR(__xludf.DUMMYFUNCTION("iferror(query(db,""select count(C) where C like '""&amp;$A30&amp;""' and H&gt;=""&amp;E$1&amp;"" and H&lt;=""&amp;E$2&amp;"" AND AW = 'Yes'  LABEL COUNT(C) ''""),0)"),9)</f>
        <v>9</v>
      </c>
      <c r="F30" s="98">
        <f ca="1">IFERROR(__xludf.DUMMYFUNCTION("iferror(query(db,""select count(C) where C like '""&amp;$A30&amp;""' and H&gt;=""&amp;F$1&amp;"" and H&lt;=""&amp;F$2&amp;"" AND AW = 'Yes'  LABEL COUNT(C) ''""),0)"),0)</f>
        <v>0</v>
      </c>
      <c r="G30" s="98"/>
      <c r="H30" s="98" t="str">
        <f ca="1">IFERROR(__xludf.DUMMYFUNCTION("""COMPUTED_VALUE"""),"Influenza viruses")</f>
        <v>Influenza viruses</v>
      </c>
      <c r="I30" s="98">
        <f ca="1">IFERROR(__xludf.DUMMYFUNCTION("""COMPUTED_VALUE"""),14)</f>
        <v>14</v>
      </c>
      <c r="J30" s="98">
        <f ca="1">IFERROR(__xludf.DUMMYFUNCTION("""COMPUTED_VALUE"""),14)</f>
        <v>14</v>
      </c>
      <c r="K30" s="98">
        <f ca="1">IFERROR(__xludf.DUMMYFUNCTION("""COMPUTED_VALUE"""),5)</f>
        <v>5</v>
      </c>
      <c r="L30" s="98">
        <f ca="1">IFERROR(__xludf.DUMMYFUNCTION("""COMPUTED_VALUE"""),12)</f>
        <v>12</v>
      </c>
      <c r="M30" s="98">
        <f ca="1">IFERROR(__xludf.DUMMYFUNCTION("""COMPUTED_VALUE"""),0)</f>
        <v>0</v>
      </c>
      <c r="N30" s="91">
        <f t="shared" ca="1" si="2"/>
        <v>45</v>
      </c>
    </row>
    <row r="31" spans="1:14" ht="12.75">
      <c r="A31" s="97" t="str">
        <f ca="1">IFERROR(__xludf.DUMMYFUNCTION("""COMPUTED_VALUE"""),"Trachoma virus")</f>
        <v>Trachoma virus</v>
      </c>
      <c r="B31" s="98">
        <f ca="1">IFERROR(__xludf.DUMMYFUNCTION("iferror(query(db,""select count(C) where C like '""&amp;$A31&amp;""' and H&gt;=""&amp;B$1&amp;"" and H&lt;=""&amp;B$2&amp;"" AND AW = 'Yes'  LABEL COUNT(C) ''""),0)"),0)</f>
        <v>0</v>
      </c>
      <c r="C31" s="98">
        <f ca="1">IFERROR(__xludf.DUMMYFUNCTION("iferror(query(db,""select count(C) where C like '""&amp;$A31&amp;""' and H&gt;=""&amp;C$1&amp;"" and H&lt;=""&amp;C$2&amp;"" AND AW = 'Yes'  LABEL COUNT(C) ''""),0)"),0)</f>
        <v>0</v>
      </c>
      <c r="D31" s="98">
        <f ca="1">IFERROR(__xludf.DUMMYFUNCTION("iferror(query(db,""select count(C) where C like '""&amp;$A31&amp;""' and H&gt;=""&amp;D$1&amp;"" and H&lt;=""&amp;D$2&amp;"" AND AW = 'Yes'  LABEL COUNT(C) ''""),0)"),0)</f>
        <v>0</v>
      </c>
      <c r="E31" s="98">
        <f ca="1">IFERROR(__xludf.DUMMYFUNCTION("iferror(query(db,""select count(C) where C like '""&amp;$A31&amp;""' and H&gt;=""&amp;E$1&amp;"" and H&lt;=""&amp;E$2&amp;"" AND AW = 'Yes'  LABEL COUNT(C) ''""),0)"),0)</f>
        <v>0</v>
      </c>
      <c r="F31" s="98">
        <f ca="1">IFERROR(__xludf.DUMMYFUNCTION("iferror(query(db,""select count(C) where C like '""&amp;$A31&amp;""' and H&gt;=""&amp;F$1&amp;"" and H&lt;=""&amp;F$2&amp;"" AND AW = 'Yes'  LABEL COUNT(C) ''""),0)"),0)</f>
        <v>0</v>
      </c>
      <c r="G31" s="98"/>
      <c r="H31" s="98" t="str">
        <f ca="1">IFERROR(__xludf.DUMMYFUNCTION("""COMPUTED_VALUE"""),"Plasmodium spp.")</f>
        <v>Plasmodium spp.</v>
      </c>
      <c r="I31" s="98">
        <f ca="1">IFERROR(__xludf.DUMMYFUNCTION("""COMPUTED_VALUE"""),3)</f>
        <v>3</v>
      </c>
      <c r="J31" s="98">
        <f ca="1">IFERROR(__xludf.DUMMYFUNCTION("""COMPUTED_VALUE"""),10)</f>
        <v>10</v>
      </c>
      <c r="K31" s="98">
        <f ca="1">IFERROR(__xludf.DUMMYFUNCTION("""COMPUTED_VALUE"""),7)</f>
        <v>7</v>
      </c>
      <c r="L31" s="98">
        <f ca="1">IFERROR(__xludf.DUMMYFUNCTION("""COMPUTED_VALUE"""),52)</f>
        <v>52</v>
      </c>
      <c r="M31" s="98">
        <f ca="1">IFERROR(__xludf.DUMMYFUNCTION("""COMPUTED_VALUE"""),1)</f>
        <v>1</v>
      </c>
      <c r="N31" s="91">
        <f t="shared" ca="1" si="2"/>
        <v>73</v>
      </c>
    </row>
    <row r="32" spans="1:14" ht="12.75">
      <c r="A32" s="97" t="str">
        <f ca="1">IFERROR(__xludf.DUMMYFUNCTION("""COMPUTED_VALUE"""),"Vibrio cholerae")</f>
        <v>Vibrio cholerae</v>
      </c>
      <c r="B32" s="98">
        <f ca="1">IFERROR(__xludf.DUMMYFUNCTION("iferror(query(db,""select count(C) where C like '""&amp;$A32&amp;""' and H&gt;=""&amp;B$1&amp;"" and H&lt;=""&amp;B$2&amp;"" AND AW = 'Yes'  LABEL COUNT(C) ''""),0)"),0)</f>
        <v>0</v>
      </c>
      <c r="C32" s="98">
        <f ca="1">IFERROR(__xludf.DUMMYFUNCTION("iferror(query(db,""select count(C) where C like '""&amp;$A32&amp;""' and H&gt;=""&amp;C$1&amp;"" and H&lt;=""&amp;C$2&amp;"" AND AW = 'Yes'  LABEL COUNT(C) ''""),0)"),3)</f>
        <v>3</v>
      </c>
      <c r="D32" s="98">
        <f ca="1">IFERROR(__xludf.DUMMYFUNCTION("iferror(query(db,""select count(C) where C like '""&amp;$A32&amp;""' and H&gt;=""&amp;D$1&amp;"" and H&lt;=""&amp;D$2&amp;"" AND AW = 'Yes'  LABEL COUNT(C) ''""),0)"),1)</f>
        <v>1</v>
      </c>
      <c r="E32" s="98">
        <f ca="1">IFERROR(__xludf.DUMMYFUNCTION("iferror(query(db,""select count(C) where C like '""&amp;$A32&amp;""' and H&gt;=""&amp;E$1&amp;"" and H&lt;=""&amp;E$2&amp;"" AND AW = 'Yes'  LABEL COUNT(C) ''""),0)"),1)</f>
        <v>1</v>
      </c>
      <c r="F32" s="98">
        <f ca="1">IFERROR(__xludf.DUMMYFUNCTION("iferror(query(db,""select count(C) where C like '""&amp;$A32&amp;""' and H&gt;=""&amp;F$1&amp;"" and H&lt;=""&amp;F$2&amp;"" AND AW = 'Yes'  LABEL COUNT(C) ''""),0)"),0)</f>
        <v>0</v>
      </c>
      <c r="G32" s="98"/>
      <c r="H32" s="98"/>
      <c r="I32" s="98"/>
      <c r="J32" s="98"/>
      <c r="K32" s="98"/>
      <c r="L32" s="98"/>
      <c r="M32" s="98"/>
      <c r="N32" s="98"/>
    </row>
    <row r="33" spans="1:14" ht="12.75">
      <c r="A33" s="97"/>
      <c r="B33" s="97"/>
      <c r="C33" s="97"/>
      <c r="D33" s="97"/>
      <c r="E33" s="97"/>
      <c r="F33" s="102"/>
      <c r="G33" s="98"/>
      <c r="H33" s="98"/>
      <c r="I33" s="98"/>
      <c r="J33" s="98"/>
      <c r="K33" s="98"/>
      <c r="L33" s="98"/>
      <c r="M33" s="98"/>
      <c r="N33" s="98"/>
    </row>
    <row r="34" spans="1:14" ht="12.75">
      <c r="A34" s="97"/>
      <c r="B34" s="97"/>
      <c r="C34" s="97"/>
      <c r="D34" s="97"/>
      <c r="E34" s="97"/>
      <c r="F34" s="97"/>
      <c r="G34" s="102"/>
      <c r="H34" s="102"/>
      <c r="I34" s="102"/>
      <c r="J34" s="102"/>
      <c r="K34" s="102"/>
      <c r="L34" s="102"/>
      <c r="M34" s="102"/>
      <c r="N34" s="102"/>
    </row>
    <row r="35" spans="1:14" ht="12.75">
      <c r="A35" s="97"/>
      <c r="B35" s="97"/>
      <c r="C35" s="97"/>
      <c r="D35" s="97"/>
      <c r="E35" s="97"/>
      <c r="F35" s="102"/>
      <c r="G35" s="97"/>
      <c r="H35" s="97"/>
      <c r="I35" s="97"/>
      <c r="J35" s="97"/>
      <c r="K35" s="97"/>
      <c r="L35" s="97"/>
      <c r="M35" s="97"/>
      <c r="N35" s="97"/>
    </row>
    <row r="36" spans="1:14" ht="12.75">
      <c r="A36" s="97"/>
      <c r="B36" s="97"/>
      <c r="C36" s="97"/>
      <c r="D36" s="97"/>
      <c r="E36" s="97"/>
      <c r="F36" s="102"/>
      <c r="G36" s="102"/>
      <c r="H36" s="102"/>
      <c r="I36" s="102"/>
      <c r="J36" s="102"/>
      <c r="K36" s="102"/>
      <c r="L36" s="102"/>
      <c r="M36" s="102"/>
      <c r="N36" s="102"/>
    </row>
    <row r="37" spans="1:14" ht="12.75">
      <c r="A37" s="97"/>
      <c r="B37" s="97"/>
      <c r="C37" s="97"/>
      <c r="D37" s="97"/>
      <c r="E37" s="97"/>
      <c r="F37" s="102"/>
      <c r="G37" s="102"/>
      <c r="H37" s="102"/>
      <c r="I37" s="102"/>
      <c r="J37" s="102"/>
      <c r="K37" s="102"/>
      <c r="L37" s="102"/>
      <c r="M37" s="102"/>
      <c r="N37" s="102"/>
    </row>
    <row r="38" spans="1:14" ht="12.75">
      <c r="A38" s="97"/>
      <c r="B38" s="97"/>
      <c r="C38" s="97"/>
      <c r="D38" s="97"/>
      <c r="E38" s="97"/>
      <c r="F38" s="102"/>
      <c r="G38" s="102"/>
      <c r="H38" s="102"/>
      <c r="I38" s="102"/>
      <c r="J38" s="102"/>
      <c r="K38" s="102"/>
      <c r="L38" s="102"/>
      <c r="M38" s="102"/>
      <c r="N38" s="102"/>
    </row>
    <row r="39" spans="1:14" ht="12.75">
      <c r="A39" s="97"/>
      <c r="B39" s="97"/>
      <c r="C39" s="97"/>
      <c r="D39" s="97"/>
      <c r="E39" s="97"/>
      <c r="F39" s="102"/>
      <c r="G39" s="102"/>
      <c r="H39" s="102"/>
      <c r="I39" s="102"/>
      <c r="J39" s="102"/>
      <c r="K39" s="102"/>
      <c r="L39" s="102"/>
      <c r="M39" s="102"/>
      <c r="N39" s="102"/>
    </row>
    <row r="40" spans="1:14" ht="12.75">
      <c r="A40" s="97"/>
      <c r="B40" s="97"/>
      <c r="C40" s="97"/>
      <c r="D40" s="97"/>
      <c r="E40" s="97"/>
      <c r="F40" s="102"/>
      <c r="G40" s="102"/>
      <c r="H40" s="102"/>
      <c r="I40" s="102"/>
      <c r="J40" s="102"/>
      <c r="K40" s="102"/>
      <c r="L40" s="102"/>
      <c r="M40" s="102"/>
      <c r="N40" s="102"/>
    </row>
    <row r="41" spans="1:14" ht="12.75">
      <c r="A41" s="97"/>
      <c r="B41" s="97"/>
      <c r="C41" s="97"/>
      <c r="D41" s="97"/>
      <c r="E41" s="97"/>
      <c r="F41" s="102"/>
      <c r="G41" s="102"/>
      <c r="H41" s="102"/>
      <c r="I41" s="102"/>
      <c r="J41" s="102"/>
      <c r="K41" s="102"/>
      <c r="L41" s="102"/>
      <c r="M41" s="102"/>
      <c r="N41" s="102"/>
    </row>
    <row r="42" spans="1:14" ht="12.75">
      <c r="A42" s="97"/>
      <c r="B42" s="97"/>
      <c r="C42" s="97"/>
      <c r="D42" s="97"/>
      <c r="E42" s="97"/>
      <c r="F42" s="102"/>
      <c r="G42" s="102"/>
      <c r="H42" s="102"/>
      <c r="I42" s="102"/>
      <c r="J42" s="102"/>
      <c r="K42" s="102"/>
      <c r="L42" s="102"/>
      <c r="M42" s="102"/>
      <c r="N42" s="102"/>
    </row>
    <row r="43" spans="1:14" ht="12.75">
      <c r="A43" s="97"/>
      <c r="B43" s="97"/>
      <c r="C43" s="97"/>
      <c r="D43" s="97"/>
      <c r="E43" s="97"/>
      <c r="F43" s="102"/>
      <c r="G43" s="102"/>
      <c r="H43" s="102"/>
      <c r="I43" s="102"/>
      <c r="J43" s="102"/>
      <c r="K43" s="102"/>
      <c r="L43" s="102"/>
      <c r="M43" s="102"/>
      <c r="N43" s="102"/>
    </row>
    <row r="44" spans="1:14" ht="12.75">
      <c r="A44" s="97"/>
      <c r="B44" s="97"/>
      <c r="C44" s="97"/>
      <c r="D44" s="97"/>
      <c r="E44" s="97"/>
      <c r="F44" s="102"/>
      <c r="G44" s="102"/>
      <c r="H44" s="102"/>
      <c r="I44" s="102"/>
      <c r="J44" s="102"/>
      <c r="K44" s="102"/>
      <c r="L44" s="102"/>
      <c r="M44" s="102"/>
      <c r="N44" s="102"/>
    </row>
    <row r="45" spans="1:14" ht="12.75">
      <c r="A45" s="97"/>
      <c r="B45" s="97"/>
      <c r="C45" s="97"/>
      <c r="D45" s="97"/>
      <c r="E45" s="97"/>
      <c r="F45" s="102"/>
      <c r="G45" s="102"/>
      <c r="H45" s="102"/>
      <c r="I45" s="102"/>
      <c r="J45" s="102"/>
      <c r="K45" s="102"/>
      <c r="L45" s="102"/>
      <c r="M45" s="102"/>
      <c r="N45" s="102"/>
    </row>
    <row r="46" spans="1:14" ht="12.75">
      <c r="A46" s="97"/>
      <c r="B46" s="97"/>
      <c r="C46" s="97"/>
      <c r="D46" s="97"/>
      <c r="E46" s="97"/>
      <c r="F46" s="102"/>
      <c r="G46" s="102"/>
      <c r="H46" s="102"/>
      <c r="I46" s="102"/>
      <c r="J46" s="102"/>
      <c r="K46" s="102"/>
      <c r="L46" s="102"/>
      <c r="M46" s="102"/>
      <c r="N46" s="102"/>
    </row>
    <row r="47" spans="1:14" ht="12.75">
      <c r="A47" s="97"/>
      <c r="B47" s="97"/>
      <c r="C47" s="97"/>
      <c r="D47" s="97"/>
      <c r="E47" s="97"/>
      <c r="F47" s="102"/>
      <c r="G47" s="102"/>
      <c r="H47" s="102"/>
      <c r="I47" s="102"/>
      <c r="J47" s="102"/>
      <c r="K47" s="102"/>
      <c r="L47" s="102"/>
      <c r="M47" s="102"/>
      <c r="N47" s="102"/>
    </row>
    <row r="48" spans="1:14" ht="12.75">
      <c r="A48" s="97"/>
      <c r="B48" s="97"/>
      <c r="C48" s="97"/>
      <c r="D48" s="97"/>
      <c r="E48" s="97"/>
      <c r="F48" s="102"/>
      <c r="G48" s="102"/>
      <c r="H48" s="102"/>
      <c r="I48" s="102"/>
      <c r="J48" s="102"/>
      <c r="K48" s="102"/>
      <c r="L48" s="102"/>
      <c r="M48" s="102"/>
      <c r="N48" s="102"/>
    </row>
    <row r="49" spans="1:14" ht="12.75">
      <c r="A49" s="97"/>
      <c r="B49" s="97"/>
      <c r="C49" s="97"/>
      <c r="D49" s="97"/>
      <c r="E49" s="97"/>
      <c r="F49" s="102"/>
      <c r="G49" s="102"/>
      <c r="H49" s="102"/>
      <c r="I49" s="102"/>
      <c r="J49" s="102"/>
      <c r="K49" s="102"/>
      <c r="L49" s="102"/>
      <c r="M49" s="102"/>
      <c r="N49" s="102"/>
    </row>
    <row r="50" spans="1:14" ht="12.75">
      <c r="A50" s="97"/>
      <c r="B50" s="97"/>
      <c r="C50" s="97"/>
      <c r="D50" s="97"/>
      <c r="E50" s="97"/>
      <c r="F50" s="102"/>
      <c r="G50" s="102"/>
      <c r="H50" s="102"/>
      <c r="I50" s="102"/>
      <c r="J50" s="102"/>
      <c r="K50" s="102"/>
      <c r="L50" s="102"/>
      <c r="M50" s="102"/>
      <c r="N50" s="102"/>
    </row>
    <row r="51" spans="1:14" ht="12.75">
      <c r="A51" s="97"/>
      <c r="B51" s="97"/>
      <c r="C51" s="97"/>
      <c r="D51" s="97"/>
      <c r="E51" s="97"/>
      <c r="F51" s="102"/>
      <c r="G51" s="102"/>
      <c r="H51" s="102"/>
      <c r="I51" s="102"/>
      <c r="J51" s="102"/>
      <c r="K51" s="102"/>
      <c r="L51" s="102"/>
      <c r="M51" s="102"/>
      <c r="N51" s="102"/>
    </row>
    <row r="52" spans="1:14" ht="12.75">
      <c r="A52" s="97"/>
      <c r="B52" s="97"/>
      <c r="C52" s="97"/>
      <c r="D52" s="97"/>
      <c r="E52" s="97"/>
      <c r="F52" s="102"/>
      <c r="G52" s="102"/>
      <c r="H52" s="102"/>
      <c r="I52" s="102"/>
      <c r="J52" s="102"/>
      <c r="K52" s="102"/>
      <c r="L52" s="102"/>
      <c r="M52" s="102"/>
      <c r="N52" s="102"/>
    </row>
    <row r="53" spans="1:14" ht="12.75">
      <c r="A53" s="97"/>
      <c r="B53" s="97"/>
      <c r="C53" s="97"/>
      <c r="D53" s="97"/>
      <c r="E53" s="97"/>
      <c r="F53" s="102"/>
      <c r="G53" s="102"/>
      <c r="H53" s="102"/>
      <c r="I53" s="102"/>
      <c r="J53" s="102"/>
      <c r="K53" s="102"/>
      <c r="L53" s="102"/>
      <c r="M53" s="102"/>
      <c r="N53" s="102"/>
    </row>
    <row r="54" spans="1:14" ht="12.75">
      <c r="A54" s="97"/>
      <c r="B54" s="97"/>
      <c r="C54" s="97"/>
      <c r="D54" s="97"/>
      <c r="E54" s="97"/>
      <c r="F54" s="102"/>
      <c r="G54" s="102"/>
      <c r="H54" s="102"/>
      <c r="I54" s="102"/>
      <c r="J54" s="102"/>
      <c r="K54" s="102"/>
      <c r="L54" s="102"/>
      <c r="M54" s="102"/>
      <c r="N54" s="102"/>
    </row>
    <row r="55" spans="1:14" ht="12.75">
      <c r="A55" s="97"/>
      <c r="B55" s="97"/>
      <c r="C55" s="97"/>
      <c r="D55" s="97"/>
      <c r="E55" s="97"/>
      <c r="F55" s="102"/>
      <c r="G55" s="102"/>
      <c r="H55" s="102"/>
      <c r="I55" s="102"/>
      <c r="J55" s="102"/>
      <c r="K55" s="102"/>
      <c r="L55" s="102"/>
      <c r="M55" s="102"/>
      <c r="N55" s="102"/>
    </row>
    <row r="56" spans="1:14" ht="12.75">
      <c r="A56" s="97"/>
      <c r="B56" s="97"/>
      <c r="C56" s="97"/>
      <c r="D56" s="97"/>
      <c r="E56" s="97"/>
      <c r="F56" s="102"/>
      <c r="G56" s="102"/>
      <c r="H56" s="102"/>
      <c r="I56" s="102"/>
      <c r="J56" s="102"/>
      <c r="K56" s="102"/>
      <c r="L56" s="102"/>
      <c r="M56" s="102"/>
      <c r="N56" s="102"/>
    </row>
    <row r="57" spans="1:14" ht="12.75">
      <c r="A57" s="97"/>
      <c r="B57" s="97"/>
      <c r="C57" s="97"/>
      <c r="D57" s="97"/>
      <c r="E57" s="97"/>
      <c r="F57" s="102"/>
      <c r="G57" s="102"/>
      <c r="H57" s="102"/>
      <c r="I57" s="102"/>
      <c r="J57" s="102"/>
      <c r="K57" s="102"/>
      <c r="L57" s="102"/>
      <c r="M57" s="102"/>
      <c r="N57" s="102"/>
    </row>
    <row r="58" spans="1:14" ht="12.75">
      <c r="A58" s="97"/>
      <c r="B58" s="97"/>
      <c r="C58" s="97"/>
      <c r="D58" s="97"/>
      <c r="E58" s="97"/>
      <c r="F58" s="102"/>
      <c r="G58" s="102"/>
      <c r="H58" s="102"/>
      <c r="I58" s="102"/>
      <c r="J58" s="102"/>
      <c r="K58" s="102"/>
      <c r="L58" s="102"/>
      <c r="M58" s="102"/>
      <c r="N58" s="102"/>
    </row>
    <row r="59" spans="1:14" ht="12.75">
      <c r="A59" s="97"/>
      <c r="B59" s="97"/>
      <c r="C59" s="97"/>
      <c r="D59" s="97"/>
      <c r="E59" s="97"/>
      <c r="F59" s="102"/>
      <c r="G59" s="102"/>
      <c r="H59" s="102"/>
      <c r="I59" s="102"/>
      <c r="J59" s="102"/>
      <c r="K59" s="102"/>
      <c r="L59" s="102"/>
      <c r="M59" s="102"/>
      <c r="N59" s="102"/>
    </row>
    <row r="60" spans="1:14" ht="12.75">
      <c r="A60" s="97"/>
      <c r="B60" s="97"/>
      <c r="C60" s="97"/>
      <c r="D60" s="97"/>
      <c r="E60" s="97"/>
      <c r="F60" s="102"/>
      <c r="G60" s="102"/>
      <c r="H60" s="102"/>
      <c r="I60" s="102"/>
      <c r="J60" s="102"/>
      <c r="K60" s="102"/>
      <c r="L60" s="102"/>
      <c r="M60" s="102"/>
      <c r="N60" s="102"/>
    </row>
    <row r="61" spans="1:14" ht="12.75">
      <c r="A61" s="97"/>
      <c r="B61" s="97"/>
      <c r="C61" s="97"/>
      <c r="D61" s="97"/>
      <c r="E61" s="97"/>
      <c r="F61" s="102"/>
      <c r="G61" s="102"/>
      <c r="H61" s="102"/>
      <c r="I61" s="102"/>
      <c r="J61" s="102"/>
      <c r="K61" s="102"/>
      <c r="L61" s="102"/>
      <c r="M61" s="102"/>
      <c r="N61" s="102"/>
    </row>
    <row r="62" spans="1:14" ht="12.75">
      <c r="A62" s="97"/>
      <c r="B62" s="97"/>
      <c r="C62" s="97"/>
      <c r="D62" s="97"/>
      <c r="E62" s="97"/>
      <c r="F62" s="102"/>
      <c r="G62" s="102"/>
      <c r="H62" s="102"/>
      <c r="I62" s="102"/>
      <c r="J62" s="102"/>
      <c r="K62" s="102"/>
      <c r="L62" s="102"/>
      <c r="M62" s="102"/>
      <c r="N62" s="102"/>
    </row>
    <row r="63" spans="1:14" ht="12.75">
      <c r="A63" s="97"/>
      <c r="B63" s="97"/>
      <c r="C63" s="97"/>
      <c r="D63" s="97"/>
      <c r="E63" s="97"/>
      <c r="F63" s="102"/>
      <c r="G63" s="102"/>
      <c r="H63" s="102"/>
      <c r="I63" s="102"/>
      <c r="J63" s="102"/>
      <c r="K63" s="102"/>
      <c r="L63" s="102"/>
      <c r="M63" s="102"/>
      <c r="N63" s="102"/>
    </row>
    <row r="64" spans="1:14" ht="12.75">
      <c r="A64" s="97"/>
      <c r="B64" s="97"/>
      <c r="C64" s="97"/>
      <c r="D64" s="97"/>
      <c r="E64" s="97"/>
      <c r="F64" s="102"/>
      <c r="G64" s="102"/>
      <c r="H64" s="102"/>
      <c r="I64" s="102"/>
      <c r="J64" s="102"/>
      <c r="K64" s="102"/>
      <c r="L64" s="102"/>
      <c r="M64" s="102"/>
      <c r="N64" s="102"/>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AE1001"/>
  <sheetViews>
    <sheetView workbookViewId="0"/>
  </sheetViews>
  <sheetFormatPr defaultColWidth="14.42578125" defaultRowHeight="15.75" customHeight="1"/>
  <cols>
    <col min="1" max="1" width="17.140625" customWidth="1"/>
    <col min="2" max="2" width="30.5703125" customWidth="1"/>
    <col min="3" max="3" width="28.42578125" customWidth="1"/>
    <col min="6" max="6" width="22.140625" customWidth="1"/>
    <col min="32" max="32" width="11.5703125" customWidth="1"/>
  </cols>
  <sheetData>
    <row r="1" spans="1:31">
      <c r="A1" s="28" t="s">
        <v>124</v>
      </c>
      <c r="B1" s="10"/>
    </row>
    <row r="2" spans="1:31">
      <c r="A2" s="28" t="s">
        <v>125</v>
      </c>
      <c r="B2" s="10"/>
    </row>
    <row r="3" spans="1:31">
      <c r="A3" s="28" t="s">
        <v>126</v>
      </c>
      <c r="B3" s="10"/>
      <c r="F3" s="28" t="s">
        <v>127</v>
      </c>
    </row>
    <row r="4" spans="1:31">
      <c r="A4" s="28"/>
      <c r="B4" s="4" t="s">
        <v>128</v>
      </c>
      <c r="C4" s="28" t="s">
        <v>129</v>
      </c>
      <c r="F4" s="51" t="s">
        <v>130</v>
      </c>
      <c r="G4" s="52" t="s">
        <v>106</v>
      </c>
      <c r="H4" s="52" t="s">
        <v>107</v>
      </c>
      <c r="I4" s="52" t="s">
        <v>131</v>
      </c>
      <c r="J4" s="52" t="s">
        <v>132</v>
      </c>
      <c r="K4" s="52" t="s">
        <v>133</v>
      </c>
      <c r="L4" s="418" t="s">
        <v>134</v>
      </c>
      <c r="M4" s="421"/>
      <c r="N4" s="418" t="s">
        <v>135</v>
      </c>
      <c r="O4" s="421"/>
      <c r="P4" s="418" t="s">
        <v>136</v>
      </c>
      <c r="Q4" s="421"/>
      <c r="R4" s="418" t="s">
        <v>137</v>
      </c>
      <c r="S4" s="421"/>
      <c r="T4" s="418" t="s">
        <v>138</v>
      </c>
      <c r="U4" s="421"/>
      <c r="V4" s="52" t="s">
        <v>139</v>
      </c>
      <c r="W4" s="52" t="s">
        <v>140</v>
      </c>
      <c r="X4" s="52" t="s">
        <v>141</v>
      </c>
      <c r="Y4" s="52" t="s">
        <v>142</v>
      </c>
      <c r="Z4" s="103" t="s">
        <v>143</v>
      </c>
      <c r="AB4" s="28" t="s">
        <v>104</v>
      </c>
      <c r="AC4" s="28" t="s">
        <v>111</v>
      </c>
      <c r="AE4" s="104"/>
    </row>
    <row r="5" spans="1:31">
      <c r="A5" s="424" t="s">
        <v>144</v>
      </c>
      <c r="B5" s="105" t="s">
        <v>145</v>
      </c>
      <c r="C5" s="106" t="s">
        <v>146</v>
      </c>
      <c r="F5" s="107" t="s">
        <v>147</v>
      </c>
      <c r="G5" s="57">
        <f>COUNTIFS(Included!B:B,"&lt;="&amp;AC5, Included!B:B,"&gt;="&amp;AB5, Included!AS:AS, "yes")</f>
        <v>33</v>
      </c>
      <c r="H5" s="57">
        <f>SUMIFS(Included!X:X, Included!B:B, "&lt;="&amp;AC5, Included!B:B, "&gt;="&amp;AB5, Included!AS:AS, "yes")</f>
        <v>1789</v>
      </c>
      <c r="I5" s="57">
        <f>SUMIFS(Included!AB:AB, Included!B:B, "&lt;="&amp;AC5, Included!B:B, "&gt;="&amp;AB5, Included!AS:AS, "yes")</f>
        <v>18</v>
      </c>
      <c r="J5" s="57">
        <f>SUMIFS(Included!Z:Z, Included!B:B, "&lt;="&amp;AC5, Included!B:B, "&gt;="&amp;AB5, Included!AS:AS, "yes")</f>
        <v>1173</v>
      </c>
      <c r="K5" s="57">
        <f>SUMIFS(Included!AD:AD, Included!B:B, "&lt;="&amp;AC5, Included!B:B, "&gt;="&amp;AB5, Included!AS:AS, "yes")</f>
        <v>0</v>
      </c>
      <c r="L5" s="57">
        <f>SUMIFS(Included!AG:AG, Included!B:B, "&lt;="&amp;AC5, Included!B:B, "&gt;="&amp;AB5, Included!AS:AS, "yes")</f>
        <v>338</v>
      </c>
      <c r="M5" s="57" t="str">
        <f t="shared" ref="M5:M9" si="0">"("&amp;TEXT(L5/H5,"0.0%")&amp;")"</f>
        <v>(18.9%)</v>
      </c>
      <c r="N5" s="57">
        <f>SUMIFS(Included!AL:AL, Included!B:B, "&lt;="&amp;AC5, Included!B:B, "&gt;="&amp;AB5, Included!AS:AS, "yes")</f>
        <v>0</v>
      </c>
      <c r="O5" s="57" t="str">
        <f t="shared" ref="O5:O9" si="1">"("&amp;TEXT(N5/I5,"0.0%")&amp;")"</f>
        <v>(0.0%)</v>
      </c>
      <c r="P5" s="57">
        <f>SUMIFS(Included!AJ:AJ, Included!B:B, "&lt;="&amp;AC5, Included!B:B, "&gt;="&amp;AB5, Included!AS:AS, "yes")</f>
        <v>9</v>
      </c>
      <c r="Q5" s="57" t="str">
        <f t="shared" ref="Q5:Q9" si="2">"("&amp;TEXT(P5/H5,"0.0%")&amp;")"</f>
        <v>(0.5%)</v>
      </c>
      <c r="R5" s="57">
        <f>SUMIFS(Included!AI:AI, Included!B:B, "&lt;="&amp;AC5, Included!B:B, "&gt;="&amp;AB5, Included!AS:AS, "yes")</f>
        <v>6</v>
      </c>
      <c r="S5" s="57" t="str">
        <f t="shared" ref="S5:S9" si="3">"("&amp;TEXT(R5/H5,"0.0%")&amp;")"</f>
        <v>(0.3%)</v>
      </c>
      <c r="T5" s="98">
        <f>COUNTIFS(Included!AE:AE, "*None given*", Included!B:B,"&lt;="&amp;AC5, Included!B:B,"&gt;="&amp;AB5, Included!AS:AS, "yes")</f>
        <v>27</v>
      </c>
      <c r="U5" s="57" t="str">
        <f t="shared" ref="U5:U9" si="4">"("&amp;TEXT(T5/G5,"0.0%")&amp;")"</f>
        <v>(81.8%)</v>
      </c>
      <c r="V5" s="98">
        <f>COUNTIFS(Included!AK:AK, "*No SAEs mentioned in text*", Included!B:B,"&lt;="&amp;AC5, Included!B:B,"&gt;="&amp;AB5, Included!AS:AS, "yes")</f>
        <v>25</v>
      </c>
      <c r="W5" s="98">
        <f>COUNTIFS(Included!AI:AI, "=*nd*", Included!B:B,"&lt;="&amp;AC5,Included!B:B,"&gt;="&amp;AB5, Included!AS:AS, "yes")</f>
        <v>6</v>
      </c>
      <c r="X5" s="98">
        <f>COUNTIFS(Included!AI:AI, "=*unclear*", Included!B:B, "&lt;="&amp;AC5, Included!B:B, "&gt;="&amp;AB5, Included!AS:AS, "yes")</f>
        <v>0</v>
      </c>
      <c r="Y5" s="98">
        <f>COUNTIFS(Included!AG:AG, "=*nd*", Included!B:B, "&lt;="&amp;AC5, Included!B:B, "&gt;="&amp;AB5, Included!AS:AS, "yes")</f>
        <v>8</v>
      </c>
      <c r="Z5" s="108">
        <f>COUNTIFS(Included!AG:AG, "=*unclear*", Included!B:B, "&lt;="&amp;AC5, Included!B:B, "&gt;="&amp;AB5, Included!AS:AS, "yes")</f>
        <v>2</v>
      </c>
      <c r="AB5" s="28">
        <v>1980</v>
      </c>
      <c r="AC5" s="28">
        <v>1989</v>
      </c>
      <c r="AE5" s="28"/>
    </row>
    <row r="6" spans="1:31">
      <c r="A6" s="425"/>
      <c r="B6" s="4" t="s">
        <v>148</v>
      </c>
      <c r="C6" s="28" t="s">
        <v>149</v>
      </c>
      <c r="F6" s="109" t="s">
        <v>150</v>
      </c>
      <c r="G6" s="63">
        <f>COUNTIFS(Included!B:B,"&lt;="&amp;AC6, Included!B:B,"&gt;="&amp;AB6, Included!AS:AS, "yes")</f>
        <v>77</v>
      </c>
      <c r="H6" s="63">
        <f>SUMIFS(Included!X:X, Included!B:B, "&lt;="&amp;AC6, Included!B:B, "&gt;="&amp;AB6, Included!AS:AS, "yes")</f>
        <v>4250</v>
      </c>
      <c r="I6" s="63">
        <f>SUMIFS(Included!AB:AB, Included!B:B, "&lt;="&amp;AC6, Included!B:B, "&gt;="&amp;AB6, Included!AS:AS, "yes")</f>
        <v>47</v>
      </c>
      <c r="J6" s="63">
        <f>SUMIFS(Included!Z:Z, Included!B:B, "&lt;="&amp;AC6, Included!B:B, "&gt;="&amp;AB6, Included!AS:AS, "yes")</f>
        <v>2963</v>
      </c>
      <c r="K6" s="63">
        <f>SUMIFS(Included!AD:AD, Included!B:B, "&lt;="&amp;AC6, Included!B:B, "&gt;="&amp;AB6, Included!AS:AS, "yes")</f>
        <v>0</v>
      </c>
      <c r="L6" s="63">
        <f>SUMIFS(Included!AG:AG, Included!B:B, "&lt;="&amp;AC6, Included!B:B, "&gt;="&amp;AB6, Included!AS:AS, "yes")</f>
        <v>899</v>
      </c>
      <c r="M6" s="63" t="str">
        <f t="shared" si="0"/>
        <v>(21.2%)</v>
      </c>
      <c r="N6" s="63">
        <f>SUMIFS(Included!AL:AL, Included!B:B, "&lt;="&amp;AC6, Included!B:B, "&gt;="&amp;AB6, Included!AS:AS, "yes")</f>
        <v>0</v>
      </c>
      <c r="O6" s="63" t="str">
        <f t="shared" si="1"/>
        <v>(0.0%)</v>
      </c>
      <c r="P6" s="63">
        <f>SUMIFS(Included!AJ:AJ, Included!B:B, "&lt;="&amp;AC6, Included!B:B, "&gt;="&amp;AB6, Included!AS:AS, "yes")</f>
        <v>23</v>
      </c>
      <c r="Q6" s="63" t="str">
        <f t="shared" si="2"/>
        <v>(0.5%)</v>
      </c>
      <c r="R6" s="63">
        <f>SUMIFS(Included!AI:AI, Included!B:B, "&lt;="&amp;AC6, Included!B:B, "&gt;="&amp;AB6, Included!AS:AS, "yes")</f>
        <v>1</v>
      </c>
      <c r="S6" s="63" t="str">
        <f t="shared" si="3"/>
        <v>(0.0%)</v>
      </c>
      <c r="T6" s="110">
        <f>COUNTIFS(Included!AE:AE, "*None given*", Included!B:B,"&lt;="&amp;AC6, Included!B:B,"&gt;="&amp;AB6, Included!AS:AS, "yes")</f>
        <v>60</v>
      </c>
      <c r="U6" s="63" t="str">
        <f t="shared" si="4"/>
        <v>(77.9%)</v>
      </c>
      <c r="V6" s="110">
        <f>COUNTIFS(Included!AK:AK, "*No SAEs mentioned in text*", Included!B:B,"&lt;="&amp;AC6, Included!B:B,"&gt;="&amp;AB6, Included!AS:AS, "yes")</f>
        <v>41</v>
      </c>
      <c r="W6" s="110">
        <f>COUNTIFS(Included!AI:AI, "=*nd*", Included!B:B,"&lt;="&amp;AC6,Included!B:B,"&gt;="&amp;AB6, Included!AS:AS, "yes")</f>
        <v>35</v>
      </c>
      <c r="X6" s="110">
        <f>COUNTIFS(Included!AI:AI, "=*unclear*", Included!B:B, "&lt;="&amp;AC6, Included!B:B, "&gt;="&amp;AB6, Included!AS:AS, "yes")</f>
        <v>0</v>
      </c>
      <c r="Y6" s="110">
        <f>COUNTIFS(Included!AG:AG, "=*nd*", Included!B:B, "&lt;="&amp;AC6, Included!B:B, "&gt;="&amp;AB6, Included!AS:AS, "yes")</f>
        <v>35</v>
      </c>
      <c r="Z6" s="111">
        <f>COUNTIFS(Included!AG:AG, "=*unclear*", Included!B:B, "&lt;="&amp;AC6, Included!B:B, "&gt;="&amp;AB6, Included!AS:AS, "yes")</f>
        <v>8</v>
      </c>
      <c r="AB6" s="45">
        <f t="shared" ref="AB6:AB9" si="5">AC5+1</f>
        <v>1990</v>
      </c>
      <c r="AC6" s="45">
        <f t="shared" ref="AC6:AC9" si="6">AB6+9</f>
        <v>1999</v>
      </c>
      <c r="AE6" s="28"/>
    </row>
    <row r="7" spans="1:31">
      <c r="A7" s="425"/>
      <c r="B7" s="112" t="s">
        <v>151</v>
      </c>
      <c r="C7" s="113" t="s">
        <v>152</v>
      </c>
      <c r="F7" s="107" t="s">
        <v>153</v>
      </c>
      <c r="G7" s="57">
        <f>COUNTIFS(Included!B:B,"&lt;="&amp;AC7, Included!B:B,"&gt;="&amp;AB7, Included!AS:AS, "yes")</f>
        <v>60</v>
      </c>
      <c r="H7" s="57">
        <f>SUMIFS(Included!X:X, Included!B:B, "&lt;="&amp;AC7, Included!B:B, "&gt;="&amp;AB7, Included!AS:AS, "yes")</f>
        <v>2939</v>
      </c>
      <c r="I7" s="57">
        <f>SUMIFS(Included!AB:AB, Included!B:B, "&lt;="&amp;AC7, Included!B:B, "&gt;="&amp;AB7, Included!AS:AS, "yes")</f>
        <v>37</v>
      </c>
      <c r="J7" s="57">
        <f>SUMIFS(Included!Z:Z, Included!B:B, "&lt;="&amp;AC7, Included!B:B, "&gt;="&amp;AB7, Included!AS:AS, "yes")</f>
        <v>2192</v>
      </c>
      <c r="K7" s="57">
        <f>SUMIFS(Included!AD:AD, Included!B:B, "&lt;="&amp;AC7, Included!B:B, "&gt;="&amp;AB7, Included!AS:AS, "yes")</f>
        <v>0</v>
      </c>
      <c r="L7" s="57">
        <f>SUMIFS(Included!AG:AG, Included!B:B, "&lt;="&amp;AC7, Included!B:B, "&gt;="&amp;AB7, Included!AS:AS, "yes")</f>
        <v>693</v>
      </c>
      <c r="M7" s="57" t="str">
        <f t="shared" si="0"/>
        <v>(23.6%)</v>
      </c>
      <c r="N7" s="57">
        <f>SUMIFS(Included!AL:AL, Included!B:B, "&lt;="&amp;AC7, Included!B:B, "&gt;="&amp;AB7, Included!AS:AS, "yes")</f>
        <v>0</v>
      </c>
      <c r="O7" s="57" t="str">
        <f t="shared" si="1"/>
        <v>(0.0%)</v>
      </c>
      <c r="P7" s="57">
        <f>SUMIFS(Included!AJ:AJ, Included!B:B, "&lt;="&amp;AC7, Included!B:B, "&gt;="&amp;AB7, Included!AS:AS, "yes")</f>
        <v>25</v>
      </c>
      <c r="Q7" s="57" t="str">
        <f t="shared" si="2"/>
        <v>(0.9%)</v>
      </c>
      <c r="R7" s="57">
        <f>SUMIFS(Included!AI:AI, Included!B:B, "&lt;="&amp;AC7, Included!B:B, "&gt;="&amp;AB7, Included!AS:AS, "yes")</f>
        <v>1</v>
      </c>
      <c r="S7" s="57" t="str">
        <f t="shared" si="3"/>
        <v>(0.0%)</v>
      </c>
      <c r="T7" s="98">
        <f>COUNTIFS(Included!AE:AE, "*None given*", Included!B:B,"&lt;="&amp;AC7, Included!B:B,"&gt;="&amp;AB7, Included!AS:AS, "yes")</f>
        <v>48</v>
      </c>
      <c r="U7" s="57" t="str">
        <f t="shared" si="4"/>
        <v>(80.0%)</v>
      </c>
      <c r="V7" s="98">
        <f>COUNTIFS(Included!AK:AK, "*No SAEs mentioned in text*", Included!B:B,"&lt;="&amp;AC7, Included!B:B,"&gt;="&amp;AB7, Included!AS:AS, "yes")</f>
        <v>10</v>
      </c>
      <c r="W7" s="98">
        <f>COUNTIFS(Included!AI:AI, "=*nd*", Included!B:B,"&lt;="&amp;AC7,Included!B:B,"&gt;="&amp;AB7, Included!AS:AS, "yes")</f>
        <v>34</v>
      </c>
      <c r="X7" s="98">
        <f>COUNTIFS(Included!AI:AI, "=*unclear*", Included!B:B, "&lt;="&amp;AC7, Included!B:B, "&gt;="&amp;AB7, Included!AS:AS, "yes")</f>
        <v>0</v>
      </c>
      <c r="Y7" s="98">
        <f>COUNTIFS(Included!AG:AG, "=*nd*", Included!B:B, "&lt;="&amp;AC7, Included!B:B, "&gt;="&amp;AB7, Included!AS:AS, "yes")</f>
        <v>34</v>
      </c>
      <c r="Z7" s="108">
        <f>COUNTIFS(Included!AG:AG, "=*unclear*", Included!B:B, "&lt;="&amp;AC7, Included!B:B, "&gt;="&amp;AB7, Included!AS:AS, "yes")</f>
        <v>7</v>
      </c>
      <c r="AB7" s="45">
        <f t="shared" si="5"/>
        <v>2000</v>
      </c>
      <c r="AC7" s="45">
        <f t="shared" si="6"/>
        <v>2009</v>
      </c>
      <c r="AE7" s="28"/>
    </row>
    <row r="8" spans="1:31">
      <c r="A8" s="424" t="s">
        <v>154</v>
      </c>
      <c r="B8" s="4" t="s">
        <v>155</v>
      </c>
      <c r="C8" s="28" t="s">
        <v>156</v>
      </c>
      <c r="F8" s="109" t="s">
        <v>157</v>
      </c>
      <c r="G8" s="63">
        <f>COUNTIFS(Included!B:B,"&lt;="&amp;AC8, Included!B:B,"&gt;="&amp;AB8, Included!AS:AS, "yes")</f>
        <v>114</v>
      </c>
      <c r="H8" s="63">
        <f>SUMIFS(Included!X:X, Included!B:B, "&lt;="&amp;AC8, Included!B:B, "&gt;="&amp;AB8, Included!AS:AS, "yes")</f>
        <v>4992</v>
      </c>
      <c r="I8" s="63">
        <f>SUMIFS(Included!AB:AB, Included!B:B, "&lt;="&amp;AC8, Included!B:B, "&gt;="&amp;AB8, Included!AS:AS, "yes")</f>
        <v>256</v>
      </c>
      <c r="J8" s="63">
        <f>SUMIFS(Included!Z:Z, Included!B:B, "&lt;="&amp;AC8, Included!B:B, "&gt;="&amp;AB8, Included!AS:AS, "yes")</f>
        <v>2921</v>
      </c>
      <c r="K8" s="63">
        <f>SUMIFS(Included!AD:AD, Included!B:B, "&lt;="&amp;AC8, Included!B:B, "&gt;="&amp;AB8, Included!AS:AS, "yes")</f>
        <v>0</v>
      </c>
      <c r="L8" s="63">
        <f>SUMIFS(Included!AG:AG, Included!B:B, "&lt;="&amp;AC8, Included!B:B, "&gt;="&amp;AB8, Included!AS:AS, "yes")</f>
        <v>1159</v>
      </c>
      <c r="M8" s="63" t="str">
        <f t="shared" si="0"/>
        <v>(23.2%)</v>
      </c>
      <c r="N8" s="63">
        <f>SUMIFS(Included!AL:AL, Included!B:B, "&lt;="&amp;AC8, Included!B:B, "&gt;="&amp;AB8, Included!AS:AS, "yes")</f>
        <v>6</v>
      </c>
      <c r="O8" s="63" t="str">
        <f t="shared" si="1"/>
        <v>(2.3%)</v>
      </c>
      <c r="P8" s="63">
        <f>SUMIFS(Included!AJ:AJ, Included!B:B, "&lt;="&amp;AC8, Included!B:B, "&gt;="&amp;AB8, Included!AS:AS, "yes")</f>
        <v>147</v>
      </c>
      <c r="Q8" s="63" t="str">
        <f t="shared" si="2"/>
        <v>(2.9%)</v>
      </c>
      <c r="R8" s="63">
        <f>SUMIFS(Included!AI:AI, Included!B:B, "&lt;="&amp;AC8, Included!B:B, "&gt;="&amp;AB8, Included!AS:AS, "yes")</f>
        <v>13</v>
      </c>
      <c r="S8" s="63" t="str">
        <f t="shared" si="3"/>
        <v>(0.3%)</v>
      </c>
      <c r="T8" s="110">
        <f>COUNTIFS(Included!AE:AE, "*None given*", Included!B:B,"&lt;="&amp;AC8, Included!B:B,"&gt;="&amp;AB8, Included!AS:AS, "yes")</f>
        <v>34</v>
      </c>
      <c r="U8" s="63" t="str">
        <f t="shared" si="4"/>
        <v>(29.8%)</v>
      </c>
      <c r="V8" s="110">
        <f>COUNTIFS(Included!AK:AK, "*No SAEs mentioned in text*", Included!B:B,"&lt;="&amp;AC8, Included!B:B,"&gt;="&amp;AB8, Included!AS:AS, "yes")</f>
        <v>9</v>
      </c>
      <c r="W8" s="110">
        <f>COUNTIFS(Included!AI:AI, "=*nd*", Included!B:B,"&lt;="&amp;AC8,Included!B:B,"&gt;="&amp;AB8, Included!AS:AS, "yes")</f>
        <v>38</v>
      </c>
      <c r="X8" s="110">
        <f>COUNTIFS(Included!AI:AI, "=*unclear*", Included!B:B, "&lt;="&amp;AC8, Included!B:B, "&gt;="&amp;AB8, Included!AS:AS, "yes")</f>
        <v>0</v>
      </c>
      <c r="Y8" s="110">
        <f>COUNTIFS(Included!AG:AG, "=*nd*", Included!B:B, "&lt;="&amp;AC8, Included!B:B, "&gt;="&amp;AB8, Included!AS:AS, "yes")</f>
        <v>30</v>
      </c>
      <c r="Z8" s="111">
        <f>COUNTIFS(Included!AG:AG, "=*unclear*", Included!B:B, "&lt;="&amp;AC8, Included!B:B, "&gt;="&amp;AB8, Included!AS:AS, "yes")</f>
        <v>33</v>
      </c>
      <c r="AB8" s="45">
        <f t="shared" si="5"/>
        <v>2010</v>
      </c>
      <c r="AC8" s="45">
        <f t="shared" si="6"/>
        <v>2019</v>
      </c>
      <c r="AE8" s="28"/>
    </row>
    <row r="9" spans="1:31">
      <c r="A9" s="425"/>
      <c r="B9" s="4" t="s">
        <v>158</v>
      </c>
      <c r="C9" s="28" t="s">
        <v>159</v>
      </c>
      <c r="F9" s="107" t="s">
        <v>160</v>
      </c>
      <c r="G9" s="57">
        <f>COUNTIFS(Included!B:B,"&lt;="&amp;AC9, Included!B:B,"&gt;="&amp;AB9, Included!AS:AS, "yes")</f>
        <v>24</v>
      </c>
      <c r="H9" s="57">
        <f>SUMIFS(Included!X:X, Included!B:B, "&lt;="&amp;AC9, Included!B:B, "&gt;="&amp;AB9, Included!AS:AS, "yes")</f>
        <v>1076</v>
      </c>
      <c r="I9" s="57">
        <f>SUMIFS(Included!AB:AB, Included!B:B, "&lt;="&amp;AC9, Included!B:B, "&gt;="&amp;AB9, Included!AS:AS, "yes")</f>
        <v>75</v>
      </c>
      <c r="J9" s="57">
        <f>SUMIFS(Included!Z:Z, Included!B:B, "&lt;="&amp;AC9, Included!B:B, "&gt;="&amp;AB9, Included!AS:AS, "yes")</f>
        <v>697</v>
      </c>
      <c r="K9" s="57">
        <f>SUMIFS(Included!AD:AD, Included!B:B, "&lt;="&amp;AC9, Included!B:B, "&gt;="&amp;AB9, Included!AS:AS, "yes")</f>
        <v>1</v>
      </c>
      <c r="L9" s="57">
        <f>SUMIFS(Included!AG:AG, Included!B:B, "&lt;="&amp;AC9, Included!B:B, "&gt;="&amp;AB9, Included!AS:AS, "yes")</f>
        <v>244</v>
      </c>
      <c r="M9" s="57" t="str">
        <f t="shared" si="0"/>
        <v>(22.7%)</v>
      </c>
      <c r="N9" s="57">
        <f>SUMIFS(Included!AL:AL, Included!B:B, "&lt;="&amp;AC9, Included!B:B, "&gt;="&amp;AB9, Included!AS:AS, "yes")</f>
        <v>0</v>
      </c>
      <c r="O9" s="57" t="str">
        <f t="shared" si="1"/>
        <v>(0.0%)</v>
      </c>
      <c r="P9" s="57">
        <f>SUMIFS(Included!AJ:AJ, Included!B:B, "&lt;="&amp;AC9, Included!B:B, "&gt;="&amp;AB9, Included!AS:AS, "yes")</f>
        <v>43</v>
      </c>
      <c r="Q9" s="57" t="str">
        <f t="shared" si="2"/>
        <v>(4.0%)</v>
      </c>
      <c r="R9" s="57">
        <f>SUMIFS(Included!AI:AI, Included!B:B, "&lt;="&amp;AC9, Included!B:B, "&gt;="&amp;AB9, Included!AS:AS, "yes")</f>
        <v>3</v>
      </c>
      <c r="S9" s="57" t="str">
        <f t="shared" si="3"/>
        <v>(0.3%)</v>
      </c>
      <c r="T9" s="98">
        <f>COUNTIFS(Included!AE:AE, "*None given*", Included!B:B,"&lt;="&amp;AC9, Included!B:B,"&gt;="&amp;AB9, Included!AS:AS, "yes")</f>
        <v>7</v>
      </c>
      <c r="U9" s="57" t="str">
        <f t="shared" si="4"/>
        <v>(29.2%)</v>
      </c>
      <c r="V9" s="98">
        <f>COUNTIFS(Included!AK:AK, "*No SAEs mentioned in text*", Included!B:B,"&lt;="&amp;AC9, Included!B:B,"&gt;="&amp;AB9, Included!AS:AS, "yes")</f>
        <v>0</v>
      </c>
      <c r="W9" s="98">
        <f>COUNTIFS(Included!AI:AI, "=*nd*", Included!B:B,"&lt;="&amp;AC9,Included!B:B,"&gt;="&amp;AB9, Included!AS:AS, "yes")</f>
        <v>1</v>
      </c>
      <c r="X9" s="98">
        <f>COUNTIFS(Included!AI:AI, "=*unclear*", Included!B:B, "&lt;="&amp;AC9, Included!B:B, "&gt;="&amp;AB9, Included!AS:AS, "yes")</f>
        <v>0</v>
      </c>
      <c r="Y9" s="98">
        <f>COUNTIFS(Included!AG:AG, "=*nd*", Included!B:B, "&lt;="&amp;AC9, Included!B:B, "&gt;="&amp;AB9, Included!AS:AS, "yes")</f>
        <v>2</v>
      </c>
      <c r="Z9" s="108">
        <f>COUNTIFS(Included!AG:AG, "=*unclear*", Included!B:B, "&lt;="&amp;AC9, Included!B:B, "&gt;="&amp;AB9, Included!AS:AS, "yes")</f>
        <v>11</v>
      </c>
      <c r="AB9" s="45">
        <f t="shared" si="5"/>
        <v>2020</v>
      </c>
      <c r="AC9" s="45">
        <f t="shared" si="6"/>
        <v>2029</v>
      </c>
      <c r="AE9" s="28"/>
    </row>
    <row r="10" spans="1:31">
      <c r="A10" s="425"/>
      <c r="B10" s="4" t="s">
        <v>161</v>
      </c>
      <c r="C10" s="28" t="s">
        <v>162</v>
      </c>
      <c r="F10" s="62"/>
      <c r="G10" s="63"/>
      <c r="H10" s="63"/>
      <c r="I10" s="63"/>
      <c r="J10" s="63"/>
      <c r="K10" s="63"/>
      <c r="L10" s="63"/>
      <c r="M10" s="63"/>
      <c r="N10" s="63"/>
      <c r="O10" s="63"/>
      <c r="P10" s="63"/>
      <c r="Q10" s="63"/>
      <c r="R10" s="63"/>
      <c r="S10" s="63"/>
      <c r="T10" s="63"/>
      <c r="U10" s="63"/>
      <c r="V10" s="63"/>
      <c r="W10" s="63"/>
      <c r="X10" s="63"/>
      <c r="Y10" s="63"/>
      <c r="Z10" s="64"/>
      <c r="AE10" s="28"/>
    </row>
    <row r="11" spans="1:31">
      <c r="A11" s="425"/>
      <c r="B11" s="4" t="s">
        <v>163</v>
      </c>
      <c r="C11" s="28" t="s">
        <v>164</v>
      </c>
      <c r="F11" s="114" t="s">
        <v>165</v>
      </c>
      <c r="G11" s="115">
        <f t="shared" ref="G11:L11" si="7">SUM(G5:G10)</f>
        <v>308</v>
      </c>
      <c r="H11" s="115">
        <f t="shared" si="7"/>
        <v>15046</v>
      </c>
      <c r="I11" s="115">
        <f t="shared" si="7"/>
        <v>433</v>
      </c>
      <c r="J11" s="115">
        <f t="shared" si="7"/>
        <v>9946</v>
      </c>
      <c r="K11" s="115">
        <f t="shared" si="7"/>
        <v>1</v>
      </c>
      <c r="L11" s="115">
        <f t="shared" si="7"/>
        <v>3333</v>
      </c>
      <c r="M11" s="115" t="str">
        <f>"("&amp;TEXT(L11/H11,"0.0%")&amp;")"</f>
        <v>(22.2%)</v>
      </c>
      <c r="N11" s="115">
        <f>SUM(N5:N10)</f>
        <v>6</v>
      </c>
      <c r="O11" s="115" t="str">
        <f>"("&amp;TEXT(N11/I11,"0.0%")&amp;")"</f>
        <v>(1.4%)</v>
      </c>
      <c r="P11" s="115">
        <f>SUM(P5:P10)</f>
        <v>247</v>
      </c>
      <c r="Q11" s="115" t="str">
        <f>"("&amp;TEXT(P11/H11,"0.0%")&amp;")"</f>
        <v>(1.6%)</v>
      </c>
      <c r="R11" s="115">
        <f>SUM(R5:R10)</f>
        <v>24</v>
      </c>
      <c r="S11" s="115" t="str">
        <f>"("&amp;TEXT(R11/H11,"0.0%")&amp;")"</f>
        <v>(0.2%)</v>
      </c>
      <c r="T11" s="115">
        <f>SUM(T5:T10)</f>
        <v>176</v>
      </c>
      <c r="U11" s="115" t="str">
        <f>"("&amp;TEXT(T11/G11,"0.0%")&amp;")"</f>
        <v>(57.1%)</v>
      </c>
      <c r="V11" s="115">
        <f t="shared" ref="V11:Z11" si="8">SUM(V5:V10)</f>
        <v>85</v>
      </c>
      <c r="W11" s="115">
        <f t="shared" si="8"/>
        <v>114</v>
      </c>
      <c r="X11" s="115">
        <f t="shared" si="8"/>
        <v>0</v>
      </c>
      <c r="Y11" s="115">
        <f t="shared" si="8"/>
        <v>109</v>
      </c>
      <c r="Z11" s="116">
        <f t="shared" si="8"/>
        <v>61</v>
      </c>
      <c r="AE11" s="28"/>
    </row>
    <row r="12" spans="1:31">
      <c r="A12" s="425"/>
      <c r="B12" s="112" t="s">
        <v>166</v>
      </c>
      <c r="C12" s="113" t="s">
        <v>167</v>
      </c>
      <c r="F12" s="57"/>
      <c r="G12" s="57"/>
      <c r="H12" s="57"/>
      <c r="I12" s="57"/>
      <c r="J12" s="57"/>
      <c r="K12" s="57"/>
      <c r="L12" s="57"/>
      <c r="M12" s="57"/>
      <c r="N12" s="57"/>
      <c r="O12" s="57"/>
      <c r="P12" s="57"/>
      <c r="Q12" s="57"/>
      <c r="R12" s="57"/>
      <c r="S12" s="57"/>
      <c r="T12" s="57"/>
      <c r="U12" s="57"/>
      <c r="V12" s="57"/>
      <c r="W12" s="57"/>
      <c r="X12" s="57"/>
      <c r="Y12" s="57"/>
      <c r="Z12" s="57"/>
      <c r="AE12" s="28"/>
    </row>
    <row r="13" spans="1:31">
      <c r="A13" s="424" t="s">
        <v>168</v>
      </c>
      <c r="B13" s="4" t="s">
        <v>169</v>
      </c>
      <c r="C13" s="28" t="s">
        <v>170</v>
      </c>
      <c r="F13" s="117" t="s">
        <v>171</v>
      </c>
      <c r="G13" s="57"/>
      <c r="H13" s="57"/>
      <c r="I13" s="57"/>
      <c r="J13" s="57"/>
      <c r="K13" s="57"/>
      <c r="L13" s="57"/>
      <c r="M13" s="57"/>
      <c r="N13" s="57"/>
      <c r="O13" s="57"/>
      <c r="P13" s="57"/>
      <c r="Q13" s="57"/>
      <c r="R13" s="57"/>
      <c r="S13" s="57"/>
      <c r="T13" s="57"/>
      <c r="U13" s="57"/>
      <c r="V13" s="57"/>
      <c r="W13" s="57"/>
      <c r="X13" s="57"/>
      <c r="Y13" s="57"/>
      <c r="Z13" s="57"/>
      <c r="AE13" s="28"/>
    </row>
    <row r="14" spans="1:31">
      <c r="A14" s="425"/>
      <c r="B14" s="4" t="s">
        <v>172</v>
      </c>
      <c r="C14" s="28" t="s">
        <v>173</v>
      </c>
      <c r="F14" s="118" t="s">
        <v>130</v>
      </c>
      <c r="G14" s="119" t="s">
        <v>106</v>
      </c>
      <c r="H14" s="119" t="s">
        <v>107</v>
      </c>
      <c r="I14" s="119" t="s">
        <v>131</v>
      </c>
      <c r="J14" s="119" t="s">
        <v>108</v>
      </c>
      <c r="K14" s="119" t="s">
        <v>133</v>
      </c>
      <c r="L14" s="422" t="s">
        <v>174</v>
      </c>
      <c r="M14" s="423"/>
      <c r="N14" s="422" t="s">
        <v>135</v>
      </c>
      <c r="O14" s="423"/>
      <c r="P14" s="422" t="s">
        <v>136</v>
      </c>
      <c r="Q14" s="423"/>
      <c r="R14" s="422" t="s">
        <v>137</v>
      </c>
      <c r="S14" s="423"/>
      <c r="T14" s="422" t="s">
        <v>138</v>
      </c>
      <c r="U14" s="423"/>
      <c r="V14" s="119" t="s">
        <v>175</v>
      </c>
      <c r="W14" s="119" t="s">
        <v>140</v>
      </c>
      <c r="X14" s="119" t="s">
        <v>141</v>
      </c>
      <c r="Y14" s="119" t="s">
        <v>142</v>
      </c>
      <c r="Z14" s="120" t="s">
        <v>143</v>
      </c>
      <c r="AB14" s="28" t="s">
        <v>104</v>
      </c>
      <c r="AC14" s="28" t="s">
        <v>111</v>
      </c>
    </row>
    <row r="15" spans="1:31">
      <c r="A15" s="425"/>
      <c r="B15" s="4" t="s">
        <v>176</v>
      </c>
      <c r="C15" s="28" t="s">
        <v>177</v>
      </c>
      <c r="F15" s="107" t="s">
        <v>147</v>
      </c>
      <c r="G15" s="57">
        <f>COUNTIFS(Included!B:B,"&lt;="&amp;AC15,Included!B:B,"&gt;="&amp;AB15, Included!AS:AS, "yes")</f>
        <v>33</v>
      </c>
      <c r="H15" s="57">
        <f>SUMIFS(Included!X:X, Included!B:B, "&lt;="&amp;AC15, Included!B:B, "&gt;="&amp;AB15, Included!AS:AS, "yes")</f>
        <v>1789</v>
      </c>
      <c r="I15" s="117">
        <f>SUMIFS(Included!AB:AB, Included!B:B, "&lt;="&amp;AC15, Included!B:B, "&gt;="&amp;AB15, Included!AS:AS, "yes")</f>
        <v>18</v>
      </c>
      <c r="J15" s="57">
        <f>SUMIFS(Included!Z:Z, Included!B:B, "&lt;="&amp;AC15, Included!B:B, "&gt;="&amp;AB15, Included!AS:AS, "yes")</f>
        <v>1173</v>
      </c>
      <c r="K15" s="57">
        <f>SUMIFS(Included!AD:AD, Included!B:B, "&lt;="&amp;AC15, Included!B:B, "&gt;="&amp;AB15, Included!AS:AS, "yes")</f>
        <v>0</v>
      </c>
      <c r="L15" s="57">
        <f>SUMIFS(Included!AG:AG, Included!B:B, "&lt;="&amp;AC15, Included!B:B, "&gt;="&amp;AB15, Included!AS:AS, "yes")</f>
        <v>338</v>
      </c>
      <c r="M15" s="57" t="str">
        <f t="shared" ref="M15:M17" si="9">"("&amp;TEXT(L15/H15,"0.0%")&amp;")"</f>
        <v>(18.9%)</v>
      </c>
      <c r="N15" s="57">
        <f>SUMIFS(Included!AL:AL, Included!B:B, "&lt;="&amp;AC15, Included!B:B, "&gt;="&amp;AB15, Included!AS:AS, "yes")</f>
        <v>0</v>
      </c>
      <c r="O15" s="57" t="str">
        <f t="shared" ref="O15:O17" si="10">"("&amp;TEXT(N15/I15,"0.0%")&amp;")"</f>
        <v>(0.0%)</v>
      </c>
      <c r="P15" s="57">
        <f>SUMIFS(Included!AJ:AJ, Included!B:B, "&lt;="&amp;AC15, Included!B:B, "&gt;="&amp;AB15, Included!AS:AS, "yes")</f>
        <v>9</v>
      </c>
      <c r="Q15" s="57" t="str">
        <f t="shared" ref="Q15:Q17" si="11">"("&amp;TEXT(P15/H15,"0.0%")&amp;")"</f>
        <v>(0.5%)</v>
      </c>
      <c r="R15" s="57">
        <f>SUMIFS(Included!AI:AI, Included!B:B, "&lt;="&amp;AC15, Included!B:B, "&gt;="&amp;AB15, Included!AS:AS, "yes")</f>
        <v>6</v>
      </c>
      <c r="S15" s="57" t="str">
        <f t="shared" ref="S15:S17" si="12">"("&amp;TEXT(R15/H15,"0.0%")&amp;")"</f>
        <v>(0.3%)</v>
      </c>
      <c r="T15" s="98">
        <f>COUNTIFS(Included!AE:AE, "*None given*", Included!B:B,"&lt;="&amp;AC15,Included!B:B,"&gt;="&amp;AB15, Included!AS:AS, "yes")</f>
        <v>27</v>
      </c>
      <c r="U15" s="57" t="str">
        <f t="shared" ref="U15:U17" si="13">"("&amp;TEXT(T15/G15,"0.0%")&amp;")"</f>
        <v>(81.8%)</v>
      </c>
      <c r="V15" s="98">
        <f>COUNTIFS(Included!AK:AK, "*No SAEs mentioned in text*", Included!B:B,"&lt;="&amp;AC15,Included!B:B,"&gt;="&amp;AB15, Included!AS:AS, "yes")</f>
        <v>25</v>
      </c>
      <c r="W15" s="98">
        <f>COUNTIFS(Included!AI:AI, "=*nd*", Included!B:B,"&lt;="&amp;AC15,Included!B:B,"&gt;="&amp;AB15, Included!AS:AS, "yes")</f>
        <v>6</v>
      </c>
      <c r="X15" s="98">
        <f>COUNTIFS(Included!AI:AI, "=*unclear*", Included!B:B, "&lt;="&amp;AC15, Included!B:B, "&gt;="&amp;AB15, Included!AS:AS, "yes")</f>
        <v>0</v>
      </c>
      <c r="Y15" s="98">
        <f>COUNTIFS(Included!AG:AG, "=*nd*", Included!B:B, "&lt;="&amp;AC15, Included!B:B, "&gt;="&amp;AB15, Included!AS:AS, "yes")</f>
        <v>8</v>
      </c>
      <c r="Z15" s="108">
        <f>COUNTIFS(Included!AG:AG, "=*unclear*", Included!B:B, "&lt;="&amp;AC15, Included!B:B, "&gt;="&amp;AB15, Included!AS:AS, "yes")</f>
        <v>2</v>
      </c>
      <c r="AB15" s="28">
        <v>1980</v>
      </c>
      <c r="AC15" s="28">
        <v>1989</v>
      </c>
    </row>
    <row r="16" spans="1:31">
      <c r="A16" s="425"/>
      <c r="B16" s="4" t="s">
        <v>178</v>
      </c>
      <c r="C16" s="28" t="s">
        <v>179</v>
      </c>
      <c r="F16" s="109" t="s">
        <v>180</v>
      </c>
      <c r="G16" s="63">
        <f>COUNTIFS(Included!B:B,"&lt;="&amp;AC16,Included!B:B,"&gt;="&amp;AB16, Included!AS:AS, "yes")</f>
        <v>137</v>
      </c>
      <c r="H16" s="63">
        <f>SUMIFS(Included!X:X, Included!B:B, "&lt;="&amp;AC16, Included!B:B, "&gt;="&amp;AB16, Included!AS:AS, "yes")</f>
        <v>7189</v>
      </c>
      <c r="I16" s="121">
        <f>SUMIFS(Included!AB:AB, Included!B:B, "&lt;="&amp;AC16, Included!B:B, "&gt;="&amp;AB16, Included!AS:AS, "yes")</f>
        <v>84</v>
      </c>
      <c r="J16" s="63">
        <f>SUMIFS(Included!Z:Z, Included!B:B, "&lt;="&amp;AC16, Included!B:B, "&gt;="&amp;AB16, Included!AS:AS, "yes")</f>
        <v>5155</v>
      </c>
      <c r="K16" s="63">
        <f>SUMIFS(Included!AD:AD, Included!B:B, "&lt;="&amp;AC16, Included!B:B, "&gt;="&amp;AB16, Included!AS:AS, "yes")</f>
        <v>0</v>
      </c>
      <c r="L16" s="63">
        <f>SUMIFS(Included!AG:AG, Included!B:B, "&lt;="&amp;AC16, Included!B:B, "&gt;="&amp;AB16, Included!AS:AS, "yes")</f>
        <v>1592</v>
      </c>
      <c r="M16" s="63" t="str">
        <f t="shared" si="9"/>
        <v>(22.1%)</v>
      </c>
      <c r="N16" s="63">
        <f>SUMIFS(Included!AL:AL, Included!B:B, "&lt;="&amp;AC16, Included!B:B, "&gt;="&amp;AB16, Included!AS:AS, "yes")</f>
        <v>0</v>
      </c>
      <c r="O16" s="63" t="str">
        <f t="shared" si="10"/>
        <v>(0.0%)</v>
      </c>
      <c r="P16" s="63">
        <f>SUMIFS(Included!AJ:AJ, Included!B:B, "&lt;="&amp;AC16, Included!B:B, "&gt;="&amp;AB16, Included!AS:AS, "yes")</f>
        <v>48</v>
      </c>
      <c r="Q16" s="63" t="str">
        <f t="shared" si="11"/>
        <v>(0.7%)</v>
      </c>
      <c r="R16" s="63">
        <f>SUMIFS(Included!AI:AI, Included!B:B, "&lt;="&amp;AC16, Included!B:B, "&gt;="&amp;AB16, Included!AS:AS, "yes")</f>
        <v>2</v>
      </c>
      <c r="S16" s="63" t="str">
        <f t="shared" si="12"/>
        <v>(0.0%)</v>
      </c>
      <c r="T16" s="110">
        <f>COUNTIFS(Included!AE:AE, "*None given*", Included!B:B,"&lt;="&amp;AC16,Included!B:B,"&gt;="&amp;AB16, Included!AS:AS, "yes")</f>
        <v>108</v>
      </c>
      <c r="U16" s="63" t="str">
        <f t="shared" si="13"/>
        <v>(78.8%)</v>
      </c>
      <c r="V16" s="110">
        <f>COUNTIFS(Included!AK:AK, "*No SAEs mentioned in text*", Included!B:B,"&lt;="&amp;AC16,Included!B:B,"&gt;="&amp;AB16, Included!AS:AS, "yes")</f>
        <v>51</v>
      </c>
      <c r="W16" s="110">
        <f>COUNTIFS(Included!AI:AI, "=*nd*", Included!B:B,"&lt;="&amp;AC16,Included!B:B,"&gt;="&amp;AB16, Included!AS:AS, "yes")</f>
        <v>69</v>
      </c>
      <c r="X16" s="110">
        <f>COUNTIFS(Included!AI:AI, "=*unclear*", Included!B:B, "&lt;="&amp;AC16, Included!B:B, "&gt;="&amp;AB16, Included!AS:AS, "yes")</f>
        <v>0</v>
      </c>
      <c r="Y16" s="110">
        <f>COUNTIFS(Included!AG:AG, "=*nd*", Included!B:B, "&lt;="&amp;AC16, Included!B:B, "&gt;="&amp;AB16, Included!AS:AS, "yes")</f>
        <v>69</v>
      </c>
      <c r="Z16" s="111">
        <f>COUNTIFS(Included!AG:AG, "=*unclear*", Included!B:B, "&lt;="&amp;AC16, Included!B:B, "&gt;="&amp;AB16, Included!AS:AS, "yes")</f>
        <v>15</v>
      </c>
      <c r="AB16" s="45">
        <f t="shared" ref="AB16:AB17" si="14">AC15+1</f>
        <v>1990</v>
      </c>
      <c r="AC16" s="45">
        <f t="shared" ref="AC16:AC17" si="15">AB16+19</f>
        <v>2009</v>
      </c>
    </row>
    <row r="17" spans="1:29">
      <c r="A17" s="425"/>
      <c r="B17" s="4" t="s">
        <v>181</v>
      </c>
      <c r="C17" s="28" t="s">
        <v>182</v>
      </c>
      <c r="F17" s="107" t="s">
        <v>183</v>
      </c>
      <c r="G17" s="57">
        <f>COUNTIFS(Included!B:B,"&lt;="&amp;AC17,Included!B:B,"&gt;="&amp;AB17, Included!AS:AS, "yes")</f>
        <v>138</v>
      </c>
      <c r="H17" s="57">
        <f>SUMIFS(Included!X:X, Included!B:B, "&lt;="&amp;AC17, Included!B:B, "&gt;="&amp;AB17, Included!AS:AS, "yes")</f>
        <v>6068</v>
      </c>
      <c r="I17" s="117">
        <f>SUMIFS(Included!AB:AB, Included!B:B, "&lt;="&amp;AC17, Included!B:B, "&gt;="&amp;AB17, Included!AS:AS, "yes")</f>
        <v>331</v>
      </c>
      <c r="J17" s="57">
        <f>SUMIFS(Included!Z:Z, Included!B:B, "&lt;="&amp;AC17, Included!B:B, "&gt;="&amp;AB17, Included!AS:AS, "yes")</f>
        <v>3618</v>
      </c>
      <c r="K17" s="57">
        <f>SUMIFS(Included!AD:AD, Included!B:B, "&lt;="&amp;AC17, Included!B:B, "&gt;="&amp;AB17, Included!AS:AS, "yes")</f>
        <v>1</v>
      </c>
      <c r="L17" s="57">
        <f>SUMIFS(Included!AG:AG, Included!B:B, "&lt;="&amp;AC17, Included!B:B, "&gt;="&amp;AB17, Included!AS:AS, "yes")</f>
        <v>1403</v>
      </c>
      <c r="M17" s="57" t="str">
        <f t="shared" si="9"/>
        <v>(23.1%)</v>
      </c>
      <c r="N17" s="57">
        <f>SUMIFS(Included!AL:AL, Included!B:B, "&lt;="&amp;AC17, Included!B:B, "&gt;="&amp;AB17, Included!AS:AS, "yes")</f>
        <v>6</v>
      </c>
      <c r="O17" s="57" t="str">
        <f t="shared" si="10"/>
        <v>(1.8%)</v>
      </c>
      <c r="P17" s="57">
        <f>SUMIFS(Included!AJ:AJ, Included!B:B, "&lt;="&amp;AC17, Included!B:B, "&gt;="&amp;AB17, Included!AS:AS, "yes")</f>
        <v>190</v>
      </c>
      <c r="Q17" s="57" t="str">
        <f t="shared" si="11"/>
        <v>(3.1%)</v>
      </c>
      <c r="R17" s="57">
        <f>SUMIFS(Included!AI:AI, Included!B:B, "&lt;="&amp;AC17, Included!B:B, "&gt;="&amp;AB17, Included!AS:AS, "yes")</f>
        <v>16</v>
      </c>
      <c r="S17" s="57" t="str">
        <f t="shared" si="12"/>
        <v>(0.3%)</v>
      </c>
      <c r="T17" s="98">
        <f>COUNTIFS(Included!AE:AE, "*None given*", Included!B:B,"&lt;="&amp;AC17,Included!B:B,"&gt;="&amp;AB17, Included!AS:AS, "yes")</f>
        <v>41</v>
      </c>
      <c r="U17" s="57" t="str">
        <f t="shared" si="13"/>
        <v>(29.7%)</v>
      </c>
      <c r="V17" s="98">
        <f>COUNTIFS(Included!AK:AK, "*No SAEs mentioned in text*", Included!B:B,"&lt;="&amp;AC17,Included!B:B,"&gt;="&amp;AB17, Included!AS:AS, "yes")</f>
        <v>9</v>
      </c>
      <c r="W17" s="98">
        <f>COUNTIFS(Included!AI:AI, "=*nd*", Included!B:B,"&lt;="&amp;AC17,Included!B:B,"&gt;="&amp;AB17, Included!AS:AS, "yes")</f>
        <v>39</v>
      </c>
      <c r="X17" s="98">
        <f>COUNTIFS(Included!AI:AI, "=*unclear*", Included!B:B, "&lt;="&amp;AC17, Included!B:B, "&gt;="&amp;AB17, Included!AS:AS, "yes")</f>
        <v>0</v>
      </c>
      <c r="Y17" s="98">
        <f>COUNTIFS(Included!AG:AG, "=*nd*", Included!B:B, "&lt;="&amp;AC17, Included!B:B, "&gt;="&amp;AB17, Included!AS:AS, "yes")</f>
        <v>32</v>
      </c>
      <c r="Z17" s="108">
        <f>COUNTIFS(Included!AG:AG, "=*unclear*", Included!B:B, "&lt;="&amp;AC17, Included!B:B, "&gt;="&amp;AB17, Included!AS:AS, "yes")</f>
        <v>44</v>
      </c>
      <c r="AB17" s="45">
        <f t="shared" si="14"/>
        <v>2010</v>
      </c>
      <c r="AC17" s="45">
        <f t="shared" si="15"/>
        <v>2029</v>
      </c>
    </row>
    <row r="18" spans="1:29">
      <c r="A18" s="425"/>
      <c r="B18" s="4" t="s">
        <v>184</v>
      </c>
      <c r="C18" s="28" t="s">
        <v>185</v>
      </c>
      <c r="F18" s="109"/>
      <c r="G18" s="63"/>
      <c r="H18" s="63"/>
      <c r="I18" s="63"/>
      <c r="J18" s="63"/>
      <c r="K18" s="63"/>
      <c r="L18" s="63"/>
      <c r="M18" s="63"/>
      <c r="N18" s="63"/>
      <c r="O18" s="63"/>
      <c r="P18" s="63"/>
      <c r="Q18" s="63"/>
      <c r="R18" s="63"/>
      <c r="S18" s="63"/>
      <c r="T18" s="110"/>
      <c r="U18" s="110"/>
      <c r="V18" s="110"/>
      <c r="W18" s="110"/>
      <c r="X18" s="110"/>
      <c r="Y18" s="63"/>
      <c r="Z18" s="64"/>
    </row>
    <row r="19" spans="1:29">
      <c r="A19" s="425"/>
      <c r="B19" s="4" t="s">
        <v>186</v>
      </c>
      <c r="C19" s="28" t="s">
        <v>187</v>
      </c>
      <c r="F19" s="114" t="s">
        <v>112</v>
      </c>
      <c r="G19" s="115">
        <f t="shared" ref="G19:L19" si="16">SUM(G15:G18)</f>
        <v>308</v>
      </c>
      <c r="H19" s="115">
        <f t="shared" si="16"/>
        <v>15046</v>
      </c>
      <c r="I19" s="115">
        <f t="shared" si="16"/>
        <v>433</v>
      </c>
      <c r="J19" s="115">
        <f t="shared" si="16"/>
        <v>9946</v>
      </c>
      <c r="K19" s="115">
        <f t="shared" si="16"/>
        <v>1</v>
      </c>
      <c r="L19" s="115">
        <f t="shared" si="16"/>
        <v>3333</v>
      </c>
      <c r="M19" s="115" t="str">
        <f>"("&amp;TEXT(L19/H19,"0.0%")&amp;")"</f>
        <v>(22.2%)</v>
      </c>
      <c r="N19" s="115">
        <f>SUM(N15:N18)</f>
        <v>6</v>
      </c>
      <c r="O19" s="115" t="str">
        <f>"("&amp;TEXT(N19/I19,"0.0%")&amp;")"</f>
        <v>(1.4%)</v>
      </c>
      <c r="P19" s="115">
        <f>SUM(P15:P18)</f>
        <v>247</v>
      </c>
      <c r="Q19" s="115" t="str">
        <f>"("&amp;TEXT(P19/H19,"0.0%")&amp;")"</f>
        <v>(1.6%)</v>
      </c>
      <c r="R19" s="115">
        <f>SUM(R15:R18)</f>
        <v>24</v>
      </c>
      <c r="S19" s="115" t="str">
        <f>"("&amp;TEXT(R19/H19,"0.0%")&amp;")"</f>
        <v>(0.2%)</v>
      </c>
      <c r="T19" s="115">
        <f>SUM(T13:T18)</f>
        <v>176</v>
      </c>
      <c r="U19" s="115" t="str">
        <f>"("&amp;TEXT(T19/G19,"0.0%")&amp;")"</f>
        <v>(57.1%)</v>
      </c>
      <c r="V19" s="115">
        <f t="shared" ref="V19:Z19" si="17">SUM(V13:V18)</f>
        <v>85</v>
      </c>
      <c r="W19" s="115">
        <f t="shared" si="17"/>
        <v>114</v>
      </c>
      <c r="X19" s="115">
        <f t="shared" si="17"/>
        <v>0</v>
      </c>
      <c r="Y19" s="115">
        <f t="shared" si="17"/>
        <v>109</v>
      </c>
      <c r="Z19" s="116">
        <f t="shared" si="17"/>
        <v>61</v>
      </c>
    </row>
    <row r="20" spans="1:29">
      <c r="A20" s="425"/>
      <c r="B20" s="4" t="s">
        <v>188</v>
      </c>
      <c r="C20" s="28" t="s">
        <v>189</v>
      </c>
      <c r="F20" s="57"/>
      <c r="G20" s="57"/>
      <c r="H20" s="57"/>
      <c r="I20" s="57"/>
      <c r="J20" s="57"/>
      <c r="K20" s="57"/>
      <c r="L20" s="57"/>
      <c r="M20" s="57"/>
      <c r="N20" s="57"/>
      <c r="O20" s="57"/>
      <c r="P20" s="57"/>
      <c r="Q20" s="57"/>
      <c r="R20" s="57"/>
      <c r="S20" s="57"/>
      <c r="T20" s="57"/>
      <c r="U20" s="57"/>
      <c r="V20" s="57"/>
      <c r="W20" s="57"/>
      <c r="X20" s="57"/>
      <c r="Y20" s="57"/>
      <c r="Z20" s="57"/>
    </row>
    <row r="21" spans="1:29">
      <c r="B21" s="10"/>
      <c r="F21" s="57"/>
      <c r="G21" s="57"/>
      <c r="H21" s="57"/>
      <c r="I21" s="57"/>
      <c r="J21" s="57"/>
      <c r="K21" s="57"/>
      <c r="L21" s="57"/>
      <c r="M21" s="57"/>
      <c r="N21" s="57"/>
      <c r="O21" s="57"/>
      <c r="P21" s="57"/>
      <c r="Q21" s="57"/>
      <c r="R21" s="57"/>
      <c r="S21" s="57"/>
      <c r="T21" s="57"/>
      <c r="U21" s="57"/>
      <c r="V21" s="57"/>
      <c r="W21" s="57"/>
      <c r="X21" s="57"/>
      <c r="Y21" s="57"/>
      <c r="Z21" s="57"/>
    </row>
    <row r="22" spans="1:29">
      <c r="B22" s="10"/>
      <c r="F22" s="57"/>
      <c r="G22" s="57"/>
      <c r="H22" s="57"/>
      <c r="I22" s="57"/>
      <c r="J22" s="57"/>
      <c r="K22" s="57"/>
      <c r="L22" s="57"/>
      <c r="M22" s="57"/>
      <c r="N22" s="57"/>
      <c r="O22" s="57"/>
      <c r="P22" s="57"/>
      <c r="Q22" s="57"/>
      <c r="R22" s="57"/>
      <c r="S22" s="57"/>
      <c r="T22" s="57"/>
      <c r="U22" s="57"/>
      <c r="V22" s="57"/>
      <c r="W22" s="57"/>
      <c r="X22" s="57"/>
      <c r="Y22" s="57"/>
      <c r="Z22" s="57"/>
    </row>
    <row r="23" spans="1:29">
      <c r="B23" s="10"/>
    </row>
    <row r="24" spans="1:29">
      <c r="B24" s="10"/>
    </row>
    <row r="25" spans="1:29">
      <c r="B25" s="10"/>
    </row>
    <row r="26" spans="1:29">
      <c r="B26" s="10"/>
    </row>
    <row r="27" spans="1:29">
      <c r="B27" s="10"/>
    </row>
    <row r="28" spans="1:29">
      <c r="B28" s="10"/>
    </row>
    <row r="29" spans="1:29">
      <c r="B29" s="10"/>
    </row>
    <row r="30" spans="1:29">
      <c r="B30" s="10"/>
    </row>
    <row r="31" spans="1:29">
      <c r="B31" s="10"/>
    </row>
    <row r="32" spans="1:29">
      <c r="B32" s="10"/>
    </row>
    <row r="33" spans="2:2">
      <c r="B33" s="10"/>
    </row>
    <row r="34" spans="2:2">
      <c r="B34" s="10"/>
    </row>
    <row r="35" spans="2:2">
      <c r="B35" s="10"/>
    </row>
    <row r="36" spans="2:2">
      <c r="B36" s="10"/>
    </row>
    <row r="37" spans="2:2">
      <c r="B37" s="10"/>
    </row>
    <row r="38" spans="2:2">
      <c r="B38" s="10"/>
    </row>
    <row r="39" spans="2:2">
      <c r="B39" s="10"/>
    </row>
    <row r="40" spans="2:2">
      <c r="B40" s="10"/>
    </row>
    <row r="41" spans="2:2">
      <c r="B41" s="10"/>
    </row>
    <row r="42" spans="2:2">
      <c r="B42" s="10"/>
    </row>
    <row r="43" spans="2:2">
      <c r="B43" s="10"/>
    </row>
    <row r="44" spans="2:2">
      <c r="B44" s="10"/>
    </row>
    <row r="45" spans="2:2">
      <c r="B45" s="10"/>
    </row>
    <row r="46" spans="2:2">
      <c r="B46" s="10"/>
    </row>
    <row r="47" spans="2:2">
      <c r="B47" s="10"/>
    </row>
    <row r="48" spans="2:2">
      <c r="B48" s="10"/>
    </row>
    <row r="49" spans="2:2">
      <c r="B49" s="10"/>
    </row>
    <row r="50" spans="2:2">
      <c r="B50" s="10"/>
    </row>
    <row r="51" spans="2:2">
      <c r="B51" s="10"/>
    </row>
    <row r="52" spans="2:2">
      <c r="B52" s="10"/>
    </row>
    <row r="53" spans="2:2">
      <c r="B53" s="10"/>
    </row>
    <row r="54" spans="2:2">
      <c r="B54" s="10"/>
    </row>
    <row r="55" spans="2:2">
      <c r="B55" s="10"/>
    </row>
    <row r="56" spans="2:2">
      <c r="B56" s="10"/>
    </row>
    <row r="57" spans="2:2">
      <c r="B57" s="10"/>
    </row>
    <row r="58" spans="2:2">
      <c r="B58" s="10"/>
    </row>
    <row r="59" spans="2:2">
      <c r="B59" s="10"/>
    </row>
    <row r="60" spans="2:2">
      <c r="B60" s="10"/>
    </row>
    <row r="61" spans="2:2">
      <c r="B61" s="10"/>
    </row>
    <row r="62" spans="2:2">
      <c r="B62" s="10"/>
    </row>
    <row r="63" spans="2:2">
      <c r="B63" s="10"/>
    </row>
    <row r="64" spans="2:2">
      <c r="B64" s="10"/>
    </row>
    <row r="65" spans="2:2">
      <c r="B65" s="10"/>
    </row>
    <row r="66" spans="2:2">
      <c r="B66" s="10"/>
    </row>
    <row r="67" spans="2:2">
      <c r="B67" s="10"/>
    </row>
    <row r="68" spans="2:2">
      <c r="B68" s="10"/>
    </row>
    <row r="69" spans="2:2">
      <c r="B69" s="10"/>
    </row>
    <row r="70" spans="2:2">
      <c r="B70" s="10"/>
    </row>
    <row r="71" spans="2:2">
      <c r="B71" s="10"/>
    </row>
    <row r="72" spans="2:2">
      <c r="B72" s="10"/>
    </row>
    <row r="73" spans="2:2">
      <c r="B73" s="10"/>
    </row>
    <row r="74" spans="2:2">
      <c r="B74" s="10"/>
    </row>
    <row r="75" spans="2:2">
      <c r="B75" s="10"/>
    </row>
    <row r="76" spans="2:2">
      <c r="B76" s="10"/>
    </row>
    <row r="77" spans="2:2">
      <c r="B77" s="10"/>
    </row>
    <row r="78" spans="2:2">
      <c r="B78" s="10"/>
    </row>
    <row r="79" spans="2:2">
      <c r="B79" s="10"/>
    </row>
    <row r="80" spans="2:2">
      <c r="B80" s="10"/>
    </row>
    <row r="81" spans="2:2">
      <c r="B81" s="10"/>
    </row>
    <row r="82" spans="2:2">
      <c r="B82" s="10"/>
    </row>
    <row r="83" spans="2:2">
      <c r="B83" s="10"/>
    </row>
    <row r="84" spans="2:2">
      <c r="B84" s="10"/>
    </row>
    <row r="85" spans="2:2">
      <c r="B85" s="10"/>
    </row>
    <row r="86" spans="2:2">
      <c r="B86" s="10"/>
    </row>
    <row r="87" spans="2:2">
      <c r="B87" s="10"/>
    </row>
    <row r="88" spans="2:2">
      <c r="B88" s="10"/>
    </row>
    <row r="89" spans="2:2">
      <c r="B89" s="10"/>
    </row>
    <row r="90" spans="2:2">
      <c r="B90" s="10"/>
    </row>
    <row r="91" spans="2:2">
      <c r="B91" s="10"/>
    </row>
    <row r="92" spans="2:2">
      <c r="B92" s="10"/>
    </row>
    <row r="93" spans="2:2">
      <c r="B93" s="10"/>
    </row>
    <row r="94" spans="2:2">
      <c r="B94" s="10"/>
    </row>
    <row r="95" spans="2:2">
      <c r="B95" s="10"/>
    </row>
    <row r="96" spans="2:2">
      <c r="B96" s="10"/>
    </row>
    <row r="97" spans="2:2">
      <c r="B97" s="10"/>
    </row>
    <row r="98" spans="2:2">
      <c r="B98" s="10"/>
    </row>
    <row r="99" spans="2:2">
      <c r="B99" s="10"/>
    </row>
    <row r="100" spans="2:2">
      <c r="B100" s="10"/>
    </row>
    <row r="101" spans="2:2">
      <c r="B101" s="10"/>
    </row>
    <row r="102" spans="2:2">
      <c r="B102" s="10"/>
    </row>
    <row r="103" spans="2:2">
      <c r="B103" s="10"/>
    </row>
    <row r="104" spans="2:2">
      <c r="B104" s="10"/>
    </row>
    <row r="105" spans="2:2">
      <c r="B105" s="10"/>
    </row>
    <row r="106" spans="2:2">
      <c r="B106" s="10"/>
    </row>
    <row r="107" spans="2:2">
      <c r="B107" s="10"/>
    </row>
    <row r="108" spans="2:2">
      <c r="B108" s="10"/>
    </row>
    <row r="109" spans="2:2">
      <c r="B109" s="10"/>
    </row>
    <row r="110" spans="2:2">
      <c r="B110" s="10"/>
    </row>
    <row r="111" spans="2:2">
      <c r="B111" s="10"/>
    </row>
    <row r="112" spans="2:2">
      <c r="B112" s="10"/>
    </row>
    <row r="113" spans="2:2">
      <c r="B113" s="10"/>
    </row>
    <row r="114" spans="2:2">
      <c r="B114" s="10"/>
    </row>
    <row r="115" spans="2:2">
      <c r="B115" s="10"/>
    </row>
    <row r="116" spans="2:2">
      <c r="B116" s="10"/>
    </row>
    <row r="117" spans="2:2">
      <c r="B117" s="10"/>
    </row>
    <row r="118" spans="2:2">
      <c r="B118" s="10"/>
    </row>
    <row r="119" spans="2:2">
      <c r="B119" s="10"/>
    </row>
    <row r="120" spans="2:2">
      <c r="B120" s="10"/>
    </row>
    <row r="121" spans="2:2">
      <c r="B121" s="10"/>
    </row>
    <row r="122" spans="2:2">
      <c r="B122" s="10"/>
    </row>
    <row r="123" spans="2:2">
      <c r="B123" s="10"/>
    </row>
    <row r="124" spans="2:2">
      <c r="B124" s="10"/>
    </row>
    <row r="125" spans="2:2">
      <c r="B125" s="10"/>
    </row>
    <row r="126" spans="2:2">
      <c r="B126" s="10"/>
    </row>
    <row r="127" spans="2:2">
      <c r="B127" s="10"/>
    </row>
    <row r="128" spans="2:2">
      <c r="B128" s="10"/>
    </row>
    <row r="129" spans="2:2">
      <c r="B129" s="10"/>
    </row>
    <row r="130" spans="2:2">
      <c r="B130" s="10"/>
    </row>
    <row r="131" spans="2:2">
      <c r="B131" s="10"/>
    </row>
    <row r="132" spans="2:2">
      <c r="B132" s="10"/>
    </row>
    <row r="133" spans="2:2">
      <c r="B133" s="10"/>
    </row>
    <row r="134" spans="2:2">
      <c r="B134" s="10"/>
    </row>
    <row r="135" spans="2:2">
      <c r="B135" s="10"/>
    </row>
    <row r="136" spans="2:2">
      <c r="B136" s="10"/>
    </row>
    <row r="137" spans="2:2">
      <c r="B137" s="10"/>
    </row>
    <row r="138" spans="2:2">
      <c r="B138" s="10"/>
    </row>
    <row r="139" spans="2:2">
      <c r="B139" s="10"/>
    </row>
    <row r="140" spans="2:2">
      <c r="B140" s="10"/>
    </row>
    <row r="141" spans="2:2">
      <c r="B141" s="10"/>
    </row>
    <row r="142" spans="2:2">
      <c r="B142" s="10"/>
    </row>
    <row r="143" spans="2:2">
      <c r="B143" s="10"/>
    </row>
    <row r="144" spans="2:2">
      <c r="B144" s="10"/>
    </row>
    <row r="145" spans="2:2">
      <c r="B145" s="10"/>
    </row>
    <row r="146" spans="2:2">
      <c r="B146" s="10"/>
    </row>
    <row r="147" spans="2:2">
      <c r="B147" s="10"/>
    </row>
    <row r="148" spans="2:2">
      <c r="B148" s="10"/>
    </row>
    <row r="149" spans="2:2">
      <c r="B149" s="10"/>
    </row>
    <row r="150" spans="2:2">
      <c r="B150" s="10"/>
    </row>
    <row r="151" spans="2:2">
      <c r="B151" s="10"/>
    </row>
    <row r="152" spans="2:2">
      <c r="B152" s="10"/>
    </row>
    <row r="153" spans="2:2">
      <c r="B153" s="10"/>
    </row>
    <row r="154" spans="2:2">
      <c r="B154" s="10"/>
    </row>
    <row r="155" spans="2:2">
      <c r="B155" s="10"/>
    </row>
    <row r="156" spans="2:2">
      <c r="B156" s="10"/>
    </row>
    <row r="157" spans="2:2">
      <c r="B157" s="10"/>
    </row>
    <row r="158" spans="2:2">
      <c r="B158" s="10"/>
    </row>
    <row r="159" spans="2:2">
      <c r="B159" s="10"/>
    </row>
    <row r="160" spans="2:2">
      <c r="B160" s="10"/>
    </row>
    <row r="161" spans="2:2">
      <c r="B161" s="10"/>
    </row>
    <row r="162" spans="2:2">
      <c r="B162" s="10"/>
    </row>
    <row r="163" spans="2:2">
      <c r="B163" s="10"/>
    </row>
    <row r="164" spans="2:2">
      <c r="B164" s="10"/>
    </row>
    <row r="165" spans="2:2">
      <c r="B165" s="10"/>
    </row>
    <row r="166" spans="2:2">
      <c r="B166" s="10"/>
    </row>
    <row r="167" spans="2:2">
      <c r="B167" s="10"/>
    </row>
    <row r="168" spans="2:2">
      <c r="B168" s="10"/>
    </row>
    <row r="169" spans="2:2">
      <c r="B169" s="10"/>
    </row>
    <row r="170" spans="2:2">
      <c r="B170" s="10"/>
    </row>
    <row r="171" spans="2:2">
      <c r="B171" s="10"/>
    </row>
    <row r="172" spans="2:2">
      <c r="B172" s="10"/>
    </row>
    <row r="173" spans="2:2">
      <c r="B173" s="10"/>
    </row>
    <row r="174" spans="2:2">
      <c r="B174" s="10"/>
    </row>
    <row r="175" spans="2:2">
      <c r="B175" s="10"/>
    </row>
    <row r="176" spans="2:2">
      <c r="B176" s="10"/>
    </row>
    <row r="177" spans="2:2">
      <c r="B177" s="10"/>
    </row>
    <row r="178" spans="2:2">
      <c r="B178" s="10"/>
    </row>
    <row r="179" spans="2:2">
      <c r="B179" s="10"/>
    </row>
    <row r="180" spans="2:2">
      <c r="B180" s="10"/>
    </row>
    <row r="181" spans="2:2">
      <c r="B181" s="10"/>
    </row>
    <row r="182" spans="2:2">
      <c r="B182" s="10"/>
    </row>
    <row r="183" spans="2:2">
      <c r="B183" s="10"/>
    </row>
    <row r="184" spans="2:2">
      <c r="B184" s="10"/>
    </row>
    <row r="185" spans="2:2">
      <c r="B185" s="10"/>
    </row>
    <row r="186" spans="2:2">
      <c r="B186" s="10"/>
    </row>
    <row r="187" spans="2:2">
      <c r="B187" s="10"/>
    </row>
    <row r="188" spans="2:2">
      <c r="B188" s="10"/>
    </row>
    <row r="189" spans="2:2">
      <c r="B189" s="10"/>
    </row>
    <row r="190" spans="2:2">
      <c r="B190" s="10"/>
    </row>
    <row r="191" spans="2:2">
      <c r="B191" s="10"/>
    </row>
    <row r="192" spans="2:2">
      <c r="B192" s="10"/>
    </row>
    <row r="193" spans="2:2">
      <c r="B193" s="10"/>
    </row>
    <row r="194" spans="2:2">
      <c r="B194" s="10"/>
    </row>
    <row r="195" spans="2:2">
      <c r="B195" s="10"/>
    </row>
    <row r="196" spans="2:2">
      <c r="B196" s="10"/>
    </row>
    <row r="197" spans="2:2">
      <c r="B197" s="10"/>
    </row>
    <row r="198" spans="2:2">
      <c r="B198" s="10"/>
    </row>
    <row r="199" spans="2:2">
      <c r="B199" s="10"/>
    </row>
    <row r="200" spans="2:2">
      <c r="B200" s="10"/>
    </row>
    <row r="201" spans="2:2">
      <c r="B201" s="10"/>
    </row>
    <row r="202" spans="2:2">
      <c r="B202" s="10"/>
    </row>
    <row r="203" spans="2:2">
      <c r="B203" s="10"/>
    </row>
    <row r="204" spans="2:2">
      <c r="B204" s="10"/>
    </row>
    <row r="205" spans="2:2">
      <c r="B205" s="10"/>
    </row>
    <row r="206" spans="2:2">
      <c r="B206" s="10"/>
    </row>
    <row r="207" spans="2:2">
      <c r="B207" s="10"/>
    </row>
    <row r="208" spans="2:2">
      <c r="B208" s="10"/>
    </row>
    <row r="209" spans="2:2">
      <c r="B209" s="10"/>
    </row>
    <row r="210" spans="2:2">
      <c r="B210" s="10"/>
    </row>
    <row r="211" spans="2:2">
      <c r="B211" s="10"/>
    </row>
    <row r="212" spans="2:2">
      <c r="B212" s="10"/>
    </row>
    <row r="213" spans="2:2">
      <c r="B213" s="10"/>
    </row>
    <row r="214" spans="2:2">
      <c r="B214" s="10"/>
    </row>
    <row r="215" spans="2:2">
      <c r="B215" s="10"/>
    </row>
    <row r="216" spans="2:2">
      <c r="B216" s="10"/>
    </row>
    <row r="217" spans="2:2">
      <c r="B217" s="10"/>
    </row>
    <row r="218" spans="2:2">
      <c r="B218" s="10"/>
    </row>
    <row r="219" spans="2:2">
      <c r="B219" s="10"/>
    </row>
    <row r="220" spans="2:2">
      <c r="B220" s="10"/>
    </row>
    <row r="221" spans="2:2">
      <c r="B221" s="10"/>
    </row>
    <row r="222" spans="2:2">
      <c r="B222" s="10"/>
    </row>
    <row r="223" spans="2:2">
      <c r="B223" s="10"/>
    </row>
    <row r="224" spans="2:2">
      <c r="B224" s="10"/>
    </row>
    <row r="225" spans="2:2">
      <c r="B225" s="10"/>
    </row>
    <row r="226" spans="2:2">
      <c r="B226" s="10"/>
    </row>
    <row r="227" spans="2:2">
      <c r="B227" s="10"/>
    </row>
    <row r="228" spans="2:2">
      <c r="B228" s="10"/>
    </row>
    <row r="229" spans="2:2">
      <c r="B229" s="10"/>
    </row>
    <row r="230" spans="2:2">
      <c r="B230" s="10"/>
    </row>
    <row r="231" spans="2:2">
      <c r="B231" s="10"/>
    </row>
    <row r="232" spans="2:2">
      <c r="B232" s="10"/>
    </row>
    <row r="233" spans="2:2">
      <c r="B233" s="10"/>
    </row>
    <row r="234" spans="2:2">
      <c r="B234" s="10"/>
    </row>
    <row r="235" spans="2:2">
      <c r="B235" s="10"/>
    </row>
    <row r="236" spans="2:2">
      <c r="B236" s="10"/>
    </row>
    <row r="237" spans="2:2">
      <c r="B237" s="10"/>
    </row>
    <row r="238" spans="2:2">
      <c r="B238" s="10"/>
    </row>
    <row r="239" spans="2:2">
      <c r="B239" s="10"/>
    </row>
    <row r="240" spans="2:2">
      <c r="B240" s="10"/>
    </row>
    <row r="241" spans="2:2">
      <c r="B241" s="10"/>
    </row>
    <row r="242" spans="2:2">
      <c r="B242" s="10"/>
    </row>
    <row r="243" spans="2:2">
      <c r="B243" s="10"/>
    </row>
    <row r="244" spans="2:2">
      <c r="B244" s="10"/>
    </row>
    <row r="245" spans="2:2">
      <c r="B245" s="10"/>
    </row>
    <row r="246" spans="2:2">
      <c r="B246" s="10"/>
    </row>
    <row r="247" spans="2:2">
      <c r="B247" s="10"/>
    </row>
    <row r="248" spans="2:2">
      <c r="B248" s="10"/>
    </row>
    <row r="249" spans="2:2">
      <c r="B249" s="10"/>
    </row>
    <row r="250" spans="2:2">
      <c r="B250" s="10"/>
    </row>
    <row r="251" spans="2:2">
      <c r="B251" s="10"/>
    </row>
    <row r="252" spans="2:2">
      <c r="B252" s="10"/>
    </row>
    <row r="253" spans="2:2">
      <c r="B253" s="10"/>
    </row>
    <row r="254" spans="2:2">
      <c r="B254" s="10"/>
    </row>
    <row r="255" spans="2:2">
      <c r="B255" s="10"/>
    </row>
    <row r="256" spans="2:2">
      <c r="B256" s="10"/>
    </row>
    <row r="257" spans="2:2">
      <c r="B257" s="10"/>
    </row>
    <row r="258" spans="2:2">
      <c r="B258" s="10"/>
    </row>
    <row r="259" spans="2:2">
      <c r="B259" s="10"/>
    </row>
    <row r="260" spans="2:2">
      <c r="B260" s="10"/>
    </row>
    <row r="261" spans="2:2">
      <c r="B261" s="10"/>
    </row>
    <row r="262" spans="2:2">
      <c r="B262" s="10"/>
    </row>
    <row r="263" spans="2:2">
      <c r="B263" s="10"/>
    </row>
    <row r="264" spans="2:2">
      <c r="B264" s="10"/>
    </row>
    <row r="265" spans="2:2">
      <c r="B265" s="10"/>
    </row>
    <row r="266" spans="2:2">
      <c r="B266" s="10"/>
    </row>
    <row r="267" spans="2:2">
      <c r="B267" s="10"/>
    </row>
    <row r="268" spans="2:2">
      <c r="B268" s="10"/>
    </row>
    <row r="269" spans="2:2">
      <c r="B269" s="10"/>
    </row>
    <row r="270" spans="2:2">
      <c r="B270" s="10"/>
    </row>
    <row r="271" spans="2:2">
      <c r="B271" s="10"/>
    </row>
    <row r="272" spans="2:2">
      <c r="B272" s="10"/>
    </row>
    <row r="273" spans="2:2">
      <c r="B273" s="10"/>
    </row>
    <row r="274" spans="2:2">
      <c r="B274" s="10"/>
    </row>
    <row r="275" spans="2:2">
      <c r="B275" s="10"/>
    </row>
    <row r="276" spans="2:2">
      <c r="B276" s="10"/>
    </row>
    <row r="277" spans="2:2">
      <c r="B277" s="10"/>
    </row>
    <row r="278" spans="2:2">
      <c r="B278" s="10"/>
    </row>
    <row r="279" spans="2:2">
      <c r="B279" s="10"/>
    </row>
    <row r="280" spans="2:2">
      <c r="B280" s="10"/>
    </row>
    <row r="281" spans="2:2">
      <c r="B281" s="10"/>
    </row>
    <row r="282" spans="2:2">
      <c r="B282" s="10"/>
    </row>
    <row r="283" spans="2:2">
      <c r="B283" s="10"/>
    </row>
    <row r="284" spans="2:2">
      <c r="B284" s="10"/>
    </row>
    <row r="285" spans="2:2">
      <c r="B285" s="10"/>
    </row>
    <row r="286" spans="2:2">
      <c r="B286" s="10"/>
    </row>
    <row r="287" spans="2:2">
      <c r="B287" s="10"/>
    </row>
    <row r="288" spans="2:2">
      <c r="B288" s="10"/>
    </row>
    <row r="289" spans="2:2">
      <c r="B289" s="10"/>
    </row>
    <row r="290" spans="2:2">
      <c r="B290" s="10"/>
    </row>
    <row r="291" spans="2:2">
      <c r="B291" s="10"/>
    </row>
    <row r="292" spans="2:2">
      <c r="B292" s="10"/>
    </row>
    <row r="293" spans="2:2">
      <c r="B293" s="10"/>
    </row>
    <row r="294" spans="2:2">
      <c r="B294" s="10"/>
    </row>
    <row r="295" spans="2:2">
      <c r="B295" s="10"/>
    </row>
    <row r="296" spans="2:2">
      <c r="B296" s="10"/>
    </row>
    <row r="297" spans="2:2">
      <c r="B297" s="10"/>
    </row>
    <row r="298" spans="2:2">
      <c r="B298" s="10"/>
    </row>
    <row r="299" spans="2:2">
      <c r="B299" s="10"/>
    </row>
    <row r="300" spans="2:2">
      <c r="B300" s="10"/>
    </row>
    <row r="301" spans="2:2">
      <c r="B301" s="10"/>
    </row>
    <row r="302" spans="2:2">
      <c r="B302" s="10"/>
    </row>
    <row r="303" spans="2:2">
      <c r="B303" s="10"/>
    </row>
    <row r="304" spans="2:2">
      <c r="B304" s="10"/>
    </row>
    <row r="305" spans="2:2">
      <c r="B305" s="10"/>
    </row>
    <row r="306" spans="2:2">
      <c r="B306" s="10"/>
    </row>
    <row r="307" spans="2:2">
      <c r="B307" s="10"/>
    </row>
    <row r="308" spans="2:2">
      <c r="B308" s="10"/>
    </row>
    <row r="309" spans="2:2">
      <c r="B309" s="10"/>
    </row>
    <row r="310" spans="2:2">
      <c r="B310" s="10"/>
    </row>
    <row r="311" spans="2:2">
      <c r="B311" s="10"/>
    </row>
    <row r="312" spans="2:2">
      <c r="B312" s="10"/>
    </row>
    <row r="313" spans="2:2">
      <c r="B313" s="10"/>
    </row>
    <row r="314" spans="2:2">
      <c r="B314" s="10"/>
    </row>
    <row r="315" spans="2:2">
      <c r="B315" s="10"/>
    </row>
    <row r="316" spans="2:2">
      <c r="B316" s="10"/>
    </row>
    <row r="317" spans="2:2">
      <c r="B317" s="10"/>
    </row>
    <row r="318" spans="2:2">
      <c r="B318" s="10"/>
    </row>
    <row r="319" spans="2:2">
      <c r="B319" s="10"/>
    </row>
    <row r="320" spans="2:2">
      <c r="B320" s="10"/>
    </row>
    <row r="321" spans="2:2">
      <c r="B321" s="10"/>
    </row>
    <row r="322" spans="2:2">
      <c r="B322" s="10"/>
    </row>
    <row r="323" spans="2:2">
      <c r="B323" s="10"/>
    </row>
    <row r="324" spans="2:2">
      <c r="B324" s="10"/>
    </row>
    <row r="325" spans="2:2">
      <c r="B325" s="10"/>
    </row>
    <row r="326" spans="2:2">
      <c r="B326" s="10"/>
    </row>
    <row r="327" spans="2:2">
      <c r="B327" s="10"/>
    </row>
    <row r="328" spans="2:2">
      <c r="B328" s="10"/>
    </row>
    <row r="329" spans="2:2">
      <c r="B329" s="10"/>
    </row>
    <row r="330" spans="2:2">
      <c r="B330" s="10"/>
    </row>
    <row r="331" spans="2:2">
      <c r="B331" s="10"/>
    </row>
    <row r="332" spans="2:2">
      <c r="B332" s="10"/>
    </row>
    <row r="333" spans="2:2">
      <c r="B333" s="10"/>
    </row>
    <row r="334" spans="2:2">
      <c r="B334" s="10"/>
    </row>
    <row r="335" spans="2:2">
      <c r="B335" s="10"/>
    </row>
    <row r="336" spans="2:2">
      <c r="B336" s="10"/>
    </row>
    <row r="337" spans="2:2">
      <c r="B337" s="10"/>
    </row>
    <row r="338" spans="2:2">
      <c r="B338" s="10"/>
    </row>
    <row r="339" spans="2:2">
      <c r="B339" s="10"/>
    </row>
    <row r="340" spans="2:2">
      <c r="B340" s="10"/>
    </row>
    <row r="341" spans="2:2">
      <c r="B341" s="10"/>
    </row>
    <row r="342" spans="2:2">
      <c r="B342" s="10"/>
    </row>
    <row r="343" spans="2:2">
      <c r="B343" s="10"/>
    </row>
    <row r="344" spans="2:2">
      <c r="B344" s="10"/>
    </row>
    <row r="345" spans="2:2">
      <c r="B345" s="10"/>
    </row>
    <row r="346" spans="2:2">
      <c r="B346" s="10"/>
    </row>
    <row r="347" spans="2:2">
      <c r="B347" s="10"/>
    </row>
    <row r="348" spans="2:2">
      <c r="B348" s="10"/>
    </row>
    <row r="349" spans="2:2">
      <c r="B349" s="10"/>
    </row>
    <row r="350" spans="2:2">
      <c r="B350" s="10"/>
    </row>
    <row r="351" spans="2:2">
      <c r="B351" s="10"/>
    </row>
    <row r="352" spans="2:2">
      <c r="B352" s="10"/>
    </row>
    <row r="353" spans="2:2">
      <c r="B353" s="10"/>
    </row>
    <row r="354" spans="2:2">
      <c r="B354" s="10"/>
    </row>
    <row r="355" spans="2:2">
      <c r="B355" s="10"/>
    </row>
    <row r="356" spans="2:2">
      <c r="B356" s="10"/>
    </row>
    <row r="357" spans="2:2">
      <c r="B357" s="10"/>
    </row>
    <row r="358" spans="2:2">
      <c r="B358" s="10"/>
    </row>
    <row r="359" spans="2:2">
      <c r="B359" s="10"/>
    </row>
    <row r="360" spans="2:2">
      <c r="B360" s="10"/>
    </row>
    <row r="361" spans="2:2">
      <c r="B361" s="10"/>
    </row>
    <row r="362" spans="2:2">
      <c r="B362" s="10"/>
    </row>
    <row r="363" spans="2:2">
      <c r="B363" s="10"/>
    </row>
    <row r="364" spans="2:2">
      <c r="B364" s="10"/>
    </row>
    <row r="365" spans="2:2">
      <c r="B365" s="10"/>
    </row>
    <row r="366" spans="2:2">
      <c r="B366" s="10"/>
    </row>
    <row r="367" spans="2:2">
      <c r="B367" s="10"/>
    </row>
    <row r="368" spans="2:2">
      <c r="B368" s="10"/>
    </row>
    <row r="369" spans="2:2">
      <c r="B369" s="10"/>
    </row>
    <row r="370" spans="2:2">
      <c r="B370" s="10"/>
    </row>
    <row r="371" spans="2:2">
      <c r="B371" s="10"/>
    </row>
    <row r="372" spans="2:2">
      <c r="B372" s="10"/>
    </row>
    <row r="373" spans="2:2">
      <c r="B373" s="10"/>
    </row>
    <row r="374" spans="2:2">
      <c r="B374" s="10"/>
    </row>
    <row r="375" spans="2:2">
      <c r="B375" s="10"/>
    </row>
    <row r="376" spans="2:2">
      <c r="B376" s="10"/>
    </row>
    <row r="377" spans="2:2">
      <c r="B377" s="10"/>
    </row>
    <row r="378" spans="2:2">
      <c r="B378" s="10"/>
    </row>
    <row r="379" spans="2:2">
      <c r="B379" s="10"/>
    </row>
    <row r="380" spans="2:2">
      <c r="B380" s="10"/>
    </row>
    <row r="381" spans="2:2">
      <c r="B381" s="10"/>
    </row>
    <row r="382" spans="2:2">
      <c r="B382" s="10"/>
    </row>
    <row r="383" spans="2:2">
      <c r="B383" s="10"/>
    </row>
    <row r="384" spans="2:2">
      <c r="B384" s="10"/>
    </row>
    <row r="385" spans="2:2">
      <c r="B385" s="10"/>
    </row>
    <row r="386" spans="2:2">
      <c r="B386" s="10"/>
    </row>
    <row r="387" spans="2:2">
      <c r="B387" s="10"/>
    </row>
    <row r="388" spans="2:2">
      <c r="B388" s="10"/>
    </row>
    <row r="389" spans="2:2">
      <c r="B389" s="10"/>
    </row>
    <row r="390" spans="2:2">
      <c r="B390" s="10"/>
    </row>
    <row r="391" spans="2:2">
      <c r="B391" s="10"/>
    </row>
    <row r="392" spans="2:2">
      <c r="B392" s="10"/>
    </row>
    <row r="393" spans="2:2">
      <c r="B393" s="10"/>
    </row>
    <row r="394" spans="2:2">
      <c r="B394" s="10"/>
    </row>
    <row r="395" spans="2:2">
      <c r="B395" s="10"/>
    </row>
    <row r="396" spans="2:2">
      <c r="B396" s="10"/>
    </row>
    <row r="397" spans="2:2">
      <c r="B397" s="10"/>
    </row>
    <row r="398" spans="2:2">
      <c r="B398" s="10"/>
    </row>
    <row r="399" spans="2:2">
      <c r="B399" s="10"/>
    </row>
    <row r="400" spans="2:2">
      <c r="B400" s="10"/>
    </row>
    <row r="401" spans="2:2">
      <c r="B401" s="10"/>
    </row>
    <row r="402" spans="2:2">
      <c r="B402" s="10"/>
    </row>
    <row r="403" spans="2:2">
      <c r="B403" s="10"/>
    </row>
    <row r="404" spans="2:2">
      <c r="B404" s="10"/>
    </row>
    <row r="405" spans="2:2">
      <c r="B405" s="10"/>
    </row>
    <row r="406" spans="2:2">
      <c r="B406" s="10"/>
    </row>
    <row r="407" spans="2:2">
      <c r="B407" s="10"/>
    </row>
    <row r="408" spans="2:2">
      <c r="B408" s="10"/>
    </row>
    <row r="409" spans="2:2">
      <c r="B409" s="10"/>
    </row>
    <row r="410" spans="2:2">
      <c r="B410" s="10"/>
    </row>
    <row r="411" spans="2:2">
      <c r="B411" s="10"/>
    </row>
    <row r="412" spans="2:2">
      <c r="B412" s="10"/>
    </row>
    <row r="413" spans="2:2">
      <c r="B413" s="10"/>
    </row>
    <row r="414" spans="2:2">
      <c r="B414" s="10"/>
    </row>
    <row r="415" spans="2:2">
      <c r="B415" s="10"/>
    </row>
    <row r="416" spans="2:2">
      <c r="B416" s="10"/>
    </row>
    <row r="417" spans="2:2">
      <c r="B417" s="10"/>
    </row>
    <row r="418" spans="2:2">
      <c r="B418" s="10"/>
    </row>
    <row r="419" spans="2:2">
      <c r="B419" s="10"/>
    </row>
    <row r="420" spans="2:2">
      <c r="B420" s="10"/>
    </row>
    <row r="421" spans="2:2">
      <c r="B421" s="10"/>
    </row>
    <row r="422" spans="2:2">
      <c r="B422" s="10"/>
    </row>
    <row r="423" spans="2:2">
      <c r="B423" s="10"/>
    </row>
    <row r="424" spans="2:2">
      <c r="B424" s="10"/>
    </row>
    <row r="425" spans="2:2">
      <c r="B425" s="10"/>
    </row>
    <row r="426" spans="2:2">
      <c r="B426" s="10"/>
    </row>
    <row r="427" spans="2:2">
      <c r="B427" s="10"/>
    </row>
    <row r="428" spans="2:2">
      <c r="B428" s="10"/>
    </row>
    <row r="429" spans="2:2">
      <c r="B429" s="10"/>
    </row>
    <row r="430" spans="2:2">
      <c r="B430" s="10"/>
    </row>
    <row r="431" spans="2:2">
      <c r="B431" s="10"/>
    </row>
    <row r="432" spans="2:2">
      <c r="B432" s="10"/>
    </row>
    <row r="433" spans="2:2">
      <c r="B433" s="10"/>
    </row>
    <row r="434" spans="2:2">
      <c r="B434" s="10"/>
    </row>
    <row r="435" spans="2:2">
      <c r="B435" s="10"/>
    </row>
    <row r="436" spans="2:2">
      <c r="B436" s="10"/>
    </row>
    <row r="437" spans="2:2">
      <c r="B437" s="10"/>
    </row>
    <row r="438" spans="2:2">
      <c r="B438" s="10"/>
    </row>
    <row r="439" spans="2:2">
      <c r="B439" s="10"/>
    </row>
    <row r="440" spans="2:2">
      <c r="B440" s="10"/>
    </row>
    <row r="441" spans="2:2">
      <c r="B441" s="10"/>
    </row>
    <row r="442" spans="2:2">
      <c r="B442" s="10"/>
    </row>
    <row r="443" spans="2:2">
      <c r="B443" s="10"/>
    </row>
    <row r="444" spans="2:2">
      <c r="B444" s="10"/>
    </row>
    <row r="445" spans="2:2">
      <c r="B445" s="10"/>
    </row>
    <row r="446" spans="2:2">
      <c r="B446" s="10"/>
    </row>
    <row r="447" spans="2:2">
      <c r="B447" s="10"/>
    </row>
    <row r="448" spans="2:2">
      <c r="B448" s="10"/>
    </row>
    <row r="449" spans="2:2">
      <c r="B449" s="10"/>
    </row>
    <row r="450" spans="2:2">
      <c r="B450" s="10"/>
    </row>
    <row r="451" spans="2:2">
      <c r="B451" s="10"/>
    </row>
    <row r="452" spans="2:2">
      <c r="B452" s="10"/>
    </row>
    <row r="453" spans="2:2">
      <c r="B453" s="10"/>
    </row>
    <row r="454" spans="2:2">
      <c r="B454" s="10"/>
    </row>
    <row r="455" spans="2:2">
      <c r="B455" s="10"/>
    </row>
    <row r="456" spans="2:2">
      <c r="B456" s="10"/>
    </row>
    <row r="457" spans="2:2">
      <c r="B457" s="10"/>
    </row>
    <row r="458" spans="2:2">
      <c r="B458" s="10"/>
    </row>
    <row r="459" spans="2:2">
      <c r="B459" s="10"/>
    </row>
    <row r="460" spans="2:2">
      <c r="B460" s="10"/>
    </row>
    <row r="461" spans="2:2">
      <c r="B461" s="10"/>
    </row>
    <row r="462" spans="2:2">
      <c r="B462" s="10"/>
    </row>
    <row r="463" spans="2:2">
      <c r="B463" s="10"/>
    </row>
    <row r="464" spans="2:2">
      <c r="B464" s="10"/>
    </row>
    <row r="465" spans="2:2">
      <c r="B465" s="10"/>
    </row>
    <row r="466" spans="2:2">
      <c r="B466" s="10"/>
    </row>
    <row r="467" spans="2:2">
      <c r="B467" s="10"/>
    </row>
    <row r="468" spans="2:2">
      <c r="B468" s="10"/>
    </row>
    <row r="469" spans="2:2">
      <c r="B469" s="10"/>
    </row>
    <row r="470" spans="2:2">
      <c r="B470" s="10"/>
    </row>
    <row r="471" spans="2:2">
      <c r="B471" s="10"/>
    </row>
    <row r="472" spans="2:2">
      <c r="B472" s="10"/>
    </row>
    <row r="473" spans="2:2">
      <c r="B473" s="10"/>
    </row>
    <row r="474" spans="2:2">
      <c r="B474" s="10"/>
    </row>
    <row r="475" spans="2:2">
      <c r="B475" s="10"/>
    </row>
    <row r="476" spans="2:2">
      <c r="B476" s="10"/>
    </row>
    <row r="477" spans="2:2">
      <c r="B477" s="10"/>
    </row>
    <row r="478" spans="2:2">
      <c r="B478" s="10"/>
    </row>
    <row r="479" spans="2:2">
      <c r="B479" s="10"/>
    </row>
    <row r="480" spans="2:2">
      <c r="B480" s="10"/>
    </row>
    <row r="481" spans="2:2">
      <c r="B481" s="10"/>
    </row>
    <row r="482" spans="2:2">
      <c r="B482" s="10"/>
    </row>
    <row r="483" spans="2:2">
      <c r="B483" s="10"/>
    </row>
    <row r="484" spans="2:2">
      <c r="B484" s="10"/>
    </row>
    <row r="485" spans="2:2">
      <c r="B485" s="10"/>
    </row>
    <row r="486" spans="2:2">
      <c r="B486" s="10"/>
    </row>
    <row r="487" spans="2:2">
      <c r="B487" s="10"/>
    </row>
    <row r="488" spans="2:2">
      <c r="B488" s="10"/>
    </row>
    <row r="489" spans="2:2">
      <c r="B489" s="10"/>
    </row>
    <row r="490" spans="2:2">
      <c r="B490" s="10"/>
    </row>
    <row r="491" spans="2:2">
      <c r="B491" s="10"/>
    </row>
    <row r="492" spans="2:2">
      <c r="B492" s="10"/>
    </row>
    <row r="493" spans="2:2">
      <c r="B493" s="10"/>
    </row>
    <row r="494" spans="2:2">
      <c r="B494" s="10"/>
    </row>
    <row r="495" spans="2:2">
      <c r="B495" s="10"/>
    </row>
    <row r="496" spans="2:2">
      <c r="B496" s="10"/>
    </row>
    <row r="497" spans="2:2">
      <c r="B497" s="10"/>
    </row>
    <row r="498" spans="2:2">
      <c r="B498" s="10"/>
    </row>
    <row r="499" spans="2:2">
      <c r="B499" s="10"/>
    </row>
    <row r="500" spans="2:2">
      <c r="B500" s="10"/>
    </row>
    <row r="501" spans="2:2">
      <c r="B501" s="10"/>
    </row>
    <row r="502" spans="2:2">
      <c r="B502" s="10"/>
    </row>
    <row r="503" spans="2:2">
      <c r="B503" s="10"/>
    </row>
    <row r="504" spans="2:2">
      <c r="B504" s="10"/>
    </row>
    <row r="505" spans="2:2">
      <c r="B505" s="10"/>
    </row>
    <row r="506" spans="2:2">
      <c r="B506" s="10"/>
    </row>
    <row r="507" spans="2:2">
      <c r="B507" s="10"/>
    </row>
    <row r="508" spans="2:2">
      <c r="B508" s="10"/>
    </row>
    <row r="509" spans="2:2">
      <c r="B509" s="10"/>
    </row>
    <row r="510" spans="2:2">
      <c r="B510" s="10"/>
    </row>
    <row r="511" spans="2:2">
      <c r="B511" s="10"/>
    </row>
    <row r="512" spans="2:2">
      <c r="B512" s="10"/>
    </row>
    <row r="513" spans="2:2">
      <c r="B513" s="10"/>
    </row>
    <row r="514" spans="2:2">
      <c r="B514" s="10"/>
    </row>
    <row r="515" spans="2:2">
      <c r="B515" s="10"/>
    </row>
    <row r="516" spans="2:2">
      <c r="B516" s="10"/>
    </row>
    <row r="517" spans="2:2">
      <c r="B517" s="10"/>
    </row>
    <row r="518" spans="2:2">
      <c r="B518" s="10"/>
    </row>
    <row r="519" spans="2:2">
      <c r="B519" s="10"/>
    </row>
    <row r="520" spans="2:2">
      <c r="B520" s="10"/>
    </row>
    <row r="521" spans="2:2">
      <c r="B521" s="10"/>
    </row>
    <row r="522" spans="2:2">
      <c r="B522" s="10"/>
    </row>
    <row r="523" spans="2:2">
      <c r="B523" s="10"/>
    </row>
    <row r="524" spans="2:2">
      <c r="B524" s="10"/>
    </row>
    <row r="525" spans="2:2">
      <c r="B525" s="10"/>
    </row>
    <row r="526" spans="2:2">
      <c r="B526" s="10"/>
    </row>
    <row r="527" spans="2:2">
      <c r="B527" s="10"/>
    </row>
    <row r="528" spans="2:2">
      <c r="B528" s="10"/>
    </row>
    <row r="529" spans="2:2">
      <c r="B529" s="10"/>
    </row>
    <row r="530" spans="2:2">
      <c r="B530" s="10"/>
    </row>
    <row r="531" spans="2:2">
      <c r="B531" s="10"/>
    </row>
    <row r="532" spans="2:2">
      <c r="B532" s="10"/>
    </row>
    <row r="533" spans="2:2">
      <c r="B533" s="10"/>
    </row>
    <row r="534" spans="2:2">
      <c r="B534" s="10"/>
    </row>
    <row r="535" spans="2:2">
      <c r="B535" s="10"/>
    </row>
    <row r="536" spans="2:2">
      <c r="B536" s="10"/>
    </row>
    <row r="537" spans="2:2">
      <c r="B537" s="10"/>
    </row>
    <row r="538" spans="2:2">
      <c r="B538" s="10"/>
    </row>
    <row r="539" spans="2:2">
      <c r="B539" s="10"/>
    </row>
    <row r="540" spans="2:2">
      <c r="B540" s="10"/>
    </row>
    <row r="541" spans="2:2">
      <c r="B541" s="10"/>
    </row>
    <row r="542" spans="2:2">
      <c r="B542" s="10"/>
    </row>
    <row r="543" spans="2:2">
      <c r="B543" s="10"/>
    </row>
    <row r="544" spans="2:2">
      <c r="B544" s="10"/>
    </row>
    <row r="545" spans="2:2">
      <c r="B545" s="10"/>
    </row>
    <row r="546" spans="2:2">
      <c r="B546" s="10"/>
    </row>
    <row r="547" spans="2:2">
      <c r="B547" s="10"/>
    </row>
    <row r="548" spans="2:2">
      <c r="B548" s="10"/>
    </row>
    <row r="549" spans="2:2">
      <c r="B549" s="10"/>
    </row>
    <row r="550" spans="2:2">
      <c r="B550" s="10"/>
    </row>
    <row r="551" spans="2:2">
      <c r="B551" s="10"/>
    </row>
    <row r="552" spans="2:2">
      <c r="B552" s="10"/>
    </row>
    <row r="553" spans="2:2">
      <c r="B553" s="10"/>
    </row>
    <row r="554" spans="2:2">
      <c r="B554" s="10"/>
    </row>
    <row r="555" spans="2:2">
      <c r="B555" s="10"/>
    </row>
    <row r="556" spans="2:2">
      <c r="B556" s="10"/>
    </row>
    <row r="557" spans="2:2">
      <c r="B557" s="10"/>
    </row>
    <row r="558" spans="2:2">
      <c r="B558" s="10"/>
    </row>
    <row r="559" spans="2:2">
      <c r="B559" s="10"/>
    </row>
    <row r="560" spans="2:2">
      <c r="B560" s="10"/>
    </row>
    <row r="561" spans="2:2">
      <c r="B561" s="10"/>
    </row>
    <row r="562" spans="2:2">
      <c r="B562" s="10"/>
    </row>
    <row r="563" spans="2:2">
      <c r="B563" s="10"/>
    </row>
    <row r="564" spans="2:2">
      <c r="B564" s="10"/>
    </row>
    <row r="565" spans="2:2">
      <c r="B565" s="10"/>
    </row>
    <row r="566" spans="2:2">
      <c r="B566" s="10"/>
    </row>
    <row r="567" spans="2:2">
      <c r="B567" s="10"/>
    </row>
    <row r="568" spans="2:2">
      <c r="B568" s="10"/>
    </row>
    <row r="569" spans="2:2">
      <c r="B569" s="10"/>
    </row>
    <row r="570" spans="2:2">
      <c r="B570" s="10"/>
    </row>
    <row r="571" spans="2:2">
      <c r="B571" s="10"/>
    </row>
    <row r="572" spans="2:2">
      <c r="B572" s="10"/>
    </row>
    <row r="573" spans="2:2">
      <c r="B573" s="10"/>
    </row>
    <row r="574" spans="2:2">
      <c r="B574" s="10"/>
    </row>
    <row r="575" spans="2:2">
      <c r="B575" s="10"/>
    </row>
    <row r="576" spans="2:2">
      <c r="B576" s="10"/>
    </row>
    <row r="577" spans="2:2">
      <c r="B577" s="10"/>
    </row>
    <row r="578" spans="2:2">
      <c r="B578" s="10"/>
    </row>
    <row r="579" spans="2:2">
      <c r="B579" s="10"/>
    </row>
    <row r="580" spans="2:2">
      <c r="B580" s="10"/>
    </row>
    <row r="581" spans="2:2">
      <c r="B581" s="10"/>
    </row>
    <row r="582" spans="2:2">
      <c r="B582" s="10"/>
    </row>
    <row r="583" spans="2:2">
      <c r="B583" s="10"/>
    </row>
    <row r="584" spans="2:2">
      <c r="B584" s="10"/>
    </row>
    <row r="585" spans="2:2">
      <c r="B585" s="10"/>
    </row>
    <row r="586" spans="2:2">
      <c r="B586" s="10"/>
    </row>
    <row r="587" spans="2:2">
      <c r="B587" s="10"/>
    </row>
    <row r="588" spans="2:2">
      <c r="B588" s="10"/>
    </row>
    <row r="589" spans="2:2">
      <c r="B589" s="10"/>
    </row>
    <row r="590" spans="2:2">
      <c r="B590" s="10"/>
    </row>
    <row r="591" spans="2:2">
      <c r="B591" s="10"/>
    </row>
    <row r="592" spans="2:2">
      <c r="B592" s="10"/>
    </row>
    <row r="593" spans="2:2">
      <c r="B593" s="10"/>
    </row>
    <row r="594" spans="2:2">
      <c r="B594" s="10"/>
    </row>
    <row r="595" spans="2:2">
      <c r="B595" s="10"/>
    </row>
    <row r="596" spans="2:2">
      <c r="B596" s="10"/>
    </row>
    <row r="597" spans="2:2">
      <c r="B597" s="10"/>
    </row>
    <row r="598" spans="2:2">
      <c r="B598" s="10"/>
    </row>
    <row r="599" spans="2:2">
      <c r="B599" s="10"/>
    </row>
    <row r="600" spans="2:2">
      <c r="B600" s="10"/>
    </row>
    <row r="601" spans="2:2">
      <c r="B601" s="10"/>
    </row>
    <row r="602" spans="2:2">
      <c r="B602" s="10"/>
    </row>
    <row r="603" spans="2:2">
      <c r="B603" s="10"/>
    </row>
    <row r="604" spans="2:2">
      <c r="B604" s="10"/>
    </row>
    <row r="605" spans="2:2">
      <c r="B605" s="10"/>
    </row>
    <row r="606" spans="2:2">
      <c r="B606" s="10"/>
    </row>
    <row r="607" spans="2:2">
      <c r="B607" s="10"/>
    </row>
    <row r="608" spans="2:2">
      <c r="B608" s="10"/>
    </row>
    <row r="609" spans="2:2">
      <c r="B609" s="10"/>
    </row>
    <row r="610" spans="2:2">
      <c r="B610" s="10"/>
    </row>
    <row r="611" spans="2:2">
      <c r="B611" s="10"/>
    </row>
    <row r="612" spans="2:2">
      <c r="B612" s="10"/>
    </row>
    <row r="613" spans="2:2">
      <c r="B613" s="10"/>
    </row>
    <row r="614" spans="2:2">
      <c r="B614" s="10"/>
    </row>
    <row r="615" spans="2:2">
      <c r="B615" s="10"/>
    </row>
    <row r="616" spans="2:2">
      <c r="B616" s="10"/>
    </row>
    <row r="617" spans="2:2">
      <c r="B617" s="10"/>
    </row>
    <row r="618" spans="2:2">
      <c r="B618" s="10"/>
    </row>
    <row r="619" spans="2:2">
      <c r="B619" s="10"/>
    </row>
    <row r="620" spans="2:2">
      <c r="B620" s="10"/>
    </row>
    <row r="621" spans="2:2">
      <c r="B621" s="10"/>
    </row>
    <row r="622" spans="2:2">
      <c r="B622" s="10"/>
    </row>
    <row r="623" spans="2:2">
      <c r="B623" s="10"/>
    </row>
    <row r="624" spans="2:2">
      <c r="B624" s="10"/>
    </row>
    <row r="625" spans="2:2">
      <c r="B625" s="10"/>
    </row>
    <row r="626" spans="2:2">
      <c r="B626" s="10"/>
    </row>
    <row r="627" spans="2:2">
      <c r="B627" s="10"/>
    </row>
    <row r="628" spans="2:2">
      <c r="B628" s="10"/>
    </row>
    <row r="629" spans="2:2">
      <c r="B629" s="10"/>
    </row>
    <row r="630" spans="2:2">
      <c r="B630" s="10"/>
    </row>
    <row r="631" spans="2:2">
      <c r="B631" s="10"/>
    </row>
    <row r="632" spans="2:2">
      <c r="B632" s="10"/>
    </row>
    <row r="633" spans="2:2">
      <c r="B633" s="10"/>
    </row>
    <row r="634" spans="2:2">
      <c r="B634" s="10"/>
    </row>
    <row r="635" spans="2:2">
      <c r="B635" s="10"/>
    </row>
    <row r="636" spans="2:2">
      <c r="B636" s="10"/>
    </row>
    <row r="637" spans="2:2">
      <c r="B637" s="10"/>
    </row>
    <row r="638" spans="2:2">
      <c r="B638" s="10"/>
    </row>
    <row r="639" spans="2:2">
      <c r="B639" s="10"/>
    </row>
    <row r="640" spans="2:2">
      <c r="B640" s="10"/>
    </row>
    <row r="641" spans="2:2">
      <c r="B641" s="10"/>
    </row>
    <row r="642" spans="2:2">
      <c r="B642" s="10"/>
    </row>
    <row r="643" spans="2:2">
      <c r="B643" s="10"/>
    </row>
    <row r="644" spans="2:2">
      <c r="B644" s="10"/>
    </row>
    <row r="645" spans="2:2">
      <c r="B645" s="10"/>
    </row>
    <row r="646" spans="2:2">
      <c r="B646" s="10"/>
    </row>
    <row r="647" spans="2:2">
      <c r="B647" s="10"/>
    </row>
    <row r="648" spans="2:2">
      <c r="B648" s="10"/>
    </row>
    <row r="649" spans="2:2">
      <c r="B649" s="10"/>
    </row>
    <row r="650" spans="2:2">
      <c r="B650" s="10"/>
    </row>
    <row r="651" spans="2:2">
      <c r="B651" s="10"/>
    </row>
    <row r="652" spans="2:2">
      <c r="B652" s="10"/>
    </row>
    <row r="653" spans="2:2">
      <c r="B653" s="10"/>
    </row>
    <row r="654" spans="2:2">
      <c r="B654" s="10"/>
    </row>
    <row r="655" spans="2:2">
      <c r="B655" s="10"/>
    </row>
    <row r="656" spans="2:2">
      <c r="B656" s="10"/>
    </row>
    <row r="657" spans="2:2">
      <c r="B657" s="10"/>
    </row>
    <row r="658" spans="2:2">
      <c r="B658" s="10"/>
    </row>
    <row r="659" spans="2:2">
      <c r="B659" s="10"/>
    </row>
    <row r="660" spans="2:2">
      <c r="B660" s="10"/>
    </row>
    <row r="661" spans="2:2">
      <c r="B661" s="10"/>
    </row>
    <row r="662" spans="2:2">
      <c r="B662" s="10"/>
    </row>
    <row r="663" spans="2:2">
      <c r="B663" s="10"/>
    </row>
    <row r="664" spans="2:2">
      <c r="B664" s="10"/>
    </row>
    <row r="665" spans="2:2">
      <c r="B665" s="10"/>
    </row>
    <row r="666" spans="2:2">
      <c r="B666" s="10"/>
    </row>
    <row r="667" spans="2:2">
      <c r="B667" s="10"/>
    </row>
    <row r="668" spans="2:2">
      <c r="B668" s="10"/>
    </row>
    <row r="669" spans="2:2">
      <c r="B669" s="10"/>
    </row>
    <row r="670" spans="2:2">
      <c r="B670" s="10"/>
    </row>
    <row r="671" spans="2:2">
      <c r="B671" s="10"/>
    </row>
    <row r="672" spans="2:2">
      <c r="B672" s="10"/>
    </row>
    <row r="673" spans="2:2">
      <c r="B673" s="10"/>
    </row>
    <row r="674" spans="2:2">
      <c r="B674" s="10"/>
    </row>
    <row r="675" spans="2:2">
      <c r="B675" s="10"/>
    </row>
    <row r="676" spans="2:2">
      <c r="B676" s="10"/>
    </row>
    <row r="677" spans="2:2">
      <c r="B677" s="10"/>
    </row>
    <row r="678" spans="2:2">
      <c r="B678" s="10"/>
    </row>
    <row r="679" spans="2:2">
      <c r="B679" s="10"/>
    </row>
    <row r="680" spans="2:2">
      <c r="B680" s="10"/>
    </row>
    <row r="681" spans="2:2">
      <c r="B681" s="10"/>
    </row>
    <row r="682" spans="2:2">
      <c r="B682" s="10"/>
    </row>
    <row r="683" spans="2:2">
      <c r="B683" s="10"/>
    </row>
    <row r="684" spans="2:2">
      <c r="B684" s="10"/>
    </row>
    <row r="685" spans="2:2">
      <c r="B685" s="10"/>
    </row>
    <row r="686" spans="2:2">
      <c r="B686" s="10"/>
    </row>
    <row r="687" spans="2:2">
      <c r="B687" s="10"/>
    </row>
    <row r="688" spans="2:2">
      <c r="B688" s="10"/>
    </row>
    <row r="689" spans="2:2">
      <c r="B689" s="10"/>
    </row>
    <row r="690" spans="2:2">
      <c r="B690" s="10"/>
    </row>
    <row r="691" spans="2:2">
      <c r="B691" s="10"/>
    </row>
    <row r="692" spans="2:2">
      <c r="B692" s="10"/>
    </row>
    <row r="693" spans="2:2">
      <c r="B693" s="10"/>
    </row>
    <row r="694" spans="2:2">
      <c r="B694" s="10"/>
    </row>
    <row r="695" spans="2:2">
      <c r="B695" s="10"/>
    </row>
    <row r="696" spans="2:2">
      <c r="B696" s="10"/>
    </row>
    <row r="697" spans="2:2">
      <c r="B697" s="10"/>
    </row>
    <row r="698" spans="2:2">
      <c r="B698" s="10"/>
    </row>
    <row r="699" spans="2:2">
      <c r="B699" s="10"/>
    </row>
    <row r="700" spans="2:2">
      <c r="B700" s="10"/>
    </row>
    <row r="701" spans="2:2">
      <c r="B701" s="10"/>
    </row>
    <row r="702" spans="2:2">
      <c r="B702" s="10"/>
    </row>
    <row r="703" spans="2:2">
      <c r="B703" s="10"/>
    </row>
    <row r="704" spans="2:2">
      <c r="B704" s="10"/>
    </row>
    <row r="705" spans="2:2">
      <c r="B705" s="10"/>
    </row>
    <row r="706" spans="2:2">
      <c r="B706" s="10"/>
    </row>
    <row r="707" spans="2:2">
      <c r="B707" s="10"/>
    </row>
    <row r="708" spans="2:2">
      <c r="B708" s="10"/>
    </row>
    <row r="709" spans="2:2">
      <c r="B709" s="10"/>
    </row>
    <row r="710" spans="2:2">
      <c r="B710" s="10"/>
    </row>
    <row r="711" spans="2:2">
      <c r="B711" s="10"/>
    </row>
    <row r="712" spans="2:2">
      <c r="B712" s="10"/>
    </row>
    <row r="713" spans="2:2">
      <c r="B713" s="10"/>
    </row>
    <row r="714" spans="2:2">
      <c r="B714" s="10"/>
    </row>
    <row r="715" spans="2:2">
      <c r="B715" s="10"/>
    </row>
    <row r="716" spans="2:2">
      <c r="B716" s="10"/>
    </row>
    <row r="717" spans="2:2">
      <c r="B717" s="10"/>
    </row>
    <row r="718" spans="2:2">
      <c r="B718" s="10"/>
    </row>
    <row r="719" spans="2:2">
      <c r="B719" s="10"/>
    </row>
    <row r="720" spans="2:2">
      <c r="B720" s="10"/>
    </row>
    <row r="721" spans="2:2">
      <c r="B721" s="10"/>
    </row>
    <row r="722" spans="2:2">
      <c r="B722" s="10"/>
    </row>
    <row r="723" spans="2:2">
      <c r="B723" s="10"/>
    </row>
    <row r="724" spans="2:2">
      <c r="B724" s="10"/>
    </row>
    <row r="725" spans="2:2">
      <c r="B725" s="10"/>
    </row>
    <row r="726" spans="2:2">
      <c r="B726" s="10"/>
    </row>
    <row r="727" spans="2:2">
      <c r="B727" s="10"/>
    </row>
    <row r="728" spans="2:2">
      <c r="B728" s="10"/>
    </row>
    <row r="729" spans="2:2">
      <c r="B729" s="10"/>
    </row>
    <row r="730" spans="2:2">
      <c r="B730" s="10"/>
    </row>
    <row r="731" spans="2:2">
      <c r="B731" s="10"/>
    </row>
    <row r="732" spans="2:2">
      <c r="B732" s="10"/>
    </row>
    <row r="733" spans="2:2">
      <c r="B733" s="10"/>
    </row>
    <row r="734" spans="2:2">
      <c r="B734" s="10"/>
    </row>
    <row r="735" spans="2:2">
      <c r="B735" s="10"/>
    </row>
    <row r="736" spans="2:2">
      <c r="B736" s="10"/>
    </row>
    <row r="737" spans="2:2">
      <c r="B737" s="10"/>
    </row>
    <row r="738" spans="2:2">
      <c r="B738" s="10"/>
    </row>
    <row r="739" spans="2:2">
      <c r="B739" s="10"/>
    </row>
    <row r="740" spans="2:2">
      <c r="B740" s="10"/>
    </row>
    <row r="741" spans="2:2">
      <c r="B741" s="10"/>
    </row>
    <row r="742" spans="2:2">
      <c r="B742" s="10"/>
    </row>
    <row r="743" spans="2:2">
      <c r="B743" s="10"/>
    </row>
    <row r="744" spans="2:2">
      <c r="B744" s="10"/>
    </row>
    <row r="745" spans="2:2">
      <c r="B745" s="10"/>
    </row>
    <row r="746" spans="2:2">
      <c r="B746" s="10"/>
    </row>
    <row r="747" spans="2:2">
      <c r="B747" s="10"/>
    </row>
    <row r="748" spans="2:2">
      <c r="B748" s="10"/>
    </row>
    <row r="749" spans="2:2">
      <c r="B749" s="10"/>
    </row>
    <row r="750" spans="2:2">
      <c r="B750" s="10"/>
    </row>
    <row r="751" spans="2:2">
      <c r="B751" s="10"/>
    </row>
    <row r="752" spans="2:2">
      <c r="B752" s="10"/>
    </row>
    <row r="753" spans="2:2">
      <c r="B753" s="10"/>
    </row>
    <row r="754" spans="2:2">
      <c r="B754" s="10"/>
    </row>
    <row r="755" spans="2:2">
      <c r="B755" s="10"/>
    </row>
    <row r="756" spans="2:2">
      <c r="B756" s="10"/>
    </row>
    <row r="757" spans="2:2">
      <c r="B757" s="10"/>
    </row>
    <row r="758" spans="2:2">
      <c r="B758" s="10"/>
    </row>
    <row r="759" spans="2:2">
      <c r="B759" s="10"/>
    </row>
    <row r="760" spans="2:2">
      <c r="B760" s="10"/>
    </row>
    <row r="761" spans="2:2">
      <c r="B761" s="10"/>
    </row>
    <row r="762" spans="2:2">
      <c r="B762" s="10"/>
    </row>
    <row r="763" spans="2:2">
      <c r="B763" s="10"/>
    </row>
    <row r="764" spans="2:2">
      <c r="B764" s="10"/>
    </row>
    <row r="765" spans="2:2">
      <c r="B765" s="10"/>
    </row>
    <row r="766" spans="2:2">
      <c r="B766" s="10"/>
    </row>
    <row r="767" spans="2:2">
      <c r="B767" s="10"/>
    </row>
    <row r="768" spans="2:2">
      <c r="B768" s="10"/>
    </row>
    <row r="769" spans="2:2">
      <c r="B769" s="10"/>
    </row>
    <row r="770" spans="2:2">
      <c r="B770" s="10"/>
    </row>
    <row r="771" spans="2:2">
      <c r="B771" s="10"/>
    </row>
    <row r="772" spans="2:2">
      <c r="B772" s="10"/>
    </row>
    <row r="773" spans="2:2">
      <c r="B773" s="10"/>
    </row>
    <row r="774" spans="2:2">
      <c r="B774" s="10"/>
    </row>
    <row r="775" spans="2:2">
      <c r="B775" s="10"/>
    </row>
    <row r="776" spans="2:2">
      <c r="B776" s="10"/>
    </row>
    <row r="777" spans="2:2">
      <c r="B777" s="10"/>
    </row>
    <row r="778" spans="2:2">
      <c r="B778" s="10"/>
    </row>
    <row r="779" spans="2:2">
      <c r="B779" s="10"/>
    </row>
    <row r="780" spans="2:2">
      <c r="B780" s="10"/>
    </row>
    <row r="781" spans="2:2">
      <c r="B781" s="10"/>
    </row>
    <row r="782" spans="2:2">
      <c r="B782" s="10"/>
    </row>
    <row r="783" spans="2:2">
      <c r="B783" s="10"/>
    </row>
    <row r="784" spans="2:2">
      <c r="B784" s="10"/>
    </row>
    <row r="785" spans="2:2">
      <c r="B785" s="10"/>
    </row>
    <row r="786" spans="2:2">
      <c r="B786" s="10"/>
    </row>
    <row r="787" spans="2:2">
      <c r="B787" s="10"/>
    </row>
    <row r="788" spans="2:2">
      <c r="B788" s="10"/>
    </row>
    <row r="789" spans="2:2">
      <c r="B789" s="10"/>
    </row>
    <row r="790" spans="2:2">
      <c r="B790" s="10"/>
    </row>
    <row r="791" spans="2:2">
      <c r="B791" s="10"/>
    </row>
    <row r="792" spans="2:2">
      <c r="B792" s="10"/>
    </row>
    <row r="793" spans="2:2">
      <c r="B793" s="10"/>
    </row>
    <row r="794" spans="2:2">
      <c r="B794" s="10"/>
    </row>
    <row r="795" spans="2:2">
      <c r="B795" s="10"/>
    </row>
    <row r="796" spans="2:2">
      <c r="B796" s="10"/>
    </row>
    <row r="797" spans="2:2">
      <c r="B797" s="10"/>
    </row>
    <row r="798" spans="2:2">
      <c r="B798" s="10"/>
    </row>
    <row r="799" spans="2:2">
      <c r="B799" s="10"/>
    </row>
    <row r="800" spans="2:2">
      <c r="B800" s="10"/>
    </row>
    <row r="801" spans="2:2">
      <c r="B801" s="10"/>
    </row>
    <row r="802" spans="2:2">
      <c r="B802" s="10"/>
    </row>
    <row r="803" spans="2:2">
      <c r="B803" s="10"/>
    </row>
    <row r="804" spans="2:2">
      <c r="B804" s="10"/>
    </row>
    <row r="805" spans="2:2">
      <c r="B805" s="10"/>
    </row>
    <row r="806" spans="2:2">
      <c r="B806" s="10"/>
    </row>
    <row r="807" spans="2:2">
      <c r="B807" s="10"/>
    </row>
    <row r="808" spans="2:2">
      <c r="B808" s="10"/>
    </row>
    <row r="809" spans="2:2">
      <c r="B809" s="10"/>
    </row>
    <row r="810" spans="2:2">
      <c r="B810" s="10"/>
    </row>
    <row r="811" spans="2:2">
      <c r="B811" s="10"/>
    </row>
    <row r="812" spans="2:2">
      <c r="B812" s="10"/>
    </row>
    <row r="813" spans="2:2">
      <c r="B813" s="10"/>
    </row>
    <row r="814" spans="2:2">
      <c r="B814" s="10"/>
    </row>
    <row r="815" spans="2:2">
      <c r="B815" s="10"/>
    </row>
    <row r="816" spans="2:2">
      <c r="B816" s="10"/>
    </row>
    <row r="817" spans="2:2">
      <c r="B817" s="10"/>
    </row>
    <row r="818" spans="2:2">
      <c r="B818" s="10"/>
    </row>
    <row r="819" spans="2:2">
      <c r="B819" s="10"/>
    </row>
    <row r="820" spans="2:2">
      <c r="B820" s="10"/>
    </row>
    <row r="821" spans="2:2">
      <c r="B821" s="10"/>
    </row>
    <row r="822" spans="2:2">
      <c r="B822" s="10"/>
    </row>
    <row r="823" spans="2:2">
      <c r="B823" s="10"/>
    </row>
    <row r="824" spans="2:2">
      <c r="B824" s="10"/>
    </row>
    <row r="825" spans="2:2">
      <c r="B825" s="10"/>
    </row>
    <row r="826" spans="2:2">
      <c r="B826" s="10"/>
    </row>
    <row r="827" spans="2:2">
      <c r="B827" s="10"/>
    </row>
    <row r="828" spans="2:2">
      <c r="B828" s="10"/>
    </row>
    <row r="829" spans="2:2">
      <c r="B829" s="10"/>
    </row>
    <row r="830" spans="2:2">
      <c r="B830" s="10"/>
    </row>
    <row r="831" spans="2:2">
      <c r="B831" s="10"/>
    </row>
    <row r="832" spans="2:2">
      <c r="B832" s="10"/>
    </row>
    <row r="833" spans="2:2">
      <c r="B833" s="10"/>
    </row>
    <row r="834" spans="2:2">
      <c r="B834" s="10"/>
    </row>
    <row r="835" spans="2:2">
      <c r="B835" s="10"/>
    </row>
    <row r="836" spans="2:2">
      <c r="B836" s="10"/>
    </row>
    <row r="837" spans="2:2">
      <c r="B837" s="10"/>
    </row>
    <row r="838" spans="2:2">
      <c r="B838" s="10"/>
    </row>
    <row r="839" spans="2:2">
      <c r="B839" s="10"/>
    </row>
    <row r="840" spans="2:2">
      <c r="B840" s="10"/>
    </row>
    <row r="841" spans="2:2">
      <c r="B841" s="10"/>
    </row>
    <row r="842" spans="2:2">
      <c r="B842" s="10"/>
    </row>
    <row r="843" spans="2:2">
      <c r="B843" s="10"/>
    </row>
    <row r="844" spans="2:2">
      <c r="B844" s="10"/>
    </row>
    <row r="845" spans="2:2">
      <c r="B845" s="10"/>
    </row>
    <row r="846" spans="2:2">
      <c r="B846" s="10"/>
    </row>
    <row r="847" spans="2:2">
      <c r="B847" s="10"/>
    </row>
    <row r="848" spans="2:2">
      <c r="B848" s="10"/>
    </row>
    <row r="849" spans="2:2">
      <c r="B849" s="10"/>
    </row>
    <row r="850" spans="2:2">
      <c r="B850" s="10"/>
    </row>
    <row r="851" spans="2:2">
      <c r="B851" s="10"/>
    </row>
    <row r="852" spans="2:2">
      <c r="B852" s="10"/>
    </row>
    <row r="853" spans="2:2">
      <c r="B853" s="10"/>
    </row>
    <row r="854" spans="2:2">
      <c r="B854" s="10"/>
    </row>
    <row r="855" spans="2:2">
      <c r="B855" s="10"/>
    </row>
    <row r="856" spans="2:2">
      <c r="B856" s="10"/>
    </row>
    <row r="857" spans="2:2">
      <c r="B857" s="10"/>
    </row>
    <row r="858" spans="2:2">
      <c r="B858" s="10"/>
    </row>
    <row r="859" spans="2:2">
      <c r="B859" s="10"/>
    </row>
    <row r="860" spans="2:2">
      <c r="B860" s="10"/>
    </row>
    <row r="861" spans="2:2">
      <c r="B861" s="10"/>
    </row>
    <row r="862" spans="2:2">
      <c r="B862" s="10"/>
    </row>
    <row r="863" spans="2:2">
      <c r="B863" s="10"/>
    </row>
    <row r="864" spans="2:2">
      <c r="B864" s="10"/>
    </row>
    <row r="865" spans="2:2">
      <c r="B865" s="10"/>
    </row>
    <row r="866" spans="2:2">
      <c r="B866" s="10"/>
    </row>
    <row r="867" spans="2:2">
      <c r="B867" s="10"/>
    </row>
    <row r="868" spans="2:2">
      <c r="B868" s="10"/>
    </row>
    <row r="869" spans="2:2">
      <c r="B869" s="10"/>
    </row>
    <row r="870" spans="2:2">
      <c r="B870" s="10"/>
    </row>
    <row r="871" spans="2:2">
      <c r="B871" s="10"/>
    </row>
    <row r="872" spans="2:2">
      <c r="B872" s="10"/>
    </row>
    <row r="873" spans="2:2">
      <c r="B873" s="10"/>
    </row>
    <row r="874" spans="2:2">
      <c r="B874" s="10"/>
    </row>
    <row r="875" spans="2:2">
      <c r="B875" s="10"/>
    </row>
    <row r="876" spans="2:2">
      <c r="B876" s="10"/>
    </row>
    <row r="877" spans="2:2">
      <c r="B877" s="10"/>
    </row>
    <row r="878" spans="2:2">
      <c r="B878" s="10"/>
    </row>
    <row r="879" spans="2:2">
      <c r="B879" s="10"/>
    </row>
    <row r="880" spans="2:2">
      <c r="B880" s="10"/>
    </row>
    <row r="881" spans="2:2">
      <c r="B881" s="10"/>
    </row>
    <row r="882" spans="2:2">
      <c r="B882" s="10"/>
    </row>
    <row r="883" spans="2:2">
      <c r="B883" s="10"/>
    </row>
    <row r="884" spans="2:2">
      <c r="B884" s="10"/>
    </row>
    <row r="885" spans="2:2">
      <c r="B885" s="10"/>
    </row>
    <row r="886" spans="2:2">
      <c r="B886" s="10"/>
    </row>
    <row r="887" spans="2:2">
      <c r="B887" s="10"/>
    </row>
    <row r="888" spans="2:2">
      <c r="B888" s="10"/>
    </row>
    <row r="889" spans="2:2">
      <c r="B889" s="10"/>
    </row>
    <row r="890" spans="2:2">
      <c r="B890" s="10"/>
    </row>
    <row r="891" spans="2:2">
      <c r="B891" s="10"/>
    </row>
    <row r="892" spans="2:2">
      <c r="B892" s="10"/>
    </row>
    <row r="893" spans="2:2">
      <c r="B893" s="10"/>
    </row>
    <row r="894" spans="2:2">
      <c r="B894" s="10"/>
    </row>
    <row r="895" spans="2:2">
      <c r="B895" s="10"/>
    </row>
    <row r="896" spans="2:2">
      <c r="B896" s="10"/>
    </row>
    <row r="897" spans="2:2">
      <c r="B897" s="10"/>
    </row>
    <row r="898" spans="2:2">
      <c r="B898" s="10"/>
    </row>
    <row r="899" spans="2:2">
      <c r="B899" s="10"/>
    </row>
    <row r="900" spans="2:2">
      <c r="B900" s="10"/>
    </row>
    <row r="901" spans="2:2">
      <c r="B901" s="10"/>
    </row>
    <row r="902" spans="2:2">
      <c r="B902" s="10"/>
    </row>
    <row r="903" spans="2:2">
      <c r="B903" s="10"/>
    </row>
    <row r="904" spans="2:2">
      <c r="B904" s="10"/>
    </row>
    <row r="905" spans="2:2">
      <c r="B905" s="10"/>
    </row>
    <row r="906" spans="2:2">
      <c r="B906" s="10"/>
    </row>
    <row r="907" spans="2:2">
      <c r="B907" s="10"/>
    </row>
    <row r="908" spans="2:2">
      <c r="B908" s="10"/>
    </row>
    <row r="909" spans="2:2">
      <c r="B909" s="10"/>
    </row>
    <row r="910" spans="2:2">
      <c r="B910" s="10"/>
    </row>
    <row r="911" spans="2:2">
      <c r="B911" s="10"/>
    </row>
    <row r="912" spans="2:2">
      <c r="B912" s="10"/>
    </row>
    <row r="913" spans="2:2">
      <c r="B913" s="10"/>
    </row>
    <row r="914" spans="2:2">
      <c r="B914" s="10"/>
    </row>
    <row r="915" spans="2:2">
      <c r="B915" s="10"/>
    </row>
    <row r="916" spans="2:2">
      <c r="B916" s="10"/>
    </row>
    <row r="917" spans="2:2">
      <c r="B917" s="10"/>
    </row>
    <row r="918" spans="2:2">
      <c r="B918" s="10"/>
    </row>
    <row r="919" spans="2:2">
      <c r="B919" s="10"/>
    </row>
    <row r="920" spans="2:2">
      <c r="B920" s="10"/>
    </row>
    <row r="921" spans="2:2">
      <c r="B921" s="10"/>
    </row>
    <row r="922" spans="2:2">
      <c r="B922" s="10"/>
    </row>
    <row r="923" spans="2:2">
      <c r="B923" s="10"/>
    </row>
    <row r="924" spans="2:2">
      <c r="B924" s="10"/>
    </row>
    <row r="925" spans="2:2">
      <c r="B925" s="10"/>
    </row>
    <row r="926" spans="2:2">
      <c r="B926" s="10"/>
    </row>
    <row r="927" spans="2:2">
      <c r="B927" s="10"/>
    </row>
    <row r="928" spans="2:2">
      <c r="B928" s="10"/>
    </row>
    <row r="929" spans="2:2">
      <c r="B929" s="10"/>
    </row>
    <row r="930" spans="2:2">
      <c r="B930" s="10"/>
    </row>
    <row r="931" spans="2:2">
      <c r="B931" s="10"/>
    </row>
    <row r="932" spans="2:2">
      <c r="B932" s="10"/>
    </row>
    <row r="933" spans="2:2">
      <c r="B933" s="10"/>
    </row>
    <row r="934" spans="2:2">
      <c r="B934" s="10"/>
    </row>
    <row r="935" spans="2:2">
      <c r="B935" s="10"/>
    </row>
    <row r="936" spans="2:2">
      <c r="B936" s="10"/>
    </row>
    <row r="937" spans="2:2">
      <c r="B937" s="10"/>
    </row>
    <row r="938" spans="2:2">
      <c r="B938" s="10"/>
    </row>
    <row r="939" spans="2:2">
      <c r="B939" s="10"/>
    </row>
    <row r="940" spans="2:2">
      <c r="B940" s="10"/>
    </row>
    <row r="941" spans="2:2">
      <c r="B941" s="10"/>
    </row>
    <row r="942" spans="2:2">
      <c r="B942" s="10"/>
    </row>
    <row r="943" spans="2:2">
      <c r="B943" s="10"/>
    </row>
    <row r="944" spans="2:2">
      <c r="B944" s="10"/>
    </row>
    <row r="945" spans="2:2">
      <c r="B945" s="10"/>
    </row>
    <row r="946" spans="2:2">
      <c r="B946" s="10"/>
    </row>
    <row r="947" spans="2:2">
      <c r="B947" s="10"/>
    </row>
    <row r="948" spans="2:2">
      <c r="B948" s="10"/>
    </row>
    <row r="949" spans="2:2">
      <c r="B949" s="10"/>
    </row>
    <row r="950" spans="2:2">
      <c r="B950" s="10"/>
    </row>
    <row r="951" spans="2:2">
      <c r="B951" s="10"/>
    </row>
    <row r="952" spans="2:2">
      <c r="B952" s="10"/>
    </row>
    <row r="953" spans="2:2">
      <c r="B953" s="10"/>
    </row>
    <row r="954" spans="2:2">
      <c r="B954" s="10"/>
    </row>
    <row r="955" spans="2:2">
      <c r="B955" s="10"/>
    </row>
    <row r="956" spans="2:2">
      <c r="B956" s="10"/>
    </row>
    <row r="957" spans="2:2">
      <c r="B957" s="10"/>
    </row>
    <row r="958" spans="2:2">
      <c r="B958" s="10"/>
    </row>
    <row r="959" spans="2:2">
      <c r="B959" s="10"/>
    </row>
    <row r="960" spans="2:2">
      <c r="B960" s="10"/>
    </row>
    <row r="961" spans="2:2">
      <c r="B961" s="10"/>
    </row>
    <row r="962" spans="2:2">
      <c r="B962" s="10"/>
    </row>
    <row r="963" spans="2:2">
      <c r="B963" s="10"/>
    </row>
    <row r="964" spans="2:2">
      <c r="B964" s="10"/>
    </row>
    <row r="965" spans="2:2">
      <c r="B965" s="10"/>
    </row>
    <row r="966" spans="2:2">
      <c r="B966" s="10"/>
    </row>
    <row r="967" spans="2:2">
      <c r="B967" s="10"/>
    </row>
    <row r="968" spans="2:2">
      <c r="B968" s="10"/>
    </row>
    <row r="969" spans="2:2">
      <c r="B969" s="10"/>
    </row>
    <row r="970" spans="2:2">
      <c r="B970" s="10"/>
    </row>
    <row r="971" spans="2:2">
      <c r="B971" s="10"/>
    </row>
    <row r="972" spans="2:2">
      <c r="B972" s="10"/>
    </row>
    <row r="973" spans="2:2">
      <c r="B973" s="10"/>
    </row>
    <row r="974" spans="2:2">
      <c r="B974" s="10"/>
    </row>
    <row r="975" spans="2:2">
      <c r="B975" s="10"/>
    </row>
    <row r="976" spans="2:2">
      <c r="B976" s="10"/>
    </row>
    <row r="977" spans="2:2">
      <c r="B977" s="10"/>
    </row>
    <row r="978" spans="2:2">
      <c r="B978" s="10"/>
    </row>
    <row r="979" spans="2:2">
      <c r="B979" s="10"/>
    </row>
    <row r="980" spans="2:2">
      <c r="B980" s="10"/>
    </row>
    <row r="981" spans="2:2">
      <c r="B981" s="10"/>
    </row>
    <row r="982" spans="2:2">
      <c r="B982" s="10"/>
    </row>
    <row r="983" spans="2:2">
      <c r="B983" s="10"/>
    </row>
    <row r="984" spans="2:2">
      <c r="B984" s="10"/>
    </row>
    <row r="985" spans="2:2">
      <c r="B985" s="10"/>
    </row>
    <row r="986" spans="2:2">
      <c r="B986" s="10"/>
    </row>
    <row r="987" spans="2:2">
      <c r="B987" s="10"/>
    </row>
    <row r="988" spans="2:2">
      <c r="B988" s="10"/>
    </row>
    <row r="989" spans="2:2">
      <c r="B989" s="10"/>
    </row>
    <row r="990" spans="2:2">
      <c r="B990" s="10"/>
    </row>
    <row r="991" spans="2:2">
      <c r="B991" s="10"/>
    </row>
    <row r="992" spans="2:2">
      <c r="B992" s="10"/>
    </row>
    <row r="993" spans="2:2">
      <c r="B993" s="10"/>
    </row>
    <row r="994" spans="2:2">
      <c r="B994" s="10"/>
    </row>
    <row r="995" spans="2:2">
      <c r="B995" s="10"/>
    </row>
    <row r="996" spans="2:2">
      <c r="B996" s="10"/>
    </row>
    <row r="997" spans="2:2">
      <c r="B997" s="10"/>
    </row>
    <row r="998" spans="2:2">
      <c r="B998" s="10"/>
    </row>
    <row r="999" spans="2:2">
      <c r="B999" s="10"/>
    </row>
    <row r="1000" spans="2:2">
      <c r="B1000" s="10"/>
    </row>
    <row r="1001" spans="2:2">
      <c r="B1001" s="10"/>
    </row>
  </sheetData>
  <mergeCells count="13">
    <mergeCell ref="A5:A7"/>
    <mergeCell ref="A8:A12"/>
    <mergeCell ref="A13:A20"/>
    <mergeCell ref="T14:U14"/>
    <mergeCell ref="N4:O4"/>
    <mergeCell ref="P4:Q4"/>
    <mergeCell ref="R4:S4"/>
    <mergeCell ref="T4:U4"/>
    <mergeCell ref="L4:M4"/>
    <mergeCell ref="L14:M14"/>
    <mergeCell ref="N14:O14"/>
    <mergeCell ref="P14:Q14"/>
    <mergeCell ref="R14:S14"/>
  </mergeCells>
  <printOptions horizontalCentered="1" gridLines="1"/>
  <pageMargins left="0.7" right="0.7" top="0.75" bottom="0.75" header="0" footer="0"/>
  <pageSetup pageOrder="overThenDown" orientation="landscape" cellComments="atEnd"/>
  <rowBreaks count="3" manualBreakCount="3">
    <brk id="3" man="1"/>
    <brk id="11" man="1"/>
    <brk id="13" man="1"/>
  </rowBreaks>
  <colBreaks count="2" manualBreakCount="2">
    <brk id="5" man="1"/>
    <brk id="26" man="1"/>
  </colBreaks>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X80"/>
  <sheetViews>
    <sheetView topLeftCell="B1" workbookViewId="0">
      <selection activeCell="C1" sqref="C1"/>
    </sheetView>
  </sheetViews>
  <sheetFormatPr defaultColWidth="14.42578125" defaultRowHeight="15.75" customHeight="1"/>
  <cols>
    <col min="1" max="1" width="24.140625" hidden="1" customWidth="1"/>
    <col min="2" max="3" width="8" customWidth="1"/>
    <col min="4" max="4" width="13.140625" customWidth="1"/>
    <col min="5" max="7" width="14" customWidth="1"/>
    <col min="8" max="9" width="11.28515625" customWidth="1"/>
    <col min="10" max="10" width="10.28515625" customWidth="1"/>
    <col min="11" max="11" width="12.42578125" customWidth="1"/>
    <col min="12" max="12" width="10.28515625" customWidth="1"/>
    <col min="13" max="13" width="12.28515625" customWidth="1"/>
    <col min="14" max="14" width="28.85546875" hidden="1" customWidth="1"/>
    <col min="15" max="17" width="13.140625" customWidth="1"/>
    <col min="19" max="24" width="13.140625" customWidth="1"/>
  </cols>
  <sheetData>
    <row r="1" spans="1:24">
      <c r="A1" s="91" t="s">
        <v>190</v>
      </c>
      <c r="B1" s="91"/>
      <c r="C1" s="122" t="s">
        <v>191</v>
      </c>
      <c r="D1" s="122" t="s">
        <v>192</v>
      </c>
      <c r="E1" s="123" t="s">
        <v>193</v>
      </c>
      <c r="F1" s="123" t="s">
        <v>194</v>
      </c>
      <c r="G1" s="123" t="s">
        <v>195</v>
      </c>
      <c r="H1" s="124"/>
      <c r="I1" s="125" t="str">
        <f ca="1">IFERROR(__xludf.DUMMYFUNCTION("QUERY(C1:G80,""select * where C &lt;&gt; 0"")"),"Year")</f>
        <v>Year</v>
      </c>
      <c r="J1" s="125" t="str">
        <f ca="1">IFERROR(__xludf.DUMMYFUNCTION("""COMPUTED_VALUE"""),"Number of Studies")</f>
        <v>Number of Studies</v>
      </c>
      <c r="K1" s="125" t="str">
        <f ca="1">IFERROR(__xludf.DUMMYFUNCTION("""COMPUTED_VALUE"""),"Number of AEs")</f>
        <v>Number of AEs</v>
      </c>
      <c r="L1" s="125" t="str">
        <f ca="1">IFERROR(__xludf.DUMMYFUNCTION("""COMPUTED_VALUE"""),"Registered")</f>
        <v>Registered</v>
      </c>
      <c r="M1" s="125" t="str">
        <f ca="1">IFERROR(__xludf.DUMMYFUNCTION("""COMPUTED_VALUE"""),"Unregistered")</f>
        <v>Unregistered</v>
      </c>
      <c r="N1" s="94">
        <f ca="1">IFERROR(__xludf.DUMMYFUNCTION("query(db,""select min(B) where AW='Yes' label min(B) ''"")"),1981)</f>
        <v>1981</v>
      </c>
      <c r="O1" s="91"/>
      <c r="P1" s="122" t="s">
        <v>196</v>
      </c>
      <c r="Q1" s="122" t="s">
        <v>197</v>
      </c>
      <c r="R1" s="123" t="s">
        <v>198</v>
      </c>
      <c r="S1" s="125" t="s">
        <v>192</v>
      </c>
      <c r="T1" s="125" t="s">
        <v>193</v>
      </c>
      <c r="U1" s="125" t="s">
        <v>194</v>
      </c>
      <c r="V1" s="125" t="s">
        <v>195</v>
      </c>
      <c r="W1" s="122" t="s">
        <v>199</v>
      </c>
      <c r="X1" s="122" t="s">
        <v>200</v>
      </c>
    </row>
    <row r="2" spans="1:24">
      <c r="A2" s="91">
        <f ca="1">SUM(D2:D80)</f>
        <v>284</v>
      </c>
      <c r="B2" s="91"/>
      <c r="C2" s="122">
        <f t="shared" ref="C2:C42" ca="1" si="0">FirstStudyYear+ROW()-2</f>
        <v>1981</v>
      </c>
      <c r="D2" s="126">
        <f ca="1">IFERROR(__xludf.DUMMYFUNCTION("iferror(query(db,""select count(B) where B=""&amp;C2&amp;"" and AW='Yes' LABEL COUNT(B) ''""),0)"),1)</f>
        <v>1</v>
      </c>
      <c r="E2" s="126">
        <f ca="1">SUMIFS(Included!AG:AG, Included!B:B, "="&amp;C2, IncludedCat, "yes")</f>
        <v>6</v>
      </c>
      <c r="F2" s="126">
        <f t="shared" ref="F2:F42" ca="1" si="1">D2-G2</f>
        <v>0</v>
      </c>
      <c r="G2" s="126">
        <f ca="1">IFERROR(__xludf.DUMMYFUNCTION("iferror(query(db,""select count(B) where B=""&amp;C2&amp;"" and I is NULL and AW='Yes' LABEL COUNT(B) ''""),0)"),1)</f>
        <v>1</v>
      </c>
      <c r="H2" s="127"/>
      <c r="I2" s="128">
        <f ca="1">IFERROR(__xludf.DUMMYFUNCTION("""COMPUTED_VALUE"""),1981)</f>
        <v>1981</v>
      </c>
      <c r="J2" s="128">
        <f ca="1">IFERROR(__xludf.DUMMYFUNCTION("""COMPUTED_VALUE"""),1)</f>
        <v>1</v>
      </c>
      <c r="K2" s="128">
        <f ca="1">IFERROR(__xludf.DUMMYFUNCTION("""COMPUTED_VALUE"""),6)</f>
        <v>6</v>
      </c>
      <c r="L2" s="128">
        <f ca="1">IFERROR(__xludf.DUMMYFUNCTION("""COMPUTED_VALUE"""),0)</f>
        <v>0</v>
      </c>
      <c r="M2" s="128">
        <f ca="1">IFERROR(__xludf.DUMMYFUNCTION("""COMPUTED_VALUE"""),1)</f>
        <v>1</v>
      </c>
      <c r="N2" s="91">
        <f ca="1">IFERROR(__xludf.DUMMYFUNCTION("query(db,""select max(B) where AW='Yes' label max(B) ''"")"),2021)</f>
        <v>2021</v>
      </c>
      <c r="O2" s="91"/>
      <c r="P2" s="122">
        <v>1980</v>
      </c>
      <c r="Q2" s="122">
        <f t="shared" ref="Q2:Q10" si="2">P2+4</f>
        <v>1984</v>
      </c>
      <c r="R2" s="33" t="str">
        <f t="shared" ref="R2:R9" si="3">P2&amp;"-"&amp;Q2</f>
        <v>1980-1984</v>
      </c>
      <c r="S2" s="33">
        <f ca="1">IFERROR(__xludf.DUMMYFUNCTION("iferror(query(db,""select count(B) where B&gt;=""&amp;P2&amp;"" and B&lt;=""&amp;Q2&amp;"" and AW='Yes' LABEL COUNT(B) ''""),0)"),11)</f>
        <v>11</v>
      </c>
      <c r="T2" s="126">
        <f ca="1">SUMIFS(Included!AG:AG, Included!B:B, "&gt;="&amp;P2, Included!B:B, "&lt;="&amp;Q2, IncludedCat, "yes")</f>
        <v>82</v>
      </c>
      <c r="U2" s="126">
        <f t="shared" ref="U2:U10" ca="1" si="4">S2-V2</f>
        <v>0</v>
      </c>
      <c r="V2" s="126">
        <f ca="1">IFERROR(__xludf.DUMMYFUNCTION("iferror(query(db,""select count(B) where B&gt;=""&amp;P2&amp;"" and B&lt;=""&amp;Q2&amp;"" and I is NULL and AW='Yes' LABEL COUNT(B) ''""),0)"),11)</f>
        <v>11</v>
      </c>
      <c r="W2" s="122">
        <f ca="1">SUMIFS(Included!K:K, Included!B:B, "&gt;="&amp;P2, Included!B:B, "&lt;="&amp;Q2, IncludedCat, "yes")</f>
        <v>519</v>
      </c>
      <c r="X2" s="129">
        <f t="shared" ref="X2:X10" ca="1" si="5">W2/S2</f>
        <v>47.18181818181818</v>
      </c>
    </row>
    <row r="3" spans="1:24">
      <c r="A3" s="91">
        <f ca="1">SUM(D2:D30)</f>
        <v>156</v>
      </c>
      <c r="B3" s="91"/>
      <c r="C3" s="122">
        <f t="shared" ca="1" si="0"/>
        <v>1982</v>
      </c>
      <c r="D3" s="126">
        <f ca="1">IFERROR(__xludf.DUMMYFUNCTION("iferror(query(db,""select count(B) where B=""&amp;C3&amp;"" and AW='Yes' LABEL COUNT(B) ''""),0)"),4)</f>
        <v>4</v>
      </c>
      <c r="E3" s="126">
        <f ca="1">SUMIFS(Included!AG:AG, Included!B:B, "="&amp;C3, IncludedCat, "yes")</f>
        <v>27</v>
      </c>
      <c r="F3" s="126">
        <f t="shared" ca="1" si="1"/>
        <v>0</v>
      </c>
      <c r="G3" s="126">
        <f ca="1">IFERROR(__xludf.DUMMYFUNCTION("iferror(query(db,""select count(B) where B=""&amp;C3&amp;"" and I is NULL and AW='Yes' LABEL COUNT(B) ''""),0)"),4)</f>
        <v>4</v>
      </c>
      <c r="H3" s="130"/>
      <c r="I3" s="131">
        <f ca="1">IFERROR(__xludf.DUMMYFUNCTION("""COMPUTED_VALUE"""),1982)</f>
        <v>1982</v>
      </c>
      <c r="J3" s="128">
        <f ca="1">IFERROR(__xludf.DUMMYFUNCTION("""COMPUTED_VALUE"""),4)</f>
        <v>4</v>
      </c>
      <c r="K3" s="128">
        <f ca="1">IFERROR(__xludf.DUMMYFUNCTION("""COMPUTED_VALUE"""),27)</f>
        <v>27</v>
      </c>
      <c r="L3" s="128">
        <f ca="1">IFERROR(__xludf.DUMMYFUNCTION("""COMPUTED_VALUE"""),0)</f>
        <v>0</v>
      </c>
      <c r="M3" s="128">
        <f ca="1">IFERROR(__xludf.DUMMYFUNCTION("""COMPUTED_VALUE"""),4)</f>
        <v>4</v>
      </c>
      <c r="N3" s="132">
        <f ca="1">SUM(L2:M80)</f>
        <v>284</v>
      </c>
      <c r="O3" s="91"/>
      <c r="P3" s="122">
        <f t="shared" ref="P3:P10" si="6">Q2+1</f>
        <v>1985</v>
      </c>
      <c r="Q3" s="122">
        <f t="shared" si="2"/>
        <v>1989</v>
      </c>
      <c r="R3" s="33" t="str">
        <f t="shared" si="3"/>
        <v>1985-1989</v>
      </c>
      <c r="S3" s="33">
        <f ca="1">IFERROR(__xludf.DUMMYFUNCTION("iferror(query(db,""select count(B) where B&gt;=""&amp;P3&amp;"" and B&lt;=""&amp;Q3&amp;"" and AW='Yes' LABEL COUNT(B) ''""),0)"),20)</f>
        <v>20</v>
      </c>
      <c r="T3" s="126">
        <f ca="1">SUMIFS(Included!AG:AG, Included!B:B, "&gt;="&amp;P3, Included!B:B, "&lt;="&amp;Q3, IncludedCat, "yes")</f>
        <v>254</v>
      </c>
      <c r="U3" s="126">
        <f t="shared" ca="1" si="4"/>
        <v>0</v>
      </c>
      <c r="V3" s="126">
        <f ca="1">IFERROR(__xludf.DUMMYFUNCTION("iferror(query(db,""select count(B) where B&gt;=""&amp;P3&amp;"" and B&lt;=""&amp;Q3&amp;"" and I is NULL and AW='Yes' LABEL COUNT(B) ''""),0)"),20)</f>
        <v>20</v>
      </c>
      <c r="W3" s="122">
        <f ca="1">SUMIFS(Included!K:K, Included!B:B, "&gt;="&amp;P3, Included!B:B, "&lt;="&amp;Q3, IncludedCat, "yes")</f>
        <v>1264</v>
      </c>
      <c r="X3" s="129">
        <f t="shared" ca="1" si="5"/>
        <v>63.2</v>
      </c>
    </row>
    <row r="4" spans="1:24">
      <c r="A4" s="91">
        <f ca="1">SUM(D31:D40)</f>
        <v>106</v>
      </c>
      <c r="B4" s="91"/>
      <c r="C4" s="122">
        <f t="shared" ca="1" si="0"/>
        <v>1983</v>
      </c>
      <c r="D4" s="126">
        <f ca="1">IFERROR(__xludf.DUMMYFUNCTION("iferror(query(db,""select count(B) where B=""&amp;C4&amp;"" and AW='Yes' LABEL COUNT(B) ''""),0)"),3)</f>
        <v>3</v>
      </c>
      <c r="E4" s="126">
        <f ca="1">SUMIFS(Included!AG:AG, Included!B:B, "="&amp;C4, IncludedCat, "yes")</f>
        <v>39</v>
      </c>
      <c r="F4" s="126">
        <f t="shared" ca="1" si="1"/>
        <v>0</v>
      </c>
      <c r="G4" s="126">
        <f ca="1">IFERROR(__xludf.DUMMYFUNCTION("iferror(query(db,""select count(B) where B=""&amp;C4&amp;"" and I is NULL and AW='Yes' LABEL COUNT(B) ''""),0)"),3)</f>
        <v>3</v>
      </c>
      <c r="H4" s="133"/>
      <c r="I4" s="134">
        <f ca="1">IFERROR(__xludf.DUMMYFUNCTION("""COMPUTED_VALUE"""),1983)</f>
        <v>1983</v>
      </c>
      <c r="J4" s="134">
        <f ca="1">IFERROR(__xludf.DUMMYFUNCTION("""COMPUTED_VALUE"""),3)</f>
        <v>3</v>
      </c>
      <c r="K4" s="134">
        <f ca="1">IFERROR(__xludf.DUMMYFUNCTION("""COMPUTED_VALUE"""),39)</f>
        <v>39</v>
      </c>
      <c r="L4" s="134">
        <f ca="1">IFERROR(__xludf.DUMMYFUNCTION("""COMPUTED_VALUE"""),0)</f>
        <v>0</v>
      </c>
      <c r="M4" s="134">
        <f ca="1">IFERROR(__xludf.DUMMYFUNCTION("""COMPUTED_VALUE"""),3)</f>
        <v>3</v>
      </c>
      <c r="N4" s="135">
        <f ca="1">SUM(L2:M80)</f>
        <v>284</v>
      </c>
      <c r="O4" s="91"/>
      <c r="P4" s="122">
        <f t="shared" si="6"/>
        <v>1990</v>
      </c>
      <c r="Q4" s="122">
        <f t="shared" si="2"/>
        <v>1994</v>
      </c>
      <c r="R4" s="33" t="str">
        <f t="shared" si="3"/>
        <v>1990-1994</v>
      </c>
      <c r="S4" s="33">
        <f ca="1">IFERROR(__xludf.DUMMYFUNCTION("iferror(query(db,""select count(B) where B&gt;=""&amp;P4&amp;"" and B&lt;=""&amp;Q4&amp;"" and AW='Yes' LABEL COUNT(B) ''""),0)"),37)</f>
        <v>37</v>
      </c>
      <c r="T4" s="126">
        <f ca="1">SUMIFS(Included!AG:AG, Included!B:B, "&gt;="&amp;P4, Included!B:B, "&lt;="&amp;Q4, IncludedCat, "yes")</f>
        <v>460</v>
      </c>
      <c r="U4" s="126">
        <f t="shared" ca="1" si="4"/>
        <v>0</v>
      </c>
      <c r="V4" s="126">
        <f ca="1">IFERROR(__xludf.DUMMYFUNCTION("iferror(query(db,""select count(B) where B&gt;=""&amp;P4&amp;"" and B&lt;=""&amp;Q4&amp;"" and I is NULL and AW='Yes' LABEL COUNT(B) ''""),0)"),37)</f>
        <v>37</v>
      </c>
      <c r="W4" s="122">
        <f ca="1">SUMIFS(Included!K:K, Included!B:B, "&gt;="&amp;P4, Included!B:B, "&lt;="&amp;Q4, IncludedCat, "yes")</f>
        <v>1793</v>
      </c>
      <c r="X4" s="129">
        <f t="shared" ca="1" si="5"/>
        <v>48.45945945945946</v>
      </c>
    </row>
    <row r="5" spans="1:24">
      <c r="A5" s="91">
        <f ca="1">SUM(D41:D42)</f>
        <v>22</v>
      </c>
      <c r="B5" s="91"/>
      <c r="C5" s="122">
        <f t="shared" ca="1" si="0"/>
        <v>1984</v>
      </c>
      <c r="D5" s="126">
        <f ca="1">IFERROR(__xludf.DUMMYFUNCTION("iferror(query(db,""select count(B) where B=""&amp;C5&amp;"" and AW='Yes' LABEL COUNT(B) ''""),0)"),3)</f>
        <v>3</v>
      </c>
      <c r="E5" s="126">
        <f ca="1">SUMIFS(Included!AG:AG, Included!B:B, "="&amp;C5, IncludedCat, "yes")</f>
        <v>10</v>
      </c>
      <c r="F5" s="126">
        <f t="shared" ca="1" si="1"/>
        <v>0</v>
      </c>
      <c r="G5" s="126">
        <f ca="1">IFERROR(__xludf.DUMMYFUNCTION("iferror(query(db,""select count(B) where B=""&amp;C5&amp;"" and I is NULL and AW='Yes' LABEL COUNT(B) ''""),0)"),3)</f>
        <v>3</v>
      </c>
      <c r="H5" s="133"/>
      <c r="I5" s="134">
        <f ca="1">IFERROR(__xludf.DUMMYFUNCTION("""COMPUTED_VALUE"""),1984)</f>
        <v>1984</v>
      </c>
      <c r="J5" s="134">
        <f ca="1">IFERROR(__xludf.DUMMYFUNCTION("""COMPUTED_VALUE"""),3)</f>
        <v>3</v>
      </c>
      <c r="K5" s="134">
        <f ca="1">IFERROR(__xludf.DUMMYFUNCTION("""COMPUTED_VALUE"""),10)</f>
        <v>10</v>
      </c>
      <c r="L5" s="134">
        <f ca="1">IFERROR(__xludf.DUMMYFUNCTION("""COMPUTED_VALUE"""),0)</f>
        <v>0</v>
      </c>
      <c r="M5" s="134">
        <f ca="1">IFERROR(__xludf.DUMMYFUNCTION("""COMPUTED_VALUE"""),3)</f>
        <v>3</v>
      </c>
      <c r="N5" s="136"/>
      <c r="O5" s="91"/>
      <c r="P5" s="122">
        <f t="shared" si="6"/>
        <v>1995</v>
      </c>
      <c r="Q5" s="122">
        <f t="shared" si="2"/>
        <v>1999</v>
      </c>
      <c r="R5" s="33" t="str">
        <f t="shared" si="3"/>
        <v>1995-1999</v>
      </c>
      <c r="S5" s="33">
        <f ca="1">IFERROR(__xludf.DUMMYFUNCTION("iferror(query(db,""select count(B) where B&gt;=""&amp;P5&amp;"" and B&lt;=""&amp;Q5&amp;"" and AW='Yes' LABEL COUNT(B) ''""),0)"),31)</f>
        <v>31</v>
      </c>
      <c r="T5" s="126">
        <f ca="1">SUMIFS(Included!AG:AG, Included!B:B, "&gt;="&amp;P5, Included!B:B, "&lt;="&amp;Q5, IncludedCat, "yes")</f>
        <v>439</v>
      </c>
      <c r="U5" s="126">
        <f t="shared" ca="1" si="4"/>
        <v>0</v>
      </c>
      <c r="V5" s="126">
        <f ca="1">IFERROR(__xludf.DUMMYFUNCTION("iferror(query(db,""select count(B) where B&gt;=""&amp;P5&amp;"" and B&lt;=""&amp;Q5&amp;"" and I is NULL and AW='Yes' LABEL COUNT(B) ''""),0)"),31)</f>
        <v>31</v>
      </c>
      <c r="W5" s="122">
        <f ca="1">SUMIFS(Included!K:K, Included!B:B, "&gt;="&amp;P5, Included!B:B, "&lt;="&amp;Q5, IncludedCat, "yes")</f>
        <v>2452</v>
      </c>
      <c r="X5" s="129">
        <f t="shared" ca="1" si="5"/>
        <v>79.096774193548384</v>
      </c>
    </row>
    <row r="6" spans="1:24">
      <c r="A6" s="91" t="e">
        <f>SUM(#REF!)</f>
        <v>#REF!</v>
      </c>
      <c r="B6" s="91"/>
      <c r="C6" s="122">
        <f t="shared" ca="1" si="0"/>
        <v>1985</v>
      </c>
      <c r="D6" s="126">
        <f ca="1">IFERROR(__xludf.DUMMYFUNCTION("iferror(query(db,""select count(B) where B=""&amp;C6&amp;"" and AW='Yes' LABEL COUNT(B) ''""),0)"),4)</f>
        <v>4</v>
      </c>
      <c r="E6" s="126">
        <f ca="1">SUMIFS(Included!AG:AG, Included!B:B, "="&amp;C6, IncludedCat, "yes")</f>
        <v>33</v>
      </c>
      <c r="F6" s="126">
        <f t="shared" ca="1" si="1"/>
        <v>0</v>
      </c>
      <c r="G6" s="126">
        <f ca="1">IFERROR(__xludf.DUMMYFUNCTION("iferror(query(db,""select count(B) where B=""&amp;C6&amp;"" and I is NULL and AW='Yes' LABEL COUNT(B) ''""),0)"),4)</f>
        <v>4</v>
      </c>
      <c r="H6" s="133"/>
      <c r="I6" s="134">
        <f ca="1">IFERROR(__xludf.DUMMYFUNCTION("""COMPUTED_VALUE"""),1985)</f>
        <v>1985</v>
      </c>
      <c r="J6" s="134">
        <f ca="1">IFERROR(__xludf.DUMMYFUNCTION("""COMPUTED_VALUE"""),4)</f>
        <v>4</v>
      </c>
      <c r="K6" s="134">
        <f ca="1">IFERROR(__xludf.DUMMYFUNCTION("""COMPUTED_VALUE"""),33)</f>
        <v>33</v>
      </c>
      <c r="L6" s="134">
        <f ca="1">IFERROR(__xludf.DUMMYFUNCTION("""COMPUTED_VALUE"""),0)</f>
        <v>0</v>
      </c>
      <c r="M6" s="134">
        <f ca="1">IFERROR(__xludf.DUMMYFUNCTION("""COMPUTED_VALUE"""),4)</f>
        <v>4</v>
      </c>
      <c r="N6" s="136"/>
      <c r="O6" s="91"/>
      <c r="P6" s="122">
        <f t="shared" si="6"/>
        <v>2000</v>
      </c>
      <c r="Q6" s="122">
        <f t="shared" si="2"/>
        <v>2004</v>
      </c>
      <c r="R6" s="33" t="str">
        <f t="shared" si="3"/>
        <v>2000-2004</v>
      </c>
      <c r="S6" s="33">
        <f ca="1">IFERROR(__xludf.DUMMYFUNCTION("iferror(query(db,""select count(B) where B&gt;=""&amp;P6&amp;"" and B&lt;=""&amp;Q6&amp;"" and AW='Yes' LABEL COUNT(B) ''""),0)"),31)</f>
        <v>31</v>
      </c>
      <c r="T6" s="126">
        <f ca="1">SUMIFS(Included!AG:AG, Included!B:B, "&gt;="&amp;P6, Included!B:B, "&lt;="&amp;Q6, IncludedCat, "yes")</f>
        <v>511</v>
      </c>
      <c r="U6" s="126">
        <f t="shared" ca="1" si="4"/>
        <v>0</v>
      </c>
      <c r="V6" s="126">
        <f ca="1">IFERROR(__xludf.DUMMYFUNCTION("iferror(query(db,""select count(B) where B&gt;=""&amp;P6&amp;"" and B&lt;=""&amp;Q6&amp;"" and I is NULL and AW='Yes' LABEL COUNT(B) ''""),0)"),31)</f>
        <v>31</v>
      </c>
      <c r="W6" s="122">
        <f ca="1">SUMIFS(Included!K:K, Included!B:B, "&gt;="&amp;P6, Included!B:B, "&lt;="&amp;Q6, IncludedCat, "yes")</f>
        <v>1390</v>
      </c>
      <c r="X6" s="129">
        <f t="shared" ca="1" si="5"/>
        <v>44.838709677419352</v>
      </c>
    </row>
    <row r="7" spans="1:24">
      <c r="A7" s="91">
        <f>SUM(D43:D80)</f>
        <v>0</v>
      </c>
      <c r="B7" s="91"/>
      <c r="C7" s="122">
        <f t="shared" ca="1" si="0"/>
        <v>1986</v>
      </c>
      <c r="D7" s="126">
        <f ca="1">IFERROR(__xludf.DUMMYFUNCTION("iferror(query(db,""select count(B) where B=""&amp;C7&amp;"" and AW='Yes' LABEL COUNT(B) ''""),0)"),4)</f>
        <v>4</v>
      </c>
      <c r="E7" s="126">
        <f ca="1">SUMIFS(Included!AG:AG, Included!B:B, "="&amp;C7, IncludedCat, "yes")</f>
        <v>129</v>
      </c>
      <c r="F7" s="126">
        <f t="shared" ca="1" si="1"/>
        <v>0</v>
      </c>
      <c r="G7" s="126">
        <f ca="1">IFERROR(__xludf.DUMMYFUNCTION("iferror(query(db,""select count(B) where B=""&amp;C7&amp;"" and I is NULL and AW='Yes' LABEL COUNT(B) ''""),0)"),4)</f>
        <v>4</v>
      </c>
      <c r="H7" s="133"/>
      <c r="I7" s="134">
        <f ca="1">IFERROR(__xludf.DUMMYFUNCTION("""COMPUTED_VALUE"""),1986)</f>
        <v>1986</v>
      </c>
      <c r="J7" s="134">
        <f ca="1">IFERROR(__xludf.DUMMYFUNCTION("""COMPUTED_VALUE"""),4)</f>
        <v>4</v>
      </c>
      <c r="K7" s="134">
        <f ca="1">IFERROR(__xludf.DUMMYFUNCTION("""COMPUTED_VALUE"""),129)</f>
        <v>129</v>
      </c>
      <c r="L7" s="134">
        <f ca="1">IFERROR(__xludf.DUMMYFUNCTION("""COMPUTED_VALUE"""),0)</f>
        <v>0</v>
      </c>
      <c r="M7" s="134">
        <f ca="1">IFERROR(__xludf.DUMMYFUNCTION("""COMPUTED_VALUE"""),4)</f>
        <v>4</v>
      </c>
      <c r="N7" s="136"/>
      <c r="O7" s="91"/>
      <c r="P7" s="122">
        <f t="shared" si="6"/>
        <v>2005</v>
      </c>
      <c r="Q7" s="122">
        <f t="shared" si="2"/>
        <v>2009</v>
      </c>
      <c r="R7" s="33" t="str">
        <f t="shared" si="3"/>
        <v>2005-2009</v>
      </c>
      <c r="S7" s="33">
        <f ca="1">IFERROR(__xludf.DUMMYFUNCTION("iferror(query(db,""select count(B) where B&gt;=""&amp;P7&amp;"" and B&lt;=""&amp;Q7&amp;"" and AW='Yes' LABEL COUNT(B) ''""),0)"),26)</f>
        <v>26</v>
      </c>
      <c r="T7" s="126">
        <f ca="1">SUMIFS(Included!AG:AG, Included!B:B, "&gt;="&amp;P7, Included!B:B, "&lt;="&amp;Q7, IncludedCat, "yes")</f>
        <v>182</v>
      </c>
      <c r="U7" s="126">
        <f t="shared" ca="1" si="4"/>
        <v>3</v>
      </c>
      <c r="V7" s="126">
        <f ca="1">IFERROR(__xludf.DUMMYFUNCTION("iferror(query(db,""select count(B) where B&gt;=""&amp;P7&amp;"" and B&lt;=""&amp;Q7&amp;"" and I is NULL and AW='Yes' LABEL COUNT(B) ''""),0)"),23)</f>
        <v>23</v>
      </c>
      <c r="W7" s="122">
        <f ca="1">SUMIFS(Included!K:K, Included!B:B, "&gt;="&amp;P7, Included!B:B, "&lt;="&amp;Q7, IncludedCat, "yes")</f>
        <v>1614</v>
      </c>
      <c r="X7" s="129">
        <f t="shared" ca="1" si="5"/>
        <v>62.07692307692308</v>
      </c>
    </row>
    <row r="8" spans="1:24">
      <c r="A8" s="91" t="e">
        <f ca="1">SUM(A3:A7)</f>
        <v>#REF!</v>
      </c>
      <c r="B8" s="91"/>
      <c r="C8" s="122">
        <f t="shared" ca="1" si="0"/>
        <v>1987</v>
      </c>
      <c r="D8" s="126">
        <f ca="1">IFERROR(__xludf.DUMMYFUNCTION("iferror(query(db,""select count(B) where B=""&amp;C8&amp;"" and AW='Yes' LABEL COUNT(B) ''""),0)"),5)</f>
        <v>5</v>
      </c>
      <c r="E8" s="126">
        <f ca="1">SUMIFS(Included!AG:AG, Included!B:B, "="&amp;C8, IncludedCat, "yes")</f>
        <v>17</v>
      </c>
      <c r="F8" s="126">
        <f t="shared" ca="1" si="1"/>
        <v>0</v>
      </c>
      <c r="G8" s="126">
        <f ca="1">IFERROR(__xludf.DUMMYFUNCTION("iferror(query(db,""select count(B) where B=""&amp;C8&amp;"" and I is NULL and AW='Yes' LABEL COUNT(B) ''""),0)"),5)</f>
        <v>5</v>
      </c>
      <c r="H8" s="133"/>
      <c r="I8" s="134">
        <f ca="1">IFERROR(__xludf.DUMMYFUNCTION("""COMPUTED_VALUE"""),1987)</f>
        <v>1987</v>
      </c>
      <c r="J8" s="134">
        <f ca="1">IFERROR(__xludf.DUMMYFUNCTION("""COMPUTED_VALUE"""),5)</f>
        <v>5</v>
      </c>
      <c r="K8" s="134">
        <f ca="1">IFERROR(__xludf.DUMMYFUNCTION("""COMPUTED_VALUE"""),17)</f>
        <v>17</v>
      </c>
      <c r="L8" s="134">
        <f ca="1">IFERROR(__xludf.DUMMYFUNCTION("""COMPUTED_VALUE"""),0)</f>
        <v>0</v>
      </c>
      <c r="M8" s="134">
        <f ca="1">IFERROR(__xludf.DUMMYFUNCTION("""COMPUTED_VALUE"""),5)</f>
        <v>5</v>
      </c>
      <c r="N8" s="136"/>
      <c r="O8" s="91"/>
      <c r="P8" s="122">
        <f t="shared" si="6"/>
        <v>2010</v>
      </c>
      <c r="Q8" s="122">
        <f t="shared" si="2"/>
        <v>2014</v>
      </c>
      <c r="R8" s="33" t="str">
        <f t="shared" si="3"/>
        <v>2010-2014</v>
      </c>
      <c r="S8" s="33">
        <f ca="1">IFERROR(__xludf.DUMMYFUNCTION("iferror(query(db,""select count(B) where B&gt;=""&amp;P8&amp;"" and B&lt;=""&amp;Q8&amp;"" and AW='Yes' LABEL COUNT(B) ''""),0)"),42)</f>
        <v>42</v>
      </c>
      <c r="T8" s="126">
        <f ca="1">SUMIFS(Included!AG:AG, Included!B:B, "&gt;="&amp;P8, Included!B:B, "&lt;="&amp;Q8, IncludedCat, "yes")</f>
        <v>176</v>
      </c>
      <c r="U8" s="126">
        <f t="shared" ca="1" si="4"/>
        <v>25</v>
      </c>
      <c r="V8" s="126">
        <f ca="1">IFERROR(__xludf.DUMMYFUNCTION("iferror(query(db,""select count(B) where B&gt;=""&amp;P8&amp;"" and B&lt;=""&amp;Q8&amp;"" and I is NULL and AW='Yes' LABEL COUNT(B) ''""),0)"),17)</f>
        <v>17</v>
      </c>
      <c r="W8" s="122">
        <f ca="1">SUMIFS(Included!K:K, Included!B:B, "&gt;="&amp;P8, Included!B:B, "&lt;="&amp;Q8, IncludedCat, "yes")</f>
        <v>1546</v>
      </c>
      <c r="X8" s="129">
        <f t="shared" ca="1" si="5"/>
        <v>36.80952380952381</v>
      </c>
    </row>
    <row r="9" spans="1:24">
      <c r="A9" s="91"/>
      <c r="B9" s="91"/>
      <c r="C9" s="122">
        <f t="shared" ca="1" si="0"/>
        <v>1988</v>
      </c>
      <c r="D9" s="126">
        <f ca="1">IFERROR(__xludf.DUMMYFUNCTION("iferror(query(db,""select count(B) where B=""&amp;C9&amp;"" and AW='Yes' LABEL COUNT(B) ''""),0)"),5)</f>
        <v>5</v>
      </c>
      <c r="E9" s="126">
        <f ca="1">SUMIFS(Included!AG:AG, Included!B:B, "="&amp;C9, IncludedCat, "yes")</f>
        <v>65</v>
      </c>
      <c r="F9" s="126">
        <f t="shared" ca="1" si="1"/>
        <v>0</v>
      </c>
      <c r="G9" s="126">
        <f ca="1">IFERROR(__xludf.DUMMYFUNCTION("iferror(query(db,""select count(B) where B=""&amp;C9&amp;"" and I is NULL and AW='Yes' LABEL COUNT(B) ''""),0)"),5)</f>
        <v>5</v>
      </c>
      <c r="H9" s="133"/>
      <c r="I9" s="134">
        <f ca="1">IFERROR(__xludf.DUMMYFUNCTION("""COMPUTED_VALUE"""),1988)</f>
        <v>1988</v>
      </c>
      <c r="J9" s="134">
        <f ca="1">IFERROR(__xludf.DUMMYFUNCTION("""COMPUTED_VALUE"""),5)</f>
        <v>5</v>
      </c>
      <c r="K9" s="134">
        <f ca="1">IFERROR(__xludf.DUMMYFUNCTION("""COMPUTED_VALUE"""),65)</f>
        <v>65</v>
      </c>
      <c r="L9" s="134">
        <f ca="1">IFERROR(__xludf.DUMMYFUNCTION("""COMPUTED_VALUE"""),0)</f>
        <v>0</v>
      </c>
      <c r="M9" s="134">
        <f ca="1">IFERROR(__xludf.DUMMYFUNCTION("""COMPUTED_VALUE"""),5)</f>
        <v>5</v>
      </c>
      <c r="N9" s="136"/>
      <c r="O9" s="91"/>
      <c r="P9" s="122">
        <f t="shared" si="6"/>
        <v>2015</v>
      </c>
      <c r="Q9" s="122">
        <f t="shared" si="2"/>
        <v>2019</v>
      </c>
      <c r="R9" s="33" t="str">
        <f t="shared" si="3"/>
        <v>2015-2019</v>
      </c>
      <c r="S9" s="33">
        <f ca="1">IFERROR(__xludf.DUMMYFUNCTION("iferror(query(db,""select count(B) where B&gt;=""&amp;P9&amp;"" and B&lt;=""&amp;Q9&amp;"" and AW='Yes' LABEL COUNT(B) ''""),0)"),64)</f>
        <v>64</v>
      </c>
      <c r="T9" s="126">
        <f ca="1">SUMIFS(Included!AG:AG, Included!B:B, "&gt;="&amp;P9, Included!B:B, "&lt;="&amp;Q9, IncludedCat, "yes")</f>
        <v>973</v>
      </c>
      <c r="U9" s="126">
        <f t="shared" ca="1" si="4"/>
        <v>56</v>
      </c>
      <c r="V9" s="126">
        <f ca="1">IFERROR(__xludf.DUMMYFUNCTION("iferror(query(db,""select count(B) where B&gt;=""&amp;P9&amp;"" and B&lt;=""&amp;Q9&amp;"" and I is NULL and AW='Yes' LABEL COUNT(B) ''""),0)"),8)</f>
        <v>8</v>
      </c>
      <c r="W9" s="122">
        <f ca="1">SUMIFS(Included!K:K, Included!B:B, "&gt;="&amp;P9, Included!B:B, "&lt;="&amp;Q9, IncludedCat, "yes")</f>
        <v>3293</v>
      </c>
      <c r="X9" s="129">
        <f t="shared" ca="1" si="5"/>
        <v>51.453125</v>
      </c>
    </row>
    <row r="10" spans="1:24">
      <c r="A10" s="91"/>
      <c r="B10" s="91"/>
      <c r="C10" s="122">
        <f t="shared" ca="1" si="0"/>
        <v>1989</v>
      </c>
      <c r="D10" s="126">
        <f ca="1">IFERROR(__xludf.DUMMYFUNCTION("iferror(query(db,""select count(B) where B=""&amp;C10&amp;"" and AW='Yes' LABEL COUNT(B) ''""),0)"),2)</f>
        <v>2</v>
      </c>
      <c r="E10" s="126">
        <f ca="1">SUMIFS(Included!AG:AG, Included!B:B, "="&amp;C10, IncludedCat, "yes")</f>
        <v>10</v>
      </c>
      <c r="F10" s="126">
        <f t="shared" ca="1" si="1"/>
        <v>0</v>
      </c>
      <c r="G10" s="126">
        <f ca="1">IFERROR(__xludf.DUMMYFUNCTION("iferror(query(db,""select count(B) where B=""&amp;C10&amp;"" and I is NULL and AW='Yes' LABEL COUNT(B) ''""),0)"),2)</f>
        <v>2</v>
      </c>
      <c r="H10" s="133"/>
      <c r="I10" s="134">
        <f ca="1">IFERROR(__xludf.DUMMYFUNCTION("""COMPUTED_VALUE"""),1989)</f>
        <v>1989</v>
      </c>
      <c r="J10" s="134">
        <f ca="1">IFERROR(__xludf.DUMMYFUNCTION("""COMPUTED_VALUE"""),2)</f>
        <v>2</v>
      </c>
      <c r="K10" s="134">
        <f ca="1">IFERROR(__xludf.DUMMYFUNCTION("""COMPUTED_VALUE"""),10)</f>
        <v>10</v>
      </c>
      <c r="L10" s="134">
        <f ca="1">IFERROR(__xludf.DUMMYFUNCTION("""COMPUTED_VALUE"""),0)</f>
        <v>0</v>
      </c>
      <c r="M10" s="134">
        <f ca="1">IFERROR(__xludf.DUMMYFUNCTION("""COMPUTED_VALUE"""),2)</f>
        <v>2</v>
      </c>
      <c r="N10" s="136"/>
      <c r="O10" s="91"/>
      <c r="P10" s="122">
        <f t="shared" si="6"/>
        <v>2020</v>
      </c>
      <c r="Q10" s="122">
        <f t="shared" si="2"/>
        <v>2024</v>
      </c>
      <c r="R10" s="33" t="str">
        <f>P10&amp;"-"&amp;2021</f>
        <v>2020-2021</v>
      </c>
      <c r="S10" s="33">
        <f ca="1">IFERROR(__xludf.DUMMYFUNCTION("iferror(query(db,""select count(B) where B&gt;=""&amp;P10&amp;"" and B&lt;=""&amp;Q10&amp;"" and AW='Yes' LABEL COUNT(B) ''""),0)"),22)</f>
        <v>22</v>
      </c>
      <c r="T10" s="126">
        <f ca="1">SUMIFS(Included!AG:AG, Included!B:B, "&gt;="&amp;P10, Included!B:B, "&lt;="&amp;Q10, IncludedCat, "yes")</f>
        <v>244</v>
      </c>
      <c r="U10" s="126">
        <f t="shared" ca="1" si="4"/>
        <v>22</v>
      </c>
      <c r="V10" s="126">
        <f ca="1">IFERROR(__xludf.DUMMYFUNCTION("iferror(query(db,""select count(B) where B&gt;=""&amp;P10&amp;"" and B&lt;=""&amp;Q10&amp;"" and I is NULL and AW='Yes' LABEL COUNT(B) ''""),0)"),0)</f>
        <v>0</v>
      </c>
      <c r="W10" s="122">
        <f ca="1">SUMIFS(Included!K:K, Included!B:B, "&gt;="&amp;P10, Included!B:B, "&lt;="&amp;Q10, IncludedCat, "yes")</f>
        <v>1078</v>
      </c>
      <c r="X10" s="129">
        <f t="shared" ca="1" si="5"/>
        <v>49</v>
      </c>
    </row>
    <row r="11" spans="1:24">
      <c r="A11" s="91"/>
      <c r="B11" s="91"/>
      <c r="C11" s="122">
        <f t="shared" ca="1" si="0"/>
        <v>1990</v>
      </c>
      <c r="D11" s="126">
        <f ca="1">IFERROR(__xludf.DUMMYFUNCTION("iferror(query(db,""select count(B) where B=""&amp;C11&amp;"" and AW='Yes' LABEL COUNT(B) ''""),0)"),9)</f>
        <v>9</v>
      </c>
      <c r="E11" s="126">
        <f ca="1">SUMIFS(Included!AG:AG, Included!B:B, "="&amp;C11, IncludedCat, "yes")</f>
        <v>56</v>
      </c>
      <c r="F11" s="126">
        <f t="shared" ca="1" si="1"/>
        <v>0</v>
      </c>
      <c r="G11" s="126">
        <f ca="1">IFERROR(__xludf.DUMMYFUNCTION("iferror(query(db,""select count(B) where B=""&amp;C11&amp;"" and I is NULL and AW='Yes' LABEL COUNT(B) ''""),0)"),9)</f>
        <v>9</v>
      </c>
      <c r="H11" s="133"/>
      <c r="I11" s="134">
        <f ca="1">IFERROR(__xludf.DUMMYFUNCTION("""COMPUTED_VALUE"""),1990)</f>
        <v>1990</v>
      </c>
      <c r="J11" s="134">
        <f ca="1">IFERROR(__xludf.DUMMYFUNCTION("""COMPUTED_VALUE"""),9)</f>
        <v>9</v>
      </c>
      <c r="K11" s="134">
        <f ca="1">IFERROR(__xludf.DUMMYFUNCTION("""COMPUTED_VALUE"""),56)</f>
        <v>56</v>
      </c>
      <c r="L11" s="134">
        <f ca="1">IFERROR(__xludf.DUMMYFUNCTION("""COMPUTED_VALUE"""),0)</f>
        <v>0</v>
      </c>
      <c r="M11" s="134">
        <f ca="1">IFERROR(__xludf.DUMMYFUNCTION("""COMPUTED_VALUE"""),9)</f>
        <v>9</v>
      </c>
      <c r="N11" s="136"/>
      <c r="O11" s="98"/>
      <c r="P11" s="98"/>
      <c r="Q11" s="98"/>
      <c r="S11" s="98"/>
      <c r="T11" s="98"/>
      <c r="U11" s="98"/>
      <c r="V11" s="98"/>
      <c r="W11" s="98"/>
      <c r="X11" s="98"/>
    </row>
    <row r="12" spans="1:24">
      <c r="A12" s="97"/>
      <c r="B12" s="91"/>
      <c r="C12" s="122">
        <f t="shared" ca="1" si="0"/>
        <v>1991</v>
      </c>
      <c r="D12" s="126">
        <f ca="1">IFERROR(__xludf.DUMMYFUNCTION("iferror(query(db,""select count(B) where B=""&amp;C12&amp;"" and AW='Yes' LABEL COUNT(B) ''""),0)"),4)</f>
        <v>4</v>
      </c>
      <c r="E12" s="126">
        <f ca="1">SUMIFS(Included!AG:AG, Included!B:B, "="&amp;C12, IncludedCat, "yes")</f>
        <v>20</v>
      </c>
      <c r="F12" s="126">
        <f t="shared" ca="1" si="1"/>
        <v>0</v>
      </c>
      <c r="G12" s="126">
        <f ca="1">IFERROR(__xludf.DUMMYFUNCTION("iferror(query(db,""select count(B) where B=""&amp;C12&amp;"" and I is NULL and AW='Yes' LABEL COUNT(B) ''""),0)"),4)</f>
        <v>4</v>
      </c>
      <c r="H12" s="133"/>
      <c r="I12" s="134">
        <f ca="1">IFERROR(__xludf.DUMMYFUNCTION("""COMPUTED_VALUE"""),1991)</f>
        <v>1991</v>
      </c>
      <c r="J12" s="134">
        <f ca="1">IFERROR(__xludf.DUMMYFUNCTION("""COMPUTED_VALUE"""),4)</f>
        <v>4</v>
      </c>
      <c r="K12" s="134">
        <f ca="1">IFERROR(__xludf.DUMMYFUNCTION("""COMPUTED_VALUE"""),20)</f>
        <v>20</v>
      </c>
      <c r="L12" s="134">
        <f ca="1">IFERROR(__xludf.DUMMYFUNCTION("""COMPUTED_VALUE"""),0)</f>
        <v>0</v>
      </c>
      <c r="M12" s="134">
        <f ca="1">IFERROR(__xludf.DUMMYFUNCTION("""COMPUTED_VALUE"""),4)</f>
        <v>4</v>
      </c>
      <c r="N12" s="136"/>
      <c r="O12" s="98"/>
      <c r="P12" s="98"/>
      <c r="Q12" s="98"/>
      <c r="S12" s="98"/>
      <c r="T12" s="98"/>
      <c r="U12" s="98"/>
      <c r="V12" s="98"/>
      <c r="W12" s="98"/>
      <c r="X12" s="98"/>
    </row>
    <row r="13" spans="1:24">
      <c r="A13" s="97"/>
      <c r="B13" s="91"/>
      <c r="C13" s="122">
        <f t="shared" ca="1" si="0"/>
        <v>1992</v>
      </c>
      <c r="D13" s="126">
        <f ca="1">IFERROR(__xludf.DUMMYFUNCTION("iferror(query(db,""select count(B) where B=""&amp;C13&amp;"" and AW='Yes' LABEL COUNT(B) ''""),0)"),10)</f>
        <v>10</v>
      </c>
      <c r="E13" s="126">
        <f ca="1">SUMIFS(Included!AG:AG, Included!B:B, "="&amp;C13, IncludedCat, "yes")</f>
        <v>160</v>
      </c>
      <c r="F13" s="126">
        <f t="shared" ca="1" si="1"/>
        <v>0</v>
      </c>
      <c r="G13" s="126">
        <f ca="1">IFERROR(__xludf.DUMMYFUNCTION("iferror(query(db,""select count(B) where B=""&amp;C13&amp;"" and I is NULL and AW='Yes' LABEL COUNT(B) ''""),0)"),10)</f>
        <v>10</v>
      </c>
      <c r="H13" s="133"/>
      <c r="I13" s="134">
        <f ca="1">IFERROR(__xludf.DUMMYFUNCTION("""COMPUTED_VALUE"""),1992)</f>
        <v>1992</v>
      </c>
      <c r="J13" s="134">
        <f ca="1">IFERROR(__xludf.DUMMYFUNCTION("""COMPUTED_VALUE"""),10)</f>
        <v>10</v>
      </c>
      <c r="K13" s="134">
        <f ca="1">IFERROR(__xludf.DUMMYFUNCTION("""COMPUTED_VALUE"""),160)</f>
        <v>160</v>
      </c>
      <c r="L13" s="134">
        <f ca="1">IFERROR(__xludf.DUMMYFUNCTION("""COMPUTED_VALUE"""),0)</f>
        <v>0</v>
      </c>
      <c r="M13" s="134">
        <f ca="1">IFERROR(__xludf.DUMMYFUNCTION("""COMPUTED_VALUE"""),10)</f>
        <v>10</v>
      </c>
      <c r="N13" s="136"/>
      <c r="O13" s="98"/>
      <c r="P13" s="98"/>
      <c r="Q13" s="98"/>
      <c r="S13" s="98"/>
      <c r="T13" s="98"/>
      <c r="U13" s="98"/>
      <c r="V13" s="98"/>
      <c r="W13" s="98"/>
      <c r="X13" s="98"/>
    </row>
    <row r="14" spans="1:24">
      <c r="A14" s="97"/>
      <c r="B14" s="91"/>
      <c r="C14" s="122">
        <f t="shared" ca="1" si="0"/>
        <v>1993</v>
      </c>
      <c r="D14" s="126">
        <f ca="1">IFERROR(__xludf.DUMMYFUNCTION("iferror(query(db,""select count(B) where B=""&amp;C14&amp;"" and AW='Yes' LABEL COUNT(B) ''""),0)"),7)</f>
        <v>7</v>
      </c>
      <c r="E14" s="126">
        <f ca="1">SUMIFS(Included!AG:AG, Included!B:B, "="&amp;C14, IncludedCat, "yes")</f>
        <v>148</v>
      </c>
      <c r="F14" s="126">
        <f t="shared" ca="1" si="1"/>
        <v>0</v>
      </c>
      <c r="G14" s="126">
        <f ca="1">IFERROR(__xludf.DUMMYFUNCTION("iferror(query(db,""select count(B) where B=""&amp;C14&amp;"" and I is NULL and AW='Yes' LABEL COUNT(B) ''""),0)"),7)</f>
        <v>7</v>
      </c>
      <c r="H14" s="133"/>
      <c r="I14" s="134">
        <f ca="1">IFERROR(__xludf.DUMMYFUNCTION("""COMPUTED_VALUE"""),1993)</f>
        <v>1993</v>
      </c>
      <c r="J14" s="134">
        <f ca="1">IFERROR(__xludf.DUMMYFUNCTION("""COMPUTED_VALUE"""),7)</f>
        <v>7</v>
      </c>
      <c r="K14" s="134">
        <f ca="1">IFERROR(__xludf.DUMMYFUNCTION("""COMPUTED_VALUE"""),148)</f>
        <v>148</v>
      </c>
      <c r="L14" s="134">
        <f ca="1">IFERROR(__xludf.DUMMYFUNCTION("""COMPUTED_VALUE"""),0)</f>
        <v>0</v>
      </c>
      <c r="M14" s="134">
        <f ca="1">IFERROR(__xludf.DUMMYFUNCTION("""COMPUTED_VALUE"""),7)</f>
        <v>7</v>
      </c>
      <c r="N14" s="136"/>
      <c r="O14" s="98"/>
      <c r="P14" s="98"/>
      <c r="Q14" s="98"/>
      <c r="S14" s="98"/>
      <c r="T14" s="98"/>
      <c r="U14" s="98"/>
      <c r="V14" s="98"/>
      <c r="W14" s="98"/>
      <c r="X14" s="98"/>
    </row>
    <row r="15" spans="1:24">
      <c r="A15" s="97"/>
      <c r="B15" s="91"/>
      <c r="C15" s="122">
        <f t="shared" ca="1" si="0"/>
        <v>1994</v>
      </c>
      <c r="D15" s="126">
        <f ca="1">IFERROR(__xludf.DUMMYFUNCTION("iferror(query(db,""select count(B) where B=""&amp;C15&amp;"" and AW='Yes' LABEL COUNT(B) ''""),0)"),7)</f>
        <v>7</v>
      </c>
      <c r="E15" s="126">
        <f ca="1">SUMIFS(Included!AG:AG, Included!B:B, "="&amp;C15, IncludedCat, "yes")</f>
        <v>76</v>
      </c>
      <c r="F15" s="126">
        <f t="shared" ca="1" si="1"/>
        <v>0</v>
      </c>
      <c r="G15" s="126">
        <f ca="1">IFERROR(__xludf.DUMMYFUNCTION("iferror(query(db,""select count(B) where B=""&amp;C15&amp;"" and I is NULL and AW='Yes' LABEL COUNT(B) ''""),0)"),7)</f>
        <v>7</v>
      </c>
      <c r="H15" s="133"/>
      <c r="I15" s="134">
        <f ca="1">IFERROR(__xludf.DUMMYFUNCTION("""COMPUTED_VALUE"""),1994)</f>
        <v>1994</v>
      </c>
      <c r="J15" s="134">
        <f ca="1">IFERROR(__xludf.DUMMYFUNCTION("""COMPUTED_VALUE"""),7)</f>
        <v>7</v>
      </c>
      <c r="K15" s="134">
        <f ca="1">IFERROR(__xludf.DUMMYFUNCTION("""COMPUTED_VALUE"""),76)</f>
        <v>76</v>
      </c>
      <c r="L15" s="134">
        <f ca="1">IFERROR(__xludf.DUMMYFUNCTION("""COMPUTED_VALUE"""),0)</f>
        <v>0</v>
      </c>
      <c r="M15" s="134">
        <f ca="1">IFERROR(__xludf.DUMMYFUNCTION("""COMPUTED_VALUE"""),7)</f>
        <v>7</v>
      </c>
      <c r="N15" s="136"/>
      <c r="O15" s="98"/>
      <c r="P15" s="98"/>
      <c r="Q15" s="98"/>
      <c r="S15" s="98"/>
      <c r="T15" s="98"/>
      <c r="U15" s="98"/>
      <c r="V15" s="98"/>
      <c r="W15" s="98"/>
      <c r="X15" s="98"/>
    </row>
    <row r="16" spans="1:24">
      <c r="A16" s="97"/>
      <c r="B16" s="91"/>
      <c r="C16" s="122">
        <f t="shared" ca="1" si="0"/>
        <v>1995</v>
      </c>
      <c r="D16" s="126">
        <f ca="1">IFERROR(__xludf.DUMMYFUNCTION("iferror(query(db,""select count(B) where B=""&amp;C16&amp;"" and AW='Yes' LABEL COUNT(B) ''""),0)"),4)</f>
        <v>4</v>
      </c>
      <c r="E16" s="126">
        <f ca="1">SUMIFS(Included!AG:AG, Included!B:B, "="&amp;C16, IncludedCat, "yes")</f>
        <v>50</v>
      </c>
      <c r="F16" s="126">
        <f t="shared" ca="1" si="1"/>
        <v>0</v>
      </c>
      <c r="G16" s="126">
        <f ca="1">IFERROR(__xludf.DUMMYFUNCTION("iferror(query(db,""select count(B) where B=""&amp;C16&amp;"" and I is NULL and AW='Yes' LABEL COUNT(B) ''""),0)"),4)</f>
        <v>4</v>
      </c>
      <c r="H16" s="133"/>
      <c r="I16" s="134">
        <f ca="1">IFERROR(__xludf.DUMMYFUNCTION("""COMPUTED_VALUE"""),1995)</f>
        <v>1995</v>
      </c>
      <c r="J16" s="134">
        <f ca="1">IFERROR(__xludf.DUMMYFUNCTION("""COMPUTED_VALUE"""),4)</f>
        <v>4</v>
      </c>
      <c r="K16" s="134">
        <f ca="1">IFERROR(__xludf.DUMMYFUNCTION("""COMPUTED_VALUE"""),50)</f>
        <v>50</v>
      </c>
      <c r="L16" s="134">
        <f ca="1">IFERROR(__xludf.DUMMYFUNCTION("""COMPUTED_VALUE"""),0)</f>
        <v>0</v>
      </c>
      <c r="M16" s="134">
        <f ca="1">IFERROR(__xludf.DUMMYFUNCTION("""COMPUTED_VALUE"""),4)</f>
        <v>4</v>
      </c>
      <c r="N16" s="136"/>
      <c r="O16" s="98"/>
      <c r="P16" s="98"/>
      <c r="Q16" s="98"/>
      <c r="S16" s="98"/>
      <c r="T16" s="98"/>
      <c r="U16" s="98"/>
      <c r="V16" s="98"/>
      <c r="W16" s="98"/>
      <c r="X16" s="98"/>
    </row>
    <row r="17" spans="1:24">
      <c r="A17" s="97"/>
      <c r="B17" s="91"/>
      <c r="C17" s="122">
        <f t="shared" ca="1" si="0"/>
        <v>1996</v>
      </c>
      <c r="D17" s="126">
        <f ca="1">IFERROR(__xludf.DUMMYFUNCTION("iferror(query(db,""select count(B) where B=""&amp;C17&amp;"" and AW='Yes' LABEL COUNT(B) ''""),0)"),5)</f>
        <v>5</v>
      </c>
      <c r="E17" s="126">
        <f ca="1">SUMIFS(Included!AG:AG, Included!B:B, "="&amp;C17, IncludedCat, "yes")</f>
        <v>0</v>
      </c>
      <c r="F17" s="126">
        <f t="shared" ca="1" si="1"/>
        <v>0</v>
      </c>
      <c r="G17" s="126">
        <f ca="1">IFERROR(__xludf.DUMMYFUNCTION("iferror(query(db,""select count(B) where B=""&amp;C17&amp;"" and I is NULL and AW='Yes' LABEL COUNT(B) ''""),0)"),5)</f>
        <v>5</v>
      </c>
      <c r="H17" s="133"/>
      <c r="I17" s="134">
        <f ca="1">IFERROR(__xludf.DUMMYFUNCTION("""COMPUTED_VALUE"""),1996)</f>
        <v>1996</v>
      </c>
      <c r="J17" s="134">
        <f ca="1">IFERROR(__xludf.DUMMYFUNCTION("""COMPUTED_VALUE"""),5)</f>
        <v>5</v>
      </c>
      <c r="K17" s="134">
        <f ca="1">IFERROR(__xludf.DUMMYFUNCTION("""COMPUTED_VALUE"""),0)</f>
        <v>0</v>
      </c>
      <c r="L17" s="134">
        <f ca="1">IFERROR(__xludf.DUMMYFUNCTION("""COMPUTED_VALUE"""),0)</f>
        <v>0</v>
      </c>
      <c r="M17" s="134">
        <f ca="1">IFERROR(__xludf.DUMMYFUNCTION("""COMPUTED_VALUE"""),5)</f>
        <v>5</v>
      </c>
      <c r="N17" s="136"/>
      <c r="O17" s="98"/>
      <c r="P17" s="98"/>
      <c r="Q17" s="98"/>
      <c r="S17" s="98"/>
      <c r="T17" s="98"/>
      <c r="U17" s="98"/>
      <c r="V17" s="98"/>
      <c r="W17" s="98"/>
      <c r="X17" s="98"/>
    </row>
    <row r="18" spans="1:24">
      <c r="A18" s="97"/>
      <c r="B18" s="91"/>
      <c r="C18" s="122">
        <f t="shared" ca="1" si="0"/>
        <v>1997</v>
      </c>
      <c r="D18" s="126">
        <f ca="1">IFERROR(__xludf.DUMMYFUNCTION("iferror(query(db,""select count(B) where B=""&amp;C18&amp;"" and AW='Yes' LABEL COUNT(B) ''""),0)"),4)</f>
        <v>4</v>
      </c>
      <c r="E18" s="126">
        <f ca="1">SUMIFS(Included!AG:AG, Included!B:B, "="&amp;C18, IncludedCat, "yes")</f>
        <v>253</v>
      </c>
      <c r="F18" s="126">
        <f t="shared" ca="1" si="1"/>
        <v>0</v>
      </c>
      <c r="G18" s="126">
        <f ca="1">IFERROR(__xludf.DUMMYFUNCTION("iferror(query(db,""select count(B) where B=""&amp;C18&amp;"" and I is NULL and AW='Yes' LABEL COUNT(B) ''""),0)"),4)</f>
        <v>4</v>
      </c>
      <c r="H18" s="133"/>
      <c r="I18" s="134">
        <f ca="1">IFERROR(__xludf.DUMMYFUNCTION("""COMPUTED_VALUE"""),1997)</f>
        <v>1997</v>
      </c>
      <c r="J18" s="134">
        <f ca="1">IFERROR(__xludf.DUMMYFUNCTION("""COMPUTED_VALUE"""),4)</f>
        <v>4</v>
      </c>
      <c r="K18" s="134">
        <f ca="1">IFERROR(__xludf.DUMMYFUNCTION("""COMPUTED_VALUE"""),253)</f>
        <v>253</v>
      </c>
      <c r="L18" s="134">
        <f ca="1">IFERROR(__xludf.DUMMYFUNCTION("""COMPUTED_VALUE"""),0)</f>
        <v>0</v>
      </c>
      <c r="M18" s="134">
        <f ca="1">IFERROR(__xludf.DUMMYFUNCTION("""COMPUTED_VALUE"""),4)</f>
        <v>4</v>
      </c>
      <c r="N18" s="136"/>
      <c r="O18" s="98"/>
      <c r="P18" s="98"/>
      <c r="Q18" s="98"/>
      <c r="S18" s="98"/>
      <c r="T18" s="98"/>
      <c r="U18" s="98"/>
      <c r="V18" s="98"/>
      <c r="W18" s="98"/>
      <c r="X18" s="98"/>
    </row>
    <row r="19" spans="1:24">
      <c r="A19" s="97"/>
      <c r="B19" s="91"/>
      <c r="C19" s="122">
        <f t="shared" ca="1" si="0"/>
        <v>1998</v>
      </c>
      <c r="D19" s="126">
        <f ca="1">IFERROR(__xludf.DUMMYFUNCTION("iferror(query(db,""select count(B) where B=""&amp;C19&amp;"" and AW='Yes' LABEL COUNT(B) ''""),0)"),8)</f>
        <v>8</v>
      </c>
      <c r="E19" s="126">
        <f ca="1">SUMIFS(Included!AG:AG, Included!B:B, "="&amp;C19, IncludedCat, "yes")</f>
        <v>11</v>
      </c>
      <c r="F19" s="126">
        <f t="shared" ca="1" si="1"/>
        <v>0</v>
      </c>
      <c r="G19" s="126">
        <f ca="1">IFERROR(__xludf.DUMMYFUNCTION("iferror(query(db,""select count(B) where B=""&amp;C19&amp;"" and I is NULL and AW='Yes' LABEL COUNT(B) ''""),0)"),8)</f>
        <v>8</v>
      </c>
      <c r="H19" s="133"/>
      <c r="I19" s="134">
        <f ca="1">IFERROR(__xludf.DUMMYFUNCTION("""COMPUTED_VALUE"""),1998)</f>
        <v>1998</v>
      </c>
      <c r="J19" s="134">
        <f ca="1">IFERROR(__xludf.DUMMYFUNCTION("""COMPUTED_VALUE"""),8)</f>
        <v>8</v>
      </c>
      <c r="K19" s="134">
        <f ca="1">IFERROR(__xludf.DUMMYFUNCTION("""COMPUTED_VALUE"""),11)</f>
        <v>11</v>
      </c>
      <c r="L19" s="134">
        <f ca="1">IFERROR(__xludf.DUMMYFUNCTION("""COMPUTED_VALUE"""),0)</f>
        <v>0</v>
      </c>
      <c r="M19" s="134">
        <f ca="1">IFERROR(__xludf.DUMMYFUNCTION("""COMPUTED_VALUE"""),8)</f>
        <v>8</v>
      </c>
      <c r="N19" s="136"/>
      <c r="O19" s="98"/>
      <c r="P19" s="98"/>
      <c r="Q19" s="98"/>
      <c r="S19" s="98"/>
      <c r="T19" s="98"/>
      <c r="U19" s="98"/>
      <c r="V19" s="98"/>
      <c r="W19" s="98"/>
      <c r="X19" s="98"/>
    </row>
    <row r="20" spans="1:24">
      <c r="A20" s="97"/>
      <c r="B20" s="91"/>
      <c r="C20" s="122">
        <f t="shared" ca="1" si="0"/>
        <v>1999</v>
      </c>
      <c r="D20" s="126">
        <f ca="1">IFERROR(__xludf.DUMMYFUNCTION("iferror(query(db,""select count(B) where B=""&amp;C20&amp;"" and AW='Yes' LABEL COUNT(B) ''""),0)"),10)</f>
        <v>10</v>
      </c>
      <c r="E20" s="126">
        <f ca="1">SUMIFS(Included!AG:AG, Included!B:B, "="&amp;C20, IncludedCat, "yes")</f>
        <v>125</v>
      </c>
      <c r="F20" s="126">
        <f t="shared" ca="1" si="1"/>
        <v>0</v>
      </c>
      <c r="G20" s="126">
        <f ca="1">IFERROR(__xludf.DUMMYFUNCTION("iferror(query(db,""select count(B) where B=""&amp;C20&amp;"" and I is NULL and AW='Yes' LABEL COUNT(B) ''""),0)"),10)</f>
        <v>10</v>
      </c>
      <c r="H20" s="133"/>
      <c r="I20" s="134">
        <f ca="1">IFERROR(__xludf.DUMMYFUNCTION("""COMPUTED_VALUE"""),1999)</f>
        <v>1999</v>
      </c>
      <c r="J20" s="134">
        <f ca="1">IFERROR(__xludf.DUMMYFUNCTION("""COMPUTED_VALUE"""),10)</f>
        <v>10</v>
      </c>
      <c r="K20" s="134">
        <f ca="1">IFERROR(__xludf.DUMMYFUNCTION("""COMPUTED_VALUE"""),125)</f>
        <v>125</v>
      </c>
      <c r="L20" s="134">
        <f ca="1">IFERROR(__xludf.DUMMYFUNCTION("""COMPUTED_VALUE"""),0)</f>
        <v>0</v>
      </c>
      <c r="M20" s="134">
        <f ca="1">IFERROR(__xludf.DUMMYFUNCTION("""COMPUTED_VALUE"""),10)</f>
        <v>10</v>
      </c>
      <c r="N20" s="136"/>
      <c r="O20" s="98"/>
      <c r="P20" s="98"/>
      <c r="Q20" s="98"/>
      <c r="S20" s="98"/>
      <c r="T20" s="98"/>
      <c r="U20" s="98"/>
      <c r="V20" s="98"/>
      <c r="W20" s="98"/>
      <c r="X20" s="98"/>
    </row>
    <row r="21" spans="1:24">
      <c r="A21" s="97"/>
      <c r="B21" s="91"/>
      <c r="C21" s="122">
        <f t="shared" ca="1" si="0"/>
        <v>2000</v>
      </c>
      <c r="D21" s="126">
        <f ca="1">IFERROR(__xludf.DUMMYFUNCTION("iferror(query(db,""select count(B) where B=""&amp;C21&amp;"" and AW='Yes' LABEL COUNT(B) ''""),0)"),10)</f>
        <v>10</v>
      </c>
      <c r="E21" s="126">
        <f ca="1">SUMIFS(Included!AG:AG, Included!B:B, "="&amp;C21, IncludedCat, "yes")</f>
        <v>292</v>
      </c>
      <c r="F21" s="126">
        <f t="shared" ca="1" si="1"/>
        <v>0</v>
      </c>
      <c r="G21" s="126">
        <f ca="1">IFERROR(__xludf.DUMMYFUNCTION("iferror(query(db,""select count(B) where B=""&amp;C21&amp;"" and I is NULL and AW='Yes' LABEL COUNT(B) ''""),0)"),10)</f>
        <v>10</v>
      </c>
      <c r="H21" s="133"/>
      <c r="I21" s="134">
        <f ca="1">IFERROR(__xludf.DUMMYFUNCTION("""COMPUTED_VALUE"""),2000)</f>
        <v>2000</v>
      </c>
      <c r="J21" s="134">
        <f ca="1">IFERROR(__xludf.DUMMYFUNCTION("""COMPUTED_VALUE"""),10)</f>
        <v>10</v>
      </c>
      <c r="K21" s="134">
        <f ca="1">IFERROR(__xludf.DUMMYFUNCTION("""COMPUTED_VALUE"""),292)</f>
        <v>292</v>
      </c>
      <c r="L21" s="134">
        <f ca="1">IFERROR(__xludf.DUMMYFUNCTION("""COMPUTED_VALUE"""),0)</f>
        <v>0</v>
      </c>
      <c r="M21" s="134">
        <f ca="1">IFERROR(__xludf.DUMMYFUNCTION("""COMPUTED_VALUE"""),10)</f>
        <v>10</v>
      </c>
      <c r="N21" s="136"/>
      <c r="O21" s="98"/>
      <c r="P21" s="98"/>
      <c r="Q21" s="98"/>
      <c r="S21" s="98"/>
      <c r="T21" s="98"/>
      <c r="U21" s="98"/>
      <c r="V21" s="98"/>
      <c r="W21" s="98"/>
      <c r="X21" s="98"/>
    </row>
    <row r="22" spans="1:24">
      <c r="A22" s="101"/>
      <c r="B22" s="91"/>
      <c r="C22" s="122">
        <f t="shared" ca="1" si="0"/>
        <v>2001</v>
      </c>
      <c r="D22" s="126">
        <f ca="1">IFERROR(__xludf.DUMMYFUNCTION("iferror(query(db,""select count(B) where B=""&amp;C22&amp;"" and AW='Yes' LABEL COUNT(B) ''""),0)"),9)</f>
        <v>9</v>
      </c>
      <c r="E22" s="126">
        <f ca="1">SUMIFS(Included!AG:AG, Included!B:B, "="&amp;C22, IncludedCat, "yes")</f>
        <v>90</v>
      </c>
      <c r="F22" s="126">
        <f t="shared" ca="1" si="1"/>
        <v>0</v>
      </c>
      <c r="G22" s="126">
        <f ca="1">IFERROR(__xludf.DUMMYFUNCTION("iferror(query(db,""select count(B) where B=""&amp;C22&amp;"" and I is NULL and AW='Yes' LABEL COUNT(B) ''""),0)"),9)</f>
        <v>9</v>
      </c>
      <c r="H22" s="133"/>
      <c r="I22" s="134">
        <f ca="1">IFERROR(__xludf.DUMMYFUNCTION("""COMPUTED_VALUE"""),2001)</f>
        <v>2001</v>
      </c>
      <c r="J22" s="134">
        <f ca="1">IFERROR(__xludf.DUMMYFUNCTION("""COMPUTED_VALUE"""),9)</f>
        <v>9</v>
      </c>
      <c r="K22" s="134">
        <f ca="1">IFERROR(__xludf.DUMMYFUNCTION("""COMPUTED_VALUE"""),90)</f>
        <v>90</v>
      </c>
      <c r="L22" s="134">
        <f ca="1">IFERROR(__xludf.DUMMYFUNCTION("""COMPUTED_VALUE"""),0)</f>
        <v>0</v>
      </c>
      <c r="M22" s="134">
        <f ca="1">IFERROR(__xludf.DUMMYFUNCTION("""COMPUTED_VALUE"""),9)</f>
        <v>9</v>
      </c>
      <c r="N22" s="136"/>
      <c r="O22" s="98"/>
      <c r="P22" s="98"/>
      <c r="Q22" s="98"/>
      <c r="S22" s="98"/>
      <c r="T22" s="98"/>
      <c r="U22" s="98"/>
      <c r="V22" s="98"/>
      <c r="W22" s="98"/>
      <c r="X22" s="98"/>
    </row>
    <row r="23" spans="1:24">
      <c r="A23" s="97"/>
      <c r="B23" s="91"/>
      <c r="C23" s="122">
        <f t="shared" ca="1" si="0"/>
        <v>2002</v>
      </c>
      <c r="D23" s="126">
        <f ca="1">IFERROR(__xludf.DUMMYFUNCTION("iferror(query(db,""select count(B) where B=""&amp;C23&amp;"" and AW='Yes' LABEL COUNT(B) ''""),0)"),4)</f>
        <v>4</v>
      </c>
      <c r="E23" s="126">
        <f ca="1">SUMIFS(Included!AG:AG, Included!B:B, "="&amp;C23, IncludedCat, "yes")</f>
        <v>105</v>
      </c>
      <c r="F23" s="126">
        <f t="shared" ca="1" si="1"/>
        <v>0</v>
      </c>
      <c r="G23" s="126">
        <f ca="1">IFERROR(__xludf.DUMMYFUNCTION("iferror(query(db,""select count(B) where B=""&amp;C23&amp;"" and I is NULL and AW='Yes' LABEL COUNT(B) ''""),0)"),4)</f>
        <v>4</v>
      </c>
      <c r="H23" s="133"/>
      <c r="I23" s="134">
        <f ca="1">IFERROR(__xludf.DUMMYFUNCTION("""COMPUTED_VALUE"""),2002)</f>
        <v>2002</v>
      </c>
      <c r="J23" s="134">
        <f ca="1">IFERROR(__xludf.DUMMYFUNCTION("""COMPUTED_VALUE"""),4)</f>
        <v>4</v>
      </c>
      <c r="K23" s="134">
        <f ca="1">IFERROR(__xludf.DUMMYFUNCTION("""COMPUTED_VALUE"""),105)</f>
        <v>105</v>
      </c>
      <c r="L23" s="134">
        <f ca="1">IFERROR(__xludf.DUMMYFUNCTION("""COMPUTED_VALUE"""),0)</f>
        <v>0</v>
      </c>
      <c r="M23" s="134">
        <f ca="1">IFERROR(__xludf.DUMMYFUNCTION("""COMPUTED_VALUE"""),4)</f>
        <v>4</v>
      </c>
      <c r="N23" s="136"/>
      <c r="O23" s="98"/>
      <c r="P23" s="98"/>
      <c r="Q23" s="98"/>
      <c r="S23" s="98"/>
      <c r="T23" s="98"/>
      <c r="U23" s="98"/>
      <c r="V23" s="98"/>
      <c r="W23" s="98"/>
      <c r="X23" s="98"/>
    </row>
    <row r="24" spans="1:24">
      <c r="A24" s="97"/>
      <c r="B24" s="91"/>
      <c r="C24" s="122">
        <f t="shared" ca="1" si="0"/>
        <v>2003</v>
      </c>
      <c r="D24" s="126">
        <f ca="1">IFERROR(__xludf.DUMMYFUNCTION("iferror(query(db,""select count(B) where B=""&amp;C24&amp;"" and AW='Yes' LABEL COUNT(B) ''""),0)"),5)</f>
        <v>5</v>
      </c>
      <c r="E24" s="126">
        <f ca="1">SUMIFS(Included!AG:AG, Included!B:B, "="&amp;C24, IncludedCat, "yes")</f>
        <v>0</v>
      </c>
      <c r="F24" s="126">
        <f t="shared" ca="1" si="1"/>
        <v>0</v>
      </c>
      <c r="G24" s="126">
        <f ca="1">IFERROR(__xludf.DUMMYFUNCTION("iferror(query(db,""select count(B) where B=""&amp;C24&amp;"" and I is NULL and AW='Yes' LABEL COUNT(B) ''""),0)"),5)</f>
        <v>5</v>
      </c>
      <c r="H24" s="133"/>
      <c r="I24" s="134">
        <f ca="1">IFERROR(__xludf.DUMMYFUNCTION("""COMPUTED_VALUE"""),2003)</f>
        <v>2003</v>
      </c>
      <c r="J24" s="134">
        <f ca="1">IFERROR(__xludf.DUMMYFUNCTION("""COMPUTED_VALUE"""),5)</f>
        <v>5</v>
      </c>
      <c r="K24" s="134">
        <f ca="1">IFERROR(__xludf.DUMMYFUNCTION("""COMPUTED_VALUE"""),0)</f>
        <v>0</v>
      </c>
      <c r="L24" s="134">
        <f ca="1">IFERROR(__xludf.DUMMYFUNCTION("""COMPUTED_VALUE"""),0)</f>
        <v>0</v>
      </c>
      <c r="M24" s="134">
        <f ca="1">IFERROR(__xludf.DUMMYFUNCTION("""COMPUTED_VALUE"""),5)</f>
        <v>5</v>
      </c>
      <c r="N24" s="136"/>
      <c r="O24" s="98"/>
      <c r="P24" s="98"/>
      <c r="Q24" s="98"/>
      <c r="S24" s="98"/>
      <c r="T24" s="98"/>
      <c r="U24" s="98"/>
      <c r="V24" s="98"/>
      <c r="W24" s="98"/>
      <c r="X24" s="98"/>
    </row>
    <row r="25" spans="1:24">
      <c r="A25" s="97"/>
      <c r="B25" s="91"/>
      <c r="C25" s="122">
        <f t="shared" ca="1" si="0"/>
        <v>2004</v>
      </c>
      <c r="D25" s="126">
        <f ca="1">IFERROR(__xludf.DUMMYFUNCTION("iferror(query(db,""select count(B) where B=""&amp;C25&amp;"" and AW='Yes' LABEL COUNT(B) ''""),0)"),3)</f>
        <v>3</v>
      </c>
      <c r="E25" s="126">
        <f ca="1">SUMIFS(Included!AG:AG, Included!B:B, "="&amp;C25, IncludedCat, "yes")</f>
        <v>24</v>
      </c>
      <c r="F25" s="126">
        <f t="shared" ca="1" si="1"/>
        <v>0</v>
      </c>
      <c r="G25" s="126">
        <f ca="1">IFERROR(__xludf.DUMMYFUNCTION("iferror(query(db,""select count(B) where B=""&amp;C25&amp;"" and I is NULL and AW='Yes' LABEL COUNT(B) ''""),0)"),3)</f>
        <v>3</v>
      </c>
      <c r="H25" s="133"/>
      <c r="I25" s="134">
        <f ca="1">IFERROR(__xludf.DUMMYFUNCTION("""COMPUTED_VALUE"""),2004)</f>
        <v>2004</v>
      </c>
      <c r="J25" s="134">
        <f ca="1">IFERROR(__xludf.DUMMYFUNCTION("""COMPUTED_VALUE"""),3)</f>
        <v>3</v>
      </c>
      <c r="K25" s="134">
        <f ca="1">IFERROR(__xludf.DUMMYFUNCTION("""COMPUTED_VALUE"""),24)</f>
        <v>24</v>
      </c>
      <c r="L25" s="134">
        <f ca="1">IFERROR(__xludf.DUMMYFUNCTION("""COMPUTED_VALUE"""),0)</f>
        <v>0</v>
      </c>
      <c r="M25" s="134">
        <f ca="1">IFERROR(__xludf.DUMMYFUNCTION("""COMPUTED_VALUE"""),3)</f>
        <v>3</v>
      </c>
      <c r="N25" s="136"/>
      <c r="O25" s="98"/>
      <c r="P25" s="98"/>
      <c r="Q25" s="98"/>
      <c r="S25" s="98"/>
      <c r="T25" s="98"/>
      <c r="U25" s="98"/>
      <c r="V25" s="98"/>
      <c r="W25" s="98"/>
      <c r="X25" s="98"/>
    </row>
    <row r="26" spans="1:24">
      <c r="A26" s="97"/>
      <c r="B26" s="91"/>
      <c r="C26" s="122">
        <f t="shared" ca="1" si="0"/>
        <v>2005</v>
      </c>
      <c r="D26" s="126">
        <f ca="1">IFERROR(__xludf.DUMMYFUNCTION("iferror(query(db,""select count(B) where B=""&amp;C26&amp;"" and AW='Yes' LABEL COUNT(B) ''""),0)"),2)</f>
        <v>2</v>
      </c>
      <c r="E26" s="126">
        <f ca="1">SUMIFS(Included!AG:AG, Included!B:B, "="&amp;C26, IncludedCat, "yes")</f>
        <v>112</v>
      </c>
      <c r="F26" s="126">
        <f t="shared" ca="1" si="1"/>
        <v>0</v>
      </c>
      <c r="G26" s="126">
        <f ca="1">IFERROR(__xludf.DUMMYFUNCTION("iferror(query(db,""select count(B) where B=""&amp;C26&amp;"" and I is NULL and AW='Yes' LABEL COUNT(B) ''""),0)"),2)</f>
        <v>2</v>
      </c>
      <c r="H26" s="133"/>
      <c r="I26" s="134">
        <f ca="1">IFERROR(__xludf.DUMMYFUNCTION("""COMPUTED_VALUE"""),2005)</f>
        <v>2005</v>
      </c>
      <c r="J26" s="134">
        <f ca="1">IFERROR(__xludf.DUMMYFUNCTION("""COMPUTED_VALUE"""),2)</f>
        <v>2</v>
      </c>
      <c r="K26" s="134">
        <f ca="1">IFERROR(__xludf.DUMMYFUNCTION("""COMPUTED_VALUE"""),112)</f>
        <v>112</v>
      </c>
      <c r="L26" s="134">
        <f ca="1">IFERROR(__xludf.DUMMYFUNCTION("""COMPUTED_VALUE"""),0)</f>
        <v>0</v>
      </c>
      <c r="M26" s="134">
        <f ca="1">IFERROR(__xludf.DUMMYFUNCTION("""COMPUTED_VALUE"""),2)</f>
        <v>2</v>
      </c>
      <c r="N26" s="136"/>
      <c r="O26" s="98"/>
      <c r="P26" s="98"/>
      <c r="Q26" s="98"/>
      <c r="S26" s="98"/>
      <c r="T26" s="98"/>
      <c r="U26" s="98"/>
      <c r="V26" s="98"/>
      <c r="W26" s="98"/>
      <c r="X26" s="98"/>
    </row>
    <row r="27" spans="1:24">
      <c r="A27" s="97"/>
      <c r="B27" s="91"/>
      <c r="C27" s="122">
        <f t="shared" ca="1" si="0"/>
        <v>2006</v>
      </c>
      <c r="D27" s="126">
        <f ca="1">IFERROR(__xludf.DUMMYFUNCTION("iferror(query(db,""select count(B) where B=""&amp;C27&amp;"" and AW='Yes' LABEL COUNT(B) ''""),0)"),8)</f>
        <v>8</v>
      </c>
      <c r="E27" s="126">
        <f ca="1">SUMIFS(Included!AG:AG, Included!B:B, "="&amp;C27, IncludedCat, "yes")</f>
        <v>16</v>
      </c>
      <c r="F27" s="126">
        <f t="shared" ca="1" si="1"/>
        <v>0</v>
      </c>
      <c r="G27" s="126">
        <f ca="1">IFERROR(__xludf.DUMMYFUNCTION("iferror(query(db,""select count(B) where B=""&amp;C27&amp;"" and I is NULL and AW='Yes' LABEL COUNT(B) ''""),0)"),8)</f>
        <v>8</v>
      </c>
      <c r="H27" s="133"/>
      <c r="I27" s="134">
        <f ca="1">IFERROR(__xludf.DUMMYFUNCTION("""COMPUTED_VALUE"""),2006)</f>
        <v>2006</v>
      </c>
      <c r="J27" s="134">
        <f ca="1">IFERROR(__xludf.DUMMYFUNCTION("""COMPUTED_VALUE"""),8)</f>
        <v>8</v>
      </c>
      <c r="K27" s="134">
        <f ca="1">IFERROR(__xludf.DUMMYFUNCTION("""COMPUTED_VALUE"""),16)</f>
        <v>16</v>
      </c>
      <c r="L27" s="134">
        <f ca="1">IFERROR(__xludf.DUMMYFUNCTION("""COMPUTED_VALUE"""),0)</f>
        <v>0</v>
      </c>
      <c r="M27" s="134">
        <f ca="1">IFERROR(__xludf.DUMMYFUNCTION("""COMPUTED_VALUE"""),8)</f>
        <v>8</v>
      </c>
      <c r="N27" s="136"/>
      <c r="O27" s="98"/>
      <c r="P27" s="98"/>
      <c r="Q27" s="98"/>
      <c r="S27" s="98"/>
      <c r="T27" s="98"/>
      <c r="U27" s="98"/>
      <c r="V27" s="98"/>
      <c r="W27" s="98"/>
      <c r="X27" s="98"/>
    </row>
    <row r="28" spans="1:24">
      <c r="A28" s="97"/>
      <c r="B28" s="91"/>
      <c r="C28" s="122">
        <f t="shared" ca="1" si="0"/>
        <v>2007</v>
      </c>
      <c r="D28" s="126">
        <f ca="1">IFERROR(__xludf.DUMMYFUNCTION("iferror(query(db,""select count(B) where B=""&amp;C28&amp;"" and AW='Yes' LABEL COUNT(B) ''""),0)"),2)</f>
        <v>2</v>
      </c>
      <c r="E28" s="126">
        <f ca="1">SUMIFS(Included!AG:AG, Included!B:B, "="&amp;C28, IncludedCat, "yes")</f>
        <v>0</v>
      </c>
      <c r="F28" s="126">
        <f t="shared" ca="1" si="1"/>
        <v>0</v>
      </c>
      <c r="G28" s="126">
        <f ca="1">IFERROR(__xludf.DUMMYFUNCTION("iferror(query(db,""select count(B) where B=""&amp;C28&amp;"" and I is NULL and AW='Yes' LABEL COUNT(B) ''""),0)"),2)</f>
        <v>2</v>
      </c>
      <c r="H28" s="133"/>
      <c r="I28" s="134">
        <f ca="1">IFERROR(__xludf.DUMMYFUNCTION("""COMPUTED_VALUE"""),2007)</f>
        <v>2007</v>
      </c>
      <c r="J28" s="134">
        <f ca="1">IFERROR(__xludf.DUMMYFUNCTION("""COMPUTED_VALUE"""),2)</f>
        <v>2</v>
      </c>
      <c r="K28" s="134">
        <f ca="1">IFERROR(__xludf.DUMMYFUNCTION("""COMPUTED_VALUE"""),0)</f>
        <v>0</v>
      </c>
      <c r="L28" s="134">
        <f ca="1">IFERROR(__xludf.DUMMYFUNCTION("""COMPUTED_VALUE"""),0)</f>
        <v>0</v>
      </c>
      <c r="M28" s="134">
        <f ca="1">IFERROR(__xludf.DUMMYFUNCTION("""COMPUTED_VALUE"""),2)</f>
        <v>2</v>
      </c>
      <c r="N28" s="136"/>
      <c r="O28" s="98"/>
      <c r="P28" s="98"/>
      <c r="Q28" s="98"/>
      <c r="S28" s="98"/>
      <c r="T28" s="98"/>
      <c r="U28" s="98"/>
      <c r="V28" s="98"/>
      <c r="W28" s="98"/>
      <c r="X28" s="98"/>
    </row>
    <row r="29" spans="1:24">
      <c r="A29" s="97"/>
      <c r="B29" s="91"/>
      <c r="C29" s="122">
        <f t="shared" ca="1" si="0"/>
        <v>2008</v>
      </c>
      <c r="D29" s="126">
        <f ca="1">IFERROR(__xludf.DUMMYFUNCTION("iferror(query(db,""select count(B) where B=""&amp;C29&amp;"" and AW='Yes' LABEL COUNT(B) ''""),0)"),5)</f>
        <v>5</v>
      </c>
      <c r="E29" s="126">
        <f ca="1">SUMIFS(Included!AG:AG, Included!B:B, "="&amp;C29, IncludedCat, "yes")</f>
        <v>1</v>
      </c>
      <c r="F29" s="126">
        <f t="shared" ca="1" si="1"/>
        <v>1</v>
      </c>
      <c r="G29" s="126">
        <f ca="1">IFERROR(__xludf.DUMMYFUNCTION("iferror(query(db,""select count(B) where B=""&amp;C29&amp;"" and I is NULL and AW='Yes' LABEL COUNT(B) ''""),0)"),4)</f>
        <v>4</v>
      </c>
      <c r="H29" s="133"/>
      <c r="I29" s="134">
        <f ca="1">IFERROR(__xludf.DUMMYFUNCTION("""COMPUTED_VALUE"""),2008)</f>
        <v>2008</v>
      </c>
      <c r="J29" s="134">
        <f ca="1">IFERROR(__xludf.DUMMYFUNCTION("""COMPUTED_VALUE"""),5)</f>
        <v>5</v>
      </c>
      <c r="K29" s="134">
        <f ca="1">IFERROR(__xludf.DUMMYFUNCTION("""COMPUTED_VALUE"""),1)</f>
        <v>1</v>
      </c>
      <c r="L29" s="134">
        <f ca="1">IFERROR(__xludf.DUMMYFUNCTION("""COMPUTED_VALUE"""),1)</f>
        <v>1</v>
      </c>
      <c r="M29" s="134">
        <f ca="1">IFERROR(__xludf.DUMMYFUNCTION("""COMPUTED_VALUE"""),4)</f>
        <v>4</v>
      </c>
      <c r="N29" s="136"/>
      <c r="O29" s="98"/>
      <c r="P29" s="98"/>
      <c r="Q29" s="98"/>
      <c r="S29" s="98"/>
      <c r="T29" s="98"/>
      <c r="U29" s="98"/>
      <c r="V29" s="98"/>
      <c r="W29" s="98"/>
      <c r="X29" s="98"/>
    </row>
    <row r="30" spans="1:24">
      <c r="A30" s="97"/>
      <c r="B30" s="91"/>
      <c r="C30" s="122">
        <f t="shared" ca="1" si="0"/>
        <v>2009</v>
      </c>
      <c r="D30" s="126">
        <f ca="1">IFERROR(__xludf.DUMMYFUNCTION("iferror(query(db,""select count(B) where B=""&amp;C30&amp;"" and AW='Yes' LABEL COUNT(B) ''""),0)"),9)</f>
        <v>9</v>
      </c>
      <c r="E30" s="126">
        <f ca="1">SUMIFS(Included!AG:AG, Included!B:B, "="&amp;C30, IncludedCat, "yes")</f>
        <v>53</v>
      </c>
      <c r="F30" s="126">
        <f t="shared" ca="1" si="1"/>
        <v>2</v>
      </c>
      <c r="G30" s="126">
        <f ca="1">IFERROR(__xludf.DUMMYFUNCTION("iferror(query(db,""select count(B) where B=""&amp;C30&amp;"" and I is NULL and AW='Yes' LABEL COUNT(B) ''""),0)"),7)</f>
        <v>7</v>
      </c>
      <c r="H30" s="133"/>
      <c r="I30" s="134">
        <f ca="1">IFERROR(__xludf.DUMMYFUNCTION("""COMPUTED_VALUE"""),2009)</f>
        <v>2009</v>
      </c>
      <c r="J30" s="134">
        <f ca="1">IFERROR(__xludf.DUMMYFUNCTION("""COMPUTED_VALUE"""),9)</f>
        <v>9</v>
      </c>
      <c r="K30" s="134">
        <f ca="1">IFERROR(__xludf.DUMMYFUNCTION("""COMPUTED_VALUE"""),53)</f>
        <v>53</v>
      </c>
      <c r="L30" s="134">
        <f ca="1">IFERROR(__xludf.DUMMYFUNCTION("""COMPUTED_VALUE"""),2)</f>
        <v>2</v>
      </c>
      <c r="M30" s="134">
        <f ca="1">IFERROR(__xludf.DUMMYFUNCTION("""COMPUTED_VALUE"""),7)</f>
        <v>7</v>
      </c>
      <c r="N30" s="136"/>
      <c r="O30" s="98"/>
      <c r="P30" s="98"/>
      <c r="Q30" s="98"/>
      <c r="S30" s="98"/>
      <c r="T30" s="98"/>
      <c r="U30" s="98"/>
      <c r="V30" s="98"/>
      <c r="W30" s="98"/>
      <c r="X30" s="98"/>
    </row>
    <row r="31" spans="1:24">
      <c r="A31" s="97"/>
      <c r="B31" s="91"/>
      <c r="C31" s="122">
        <f t="shared" ca="1" si="0"/>
        <v>2010</v>
      </c>
      <c r="D31" s="126">
        <f ca="1">IFERROR(__xludf.DUMMYFUNCTION("iferror(query(db,""select count(B) where B=""&amp;C31&amp;"" and AW='Yes' LABEL COUNT(B) ''""),0)"),4)</f>
        <v>4</v>
      </c>
      <c r="E31" s="126">
        <f ca="1">SUMIFS(Included!AG:AG, Included!B:B, "="&amp;C31, IncludedCat, "yes")</f>
        <v>76</v>
      </c>
      <c r="F31" s="126">
        <f t="shared" ca="1" si="1"/>
        <v>2</v>
      </c>
      <c r="G31" s="126">
        <f ca="1">IFERROR(__xludf.DUMMYFUNCTION("iferror(query(db,""select count(B) where B=""&amp;C31&amp;"" and I is NULL and AW='Yes' LABEL COUNT(B) ''""),0)"),2)</f>
        <v>2</v>
      </c>
      <c r="H31" s="133"/>
      <c r="I31" s="134">
        <f ca="1">IFERROR(__xludf.DUMMYFUNCTION("""COMPUTED_VALUE"""),2010)</f>
        <v>2010</v>
      </c>
      <c r="J31" s="134">
        <f ca="1">IFERROR(__xludf.DUMMYFUNCTION("""COMPUTED_VALUE"""),4)</f>
        <v>4</v>
      </c>
      <c r="K31" s="134">
        <f ca="1">IFERROR(__xludf.DUMMYFUNCTION("""COMPUTED_VALUE"""),76)</f>
        <v>76</v>
      </c>
      <c r="L31" s="134">
        <f ca="1">IFERROR(__xludf.DUMMYFUNCTION("""COMPUTED_VALUE"""),2)</f>
        <v>2</v>
      </c>
      <c r="M31" s="134">
        <f ca="1">IFERROR(__xludf.DUMMYFUNCTION("""COMPUTED_VALUE"""),2)</f>
        <v>2</v>
      </c>
      <c r="N31" s="136"/>
      <c r="O31" s="98"/>
      <c r="P31" s="98"/>
      <c r="Q31" s="98"/>
      <c r="S31" s="98"/>
      <c r="T31" s="98"/>
      <c r="U31" s="98"/>
      <c r="V31" s="98"/>
      <c r="W31" s="98"/>
      <c r="X31" s="98"/>
    </row>
    <row r="32" spans="1:24">
      <c r="A32" s="97"/>
      <c r="B32" s="91"/>
      <c r="C32" s="122">
        <f t="shared" ca="1" si="0"/>
        <v>2011</v>
      </c>
      <c r="D32" s="126">
        <f ca="1">IFERROR(__xludf.DUMMYFUNCTION("iferror(query(db,""select count(B) where B=""&amp;C32&amp;"" and AW='Yes' LABEL COUNT(B) ''""),0)"),5)</f>
        <v>5</v>
      </c>
      <c r="E32" s="126">
        <f ca="1">SUMIFS(Included!AG:AG, Included!B:B, "="&amp;C32, IncludedCat, "yes")</f>
        <v>5</v>
      </c>
      <c r="F32" s="126">
        <f t="shared" ca="1" si="1"/>
        <v>3</v>
      </c>
      <c r="G32" s="126">
        <f ca="1">IFERROR(__xludf.DUMMYFUNCTION("iferror(query(db,""select count(B) where B=""&amp;C32&amp;"" and I is NULL and AW='Yes' LABEL COUNT(B) ''""),0)"),2)</f>
        <v>2</v>
      </c>
      <c r="H32" s="133"/>
      <c r="I32" s="134">
        <f ca="1">IFERROR(__xludf.DUMMYFUNCTION("""COMPUTED_VALUE"""),2011)</f>
        <v>2011</v>
      </c>
      <c r="J32" s="134">
        <f ca="1">IFERROR(__xludf.DUMMYFUNCTION("""COMPUTED_VALUE"""),5)</f>
        <v>5</v>
      </c>
      <c r="K32" s="134">
        <f ca="1">IFERROR(__xludf.DUMMYFUNCTION("""COMPUTED_VALUE"""),5)</f>
        <v>5</v>
      </c>
      <c r="L32" s="134">
        <f ca="1">IFERROR(__xludf.DUMMYFUNCTION("""COMPUTED_VALUE"""),3)</f>
        <v>3</v>
      </c>
      <c r="M32" s="134">
        <f ca="1">IFERROR(__xludf.DUMMYFUNCTION("""COMPUTED_VALUE"""),2)</f>
        <v>2</v>
      </c>
      <c r="N32" s="136"/>
      <c r="O32" s="98"/>
      <c r="P32" s="98"/>
      <c r="Q32" s="98"/>
      <c r="S32" s="98"/>
      <c r="T32" s="98"/>
      <c r="U32" s="98"/>
      <c r="V32" s="98"/>
      <c r="W32" s="98"/>
      <c r="X32" s="98"/>
    </row>
    <row r="33" spans="1:24">
      <c r="A33" s="97"/>
      <c r="B33" s="91"/>
      <c r="C33" s="122">
        <f t="shared" ca="1" si="0"/>
        <v>2012</v>
      </c>
      <c r="D33" s="126">
        <f ca="1">IFERROR(__xludf.DUMMYFUNCTION("iferror(query(db,""select count(B) where B=""&amp;C33&amp;"" and AW='Yes' LABEL COUNT(B) ''""),0)"),10)</f>
        <v>10</v>
      </c>
      <c r="E33" s="126">
        <f ca="1">SUMIFS(Included!AG:AG, Included!B:B, "="&amp;C33, IncludedCat, "yes")</f>
        <v>19</v>
      </c>
      <c r="F33" s="126">
        <f t="shared" ca="1" si="1"/>
        <v>4</v>
      </c>
      <c r="G33" s="126">
        <f ca="1">IFERROR(__xludf.DUMMYFUNCTION("iferror(query(db,""select count(B) where B=""&amp;C33&amp;"" and I is NULL and AW='Yes' LABEL COUNT(B) ''""),0)"),6)</f>
        <v>6</v>
      </c>
      <c r="H33" s="137"/>
      <c r="I33" s="138">
        <f ca="1">IFERROR(__xludf.DUMMYFUNCTION("""COMPUTED_VALUE"""),2012)</f>
        <v>2012</v>
      </c>
      <c r="J33" s="138">
        <f ca="1">IFERROR(__xludf.DUMMYFUNCTION("""COMPUTED_VALUE"""),10)</f>
        <v>10</v>
      </c>
      <c r="K33" s="138">
        <f ca="1">IFERROR(__xludf.DUMMYFUNCTION("""COMPUTED_VALUE"""),19)</f>
        <v>19</v>
      </c>
      <c r="L33" s="138">
        <f ca="1">IFERROR(__xludf.DUMMYFUNCTION("""COMPUTED_VALUE"""),4)</f>
        <v>4</v>
      </c>
      <c r="M33" s="138">
        <f ca="1">IFERROR(__xludf.DUMMYFUNCTION("""COMPUTED_VALUE"""),6)</f>
        <v>6</v>
      </c>
      <c r="N33" s="139"/>
      <c r="O33" s="102"/>
      <c r="P33" s="102"/>
      <c r="Q33" s="102"/>
      <c r="S33" s="102"/>
      <c r="T33" s="102"/>
      <c r="U33" s="102"/>
      <c r="V33" s="102"/>
      <c r="W33" s="102"/>
      <c r="X33" s="102"/>
    </row>
    <row r="34" spans="1:24">
      <c r="A34" s="97"/>
      <c r="B34" s="91"/>
      <c r="C34" s="122">
        <f t="shared" ca="1" si="0"/>
        <v>2013</v>
      </c>
      <c r="D34" s="126">
        <f ca="1">IFERROR(__xludf.DUMMYFUNCTION("iferror(query(db,""select count(B) where B=""&amp;C34&amp;"" and AW='Yes' LABEL COUNT(B) ''""),0)"),10)</f>
        <v>10</v>
      </c>
      <c r="E34" s="126">
        <f ca="1">SUMIFS(Included!AG:AG, Included!B:B, "="&amp;C34, IncludedCat, "yes")</f>
        <v>52</v>
      </c>
      <c r="F34" s="126">
        <f t="shared" ca="1" si="1"/>
        <v>7</v>
      </c>
      <c r="G34" s="126">
        <f ca="1">IFERROR(__xludf.DUMMYFUNCTION("iferror(query(db,""select count(B) where B=""&amp;C34&amp;"" and I is NULL and AW='Yes' LABEL COUNT(B) ''""),0)"),3)</f>
        <v>3</v>
      </c>
      <c r="H34" s="137"/>
      <c r="I34" s="138">
        <f ca="1">IFERROR(__xludf.DUMMYFUNCTION("""COMPUTED_VALUE"""),2013)</f>
        <v>2013</v>
      </c>
      <c r="J34" s="138">
        <f ca="1">IFERROR(__xludf.DUMMYFUNCTION("""COMPUTED_VALUE"""),10)</f>
        <v>10</v>
      </c>
      <c r="K34" s="138">
        <f ca="1">IFERROR(__xludf.DUMMYFUNCTION("""COMPUTED_VALUE"""),52)</f>
        <v>52</v>
      </c>
      <c r="L34" s="138">
        <f ca="1">IFERROR(__xludf.DUMMYFUNCTION("""COMPUTED_VALUE"""),7)</f>
        <v>7</v>
      </c>
      <c r="M34" s="138">
        <f ca="1">IFERROR(__xludf.DUMMYFUNCTION("""COMPUTED_VALUE"""),3)</f>
        <v>3</v>
      </c>
      <c r="N34" s="139"/>
      <c r="O34" s="102"/>
      <c r="P34" s="102"/>
      <c r="Q34" s="102"/>
      <c r="S34" s="102"/>
      <c r="T34" s="102"/>
      <c r="U34" s="102"/>
      <c r="V34" s="102"/>
      <c r="W34" s="102"/>
      <c r="X34" s="102"/>
    </row>
    <row r="35" spans="1:24">
      <c r="A35" s="97"/>
      <c r="B35" s="91"/>
      <c r="C35" s="122">
        <f t="shared" ca="1" si="0"/>
        <v>2014</v>
      </c>
      <c r="D35" s="126">
        <f ca="1">IFERROR(__xludf.DUMMYFUNCTION("iferror(query(db,""select count(B) where B=""&amp;C35&amp;"" and AW='Yes' LABEL COUNT(B) ''""),0)"),13)</f>
        <v>13</v>
      </c>
      <c r="E35" s="126">
        <f ca="1">SUMIFS(Included!AG:AG, Included!B:B, "="&amp;C35, IncludedCat, "yes")</f>
        <v>24</v>
      </c>
      <c r="F35" s="126">
        <f t="shared" ca="1" si="1"/>
        <v>9</v>
      </c>
      <c r="G35" s="126">
        <f ca="1">IFERROR(__xludf.DUMMYFUNCTION("iferror(query(db,""select count(B) where B=""&amp;C35&amp;"" and I is NULL and AW='Yes' LABEL COUNT(B) ''""),0)"),4)</f>
        <v>4</v>
      </c>
      <c r="H35" s="137"/>
      <c r="I35" s="138">
        <f ca="1">IFERROR(__xludf.DUMMYFUNCTION("""COMPUTED_VALUE"""),2014)</f>
        <v>2014</v>
      </c>
      <c r="J35" s="138">
        <f ca="1">IFERROR(__xludf.DUMMYFUNCTION("""COMPUTED_VALUE"""),13)</f>
        <v>13</v>
      </c>
      <c r="K35" s="138">
        <f ca="1">IFERROR(__xludf.DUMMYFUNCTION("""COMPUTED_VALUE"""),24)</f>
        <v>24</v>
      </c>
      <c r="L35" s="138">
        <f ca="1">IFERROR(__xludf.DUMMYFUNCTION("""COMPUTED_VALUE"""),9)</f>
        <v>9</v>
      </c>
      <c r="M35" s="138">
        <f ca="1">IFERROR(__xludf.DUMMYFUNCTION("""COMPUTED_VALUE"""),4)</f>
        <v>4</v>
      </c>
      <c r="N35" s="139"/>
      <c r="O35" s="102"/>
      <c r="P35" s="102"/>
      <c r="Q35" s="102"/>
      <c r="S35" s="102"/>
      <c r="T35" s="102"/>
      <c r="U35" s="102"/>
      <c r="V35" s="102"/>
      <c r="W35" s="102"/>
      <c r="X35" s="102"/>
    </row>
    <row r="36" spans="1:24">
      <c r="A36" s="97"/>
      <c r="B36" s="91"/>
      <c r="C36" s="122">
        <f t="shared" ca="1" si="0"/>
        <v>2015</v>
      </c>
      <c r="D36" s="126">
        <f ca="1">IFERROR(__xludf.DUMMYFUNCTION("iferror(query(db,""select count(B) where B=""&amp;C36&amp;"" and AW='Yes' LABEL COUNT(B) ''""),0)"),11)</f>
        <v>11</v>
      </c>
      <c r="E36" s="126">
        <f ca="1">SUMIFS(Included!AG:AG, Included!B:B, "="&amp;C36, IncludedCat, "yes")</f>
        <v>193</v>
      </c>
      <c r="F36" s="126">
        <f t="shared" ca="1" si="1"/>
        <v>10</v>
      </c>
      <c r="G36" s="126">
        <f ca="1">IFERROR(__xludf.DUMMYFUNCTION("iferror(query(db,""select count(B) where B=""&amp;C36&amp;"" and I is NULL and AW='Yes' LABEL COUNT(B) ''""),0)"),1)</f>
        <v>1</v>
      </c>
      <c r="H36" s="137"/>
      <c r="I36" s="138">
        <f ca="1">IFERROR(__xludf.DUMMYFUNCTION("""COMPUTED_VALUE"""),2015)</f>
        <v>2015</v>
      </c>
      <c r="J36" s="138">
        <f ca="1">IFERROR(__xludf.DUMMYFUNCTION("""COMPUTED_VALUE"""),11)</f>
        <v>11</v>
      </c>
      <c r="K36" s="138">
        <f ca="1">IFERROR(__xludf.DUMMYFUNCTION("""COMPUTED_VALUE"""),193)</f>
        <v>193</v>
      </c>
      <c r="L36" s="138">
        <f ca="1">IFERROR(__xludf.DUMMYFUNCTION("""COMPUTED_VALUE"""),10)</f>
        <v>10</v>
      </c>
      <c r="M36" s="138">
        <f ca="1">IFERROR(__xludf.DUMMYFUNCTION("""COMPUTED_VALUE"""),1)</f>
        <v>1</v>
      </c>
      <c r="N36" s="139"/>
      <c r="O36" s="102"/>
      <c r="P36" s="102"/>
      <c r="Q36" s="102"/>
      <c r="S36" s="102"/>
      <c r="T36" s="102"/>
      <c r="U36" s="102"/>
      <c r="V36" s="102"/>
      <c r="W36" s="102"/>
      <c r="X36" s="102"/>
    </row>
    <row r="37" spans="1:24">
      <c r="A37" s="97"/>
      <c r="B37" s="91"/>
      <c r="C37" s="122">
        <f t="shared" ca="1" si="0"/>
        <v>2016</v>
      </c>
      <c r="D37" s="126">
        <f ca="1">IFERROR(__xludf.DUMMYFUNCTION("iferror(query(db,""select count(B) where B=""&amp;C37&amp;"" and AW='Yes' LABEL COUNT(B) ''""),0)"),24)</f>
        <v>24</v>
      </c>
      <c r="E37" s="126">
        <f ca="1">SUMIFS(Included!AG:AG, Included!B:B, "="&amp;C37, IncludedCat, "yes")</f>
        <v>283</v>
      </c>
      <c r="F37" s="126">
        <f t="shared" ca="1" si="1"/>
        <v>20</v>
      </c>
      <c r="G37" s="126">
        <f ca="1">IFERROR(__xludf.DUMMYFUNCTION("iferror(query(db,""select count(B) where B=""&amp;C37&amp;"" and I is NULL and AW='Yes' LABEL COUNT(B) ''""),0)"),4)</f>
        <v>4</v>
      </c>
      <c r="H37" s="137"/>
      <c r="I37" s="138">
        <f ca="1">IFERROR(__xludf.DUMMYFUNCTION("""COMPUTED_VALUE"""),2016)</f>
        <v>2016</v>
      </c>
      <c r="J37" s="138">
        <f ca="1">IFERROR(__xludf.DUMMYFUNCTION("""COMPUTED_VALUE"""),24)</f>
        <v>24</v>
      </c>
      <c r="K37" s="138">
        <f ca="1">IFERROR(__xludf.DUMMYFUNCTION("""COMPUTED_VALUE"""),283)</f>
        <v>283</v>
      </c>
      <c r="L37" s="138">
        <f ca="1">IFERROR(__xludf.DUMMYFUNCTION("""COMPUTED_VALUE"""),20)</f>
        <v>20</v>
      </c>
      <c r="M37" s="138">
        <f ca="1">IFERROR(__xludf.DUMMYFUNCTION("""COMPUTED_VALUE"""),4)</f>
        <v>4</v>
      </c>
      <c r="N37" s="139"/>
      <c r="O37" s="102"/>
      <c r="P37" s="102"/>
      <c r="Q37" s="102"/>
      <c r="S37" s="102"/>
      <c r="T37" s="102"/>
      <c r="U37" s="102"/>
      <c r="V37" s="102"/>
      <c r="W37" s="102"/>
      <c r="X37" s="102"/>
    </row>
    <row r="38" spans="1:24">
      <c r="A38" s="97"/>
      <c r="B38" s="91"/>
      <c r="C38" s="122">
        <f t="shared" ca="1" si="0"/>
        <v>2017</v>
      </c>
      <c r="D38" s="126">
        <f ca="1">IFERROR(__xludf.DUMMYFUNCTION("iferror(query(db,""select count(B) where B=""&amp;C38&amp;"" and AW='Yes' LABEL COUNT(B) ''""),0)"),9)</f>
        <v>9</v>
      </c>
      <c r="E38" s="126">
        <f ca="1">SUMIFS(Included!AG:AG, Included!B:B, "="&amp;C38, IncludedCat, "yes")</f>
        <v>155</v>
      </c>
      <c r="F38" s="126">
        <f t="shared" ca="1" si="1"/>
        <v>8</v>
      </c>
      <c r="G38" s="126">
        <f ca="1">IFERROR(__xludf.DUMMYFUNCTION("iferror(query(db,""select count(B) where B=""&amp;C38&amp;"" and I is NULL and AW='Yes' LABEL COUNT(B) ''""),0)"),1)</f>
        <v>1</v>
      </c>
      <c r="H38" s="137"/>
      <c r="I38" s="138">
        <f ca="1">IFERROR(__xludf.DUMMYFUNCTION("""COMPUTED_VALUE"""),2017)</f>
        <v>2017</v>
      </c>
      <c r="J38" s="138">
        <f ca="1">IFERROR(__xludf.DUMMYFUNCTION("""COMPUTED_VALUE"""),9)</f>
        <v>9</v>
      </c>
      <c r="K38" s="138">
        <f ca="1">IFERROR(__xludf.DUMMYFUNCTION("""COMPUTED_VALUE"""),155)</f>
        <v>155</v>
      </c>
      <c r="L38" s="138">
        <f ca="1">IFERROR(__xludf.DUMMYFUNCTION("""COMPUTED_VALUE"""),8)</f>
        <v>8</v>
      </c>
      <c r="M38" s="138">
        <f ca="1">IFERROR(__xludf.DUMMYFUNCTION("""COMPUTED_VALUE"""),1)</f>
        <v>1</v>
      </c>
      <c r="N38" s="139"/>
      <c r="O38" s="102"/>
      <c r="P38" s="102"/>
      <c r="Q38" s="102"/>
      <c r="S38" s="102"/>
      <c r="T38" s="102"/>
      <c r="U38" s="102"/>
      <c r="V38" s="102"/>
      <c r="W38" s="102"/>
      <c r="X38" s="102"/>
    </row>
    <row r="39" spans="1:24">
      <c r="A39" s="97"/>
      <c r="B39" s="91"/>
      <c r="C39" s="122">
        <f t="shared" ca="1" si="0"/>
        <v>2018</v>
      </c>
      <c r="D39" s="126">
        <f ca="1">IFERROR(__xludf.DUMMYFUNCTION("iferror(query(db,""select count(B) where B=""&amp;C39&amp;"" and AW='Yes' LABEL COUNT(B) ''""),0)"),11)</f>
        <v>11</v>
      </c>
      <c r="E39" s="126">
        <f ca="1">SUMIFS(Included!AG:AG, Included!B:B, "="&amp;C39, IncludedCat, "yes")</f>
        <v>220</v>
      </c>
      <c r="F39" s="126">
        <f t="shared" ca="1" si="1"/>
        <v>10</v>
      </c>
      <c r="G39" s="126">
        <f ca="1">IFERROR(__xludf.DUMMYFUNCTION("iferror(query(db,""select count(B) where B=""&amp;C39&amp;"" and I is NULL and AW='Yes' LABEL COUNT(B) ''""),0)"),1)</f>
        <v>1</v>
      </c>
      <c r="H39" s="137"/>
      <c r="I39" s="138">
        <f ca="1">IFERROR(__xludf.DUMMYFUNCTION("""COMPUTED_VALUE"""),2018)</f>
        <v>2018</v>
      </c>
      <c r="J39" s="138">
        <f ca="1">IFERROR(__xludf.DUMMYFUNCTION("""COMPUTED_VALUE"""),11)</f>
        <v>11</v>
      </c>
      <c r="K39" s="138">
        <f ca="1">IFERROR(__xludf.DUMMYFUNCTION("""COMPUTED_VALUE"""),220)</f>
        <v>220</v>
      </c>
      <c r="L39" s="138">
        <f ca="1">IFERROR(__xludf.DUMMYFUNCTION("""COMPUTED_VALUE"""),10)</f>
        <v>10</v>
      </c>
      <c r="M39" s="138">
        <f ca="1">IFERROR(__xludf.DUMMYFUNCTION("""COMPUTED_VALUE"""),1)</f>
        <v>1</v>
      </c>
      <c r="N39" s="139"/>
      <c r="O39" s="102"/>
      <c r="P39" s="102"/>
      <c r="Q39" s="102"/>
      <c r="S39" s="102"/>
      <c r="T39" s="102"/>
      <c r="U39" s="102"/>
      <c r="V39" s="102"/>
      <c r="W39" s="102"/>
      <c r="X39" s="102"/>
    </row>
    <row r="40" spans="1:24">
      <c r="A40" s="97"/>
      <c r="B40" s="91"/>
      <c r="C40" s="122">
        <f t="shared" ca="1" si="0"/>
        <v>2019</v>
      </c>
      <c r="D40" s="126">
        <f ca="1">IFERROR(__xludf.DUMMYFUNCTION("iferror(query(db,""select count(B) where B=""&amp;C40&amp;"" and AW='Yes' LABEL COUNT(B) ''""),0)"),9)</f>
        <v>9</v>
      </c>
      <c r="E40" s="126">
        <f ca="1">SUMIFS(Included!AG:AG, Included!B:B, "="&amp;C40, IncludedCat, "yes")</f>
        <v>122</v>
      </c>
      <c r="F40" s="126">
        <f t="shared" ca="1" si="1"/>
        <v>8</v>
      </c>
      <c r="G40" s="126">
        <f ca="1">IFERROR(__xludf.DUMMYFUNCTION("iferror(query(db,""select count(B) where B=""&amp;C40&amp;"" and I is NULL and AW='Yes' LABEL COUNT(B) ''""),0)"),1)</f>
        <v>1</v>
      </c>
      <c r="H40" s="137"/>
      <c r="I40" s="138">
        <f ca="1">IFERROR(__xludf.DUMMYFUNCTION("""COMPUTED_VALUE"""),2019)</f>
        <v>2019</v>
      </c>
      <c r="J40" s="138">
        <f ca="1">IFERROR(__xludf.DUMMYFUNCTION("""COMPUTED_VALUE"""),9)</f>
        <v>9</v>
      </c>
      <c r="K40" s="138">
        <f ca="1">IFERROR(__xludf.DUMMYFUNCTION("""COMPUTED_VALUE"""),122)</f>
        <v>122</v>
      </c>
      <c r="L40" s="138">
        <f ca="1">IFERROR(__xludf.DUMMYFUNCTION("""COMPUTED_VALUE"""),8)</f>
        <v>8</v>
      </c>
      <c r="M40" s="138">
        <f ca="1">IFERROR(__xludf.DUMMYFUNCTION("""COMPUTED_VALUE"""),1)</f>
        <v>1</v>
      </c>
      <c r="N40" s="139"/>
      <c r="O40" s="102"/>
      <c r="P40" s="102"/>
      <c r="Q40" s="102"/>
      <c r="S40" s="102"/>
      <c r="T40" s="102"/>
      <c r="U40" s="102"/>
      <c r="V40" s="102"/>
      <c r="W40" s="102"/>
      <c r="X40" s="102"/>
    </row>
    <row r="41" spans="1:24">
      <c r="A41" s="97"/>
      <c r="B41" s="91"/>
      <c r="C41" s="122">
        <f t="shared" ca="1" si="0"/>
        <v>2020</v>
      </c>
      <c r="D41" s="126">
        <f ca="1">IFERROR(__xludf.DUMMYFUNCTION("iferror(query(db,""select count(B) where B=""&amp;C41&amp;"" and AW='Yes' LABEL COUNT(B) ''""),0)"),15)</f>
        <v>15</v>
      </c>
      <c r="E41" s="126">
        <f ca="1">SUMIFS(Included!AG:AG, Included!B:B, "="&amp;C41, IncludedCat, "yes")</f>
        <v>221</v>
      </c>
      <c r="F41" s="126">
        <f t="shared" ca="1" si="1"/>
        <v>15</v>
      </c>
      <c r="G41" s="126">
        <f ca="1">IFERROR(__xludf.DUMMYFUNCTION("iferror(query(db,""select count(B) where B=""&amp;C41&amp;"" and I is NULL and AW='Yes' LABEL COUNT(B) ''""),0)"),0)</f>
        <v>0</v>
      </c>
      <c r="H41" s="137"/>
      <c r="I41" s="138">
        <f ca="1">IFERROR(__xludf.DUMMYFUNCTION("""COMPUTED_VALUE"""),2020)</f>
        <v>2020</v>
      </c>
      <c r="J41" s="138">
        <f ca="1">IFERROR(__xludf.DUMMYFUNCTION("""COMPUTED_VALUE"""),15)</f>
        <v>15</v>
      </c>
      <c r="K41" s="138">
        <f ca="1">IFERROR(__xludf.DUMMYFUNCTION("""COMPUTED_VALUE"""),221)</f>
        <v>221</v>
      </c>
      <c r="L41" s="138">
        <f ca="1">IFERROR(__xludf.DUMMYFUNCTION("""COMPUTED_VALUE"""),15)</f>
        <v>15</v>
      </c>
      <c r="M41" s="138">
        <f ca="1">IFERROR(__xludf.DUMMYFUNCTION("""COMPUTED_VALUE"""),0)</f>
        <v>0</v>
      </c>
      <c r="N41" s="139"/>
      <c r="O41" s="102"/>
      <c r="P41" s="102"/>
      <c r="Q41" s="102"/>
      <c r="S41" s="102"/>
      <c r="T41" s="102"/>
      <c r="U41" s="102"/>
      <c r="V41" s="102"/>
      <c r="W41" s="102"/>
      <c r="X41" s="102"/>
    </row>
    <row r="42" spans="1:24">
      <c r="A42" s="97"/>
      <c r="B42" s="91"/>
      <c r="C42" s="122">
        <f t="shared" ca="1" si="0"/>
        <v>2021</v>
      </c>
      <c r="D42" s="126">
        <f ca="1">IFERROR(__xludf.DUMMYFUNCTION("iferror(query(db,""select count(B) where B=""&amp;C42&amp;"" and AW='Yes' LABEL COUNT(B) ''""),0)"),7)</f>
        <v>7</v>
      </c>
      <c r="E42" s="126">
        <f ca="1">SUMIFS(Included!AG:AG, Included!B:B, "="&amp;C42, IncludedCat, "yes")</f>
        <v>23</v>
      </c>
      <c r="F42" s="126">
        <f t="shared" ca="1" si="1"/>
        <v>7</v>
      </c>
      <c r="G42" s="126">
        <f ca="1">IFERROR(__xludf.DUMMYFUNCTION("iferror(query(db,""select count(B) where B=""&amp;C42&amp;"" and I is NULL and AW='Yes' LABEL COUNT(B) ''""),0)"),0)</f>
        <v>0</v>
      </c>
      <c r="H42" s="137"/>
      <c r="I42" s="138">
        <f ca="1">IFERROR(__xludf.DUMMYFUNCTION("""COMPUTED_VALUE"""),2021)</f>
        <v>2021</v>
      </c>
      <c r="J42" s="138">
        <f ca="1">IFERROR(__xludf.DUMMYFUNCTION("""COMPUTED_VALUE"""),7)</f>
        <v>7</v>
      </c>
      <c r="K42" s="138">
        <f ca="1">IFERROR(__xludf.DUMMYFUNCTION("""COMPUTED_VALUE"""),23)</f>
        <v>23</v>
      </c>
      <c r="L42" s="138">
        <f ca="1">IFERROR(__xludf.DUMMYFUNCTION("""COMPUTED_VALUE"""),7)</f>
        <v>7</v>
      </c>
      <c r="M42" s="138">
        <f ca="1">IFERROR(__xludf.DUMMYFUNCTION("""COMPUTED_VALUE"""),0)</f>
        <v>0</v>
      </c>
      <c r="N42" s="139"/>
      <c r="O42" s="102"/>
      <c r="P42" s="102"/>
      <c r="Q42" s="102"/>
      <c r="S42" s="102"/>
      <c r="T42" s="102"/>
      <c r="U42" s="102"/>
      <c r="V42" s="102"/>
      <c r="W42" s="102"/>
      <c r="X42" s="102"/>
    </row>
    <row r="43" spans="1:24">
      <c r="A43" s="97"/>
      <c r="B43" s="91"/>
      <c r="C43" s="91"/>
      <c r="D43" s="97"/>
      <c r="E43" s="97"/>
      <c r="F43" s="97"/>
      <c r="G43" s="97"/>
      <c r="H43" s="137"/>
      <c r="I43" s="137"/>
      <c r="J43" s="137"/>
      <c r="K43" s="137"/>
      <c r="L43" s="137"/>
      <c r="M43" s="137"/>
      <c r="N43" s="139"/>
      <c r="O43" s="102"/>
      <c r="P43" s="102"/>
      <c r="Q43" s="102"/>
      <c r="S43" s="102"/>
      <c r="T43" s="102"/>
      <c r="U43" s="102"/>
      <c r="V43" s="102"/>
      <c r="W43" s="102"/>
      <c r="X43" s="102"/>
    </row>
    <row r="44" spans="1:24">
      <c r="A44" s="97"/>
      <c r="B44" s="97"/>
      <c r="C44" s="97"/>
      <c r="D44" s="97"/>
      <c r="E44" s="97"/>
      <c r="F44" s="97"/>
      <c r="G44" s="97"/>
      <c r="H44" s="137"/>
      <c r="I44" s="137"/>
      <c r="J44" s="137"/>
      <c r="K44" s="137"/>
      <c r="L44" s="137"/>
      <c r="M44" s="137"/>
      <c r="N44" s="139"/>
      <c r="O44" s="102"/>
      <c r="P44" s="102"/>
      <c r="Q44" s="102"/>
      <c r="S44" s="102"/>
      <c r="T44" s="102"/>
      <c r="U44" s="102"/>
      <c r="V44" s="102"/>
      <c r="W44" s="102"/>
      <c r="X44" s="102"/>
    </row>
    <row r="45" spans="1:24">
      <c r="A45" s="97"/>
      <c r="B45" s="97"/>
      <c r="C45" s="97"/>
      <c r="D45" s="97"/>
      <c r="E45" s="97"/>
      <c r="F45" s="97"/>
      <c r="G45" s="97"/>
      <c r="H45" s="137"/>
      <c r="I45" s="137"/>
      <c r="J45" s="137"/>
      <c r="K45" s="137"/>
      <c r="L45" s="137"/>
      <c r="M45" s="137"/>
      <c r="N45" s="139"/>
      <c r="O45" s="102"/>
      <c r="P45" s="102"/>
      <c r="Q45" s="102"/>
      <c r="S45" s="102"/>
      <c r="T45" s="102"/>
      <c r="U45" s="102"/>
      <c r="V45" s="102"/>
      <c r="W45" s="102"/>
      <c r="X45" s="102"/>
    </row>
    <row r="46" spans="1:24">
      <c r="A46" s="97"/>
      <c r="B46" s="97"/>
      <c r="C46" s="97"/>
      <c r="D46" s="97"/>
      <c r="E46" s="97"/>
      <c r="F46" s="97"/>
      <c r="G46" s="97"/>
      <c r="H46" s="137"/>
      <c r="I46" s="137"/>
      <c r="J46" s="137"/>
      <c r="K46" s="137"/>
      <c r="L46" s="137"/>
      <c r="M46" s="137"/>
      <c r="N46" s="139"/>
      <c r="O46" s="102"/>
      <c r="P46" s="102"/>
      <c r="Q46" s="102"/>
      <c r="S46" s="102"/>
      <c r="T46" s="102"/>
      <c r="U46" s="102"/>
      <c r="V46" s="102"/>
      <c r="W46" s="102"/>
      <c r="X46" s="102"/>
    </row>
    <row r="47" spans="1:24">
      <c r="A47" s="97"/>
      <c r="B47" s="97"/>
      <c r="C47" s="97"/>
      <c r="D47" s="97"/>
      <c r="E47" s="97"/>
      <c r="F47" s="97"/>
      <c r="G47" s="97"/>
      <c r="H47" s="137"/>
      <c r="I47" s="137"/>
      <c r="J47" s="137"/>
      <c r="K47" s="137"/>
      <c r="L47" s="137"/>
      <c r="M47" s="137"/>
      <c r="N47" s="139"/>
      <c r="O47" s="102"/>
      <c r="P47" s="102"/>
      <c r="Q47" s="102"/>
      <c r="S47" s="102"/>
      <c r="T47" s="102"/>
      <c r="U47" s="102"/>
      <c r="V47" s="102"/>
      <c r="W47" s="102"/>
      <c r="X47" s="102"/>
    </row>
    <row r="48" spans="1:24">
      <c r="A48" s="97"/>
      <c r="B48" s="97"/>
      <c r="C48" s="97"/>
      <c r="D48" s="97"/>
      <c r="E48" s="97"/>
      <c r="F48" s="97"/>
      <c r="G48" s="97"/>
      <c r="H48" s="137"/>
      <c r="I48" s="137"/>
      <c r="J48" s="137"/>
      <c r="K48" s="137"/>
      <c r="L48" s="137"/>
      <c r="M48" s="137"/>
      <c r="N48" s="139"/>
      <c r="O48" s="102"/>
      <c r="P48" s="102"/>
      <c r="Q48" s="102"/>
      <c r="S48" s="102"/>
      <c r="T48" s="102"/>
      <c r="U48" s="102"/>
      <c r="V48" s="102"/>
      <c r="W48" s="102"/>
      <c r="X48" s="102"/>
    </row>
    <row r="49" spans="1:24">
      <c r="A49" s="97"/>
      <c r="B49" s="97"/>
      <c r="C49" s="97"/>
      <c r="D49" s="97"/>
      <c r="E49" s="97"/>
      <c r="F49" s="97"/>
      <c r="G49" s="97"/>
      <c r="H49" s="137"/>
      <c r="I49" s="137"/>
      <c r="J49" s="137"/>
      <c r="K49" s="137"/>
      <c r="L49" s="137"/>
      <c r="M49" s="137"/>
      <c r="N49" s="139"/>
      <c r="O49" s="102"/>
      <c r="P49" s="102"/>
      <c r="Q49" s="102"/>
      <c r="S49" s="102"/>
      <c r="T49" s="102"/>
      <c r="U49" s="102"/>
      <c r="V49" s="102"/>
      <c r="W49" s="102"/>
      <c r="X49" s="102"/>
    </row>
    <row r="50" spans="1:24">
      <c r="A50" s="97"/>
      <c r="B50" s="97"/>
      <c r="C50" s="97"/>
      <c r="D50" s="97"/>
      <c r="E50" s="97"/>
      <c r="F50" s="97"/>
      <c r="G50" s="97"/>
      <c r="H50" s="137"/>
      <c r="I50" s="137"/>
      <c r="J50" s="137"/>
      <c r="K50" s="137"/>
      <c r="L50" s="137"/>
      <c r="M50" s="137"/>
      <c r="N50" s="139"/>
      <c r="O50" s="102"/>
      <c r="P50" s="102"/>
      <c r="Q50" s="102"/>
      <c r="S50" s="102"/>
      <c r="T50" s="102"/>
      <c r="U50" s="102"/>
      <c r="V50" s="102"/>
      <c r="W50" s="102"/>
      <c r="X50" s="102"/>
    </row>
    <row r="51" spans="1:24">
      <c r="A51" s="97"/>
      <c r="B51" s="97"/>
      <c r="C51" s="97"/>
      <c r="D51" s="97"/>
      <c r="E51" s="97"/>
      <c r="F51" s="97"/>
      <c r="G51" s="97"/>
      <c r="H51" s="137"/>
      <c r="I51" s="137"/>
      <c r="J51" s="137"/>
      <c r="K51" s="137"/>
      <c r="L51" s="137"/>
      <c r="M51" s="137"/>
      <c r="N51" s="139"/>
      <c r="O51" s="102"/>
      <c r="P51" s="102"/>
      <c r="Q51" s="102"/>
      <c r="S51" s="102"/>
      <c r="T51" s="102"/>
      <c r="U51" s="102"/>
      <c r="V51" s="102"/>
      <c r="W51" s="102"/>
      <c r="X51" s="102"/>
    </row>
    <row r="52" spans="1:24">
      <c r="A52" s="97"/>
      <c r="B52" s="97"/>
      <c r="C52" s="97"/>
      <c r="D52" s="97"/>
      <c r="E52" s="97"/>
      <c r="F52" s="97"/>
      <c r="G52" s="97"/>
      <c r="H52" s="137"/>
      <c r="I52" s="137"/>
      <c r="J52" s="137"/>
      <c r="K52" s="137"/>
      <c r="L52" s="137"/>
      <c r="M52" s="137"/>
      <c r="N52" s="139"/>
      <c r="O52" s="102"/>
      <c r="P52" s="102"/>
      <c r="Q52" s="102"/>
      <c r="S52" s="102"/>
      <c r="T52" s="102"/>
      <c r="U52" s="102"/>
      <c r="V52" s="102"/>
      <c r="W52" s="102"/>
      <c r="X52" s="102"/>
    </row>
    <row r="53" spans="1:24">
      <c r="A53" s="97"/>
      <c r="B53" s="97"/>
      <c r="C53" s="97"/>
      <c r="D53" s="97"/>
      <c r="E53" s="97"/>
      <c r="F53" s="97"/>
      <c r="G53" s="97"/>
      <c r="H53" s="137"/>
      <c r="I53" s="137"/>
      <c r="J53" s="137"/>
      <c r="K53" s="137"/>
      <c r="L53" s="137"/>
      <c r="M53" s="137"/>
      <c r="N53" s="139"/>
      <c r="O53" s="102"/>
      <c r="P53" s="102"/>
      <c r="Q53" s="102"/>
      <c r="S53" s="102"/>
      <c r="T53" s="102"/>
      <c r="U53" s="102"/>
      <c r="V53" s="102"/>
      <c r="W53" s="102"/>
      <c r="X53" s="102"/>
    </row>
    <row r="54" spans="1:24">
      <c r="A54" s="97"/>
      <c r="B54" s="97"/>
      <c r="C54" s="97"/>
      <c r="D54" s="97"/>
      <c r="E54" s="97"/>
      <c r="F54" s="97"/>
      <c r="G54" s="97"/>
      <c r="H54" s="137"/>
      <c r="I54" s="137"/>
      <c r="J54" s="137"/>
      <c r="K54" s="137"/>
      <c r="L54" s="137"/>
      <c r="M54" s="137"/>
      <c r="N54" s="139"/>
      <c r="O54" s="102"/>
      <c r="P54" s="102"/>
      <c r="Q54" s="102"/>
      <c r="S54" s="102"/>
      <c r="T54" s="102"/>
      <c r="U54" s="102"/>
      <c r="V54" s="102"/>
      <c r="W54" s="102"/>
      <c r="X54" s="102"/>
    </row>
    <row r="55" spans="1:24">
      <c r="A55" s="97"/>
      <c r="B55" s="97"/>
      <c r="C55" s="97"/>
      <c r="D55" s="97"/>
      <c r="E55" s="97"/>
      <c r="F55" s="97"/>
      <c r="G55" s="97"/>
      <c r="H55" s="137"/>
      <c r="I55" s="137"/>
      <c r="J55" s="137"/>
      <c r="K55" s="137"/>
      <c r="L55" s="137"/>
      <c r="M55" s="137"/>
      <c r="N55" s="139"/>
      <c r="O55" s="102"/>
      <c r="P55" s="102"/>
      <c r="Q55" s="102"/>
      <c r="S55" s="102"/>
      <c r="T55" s="102"/>
      <c r="U55" s="102"/>
      <c r="V55" s="102"/>
      <c r="W55" s="102"/>
      <c r="X55" s="102"/>
    </row>
    <row r="56" spans="1:24">
      <c r="A56" s="97"/>
      <c r="B56" s="97"/>
      <c r="C56" s="97"/>
      <c r="D56" s="97"/>
      <c r="E56" s="97"/>
      <c r="F56" s="97"/>
      <c r="G56" s="97"/>
      <c r="H56" s="137"/>
      <c r="I56" s="137"/>
      <c r="J56" s="137"/>
      <c r="K56" s="137"/>
      <c r="L56" s="137"/>
      <c r="M56" s="137"/>
      <c r="N56" s="139"/>
      <c r="O56" s="102"/>
      <c r="P56" s="102"/>
      <c r="Q56" s="102"/>
      <c r="S56" s="102"/>
      <c r="T56" s="102"/>
      <c r="U56" s="102"/>
      <c r="V56" s="102"/>
      <c r="W56" s="102"/>
      <c r="X56" s="102"/>
    </row>
    <row r="57" spans="1:24">
      <c r="A57" s="97"/>
      <c r="B57" s="97"/>
      <c r="C57" s="97"/>
      <c r="D57" s="97"/>
      <c r="E57" s="97"/>
      <c r="F57" s="97"/>
      <c r="G57" s="97"/>
      <c r="H57" s="137"/>
      <c r="I57" s="137"/>
      <c r="J57" s="137"/>
      <c r="K57" s="137"/>
      <c r="L57" s="137"/>
      <c r="M57" s="137"/>
      <c r="N57" s="139"/>
      <c r="O57" s="102"/>
      <c r="P57" s="102"/>
      <c r="Q57" s="102"/>
      <c r="S57" s="102"/>
      <c r="T57" s="102"/>
      <c r="U57" s="102"/>
      <c r="V57" s="102"/>
      <c r="W57" s="102"/>
      <c r="X57" s="102"/>
    </row>
    <row r="58" spans="1:24">
      <c r="A58" s="97"/>
      <c r="B58" s="97"/>
      <c r="C58" s="97"/>
      <c r="D58" s="97"/>
      <c r="E58" s="97"/>
      <c r="F58" s="97"/>
      <c r="G58" s="97"/>
      <c r="H58" s="137"/>
      <c r="I58" s="137"/>
      <c r="J58" s="137"/>
      <c r="K58" s="137"/>
      <c r="L58" s="137"/>
      <c r="M58" s="137"/>
      <c r="N58" s="139"/>
      <c r="O58" s="102"/>
      <c r="P58" s="102"/>
      <c r="Q58" s="102"/>
      <c r="S58" s="102"/>
      <c r="T58" s="102"/>
      <c r="U58" s="102"/>
      <c r="V58" s="102"/>
      <c r="W58" s="102"/>
      <c r="X58" s="102"/>
    </row>
    <row r="59" spans="1:24">
      <c r="A59" s="97"/>
      <c r="B59" s="97"/>
      <c r="C59" s="97"/>
      <c r="D59" s="97"/>
      <c r="E59" s="97"/>
      <c r="F59" s="97"/>
      <c r="G59" s="97"/>
      <c r="H59" s="137"/>
      <c r="I59" s="137"/>
      <c r="J59" s="137"/>
      <c r="K59" s="137"/>
      <c r="L59" s="137"/>
      <c r="M59" s="137"/>
      <c r="N59" s="139"/>
      <c r="O59" s="102"/>
      <c r="P59" s="102"/>
      <c r="Q59" s="102"/>
      <c r="S59" s="102"/>
      <c r="T59" s="102"/>
      <c r="U59" s="102"/>
      <c r="V59" s="102"/>
      <c r="W59" s="102"/>
      <c r="X59" s="102"/>
    </row>
    <row r="60" spans="1:24">
      <c r="A60" s="97"/>
      <c r="B60" s="97"/>
      <c r="C60" s="97"/>
      <c r="D60" s="97"/>
      <c r="E60" s="97"/>
      <c r="F60" s="97"/>
      <c r="G60" s="97"/>
      <c r="H60" s="137"/>
      <c r="I60" s="137"/>
      <c r="J60" s="137"/>
      <c r="K60" s="137"/>
      <c r="L60" s="137"/>
      <c r="M60" s="137"/>
      <c r="N60" s="139"/>
      <c r="O60" s="102"/>
      <c r="P60" s="102"/>
      <c r="Q60" s="102"/>
      <c r="S60" s="102"/>
      <c r="T60" s="102"/>
      <c r="U60" s="102"/>
      <c r="V60" s="102"/>
      <c r="W60" s="102"/>
      <c r="X60" s="102"/>
    </row>
    <row r="61" spans="1:24">
      <c r="A61" s="97"/>
      <c r="B61" s="97"/>
      <c r="C61" s="97"/>
      <c r="D61" s="97"/>
      <c r="E61" s="97"/>
      <c r="F61" s="97"/>
      <c r="G61" s="97"/>
      <c r="H61" s="137"/>
      <c r="I61" s="137"/>
      <c r="J61" s="137"/>
      <c r="K61" s="137"/>
      <c r="L61" s="137"/>
      <c r="M61" s="137"/>
      <c r="N61" s="139"/>
      <c r="O61" s="102"/>
      <c r="P61" s="102"/>
      <c r="Q61" s="102"/>
      <c r="S61" s="102"/>
      <c r="T61" s="102"/>
      <c r="U61" s="102"/>
      <c r="V61" s="102"/>
      <c r="W61" s="102"/>
      <c r="X61" s="102"/>
    </row>
    <row r="62" spans="1:24">
      <c r="A62" s="97"/>
      <c r="B62" s="97"/>
      <c r="C62" s="97"/>
      <c r="D62" s="97"/>
      <c r="E62" s="97"/>
      <c r="F62" s="97"/>
      <c r="G62" s="97"/>
      <c r="H62" s="137"/>
      <c r="I62" s="137"/>
      <c r="J62" s="137"/>
      <c r="K62" s="137"/>
      <c r="L62" s="137"/>
      <c r="M62" s="137"/>
      <c r="N62" s="139"/>
      <c r="O62" s="102"/>
      <c r="P62" s="102"/>
      <c r="Q62" s="102"/>
      <c r="S62" s="102"/>
      <c r="T62" s="102"/>
      <c r="U62" s="102"/>
      <c r="V62" s="102"/>
      <c r="W62" s="102"/>
      <c r="X62" s="102"/>
    </row>
    <row r="63" spans="1:24">
      <c r="A63" s="97"/>
      <c r="B63" s="97"/>
      <c r="C63" s="97"/>
      <c r="D63" s="97"/>
      <c r="E63" s="97"/>
      <c r="F63" s="97"/>
      <c r="G63" s="97"/>
      <c r="H63" s="137"/>
      <c r="I63" s="137"/>
      <c r="J63" s="137"/>
      <c r="K63" s="137"/>
      <c r="L63" s="137"/>
      <c r="M63" s="137"/>
      <c r="N63" s="139"/>
      <c r="O63" s="102"/>
      <c r="P63" s="102"/>
      <c r="Q63" s="102"/>
      <c r="S63" s="102"/>
      <c r="T63" s="102"/>
      <c r="U63" s="102"/>
      <c r="V63" s="102"/>
      <c r="W63" s="102"/>
      <c r="X63" s="102"/>
    </row>
    <row r="64" spans="1:24">
      <c r="A64" s="97"/>
      <c r="B64" s="97"/>
      <c r="C64" s="97"/>
      <c r="D64" s="97"/>
      <c r="E64" s="97"/>
      <c r="F64" s="97"/>
      <c r="G64" s="97"/>
      <c r="H64" s="137"/>
      <c r="I64" s="137"/>
      <c r="J64" s="137"/>
      <c r="K64" s="137"/>
      <c r="L64" s="137"/>
      <c r="M64" s="137"/>
      <c r="N64" s="139"/>
      <c r="O64" s="102"/>
      <c r="P64" s="102"/>
      <c r="Q64" s="102"/>
      <c r="S64" s="102"/>
      <c r="T64" s="102"/>
      <c r="U64" s="102"/>
      <c r="V64" s="102"/>
      <c r="W64" s="102"/>
      <c r="X64" s="102"/>
    </row>
    <row r="65" spans="1:24">
      <c r="A65" s="97"/>
      <c r="B65" s="97"/>
      <c r="C65" s="97"/>
      <c r="D65" s="97"/>
      <c r="E65" s="97"/>
      <c r="F65" s="97"/>
      <c r="G65" s="97"/>
      <c r="H65" s="137"/>
      <c r="I65" s="137"/>
      <c r="J65" s="137"/>
      <c r="K65" s="137"/>
      <c r="L65" s="137"/>
      <c r="M65" s="137"/>
      <c r="N65" s="139"/>
      <c r="O65" s="102"/>
      <c r="P65" s="102"/>
      <c r="Q65" s="102"/>
      <c r="S65" s="102"/>
      <c r="T65" s="102"/>
      <c r="U65" s="102"/>
      <c r="V65" s="102"/>
      <c r="W65" s="102"/>
      <c r="X65" s="102"/>
    </row>
    <row r="66" spans="1:24">
      <c r="A66" s="97"/>
      <c r="B66" s="97"/>
      <c r="C66" s="97"/>
      <c r="D66" s="97"/>
      <c r="E66" s="97"/>
      <c r="F66" s="97"/>
      <c r="G66" s="97"/>
      <c r="H66" s="137"/>
      <c r="I66" s="137"/>
      <c r="J66" s="137"/>
      <c r="K66" s="137"/>
      <c r="L66" s="137"/>
      <c r="M66" s="137"/>
      <c r="N66" s="139"/>
      <c r="O66" s="102"/>
      <c r="P66" s="102"/>
      <c r="Q66" s="102"/>
      <c r="S66" s="102"/>
      <c r="T66" s="102"/>
      <c r="U66" s="102"/>
      <c r="V66" s="102"/>
      <c r="W66" s="102"/>
      <c r="X66" s="102"/>
    </row>
    <row r="67" spans="1:24">
      <c r="A67" s="97"/>
      <c r="B67" s="97"/>
      <c r="C67" s="97"/>
      <c r="D67" s="97"/>
      <c r="E67" s="97"/>
      <c r="F67" s="97"/>
      <c r="G67" s="97"/>
      <c r="H67" s="137"/>
      <c r="I67" s="137"/>
      <c r="J67" s="137"/>
      <c r="K67" s="137"/>
      <c r="L67" s="137"/>
      <c r="M67" s="137"/>
      <c r="N67" s="139"/>
      <c r="O67" s="102"/>
      <c r="P67" s="102"/>
      <c r="Q67" s="102"/>
      <c r="S67" s="102"/>
      <c r="T67" s="102"/>
      <c r="U67" s="102"/>
      <c r="V67" s="102"/>
      <c r="W67" s="102"/>
      <c r="X67" s="102"/>
    </row>
    <row r="68" spans="1:24">
      <c r="A68" s="97"/>
      <c r="B68" s="97"/>
      <c r="C68" s="97"/>
      <c r="D68" s="97"/>
      <c r="E68" s="97"/>
      <c r="F68" s="97"/>
      <c r="G68" s="97"/>
      <c r="H68" s="137"/>
      <c r="I68" s="137"/>
      <c r="J68" s="137"/>
      <c r="K68" s="137"/>
      <c r="L68" s="137"/>
      <c r="M68" s="137"/>
      <c r="N68" s="139"/>
      <c r="O68" s="102"/>
      <c r="P68" s="102"/>
      <c r="Q68" s="102"/>
      <c r="S68" s="102"/>
      <c r="T68" s="102"/>
      <c r="U68" s="102"/>
      <c r="V68" s="102"/>
      <c r="W68" s="102"/>
      <c r="X68" s="102"/>
    </row>
    <row r="69" spans="1:24">
      <c r="A69" s="97"/>
      <c r="B69" s="97"/>
      <c r="C69" s="97"/>
      <c r="D69" s="97"/>
      <c r="E69" s="97"/>
      <c r="F69" s="97"/>
      <c r="G69" s="97"/>
      <c r="H69" s="137"/>
      <c r="I69" s="137"/>
      <c r="J69" s="137"/>
      <c r="K69" s="137"/>
      <c r="L69" s="137"/>
      <c r="M69" s="137"/>
      <c r="N69" s="139"/>
      <c r="O69" s="102"/>
      <c r="P69" s="102"/>
      <c r="Q69" s="102"/>
      <c r="S69" s="102"/>
      <c r="T69" s="102"/>
      <c r="U69" s="102"/>
      <c r="V69" s="102"/>
      <c r="W69" s="102"/>
      <c r="X69" s="102"/>
    </row>
    <row r="70" spans="1:24">
      <c r="A70" s="97"/>
      <c r="B70" s="97"/>
      <c r="C70" s="97"/>
      <c r="D70" s="97"/>
      <c r="E70" s="97"/>
      <c r="F70" s="97"/>
      <c r="G70" s="97"/>
      <c r="H70" s="137"/>
      <c r="I70" s="137"/>
      <c r="J70" s="137"/>
      <c r="K70" s="137"/>
      <c r="L70" s="137"/>
      <c r="M70" s="137"/>
      <c r="N70" s="139"/>
      <c r="O70" s="102"/>
      <c r="P70" s="102"/>
      <c r="Q70" s="102"/>
      <c r="S70" s="102"/>
      <c r="T70" s="102"/>
      <c r="U70" s="102"/>
      <c r="V70" s="102"/>
      <c r="W70" s="102"/>
      <c r="X70" s="102"/>
    </row>
    <row r="71" spans="1:24">
      <c r="A71" s="97"/>
      <c r="B71" s="97"/>
      <c r="C71" s="97"/>
      <c r="D71" s="97"/>
      <c r="E71" s="97"/>
      <c r="F71" s="97"/>
      <c r="G71" s="97"/>
      <c r="H71" s="137"/>
      <c r="I71" s="137"/>
      <c r="J71" s="137"/>
      <c r="K71" s="137"/>
      <c r="L71" s="137"/>
      <c r="M71" s="137"/>
      <c r="N71" s="139"/>
      <c r="O71" s="102"/>
      <c r="P71" s="102"/>
      <c r="Q71" s="102"/>
      <c r="S71" s="102"/>
      <c r="T71" s="102"/>
      <c r="U71" s="102"/>
      <c r="V71" s="102"/>
      <c r="W71" s="102"/>
      <c r="X71" s="102"/>
    </row>
    <row r="72" spans="1:24">
      <c r="A72" s="97"/>
      <c r="B72" s="97"/>
      <c r="C72" s="97"/>
      <c r="D72" s="97"/>
      <c r="E72" s="97"/>
      <c r="F72" s="97"/>
      <c r="G72" s="97"/>
      <c r="H72" s="137"/>
      <c r="I72" s="137"/>
      <c r="J72" s="137"/>
      <c r="K72" s="137"/>
      <c r="L72" s="137"/>
      <c r="M72" s="137"/>
      <c r="N72" s="139"/>
      <c r="O72" s="102"/>
      <c r="P72" s="102"/>
      <c r="Q72" s="102"/>
      <c r="S72" s="102"/>
      <c r="T72" s="102"/>
      <c r="U72" s="102"/>
      <c r="V72" s="102"/>
      <c r="W72" s="102"/>
      <c r="X72" s="102"/>
    </row>
    <row r="73" spans="1:24">
      <c r="A73" s="97"/>
      <c r="B73" s="97"/>
      <c r="C73" s="97"/>
      <c r="D73" s="97"/>
      <c r="E73" s="97"/>
      <c r="F73" s="97"/>
      <c r="G73" s="97"/>
      <c r="H73" s="137"/>
      <c r="I73" s="137"/>
      <c r="J73" s="137"/>
      <c r="K73" s="137"/>
      <c r="L73" s="137"/>
      <c r="M73" s="137"/>
      <c r="N73" s="139"/>
      <c r="O73" s="102"/>
      <c r="P73" s="102"/>
      <c r="Q73" s="102"/>
      <c r="S73" s="102"/>
      <c r="T73" s="102"/>
      <c r="U73" s="102"/>
      <c r="V73" s="102"/>
      <c r="W73" s="102"/>
      <c r="X73" s="102"/>
    </row>
    <row r="74" spans="1:24">
      <c r="A74" s="97"/>
      <c r="B74" s="97"/>
      <c r="C74" s="97"/>
      <c r="D74" s="97"/>
      <c r="E74" s="97"/>
      <c r="F74" s="97"/>
      <c r="G74" s="97"/>
      <c r="H74" s="137"/>
      <c r="I74" s="137"/>
      <c r="J74" s="137"/>
      <c r="K74" s="137"/>
      <c r="L74" s="137"/>
      <c r="M74" s="137"/>
      <c r="N74" s="139"/>
      <c r="O74" s="102"/>
      <c r="P74" s="102"/>
      <c r="Q74" s="102"/>
      <c r="S74" s="102"/>
      <c r="T74" s="102"/>
      <c r="U74" s="102"/>
      <c r="V74" s="102"/>
      <c r="W74" s="102"/>
      <c r="X74" s="102"/>
    </row>
    <row r="75" spans="1:24">
      <c r="A75" s="97"/>
      <c r="B75" s="97"/>
      <c r="C75" s="97"/>
      <c r="D75" s="97"/>
      <c r="E75" s="97"/>
      <c r="F75" s="97"/>
      <c r="G75" s="97"/>
      <c r="H75" s="137"/>
      <c r="I75" s="137"/>
      <c r="J75" s="137"/>
      <c r="K75" s="137"/>
      <c r="L75" s="137"/>
      <c r="M75" s="137"/>
      <c r="N75" s="139"/>
      <c r="O75" s="102"/>
      <c r="P75" s="102"/>
      <c r="Q75" s="102"/>
      <c r="S75" s="102"/>
      <c r="T75" s="102"/>
      <c r="U75" s="102"/>
      <c r="V75" s="102"/>
      <c r="W75" s="102"/>
      <c r="X75" s="102"/>
    </row>
    <row r="76" spans="1:24">
      <c r="A76" s="97"/>
      <c r="B76" s="97"/>
      <c r="C76" s="97"/>
      <c r="D76" s="97"/>
      <c r="E76" s="97"/>
      <c r="F76" s="97"/>
      <c r="G76" s="97"/>
      <c r="H76" s="137"/>
      <c r="I76" s="137"/>
      <c r="J76" s="137"/>
      <c r="K76" s="137"/>
      <c r="L76" s="137"/>
      <c r="M76" s="137"/>
      <c r="N76" s="139"/>
      <c r="O76" s="102"/>
      <c r="P76" s="102"/>
      <c r="Q76" s="102"/>
      <c r="S76" s="102"/>
      <c r="T76" s="102"/>
      <c r="U76" s="102"/>
      <c r="V76" s="102"/>
      <c r="W76" s="102"/>
      <c r="X76" s="102"/>
    </row>
    <row r="77" spans="1:24">
      <c r="A77" s="97"/>
      <c r="B77" s="97"/>
      <c r="C77" s="97"/>
      <c r="D77" s="97"/>
      <c r="E77" s="97"/>
      <c r="F77" s="97"/>
      <c r="G77" s="97"/>
      <c r="H77" s="137"/>
      <c r="I77" s="137"/>
      <c r="J77" s="137"/>
      <c r="K77" s="137"/>
      <c r="L77" s="137"/>
      <c r="M77" s="137"/>
      <c r="N77" s="139"/>
      <c r="O77" s="102"/>
      <c r="P77" s="102"/>
      <c r="Q77" s="102"/>
      <c r="S77" s="102"/>
      <c r="T77" s="102"/>
      <c r="U77" s="102"/>
      <c r="V77" s="102"/>
      <c r="W77" s="102"/>
      <c r="X77" s="102"/>
    </row>
    <row r="78" spans="1:24">
      <c r="A78" s="97"/>
      <c r="B78" s="97"/>
      <c r="C78" s="97"/>
      <c r="D78" s="97"/>
      <c r="E78" s="97"/>
      <c r="F78" s="97"/>
      <c r="G78" s="97"/>
      <c r="H78" s="137"/>
      <c r="I78" s="137"/>
      <c r="J78" s="137"/>
      <c r="K78" s="137"/>
      <c r="L78" s="137"/>
      <c r="M78" s="137"/>
      <c r="N78" s="139"/>
      <c r="O78" s="102"/>
      <c r="P78" s="102"/>
      <c r="Q78" s="102"/>
      <c r="S78" s="102"/>
      <c r="T78" s="102"/>
      <c r="U78" s="102"/>
      <c r="V78" s="102"/>
      <c r="W78" s="102"/>
      <c r="X78" s="102"/>
    </row>
    <row r="79" spans="1:24">
      <c r="A79" s="97"/>
      <c r="B79" s="97"/>
      <c r="C79" s="97"/>
      <c r="D79" s="97"/>
      <c r="E79" s="97"/>
      <c r="F79" s="97"/>
      <c r="G79" s="97"/>
      <c r="H79" s="137"/>
      <c r="I79" s="137"/>
      <c r="J79" s="137"/>
      <c r="K79" s="137"/>
      <c r="L79" s="137"/>
      <c r="M79" s="137"/>
      <c r="N79" s="139"/>
      <c r="O79" s="102"/>
      <c r="P79" s="102"/>
      <c r="Q79" s="102"/>
      <c r="S79" s="102"/>
      <c r="T79" s="102"/>
      <c r="U79" s="102"/>
      <c r="V79" s="102"/>
      <c r="W79" s="102"/>
      <c r="X79" s="102"/>
    </row>
    <row r="80" spans="1:24">
      <c r="A80" s="97"/>
      <c r="B80" s="97"/>
      <c r="C80" s="97"/>
      <c r="D80" s="97"/>
      <c r="E80" s="97"/>
      <c r="F80" s="97"/>
      <c r="G80" s="97"/>
      <c r="H80" s="137"/>
      <c r="I80" s="137"/>
      <c r="J80" s="137"/>
      <c r="K80" s="137"/>
      <c r="L80" s="137"/>
      <c r="M80" s="137"/>
      <c r="N80" s="139"/>
      <c r="O80" s="102"/>
      <c r="P80" s="102"/>
      <c r="Q80" s="102"/>
      <c r="S80" s="102"/>
      <c r="T80" s="102"/>
      <c r="U80" s="102"/>
      <c r="V80" s="102"/>
      <c r="W80" s="102"/>
      <c r="X80" s="102"/>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AM52"/>
  <sheetViews>
    <sheetView topLeftCell="A15" workbookViewId="0"/>
  </sheetViews>
  <sheetFormatPr defaultColWidth="14.42578125" defaultRowHeight="15.75" customHeight="1"/>
  <cols>
    <col min="1" max="1" width="20.42578125" customWidth="1"/>
    <col min="2" max="2" width="12.140625" customWidth="1"/>
    <col min="3" max="3" width="13.7109375" customWidth="1"/>
    <col min="5" max="7" width="17.140625" customWidth="1"/>
    <col min="8" max="8" width="17.5703125" customWidth="1"/>
    <col min="9" max="9" width="11.140625" customWidth="1"/>
    <col min="10" max="14" width="10.42578125" customWidth="1"/>
    <col min="27" max="28" width="16.140625" customWidth="1"/>
    <col min="38" max="39" width="14.42578125" hidden="1"/>
  </cols>
  <sheetData>
    <row r="1" spans="1:39">
      <c r="A1" s="28" t="s">
        <v>201</v>
      </c>
      <c r="B1" s="10"/>
    </row>
    <row r="2" spans="1:39" ht="15.75" customHeight="1">
      <c r="B2" s="10"/>
      <c r="D2" s="140"/>
      <c r="J2" s="141"/>
      <c r="K2" s="141"/>
      <c r="L2" s="141"/>
      <c r="M2" s="141"/>
      <c r="N2" s="141"/>
    </row>
    <row r="4" spans="1:39" ht="61.5" customHeight="1">
      <c r="A4" s="51" t="s">
        <v>130</v>
      </c>
      <c r="B4" s="52" t="s">
        <v>202</v>
      </c>
      <c r="C4" s="52" t="s">
        <v>203</v>
      </c>
      <c r="D4" s="52" t="s">
        <v>204</v>
      </c>
      <c r="E4" s="52" t="s">
        <v>205</v>
      </c>
      <c r="F4" s="52" t="s">
        <v>206</v>
      </c>
      <c r="G4" s="52" t="s">
        <v>207</v>
      </c>
      <c r="H4" s="52" t="s">
        <v>208</v>
      </c>
      <c r="I4" s="418" t="s">
        <v>209</v>
      </c>
      <c r="J4" s="421"/>
      <c r="K4" s="418" t="s">
        <v>210</v>
      </c>
      <c r="L4" s="421"/>
      <c r="M4" s="418" t="s">
        <v>211</v>
      </c>
      <c r="N4" s="421"/>
      <c r="O4" s="418" t="s">
        <v>212</v>
      </c>
      <c r="P4" s="421"/>
      <c r="Q4" s="418" t="s">
        <v>213</v>
      </c>
      <c r="R4" s="421"/>
      <c r="S4" s="418" t="s">
        <v>214</v>
      </c>
      <c r="T4" s="421"/>
      <c r="U4" s="418" t="s">
        <v>215</v>
      </c>
      <c r="V4" s="421"/>
      <c r="W4" s="418" t="s">
        <v>216</v>
      </c>
      <c r="X4" s="421"/>
      <c r="Y4" s="418" t="s">
        <v>217</v>
      </c>
      <c r="Z4" s="421"/>
      <c r="AA4" s="418" t="s">
        <v>218</v>
      </c>
      <c r="AB4" s="421"/>
      <c r="AC4" s="418" t="s">
        <v>219</v>
      </c>
      <c r="AD4" s="421"/>
      <c r="AE4" s="52" t="s">
        <v>220</v>
      </c>
      <c r="AF4" s="418" t="s">
        <v>221</v>
      </c>
      <c r="AG4" s="421"/>
      <c r="AH4" s="52" t="s">
        <v>222</v>
      </c>
      <c r="AI4" s="52" t="s">
        <v>223</v>
      </c>
      <c r="AJ4" s="52" t="s">
        <v>224</v>
      </c>
      <c r="AK4" s="103" t="s">
        <v>225</v>
      </c>
      <c r="AL4" s="28" t="s">
        <v>104</v>
      </c>
      <c r="AM4" s="28" t="s">
        <v>111</v>
      </c>
    </row>
    <row r="5" spans="1:39">
      <c r="A5" s="107" t="s">
        <v>147</v>
      </c>
      <c r="B5" s="57">
        <f ca="1">COUNTIFS(Included!B:B,"&lt;="&amp;AM5, Included!B:B,"&gt;="&amp;AL5, IncludedCat, "yes")</f>
        <v>31</v>
      </c>
      <c r="C5" s="57">
        <f ca="1">SUMIFS(Included!X:X, Included!B:B, "&lt;="&amp;AM5, Included!B:B, "&gt;="&amp;AL5, IncludedCat, "yes")</f>
        <v>1761</v>
      </c>
      <c r="D5" s="57">
        <f ca="1">SUMIFS(Included!AB:AB, Included!B:B, "&lt;="&amp;AM5, Included!B:B, "&gt;="&amp;AL5, IncludedCat, "yes")</f>
        <v>18</v>
      </c>
      <c r="E5" s="57">
        <f ca="1">SUMIFS(Included!Z:Z, Included!B:B, "&lt;="&amp;AM5, Included!B:B, "&gt;="&amp;AL5, IncludedCat, "yes")</f>
        <v>1158</v>
      </c>
      <c r="F5" s="101">
        <f ca="1">SUMIFS(Included!AX:AX, Included!B:B, "&lt;="&amp;AM5, Included!B:B, "&gt;="&amp;AL5, IncludedCat, "yes")</f>
        <v>1272</v>
      </c>
      <c r="G5" s="101">
        <f ca="1">SUMIFS(Included!AY:AY, Included!B:B, "&lt;="&amp;AM5, Included!B:B, "&gt;="&amp;AL5, IncludedCat, "yes")</f>
        <v>1385</v>
      </c>
      <c r="H5" s="57">
        <f ca="1">SUMIFS(Included!AD:AD, Included!B:B, "&lt;="&amp;AM5, Included!B:B, "&gt;="&amp;AL5, IncludedCat, "yes")</f>
        <v>0</v>
      </c>
      <c r="I5" s="57">
        <f ca="1">SUMIFS(Included!AG:AG, Included!B:B, "&lt;="&amp;AM5, Included!B:B, "&gt;="&amp;AL5, IncludedCat, "yes")</f>
        <v>336</v>
      </c>
      <c r="J5" s="57" t="str">
        <f t="shared" ref="J5:J9" ca="1" si="0">TEXT(I5/C5,"0.0%")</f>
        <v>19.1%</v>
      </c>
      <c r="K5" s="57">
        <f ca="1">SUMIFS(Included!AZ:AZ, Included!B:B, "&lt;="&amp;AM5, Included!B:B, "&gt;="&amp;AL5, IncludedCat, "yes")</f>
        <v>389</v>
      </c>
      <c r="L5" s="57" t="str">
        <f t="shared" ref="L5:L9" ca="1" si="1">TEXT(K5/C5,"0.0%")</f>
        <v>22.1%</v>
      </c>
      <c r="M5" s="57">
        <f ca="1">SUMIFS(Included!BA:BA, Included!B:B, "&lt;="&amp;AM5, Included!B:B, "&gt;="&amp;AL5, IncludedCat, "yes")</f>
        <v>428</v>
      </c>
      <c r="N5" s="57" t="str">
        <f t="shared" ref="N5:N9" ca="1" si="2">TEXT(M5/C5,"0.0%")</f>
        <v>24.3%</v>
      </c>
      <c r="O5" s="57">
        <f ca="1">SUMIFS(Included!AL:AL, Included!B:B, "&lt;="&amp;AM5, Included!B:B, "&gt;="&amp;AL5, IncludedCat, "yes")</f>
        <v>0</v>
      </c>
      <c r="P5" s="57" t="str">
        <f t="shared" ref="P5:P9" ca="1" si="3">TEXT(O5/D5,"0.0%")</f>
        <v>0.0%</v>
      </c>
      <c r="Q5" s="57">
        <f ca="1">SUMIFS(Included!AJ:AJ, Included!B:B, "&lt;="&amp;AM5, Included!B:B, "&gt;="&amp;AL5, IncludedCat, "yes")</f>
        <v>9</v>
      </c>
      <c r="R5" s="142" t="str">
        <f t="shared" ref="R5:R9" ca="1" si="4">TEXT(Q5/C5,"0.0%")</f>
        <v>0.5%</v>
      </c>
      <c r="S5" s="57">
        <f ca="1">SUMIFS(Included!BB:BB, Included!B:B, "&lt;="&amp;AM5, Included!B:B, "&gt;="&amp;AL5, IncludedCat, "yes")</f>
        <v>9</v>
      </c>
      <c r="T5" s="57" t="str">
        <f t="shared" ref="T5:T9" ca="1" si="5">TEXT(S5/C5,"0.0%")</f>
        <v>0.5%</v>
      </c>
      <c r="U5" s="57">
        <f ca="1">SUMIFS(Included!BC:BC, Included!B:B, "&lt;="&amp;AM5, Included!B:B, "&gt;="&amp;AL5, IncludedCat, "yes")</f>
        <v>25</v>
      </c>
      <c r="V5" s="57" t="str">
        <f t="shared" ref="V5:V9" ca="1" si="6">TEXT(U5/C5,"0.0%")</f>
        <v>1.4%</v>
      </c>
      <c r="W5" s="57">
        <f ca="1">SUMIFS(Included!AI:AI, Included!B:B, "&lt;="&amp;AM5, Included!B:B, "&gt;="&amp;AL5, IncludedCat, "yes")</f>
        <v>6</v>
      </c>
      <c r="X5" s="117" t="str">
        <f t="shared" ref="X5:X9" ca="1" si="7">TEXT(W5/C5,"0.0%")</f>
        <v>0.3%</v>
      </c>
      <c r="Y5" s="98">
        <f ca="1">COUNTIFS(Included!AE:AE, "*None given*", Included!B:B,"&lt;="&amp;AM5, Included!B:B,"&gt;="&amp;AL5, IncludedCat, "yes")</f>
        <v>25</v>
      </c>
      <c r="Z5" s="57" t="str">
        <f t="shared" ref="Z5:Z9" ca="1" si="8">TEXT(Y5/B5,"0.0%")</f>
        <v>80.6%</v>
      </c>
      <c r="AA5" s="98">
        <f ca="1">COUNTIFS(Included!AK:AK, "*No SAEs mentioned in text*", Included!B:B,"&lt;="&amp;AM5, Included!B:B,"&gt;="&amp;AL5, IncludedCat, "yes")</f>
        <v>23</v>
      </c>
      <c r="AB5" s="98" t="str">
        <f t="shared" ref="AB5:AB9" ca="1" si="9">TEXT(AA5/B5,"0.0%")</f>
        <v>74.2%</v>
      </c>
      <c r="AC5" s="98">
        <f ca="1">COUNTIFS(Included!AI:AI, "=*nd*", Included!B:B,"&lt;="&amp;AM5,Included!B:B,"&gt;="&amp;AL5, IncludedCat, "yes")</f>
        <v>6</v>
      </c>
      <c r="AD5" s="98" t="str">
        <f t="shared" ref="AD5:AD9" ca="1" si="10">TEXT(AC5/B5,"0.0%")</f>
        <v>19.4%</v>
      </c>
      <c r="AE5" s="98">
        <f>COUNTIFS(Included!AI:AI, "=*unclear*", Included!B:B, "&lt;="&amp;AM5, Included!B:B, "&gt;="&amp;AL5, IncludedCat, "yes")</f>
        <v>0</v>
      </c>
      <c r="AF5" s="98">
        <f ca="1">COUNTIFS(Included!AG:AG, "=*nd*", Included!B:B, "&lt;="&amp;AM5, Included!B:B, "&gt;="&amp;AL5, IncludedCat, "yes")</f>
        <v>8</v>
      </c>
      <c r="AG5" s="98" t="str">
        <f t="shared" ref="AG5:AG9" ca="1" si="11">TEXT(AF5/B5,"0.0%")</f>
        <v>25.8%</v>
      </c>
      <c r="AH5" s="98">
        <f ca="1">COUNTIFS(Included!AG:AG, "=*unclear*", Included!B:B, "&lt;="&amp;AM5, Included!B:B, "&gt;="&amp;AL5, IncludedCat, "yes")</f>
        <v>2</v>
      </c>
      <c r="AI5" s="98">
        <f>COUNTIFS(Included!I:I, "&lt;&gt;", Included!B:B, "&lt;="&amp;AM5, Included!B:B, "&gt;="&amp;AL5, IncludedCat, "yes")</f>
        <v>0</v>
      </c>
      <c r="AJ5" s="98">
        <f ca="1">COUNTIFS(Included!I:I, "", Included!B:B, "&lt;="&amp;AM5, Included!B:B, "&gt;="&amp;AL5, IncludedCat, "yes")</f>
        <v>31</v>
      </c>
      <c r="AK5" s="98">
        <f>COUNTIFS(Included!AO:AO, "=ND", Included!B:B, "&lt;="&amp;AM5, Included!B:B, "&gt;="&amp;AL5, IncludedCat, "yes")</f>
        <v>0</v>
      </c>
      <c r="AL5" s="28">
        <v>1980</v>
      </c>
      <c r="AM5" s="28">
        <v>1989</v>
      </c>
    </row>
    <row r="6" spans="1:39">
      <c r="A6" s="109" t="s">
        <v>150</v>
      </c>
      <c r="B6" s="63">
        <f ca="1">COUNTIFS(Included!B:B,"&lt;="&amp;AM6, Included!B:B,"&gt;="&amp;AL6, IncludedCat, "yes")</f>
        <v>68</v>
      </c>
      <c r="C6" s="63">
        <f ca="1">SUMIFS(Included!X:X, Included!B:B, "&lt;="&amp;AM6, Included!B:B, "&gt;="&amp;AL6, IncludedCat, "yes")</f>
        <v>4181</v>
      </c>
      <c r="D6" s="63">
        <f ca="1">SUMIFS(Included!AB:AB, Included!B:B, "&lt;="&amp;AM6, Included!B:B, "&gt;="&amp;AL6, IncludedCat, "yes")</f>
        <v>47</v>
      </c>
      <c r="E6" s="63">
        <f ca="1">SUMIFS(Included!Z:Z, Included!B:B, "&lt;="&amp;AM6, Included!B:B, "&gt;="&amp;AL6, IncludedCat, "yes")</f>
        <v>2926</v>
      </c>
      <c r="F6" s="143">
        <f ca="1">SUMIFS(Included!AX:AX, Included!B:B, "&lt;="&amp;AM6, Included!B:B, "&gt;="&amp;AL6, IncludedCat, "yes")</f>
        <v>2956</v>
      </c>
      <c r="G6" s="143">
        <f ca="1">SUMIFS(Included!AY:AY, Included!B:B, "&lt;="&amp;AM6, Included!B:B, "&gt;="&amp;AL6, IncludedCat, "yes")</f>
        <v>3040</v>
      </c>
      <c r="H6" s="63">
        <f ca="1">SUMIFS(Included!AD:AD, Included!B:B, "&lt;="&amp;AM6, Included!B:B, "&gt;="&amp;AL6, IncludedCat, "yes")</f>
        <v>0</v>
      </c>
      <c r="I6" s="63">
        <f ca="1">SUMIFS(Included!AG:AG, Included!B:B, "&lt;="&amp;AM6, Included!B:B, "&gt;="&amp;AL6, IncludedCat, "yes")</f>
        <v>899</v>
      </c>
      <c r="J6" s="63" t="str">
        <f t="shared" ca="1" si="0"/>
        <v>21.5%</v>
      </c>
      <c r="K6" s="63">
        <f ca="1">SUMIFS(Included!AZ:AZ, Included!B:B, "&lt;="&amp;AM6, Included!B:B, "&gt;="&amp;AL6, IncludedCat, "yes")</f>
        <v>1192</v>
      </c>
      <c r="L6" s="63" t="str">
        <f t="shared" ca="1" si="1"/>
        <v>28.5%</v>
      </c>
      <c r="M6" s="63">
        <f ca="1">SUMIFS(Included!BA:BA, Included!B:B, "&lt;="&amp;AM6, Included!B:B, "&gt;="&amp;AL6, IncludedCat, "yes")</f>
        <v>1384</v>
      </c>
      <c r="N6" s="63" t="str">
        <f t="shared" ca="1" si="2"/>
        <v>33.1%</v>
      </c>
      <c r="O6" s="63">
        <f ca="1">SUMIFS(Included!AL:AL, Included!B:B, "&lt;="&amp;AM6, Included!B:B, "&gt;="&amp;AL6, IncludedCat, "yes")</f>
        <v>0</v>
      </c>
      <c r="P6" s="63" t="str">
        <f t="shared" ca="1" si="3"/>
        <v>0.0%</v>
      </c>
      <c r="Q6" s="63">
        <f ca="1">SUMIFS(Included!AJ:AJ, Included!B:B, "&lt;="&amp;AM6, Included!B:B, "&gt;="&amp;AL6, IncludedCat, "yes")</f>
        <v>23</v>
      </c>
      <c r="R6" s="144" t="str">
        <f t="shared" ca="1" si="4"/>
        <v>0.6%</v>
      </c>
      <c r="S6" s="63">
        <f ca="1">SUMIFS(Included!BB:BB, Included!B:B, "&lt;="&amp;AM6, Included!B:B, "&gt;="&amp;AL6, IncludedCat, "yes")</f>
        <v>23</v>
      </c>
      <c r="T6" s="63" t="str">
        <f t="shared" ca="1" si="5"/>
        <v>0.6%</v>
      </c>
      <c r="U6" s="63">
        <f ca="1">SUMIFS(Included!BC:BC, Included!B:B, "&lt;="&amp;AM6, Included!B:B, "&gt;="&amp;AL6, IncludedCat, "yes")</f>
        <v>23</v>
      </c>
      <c r="V6" s="63" t="str">
        <f t="shared" ca="1" si="6"/>
        <v>0.6%</v>
      </c>
      <c r="W6" s="63">
        <f ca="1">SUMIFS(Included!AI:AI, Included!B:B, "&lt;="&amp;AM6, Included!B:B, "&gt;="&amp;AL6, IncludedCat, "yes")</f>
        <v>1</v>
      </c>
      <c r="X6" s="121" t="str">
        <f t="shared" ca="1" si="7"/>
        <v>0.0%</v>
      </c>
      <c r="Y6" s="110">
        <f ca="1">COUNTIFS(Included!AE:AE, "*None given*", Included!B:B,"&lt;="&amp;AM6, Included!B:B,"&gt;="&amp;AL6, IncludedCat, "yes")</f>
        <v>52</v>
      </c>
      <c r="Z6" s="63" t="str">
        <f t="shared" ca="1" si="8"/>
        <v>76.5%</v>
      </c>
      <c r="AA6" s="110">
        <f ca="1">COUNTIFS(Included!AK:AK, "*No SAEs mentioned in text*", Included!B:B,"&lt;="&amp;AM6, Included!B:B,"&gt;="&amp;AL6, IncludedCat, "yes")</f>
        <v>40</v>
      </c>
      <c r="AB6" s="110" t="str">
        <f t="shared" ca="1" si="9"/>
        <v>58.8%</v>
      </c>
      <c r="AC6" s="110">
        <f ca="1">COUNTIFS(Included!AI:AI, "=*nd*", Included!B:B,"&lt;="&amp;AM6,Included!B:B,"&gt;="&amp;AL6, IncludedCat, "yes")</f>
        <v>27</v>
      </c>
      <c r="AD6" s="110" t="str">
        <f t="shared" ca="1" si="10"/>
        <v>39.7%</v>
      </c>
      <c r="AE6" s="110">
        <f>COUNTIFS(Included!AI:AI, "=*unclear*", Included!B:B, "&lt;="&amp;AM6, Included!B:B, "&gt;="&amp;AL6, IncludedCat, "yes")</f>
        <v>0</v>
      </c>
      <c r="AF6" s="110">
        <f ca="1">COUNTIFS(Included!AG:AG, "=*nd*", Included!B:B, "&lt;="&amp;AM6, Included!B:B, "&gt;="&amp;AL6, IncludedCat, "yes")</f>
        <v>27</v>
      </c>
      <c r="AG6" s="110" t="str">
        <f t="shared" ca="1" si="11"/>
        <v>39.7%</v>
      </c>
      <c r="AH6" s="110">
        <f ca="1">COUNTIFS(Included!AG:AG, "=*unclear*", Included!B:B, "&lt;="&amp;AM6, Included!B:B, "&gt;="&amp;AL6, IncludedCat, "yes")</f>
        <v>8</v>
      </c>
      <c r="AI6" s="110">
        <f>COUNTIFS(Included!I:I, "&lt;&gt;", Included!B:B, "&lt;="&amp;AM6, Included!B:B, "&gt;="&amp;AL6, IncludedCat, "yes")</f>
        <v>0</v>
      </c>
      <c r="AJ6" s="110">
        <f ca="1">COUNTIFS(Included!I:I, "", Included!B:B, "&lt;="&amp;AM6, Included!B:B, "&gt;="&amp;AL6, IncludedCat, "yes")</f>
        <v>68</v>
      </c>
      <c r="AK6" s="110">
        <f ca="1">COUNTIFS(Included!AO:AO, "=ND", Included!B:B, "&lt;="&amp;AM6, Included!B:B, "&gt;="&amp;AL6, IncludedCat, "yes")</f>
        <v>6</v>
      </c>
      <c r="AL6" s="45">
        <f t="shared" ref="AL6:AL9" si="12">AM5+1</f>
        <v>1990</v>
      </c>
      <c r="AM6" s="45">
        <f t="shared" ref="AM6:AM9" si="13">AL6+9</f>
        <v>1999</v>
      </c>
    </row>
    <row r="7" spans="1:39">
      <c r="A7" s="107" t="s">
        <v>153</v>
      </c>
      <c r="B7" s="57">
        <f ca="1">COUNTIFS(Included!B:B,"&lt;="&amp;AM7, Included!B:B,"&gt;="&amp;AL7, IncludedCat, "yes")</f>
        <v>57</v>
      </c>
      <c r="C7" s="57">
        <f ca="1">SUMIFS(Included!X:X, Included!B:B, "&lt;="&amp;AM7, Included!B:B, "&gt;="&amp;AL7, IncludedCat, "yes")</f>
        <v>2907</v>
      </c>
      <c r="D7" s="57">
        <f ca="1">SUMIFS(Included!AB:AB, Included!B:B, "&lt;="&amp;AM7, Included!B:B, "&gt;="&amp;AL7, IncludedCat, "yes")</f>
        <v>37</v>
      </c>
      <c r="E7" s="57">
        <f ca="1">SUMIFS(Included!Z:Z, Included!B:B, "&lt;="&amp;AM7, Included!B:B, "&gt;="&amp;AL7, IncludedCat, "yes")</f>
        <v>2172</v>
      </c>
      <c r="F7" s="101">
        <f ca="1">SUMIFS(Included!AX:AX, Included!B:B, "&lt;="&amp;AM7, Included!B:B, "&gt;="&amp;AL7, IncludedCat, "yes")</f>
        <v>2172</v>
      </c>
      <c r="G7" s="101">
        <f ca="1">SUMIFS(Included!AY:AY, Included!B:B, "&lt;="&amp;AM7, Included!B:B, "&gt;="&amp;AL7, IncludedCat, "yes")</f>
        <v>2193</v>
      </c>
      <c r="H7" s="57">
        <f ca="1">SUMIFS(Included!AD:AD, Included!B:B, "&lt;="&amp;AM7, Included!B:B, "&gt;="&amp;AL7, IncludedCat, "yes")</f>
        <v>0</v>
      </c>
      <c r="I7" s="57">
        <f ca="1">SUMIFS(Included!AG:AG, Included!B:B, "&lt;="&amp;AM7, Included!B:B, "&gt;="&amp;AL7, IncludedCat, "yes")</f>
        <v>693</v>
      </c>
      <c r="J7" s="57" t="str">
        <f t="shared" ca="1" si="0"/>
        <v>23.8%</v>
      </c>
      <c r="K7" s="57">
        <f ca="1">SUMIFS(Included!AZ:AZ, Included!B:B, "&lt;="&amp;AM7, Included!B:B, "&gt;="&amp;AL7, IncludedCat, "yes")</f>
        <v>743</v>
      </c>
      <c r="L7" s="57" t="str">
        <f t="shared" ca="1" si="1"/>
        <v>25.6%</v>
      </c>
      <c r="M7" s="57">
        <f ca="1">SUMIFS(Included!BA:BA, Included!B:B, "&lt;="&amp;AM7, Included!B:B, "&gt;="&amp;AL7, IncludedCat, "yes")</f>
        <v>1001</v>
      </c>
      <c r="N7" s="57" t="str">
        <f t="shared" ca="1" si="2"/>
        <v>34.4%</v>
      </c>
      <c r="O7" s="57">
        <f ca="1">SUMIFS(Included!AL:AL, Included!B:B, "&lt;="&amp;AM7, Included!B:B, "&gt;="&amp;AL7, IncludedCat, "yes")</f>
        <v>0</v>
      </c>
      <c r="P7" s="57" t="str">
        <f t="shared" ca="1" si="3"/>
        <v>0.0%</v>
      </c>
      <c r="Q7" s="57">
        <f ca="1">SUMIFS(Included!AJ:AJ, Included!B:B, "&lt;="&amp;AM7, Included!B:B, "&gt;="&amp;AL7, IncludedCat, "yes")</f>
        <v>25</v>
      </c>
      <c r="R7" s="142" t="str">
        <f t="shared" ca="1" si="4"/>
        <v>0.9%</v>
      </c>
      <c r="S7" s="57">
        <f ca="1">SUMIFS(Included!BB:BB, Included!B:B, "&lt;="&amp;AM7, Included!B:B, "&gt;="&amp;AL7, IncludedCat, "yes")</f>
        <v>31</v>
      </c>
      <c r="T7" s="57" t="str">
        <f t="shared" ca="1" si="5"/>
        <v>1.1%</v>
      </c>
      <c r="U7" s="57">
        <f ca="1">SUMIFS(Included!BC:BC, Included!B:B, "&lt;="&amp;AM7, Included!B:B, "&gt;="&amp;AL7, IncludedCat, "yes")</f>
        <v>102</v>
      </c>
      <c r="V7" s="57" t="str">
        <f t="shared" ca="1" si="6"/>
        <v>3.5%</v>
      </c>
      <c r="W7" s="57">
        <f ca="1">SUMIFS(Included!AI:AI, Included!B:B, "&lt;="&amp;AM7, Included!B:B, "&gt;="&amp;AL7, IncludedCat, "yes")</f>
        <v>1</v>
      </c>
      <c r="X7" s="117" t="str">
        <f t="shared" ca="1" si="7"/>
        <v>0.0%</v>
      </c>
      <c r="Y7" s="98">
        <f ca="1">COUNTIFS(Included!AE:AE, "*None given*", Included!B:B,"&lt;="&amp;AM7, Included!B:B,"&gt;="&amp;AL7, IncludedCat, "yes")</f>
        <v>45</v>
      </c>
      <c r="Z7" s="57" t="str">
        <f t="shared" ca="1" si="8"/>
        <v>78.9%</v>
      </c>
      <c r="AA7" s="98">
        <f ca="1">COUNTIFS(Included!AK:AK, "*No SAEs mentioned in text*", Included!B:B,"&lt;="&amp;AM7, Included!B:B,"&gt;="&amp;AL7, IncludedCat, "yes")</f>
        <v>10</v>
      </c>
      <c r="AB7" s="98" t="str">
        <f t="shared" ca="1" si="9"/>
        <v>17.5%</v>
      </c>
      <c r="AC7" s="98">
        <f ca="1">COUNTIFS(Included!AI:AI, "=*nd*", Included!B:B,"&lt;="&amp;AM7,Included!B:B,"&gt;="&amp;AL7, IncludedCat, "yes")</f>
        <v>31</v>
      </c>
      <c r="AD7" s="98" t="str">
        <f t="shared" ca="1" si="10"/>
        <v>54.4%</v>
      </c>
      <c r="AE7" s="98">
        <f>COUNTIFS(Included!AI:AI, "=*unclear*", Included!B:B, "&lt;="&amp;AM7, Included!B:B, "&gt;="&amp;AL7, IncludedCat, "yes")</f>
        <v>0</v>
      </c>
      <c r="AF7" s="98">
        <f ca="1">COUNTIFS(Included!AG:AG, "=*nd*", Included!B:B, "&lt;="&amp;AM7, Included!B:B, "&gt;="&amp;AL7, IncludedCat, "yes")</f>
        <v>31</v>
      </c>
      <c r="AG7" s="98" t="str">
        <f t="shared" ca="1" si="11"/>
        <v>54.4%</v>
      </c>
      <c r="AH7" s="98">
        <f ca="1">COUNTIFS(Included!AG:AG, "=*unclear*", Included!B:B, "&lt;="&amp;AM7, Included!B:B, "&gt;="&amp;AL7, IncludedCat, "yes")</f>
        <v>7</v>
      </c>
      <c r="AI7" s="98">
        <f ca="1">COUNTIFS(Included!I:I, "&lt;&gt;", Included!B:B, "&lt;="&amp;AM7, Included!B:B, "&gt;="&amp;AL7, IncludedCat, "yes")</f>
        <v>3</v>
      </c>
      <c r="AJ7" s="98">
        <f ca="1">COUNTIFS(Included!I:I, "", Included!B:B, "&lt;="&amp;AM7, Included!B:B, "&gt;="&amp;AL7, IncludedCat, "yes")</f>
        <v>54</v>
      </c>
      <c r="AK7" s="98">
        <f ca="1">COUNTIFS(Included!AO:AO, "=ND", Included!B:B, "&lt;="&amp;AM7, Included!B:B, "&gt;="&amp;AL7, IncludedCat, "yes")</f>
        <v>4</v>
      </c>
      <c r="AL7" s="45">
        <f t="shared" si="12"/>
        <v>2000</v>
      </c>
      <c r="AM7" s="45">
        <f t="shared" si="13"/>
        <v>2009</v>
      </c>
    </row>
    <row r="8" spans="1:39">
      <c r="A8" s="109" t="s">
        <v>157</v>
      </c>
      <c r="B8" s="63">
        <f ca="1">COUNTIFS(Included!B:B,"&lt;="&amp;AM8, Included!B:B,"&gt;="&amp;AL8, IncludedCat, "yes")</f>
        <v>106</v>
      </c>
      <c r="C8" s="63">
        <f ca="1">SUMIFS(Included!X:X, Included!B:B, "&lt;="&amp;AM8, Included!B:B, "&gt;="&amp;AL8, IncludedCat, "yes")</f>
        <v>4789</v>
      </c>
      <c r="D8" s="63">
        <f ca="1">SUMIFS(Included!AB:AB, Included!B:B, "&lt;="&amp;AM8, Included!B:B, "&gt;="&amp;AL8, IncludedCat, "yes")</f>
        <v>256</v>
      </c>
      <c r="E8" s="63">
        <f ca="1">SUMIFS(Included!Z:Z, Included!B:B, "&lt;="&amp;AM8, Included!B:B, "&gt;="&amp;AL8, IncludedCat, "yes")</f>
        <v>2832</v>
      </c>
      <c r="F8" s="143">
        <f ca="1">SUMIFS(Included!AX:AX, Included!B:B, "&lt;="&amp;AM8, Included!B:B, "&gt;="&amp;AL8, IncludedCat, "yes")</f>
        <v>2860</v>
      </c>
      <c r="G8" s="143">
        <f ca="1">SUMIFS(Included!AY:AY, Included!B:B, "&lt;="&amp;AM8, Included!B:B, "&gt;="&amp;AL8, IncludedCat, "yes")</f>
        <v>2980</v>
      </c>
      <c r="H8" s="63">
        <f ca="1">SUMIFS(Included!AD:AD, Included!B:B, "&lt;="&amp;AM8, Included!B:B, "&gt;="&amp;AL8, IncludedCat, "yes")</f>
        <v>0</v>
      </c>
      <c r="I8" s="63">
        <f ca="1">SUMIFS(Included!AG:AG, Included!B:B, "&lt;="&amp;AM8, Included!B:B, "&gt;="&amp;AL8, IncludedCat, "yes")</f>
        <v>1149</v>
      </c>
      <c r="J8" s="63" t="str">
        <f t="shared" ca="1" si="0"/>
        <v>24.0%</v>
      </c>
      <c r="K8" s="63">
        <f ca="1">SUMIFS(Included!AZ:AZ, Included!B:B, "&lt;="&amp;AM8, Included!B:B, "&gt;="&amp;AL8, IncludedCat, "yes")</f>
        <v>1576</v>
      </c>
      <c r="L8" s="63" t="str">
        <f t="shared" ca="1" si="1"/>
        <v>32.9%</v>
      </c>
      <c r="M8" s="63">
        <f ca="1">SUMIFS(Included!BA:BA, Included!B:B, "&lt;="&amp;AM8, Included!B:B, "&gt;="&amp;AL8, IncludedCat, "yes")</f>
        <v>2210</v>
      </c>
      <c r="N8" s="63" t="str">
        <f t="shared" ca="1" si="2"/>
        <v>46.1%</v>
      </c>
      <c r="O8" s="63">
        <f ca="1">SUMIFS(Included!AL:AL, Included!B:B, "&lt;="&amp;AM8, Included!B:B, "&gt;="&amp;AL8, IncludedCat, "yes")</f>
        <v>6</v>
      </c>
      <c r="P8" s="63" t="str">
        <f t="shared" ca="1" si="3"/>
        <v>2.3%</v>
      </c>
      <c r="Q8" s="63">
        <f ca="1">SUMIFS(Included!AJ:AJ, Included!B:B, "&lt;="&amp;AM8, Included!B:B, "&gt;="&amp;AL8, IncludedCat, "yes")</f>
        <v>143</v>
      </c>
      <c r="R8" s="144" t="str">
        <f t="shared" ca="1" si="4"/>
        <v>3.0%</v>
      </c>
      <c r="S8" s="63">
        <f ca="1">SUMIFS(Included!BB:BB, Included!B:B, "&lt;="&amp;AM8, Included!B:B, "&gt;="&amp;AL8, IncludedCat, "yes")</f>
        <v>179</v>
      </c>
      <c r="T8" s="63" t="str">
        <f t="shared" ca="1" si="5"/>
        <v>3.7%</v>
      </c>
      <c r="U8" s="63">
        <f ca="1">SUMIFS(Included!BC:BC, Included!B:B, "&lt;="&amp;AM8, Included!B:B, "&gt;="&amp;AL8, IncludedCat, "yes")</f>
        <v>473</v>
      </c>
      <c r="V8" s="63" t="str">
        <f t="shared" ca="1" si="6"/>
        <v>9.9%</v>
      </c>
      <c r="W8" s="63">
        <f ca="1">SUMIFS(Included!AI:AI, Included!B:B, "&lt;="&amp;AM8, Included!B:B, "&gt;="&amp;AL8, IncludedCat, "yes")</f>
        <v>13</v>
      </c>
      <c r="X8" s="121" t="str">
        <f t="shared" ca="1" si="7"/>
        <v>0.3%</v>
      </c>
      <c r="Y8" s="110">
        <f ca="1">COUNTIFS(Included!AE:AE, "*None given*", Included!B:B,"&lt;="&amp;AM8, Included!B:B,"&gt;="&amp;AL8, IncludedCat, "yes")</f>
        <v>33</v>
      </c>
      <c r="Z8" s="63" t="str">
        <f t="shared" ca="1" si="8"/>
        <v>31.1%</v>
      </c>
      <c r="AA8" s="110">
        <f ca="1">COUNTIFS(Included!AK:AK, "*No SAEs mentioned in text*", Included!B:B,"&lt;="&amp;AM8, Included!B:B,"&gt;="&amp;AL8, IncludedCat, "yes")</f>
        <v>8</v>
      </c>
      <c r="AB8" s="110" t="str">
        <f t="shared" ca="1" si="9"/>
        <v>7.5%</v>
      </c>
      <c r="AC8" s="110">
        <f ca="1">COUNTIFS(Included!AI:AI, "=*nd*", Included!B:B,"&lt;="&amp;AM8,Included!B:B,"&gt;="&amp;AL8, IncludedCat, "yes")</f>
        <v>32</v>
      </c>
      <c r="AD8" s="110" t="str">
        <f t="shared" ca="1" si="10"/>
        <v>30.2%</v>
      </c>
      <c r="AE8" s="110">
        <f ca="1">COUNTIFS(Included!AI:AI, "=*unclear*", Included!B:B, "&lt;="&amp;AM8, Included!B:B, "&gt;="&amp;AL8, IncludedCat, "yes")</f>
        <v>0</v>
      </c>
      <c r="AF8" s="110">
        <f ca="1">COUNTIFS(Included!AG:AG, "=*nd*", Included!B:B, "&lt;="&amp;AM8, Included!B:B, "&gt;="&amp;AL8, IncludedCat, "yes")</f>
        <v>26</v>
      </c>
      <c r="AG8" s="110" t="str">
        <f t="shared" ca="1" si="11"/>
        <v>24.5%</v>
      </c>
      <c r="AH8" s="110">
        <f ca="1">COUNTIFS(Included!AG:AG, "=*unclear*", Included!B:B, "&lt;="&amp;AM8, Included!B:B, "&gt;="&amp;AL8, IncludedCat, "yes")</f>
        <v>32</v>
      </c>
      <c r="AI8" s="110">
        <f ca="1">COUNTIFS(Included!I:I, "&lt;&gt;", Included!B:B, "&lt;="&amp;AM8, Included!B:B, "&gt;="&amp;AL8, IncludedCat, "yes")</f>
        <v>81</v>
      </c>
      <c r="AJ8" s="110">
        <f ca="1">COUNTIFS(Included!I:I, "", Included!B:B, "&lt;="&amp;AM8, Included!B:B, "&gt;="&amp;AL8, IncludedCat, "yes")</f>
        <v>25</v>
      </c>
      <c r="AK8" s="110">
        <f ca="1">COUNTIFS(Included!AO:AO, "=ND", Included!B:B, "&lt;="&amp;AM8, Included!B:B, "&gt;="&amp;AL8, IncludedCat, "yes")</f>
        <v>7</v>
      </c>
      <c r="AL8" s="45">
        <f t="shared" si="12"/>
        <v>2010</v>
      </c>
      <c r="AM8" s="45">
        <f t="shared" si="13"/>
        <v>2019</v>
      </c>
    </row>
    <row r="9" spans="1:39">
      <c r="A9" s="107" t="s">
        <v>160</v>
      </c>
      <c r="B9" s="57">
        <f ca="1">COUNTIFS(Included!B:B,"&lt;="&amp;AM9, Included!B:B,"&gt;="&amp;AL9, IncludedCat, "yes")</f>
        <v>22</v>
      </c>
      <c r="C9" s="57">
        <f ca="1">SUMIFS(Included!X:X, Included!B:B, "&lt;="&amp;AM9, Included!B:B, "&gt;="&amp;AL9, IncludedCat, "yes")</f>
        <v>990</v>
      </c>
      <c r="D9" s="57">
        <f ca="1">SUMIFS(Included!AB:AB, Included!B:B, "&lt;="&amp;AM9, Included!B:B, "&gt;="&amp;AL9, IncludedCat, "yes")</f>
        <v>75</v>
      </c>
      <c r="E9" s="57">
        <f ca="1">SUMIFS(Included!Z:Z, Included!B:B, "&lt;="&amp;AM9, Included!B:B, "&gt;="&amp;AL9, IncludedCat, "yes")</f>
        <v>657</v>
      </c>
      <c r="F9" s="101">
        <f ca="1">SUMIFS(Included!AX:AX, Included!B:B, "&lt;="&amp;AM9, Included!B:B, "&gt;="&amp;AL9, IncludedCat, "yes")</f>
        <v>657</v>
      </c>
      <c r="G9" s="101">
        <f ca="1">SUMIFS(Included!AY:AY, Included!B:B, "&lt;="&amp;AM9, Included!B:B, "&gt;="&amp;AL9, IncludedCat, "yes")</f>
        <v>679</v>
      </c>
      <c r="H9" s="57">
        <f ca="1">SUMIFS(Included!AD:AD, Included!B:B, "&lt;="&amp;AM9, Included!B:B, "&gt;="&amp;AL9, IncludedCat, "yes")</f>
        <v>1</v>
      </c>
      <c r="I9" s="57">
        <f ca="1">SUMIFS(Included!AG:AG, Included!B:B, "&lt;="&amp;AM9, Included!B:B, "&gt;="&amp;AL9, IncludedCat, "yes")</f>
        <v>244</v>
      </c>
      <c r="J9" s="57" t="str">
        <f t="shared" ca="1" si="0"/>
        <v>24.6%</v>
      </c>
      <c r="K9" s="57">
        <f ca="1">SUMIFS(Included!AZ:AZ, Included!B:B, "&lt;="&amp;AM9, Included!B:B, "&gt;="&amp;AL9, IncludedCat, "yes")</f>
        <v>417</v>
      </c>
      <c r="L9" s="57" t="str">
        <f t="shared" ca="1" si="1"/>
        <v>42.1%</v>
      </c>
      <c r="M9" s="57">
        <f ca="1">SUMIFS(Included!BA:BA, Included!B:B, "&lt;="&amp;AM9, Included!B:B, "&gt;="&amp;AL9, IncludedCat, "yes")</f>
        <v>707</v>
      </c>
      <c r="N9" s="57" t="str">
        <f t="shared" ca="1" si="2"/>
        <v>71.4%</v>
      </c>
      <c r="O9" s="57">
        <f ca="1">SUMIFS(Included!AL:AL, Included!B:B, "&lt;="&amp;AM9, Included!B:B, "&gt;="&amp;AL9, IncludedCat, "yes")</f>
        <v>0</v>
      </c>
      <c r="P9" s="57" t="str">
        <f t="shared" ca="1" si="3"/>
        <v>0.0%</v>
      </c>
      <c r="Q9" s="57">
        <f ca="1">SUMIFS(Included!AJ:AJ, Included!B:B, "&lt;="&amp;AM9, Included!B:B, "&gt;="&amp;AL9, IncludedCat, "yes")</f>
        <v>43</v>
      </c>
      <c r="R9" s="142" t="str">
        <f t="shared" ca="1" si="4"/>
        <v>4.3%</v>
      </c>
      <c r="S9" s="57">
        <f ca="1">SUMIFS(Included!BB:BB, Included!B:B, "&lt;="&amp;AM9, Included!B:B, "&gt;="&amp;AL9, IncludedCat, "yes")</f>
        <v>43</v>
      </c>
      <c r="T9" s="57" t="str">
        <f t="shared" ca="1" si="5"/>
        <v>4.3%</v>
      </c>
      <c r="U9" s="57">
        <f ca="1">SUMIFS(Included!BC:BC, Included!B:B, "&lt;="&amp;AM9, Included!B:B, "&gt;="&amp;AL9, IncludedCat, "yes")</f>
        <v>178</v>
      </c>
      <c r="V9" s="57" t="str">
        <f t="shared" ca="1" si="6"/>
        <v>18.0%</v>
      </c>
      <c r="W9" s="57">
        <f ca="1">SUMIFS(Included!AI:AI, Included!B:B, "&lt;="&amp;AM9, Included!B:B, "&gt;="&amp;AL9, IncludedCat, "yes")</f>
        <v>2</v>
      </c>
      <c r="X9" s="117" t="str">
        <f t="shared" ca="1" si="7"/>
        <v>0.2%</v>
      </c>
      <c r="Y9" s="98">
        <f ca="1">COUNTIFS(Included!AE:AE, "*None given*", Included!B:B,"&lt;="&amp;AM9, Included!B:B,"&gt;="&amp;AL9, IncludedCat, "yes")</f>
        <v>6</v>
      </c>
      <c r="Z9" s="57" t="str">
        <f t="shared" ca="1" si="8"/>
        <v>27.3%</v>
      </c>
      <c r="AA9" s="98">
        <f>COUNTIFS(Included!AK:AK, "*No SAEs mentioned in text*", Included!B:B,"&lt;="&amp;AM9, Included!B:B,"&gt;="&amp;AL9, IncludedCat, "yes")</f>
        <v>0</v>
      </c>
      <c r="AB9" s="98" t="str">
        <f t="shared" ca="1" si="9"/>
        <v>0.0%</v>
      </c>
      <c r="AC9" s="98">
        <f ca="1">COUNTIFS(Included!AI:AI, "=*nd*", Included!B:B,"&lt;="&amp;AM9,Included!B:B,"&gt;="&amp;AL9, IncludedCat, "yes")</f>
        <v>1</v>
      </c>
      <c r="AD9" s="98" t="str">
        <f t="shared" ca="1" si="10"/>
        <v>4.5%</v>
      </c>
      <c r="AE9" s="98">
        <f>COUNTIFS(Included!AI:AI, "=*unclear*", Included!B:B, "&lt;="&amp;AM9, Included!B:B, "&gt;="&amp;AL9, IncludedCat, "yes")</f>
        <v>0</v>
      </c>
      <c r="AF9" s="98">
        <f ca="1">COUNTIFS(Included!AG:AG, "=*nd*", Included!B:B, "&lt;="&amp;AM9, Included!B:B, "&gt;="&amp;AL9, IncludedCat, "yes")</f>
        <v>2</v>
      </c>
      <c r="AG9" s="98" t="str">
        <f t="shared" ca="1" si="11"/>
        <v>9.1%</v>
      </c>
      <c r="AH9" s="98">
        <f ca="1">COUNTIFS(Included!AG:AG, "=*unclear*", Included!B:B, "&lt;="&amp;AM9, Included!B:B, "&gt;="&amp;AL9, IncludedCat, "yes")</f>
        <v>9</v>
      </c>
      <c r="AI9" s="98">
        <f ca="1">COUNTIFS(Included!I:I, "&lt;&gt;", Included!B:B, "&lt;="&amp;AM9, Included!B:B, "&gt;="&amp;AL9, IncludedCat, "yes")</f>
        <v>22</v>
      </c>
      <c r="AJ9" s="98">
        <f>COUNTIFS(Included!I:I, "", Included!B:B, "&lt;="&amp;AM9, Included!B:B, "&gt;="&amp;AL9, IncludedCat, "yes")</f>
        <v>0</v>
      </c>
      <c r="AK9" s="98">
        <f>COUNTIFS(Included!AO:AO, "=ND", Included!B:B, "&lt;="&amp;AM9, Included!B:B, "&gt;="&amp;AL9, IncludedCat, "yes")</f>
        <v>0</v>
      </c>
      <c r="AL9" s="45">
        <f t="shared" si="12"/>
        <v>2020</v>
      </c>
      <c r="AM9" s="45">
        <f t="shared" si="13"/>
        <v>2029</v>
      </c>
    </row>
    <row r="10" spans="1:39">
      <c r="A10" s="62"/>
      <c r="B10" s="63"/>
      <c r="C10" s="63"/>
      <c r="D10" s="63"/>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145"/>
      <c r="AJ10" s="145"/>
      <c r="AK10" s="63"/>
    </row>
    <row r="11" spans="1:39">
      <c r="A11" s="114" t="s">
        <v>165</v>
      </c>
      <c r="B11" s="115">
        <f t="shared" ref="B11:I11" ca="1" si="14">SUM(B5:B10)</f>
        <v>284</v>
      </c>
      <c r="C11" s="115">
        <f t="shared" ca="1" si="14"/>
        <v>14628</v>
      </c>
      <c r="D11" s="115">
        <f t="shared" ca="1" si="14"/>
        <v>433</v>
      </c>
      <c r="E11" s="115">
        <f t="shared" ca="1" si="14"/>
        <v>9745</v>
      </c>
      <c r="F11" s="115">
        <f t="shared" ca="1" si="14"/>
        <v>9917</v>
      </c>
      <c r="G11" s="115">
        <f t="shared" ca="1" si="14"/>
        <v>10277</v>
      </c>
      <c r="H11" s="115">
        <f t="shared" ca="1" si="14"/>
        <v>1</v>
      </c>
      <c r="I11" s="115">
        <f t="shared" ca="1" si="14"/>
        <v>3321</v>
      </c>
      <c r="J11" s="115" t="str">
        <f ca="1">TEXT(I11/C11,"0.0%")</f>
        <v>22.7%</v>
      </c>
      <c r="K11" s="115">
        <f ca="1">SUM(K5:K10)</f>
        <v>4317</v>
      </c>
      <c r="L11" s="115" t="str">
        <f ca="1">TEXT(K11/C11,"0.0%")</f>
        <v>29.5%</v>
      </c>
      <c r="M11" s="115">
        <f ca="1">SUM(M5:M10)</f>
        <v>5730</v>
      </c>
      <c r="N11" s="115" t="str">
        <f ca="1">TEXT(M11/C11,"0.0%")</f>
        <v>39.2%</v>
      </c>
      <c r="O11" s="115">
        <f ca="1">SUM(O5:O10)</f>
        <v>6</v>
      </c>
      <c r="P11" s="115" t="str">
        <f ca="1">TEXT(O11/D11,"0.0%")</f>
        <v>1.4%</v>
      </c>
      <c r="Q11" s="115">
        <f ca="1">SUM(Q5:Q10)</f>
        <v>243</v>
      </c>
      <c r="R11" s="115" t="str">
        <f ca="1">TEXT(Q11/C11,"0.0%")</f>
        <v>1.7%</v>
      </c>
      <c r="S11" s="115">
        <f ca="1">SUM(S5:S10)</f>
        <v>285</v>
      </c>
      <c r="T11" s="115" t="str">
        <f ca="1">TEXT(S11/C11,"0.0%")</f>
        <v>1.9%</v>
      </c>
      <c r="U11" s="115">
        <f ca="1">SUM(U5:U10)</f>
        <v>801</v>
      </c>
      <c r="V11" s="115" t="str">
        <f ca="1">TEXT(U11/C11,"0.0%")</f>
        <v>5.5%</v>
      </c>
      <c r="W11" s="115">
        <f ca="1">SUM(W5:W10)</f>
        <v>23</v>
      </c>
      <c r="X11" s="115" t="str">
        <f ca="1">TEXT(W11/C11,"0.0%")</f>
        <v>0.2%</v>
      </c>
      <c r="Y11" s="115">
        <f ca="1">SUM(Y5:Y10)</f>
        <v>161</v>
      </c>
      <c r="Z11" s="115" t="str">
        <f ca="1">TEXT(Y11/B11,"0.0%")</f>
        <v>56.7%</v>
      </c>
      <c r="AA11" s="115">
        <f ca="1">SUM(AA5:AA10)</f>
        <v>81</v>
      </c>
      <c r="AB11" s="115" t="str">
        <f ca="1">TEXT(AA11/B11,"0.0%")</f>
        <v>28.5%</v>
      </c>
      <c r="AC11" s="115">
        <f ca="1">SUM(AC5:AC10)</f>
        <v>97</v>
      </c>
      <c r="AD11" s="115" t="str">
        <f ca="1">TEXT(AC11/B11,"0.0%")</f>
        <v>34.2%</v>
      </c>
      <c r="AE11" s="115">
        <f t="shared" ref="AE11:AF11" ca="1" si="15">SUM(AE5:AE10)</f>
        <v>0</v>
      </c>
      <c r="AF11" s="115">
        <f t="shared" ca="1" si="15"/>
        <v>94</v>
      </c>
      <c r="AG11" s="115" t="str">
        <f ca="1">TEXT(AF11/B11,"0.0%")</f>
        <v>33.1%</v>
      </c>
      <c r="AH11" s="115">
        <f t="shared" ref="AH11:AK11" ca="1" si="16">SUM(AH5:AH10)</f>
        <v>58</v>
      </c>
      <c r="AI11" s="115">
        <f t="shared" ca="1" si="16"/>
        <v>106</v>
      </c>
      <c r="AJ11" s="146">
        <f t="shared" ca="1" si="16"/>
        <v>178</v>
      </c>
      <c r="AK11" s="116">
        <f t="shared" ca="1" si="16"/>
        <v>17</v>
      </c>
    </row>
    <row r="12" spans="1:39">
      <c r="A12" s="57"/>
      <c r="B12" s="57"/>
      <c r="C12" s="57"/>
      <c r="D12" s="57"/>
      <c r="E12" s="57"/>
      <c r="F12" s="57"/>
      <c r="G12" s="57"/>
      <c r="H12" s="57"/>
      <c r="I12" s="57"/>
      <c r="J12" s="57"/>
      <c r="K12" s="57"/>
      <c r="L12" s="57"/>
      <c r="M12" s="57"/>
      <c r="N12" s="57"/>
      <c r="O12" s="57"/>
      <c r="P12" s="57"/>
      <c r="Q12" s="57"/>
      <c r="R12" s="57"/>
      <c r="S12" s="57"/>
      <c r="T12" s="57"/>
      <c r="U12" s="57"/>
      <c r="V12" s="57"/>
      <c r="W12" s="57"/>
      <c r="X12" s="57"/>
      <c r="Y12" s="57"/>
      <c r="Z12" s="57"/>
      <c r="AA12" s="57"/>
      <c r="AB12" s="57"/>
      <c r="AC12" s="57"/>
      <c r="AD12" s="57"/>
      <c r="AE12" s="57"/>
      <c r="AF12" s="57"/>
      <c r="AG12" s="57"/>
      <c r="AH12" s="57"/>
      <c r="AI12" s="63"/>
      <c r="AJ12" s="63"/>
      <c r="AK12" s="63"/>
    </row>
    <row r="13" spans="1:39">
      <c r="A13" s="117" t="s">
        <v>171</v>
      </c>
      <c r="B13" s="57"/>
      <c r="C13" s="57"/>
      <c r="D13" s="57"/>
      <c r="E13" s="57"/>
      <c r="F13" s="57"/>
      <c r="G13" s="57"/>
      <c r="H13" s="57"/>
      <c r="I13" s="57"/>
      <c r="J13" s="57"/>
      <c r="K13" s="57"/>
      <c r="L13" s="57"/>
      <c r="M13" s="57"/>
      <c r="N13" s="57"/>
      <c r="O13" s="57"/>
      <c r="P13" s="57"/>
      <c r="Q13" s="57"/>
      <c r="R13" s="57"/>
      <c r="S13" s="57"/>
      <c r="T13" s="57"/>
      <c r="U13" s="57"/>
      <c r="V13" s="57"/>
      <c r="W13" s="57"/>
      <c r="X13" s="57"/>
      <c r="Y13" s="57"/>
      <c r="Z13" s="57"/>
      <c r="AA13" s="57"/>
      <c r="AB13" s="57"/>
      <c r="AC13" s="57"/>
      <c r="AD13" s="57"/>
      <c r="AE13" s="57"/>
      <c r="AF13" s="57"/>
      <c r="AG13" s="57"/>
      <c r="AH13" s="57"/>
      <c r="AI13" s="57"/>
      <c r="AJ13" s="57"/>
      <c r="AK13" s="57"/>
    </row>
    <row r="14" spans="1:39" ht="42.75" customHeight="1">
      <c r="A14" s="118" t="s">
        <v>130</v>
      </c>
      <c r="B14" s="119" t="s">
        <v>226</v>
      </c>
      <c r="C14" s="119" t="s">
        <v>107</v>
      </c>
      <c r="D14" s="119" t="s">
        <v>131</v>
      </c>
      <c r="E14" s="119" t="s">
        <v>108</v>
      </c>
      <c r="F14" s="119"/>
      <c r="G14" s="119"/>
      <c r="H14" s="119" t="s">
        <v>133</v>
      </c>
      <c r="I14" s="422" t="s">
        <v>174</v>
      </c>
      <c r="J14" s="423"/>
      <c r="K14" s="119"/>
      <c r="L14" s="119"/>
      <c r="M14" s="119"/>
      <c r="N14" s="119"/>
      <c r="O14" s="422" t="s">
        <v>135</v>
      </c>
      <c r="P14" s="423"/>
      <c r="Q14" s="422" t="s">
        <v>136</v>
      </c>
      <c r="R14" s="423"/>
      <c r="S14" s="119"/>
      <c r="T14" s="119"/>
      <c r="U14" s="119"/>
      <c r="V14" s="119"/>
      <c r="W14" s="422" t="s">
        <v>137</v>
      </c>
      <c r="X14" s="423"/>
      <c r="Y14" s="422" t="s">
        <v>138</v>
      </c>
      <c r="Z14" s="423"/>
      <c r="AA14" s="119" t="s">
        <v>175</v>
      </c>
      <c r="AB14" s="119"/>
      <c r="AC14" s="119" t="s">
        <v>140</v>
      </c>
      <c r="AD14" s="119"/>
      <c r="AE14" s="119" t="s">
        <v>141</v>
      </c>
      <c r="AF14" s="119" t="s">
        <v>142</v>
      </c>
      <c r="AG14" s="119"/>
      <c r="AH14" s="119" t="s">
        <v>143</v>
      </c>
      <c r="AI14" s="119" t="s">
        <v>227</v>
      </c>
      <c r="AJ14" s="147" t="s">
        <v>228</v>
      </c>
      <c r="AK14" s="148"/>
      <c r="AL14" s="28" t="s">
        <v>104</v>
      </c>
      <c r="AM14" s="28" t="s">
        <v>111</v>
      </c>
    </row>
    <row r="15" spans="1:39">
      <c r="A15" s="107" t="s">
        <v>147</v>
      </c>
      <c r="B15" s="57">
        <f ca="1">COUNTIFS(Included!B:B,"&lt;="&amp;AM15,Included!B:B,"&gt;="&amp;AL15, IncludedCat, "yes")</f>
        <v>31</v>
      </c>
      <c r="C15" s="57">
        <f ca="1">SUMIFS(Included!X:X, Included!B:B, "&lt;="&amp;AM15, Included!B:B, "&gt;="&amp;AL15, IncludedCat, "yes")</f>
        <v>1761</v>
      </c>
      <c r="D15" s="117">
        <f ca="1">SUMIFS(Included!AB:AB, Included!B:B, "&lt;="&amp;AM15, Included!B:B, "&gt;="&amp;AL15, IncludedCat, "yes")</f>
        <v>18</v>
      </c>
      <c r="E15" s="57">
        <f ca="1">SUMIFS(Included!Z:Z, Included!B:B, "&lt;="&amp;AM15, Included!B:B, "&gt;="&amp;AL15, IncludedCat, "yes")</f>
        <v>1158</v>
      </c>
      <c r="F15" s="57"/>
      <c r="G15" s="57"/>
      <c r="H15" s="57">
        <f ca="1">SUMIFS(Included!AD:AD, Included!B:B, "&lt;="&amp;AM15, Included!B:B, "&gt;="&amp;AL15, IncludedCat, "yes")</f>
        <v>0</v>
      </c>
      <c r="I15" s="57">
        <f ca="1">SUMIFS(Included!AG:AG, Included!B:B, "&lt;="&amp;AM15, Included!B:B, "&gt;="&amp;AL15, IncludedCat, "yes")</f>
        <v>336</v>
      </c>
      <c r="J15" s="57" t="str">
        <f t="shared" ref="J15:J17" ca="1" si="17">"("&amp;TEXT(I15/C15,"0.0%")&amp;")"</f>
        <v>(19.1%)</v>
      </c>
      <c r="K15" s="57"/>
      <c r="L15" s="57"/>
      <c r="M15" s="57"/>
      <c r="N15" s="57"/>
      <c r="O15" s="57">
        <f ca="1">SUMIFS(Included!AL:AL, Included!B:B, "&lt;="&amp;AM15, Included!B:B, "&gt;="&amp;AL15, IncludedCat, "yes")</f>
        <v>0</v>
      </c>
      <c r="P15" s="57" t="str">
        <f t="shared" ref="P15:P17" ca="1" si="18">"("&amp;TEXT(IFERROR(O15/D15,0),"0.0%")&amp;")"</f>
        <v>(0.0%)</v>
      </c>
      <c r="Q15" s="57">
        <f ca="1">SUMIFS(Included!AJ:AJ, Included!B:B, "&lt;="&amp;AM15, Included!B:B, "&gt;="&amp;AL15, IncludedCat, "yes")</f>
        <v>9</v>
      </c>
      <c r="R15" s="57" t="str">
        <f t="shared" ref="R15:R17" ca="1" si="19">"("&amp;TEXT(Q15/C15,"0.0%")&amp;")"</f>
        <v>(0.5%)</v>
      </c>
      <c r="S15" s="57"/>
      <c r="T15" s="57"/>
      <c r="U15" s="57"/>
      <c r="V15" s="57"/>
      <c r="W15" s="57">
        <f ca="1">SUMIFS(Included!AI:AI, Included!B:B, "&lt;="&amp;AM15, Included!B:B, "&gt;="&amp;AL15, IncludedCat, "yes")</f>
        <v>6</v>
      </c>
      <c r="X15" s="57" t="str">
        <f t="shared" ref="X15:X17" ca="1" si="20">"("&amp;TEXT(W15/C15,"0.0%")&amp;")"</f>
        <v>(0.3%)</v>
      </c>
      <c r="Y15" s="98">
        <f ca="1">COUNTIFS(Included!AE:AE, "*None given*", Included!B:B,"&lt;="&amp;AM15,Included!B:B,"&gt;="&amp;AL15, IncludedCat, "yes")</f>
        <v>25</v>
      </c>
      <c r="Z15" s="57" t="str">
        <f t="shared" ref="Z15:Z17" ca="1" si="21">"("&amp;TEXT(Y15/B15,"0.0%")&amp;")"</f>
        <v>(80.6%)</v>
      </c>
      <c r="AA15" s="98">
        <f ca="1">COUNTIFS(Included!AK:AK, "*No SAEs mentioned in text*", Included!B:B,"&lt;="&amp;AM15,Included!B:B,"&gt;="&amp;AL15, IncludedCat, "yes")</f>
        <v>23</v>
      </c>
      <c r="AB15" s="98"/>
      <c r="AC15" s="98">
        <f ca="1">COUNTIFS(Included!AI:AI, "=*nd*", Included!B:B,"&lt;="&amp;AM15,Included!B:B,"&gt;="&amp;AL15, IncludedCat, "yes")</f>
        <v>6</v>
      </c>
      <c r="AD15" s="98"/>
      <c r="AE15" s="98">
        <f>COUNTIFS(Included!AI:AI, "=*unclear*", Included!B:B, "&lt;="&amp;AM15, Included!B:B, "&gt;="&amp;AL15, IncludedCat, "yes")</f>
        <v>0</v>
      </c>
      <c r="AF15" s="98">
        <f ca="1">COUNTIFS(Included!AG:AG, "=*nd*", Included!B:B, "&lt;="&amp;AM15, Included!B:B, "&gt;="&amp;AL15, IncludedCat, "yes")</f>
        <v>8</v>
      </c>
      <c r="AG15" s="98"/>
      <c r="AH15" s="98">
        <f ca="1">COUNTIFS(Included!AG:AG, "=*unclear*", Included!B:B, "&lt;="&amp;AM15, Included!B:B, "&gt;="&amp;AL15, IncludedCat, "yes")</f>
        <v>2</v>
      </c>
      <c r="AI15" s="98">
        <f>COUNTIFS(Included!I:I, "&lt;&gt;", Included!B:B, "&lt;="&amp;AM15, Included!B:B, "&gt;="&amp;AL15, IncludedCat, "yes")</f>
        <v>0</v>
      </c>
      <c r="AJ15" s="98">
        <f ca="1">COUNTIFS(Included!I:I, "", Included!B:B, "&lt;="&amp;AM15, Included!B:B, "&gt;="&amp;AL15, IncludedCat, "yes")</f>
        <v>31</v>
      </c>
      <c r="AK15" s="98"/>
      <c r="AL15" s="28">
        <v>1980</v>
      </c>
      <c r="AM15" s="28">
        <v>1989</v>
      </c>
    </row>
    <row r="16" spans="1:39">
      <c r="A16" s="109" t="s">
        <v>180</v>
      </c>
      <c r="B16" s="63">
        <f ca="1">COUNTIFS(Included!B:B,"&lt;="&amp;AM16,Included!B:B,"&gt;="&amp;AL16, IncludedCat, "yes")</f>
        <v>125</v>
      </c>
      <c r="C16" s="63">
        <f ca="1">SUMIFS(Included!X:X, Included!B:B, "&lt;="&amp;AM16, Included!B:B, "&gt;="&amp;AL16, IncludedCat, "yes")</f>
        <v>7088</v>
      </c>
      <c r="D16" s="121">
        <f ca="1">SUMIFS(Included!AB:AB, Included!B:B, "&lt;="&amp;AM16, Included!B:B, "&gt;="&amp;AL16, IncludedCat, "yes")</f>
        <v>84</v>
      </c>
      <c r="E16" s="63">
        <f ca="1">SUMIFS(Included!Z:Z, Included!B:B, "&lt;="&amp;AM16, Included!B:B, "&gt;="&amp;AL16, IncludedCat, "yes")</f>
        <v>5098</v>
      </c>
      <c r="F16" s="63"/>
      <c r="G16" s="63"/>
      <c r="H16" s="63">
        <f ca="1">SUMIFS(Included!AD:AD, Included!B:B, "&lt;="&amp;AM16, Included!B:B, "&gt;="&amp;AL16, IncludedCat, "yes")</f>
        <v>0</v>
      </c>
      <c r="I16" s="63">
        <f ca="1">SUMIFS(Included!AG:AG, Included!B:B, "&lt;="&amp;AM16, Included!B:B, "&gt;="&amp;AL16, IncludedCat, "yes")</f>
        <v>1592</v>
      </c>
      <c r="J16" s="63" t="str">
        <f t="shared" ca="1" si="17"/>
        <v>(22.5%)</v>
      </c>
      <c r="K16" s="63"/>
      <c r="L16" s="63"/>
      <c r="M16" s="63"/>
      <c r="N16" s="63"/>
      <c r="O16" s="63">
        <f ca="1">SUMIFS(Included!AL:AL, Included!B:B, "&lt;="&amp;AM16, Included!B:B, "&gt;="&amp;AL16, IncludedCat, "yes")</f>
        <v>0</v>
      </c>
      <c r="P16" s="63" t="str">
        <f t="shared" ca="1" si="18"/>
        <v>(0.0%)</v>
      </c>
      <c r="Q16" s="63">
        <f ca="1">SUMIFS(Included!AJ:AJ, Included!B:B, "&lt;="&amp;AM16, Included!B:B, "&gt;="&amp;AL16, IncludedCat, "yes")</f>
        <v>48</v>
      </c>
      <c r="R16" s="63" t="str">
        <f t="shared" ca="1" si="19"/>
        <v>(0.7%)</v>
      </c>
      <c r="S16" s="63"/>
      <c r="T16" s="63"/>
      <c r="U16" s="63"/>
      <c r="V16" s="63"/>
      <c r="W16" s="63">
        <f ca="1">SUMIFS(Included!AI:AI, Included!B:B, "&lt;="&amp;AM16, Included!B:B, "&gt;="&amp;AL16, IncludedCat, "yes")</f>
        <v>2</v>
      </c>
      <c r="X16" s="63" t="str">
        <f t="shared" ca="1" si="20"/>
        <v>(0.0%)</v>
      </c>
      <c r="Y16" s="110">
        <f ca="1">COUNTIFS(Included!AE:AE, "*None given*", Included!B:B,"&lt;="&amp;AM16,Included!B:B,"&gt;="&amp;AL16, IncludedCat, "yes")</f>
        <v>97</v>
      </c>
      <c r="Z16" s="63" t="str">
        <f t="shared" ca="1" si="21"/>
        <v>(77.6%)</v>
      </c>
      <c r="AA16" s="110">
        <f ca="1">COUNTIFS(Included!AK:AK, "*No SAEs mentioned in text*", Included!B:B,"&lt;="&amp;AM16,Included!B:B,"&gt;="&amp;AL16, IncludedCat, "yes")</f>
        <v>50</v>
      </c>
      <c r="AB16" s="110"/>
      <c r="AC16" s="110">
        <f ca="1">COUNTIFS(Included!AI:AI, "=*nd*", Included!B:B,"&lt;="&amp;AM16,Included!B:B,"&gt;="&amp;AL16, IncludedCat, "yes")</f>
        <v>58</v>
      </c>
      <c r="AD16" s="110"/>
      <c r="AE16" s="110">
        <f>COUNTIFS(Included!AI:AI, "=*unclear*", Included!B:B, "&lt;="&amp;AM16, Included!B:B, "&gt;="&amp;AL16, IncludedCat, "yes")</f>
        <v>0</v>
      </c>
      <c r="AF16" s="110">
        <f ca="1">COUNTIFS(Included!AG:AG, "=*nd*", Included!B:B, "&lt;="&amp;AM16, Included!B:B, "&gt;="&amp;AL16, IncludedCat, "yes")</f>
        <v>58</v>
      </c>
      <c r="AG16" s="110"/>
      <c r="AH16" s="110">
        <f ca="1">COUNTIFS(Included!AG:AG, "=*unclear*", Included!B:B, "&lt;="&amp;AM16, Included!B:B, "&gt;="&amp;AL16, IncludedCat, "yes")</f>
        <v>15</v>
      </c>
      <c r="AI16" s="110">
        <f ca="1">COUNTIFS(Included!I:I, "&lt;&gt;", Included!B:B, "&lt;="&amp;AM16, Included!B:B, "&gt;="&amp;AL16, IncludedCat, "yes")</f>
        <v>3</v>
      </c>
      <c r="AJ16" s="110">
        <f ca="1">COUNTIFS(Included!I:I, "", Included!B:B, "&lt;="&amp;AM16, Included!B:B, "&gt;="&amp;AL16, IncludedCat, "yes")</f>
        <v>122</v>
      </c>
      <c r="AK16" s="110"/>
      <c r="AL16" s="45">
        <f t="shared" ref="AL16:AL17" si="22">AM15+1</f>
        <v>1990</v>
      </c>
      <c r="AM16" s="45">
        <f t="shared" ref="AM16:AM17" si="23">AL16+19</f>
        <v>2009</v>
      </c>
    </row>
    <row r="17" spans="1:39">
      <c r="A17" s="107" t="s">
        <v>183</v>
      </c>
      <c r="B17" s="57">
        <f ca="1">COUNTIFS(Included!B:B,"&lt;="&amp;AM17,Included!B:B,"&gt;="&amp;AL17, IncludedCat, "yes")</f>
        <v>128</v>
      </c>
      <c r="C17" s="57">
        <f ca="1">SUMIFS(Included!X:X, Included!B:B, "&lt;="&amp;AM17, Included!B:B, "&gt;="&amp;AL17, IncludedCat, "yes")</f>
        <v>5779</v>
      </c>
      <c r="D17" s="117">
        <f ca="1">SUMIFS(Included!AB:AB, Included!B:B, "&lt;="&amp;AM17, Included!B:B, "&gt;="&amp;AL17, IncludedCat, "yes")</f>
        <v>331</v>
      </c>
      <c r="E17" s="57">
        <f ca="1">SUMIFS(Included!Z:Z, Included!B:B, "&lt;="&amp;AM17, Included!B:B, "&gt;="&amp;AL17, IncludedCat, "yes")</f>
        <v>3489</v>
      </c>
      <c r="F17" s="57"/>
      <c r="G17" s="57"/>
      <c r="H17" s="57">
        <f ca="1">SUMIFS(Included!AD:AD, Included!B:B, "&lt;="&amp;AM17, Included!B:B, "&gt;="&amp;AL17, IncludedCat, "yes")</f>
        <v>1</v>
      </c>
      <c r="I17" s="57">
        <f ca="1">SUMIFS(Included!AG:AG, Included!B:B, "&lt;="&amp;AM17, Included!B:B, "&gt;="&amp;AL17, IncludedCat, "yes")</f>
        <v>1393</v>
      </c>
      <c r="J17" s="57" t="str">
        <f t="shared" ca="1" si="17"/>
        <v>(24.1%)</v>
      </c>
      <c r="K17" s="57"/>
      <c r="L17" s="57"/>
      <c r="M17" s="57"/>
      <c r="N17" s="57"/>
      <c r="O17" s="57">
        <f ca="1">SUMIFS(Included!AL:AL, Included!B:B, "&lt;="&amp;AM17, Included!B:B, "&gt;="&amp;AL17, IncludedCat, "yes")</f>
        <v>6</v>
      </c>
      <c r="P17" s="57" t="str">
        <f t="shared" ca="1" si="18"/>
        <v>(1.8%)</v>
      </c>
      <c r="Q17" s="57">
        <f ca="1">SUMIFS(Included!AJ:AJ, Included!B:B, "&lt;="&amp;AM17, Included!B:B, "&gt;="&amp;AL17, IncludedCat, "yes")</f>
        <v>186</v>
      </c>
      <c r="R17" s="57" t="str">
        <f t="shared" ca="1" si="19"/>
        <v>(3.2%)</v>
      </c>
      <c r="S17" s="57"/>
      <c r="T17" s="57"/>
      <c r="U17" s="57"/>
      <c r="V17" s="57"/>
      <c r="W17" s="57">
        <f ca="1">SUMIFS(Included!AI:AI, Included!B:B, "&lt;="&amp;AM17, Included!B:B, "&gt;="&amp;AL17, IncludedCat, "yes")</f>
        <v>15</v>
      </c>
      <c r="X17" s="57" t="str">
        <f t="shared" ca="1" si="20"/>
        <v>(0.3%)</v>
      </c>
      <c r="Y17" s="98">
        <f ca="1">COUNTIFS(Included!AE:AE, "*None given*", Included!B:B,"&lt;="&amp;AM17,Included!B:B,"&gt;="&amp;AL17, IncludedCat, "yes")</f>
        <v>39</v>
      </c>
      <c r="Z17" s="57" t="str">
        <f t="shared" ca="1" si="21"/>
        <v>(30.5%)</v>
      </c>
      <c r="AA17" s="98">
        <f ca="1">COUNTIFS(Included!AK:AK, "*No SAEs mentioned in text*", Included!B:B,"&lt;="&amp;AM17,Included!B:B,"&gt;="&amp;AL17, IncludedCat, "yes")</f>
        <v>8</v>
      </c>
      <c r="AB17" s="98"/>
      <c r="AC17" s="98">
        <f ca="1">COUNTIFS(Included!AI:AI, "=*nd*", Included!B:B,"&lt;="&amp;AM17,Included!B:B,"&gt;="&amp;AL17, IncludedCat, "yes")</f>
        <v>33</v>
      </c>
      <c r="AD17" s="98"/>
      <c r="AE17" s="98">
        <f ca="1">COUNTIFS(Included!AI:AI, "=*unclear*", Included!B:B, "&lt;="&amp;AM17, Included!B:B, "&gt;="&amp;AL17, IncludedCat, "yes")</f>
        <v>0</v>
      </c>
      <c r="AF17" s="98">
        <f ca="1">COUNTIFS(Included!AG:AG, "=*nd*", Included!B:B, "&lt;="&amp;AM17, Included!B:B, "&gt;="&amp;AL17, IncludedCat, "yes")</f>
        <v>28</v>
      </c>
      <c r="AG17" s="98"/>
      <c r="AH17" s="98">
        <f ca="1">COUNTIFS(Included!AG:AG, "=*unclear*", Included!B:B, "&lt;="&amp;AM17, Included!B:B, "&gt;="&amp;AL17, IncludedCat, "yes")</f>
        <v>41</v>
      </c>
      <c r="AI17" s="98">
        <f ca="1">COUNTIFS(Included!I:I, "&lt;&gt;", Included!B:B, "&lt;="&amp;AM17, Included!B:B, "&gt;="&amp;AL17, IncludedCat, "yes")</f>
        <v>103</v>
      </c>
      <c r="AJ17" s="98">
        <f ca="1">COUNTIFS(Included!I:I, "", Included!B:B, "&lt;="&amp;AM17, Included!B:B, "&gt;="&amp;AL17, IncludedCat, "yes")</f>
        <v>25</v>
      </c>
      <c r="AK17" s="98"/>
      <c r="AL17" s="45">
        <f t="shared" si="22"/>
        <v>2010</v>
      </c>
      <c r="AM17" s="45">
        <f t="shared" si="23"/>
        <v>2029</v>
      </c>
    </row>
    <row r="18" spans="1:39">
      <c r="A18" s="109"/>
      <c r="B18" s="63"/>
      <c r="C18" s="63"/>
      <c r="D18" s="63"/>
      <c r="E18" s="63"/>
      <c r="F18" s="63"/>
      <c r="G18" s="63"/>
      <c r="H18" s="63"/>
      <c r="I18" s="63"/>
      <c r="J18" s="63"/>
      <c r="K18" s="63"/>
      <c r="L18" s="63"/>
      <c r="M18" s="63"/>
      <c r="N18" s="63"/>
      <c r="O18" s="63"/>
      <c r="P18" s="63"/>
      <c r="Q18" s="63"/>
      <c r="R18" s="63"/>
      <c r="S18" s="63"/>
      <c r="T18" s="63"/>
      <c r="U18" s="63"/>
      <c r="V18" s="63"/>
      <c r="W18" s="63"/>
      <c r="X18" s="63"/>
      <c r="Y18" s="110"/>
      <c r="Z18" s="110"/>
      <c r="AA18" s="110"/>
      <c r="AB18" s="110"/>
      <c r="AC18" s="110"/>
      <c r="AD18" s="110"/>
      <c r="AE18" s="110"/>
      <c r="AF18" s="63"/>
      <c r="AG18" s="63"/>
      <c r="AH18" s="63"/>
      <c r="AI18" s="63"/>
      <c r="AJ18" s="63"/>
      <c r="AK18" s="63"/>
    </row>
    <row r="19" spans="1:39">
      <c r="A19" s="114" t="s">
        <v>112</v>
      </c>
      <c r="B19" s="115">
        <f t="shared" ref="B19:E19" ca="1" si="24">SUM(B15:B18)</f>
        <v>284</v>
      </c>
      <c r="C19" s="115">
        <f t="shared" ca="1" si="24"/>
        <v>14628</v>
      </c>
      <c r="D19" s="115">
        <f t="shared" ca="1" si="24"/>
        <v>433</v>
      </c>
      <c r="E19" s="115">
        <f t="shared" ca="1" si="24"/>
        <v>9745</v>
      </c>
      <c r="F19" s="115"/>
      <c r="G19" s="115"/>
      <c r="H19" s="115">
        <f t="shared" ref="H19:I19" ca="1" si="25">SUM(H15:H18)</f>
        <v>1</v>
      </c>
      <c r="I19" s="115">
        <f t="shared" ca="1" si="25"/>
        <v>3321</v>
      </c>
      <c r="J19" s="115" t="str">
        <f ca="1">"("&amp;TEXT(I19/C19,"0.0%")&amp;")"</f>
        <v>(22.7%)</v>
      </c>
      <c r="K19" s="115"/>
      <c r="L19" s="115"/>
      <c r="M19" s="115"/>
      <c r="N19" s="115"/>
      <c r="O19" s="115">
        <f ca="1">SUM(O15:O18)</f>
        <v>6</v>
      </c>
      <c r="P19" s="115" t="str">
        <f ca="1">"("&amp;TEXT(IFERROR(O19/D19,0),"0.0%")&amp;")"</f>
        <v>(1.4%)</v>
      </c>
      <c r="Q19" s="115">
        <f ca="1">SUM(Q15:Q18)</f>
        <v>243</v>
      </c>
      <c r="R19" s="115" t="str">
        <f ca="1">"("&amp;TEXT(Q19/C19,"0.0%")&amp;")"</f>
        <v>(1.7%)</v>
      </c>
      <c r="S19" s="115"/>
      <c r="T19" s="115"/>
      <c r="U19" s="115"/>
      <c r="V19" s="115"/>
      <c r="W19" s="115">
        <f ca="1">SUM(W15:W18)</f>
        <v>23</v>
      </c>
      <c r="X19" s="115" t="str">
        <f ca="1">"("&amp;TEXT(W19/C19,"0.0%")&amp;")"</f>
        <v>(0.2%)</v>
      </c>
      <c r="Y19" s="115">
        <f ca="1">SUM(Y13:Y18)</f>
        <v>161</v>
      </c>
      <c r="Z19" s="115" t="str">
        <f ca="1">"("&amp;TEXT(Y19/B19,"0.0%")&amp;")"</f>
        <v>(56.7%)</v>
      </c>
      <c r="AA19" s="115">
        <f ca="1">SUM(AA13:AA18)</f>
        <v>81</v>
      </c>
      <c r="AB19" s="115"/>
      <c r="AC19" s="115">
        <f ca="1">SUM(AC13:AC18)</f>
        <v>97</v>
      </c>
      <c r="AD19" s="115"/>
      <c r="AE19" s="115">
        <f t="shared" ref="AE19:AF19" ca="1" si="26">SUM(AE13:AE18)</f>
        <v>0</v>
      </c>
      <c r="AF19" s="115">
        <f t="shared" ca="1" si="26"/>
        <v>94</v>
      </c>
      <c r="AG19" s="115"/>
      <c r="AH19" s="115">
        <f t="shared" ref="AH19:AJ19" ca="1" si="27">SUM(AH13:AH18)</f>
        <v>58</v>
      </c>
      <c r="AI19" s="115">
        <f t="shared" ca="1" si="27"/>
        <v>106</v>
      </c>
      <c r="AJ19" s="116">
        <f t="shared" ca="1" si="27"/>
        <v>178</v>
      </c>
      <c r="AK19" s="57"/>
    </row>
    <row r="20" spans="1:39">
      <c r="A20" s="57"/>
      <c r="B20" s="57"/>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63"/>
      <c r="AJ20" s="63"/>
      <c r="AK20" s="63"/>
    </row>
    <row r="21" spans="1:39">
      <c r="B21" s="10"/>
    </row>
    <row r="22" spans="1:39">
      <c r="B22" s="10"/>
    </row>
    <row r="23" spans="1:39">
      <c r="B23" s="10"/>
    </row>
    <row r="24" spans="1:39">
      <c r="B24" s="10"/>
    </row>
    <row r="25" spans="1:39">
      <c r="B25" s="10"/>
    </row>
    <row r="26" spans="1:39">
      <c r="B26" s="10"/>
    </row>
    <row r="27" spans="1:39">
      <c r="B27" s="10"/>
    </row>
    <row r="28" spans="1:39">
      <c r="B28" s="10"/>
    </row>
    <row r="29" spans="1:39">
      <c r="B29" s="10"/>
    </row>
    <row r="30" spans="1:39">
      <c r="B30" s="10"/>
    </row>
    <row r="31" spans="1:39">
      <c r="B31" s="10"/>
    </row>
    <row r="32" spans="1:39">
      <c r="B32" s="10"/>
    </row>
    <row r="33" spans="2:2">
      <c r="B33" s="10"/>
    </row>
    <row r="34" spans="2:2">
      <c r="B34" s="10"/>
    </row>
    <row r="35" spans="2:2">
      <c r="B35" s="10"/>
    </row>
    <row r="36" spans="2:2">
      <c r="B36" s="10"/>
    </row>
    <row r="37" spans="2:2">
      <c r="B37" s="10"/>
    </row>
    <row r="38" spans="2:2">
      <c r="B38" s="10"/>
    </row>
    <row r="39" spans="2:2">
      <c r="B39" s="10"/>
    </row>
    <row r="40" spans="2:2">
      <c r="B40" s="10"/>
    </row>
    <row r="41" spans="2:2">
      <c r="B41" s="10"/>
    </row>
    <row r="42" spans="2:2">
      <c r="B42" s="10"/>
    </row>
    <row r="43" spans="2:2" ht="12.75">
      <c r="B43" s="10"/>
    </row>
    <row r="44" spans="2:2" ht="12.75">
      <c r="B44" s="10"/>
    </row>
    <row r="45" spans="2:2" ht="12.75">
      <c r="B45" s="10"/>
    </row>
    <row r="46" spans="2:2" ht="12.75">
      <c r="B46" s="10"/>
    </row>
    <row r="47" spans="2:2" ht="12.75">
      <c r="B47" s="10"/>
    </row>
    <row r="48" spans="2:2" ht="12.75">
      <c r="B48" s="10"/>
    </row>
    <row r="49" spans="2:2" ht="12.75">
      <c r="B49" s="10"/>
    </row>
    <row r="50" spans="2:2" ht="12.75">
      <c r="B50" s="10"/>
    </row>
    <row r="51" spans="2:2" ht="12.75">
      <c r="B51" s="10"/>
    </row>
    <row r="52" spans="2:2" ht="12.75">
      <c r="B52" s="10"/>
    </row>
  </sheetData>
  <mergeCells count="17">
    <mergeCell ref="S4:T4"/>
    <mergeCell ref="U4:V4"/>
    <mergeCell ref="I4:J4"/>
    <mergeCell ref="K4:L4"/>
    <mergeCell ref="M4:N4"/>
    <mergeCell ref="O4:P4"/>
    <mergeCell ref="Q4:R4"/>
    <mergeCell ref="I14:J14"/>
    <mergeCell ref="O14:P14"/>
    <mergeCell ref="Q14:R14"/>
    <mergeCell ref="W14:X14"/>
    <mergeCell ref="Y14:Z14"/>
    <mergeCell ref="W4:X4"/>
    <mergeCell ref="Y4:Z4"/>
    <mergeCell ref="AA4:AB4"/>
    <mergeCell ref="AC4:AD4"/>
    <mergeCell ref="AF4:AG4"/>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AC1001"/>
  <sheetViews>
    <sheetView workbookViewId="0"/>
  </sheetViews>
  <sheetFormatPr defaultColWidth="14.42578125" defaultRowHeight="15.75" customHeight="1"/>
  <cols>
    <col min="1" max="1" width="20.42578125" customWidth="1"/>
    <col min="2" max="2" width="12.140625" customWidth="1"/>
    <col min="3" max="3" width="13.7109375" customWidth="1"/>
    <col min="5" max="5" width="17.140625" customWidth="1"/>
    <col min="6" max="6" width="17.5703125" customWidth="1"/>
    <col min="17" max="17" width="16.140625" customWidth="1"/>
    <col min="32" max="32" width="11.5703125" customWidth="1"/>
  </cols>
  <sheetData>
    <row r="1" spans="1:29">
      <c r="A1" s="28" t="s">
        <v>229</v>
      </c>
      <c r="B1" s="10"/>
    </row>
    <row r="2" spans="1:29" ht="15.75" customHeight="1">
      <c r="B2" s="10"/>
      <c r="D2" s="140"/>
      <c r="H2" s="141"/>
    </row>
    <row r="3" spans="1:29">
      <c r="A3" s="28" t="s">
        <v>127</v>
      </c>
    </row>
    <row r="4" spans="1:29">
      <c r="A4" s="51" t="s">
        <v>130</v>
      </c>
      <c r="B4" s="52" t="s">
        <v>226</v>
      </c>
      <c r="C4" s="52" t="s">
        <v>107</v>
      </c>
      <c r="D4" s="52" t="s">
        <v>131</v>
      </c>
      <c r="E4" s="52" t="s">
        <v>132</v>
      </c>
      <c r="F4" s="52" t="s">
        <v>133</v>
      </c>
      <c r="G4" s="418" t="s">
        <v>134</v>
      </c>
      <c r="H4" s="421"/>
      <c r="I4" s="418" t="s">
        <v>135</v>
      </c>
      <c r="J4" s="421"/>
      <c r="K4" s="418" t="s">
        <v>136</v>
      </c>
      <c r="L4" s="421"/>
      <c r="M4" s="418" t="s">
        <v>137</v>
      </c>
      <c r="N4" s="421"/>
      <c r="O4" s="418" t="s">
        <v>138</v>
      </c>
      <c r="P4" s="421"/>
      <c r="Q4" s="52" t="s">
        <v>139</v>
      </c>
      <c r="R4" s="52" t="s">
        <v>140</v>
      </c>
      <c r="S4" s="52" t="s">
        <v>141</v>
      </c>
      <c r="T4" s="52" t="s">
        <v>142</v>
      </c>
      <c r="U4" s="103" t="s">
        <v>143</v>
      </c>
      <c r="W4" s="28" t="s">
        <v>104</v>
      </c>
      <c r="X4" s="28" t="s">
        <v>111</v>
      </c>
      <c r="Z4" s="29" t="s">
        <v>230</v>
      </c>
      <c r="AA4" s="29" t="s">
        <v>231</v>
      </c>
    </row>
    <row r="5" spans="1:29">
      <c r="A5" s="107" t="s">
        <v>147</v>
      </c>
      <c r="B5" s="57">
        <f>COUNTIFS(Included!B:B,"&lt;="&amp;X5, Included!B:B,"&gt;="&amp;W5, Included!AS:AS, "yes")</f>
        <v>33</v>
      </c>
      <c r="C5" s="57">
        <f>SUMIFS(Included!X:X, Included!B:B, "&lt;="&amp;X5, Included!B:B, "&gt;="&amp;W5, Included!AS:AS, "yes")</f>
        <v>1789</v>
      </c>
      <c r="D5" s="57">
        <f>SUMIFS(Included!AB:AB, Included!B:B, "&lt;="&amp;X5, Included!B:B, "&gt;="&amp;W5, Included!AS:AS, "yes")</f>
        <v>18</v>
      </c>
      <c r="E5" s="57">
        <f>SUMIFS(Included!Z:Z, Included!B:B, "&lt;="&amp;X5, Included!B:B, "&gt;="&amp;W5, Included!AS:AS, "yes")</f>
        <v>1173</v>
      </c>
      <c r="F5" s="57">
        <f>SUMIFS(Included!AD:AD, Included!B:B, "&lt;="&amp;X5, Included!B:B, "&gt;="&amp;W5, Included!AS:AS, "yes")</f>
        <v>0</v>
      </c>
      <c r="G5" s="57">
        <f>SUMIFS(Included!AG:AG, Included!B:B, "&lt;="&amp;X5, Included!B:B, "&gt;="&amp;W5, Included!AS:AS, "yes")</f>
        <v>338</v>
      </c>
      <c r="H5" s="57" t="str">
        <f t="shared" ref="H5:H9" si="0">"("&amp;TEXT(G5/C5,"0.0%")&amp;")"</f>
        <v>(18.9%)</v>
      </c>
      <c r="I5" s="57">
        <f>SUMIFS(Included!AL:AL, Included!B:B, "&lt;="&amp;X5, Included!B:B, "&gt;="&amp;W5, Included!AS:AS, "yes")</f>
        <v>0</v>
      </c>
      <c r="J5" s="57" t="str">
        <f t="shared" ref="J5:J9" si="1">"("&amp;TEXT(I5/D5,"0.0%")&amp;")"</f>
        <v>(0.0%)</v>
      </c>
      <c r="K5" s="57">
        <f>SUMIFS(Included!AJ:AJ, Included!B:B, "&lt;="&amp;X5, Included!B:B, "&gt;="&amp;W5, Included!AS:AS, "yes")</f>
        <v>9</v>
      </c>
      <c r="L5" s="57" t="str">
        <f t="shared" ref="L5:L9" si="2">"("&amp;TEXT(K5/C5,"0.0%")&amp;")"</f>
        <v>(0.5%)</v>
      </c>
      <c r="M5" s="57">
        <f>SUMIFS(Included!AI:AI, Included!B:B, "&lt;="&amp;X5, Included!B:B, "&gt;="&amp;W5, Included!AS:AS, "yes")</f>
        <v>6</v>
      </c>
      <c r="N5" s="57" t="str">
        <f t="shared" ref="N5:N9" si="3">"("&amp;TEXT(M5/C5,"0.0%")&amp;")"</f>
        <v>(0.3%)</v>
      </c>
      <c r="O5" s="98">
        <f>COUNTIFS(Included!AE:AE, "*None given*", Included!B:B,"&lt;="&amp;X5, Included!B:B,"&gt;="&amp;W5, Included!AS:AS, "yes")</f>
        <v>27</v>
      </c>
      <c r="P5" s="57" t="str">
        <f t="shared" ref="P5:P9" si="4">"("&amp;TEXT(O5/B5,"0.0%")&amp;")"</f>
        <v>(81.8%)</v>
      </c>
      <c r="Q5" s="98">
        <f>COUNTIFS(Included!AK:AK, "*No SAEs mentioned in text*", Included!B:B,"&lt;="&amp;X5, Included!B:B,"&gt;="&amp;W5, Included!AS:AS, "yes")</f>
        <v>25</v>
      </c>
      <c r="R5" s="98">
        <f>COUNTIFS(Included!AI:AI, "=*nd*", Included!B:B,"&lt;="&amp;X5,Included!B:B,"&gt;="&amp;W5, Included!AS:AS, "yes")</f>
        <v>6</v>
      </c>
      <c r="S5" s="98">
        <f>COUNTIFS(Included!AI:AI, "=*unclear*", Included!B:B, "&lt;="&amp;X5, Included!B:B, "&gt;="&amp;W5, Included!AS:AS, "yes")</f>
        <v>0</v>
      </c>
      <c r="T5" s="98">
        <f>COUNTIFS(Included!AG:AG, "=*nd*", Included!B:B, "&lt;="&amp;X5, Included!B:B, "&gt;="&amp;W5, Included!AS:AS, "yes")</f>
        <v>8</v>
      </c>
      <c r="U5" s="108">
        <f>COUNTIFS(Included!AG:AG, "=*unclear*", Included!B:B, "&lt;="&amp;X5, Included!B:B, "&gt;="&amp;W5, Included!AS:AS, "yes")</f>
        <v>2</v>
      </c>
      <c r="W5" s="28">
        <v>1980</v>
      </c>
      <c r="X5" s="28">
        <v>1989</v>
      </c>
      <c r="Z5" s="24" t="s">
        <v>9</v>
      </c>
      <c r="AA5" s="24" t="b">
        <v>1</v>
      </c>
      <c r="AC5" s="28" t="b">
        <v>1</v>
      </c>
    </row>
    <row r="6" spans="1:29">
      <c r="A6" s="109" t="s">
        <v>150</v>
      </c>
      <c r="B6" s="63">
        <f>COUNTIFS(Included!B:B,"&lt;="&amp;X6, Included!B:B,"&gt;="&amp;W6, Included!AS:AS, "yes")</f>
        <v>77</v>
      </c>
      <c r="C6" s="63">
        <f>SUMIFS(Included!X:X, Included!B:B, "&lt;="&amp;X6, Included!B:B, "&gt;="&amp;W6, Included!AS:AS, "yes")</f>
        <v>4250</v>
      </c>
      <c r="D6" s="63">
        <f>SUMIFS(Included!AB:AB, Included!B:B, "&lt;="&amp;X6, Included!B:B, "&gt;="&amp;W6, Included!AS:AS, "yes")</f>
        <v>47</v>
      </c>
      <c r="E6" s="63">
        <f>SUMIFS(Included!Z:Z, Included!B:B, "&lt;="&amp;X6, Included!B:B, "&gt;="&amp;W6, Included!AS:AS, "yes")</f>
        <v>2963</v>
      </c>
      <c r="F6" s="63">
        <f>SUMIFS(Included!AD:AD, Included!B:B, "&lt;="&amp;X6, Included!B:B, "&gt;="&amp;W6, Included!AS:AS, "yes")</f>
        <v>0</v>
      </c>
      <c r="G6" s="63">
        <f>SUMIFS(Included!AG:AG, Included!B:B, "&lt;="&amp;X6, Included!B:B, "&gt;="&amp;W6, Included!AS:AS, "yes")</f>
        <v>899</v>
      </c>
      <c r="H6" s="63" t="str">
        <f t="shared" si="0"/>
        <v>(21.2%)</v>
      </c>
      <c r="I6" s="63">
        <f>SUMIFS(Included!AL:AL, Included!B:B, "&lt;="&amp;X6, Included!B:B, "&gt;="&amp;W6, Included!AS:AS, "yes")</f>
        <v>0</v>
      </c>
      <c r="J6" s="63" t="str">
        <f t="shared" si="1"/>
        <v>(0.0%)</v>
      </c>
      <c r="K6" s="63">
        <f>SUMIFS(Included!AJ:AJ, Included!B:B, "&lt;="&amp;X6, Included!B:B, "&gt;="&amp;W6, Included!AS:AS, "yes")</f>
        <v>23</v>
      </c>
      <c r="L6" s="63" t="str">
        <f t="shared" si="2"/>
        <v>(0.5%)</v>
      </c>
      <c r="M6" s="63">
        <f>SUMIFS(Included!AI:AI, Included!B:B, "&lt;="&amp;X6, Included!B:B, "&gt;="&amp;W6, Included!AS:AS, "yes")</f>
        <v>1</v>
      </c>
      <c r="N6" s="63" t="str">
        <f t="shared" si="3"/>
        <v>(0.0%)</v>
      </c>
      <c r="O6" s="110">
        <f>COUNTIFS(Included!AE:AE, "*None given*", Included!B:B,"&lt;="&amp;X6, Included!B:B,"&gt;="&amp;W6, Included!AS:AS, "yes")</f>
        <v>60</v>
      </c>
      <c r="P6" s="63" t="str">
        <f t="shared" si="4"/>
        <v>(77.9%)</v>
      </c>
      <c r="Q6" s="110">
        <f>COUNTIFS(Included!AK:AK, "*No SAEs mentioned in text*", Included!B:B,"&lt;="&amp;X6, Included!B:B,"&gt;="&amp;W6, Included!AS:AS, "yes")</f>
        <v>41</v>
      </c>
      <c r="R6" s="110">
        <f>COUNTIFS(Included!AI:AI, "=*nd*", Included!B:B,"&lt;="&amp;X6,Included!B:B,"&gt;="&amp;W6, Included!AS:AS, "yes")</f>
        <v>35</v>
      </c>
      <c r="S6" s="110">
        <f>COUNTIFS(Included!AI:AI, "=*unclear*", Included!B:B, "&lt;="&amp;X6, Included!B:B, "&gt;="&amp;W6, Included!AS:AS, "yes")</f>
        <v>0</v>
      </c>
      <c r="T6" s="110">
        <f>COUNTIFS(Included!AG:AG, "=*nd*", Included!B:B, "&lt;="&amp;X6, Included!B:B, "&gt;="&amp;W6, Included!AS:AS, "yes")</f>
        <v>35</v>
      </c>
      <c r="U6" s="111">
        <f>COUNTIFS(Included!AG:AG, "=*unclear*", Included!B:B, "&lt;="&amp;X6, Included!B:B, "&gt;="&amp;W6, Included!AS:AS, "yes")</f>
        <v>8</v>
      </c>
      <c r="W6" s="45">
        <f t="shared" ref="W6:W9" si="5">X5+1</f>
        <v>1990</v>
      </c>
      <c r="X6" s="45">
        <f t="shared" ref="X6:X9" si="6">W6+9</f>
        <v>1999</v>
      </c>
      <c r="Z6" s="24" t="s">
        <v>12</v>
      </c>
      <c r="AA6" s="24" t="b">
        <v>0</v>
      </c>
      <c r="AC6" s="28" t="b">
        <v>0</v>
      </c>
    </row>
    <row r="7" spans="1:29">
      <c r="A7" s="107" t="s">
        <v>153</v>
      </c>
      <c r="B7" s="57">
        <f>COUNTIFS(Included!B:B,"&lt;="&amp;X7, Included!B:B,"&gt;="&amp;W7, Included!AS:AS, "yes")</f>
        <v>60</v>
      </c>
      <c r="C7" s="57">
        <f>SUMIFS(Included!X:X, Included!B:B, "&lt;="&amp;X7, Included!B:B, "&gt;="&amp;W7, Included!AS:AS, "yes")</f>
        <v>2939</v>
      </c>
      <c r="D7" s="57">
        <f>SUMIFS(Included!AB:AB, Included!B:B, "&lt;="&amp;X7, Included!B:B, "&gt;="&amp;W7, Included!AS:AS, "yes")</f>
        <v>37</v>
      </c>
      <c r="E7" s="57">
        <f>SUMIFS(Included!Z:Z, Included!B:B, "&lt;="&amp;X7, Included!B:B, "&gt;="&amp;W7, Included!AS:AS, "yes")</f>
        <v>2192</v>
      </c>
      <c r="F7" s="57">
        <f>SUMIFS(Included!AD:AD, Included!B:B, "&lt;="&amp;X7, Included!B:B, "&gt;="&amp;W7, Included!AS:AS, "yes")</f>
        <v>0</v>
      </c>
      <c r="G7" s="57">
        <f>SUMIFS(Included!AG:AG, Included!B:B, "&lt;="&amp;X7, Included!B:B, "&gt;="&amp;W7, Included!AS:AS, "yes")</f>
        <v>693</v>
      </c>
      <c r="H7" s="57" t="str">
        <f t="shared" si="0"/>
        <v>(23.6%)</v>
      </c>
      <c r="I7" s="57">
        <f>SUMIFS(Included!AL:AL, Included!B:B, "&lt;="&amp;X7, Included!B:B, "&gt;="&amp;W7, Included!AS:AS, "yes")</f>
        <v>0</v>
      </c>
      <c r="J7" s="57" t="str">
        <f t="shared" si="1"/>
        <v>(0.0%)</v>
      </c>
      <c r="K7" s="57">
        <f>SUMIFS(Included!AJ:AJ, Included!B:B, "&lt;="&amp;X7, Included!B:B, "&gt;="&amp;W7, Included!AS:AS, "yes")</f>
        <v>25</v>
      </c>
      <c r="L7" s="57" t="str">
        <f t="shared" si="2"/>
        <v>(0.9%)</v>
      </c>
      <c r="M7" s="57">
        <f>SUMIFS(Included!AI:AI, Included!B:B, "&lt;="&amp;X7, Included!B:B, "&gt;="&amp;W7, Included!AS:AS, "yes")</f>
        <v>1</v>
      </c>
      <c r="N7" s="57" t="str">
        <f t="shared" si="3"/>
        <v>(0.0%)</v>
      </c>
      <c r="O7" s="98">
        <f>COUNTIFS(Included!AE:AE, "*None given*", Included!B:B,"&lt;="&amp;X7, Included!B:B,"&gt;="&amp;W7, Included!AS:AS, "yes")</f>
        <v>48</v>
      </c>
      <c r="P7" s="57" t="str">
        <f t="shared" si="4"/>
        <v>(80.0%)</v>
      </c>
      <c r="Q7" s="98">
        <f>COUNTIFS(Included!AK:AK, "*No SAEs mentioned in text*", Included!B:B,"&lt;="&amp;X7, Included!B:B,"&gt;="&amp;W7, Included!AS:AS, "yes")</f>
        <v>10</v>
      </c>
      <c r="R7" s="98">
        <f>COUNTIFS(Included!AI:AI, "=*nd*", Included!B:B,"&lt;="&amp;X7,Included!B:B,"&gt;="&amp;W7, Included!AS:AS, "yes")</f>
        <v>34</v>
      </c>
      <c r="S7" s="98">
        <f>COUNTIFS(Included!AI:AI, "=*unclear*", Included!B:B, "&lt;="&amp;X7, Included!B:B, "&gt;="&amp;W7, Included!AS:AS, "yes")</f>
        <v>0</v>
      </c>
      <c r="T7" s="98">
        <f>COUNTIFS(Included!AG:AG, "=*nd*", Included!B:B, "&lt;="&amp;X7, Included!B:B, "&gt;="&amp;W7, Included!AS:AS, "yes")</f>
        <v>34</v>
      </c>
      <c r="U7" s="108">
        <f>COUNTIFS(Included!AG:AG, "=*unclear*", Included!B:B, "&lt;="&amp;X7, Included!B:B, "&gt;="&amp;W7, Included!AS:AS, "yes")</f>
        <v>7</v>
      </c>
      <c r="W7" s="45">
        <f t="shared" si="5"/>
        <v>2000</v>
      </c>
      <c r="X7" s="45">
        <f t="shared" si="6"/>
        <v>2009</v>
      </c>
      <c r="Z7" s="24" t="s">
        <v>15</v>
      </c>
      <c r="AA7" s="24" t="b">
        <v>1</v>
      </c>
    </row>
    <row r="8" spans="1:29">
      <c r="A8" s="109" t="s">
        <v>157</v>
      </c>
      <c r="B8" s="63">
        <f>COUNTIFS(Included!B:B,"&lt;="&amp;X8, Included!B:B,"&gt;="&amp;W8, Included!AS:AS, "yes")</f>
        <v>114</v>
      </c>
      <c r="C8" s="63">
        <f>SUMIFS(Included!X:X, Included!B:B, "&lt;="&amp;X8, Included!B:B, "&gt;="&amp;W8, Included!AS:AS, "yes")</f>
        <v>4992</v>
      </c>
      <c r="D8" s="63">
        <f>SUMIFS(Included!AB:AB, Included!B:B, "&lt;="&amp;X8, Included!B:B, "&gt;="&amp;W8, Included!AS:AS, "yes")</f>
        <v>256</v>
      </c>
      <c r="E8" s="63">
        <f>SUMIFS(Included!Z:Z, Included!B:B, "&lt;="&amp;X8, Included!B:B, "&gt;="&amp;W8, Included!AS:AS, "yes")</f>
        <v>2921</v>
      </c>
      <c r="F8" s="63">
        <f>SUMIFS(Included!AD:AD, Included!B:B, "&lt;="&amp;X8, Included!B:B, "&gt;="&amp;W8, Included!AS:AS, "yes")</f>
        <v>0</v>
      </c>
      <c r="G8" s="63">
        <f>SUMIFS(Included!AG:AG, Included!B:B, "&lt;="&amp;X8, Included!B:B, "&gt;="&amp;W8, Included!AS:AS, "yes")</f>
        <v>1159</v>
      </c>
      <c r="H8" s="63" t="str">
        <f t="shared" si="0"/>
        <v>(23.2%)</v>
      </c>
      <c r="I8" s="63">
        <f>SUMIFS(Included!AL:AL, Included!B:B, "&lt;="&amp;X8, Included!B:B, "&gt;="&amp;W8, Included!AS:AS, "yes")</f>
        <v>6</v>
      </c>
      <c r="J8" s="63" t="str">
        <f t="shared" si="1"/>
        <v>(2.3%)</v>
      </c>
      <c r="K8" s="63">
        <f>SUMIFS(Included!AJ:AJ, Included!B:B, "&lt;="&amp;X8, Included!B:B, "&gt;="&amp;W8, Included!AS:AS, "yes")</f>
        <v>147</v>
      </c>
      <c r="L8" s="63" t="str">
        <f t="shared" si="2"/>
        <v>(2.9%)</v>
      </c>
      <c r="M8" s="63">
        <f>SUMIFS(Included!AI:AI, Included!B:B, "&lt;="&amp;X8, Included!B:B, "&gt;="&amp;W8, Included!AS:AS, "yes")</f>
        <v>13</v>
      </c>
      <c r="N8" s="63" t="str">
        <f t="shared" si="3"/>
        <v>(0.3%)</v>
      </c>
      <c r="O8" s="110">
        <f>COUNTIFS(Included!AE:AE, "*None given*", Included!B:B,"&lt;="&amp;X8, Included!B:B,"&gt;="&amp;W8, Included!AS:AS, "yes")</f>
        <v>34</v>
      </c>
      <c r="P8" s="63" t="str">
        <f t="shared" si="4"/>
        <v>(29.8%)</v>
      </c>
      <c r="Q8" s="110">
        <f>COUNTIFS(Included!AK:AK, "*No SAEs mentioned in text*", Included!B:B,"&lt;="&amp;X8, Included!B:B,"&gt;="&amp;W8, Included!AS:AS, "yes")</f>
        <v>9</v>
      </c>
      <c r="R8" s="110">
        <f>COUNTIFS(Included!AI:AI, "=*nd*", Included!B:B,"&lt;="&amp;X8,Included!B:B,"&gt;="&amp;W8, Included!AS:AS, "yes")</f>
        <v>38</v>
      </c>
      <c r="S8" s="110">
        <f>COUNTIFS(Included!AI:AI, "=*unclear*", Included!B:B, "&lt;="&amp;X8, Included!B:B, "&gt;="&amp;W8, Included!AS:AS, "yes")</f>
        <v>0</v>
      </c>
      <c r="T8" s="110">
        <f>COUNTIFS(Included!AG:AG, "=*nd*", Included!B:B, "&lt;="&amp;X8, Included!B:B, "&gt;="&amp;W8, Included!AS:AS, "yes")</f>
        <v>30</v>
      </c>
      <c r="U8" s="111">
        <f>COUNTIFS(Included!AG:AG, "=*unclear*", Included!B:B, "&lt;="&amp;X8, Included!B:B, "&gt;="&amp;W8, Included!AS:AS, "yes")</f>
        <v>33</v>
      </c>
      <c r="W8" s="45">
        <f t="shared" si="5"/>
        <v>2010</v>
      </c>
      <c r="X8" s="45">
        <f t="shared" si="6"/>
        <v>2019</v>
      </c>
      <c r="Z8" s="24" t="s">
        <v>18</v>
      </c>
      <c r="AA8" s="24" t="b">
        <v>1</v>
      </c>
    </row>
    <row r="9" spans="1:29">
      <c r="A9" s="107" t="s">
        <v>160</v>
      </c>
      <c r="B9" s="57">
        <f>COUNTIFS(Included!B:B,"&lt;="&amp;X9, Included!B:B,"&gt;="&amp;W9, Included!AS:AS, "yes")</f>
        <v>24</v>
      </c>
      <c r="C9" s="57">
        <f>SUMIFS(Included!X:X, Included!B:B, "&lt;="&amp;X9, Included!B:B, "&gt;="&amp;W9, Included!AS:AS, "yes")</f>
        <v>1076</v>
      </c>
      <c r="D9" s="57">
        <f>SUMIFS(Included!AB:AB, Included!B:B, "&lt;="&amp;X9, Included!B:B, "&gt;="&amp;W9, Included!AS:AS, "yes")</f>
        <v>75</v>
      </c>
      <c r="E9" s="57">
        <f>SUMIFS(Included!Z:Z, Included!B:B, "&lt;="&amp;X9, Included!B:B, "&gt;="&amp;W9, Included!AS:AS, "yes")</f>
        <v>697</v>
      </c>
      <c r="F9" s="57">
        <f>SUMIFS(Included!AD:AD, Included!B:B, "&lt;="&amp;X9, Included!B:B, "&gt;="&amp;W9, Included!AS:AS, "yes")</f>
        <v>1</v>
      </c>
      <c r="G9" s="57">
        <f>SUMIFS(Included!AG:AG, Included!B:B, "&lt;="&amp;X9, Included!B:B, "&gt;="&amp;W9, Included!AS:AS, "yes")</f>
        <v>244</v>
      </c>
      <c r="H9" s="57" t="str">
        <f t="shared" si="0"/>
        <v>(22.7%)</v>
      </c>
      <c r="I9" s="57">
        <f>SUMIFS(Included!AL:AL, Included!B:B, "&lt;="&amp;X9, Included!B:B, "&gt;="&amp;W9, Included!AS:AS, "yes")</f>
        <v>0</v>
      </c>
      <c r="J9" s="57" t="str">
        <f t="shared" si="1"/>
        <v>(0.0%)</v>
      </c>
      <c r="K9" s="57">
        <f>SUMIFS(Included!AJ:AJ, Included!B:B, "&lt;="&amp;X9, Included!B:B, "&gt;="&amp;W9, Included!AS:AS, "yes")</f>
        <v>43</v>
      </c>
      <c r="L9" s="57" t="str">
        <f t="shared" si="2"/>
        <v>(4.0%)</v>
      </c>
      <c r="M9" s="57">
        <f>SUMIFS(Included!AI:AI, Included!B:B, "&lt;="&amp;X9, Included!B:B, "&gt;="&amp;W9, Included!AS:AS, "yes")</f>
        <v>3</v>
      </c>
      <c r="N9" s="57" t="str">
        <f t="shared" si="3"/>
        <v>(0.3%)</v>
      </c>
      <c r="O9" s="98">
        <f>COUNTIFS(Included!AE:AE, "*None given*", Included!B:B,"&lt;="&amp;X9, Included!B:B,"&gt;="&amp;W9, Included!AS:AS, "yes")</f>
        <v>7</v>
      </c>
      <c r="P9" s="57" t="str">
        <f t="shared" si="4"/>
        <v>(29.2%)</v>
      </c>
      <c r="Q9" s="98">
        <f>COUNTIFS(Included!AK:AK, "*No SAEs mentioned in text*", Included!B:B,"&lt;="&amp;X9, Included!B:B,"&gt;="&amp;W9, Included!AS:AS, "yes")</f>
        <v>0</v>
      </c>
      <c r="R9" s="98">
        <f>COUNTIFS(Included!AI:AI, "=*nd*", Included!B:B,"&lt;="&amp;X9,Included!B:B,"&gt;="&amp;W9, Included!AS:AS, "yes")</f>
        <v>1</v>
      </c>
      <c r="S9" s="98">
        <f>COUNTIFS(Included!AI:AI, "=*unclear*", Included!B:B, "&lt;="&amp;X9, Included!B:B, "&gt;="&amp;W9, Included!AS:AS, "yes")</f>
        <v>0</v>
      </c>
      <c r="T9" s="98">
        <f>COUNTIFS(Included!AG:AG, "=*nd*", Included!B:B, "&lt;="&amp;X9, Included!B:B, "&gt;="&amp;W9, Included!AS:AS, "yes")</f>
        <v>2</v>
      </c>
      <c r="U9" s="108">
        <f>COUNTIFS(Included!AG:AG, "=*unclear*", Included!B:B, "&lt;="&amp;X9, Included!B:B, "&gt;="&amp;W9, Included!AS:AS, "yes")</f>
        <v>11</v>
      </c>
      <c r="W9" s="45">
        <f t="shared" si="5"/>
        <v>2020</v>
      </c>
      <c r="X9" s="45">
        <f t="shared" si="6"/>
        <v>2029</v>
      </c>
      <c r="Z9" s="24" t="s">
        <v>21</v>
      </c>
      <c r="AA9" s="24" t="b">
        <v>1</v>
      </c>
    </row>
    <row r="10" spans="1:29">
      <c r="A10" s="62"/>
      <c r="B10" s="63"/>
      <c r="C10" s="63"/>
      <c r="D10" s="63"/>
      <c r="E10" s="63"/>
      <c r="F10" s="63"/>
      <c r="G10" s="63"/>
      <c r="H10" s="63"/>
      <c r="I10" s="63"/>
      <c r="J10" s="63"/>
      <c r="K10" s="63"/>
      <c r="L10" s="63"/>
      <c r="M10" s="63"/>
      <c r="N10" s="63"/>
      <c r="O10" s="63"/>
      <c r="P10" s="63"/>
      <c r="Q10" s="63"/>
      <c r="R10" s="63"/>
      <c r="S10" s="63"/>
      <c r="T10" s="63"/>
      <c r="U10" s="64"/>
      <c r="Z10" s="24" t="s">
        <v>24</v>
      </c>
      <c r="AA10" s="24" t="b">
        <v>1</v>
      </c>
    </row>
    <row r="11" spans="1:29">
      <c r="A11" s="114" t="s">
        <v>165</v>
      </c>
      <c r="B11" s="115">
        <f t="shared" ref="B11:G11" si="7">SUM(B5:B10)</f>
        <v>308</v>
      </c>
      <c r="C11" s="115">
        <f t="shared" si="7"/>
        <v>15046</v>
      </c>
      <c r="D11" s="115">
        <f t="shared" si="7"/>
        <v>433</v>
      </c>
      <c r="E11" s="115">
        <f t="shared" si="7"/>
        <v>9946</v>
      </c>
      <c r="F11" s="115">
        <f t="shared" si="7"/>
        <v>1</v>
      </c>
      <c r="G11" s="115">
        <f t="shared" si="7"/>
        <v>3333</v>
      </c>
      <c r="H11" s="115" t="str">
        <f>"("&amp;TEXT(G11/C11,"0.0%")&amp;")"</f>
        <v>(22.2%)</v>
      </c>
      <c r="I11" s="115">
        <f>SUM(I5:I10)</f>
        <v>6</v>
      </c>
      <c r="J11" s="115" t="str">
        <f>"("&amp;TEXT(I11/D11,"0.0%")&amp;")"</f>
        <v>(1.4%)</v>
      </c>
      <c r="K11" s="115">
        <f>SUM(K5:K10)</f>
        <v>247</v>
      </c>
      <c r="L11" s="115" t="str">
        <f>"("&amp;TEXT(K11/C11,"0.0%")&amp;")"</f>
        <v>(1.6%)</v>
      </c>
      <c r="M11" s="115">
        <f>SUM(M5:M10)</f>
        <v>24</v>
      </c>
      <c r="N11" s="115" t="str">
        <f>"("&amp;TEXT(M11/C11,"0.0%")&amp;")"</f>
        <v>(0.2%)</v>
      </c>
      <c r="O11" s="115">
        <f>SUM(O5:O10)</f>
        <v>176</v>
      </c>
      <c r="P11" s="115" t="str">
        <f>"("&amp;TEXT(O11/B11,"0.0%")&amp;")"</f>
        <v>(57.1%)</v>
      </c>
      <c r="Q11" s="115">
        <f t="shared" ref="Q11:U11" si="8">SUM(Q5:Q10)</f>
        <v>85</v>
      </c>
      <c r="R11" s="115">
        <f t="shared" si="8"/>
        <v>114</v>
      </c>
      <c r="S11" s="115">
        <f t="shared" si="8"/>
        <v>0</v>
      </c>
      <c r="T11" s="115">
        <f t="shared" si="8"/>
        <v>109</v>
      </c>
      <c r="U11" s="116">
        <f t="shared" si="8"/>
        <v>61</v>
      </c>
      <c r="Z11" s="24" t="s">
        <v>25</v>
      </c>
      <c r="AA11" s="24" t="b">
        <v>1</v>
      </c>
    </row>
    <row r="12" spans="1:29">
      <c r="A12" s="57"/>
      <c r="B12" s="57"/>
      <c r="C12" s="57"/>
      <c r="D12" s="57"/>
      <c r="E12" s="57"/>
      <c r="F12" s="57"/>
      <c r="G12" s="57"/>
      <c r="H12" s="57"/>
      <c r="I12" s="57"/>
      <c r="J12" s="57"/>
      <c r="K12" s="57"/>
      <c r="L12" s="57"/>
      <c r="M12" s="57"/>
      <c r="N12" s="57"/>
      <c r="O12" s="57"/>
      <c r="P12" s="57"/>
      <c r="Q12" s="57"/>
      <c r="R12" s="57"/>
      <c r="S12" s="57"/>
      <c r="T12" s="57"/>
      <c r="U12" s="57"/>
      <c r="Z12" s="24" t="s">
        <v>6</v>
      </c>
      <c r="AA12" s="24" t="b">
        <v>0</v>
      </c>
    </row>
    <row r="13" spans="1:29">
      <c r="A13" s="117" t="s">
        <v>171</v>
      </c>
      <c r="B13" s="57"/>
      <c r="C13" s="57"/>
      <c r="D13" s="57"/>
      <c r="E13" s="57"/>
      <c r="F13" s="57"/>
      <c r="G13" s="57"/>
      <c r="H13" s="57"/>
      <c r="I13" s="57"/>
      <c r="J13" s="57"/>
      <c r="K13" s="57"/>
      <c r="L13" s="57"/>
      <c r="M13" s="57"/>
      <c r="N13" s="57"/>
      <c r="O13" s="57"/>
      <c r="P13" s="57"/>
      <c r="Q13" s="57"/>
      <c r="R13" s="57"/>
      <c r="S13" s="57"/>
      <c r="T13" s="57"/>
      <c r="U13" s="57"/>
      <c r="Z13" s="24" t="s">
        <v>29</v>
      </c>
      <c r="AA13" s="24" t="b">
        <v>1</v>
      </c>
    </row>
    <row r="14" spans="1:29">
      <c r="A14" s="118" t="s">
        <v>130</v>
      </c>
      <c r="B14" s="119" t="s">
        <v>226</v>
      </c>
      <c r="C14" s="119" t="s">
        <v>107</v>
      </c>
      <c r="D14" s="119" t="s">
        <v>131</v>
      </c>
      <c r="E14" s="119" t="s">
        <v>108</v>
      </c>
      <c r="F14" s="119" t="s">
        <v>133</v>
      </c>
      <c r="G14" s="422" t="s">
        <v>174</v>
      </c>
      <c r="H14" s="423"/>
      <c r="I14" s="422" t="s">
        <v>135</v>
      </c>
      <c r="J14" s="423"/>
      <c r="K14" s="422" t="s">
        <v>136</v>
      </c>
      <c r="L14" s="423"/>
      <c r="M14" s="422" t="s">
        <v>137</v>
      </c>
      <c r="N14" s="423"/>
      <c r="O14" s="422" t="s">
        <v>138</v>
      </c>
      <c r="P14" s="423"/>
      <c r="Q14" s="119" t="s">
        <v>175</v>
      </c>
      <c r="R14" s="119" t="s">
        <v>140</v>
      </c>
      <c r="S14" s="119" t="s">
        <v>141</v>
      </c>
      <c r="T14" s="119" t="s">
        <v>142</v>
      </c>
      <c r="U14" s="120" t="s">
        <v>143</v>
      </c>
      <c r="W14" s="28" t="s">
        <v>104</v>
      </c>
      <c r="X14" s="28" t="s">
        <v>111</v>
      </c>
    </row>
    <row r="15" spans="1:29">
      <c r="A15" s="107" t="s">
        <v>147</v>
      </c>
      <c r="B15" s="57">
        <f>COUNTIFS(Included!B:B,"&lt;="&amp;X15,Included!B:B,"&gt;="&amp;W15, Included!AS:AS, "yes")</f>
        <v>33</v>
      </c>
      <c r="C15" s="57">
        <f>SUMIFS(Included!X:X, Included!B:B, "&lt;="&amp;X15, Included!B:B, "&gt;="&amp;W15, Included!AS:AS, "yes")</f>
        <v>1789</v>
      </c>
      <c r="D15" s="117">
        <f>SUMIFS(Included!AB:AB, Included!B:B, "&lt;="&amp;X15, Included!B:B, "&gt;="&amp;W15, Included!AS:AS, "yes")</f>
        <v>18</v>
      </c>
      <c r="E15" s="57">
        <f>SUMIFS(Included!Z:Z, Included!B:B, "&lt;="&amp;X15, Included!B:B, "&gt;="&amp;W15, Included!AS:AS, "yes")</f>
        <v>1173</v>
      </c>
      <c r="F15" s="57">
        <f>SUMIFS(Included!AD:AD, Included!B:B, "&lt;="&amp;X15, Included!B:B, "&gt;="&amp;W15, Included!AS:AS, "yes")</f>
        <v>0</v>
      </c>
      <c r="G15" s="57">
        <f>SUMIFS(Included!AG:AG, Included!B:B, "&lt;="&amp;X15, Included!B:B, "&gt;="&amp;W15, Included!AS:AS, "yes")</f>
        <v>338</v>
      </c>
      <c r="H15" s="57" t="str">
        <f t="shared" ref="H15:H17" si="9">"("&amp;TEXT(G15/C15,"0.0%")&amp;")"</f>
        <v>(18.9%)</v>
      </c>
      <c r="I15" s="57">
        <f>SUMIFS(Included!AL:AL, Included!B:B, "&lt;="&amp;X15, Included!B:B, "&gt;="&amp;W15, Included!AS:AS, "yes")</f>
        <v>0</v>
      </c>
      <c r="J15" s="57" t="str">
        <f t="shared" ref="J15:J17" si="10">"("&amp;TEXT(I15/D15,"0.0%")&amp;")"</f>
        <v>(0.0%)</v>
      </c>
      <c r="K15" s="57">
        <f>SUMIFS(Included!AJ:AJ, Included!B:B, "&lt;="&amp;X15, Included!B:B, "&gt;="&amp;W15, Included!AS:AS, "yes")</f>
        <v>9</v>
      </c>
      <c r="L15" s="57" t="str">
        <f t="shared" ref="L15:L17" si="11">"("&amp;TEXT(K15/C15,"0.0%")&amp;")"</f>
        <v>(0.5%)</v>
      </c>
      <c r="M15" s="57">
        <f>SUMIFS(Included!AI:AI, Included!B:B, "&lt;="&amp;X15, Included!B:B, "&gt;="&amp;W15, Included!AS:AS, "yes")</f>
        <v>6</v>
      </c>
      <c r="N15" s="57" t="str">
        <f t="shared" ref="N15:N17" si="12">"("&amp;TEXT(M15/C15,"0.0%")&amp;")"</f>
        <v>(0.3%)</v>
      </c>
      <c r="O15" s="98">
        <f>COUNTIFS(Included!AE:AE, "*None given*", Included!B:B,"&lt;="&amp;X15,Included!B:B,"&gt;="&amp;W15, Included!AS:AS, "yes")</f>
        <v>27</v>
      </c>
      <c r="P15" s="57" t="str">
        <f t="shared" ref="P15:P17" si="13">"("&amp;TEXT(O15/B15,"0.0%")&amp;")"</f>
        <v>(81.8%)</v>
      </c>
      <c r="Q15" s="98">
        <f>COUNTIFS(Included!AK:AK, "*No SAEs mentioned in text*", Included!B:B,"&lt;="&amp;X15,Included!B:B,"&gt;="&amp;W15, Included!AS:AS, "yes")</f>
        <v>25</v>
      </c>
      <c r="R15" s="98">
        <f>COUNTIFS(Included!AI:AI, "=*nd*", Included!B:B,"&lt;="&amp;X15,Included!B:B,"&gt;="&amp;W15, Included!AS:AS, "yes")</f>
        <v>6</v>
      </c>
      <c r="S15" s="98">
        <f>COUNTIFS(Included!AI:AI, "=*unclear*", Included!B:B, "&lt;="&amp;X15, Included!B:B, "&gt;="&amp;W15, Included!AS:AS, "yes")</f>
        <v>0</v>
      </c>
      <c r="T15" s="98">
        <f>COUNTIFS(Included!AG:AG, "=*nd*", Included!B:B, "&lt;="&amp;X15, Included!B:B, "&gt;="&amp;W15, Included!AS:AS, "yes")</f>
        <v>8</v>
      </c>
      <c r="U15" s="108">
        <f>COUNTIFS(Included!AG:AG, "=*unclear*", Included!B:B, "&lt;="&amp;X15, Included!B:B, "&gt;="&amp;W15, Included!AS:AS, "yes")</f>
        <v>2</v>
      </c>
      <c r="W15" s="28">
        <v>1980</v>
      </c>
      <c r="X15" s="28">
        <v>1989</v>
      </c>
    </row>
    <row r="16" spans="1:29">
      <c r="A16" s="109" t="s">
        <v>180</v>
      </c>
      <c r="B16" s="63">
        <f>COUNTIFS(Included!B:B,"&lt;="&amp;X16,Included!B:B,"&gt;="&amp;W16, Included!AS:AS, "yes")</f>
        <v>137</v>
      </c>
      <c r="C16" s="63">
        <f>SUMIFS(Included!X:X, Included!B:B, "&lt;="&amp;X16, Included!B:B, "&gt;="&amp;W16, Included!AS:AS, "yes")</f>
        <v>7189</v>
      </c>
      <c r="D16" s="121">
        <f>SUMIFS(Included!AB:AB, Included!B:B, "&lt;="&amp;X16, Included!B:B, "&gt;="&amp;W16, Included!AS:AS, "yes")</f>
        <v>84</v>
      </c>
      <c r="E16" s="63">
        <f>SUMIFS(Included!Z:Z, Included!B:B, "&lt;="&amp;X16, Included!B:B, "&gt;="&amp;W16, Included!AS:AS, "yes")</f>
        <v>5155</v>
      </c>
      <c r="F16" s="63">
        <f>SUMIFS(Included!AD:AD, Included!B:B, "&lt;="&amp;X16, Included!B:B, "&gt;="&amp;W16, Included!AS:AS, "yes")</f>
        <v>0</v>
      </c>
      <c r="G16" s="63">
        <f>SUMIFS(Included!AG:AG, Included!B:B, "&lt;="&amp;X16, Included!B:B, "&gt;="&amp;W16, Included!AS:AS, "yes")</f>
        <v>1592</v>
      </c>
      <c r="H16" s="63" t="str">
        <f t="shared" si="9"/>
        <v>(22.1%)</v>
      </c>
      <c r="I16" s="63">
        <f>SUMIFS(Included!AL:AL, Included!B:B, "&lt;="&amp;X16, Included!B:B, "&gt;="&amp;W16, Included!AS:AS, "yes")</f>
        <v>0</v>
      </c>
      <c r="J16" s="63" t="str">
        <f t="shared" si="10"/>
        <v>(0.0%)</v>
      </c>
      <c r="K16" s="63">
        <f>SUMIFS(Included!AJ:AJ, Included!B:B, "&lt;="&amp;X16, Included!B:B, "&gt;="&amp;W16, Included!AS:AS, "yes")</f>
        <v>48</v>
      </c>
      <c r="L16" s="63" t="str">
        <f t="shared" si="11"/>
        <v>(0.7%)</v>
      </c>
      <c r="M16" s="63">
        <f>SUMIFS(Included!AI:AI, Included!B:B, "&lt;="&amp;X16, Included!B:B, "&gt;="&amp;W16, Included!AS:AS, "yes")</f>
        <v>2</v>
      </c>
      <c r="N16" s="63" t="str">
        <f t="shared" si="12"/>
        <v>(0.0%)</v>
      </c>
      <c r="O16" s="110">
        <f>COUNTIFS(Included!AE:AE, "*None given*", Included!B:B,"&lt;="&amp;X16,Included!B:B,"&gt;="&amp;W16, Included!AS:AS, "yes")</f>
        <v>108</v>
      </c>
      <c r="P16" s="63" t="str">
        <f t="shared" si="13"/>
        <v>(78.8%)</v>
      </c>
      <c r="Q16" s="110">
        <f>COUNTIFS(Included!AK:AK, "*No SAEs mentioned in text*", Included!B:B,"&lt;="&amp;X16,Included!B:B,"&gt;="&amp;W16, Included!AS:AS, "yes")</f>
        <v>51</v>
      </c>
      <c r="R16" s="110">
        <f>COUNTIFS(Included!AI:AI, "=*nd*", Included!B:B,"&lt;="&amp;X16,Included!B:B,"&gt;="&amp;W16, Included!AS:AS, "yes")</f>
        <v>69</v>
      </c>
      <c r="S16" s="110">
        <f>COUNTIFS(Included!AI:AI, "=*unclear*", Included!B:B, "&lt;="&amp;X16, Included!B:B, "&gt;="&amp;W16, Included!AS:AS, "yes")</f>
        <v>0</v>
      </c>
      <c r="T16" s="110">
        <f>COUNTIFS(Included!AG:AG, "=*nd*", Included!B:B, "&lt;="&amp;X16, Included!B:B, "&gt;="&amp;W16, Included!AS:AS, "yes")</f>
        <v>69</v>
      </c>
      <c r="U16" s="111">
        <f>COUNTIFS(Included!AG:AG, "=*unclear*", Included!B:B, "&lt;="&amp;X16, Included!B:B, "&gt;="&amp;W16, Included!AS:AS, "yes")</f>
        <v>15</v>
      </c>
      <c r="W16" s="45">
        <f t="shared" ref="W16:W17" si="14">X15+1</f>
        <v>1990</v>
      </c>
      <c r="X16" s="45">
        <f t="shared" ref="X16:X17" si="15">W16+19</f>
        <v>2009</v>
      </c>
    </row>
    <row r="17" spans="1:24">
      <c r="A17" s="107" t="s">
        <v>183</v>
      </c>
      <c r="B17" s="57">
        <f>COUNTIFS(Included!B:B,"&lt;="&amp;X17,Included!B:B,"&gt;="&amp;W17, Included!AS:AS, "yes")</f>
        <v>138</v>
      </c>
      <c r="C17" s="57">
        <f>SUMIFS(Included!X:X, Included!B:B, "&lt;="&amp;X17, Included!B:B, "&gt;="&amp;W17, Included!AS:AS, "yes")</f>
        <v>6068</v>
      </c>
      <c r="D17" s="117">
        <f>SUMIFS(Included!AB:AB, Included!B:B, "&lt;="&amp;X17, Included!B:B, "&gt;="&amp;W17, Included!AS:AS, "yes")</f>
        <v>331</v>
      </c>
      <c r="E17" s="57">
        <f>SUMIFS(Included!Z:Z, Included!B:B, "&lt;="&amp;X17, Included!B:B, "&gt;="&amp;W17, Included!AS:AS, "yes")</f>
        <v>3618</v>
      </c>
      <c r="F17" s="57">
        <f>SUMIFS(Included!AD:AD, Included!B:B, "&lt;="&amp;X17, Included!B:B, "&gt;="&amp;W17, Included!AS:AS, "yes")</f>
        <v>1</v>
      </c>
      <c r="G17" s="57">
        <f>SUMIFS(Included!AG:AG, Included!B:B, "&lt;="&amp;X17, Included!B:B, "&gt;="&amp;W17, Included!AS:AS, "yes")</f>
        <v>1403</v>
      </c>
      <c r="H17" s="57" t="str">
        <f t="shared" si="9"/>
        <v>(23.1%)</v>
      </c>
      <c r="I17" s="57">
        <f>SUMIFS(Included!AL:AL, Included!B:B, "&lt;="&amp;X17, Included!B:B, "&gt;="&amp;W17, Included!AS:AS, "yes")</f>
        <v>6</v>
      </c>
      <c r="J17" s="57" t="str">
        <f t="shared" si="10"/>
        <v>(1.8%)</v>
      </c>
      <c r="K17" s="57">
        <f>SUMIFS(Included!AJ:AJ, Included!B:B, "&lt;="&amp;X17, Included!B:B, "&gt;="&amp;W17, Included!AS:AS, "yes")</f>
        <v>190</v>
      </c>
      <c r="L17" s="57" t="str">
        <f t="shared" si="11"/>
        <v>(3.1%)</v>
      </c>
      <c r="M17" s="57">
        <f>SUMIFS(Included!AI:AI, Included!B:B, "&lt;="&amp;X17, Included!B:B, "&gt;="&amp;W17, Included!AS:AS, "yes")</f>
        <v>16</v>
      </c>
      <c r="N17" s="57" t="str">
        <f t="shared" si="12"/>
        <v>(0.3%)</v>
      </c>
      <c r="O17" s="98">
        <f>COUNTIFS(Included!AE:AE, "*None given*", Included!B:B,"&lt;="&amp;X17,Included!B:B,"&gt;="&amp;W17, Included!AS:AS, "yes")</f>
        <v>41</v>
      </c>
      <c r="P17" s="57" t="str">
        <f t="shared" si="13"/>
        <v>(29.7%)</v>
      </c>
      <c r="Q17" s="98">
        <f>COUNTIFS(Included!AK:AK, "*No SAEs mentioned in text*", Included!B:B,"&lt;="&amp;X17,Included!B:B,"&gt;="&amp;W17, Included!AS:AS, "yes")</f>
        <v>9</v>
      </c>
      <c r="R17" s="98">
        <f>COUNTIFS(Included!AI:AI, "=*nd*", Included!B:B,"&lt;="&amp;X17,Included!B:B,"&gt;="&amp;W17, Included!AS:AS, "yes")</f>
        <v>39</v>
      </c>
      <c r="S17" s="98">
        <f>COUNTIFS(Included!AI:AI, "=*unclear*", Included!B:B, "&lt;="&amp;X17, Included!B:B, "&gt;="&amp;W17, Included!AS:AS, "yes")</f>
        <v>0</v>
      </c>
      <c r="T17" s="98">
        <f>COUNTIFS(Included!AG:AG, "=*nd*", Included!B:B, "&lt;="&amp;X17, Included!B:B, "&gt;="&amp;W17, Included!AS:AS, "yes")</f>
        <v>32</v>
      </c>
      <c r="U17" s="108">
        <f>COUNTIFS(Included!AG:AG, "=*unclear*", Included!B:B, "&lt;="&amp;X17, Included!B:B, "&gt;="&amp;W17, Included!AS:AS, "yes")</f>
        <v>44</v>
      </c>
      <c r="W17" s="45">
        <f t="shared" si="14"/>
        <v>2010</v>
      </c>
      <c r="X17" s="45">
        <f t="shared" si="15"/>
        <v>2029</v>
      </c>
    </row>
    <row r="18" spans="1:24">
      <c r="A18" s="109"/>
      <c r="B18" s="63"/>
      <c r="C18" s="63"/>
      <c r="D18" s="63"/>
      <c r="E18" s="63"/>
      <c r="F18" s="63"/>
      <c r="G18" s="63"/>
      <c r="H18" s="63"/>
      <c r="I18" s="63"/>
      <c r="J18" s="63"/>
      <c r="K18" s="63"/>
      <c r="L18" s="63"/>
      <c r="M18" s="63"/>
      <c r="N18" s="63"/>
      <c r="O18" s="110"/>
      <c r="P18" s="110"/>
      <c r="Q18" s="110"/>
      <c r="R18" s="110"/>
      <c r="S18" s="110"/>
      <c r="T18" s="63"/>
      <c r="U18" s="64"/>
    </row>
    <row r="19" spans="1:24">
      <c r="A19" s="114" t="s">
        <v>112</v>
      </c>
      <c r="B19" s="115">
        <f t="shared" ref="B19:G19" si="16">SUM(B15:B18)</f>
        <v>308</v>
      </c>
      <c r="C19" s="115">
        <f t="shared" si="16"/>
        <v>15046</v>
      </c>
      <c r="D19" s="115">
        <f t="shared" si="16"/>
        <v>433</v>
      </c>
      <c r="E19" s="115">
        <f t="shared" si="16"/>
        <v>9946</v>
      </c>
      <c r="F19" s="115">
        <f t="shared" si="16"/>
        <v>1</v>
      </c>
      <c r="G19" s="115">
        <f t="shared" si="16"/>
        <v>3333</v>
      </c>
      <c r="H19" s="115" t="str">
        <f>"("&amp;TEXT(G19/C19,"0.0%")&amp;")"</f>
        <v>(22.2%)</v>
      </c>
      <c r="I19" s="115">
        <f>SUM(I15:I18)</f>
        <v>6</v>
      </c>
      <c r="J19" s="115" t="str">
        <f>"("&amp;TEXT(I19/D19,"0.0%")&amp;")"</f>
        <v>(1.4%)</v>
      </c>
      <c r="K19" s="115">
        <f>SUM(K15:K18)</f>
        <v>247</v>
      </c>
      <c r="L19" s="115" t="str">
        <f>"("&amp;TEXT(K19/C19,"0.0%")&amp;")"</f>
        <v>(1.6%)</v>
      </c>
      <c r="M19" s="115">
        <f>SUM(M15:M18)</f>
        <v>24</v>
      </c>
      <c r="N19" s="115" t="str">
        <f>"("&amp;TEXT(M19/C19,"0.0%")&amp;")"</f>
        <v>(0.2%)</v>
      </c>
      <c r="O19" s="115">
        <f>SUM(O13:O18)</f>
        <v>176</v>
      </c>
      <c r="P19" s="115" t="str">
        <f>"("&amp;TEXT(O19/B19,"0.0%")&amp;")"</f>
        <v>(57.1%)</v>
      </c>
      <c r="Q19" s="115">
        <f t="shared" ref="Q19:U19" si="17">SUM(Q13:Q18)</f>
        <v>85</v>
      </c>
      <c r="R19" s="115">
        <f t="shared" si="17"/>
        <v>114</v>
      </c>
      <c r="S19" s="115">
        <f t="shared" si="17"/>
        <v>0</v>
      </c>
      <c r="T19" s="115">
        <f t="shared" si="17"/>
        <v>109</v>
      </c>
      <c r="U19" s="116">
        <f t="shared" si="17"/>
        <v>61</v>
      </c>
    </row>
    <row r="20" spans="1:24">
      <c r="A20" s="57"/>
      <c r="B20" s="57"/>
      <c r="C20" s="57"/>
      <c r="D20" s="57"/>
      <c r="E20" s="57"/>
      <c r="F20" s="57"/>
      <c r="G20" s="57"/>
      <c r="H20" s="57"/>
      <c r="I20" s="57"/>
      <c r="J20" s="57"/>
      <c r="K20" s="57"/>
      <c r="L20" s="57"/>
      <c r="M20" s="57"/>
      <c r="N20" s="57"/>
      <c r="O20" s="57"/>
      <c r="P20" s="57"/>
      <c r="Q20" s="57"/>
      <c r="R20" s="57"/>
      <c r="S20" s="57"/>
      <c r="T20" s="57"/>
      <c r="U20" s="57"/>
    </row>
    <row r="21" spans="1:24">
      <c r="A21" s="57"/>
      <c r="B21" s="57"/>
      <c r="C21" s="57"/>
      <c r="D21" s="57"/>
      <c r="E21" s="57"/>
      <c r="F21" s="57"/>
      <c r="G21" s="57"/>
      <c r="H21" s="57"/>
      <c r="I21" s="57"/>
      <c r="J21" s="57"/>
      <c r="K21" s="57"/>
      <c r="L21" s="57"/>
      <c r="M21" s="57"/>
      <c r="N21" s="57"/>
      <c r="O21" s="57"/>
      <c r="P21" s="57"/>
      <c r="Q21" s="57"/>
      <c r="R21" s="57"/>
      <c r="S21" s="57"/>
      <c r="T21" s="57"/>
      <c r="U21" s="57"/>
    </row>
    <row r="22" spans="1:24">
      <c r="A22" s="57"/>
      <c r="B22" s="57"/>
      <c r="C22" s="57"/>
      <c r="D22" s="57"/>
      <c r="E22" s="57"/>
      <c r="F22" s="57"/>
      <c r="G22" s="57"/>
      <c r="H22" s="57"/>
      <c r="I22" s="57"/>
      <c r="J22" s="57"/>
      <c r="K22" s="57"/>
      <c r="L22" s="57"/>
      <c r="M22" s="57"/>
      <c r="N22" s="57"/>
      <c r="O22" s="57"/>
      <c r="P22" s="57"/>
      <c r="Q22" s="57"/>
      <c r="R22" s="57"/>
      <c r="S22" s="57"/>
      <c r="T22" s="57"/>
      <c r="U22" s="57"/>
    </row>
    <row r="27" spans="1:24">
      <c r="B27" s="10"/>
    </row>
    <row r="28" spans="1:24">
      <c r="B28" s="10"/>
    </row>
    <row r="29" spans="1:24">
      <c r="B29" s="10"/>
    </row>
    <row r="30" spans="1:24">
      <c r="B30" s="10"/>
    </row>
    <row r="31" spans="1:24">
      <c r="B31" s="10"/>
    </row>
    <row r="32" spans="1:24">
      <c r="B32" s="10"/>
    </row>
    <row r="33" spans="2:2">
      <c r="B33" s="10"/>
    </row>
    <row r="34" spans="2:2">
      <c r="B34" s="10"/>
    </row>
    <row r="35" spans="2:2">
      <c r="B35" s="10"/>
    </row>
    <row r="36" spans="2:2">
      <c r="B36" s="10"/>
    </row>
    <row r="37" spans="2:2">
      <c r="B37" s="10"/>
    </row>
    <row r="38" spans="2:2">
      <c r="B38" s="10"/>
    </row>
    <row r="39" spans="2:2">
      <c r="B39" s="10"/>
    </row>
    <row r="40" spans="2:2">
      <c r="B40" s="10"/>
    </row>
    <row r="41" spans="2:2">
      <c r="B41" s="10"/>
    </row>
    <row r="42" spans="2:2">
      <c r="B42" s="10"/>
    </row>
    <row r="43" spans="2:2" ht="12.75">
      <c r="B43" s="10"/>
    </row>
    <row r="44" spans="2:2" ht="12.75">
      <c r="B44" s="10"/>
    </row>
    <row r="45" spans="2:2" ht="12.75">
      <c r="B45" s="10"/>
    </row>
    <row r="46" spans="2:2" ht="12.75">
      <c r="B46" s="10"/>
    </row>
    <row r="47" spans="2:2" ht="12.75">
      <c r="B47" s="10"/>
    </row>
    <row r="48" spans="2:2" ht="12.75">
      <c r="B48" s="10"/>
    </row>
    <row r="49" spans="2:2" ht="12.75">
      <c r="B49" s="10"/>
    </row>
    <row r="50" spans="2:2" ht="12.75">
      <c r="B50" s="10"/>
    </row>
    <row r="51" spans="2:2" ht="12.75">
      <c r="B51" s="10"/>
    </row>
    <row r="52" spans="2:2" ht="12.75">
      <c r="B52" s="10"/>
    </row>
    <row r="53" spans="2:2" ht="12.75">
      <c r="B53" s="10"/>
    </row>
    <row r="54" spans="2:2" ht="12.75">
      <c r="B54" s="10"/>
    </row>
    <row r="55" spans="2:2" ht="12.75">
      <c r="B55" s="10"/>
    </row>
    <row r="56" spans="2:2" ht="12.75">
      <c r="B56" s="10"/>
    </row>
    <row r="57" spans="2:2" ht="12.75">
      <c r="B57" s="10"/>
    </row>
    <row r="58" spans="2:2" ht="12.75">
      <c r="B58" s="10"/>
    </row>
    <row r="59" spans="2:2" ht="12.75">
      <c r="B59" s="10"/>
    </row>
    <row r="60" spans="2:2" ht="12.75">
      <c r="B60" s="10"/>
    </row>
    <row r="61" spans="2:2" ht="12.75">
      <c r="B61" s="10"/>
    </row>
    <row r="62" spans="2:2" ht="12.75">
      <c r="B62" s="10"/>
    </row>
    <row r="63" spans="2:2" ht="12.75">
      <c r="B63" s="10"/>
    </row>
    <row r="64" spans="2:2" ht="12.75">
      <c r="B64" s="10"/>
    </row>
    <row r="65" spans="2:2" ht="12.75">
      <c r="B65" s="10"/>
    </row>
    <row r="66" spans="2:2" ht="12.75">
      <c r="B66" s="10"/>
    </row>
    <row r="67" spans="2:2" ht="12.75">
      <c r="B67" s="10"/>
    </row>
    <row r="68" spans="2:2" ht="12.75">
      <c r="B68" s="10"/>
    </row>
    <row r="69" spans="2:2" ht="12.75">
      <c r="B69" s="10"/>
    </row>
    <row r="70" spans="2:2" ht="12.75">
      <c r="B70" s="10"/>
    </row>
    <row r="71" spans="2:2" ht="12.75">
      <c r="B71" s="10"/>
    </row>
    <row r="72" spans="2:2" ht="12.75">
      <c r="B72" s="10"/>
    </row>
    <row r="73" spans="2:2" ht="12.75">
      <c r="B73" s="10"/>
    </row>
    <row r="74" spans="2:2" ht="12.75">
      <c r="B74" s="10"/>
    </row>
    <row r="75" spans="2:2" ht="12.75">
      <c r="B75" s="10"/>
    </row>
    <row r="76" spans="2:2" ht="12.75">
      <c r="B76" s="10"/>
    </row>
    <row r="77" spans="2:2" ht="12.75">
      <c r="B77" s="10"/>
    </row>
    <row r="78" spans="2:2" ht="12.75">
      <c r="B78" s="10"/>
    </row>
    <row r="79" spans="2:2" ht="12.75">
      <c r="B79" s="10"/>
    </row>
    <row r="80" spans="2:2" ht="12.75">
      <c r="B80" s="10"/>
    </row>
    <row r="81" spans="2:2" ht="12.75">
      <c r="B81" s="10"/>
    </row>
    <row r="82" spans="2:2" ht="12.75">
      <c r="B82" s="10"/>
    </row>
    <row r="83" spans="2:2" ht="12.75">
      <c r="B83" s="10"/>
    </row>
    <row r="84" spans="2:2" ht="12.75">
      <c r="B84" s="10"/>
    </row>
    <row r="85" spans="2:2" ht="12.75">
      <c r="B85" s="10"/>
    </row>
    <row r="86" spans="2:2" ht="12.75">
      <c r="B86" s="10"/>
    </row>
    <row r="87" spans="2:2" ht="12.75">
      <c r="B87" s="10"/>
    </row>
    <row r="88" spans="2:2" ht="12.75">
      <c r="B88" s="10"/>
    </row>
    <row r="89" spans="2:2" ht="12.75">
      <c r="B89" s="10"/>
    </row>
    <row r="90" spans="2:2" ht="12.75">
      <c r="B90" s="10"/>
    </row>
    <row r="91" spans="2:2" ht="12.75">
      <c r="B91" s="10"/>
    </row>
    <row r="92" spans="2:2" ht="12.75">
      <c r="B92" s="10"/>
    </row>
    <row r="93" spans="2:2" ht="12.75">
      <c r="B93" s="10"/>
    </row>
    <row r="94" spans="2:2" ht="12.75">
      <c r="B94" s="10"/>
    </row>
    <row r="95" spans="2:2" ht="12.75">
      <c r="B95" s="10"/>
    </row>
    <row r="96" spans="2:2" ht="12.75">
      <c r="B96" s="10"/>
    </row>
    <row r="97" spans="2:2" ht="12.75">
      <c r="B97" s="10"/>
    </row>
    <row r="98" spans="2:2" ht="12.75">
      <c r="B98" s="10"/>
    </row>
    <row r="99" spans="2:2" ht="12.75">
      <c r="B99" s="10"/>
    </row>
    <row r="100" spans="2:2" ht="12.75">
      <c r="B100" s="10"/>
    </row>
    <row r="101" spans="2:2" ht="12.75">
      <c r="B101" s="10"/>
    </row>
    <row r="102" spans="2:2" ht="12.75">
      <c r="B102" s="10"/>
    </row>
    <row r="103" spans="2:2" ht="12.75">
      <c r="B103" s="10"/>
    </row>
    <row r="104" spans="2:2" ht="12.75">
      <c r="B104" s="10"/>
    </row>
    <row r="105" spans="2:2" ht="12.75">
      <c r="B105" s="10"/>
    </row>
    <row r="106" spans="2:2" ht="12.75">
      <c r="B106" s="10"/>
    </row>
    <row r="107" spans="2:2" ht="12.75">
      <c r="B107" s="10"/>
    </row>
    <row r="108" spans="2:2" ht="12.75">
      <c r="B108" s="10"/>
    </row>
    <row r="109" spans="2:2" ht="12.75">
      <c r="B109" s="10"/>
    </row>
    <row r="110" spans="2:2" ht="12.75">
      <c r="B110" s="10"/>
    </row>
    <row r="111" spans="2:2" ht="12.75">
      <c r="B111" s="10"/>
    </row>
    <row r="112" spans="2:2" ht="12.75">
      <c r="B112" s="10"/>
    </row>
    <row r="113" spans="2:2" ht="12.75">
      <c r="B113" s="10"/>
    </row>
    <row r="114" spans="2:2" ht="12.75">
      <c r="B114" s="10"/>
    </row>
    <row r="115" spans="2:2" ht="12.75">
      <c r="B115" s="10"/>
    </row>
    <row r="116" spans="2:2" ht="12.75">
      <c r="B116" s="10"/>
    </row>
    <row r="117" spans="2:2" ht="12.75">
      <c r="B117" s="10"/>
    </row>
    <row r="118" spans="2:2" ht="12.75">
      <c r="B118" s="10"/>
    </row>
    <row r="119" spans="2:2" ht="12.75">
      <c r="B119" s="10"/>
    </row>
    <row r="120" spans="2:2" ht="12.75">
      <c r="B120" s="10"/>
    </row>
    <row r="121" spans="2:2" ht="12.75">
      <c r="B121" s="10"/>
    </row>
    <row r="122" spans="2:2" ht="12.75">
      <c r="B122" s="10"/>
    </row>
    <row r="123" spans="2:2" ht="12.75">
      <c r="B123" s="10"/>
    </row>
    <row r="124" spans="2:2" ht="12.75">
      <c r="B124" s="10"/>
    </row>
    <row r="125" spans="2:2" ht="12.75">
      <c r="B125" s="10"/>
    </row>
    <row r="126" spans="2:2" ht="12.75">
      <c r="B126" s="10"/>
    </row>
    <row r="127" spans="2:2" ht="12.75">
      <c r="B127" s="10"/>
    </row>
    <row r="128" spans="2:2" ht="12.75">
      <c r="B128" s="10"/>
    </row>
    <row r="129" spans="2:2" ht="12.75">
      <c r="B129" s="10"/>
    </row>
    <row r="130" spans="2:2" ht="12.75">
      <c r="B130" s="10"/>
    </row>
    <row r="131" spans="2:2" ht="12.75">
      <c r="B131" s="10"/>
    </row>
    <row r="132" spans="2:2" ht="12.75">
      <c r="B132" s="10"/>
    </row>
    <row r="133" spans="2:2" ht="12.75">
      <c r="B133" s="10"/>
    </row>
    <row r="134" spans="2:2" ht="12.75">
      <c r="B134" s="10"/>
    </row>
    <row r="135" spans="2:2" ht="12.75">
      <c r="B135" s="10"/>
    </row>
    <row r="136" spans="2:2" ht="12.75">
      <c r="B136" s="10"/>
    </row>
    <row r="137" spans="2:2" ht="12.75">
      <c r="B137" s="10"/>
    </row>
    <row r="138" spans="2:2" ht="12.75">
      <c r="B138" s="10"/>
    </row>
    <row r="139" spans="2:2" ht="12.75">
      <c r="B139" s="10"/>
    </row>
    <row r="140" spans="2:2" ht="12.75">
      <c r="B140" s="10"/>
    </row>
    <row r="141" spans="2:2" ht="12.75">
      <c r="B141" s="10"/>
    </row>
    <row r="142" spans="2:2" ht="12.75">
      <c r="B142" s="10"/>
    </row>
    <row r="143" spans="2:2" ht="12.75">
      <c r="B143" s="10"/>
    </row>
    <row r="144" spans="2:2" ht="12.75">
      <c r="B144" s="10"/>
    </row>
    <row r="145" spans="2:2" ht="12.75">
      <c r="B145" s="10"/>
    </row>
    <row r="146" spans="2:2" ht="12.75">
      <c r="B146" s="10"/>
    </row>
    <row r="147" spans="2:2" ht="12.75">
      <c r="B147" s="10"/>
    </row>
    <row r="148" spans="2:2" ht="12.75">
      <c r="B148" s="10"/>
    </row>
    <row r="149" spans="2:2" ht="12.75">
      <c r="B149" s="10"/>
    </row>
    <row r="150" spans="2:2" ht="12.75">
      <c r="B150" s="10"/>
    </row>
    <row r="151" spans="2:2" ht="12.75">
      <c r="B151" s="10"/>
    </row>
    <row r="152" spans="2:2" ht="12.75">
      <c r="B152" s="10"/>
    </row>
    <row r="153" spans="2:2" ht="12.75">
      <c r="B153" s="10"/>
    </row>
    <row r="154" spans="2:2" ht="12.75">
      <c r="B154" s="10"/>
    </row>
    <row r="155" spans="2:2" ht="12.75">
      <c r="B155" s="10"/>
    </row>
    <row r="156" spans="2:2" ht="12.75">
      <c r="B156" s="10"/>
    </row>
    <row r="157" spans="2:2" ht="12.75">
      <c r="B157" s="10"/>
    </row>
    <row r="158" spans="2:2" ht="12.75">
      <c r="B158" s="10"/>
    </row>
    <row r="159" spans="2:2" ht="12.75">
      <c r="B159" s="10"/>
    </row>
    <row r="160" spans="2:2" ht="12.75">
      <c r="B160" s="10"/>
    </row>
    <row r="161" spans="2:2" ht="12.75">
      <c r="B161" s="10"/>
    </row>
    <row r="162" spans="2:2" ht="12.75">
      <c r="B162" s="10"/>
    </row>
    <row r="163" spans="2:2" ht="12.75">
      <c r="B163" s="10"/>
    </row>
    <row r="164" spans="2:2" ht="12.75">
      <c r="B164" s="10"/>
    </row>
    <row r="165" spans="2:2" ht="12.75">
      <c r="B165" s="10"/>
    </row>
    <row r="166" spans="2:2" ht="12.75">
      <c r="B166" s="10"/>
    </row>
    <row r="167" spans="2:2" ht="12.75">
      <c r="B167" s="10"/>
    </row>
    <row r="168" spans="2:2" ht="12.75">
      <c r="B168" s="10"/>
    </row>
    <row r="169" spans="2:2" ht="12.75">
      <c r="B169" s="10"/>
    </row>
    <row r="170" spans="2:2" ht="12.75">
      <c r="B170" s="10"/>
    </row>
    <row r="171" spans="2:2" ht="12.75">
      <c r="B171" s="10"/>
    </row>
    <row r="172" spans="2:2" ht="12.75">
      <c r="B172" s="10"/>
    </row>
    <row r="173" spans="2:2" ht="12.75">
      <c r="B173" s="10"/>
    </row>
    <row r="174" spans="2:2" ht="12.75">
      <c r="B174" s="10"/>
    </row>
    <row r="175" spans="2:2" ht="12.75">
      <c r="B175" s="10"/>
    </row>
    <row r="176" spans="2:2" ht="12.75">
      <c r="B176" s="10"/>
    </row>
    <row r="177" spans="2:2" ht="12.75">
      <c r="B177" s="10"/>
    </row>
    <row r="178" spans="2:2" ht="12.75">
      <c r="B178" s="10"/>
    </row>
    <row r="179" spans="2:2" ht="12.75">
      <c r="B179" s="10"/>
    </row>
    <row r="180" spans="2:2" ht="12.75">
      <c r="B180" s="10"/>
    </row>
    <row r="181" spans="2:2" ht="12.75">
      <c r="B181" s="10"/>
    </row>
    <row r="182" spans="2:2" ht="12.75">
      <c r="B182" s="10"/>
    </row>
    <row r="183" spans="2:2" ht="12.75">
      <c r="B183" s="10"/>
    </row>
    <row r="184" spans="2:2" ht="12.75">
      <c r="B184" s="10"/>
    </row>
    <row r="185" spans="2:2" ht="12.75">
      <c r="B185" s="10"/>
    </row>
    <row r="186" spans="2:2" ht="12.75">
      <c r="B186" s="10"/>
    </row>
    <row r="187" spans="2:2" ht="12.75">
      <c r="B187" s="10"/>
    </row>
    <row r="188" spans="2:2" ht="12.75">
      <c r="B188" s="10"/>
    </row>
    <row r="189" spans="2:2" ht="12.75">
      <c r="B189" s="10"/>
    </row>
    <row r="190" spans="2:2" ht="12.75">
      <c r="B190" s="10"/>
    </row>
    <row r="191" spans="2:2" ht="12.75">
      <c r="B191" s="10"/>
    </row>
    <row r="192" spans="2:2" ht="12.75">
      <c r="B192" s="10"/>
    </row>
    <row r="193" spans="2:2" ht="12.75">
      <c r="B193" s="10"/>
    </row>
    <row r="194" spans="2:2" ht="12.75">
      <c r="B194" s="10"/>
    </row>
    <row r="195" spans="2:2" ht="12.75">
      <c r="B195" s="10"/>
    </row>
    <row r="196" spans="2:2" ht="12.75">
      <c r="B196" s="10"/>
    </row>
    <row r="197" spans="2:2" ht="12.75">
      <c r="B197" s="10"/>
    </row>
    <row r="198" spans="2:2" ht="12.75">
      <c r="B198" s="10"/>
    </row>
    <row r="199" spans="2:2" ht="12.75">
      <c r="B199" s="10"/>
    </row>
    <row r="200" spans="2:2" ht="12.75">
      <c r="B200" s="10"/>
    </row>
    <row r="201" spans="2:2" ht="12.75">
      <c r="B201" s="10"/>
    </row>
    <row r="202" spans="2:2" ht="12.75">
      <c r="B202" s="10"/>
    </row>
    <row r="203" spans="2:2" ht="12.75">
      <c r="B203" s="10"/>
    </row>
    <row r="204" spans="2:2" ht="12.75">
      <c r="B204" s="10"/>
    </row>
    <row r="205" spans="2:2" ht="12.75">
      <c r="B205" s="10"/>
    </row>
    <row r="206" spans="2:2" ht="12.75">
      <c r="B206" s="10"/>
    </row>
    <row r="207" spans="2:2" ht="12.75">
      <c r="B207" s="10"/>
    </row>
    <row r="208" spans="2:2" ht="12.75">
      <c r="B208" s="10"/>
    </row>
    <row r="209" spans="2:2" ht="12.75">
      <c r="B209" s="10"/>
    </row>
    <row r="210" spans="2:2" ht="12.75">
      <c r="B210" s="10"/>
    </row>
    <row r="211" spans="2:2" ht="12.75">
      <c r="B211" s="10"/>
    </row>
    <row r="212" spans="2:2" ht="12.75">
      <c r="B212" s="10"/>
    </row>
    <row r="213" spans="2:2" ht="12.75">
      <c r="B213" s="10"/>
    </row>
    <row r="214" spans="2:2" ht="12.75">
      <c r="B214" s="10"/>
    </row>
    <row r="215" spans="2:2" ht="12.75">
      <c r="B215" s="10"/>
    </row>
    <row r="216" spans="2:2" ht="12.75">
      <c r="B216" s="10"/>
    </row>
    <row r="217" spans="2:2" ht="12.75">
      <c r="B217" s="10"/>
    </row>
    <row r="218" spans="2:2" ht="12.75">
      <c r="B218" s="10"/>
    </row>
    <row r="219" spans="2:2" ht="12.75">
      <c r="B219" s="10"/>
    </row>
    <row r="220" spans="2:2" ht="12.75">
      <c r="B220" s="10"/>
    </row>
    <row r="221" spans="2:2" ht="12.75">
      <c r="B221" s="10"/>
    </row>
    <row r="222" spans="2:2" ht="12.75">
      <c r="B222" s="10"/>
    </row>
    <row r="223" spans="2:2" ht="12.75">
      <c r="B223" s="10"/>
    </row>
    <row r="224" spans="2:2" ht="12.75">
      <c r="B224" s="10"/>
    </row>
    <row r="225" spans="2:2" ht="12.75">
      <c r="B225" s="10"/>
    </row>
    <row r="226" spans="2:2" ht="12.75">
      <c r="B226" s="10"/>
    </row>
    <row r="227" spans="2:2" ht="12.75">
      <c r="B227" s="10"/>
    </row>
    <row r="228" spans="2:2" ht="12.75">
      <c r="B228" s="10"/>
    </row>
    <row r="229" spans="2:2" ht="12.75">
      <c r="B229" s="10"/>
    </row>
    <row r="230" spans="2:2" ht="12.75">
      <c r="B230" s="10"/>
    </row>
    <row r="231" spans="2:2" ht="12.75">
      <c r="B231" s="10"/>
    </row>
    <row r="232" spans="2:2" ht="12.75">
      <c r="B232" s="10"/>
    </row>
    <row r="233" spans="2:2" ht="12.75">
      <c r="B233" s="10"/>
    </row>
    <row r="234" spans="2:2" ht="12.75">
      <c r="B234" s="10"/>
    </row>
    <row r="235" spans="2:2" ht="12.75">
      <c r="B235" s="10"/>
    </row>
    <row r="236" spans="2:2" ht="12.75">
      <c r="B236" s="10"/>
    </row>
    <row r="237" spans="2:2" ht="12.75">
      <c r="B237" s="10"/>
    </row>
    <row r="238" spans="2:2" ht="12.75">
      <c r="B238" s="10"/>
    </row>
    <row r="239" spans="2:2" ht="12.75">
      <c r="B239" s="10"/>
    </row>
    <row r="240" spans="2:2" ht="12.75">
      <c r="B240" s="10"/>
    </row>
    <row r="241" spans="2:2" ht="12.75">
      <c r="B241" s="10"/>
    </row>
    <row r="242" spans="2:2" ht="12.75">
      <c r="B242" s="10"/>
    </row>
    <row r="243" spans="2:2" ht="12.75">
      <c r="B243" s="10"/>
    </row>
    <row r="244" spans="2:2" ht="12.75">
      <c r="B244" s="10"/>
    </row>
    <row r="245" spans="2:2" ht="12.75">
      <c r="B245" s="10"/>
    </row>
    <row r="246" spans="2:2" ht="12.75">
      <c r="B246" s="10"/>
    </row>
    <row r="247" spans="2:2" ht="12.75">
      <c r="B247" s="10"/>
    </row>
    <row r="248" spans="2:2" ht="12.75">
      <c r="B248" s="10"/>
    </row>
    <row r="249" spans="2:2" ht="12.75">
      <c r="B249" s="10"/>
    </row>
    <row r="250" spans="2:2" ht="12.75">
      <c r="B250" s="10"/>
    </row>
    <row r="251" spans="2:2" ht="12.75">
      <c r="B251" s="10"/>
    </row>
    <row r="252" spans="2:2" ht="12.75">
      <c r="B252" s="10"/>
    </row>
    <row r="253" spans="2:2" ht="12.75">
      <c r="B253" s="10"/>
    </row>
    <row r="254" spans="2:2" ht="12.75">
      <c r="B254" s="10"/>
    </row>
    <row r="255" spans="2:2" ht="12.75">
      <c r="B255" s="10"/>
    </row>
    <row r="256" spans="2:2" ht="12.75">
      <c r="B256" s="10"/>
    </row>
    <row r="257" spans="2:2" ht="12.75">
      <c r="B257" s="10"/>
    </row>
    <row r="258" spans="2:2" ht="12.75">
      <c r="B258" s="10"/>
    </row>
    <row r="259" spans="2:2" ht="12.75">
      <c r="B259" s="10"/>
    </row>
    <row r="260" spans="2:2" ht="12.75">
      <c r="B260" s="10"/>
    </row>
    <row r="261" spans="2:2" ht="12.75">
      <c r="B261" s="10"/>
    </row>
    <row r="262" spans="2:2" ht="12.75">
      <c r="B262" s="10"/>
    </row>
    <row r="263" spans="2:2" ht="12.75">
      <c r="B263" s="10"/>
    </row>
    <row r="264" spans="2:2" ht="12.75">
      <c r="B264" s="10"/>
    </row>
    <row r="265" spans="2:2" ht="12.75">
      <c r="B265" s="10"/>
    </row>
    <row r="266" spans="2:2" ht="12.75">
      <c r="B266" s="10"/>
    </row>
    <row r="267" spans="2:2" ht="12.75">
      <c r="B267" s="10"/>
    </row>
    <row r="268" spans="2:2" ht="12.75">
      <c r="B268" s="10"/>
    </row>
    <row r="269" spans="2:2" ht="12.75">
      <c r="B269" s="10"/>
    </row>
    <row r="270" spans="2:2" ht="12.75">
      <c r="B270" s="10"/>
    </row>
    <row r="271" spans="2:2" ht="12.75">
      <c r="B271" s="10"/>
    </row>
    <row r="272" spans="2:2" ht="12.75">
      <c r="B272" s="10"/>
    </row>
    <row r="273" spans="2:2" ht="12.75">
      <c r="B273" s="10"/>
    </row>
    <row r="274" spans="2:2" ht="12.75">
      <c r="B274" s="10"/>
    </row>
    <row r="275" spans="2:2" ht="12.75">
      <c r="B275" s="10"/>
    </row>
    <row r="276" spans="2:2" ht="12.75">
      <c r="B276" s="10"/>
    </row>
    <row r="277" spans="2:2" ht="12.75">
      <c r="B277" s="10"/>
    </row>
    <row r="278" spans="2:2" ht="12.75">
      <c r="B278" s="10"/>
    </row>
    <row r="279" spans="2:2" ht="12.75">
      <c r="B279" s="10"/>
    </row>
    <row r="280" spans="2:2" ht="12.75">
      <c r="B280" s="10"/>
    </row>
    <row r="281" spans="2:2" ht="12.75">
      <c r="B281" s="10"/>
    </row>
    <row r="282" spans="2:2" ht="12.75">
      <c r="B282" s="10"/>
    </row>
    <row r="283" spans="2:2" ht="12.75">
      <c r="B283" s="10"/>
    </row>
    <row r="284" spans="2:2" ht="12.75">
      <c r="B284" s="10"/>
    </row>
    <row r="285" spans="2:2" ht="12.75">
      <c r="B285" s="10"/>
    </row>
    <row r="286" spans="2:2" ht="12.75">
      <c r="B286" s="10"/>
    </row>
    <row r="287" spans="2:2" ht="12.75">
      <c r="B287" s="10"/>
    </row>
    <row r="288" spans="2:2" ht="12.75">
      <c r="B288" s="10"/>
    </row>
    <row r="289" spans="2:2" ht="12.75">
      <c r="B289" s="10"/>
    </row>
    <row r="290" spans="2:2" ht="12.75">
      <c r="B290" s="10"/>
    </row>
    <row r="291" spans="2:2" ht="12.75">
      <c r="B291" s="10"/>
    </row>
    <row r="292" spans="2:2" ht="12.75">
      <c r="B292" s="10"/>
    </row>
    <row r="293" spans="2:2" ht="12.75">
      <c r="B293" s="10"/>
    </row>
    <row r="294" spans="2:2" ht="12.75">
      <c r="B294" s="10"/>
    </row>
    <row r="295" spans="2:2" ht="12.75">
      <c r="B295" s="10"/>
    </row>
    <row r="296" spans="2:2" ht="12.75">
      <c r="B296" s="10"/>
    </row>
    <row r="297" spans="2:2" ht="12.75">
      <c r="B297" s="10"/>
    </row>
    <row r="298" spans="2:2" ht="12.75">
      <c r="B298" s="10"/>
    </row>
    <row r="299" spans="2:2" ht="12.75">
      <c r="B299" s="10"/>
    </row>
    <row r="300" spans="2:2" ht="12.75">
      <c r="B300" s="10"/>
    </row>
    <row r="301" spans="2:2" ht="12.75">
      <c r="B301" s="10"/>
    </row>
    <row r="302" spans="2:2" ht="12.75">
      <c r="B302" s="10"/>
    </row>
    <row r="303" spans="2:2" ht="12.75">
      <c r="B303" s="10"/>
    </row>
    <row r="304" spans="2:2" ht="12.75">
      <c r="B304" s="10"/>
    </row>
    <row r="305" spans="2:2" ht="12.75">
      <c r="B305" s="10"/>
    </row>
    <row r="306" spans="2:2" ht="12.75">
      <c r="B306" s="10"/>
    </row>
    <row r="307" spans="2:2" ht="12.75">
      <c r="B307" s="10"/>
    </row>
    <row r="308" spans="2:2" ht="12.75">
      <c r="B308" s="10"/>
    </row>
    <row r="309" spans="2:2" ht="12.75">
      <c r="B309" s="10"/>
    </row>
    <row r="310" spans="2:2" ht="12.75">
      <c r="B310" s="10"/>
    </row>
    <row r="311" spans="2:2" ht="12.75">
      <c r="B311" s="10"/>
    </row>
    <row r="312" spans="2:2" ht="12.75">
      <c r="B312" s="10"/>
    </row>
    <row r="313" spans="2:2" ht="12.75">
      <c r="B313" s="10"/>
    </row>
    <row r="314" spans="2:2" ht="12.75">
      <c r="B314" s="10"/>
    </row>
    <row r="315" spans="2:2" ht="12.75">
      <c r="B315" s="10"/>
    </row>
    <row r="316" spans="2:2" ht="12.75">
      <c r="B316" s="10"/>
    </row>
    <row r="317" spans="2:2" ht="12.75">
      <c r="B317" s="10"/>
    </row>
    <row r="318" spans="2:2" ht="12.75">
      <c r="B318" s="10"/>
    </row>
    <row r="319" spans="2:2" ht="12.75">
      <c r="B319" s="10"/>
    </row>
    <row r="320" spans="2:2" ht="12.75">
      <c r="B320" s="10"/>
    </row>
    <row r="321" spans="2:2" ht="12.75">
      <c r="B321" s="10"/>
    </row>
    <row r="322" spans="2:2" ht="12.75">
      <c r="B322" s="10"/>
    </row>
    <row r="323" spans="2:2" ht="12.75">
      <c r="B323" s="10"/>
    </row>
    <row r="324" spans="2:2" ht="12.75">
      <c r="B324" s="10"/>
    </row>
    <row r="325" spans="2:2" ht="12.75">
      <c r="B325" s="10"/>
    </row>
    <row r="326" spans="2:2" ht="12.75">
      <c r="B326" s="10"/>
    </row>
    <row r="327" spans="2:2" ht="12.75">
      <c r="B327" s="10"/>
    </row>
    <row r="328" spans="2:2" ht="12.75">
      <c r="B328" s="10"/>
    </row>
    <row r="329" spans="2:2" ht="12.75">
      <c r="B329" s="10"/>
    </row>
    <row r="330" spans="2:2" ht="12.75">
      <c r="B330" s="10"/>
    </row>
    <row r="331" spans="2:2" ht="12.75">
      <c r="B331" s="10"/>
    </row>
    <row r="332" spans="2:2" ht="12.75">
      <c r="B332" s="10"/>
    </row>
    <row r="333" spans="2:2" ht="12.75">
      <c r="B333" s="10"/>
    </row>
    <row r="334" spans="2:2" ht="12.75">
      <c r="B334" s="10"/>
    </row>
    <row r="335" spans="2:2" ht="12.75">
      <c r="B335" s="10"/>
    </row>
    <row r="336" spans="2:2" ht="12.75">
      <c r="B336" s="10"/>
    </row>
    <row r="337" spans="2:2" ht="12.75">
      <c r="B337" s="10"/>
    </row>
    <row r="338" spans="2:2" ht="12.75">
      <c r="B338" s="10"/>
    </row>
    <row r="339" spans="2:2" ht="12.75">
      <c r="B339" s="10"/>
    </row>
    <row r="340" spans="2:2" ht="12.75">
      <c r="B340" s="10"/>
    </row>
    <row r="341" spans="2:2" ht="12.75">
      <c r="B341" s="10"/>
    </row>
    <row r="342" spans="2:2" ht="12.75">
      <c r="B342" s="10"/>
    </row>
    <row r="343" spans="2:2" ht="12.75">
      <c r="B343" s="10"/>
    </row>
    <row r="344" spans="2:2" ht="12.75">
      <c r="B344" s="10"/>
    </row>
    <row r="345" spans="2:2" ht="12.75">
      <c r="B345" s="10"/>
    </row>
    <row r="346" spans="2:2" ht="12.75">
      <c r="B346" s="10"/>
    </row>
    <row r="347" spans="2:2" ht="12.75">
      <c r="B347" s="10"/>
    </row>
    <row r="348" spans="2:2" ht="12.75">
      <c r="B348" s="10"/>
    </row>
    <row r="349" spans="2:2" ht="12.75">
      <c r="B349" s="10"/>
    </row>
    <row r="350" spans="2:2" ht="12.75">
      <c r="B350" s="10"/>
    </row>
    <row r="351" spans="2:2" ht="12.75">
      <c r="B351" s="10"/>
    </row>
    <row r="352" spans="2:2" ht="12.75">
      <c r="B352" s="10"/>
    </row>
    <row r="353" spans="2:2" ht="12.75">
      <c r="B353" s="10"/>
    </row>
    <row r="354" spans="2:2" ht="12.75">
      <c r="B354" s="10"/>
    </row>
    <row r="355" spans="2:2" ht="12.75">
      <c r="B355" s="10"/>
    </row>
    <row r="356" spans="2:2" ht="12.75">
      <c r="B356" s="10"/>
    </row>
    <row r="357" spans="2:2" ht="12.75">
      <c r="B357" s="10"/>
    </row>
    <row r="358" spans="2:2" ht="12.75">
      <c r="B358" s="10"/>
    </row>
    <row r="359" spans="2:2" ht="12.75">
      <c r="B359" s="10"/>
    </row>
    <row r="360" spans="2:2" ht="12.75">
      <c r="B360" s="10"/>
    </row>
    <row r="361" spans="2:2" ht="12.75">
      <c r="B361" s="10"/>
    </row>
    <row r="362" spans="2:2" ht="12.75">
      <c r="B362" s="10"/>
    </row>
    <row r="363" spans="2:2" ht="12.75">
      <c r="B363" s="10"/>
    </row>
    <row r="364" spans="2:2" ht="12.75">
      <c r="B364" s="10"/>
    </row>
    <row r="365" spans="2:2" ht="12.75">
      <c r="B365" s="10"/>
    </row>
    <row r="366" spans="2:2" ht="12.75">
      <c r="B366" s="10"/>
    </row>
    <row r="367" spans="2:2" ht="12.75">
      <c r="B367" s="10"/>
    </row>
    <row r="368" spans="2:2" ht="12.75">
      <c r="B368" s="10"/>
    </row>
    <row r="369" spans="2:2" ht="12.75">
      <c r="B369" s="10"/>
    </row>
    <row r="370" spans="2:2" ht="12.75">
      <c r="B370" s="10"/>
    </row>
    <row r="371" spans="2:2" ht="12.75">
      <c r="B371" s="10"/>
    </row>
    <row r="372" spans="2:2" ht="12.75">
      <c r="B372" s="10"/>
    </row>
    <row r="373" spans="2:2" ht="12.75">
      <c r="B373" s="10"/>
    </row>
    <row r="374" spans="2:2" ht="12.75">
      <c r="B374" s="10"/>
    </row>
    <row r="375" spans="2:2" ht="12.75">
      <c r="B375" s="10"/>
    </row>
    <row r="376" spans="2:2" ht="12.75">
      <c r="B376" s="10"/>
    </row>
    <row r="377" spans="2:2" ht="12.75">
      <c r="B377" s="10"/>
    </row>
    <row r="378" spans="2:2" ht="12.75">
      <c r="B378" s="10"/>
    </row>
    <row r="379" spans="2:2" ht="12.75">
      <c r="B379" s="10"/>
    </row>
    <row r="380" spans="2:2" ht="12.75">
      <c r="B380" s="10"/>
    </row>
    <row r="381" spans="2:2" ht="12.75">
      <c r="B381" s="10"/>
    </row>
    <row r="382" spans="2:2" ht="12.75">
      <c r="B382" s="10"/>
    </row>
    <row r="383" spans="2:2" ht="12.75">
      <c r="B383" s="10"/>
    </row>
    <row r="384" spans="2:2" ht="12.75">
      <c r="B384" s="10"/>
    </row>
    <row r="385" spans="2:2" ht="12.75">
      <c r="B385" s="10"/>
    </row>
    <row r="386" spans="2:2" ht="12.75">
      <c r="B386" s="10"/>
    </row>
    <row r="387" spans="2:2" ht="12.75">
      <c r="B387" s="10"/>
    </row>
    <row r="388" spans="2:2" ht="12.75">
      <c r="B388" s="10"/>
    </row>
    <row r="389" spans="2:2" ht="12.75">
      <c r="B389" s="10"/>
    </row>
    <row r="390" spans="2:2" ht="12.75">
      <c r="B390" s="10"/>
    </row>
    <row r="391" spans="2:2" ht="12.75">
      <c r="B391" s="10"/>
    </row>
    <row r="392" spans="2:2" ht="12.75">
      <c r="B392" s="10"/>
    </row>
    <row r="393" spans="2:2" ht="12.75">
      <c r="B393" s="10"/>
    </row>
    <row r="394" spans="2:2" ht="12.75">
      <c r="B394" s="10"/>
    </row>
    <row r="395" spans="2:2" ht="12.75">
      <c r="B395" s="10"/>
    </row>
    <row r="396" spans="2:2" ht="12.75">
      <c r="B396" s="10"/>
    </row>
    <row r="397" spans="2:2" ht="12.75">
      <c r="B397" s="10"/>
    </row>
    <row r="398" spans="2:2" ht="12.75">
      <c r="B398" s="10"/>
    </row>
    <row r="399" spans="2:2" ht="12.75">
      <c r="B399" s="10"/>
    </row>
    <row r="400" spans="2:2" ht="12.75">
      <c r="B400" s="10"/>
    </row>
    <row r="401" spans="2:2" ht="12.75">
      <c r="B401" s="10"/>
    </row>
    <row r="402" spans="2:2" ht="12.75">
      <c r="B402" s="10"/>
    </row>
    <row r="403" spans="2:2" ht="12.75">
      <c r="B403" s="10"/>
    </row>
    <row r="404" spans="2:2" ht="12.75">
      <c r="B404" s="10"/>
    </row>
    <row r="405" spans="2:2" ht="12.75">
      <c r="B405" s="10"/>
    </row>
    <row r="406" spans="2:2" ht="12.75">
      <c r="B406" s="10"/>
    </row>
    <row r="407" spans="2:2" ht="12.75">
      <c r="B407" s="10"/>
    </row>
    <row r="408" spans="2:2" ht="12.75">
      <c r="B408" s="10"/>
    </row>
    <row r="409" spans="2:2" ht="12.75">
      <c r="B409" s="10"/>
    </row>
    <row r="410" spans="2:2" ht="12.75">
      <c r="B410" s="10"/>
    </row>
    <row r="411" spans="2:2" ht="12.75">
      <c r="B411" s="10"/>
    </row>
    <row r="412" spans="2:2" ht="12.75">
      <c r="B412" s="10"/>
    </row>
    <row r="413" spans="2:2" ht="12.75">
      <c r="B413" s="10"/>
    </row>
    <row r="414" spans="2:2" ht="12.75">
      <c r="B414" s="10"/>
    </row>
    <row r="415" spans="2:2" ht="12.75">
      <c r="B415" s="10"/>
    </row>
    <row r="416" spans="2:2" ht="12.75">
      <c r="B416" s="10"/>
    </row>
    <row r="417" spans="2:2" ht="12.75">
      <c r="B417" s="10"/>
    </row>
    <row r="418" spans="2:2" ht="12.75">
      <c r="B418" s="10"/>
    </row>
    <row r="419" spans="2:2" ht="12.75">
      <c r="B419" s="10"/>
    </row>
    <row r="420" spans="2:2" ht="12.75">
      <c r="B420" s="10"/>
    </row>
    <row r="421" spans="2:2" ht="12.75">
      <c r="B421" s="10"/>
    </row>
    <row r="422" spans="2:2" ht="12.75">
      <c r="B422" s="10"/>
    </row>
    <row r="423" spans="2:2" ht="12.75">
      <c r="B423" s="10"/>
    </row>
    <row r="424" spans="2:2" ht="12.75">
      <c r="B424" s="10"/>
    </row>
    <row r="425" spans="2:2" ht="12.75">
      <c r="B425" s="10"/>
    </row>
    <row r="426" spans="2:2" ht="12.75">
      <c r="B426" s="10"/>
    </row>
    <row r="427" spans="2:2" ht="12.75">
      <c r="B427" s="10"/>
    </row>
    <row r="428" spans="2:2" ht="12.75">
      <c r="B428" s="10"/>
    </row>
    <row r="429" spans="2:2" ht="12.75">
      <c r="B429" s="10"/>
    </row>
    <row r="430" spans="2:2" ht="12.75">
      <c r="B430" s="10"/>
    </row>
    <row r="431" spans="2:2" ht="12.75">
      <c r="B431" s="10"/>
    </row>
    <row r="432" spans="2:2" ht="12.75">
      <c r="B432" s="10"/>
    </row>
    <row r="433" spans="2:2" ht="12.75">
      <c r="B433" s="10"/>
    </row>
    <row r="434" spans="2:2" ht="12.75">
      <c r="B434" s="10"/>
    </row>
    <row r="435" spans="2:2" ht="12.75">
      <c r="B435" s="10"/>
    </row>
    <row r="436" spans="2:2" ht="12.75">
      <c r="B436" s="10"/>
    </row>
    <row r="437" spans="2:2" ht="12.75">
      <c r="B437" s="10"/>
    </row>
    <row r="438" spans="2:2" ht="12.75">
      <c r="B438" s="10"/>
    </row>
    <row r="439" spans="2:2" ht="12.75">
      <c r="B439" s="10"/>
    </row>
    <row r="440" spans="2:2" ht="12.75">
      <c r="B440" s="10"/>
    </row>
    <row r="441" spans="2:2" ht="12.75">
      <c r="B441" s="10"/>
    </row>
    <row r="442" spans="2:2" ht="12.75">
      <c r="B442" s="10"/>
    </row>
    <row r="443" spans="2:2" ht="12.75">
      <c r="B443" s="10"/>
    </row>
    <row r="444" spans="2:2" ht="12.75">
      <c r="B444" s="10"/>
    </row>
    <row r="445" spans="2:2" ht="12.75">
      <c r="B445" s="10"/>
    </row>
    <row r="446" spans="2:2" ht="12.75">
      <c r="B446" s="10"/>
    </row>
    <row r="447" spans="2:2" ht="12.75">
      <c r="B447" s="10"/>
    </row>
    <row r="448" spans="2:2" ht="12.75">
      <c r="B448" s="10"/>
    </row>
    <row r="449" spans="2:2" ht="12.75">
      <c r="B449" s="10"/>
    </row>
    <row r="450" spans="2:2" ht="12.75">
      <c r="B450" s="10"/>
    </row>
    <row r="451" spans="2:2" ht="12.75">
      <c r="B451" s="10"/>
    </row>
    <row r="452" spans="2:2" ht="12.75">
      <c r="B452" s="10"/>
    </row>
    <row r="453" spans="2:2" ht="12.75">
      <c r="B453" s="10"/>
    </row>
    <row r="454" spans="2:2" ht="12.75">
      <c r="B454" s="10"/>
    </row>
    <row r="455" spans="2:2" ht="12.75">
      <c r="B455" s="10"/>
    </row>
    <row r="456" spans="2:2" ht="12.75">
      <c r="B456" s="10"/>
    </row>
    <row r="457" spans="2:2" ht="12.75">
      <c r="B457" s="10"/>
    </row>
    <row r="458" spans="2:2" ht="12.75">
      <c r="B458" s="10"/>
    </row>
    <row r="459" spans="2:2" ht="12.75">
      <c r="B459" s="10"/>
    </row>
    <row r="460" spans="2:2" ht="12.75">
      <c r="B460" s="10"/>
    </row>
    <row r="461" spans="2:2" ht="12.75">
      <c r="B461" s="10"/>
    </row>
    <row r="462" spans="2:2" ht="12.75">
      <c r="B462" s="10"/>
    </row>
    <row r="463" spans="2:2" ht="12.75">
      <c r="B463" s="10"/>
    </row>
    <row r="464" spans="2:2" ht="12.75">
      <c r="B464" s="10"/>
    </row>
    <row r="465" spans="2:2" ht="12.75">
      <c r="B465" s="10"/>
    </row>
    <row r="466" spans="2:2" ht="12.75">
      <c r="B466" s="10"/>
    </row>
    <row r="467" spans="2:2" ht="12.75">
      <c r="B467" s="10"/>
    </row>
    <row r="468" spans="2:2" ht="12.75">
      <c r="B468" s="10"/>
    </row>
    <row r="469" spans="2:2" ht="12.75">
      <c r="B469" s="10"/>
    </row>
    <row r="470" spans="2:2" ht="12.75">
      <c r="B470" s="10"/>
    </row>
    <row r="471" spans="2:2" ht="12.75">
      <c r="B471" s="10"/>
    </row>
    <row r="472" spans="2:2" ht="12.75">
      <c r="B472" s="10"/>
    </row>
    <row r="473" spans="2:2" ht="12.75">
      <c r="B473" s="10"/>
    </row>
    <row r="474" spans="2:2" ht="12.75">
      <c r="B474" s="10"/>
    </row>
    <row r="475" spans="2:2" ht="12.75">
      <c r="B475" s="10"/>
    </row>
    <row r="476" spans="2:2" ht="12.75">
      <c r="B476" s="10"/>
    </row>
    <row r="477" spans="2:2" ht="12.75">
      <c r="B477" s="10"/>
    </row>
    <row r="478" spans="2:2" ht="12.75">
      <c r="B478" s="10"/>
    </row>
    <row r="479" spans="2:2" ht="12.75">
      <c r="B479" s="10"/>
    </row>
    <row r="480" spans="2:2" ht="12.75">
      <c r="B480" s="10"/>
    </row>
    <row r="481" spans="2:2" ht="12.75">
      <c r="B481" s="10"/>
    </row>
    <row r="482" spans="2:2" ht="12.75">
      <c r="B482" s="10"/>
    </row>
    <row r="483" spans="2:2" ht="12.75">
      <c r="B483" s="10"/>
    </row>
    <row r="484" spans="2:2" ht="12.75">
      <c r="B484" s="10"/>
    </row>
    <row r="485" spans="2:2" ht="12.75">
      <c r="B485" s="10"/>
    </row>
    <row r="486" spans="2:2" ht="12.75">
      <c r="B486" s="10"/>
    </row>
    <row r="487" spans="2:2" ht="12.75">
      <c r="B487" s="10"/>
    </row>
    <row r="488" spans="2:2" ht="12.75">
      <c r="B488" s="10"/>
    </row>
    <row r="489" spans="2:2" ht="12.75">
      <c r="B489" s="10"/>
    </row>
    <row r="490" spans="2:2" ht="12.75">
      <c r="B490" s="10"/>
    </row>
    <row r="491" spans="2:2" ht="12.75">
      <c r="B491" s="10"/>
    </row>
    <row r="492" spans="2:2" ht="12.75">
      <c r="B492" s="10"/>
    </row>
    <row r="493" spans="2:2" ht="12.75">
      <c r="B493" s="10"/>
    </row>
    <row r="494" spans="2:2" ht="12.75">
      <c r="B494" s="10"/>
    </row>
    <row r="495" spans="2:2" ht="12.75">
      <c r="B495" s="10"/>
    </row>
    <row r="496" spans="2:2" ht="12.75">
      <c r="B496" s="10"/>
    </row>
    <row r="497" spans="2:2" ht="12.75">
      <c r="B497" s="10"/>
    </row>
    <row r="498" spans="2:2" ht="12.75">
      <c r="B498" s="10"/>
    </row>
    <row r="499" spans="2:2" ht="12.75">
      <c r="B499" s="10"/>
    </row>
    <row r="500" spans="2:2" ht="12.75">
      <c r="B500" s="10"/>
    </row>
    <row r="501" spans="2:2" ht="12.75">
      <c r="B501" s="10"/>
    </row>
    <row r="502" spans="2:2" ht="12.75">
      <c r="B502" s="10"/>
    </row>
    <row r="503" spans="2:2" ht="12.75">
      <c r="B503" s="10"/>
    </row>
    <row r="504" spans="2:2" ht="12.75">
      <c r="B504" s="10"/>
    </row>
    <row r="505" spans="2:2" ht="12.75">
      <c r="B505" s="10"/>
    </row>
    <row r="506" spans="2:2" ht="12.75">
      <c r="B506" s="10"/>
    </row>
    <row r="507" spans="2:2" ht="12.75">
      <c r="B507" s="10"/>
    </row>
    <row r="508" spans="2:2" ht="12.75">
      <c r="B508" s="10"/>
    </row>
    <row r="509" spans="2:2" ht="12.75">
      <c r="B509" s="10"/>
    </row>
    <row r="510" spans="2:2" ht="12.75">
      <c r="B510" s="10"/>
    </row>
    <row r="511" spans="2:2" ht="12.75">
      <c r="B511" s="10"/>
    </row>
    <row r="512" spans="2:2" ht="12.75">
      <c r="B512" s="10"/>
    </row>
    <row r="513" spans="2:2" ht="12.75">
      <c r="B513" s="10"/>
    </row>
    <row r="514" spans="2:2" ht="12.75">
      <c r="B514" s="10"/>
    </row>
    <row r="515" spans="2:2" ht="12.75">
      <c r="B515" s="10"/>
    </row>
    <row r="516" spans="2:2" ht="12.75">
      <c r="B516" s="10"/>
    </row>
    <row r="517" spans="2:2" ht="12.75">
      <c r="B517" s="10"/>
    </row>
    <row r="518" spans="2:2" ht="12.75">
      <c r="B518" s="10"/>
    </row>
    <row r="519" spans="2:2" ht="12.75">
      <c r="B519" s="10"/>
    </row>
    <row r="520" spans="2:2" ht="12.75">
      <c r="B520" s="10"/>
    </row>
    <row r="521" spans="2:2" ht="12.75">
      <c r="B521" s="10"/>
    </row>
    <row r="522" spans="2:2" ht="12.75">
      <c r="B522" s="10"/>
    </row>
    <row r="523" spans="2:2" ht="12.75">
      <c r="B523" s="10"/>
    </row>
    <row r="524" spans="2:2" ht="12.75">
      <c r="B524" s="10"/>
    </row>
    <row r="525" spans="2:2" ht="12.75">
      <c r="B525" s="10"/>
    </row>
    <row r="526" spans="2:2" ht="12.75">
      <c r="B526" s="10"/>
    </row>
    <row r="527" spans="2:2" ht="12.75">
      <c r="B527" s="10"/>
    </row>
    <row r="528" spans="2:2" ht="12.75">
      <c r="B528" s="10"/>
    </row>
    <row r="529" spans="2:2" ht="12.75">
      <c r="B529" s="10"/>
    </row>
    <row r="530" spans="2:2" ht="12.75">
      <c r="B530" s="10"/>
    </row>
    <row r="531" spans="2:2" ht="12.75">
      <c r="B531" s="10"/>
    </row>
    <row r="532" spans="2:2" ht="12.75">
      <c r="B532" s="10"/>
    </row>
    <row r="533" spans="2:2" ht="12.75">
      <c r="B533" s="10"/>
    </row>
    <row r="534" spans="2:2" ht="12.75">
      <c r="B534" s="10"/>
    </row>
    <row r="535" spans="2:2" ht="12.75">
      <c r="B535" s="10"/>
    </row>
    <row r="536" spans="2:2" ht="12.75">
      <c r="B536" s="10"/>
    </row>
    <row r="537" spans="2:2" ht="12.75">
      <c r="B537" s="10"/>
    </row>
    <row r="538" spans="2:2" ht="12.75">
      <c r="B538" s="10"/>
    </row>
    <row r="539" spans="2:2" ht="12.75">
      <c r="B539" s="10"/>
    </row>
    <row r="540" spans="2:2" ht="12.75">
      <c r="B540" s="10"/>
    </row>
    <row r="541" spans="2:2" ht="12.75">
      <c r="B541" s="10"/>
    </row>
    <row r="542" spans="2:2" ht="12.75">
      <c r="B542" s="10"/>
    </row>
    <row r="543" spans="2:2" ht="12.75">
      <c r="B543" s="10"/>
    </row>
    <row r="544" spans="2:2" ht="12.75">
      <c r="B544" s="10"/>
    </row>
    <row r="545" spans="2:2" ht="12.75">
      <c r="B545" s="10"/>
    </row>
    <row r="546" spans="2:2" ht="12.75">
      <c r="B546" s="10"/>
    </row>
    <row r="547" spans="2:2" ht="12.75">
      <c r="B547" s="10"/>
    </row>
    <row r="548" spans="2:2" ht="12.75">
      <c r="B548" s="10"/>
    </row>
    <row r="549" spans="2:2" ht="12.75">
      <c r="B549" s="10"/>
    </row>
    <row r="550" spans="2:2" ht="12.75">
      <c r="B550" s="10"/>
    </row>
    <row r="551" spans="2:2" ht="12.75">
      <c r="B551" s="10"/>
    </row>
    <row r="552" spans="2:2" ht="12.75">
      <c r="B552" s="10"/>
    </row>
    <row r="553" spans="2:2" ht="12.75">
      <c r="B553" s="10"/>
    </row>
    <row r="554" spans="2:2" ht="12.75">
      <c r="B554" s="10"/>
    </row>
    <row r="555" spans="2:2" ht="12.75">
      <c r="B555" s="10"/>
    </row>
    <row r="556" spans="2:2" ht="12.75">
      <c r="B556" s="10"/>
    </row>
    <row r="557" spans="2:2" ht="12.75">
      <c r="B557" s="10"/>
    </row>
    <row r="558" spans="2:2" ht="12.75">
      <c r="B558" s="10"/>
    </row>
    <row r="559" spans="2:2" ht="12.75">
      <c r="B559" s="10"/>
    </row>
    <row r="560" spans="2:2" ht="12.75">
      <c r="B560" s="10"/>
    </row>
    <row r="561" spans="2:2" ht="12.75">
      <c r="B561" s="10"/>
    </row>
    <row r="562" spans="2:2" ht="12.75">
      <c r="B562" s="10"/>
    </row>
    <row r="563" spans="2:2" ht="12.75">
      <c r="B563" s="10"/>
    </row>
    <row r="564" spans="2:2" ht="12.75">
      <c r="B564" s="10"/>
    </row>
    <row r="565" spans="2:2" ht="12.75">
      <c r="B565" s="10"/>
    </row>
    <row r="566" spans="2:2" ht="12.75">
      <c r="B566" s="10"/>
    </row>
    <row r="567" spans="2:2" ht="12.75">
      <c r="B567" s="10"/>
    </row>
    <row r="568" spans="2:2" ht="12.75">
      <c r="B568" s="10"/>
    </row>
    <row r="569" spans="2:2" ht="12.75">
      <c r="B569" s="10"/>
    </row>
    <row r="570" spans="2:2" ht="12.75">
      <c r="B570" s="10"/>
    </row>
    <row r="571" spans="2:2" ht="12.75">
      <c r="B571" s="10"/>
    </row>
    <row r="572" spans="2:2" ht="12.75">
      <c r="B572" s="10"/>
    </row>
    <row r="573" spans="2:2" ht="12.75">
      <c r="B573" s="10"/>
    </row>
    <row r="574" spans="2:2" ht="12.75">
      <c r="B574" s="10"/>
    </row>
    <row r="575" spans="2:2" ht="12.75">
      <c r="B575" s="10"/>
    </row>
    <row r="576" spans="2:2" ht="12.75">
      <c r="B576" s="10"/>
    </row>
    <row r="577" spans="2:2" ht="12.75">
      <c r="B577" s="10"/>
    </row>
    <row r="578" spans="2:2" ht="12.75">
      <c r="B578" s="10"/>
    </row>
    <row r="579" spans="2:2" ht="12.75">
      <c r="B579" s="10"/>
    </row>
    <row r="580" spans="2:2" ht="12.75">
      <c r="B580" s="10"/>
    </row>
    <row r="581" spans="2:2" ht="12.75">
      <c r="B581" s="10"/>
    </row>
    <row r="582" spans="2:2" ht="12.75">
      <c r="B582" s="10"/>
    </row>
    <row r="583" spans="2:2" ht="12.75">
      <c r="B583" s="10"/>
    </row>
    <row r="584" spans="2:2" ht="12.75">
      <c r="B584" s="10"/>
    </row>
    <row r="585" spans="2:2" ht="12.75">
      <c r="B585" s="10"/>
    </row>
    <row r="586" spans="2:2" ht="12.75">
      <c r="B586" s="10"/>
    </row>
    <row r="587" spans="2:2" ht="12.75">
      <c r="B587" s="10"/>
    </row>
    <row r="588" spans="2:2" ht="12.75">
      <c r="B588" s="10"/>
    </row>
    <row r="589" spans="2:2" ht="12.75">
      <c r="B589" s="10"/>
    </row>
    <row r="590" spans="2:2" ht="12.75">
      <c r="B590" s="10"/>
    </row>
    <row r="591" spans="2:2" ht="12.75">
      <c r="B591" s="10"/>
    </row>
    <row r="592" spans="2:2" ht="12.75">
      <c r="B592" s="10"/>
    </row>
    <row r="593" spans="2:2" ht="12.75">
      <c r="B593" s="10"/>
    </row>
    <row r="594" spans="2:2" ht="12.75">
      <c r="B594" s="10"/>
    </row>
    <row r="595" spans="2:2" ht="12.75">
      <c r="B595" s="10"/>
    </row>
    <row r="596" spans="2:2" ht="12.75">
      <c r="B596" s="10"/>
    </row>
    <row r="597" spans="2:2" ht="12.75">
      <c r="B597" s="10"/>
    </row>
    <row r="598" spans="2:2" ht="12.75">
      <c r="B598" s="10"/>
    </row>
    <row r="599" spans="2:2" ht="12.75">
      <c r="B599" s="10"/>
    </row>
    <row r="600" spans="2:2" ht="12.75">
      <c r="B600" s="10"/>
    </row>
    <row r="601" spans="2:2" ht="12.75">
      <c r="B601" s="10"/>
    </row>
    <row r="602" spans="2:2" ht="12.75">
      <c r="B602" s="10"/>
    </row>
    <row r="603" spans="2:2" ht="12.75">
      <c r="B603" s="10"/>
    </row>
    <row r="604" spans="2:2" ht="12.75">
      <c r="B604" s="10"/>
    </row>
    <row r="605" spans="2:2" ht="12.75">
      <c r="B605" s="10"/>
    </row>
    <row r="606" spans="2:2" ht="12.75">
      <c r="B606" s="10"/>
    </row>
    <row r="607" spans="2:2" ht="12.75">
      <c r="B607" s="10"/>
    </row>
    <row r="608" spans="2:2" ht="12.75">
      <c r="B608" s="10"/>
    </row>
    <row r="609" spans="2:2" ht="12.75">
      <c r="B609" s="10"/>
    </row>
    <row r="610" spans="2:2" ht="12.75">
      <c r="B610" s="10"/>
    </row>
    <row r="611" spans="2:2" ht="12.75">
      <c r="B611" s="10"/>
    </row>
    <row r="612" spans="2:2" ht="12.75">
      <c r="B612" s="10"/>
    </row>
    <row r="613" spans="2:2" ht="12.75">
      <c r="B613" s="10"/>
    </row>
    <row r="614" spans="2:2" ht="12.75">
      <c r="B614" s="10"/>
    </row>
    <row r="615" spans="2:2" ht="12.75">
      <c r="B615" s="10"/>
    </row>
    <row r="616" spans="2:2" ht="12.75">
      <c r="B616" s="10"/>
    </row>
    <row r="617" spans="2:2" ht="12.75">
      <c r="B617" s="10"/>
    </row>
    <row r="618" spans="2:2" ht="12.75">
      <c r="B618" s="10"/>
    </row>
    <row r="619" spans="2:2" ht="12.75">
      <c r="B619" s="10"/>
    </row>
    <row r="620" spans="2:2" ht="12.75">
      <c r="B620" s="10"/>
    </row>
    <row r="621" spans="2:2" ht="12.75">
      <c r="B621" s="10"/>
    </row>
    <row r="622" spans="2:2" ht="12.75">
      <c r="B622" s="10"/>
    </row>
    <row r="623" spans="2:2" ht="12.75">
      <c r="B623" s="10"/>
    </row>
    <row r="624" spans="2:2" ht="12.75">
      <c r="B624" s="10"/>
    </row>
    <row r="625" spans="2:2" ht="12.75">
      <c r="B625" s="10"/>
    </row>
    <row r="626" spans="2:2" ht="12.75">
      <c r="B626" s="10"/>
    </row>
    <row r="627" spans="2:2" ht="12.75">
      <c r="B627" s="10"/>
    </row>
    <row r="628" spans="2:2" ht="12.75">
      <c r="B628" s="10"/>
    </row>
    <row r="629" spans="2:2" ht="12.75">
      <c r="B629" s="10"/>
    </row>
    <row r="630" spans="2:2" ht="12.75">
      <c r="B630" s="10"/>
    </row>
    <row r="631" spans="2:2" ht="12.75">
      <c r="B631" s="10"/>
    </row>
    <row r="632" spans="2:2" ht="12.75">
      <c r="B632" s="10"/>
    </row>
    <row r="633" spans="2:2" ht="12.75">
      <c r="B633" s="10"/>
    </row>
    <row r="634" spans="2:2" ht="12.75">
      <c r="B634" s="10"/>
    </row>
    <row r="635" spans="2:2" ht="12.75">
      <c r="B635" s="10"/>
    </row>
    <row r="636" spans="2:2" ht="12.75">
      <c r="B636" s="10"/>
    </row>
    <row r="637" spans="2:2" ht="12.75">
      <c r="B637" s="10"/>
    </row>
    <row r="638" spans="2:2" ht="12.75">
      <c r="B638" s="10"/>
    </row>
    <row r="639" spans="2:2" ht="12.75">
      <c r="B639" s="10"/>
    </row>
    <row r="640" spans="2:2" ht="12.75">
      <c r="B640" s="10"/>
    </row>
    <row r="641" spans="2:2" ht="12.75">
      <c r="B641" s="10"/>
    </row>
    <row r="642" spans="2:2" ht="12.75">
      <c r="B642" s="10"/>
    </row>
    <row r="643" spans="2:2" ht="12.75">
      <c r="B643" s="10"/>
    </row>
    <row r="644" spans="2:2" ht="12.75">
      <c r="B644" s="10"/>
    </row>
    <row r="645" spans="2:2" ht="12.75">
      <c r="B645" s="10"/>
    </row>
    <row r="646" spans="2:2" ht="12.75">
      <c r="B646" s="10"/>
    </row>
    <row r="647" spans="2:2" ht="12.75">
      <c r="B647" s="10"/>
    </row>
    <row r="648" spans="2:2" ht="12.75">
      <c r="B648" s="10"/>
    </row>
    <row r="649" spans="2:2" ht="12.75">
      <c r="B649" s="10"/>
    </row>
    <row r="650" spans="2:2" ht="12.75">
      <c r="B650" s="10"/>
    </row>
    <row r="651" spans="2:2" ht="12.75">
      <c r="B651" s="10"/>
    </row>
    <row r="652" spans="2:2" ht="12.75">
      <c r="B652" s="10"/>
    </row>
    <row r="653" spans="2:2" ht="12.75">
      <c r="B653" s="10"/>
    </row>
    <row r="654" spans="2:2" ht="12.75">
      <c r="B654" s="10"/>
    </row>
    <row r="655" spans="2:2" ht="12.75">
      <c r="B655" s="10"/>
    </row>
    <row r="656" spans="2:2" ht="12.75">
      <c r="B656" s="10"/>
    </row>
    <row r="657" spans="2:2" ht="12.75">
      <c r="B657" s="10"/>
    </row>
    <row r="658" spans="2:2" ht="12.75">
      <c r="B658" s="10"/>
    </row>
    <row r="659" spans="2:2" ht="12.75">
      <c r="B659" s="10"/>
    </row>
    <row r="660" spans="2:2" ht="12.75">
      <c r="B660" s="10"/>
    </row>
    <row r="661" spans="2:2" ht="12.75">
      <c r="B661" s="10"/>
    </row>
    <row r="662" spans="2:2" ht="12.75">
      <c r="B662" s="10"/>
    </row>
    <row r="663" spans="2:2" ht="12.75">
      <c r="B663" s="10"/>
    </row>
    <row r="664" spans="2:2" ht="12.75">
      <c r="B664" s="10"/>
    </row>
    <row r="665" spans="2:2" ht="12.75">
      <c r="B665" s="10"/>
    </row>
    <row r="666" spans="2:2" ht="12.75">
      <c r="B666" s="10"/>
    </row>
    <row r="667" spans="2:2" ht="12.75">
      <c r="B667" s="10"/>
    </row>
    <row r="668" spans="2:2" ht="12.75">
      <c r="B668" s="10"/>
    </row>
    <row r="669" spans="2:2" ht="12.75">
      <c r="B669" s="10"/>
    </row>
    <row r="670" spans="2:2" ht="12.75">
      <c r="B670" s="10"/>
    </row>
    <row r="671" spans="2:2" ht="12.75">
      <c r="B671" s="10"/>
    </row>
    <row r="672" spans="2:2" ht="12.75">
      <c r="B672" s="10"/>
    </row>
    <row r="673" spans="2:2" ht="12.75">
      <c r="B673" s="10"/>
    </row>
    <row r="674" spans="2:2" ht="12.75">
      <c r="B674" s="10"/>
    </row>
    <row r="675" spans="2:2" ht="12.75">
      <c r="B675" s="10"/>
    </row>
    <row r="676" spans="2:2" ht="12.75">
      <c r="B676" s="10"/>
    </row>
    <row r="677" spans="2:2" ht="12.75">
      <c r="B677" s="10"/>
    </row>
    <row r="678" spans="2:2" ht="12.75">
      <c r="B678" s="10"/>
    </row>
    <row r="679" spans="2:2" ht="12.75">
      <c r="B679" s="10"/>
    </row>
    <row r="680" spans="2:2" ht="12.75">
      <c r="B680" s="10"/>
    </row>
    <row r="681" spans="2:2" ht="12.75">
      <c r="B681" s="10"/>
    </row>
    <row r="682" spans="2:2" ht="12.75">
      <c r="B682" s="10"/>
    </row>
    <row r="683" spans="2:2" ht="12.75">
      <c r="B683" s="10"/>
    </row>
    <row r="684" spans="2:2" ht="12.75">
      <c r="B684" s="10"/>
    </row>
    <row r="685" spans="2:2" ht="12.75">
      <c r="B685" s="10"/>
    </row>
    <row r="686" spans="2:2" ht="12.75">
      <c r="B686" s="10"/>
    </row>
    <row r="687" spans="2:2" ht="12.75">
      <c r="B687" s="10"/>
    </row>
    <row r="688" spans="2:2" ht="12.75">
      <c r="B688" s="10"/>
    </row>
    <row r="689" spans="2:2" ht="12.75">
      <c r="B689" s="10"/>
    </row>
    <row r="690" spans="2:2" ht="12.75">
      <c r="B690" s="10"/>
    </row>
    <row r="691" spans="2:2" ht="12.75">
      <c r="B691" s="10"/>
    </row>
    <row r="692" spans="2:2" ht="12.75">
      <c r="B692" s="10"/>
    </row>
    <row r="693" spans="2:2" ht="12.75">
      <c r="B693" s="10"/>
    </row>
    <row r="694" spans="2:2" ht="12.75">
      <c r="B694" s="10"/>
    </row>
    <row r="695" spans="2:2" ht="12.75">
      <c r="B695" s="10"/>
    </row>
    <row r="696" spans="2:2" ht="12.75">
      <c r="B696" s="10"/>
    </row>
    <row r="697" spans="2:2" ht="12.75">
      <c r="B697" s="10"/>
    </row>
    <row r="698" spans="2:2" ht="12.75">
      <c r="B698" s="10"/>
    </row>
    <row r="699" spans="2:2" ht="12.75">
      <c r="B699" s="10"/>
    </row>
    <row r="700" spans="2:2" ht="12.75">
      <c r="B700" s="10"/>
    </row>
    <row r="701" spans="2:2" ht="12.75">
      <c r="B701" s="10"/>
    </row>
    <row r="702" spans="2:2" ht="12.75">
      <c r="B702" s="10"/>
    </row>
    <row r="703" spans="2:2" ht="12.75">
      <c r="B703" s="10"/>
    </row>
    <row r="704" spans="2:2" ht="12.75">
      <c r="B704" s="10"/>
    </row>
    <row r="705" spans="2:2" ht="12.75">
      <c r="B705" s="10"/>
    </row>
    <row r="706" spans="2:2" ht="12.75">
      <c r="B706" s="10"/>
    </row>
    <row r="707" spans="2:2" ht="12.75">
      <c r="B707" s="10"/>
    </row>
    <row r="708" spans="2:2" ht="12.75">
      <c r="B708" s="10"/>
    </row>
    <row r="709" spans="2:2" ht="12.75">
      <c r="B709" s="10"/>
    </row>
    <row r="710" spans="2:2" ht="12.75">
      <c r="B710" s="10"/>
    </row>
    <row r="711" spans="2:2" ht="12.75">
      <c r="B711" s="10"/>
    </row>
    <row r="712" spans="2:2" ht="12.75">
      <c r="B712" s="10"/>
    </row>
    <row r="713" spans="2:2" ht="12.75">
      <c r="B713" s="10"/>
    </row>
    <row r="714" spans="2:2" ht="12.75">
      <c r="B714" s="10"/>
    </row>
    <row r="715" spans="2:2" ht="12.75">
      <c r="B715" s="10"/>
    </row>
    <row r="716" spans="2:2" ht="12.75">
      <c r="B716" s="10"/>
    </row>
    <row r="717" spans="2:2" ht="12.75">
      <c r="B717" s="10"/>
    </row>
    <row r="718" spans="2:2" ht="12.75">
      <c r="B718" s="10"/>
    </row>
    <row r="719" spans="2:2" ht="12.75">
      <c r="B719" s="10"/>
    </row>
    <row r="720" spans="2:2" ht="12.75">
      <c r="B720" s="10"/>
    </row>
    <row r="721" spans="2:2" ht="12.75">
      <c r="B721" s="10"/>
    </row>
    <row r="722" spans="2:2" ht="12.75">
      <c r="B722" s="10"/>
    </row>
    <row r="723" spans="2:2" ht="12.75">
      <c r="B723" s="10"/>
    </row>
    <row r="724" spans="2:2" ht="12.75">
      <c r="B724" s="10"/>
    </row>
    <row r="725" spans="2:2" ht="12.75">
      <c r="B725" s="10"/>
    </row>
    <row r="726" spans="2:2" ht="12.75">
      <c r="B726" s="10"/>
    </row>
    <row r="727" spans="2:2" ht="12.75">
      <c r="B727" s="10"/>
    </row>
    <row r="728" spans="2:2" ht="12.75">
      <c r="B728" s="10"/>
    </row>
    <row r="729" spans="2:2" ht="12.75">
      <c r="B729" s="10"/>
    </row>
    <row r="730" spans="2:2" ht="12.75">
      <c r="B730" s="10"/>
    </row>
    <row r="731" spans="2:2" ht="12.75">
      <c r="B731" s="10"/>
    </row>
    <row r="732" spans="2:2" ht="12.75">
      <c r="B732" s="10"/>
    </row>
    <row r="733" spans="2:2" ht="12.75">
      <c r="B733" s="10"/>
    </row>
    <row r="734" spans="2:2" ht="12.75">
      <c r="B734" s="10"/>
    </row>
    <row r="735" spans="2:2" ht="12.75">
      <c r="B735" s="10"/>
    </row>
    <row r="736" spans="2:2" ht="12.75">
      <c r="B736" s="10"/>
    </row>
    <row r="737" spans="2:2" ht="12.75">
      <c r="B737" s="10"/>
    </row>
    <row r="738" spans="2:2" ht="12.75">
      <c r="B738" s="10"/>
    </row>
    <row r="739" spans="2:2" ht="12.75">
      <c r="B739" s="10"/>
    </row>
    <row r="740" spans="2:2" ht="12.75">
      <c r="B740" s="10"/>
    </row>
    <row r="741" spans="2:2" ht="12.75">
      <c r="B741" s="10"/>
    </row>
    <row r="742" spans="2:2" ht="12.75">
      <c r="B742" s="10"/>
    </row>
    <row r="743" spans="2:2" ht="12.75">
      <c r="B743" s="10"/>
    </row>
    <row r="744" spans="2:2" ht="12.75">
      <c r="B744" s="10"/>
    </row>
    <row r="745" spans="2:2" ht="12.75">
      <c r="B745" s="10"/>
    </row>
    <row r="746" spans="2:2" ht="12.75">
      <c r="B746" s="10"/>
    </row>
    <row r="747" spans="2:2" ht="12.75">
      <c r="B747" s="10"/>
    </row>
    <row r="748" spans="2:2" ht="12.75">
      <c r="B748" s="10"/>
    </row>
    <row r="749" spans="2:2" ht="12.75">
      <c r="B749" s="10"/>
    </row>
    <row r="750" spans="2:2" ht="12.75">
      <c r="B750" s="10"/>
    </row>
    <row r="751" spans="2:2" ht="12.75">
      <c r="B751" s="10"/>
    </row>
    <row r="752" spans="2:2" ht="12.75">
      <c r="B752" s="10"/>
    </row>
    <row r="753" spans="2:2" ht="12.75">
      <c r="B753" s="10"/>
    </row>
    <row r="754" spans="2:2" ht="12.75">
      <c r="B754" s="10"/>
    </row>
    <row r="755" spans="2:2" ht="12.75">
      <c r="B755" s="10"/>
    </row>
    <row r="756" spans="2:2" ht="12.75">
      <c r="B756" s="10"/>
    </row>
    <row r="757" spans="2:2" ht="12.75">
      <c r="B757" s="10"/>
    </row>
    <row r="758" spans="2:2" ht="12.75">
      <c r="B758" s="10"/>
    </row>
    <row r="759" spans="2:2" ht="12.75">
      <c r="B759" s="10"/>
    </row>
    <row r="760" spans="2:2" ht="12.75">
      <c r="B760" s="10"/>
    </row>
    <row r="761" spans="2:2" ht="12.75">
      <c r="B761" s="10"/>
    </row>
    <row r="762" spans="2:2" ht="12.75">
      <c r="B762" s="10"/>
    </row>
    <row r="763" spans="2:2" ht="12.75">
      <c r="B763" s="10"/>
    </row>
    <row r="764" spans="2:2" ht="12.75">
      <c r="B764" s="10"/>
    </row>
    <row r="765" spans="2:2" ht="12.75">
      <c r="B765" s="10"/>
    </row>
    <row r="766" spans="2:2" ht="12.75">
      <c r="B766" s="10"/>
    </row>
    <row r="767" spans="2:2" ht="12.75">
      <c r="B767" s="10"/>
    </row>
    <row r="768" spans="2:2" ht="12.75">
      <c r="B768" s="10"/>
    </row>
    <row r="769" spans="2:2" ht="12.75">
      <c r="B769" s="10"/>
    </row>
    <row r="770" spans="2:2" ht="12.75">
      <c r="B770" s="10"/>
    </row>
    <row r="771" spans="2:2" ht="12.75">
      <c r="B771" s="10"/>
    </row>
    <row r="772" spans="2:2" ht="12.75">
      <c r="B772" s="10"/>
    </row>
    <row r="773" spans="2:2" ht="12.75">
      <c r="B773" s="10"/>
    </row>
    <row r="774" spans="2:2" ht="12.75">
      <c r="B774" s="10"/>
    </row>
    <row r="775" spans="2:2" ht="12.75">
      <c r="B775" s="10"/>
    </row>
    <row r="776" spans="2:2" ht="12.75">
      <c r="B776" s="10"/>
    </row>
    <row r="777" spans="2:2" ht="12.75">
      <c r="B777" s="10"/>
    </row>
    <row r="778" spans="2:2" ht="12.75">
      <c r="B778" s="10"/>
    </row>
    <row r="779" spans="2:2" ht="12.75">
      <c r="B779" s="10"/>
    </row>
    <row r="780" spans="2:2" ht="12.75">
      <c r="B780" s="10"/>
    </row>
    <row r="781" spans="2:2" ht="12.75">
      <c r="B781" s="10"/>
    </row>
    <row r="782" spans="2:2" ht="12.75">
      <c r="B782" s="10"/>
    </row>
    <row r="783" spans="2:2" ht="12.75">
      <c r="B783" s="10"/>
    </row>
    <row r="784" spans="2:2" ht="12.75">
      <c r="B784" s="10"/>
    </row>
    <row r="785" spans="2:2" ht="12.75">
      <c r="B785" s="10"/>
    </row>
    <row r="786" spans="2:2" ht="12.75">
      <c r="B786" s="10"/>
    </row>
    <row r="787" spans="2:2" ht="12.75">
      <c r="B787" s="10"/>
    </row>
    <row r="788" spans="2:2" ht="12.75">
      <c r="B788" s="10"/>
    </row>
    <row r="789" spans="2:2" ht="12.75">
      <c r="B789" s="10"/>
    </row>
    <row r="790" spans="2:2" ht="12.75">
      <c r="B790" s="10"/>
    </row>
    <row r="791" spans="2:2" ht="12.75">
      <c r="B791" s="10"/>
    </row>
    <row r="792" spans="2:2" ht="12.75">
      <c r="B792" s="10"/>
    </row>
    <row r="793" spans="2:2" ht="12.75">
      <c r="B793" s="10"/>
    </row>
    <row r="794" spans="2:2" ht="12.75">
      <c r="B794" s="10"/>
    </row>
    <row r="795" spans="2:2" ht="12.75">
      <c r="B795" s="10"/>
    </row>
    <row r="796" spans="2:2" ht="12.75">
      <c r="B796" s="10"/>
    </row>
    <row r="797" spans="2:2" ht="12.75">
      <c r="B797" s="10"/>
    </row>
    <row r="798" spans="2:2" ht="12.75">
      <c r="B798" s="10"/>
    </row>
    <row r="799" spans="2:2" ht="12.75">
      <c r="B799" s="10"/>
    </row>
    <row r="800" spans="2:2" ht="12.75">
      <c r="B800" s="10"/>
    </row>
    <row r="801" spans="2:2" ht="12.75">
      <c r="B801" s="10"/>
    </row>
    <row r="802" spans="2:2" ht="12.75">
      <c r="B802" s="10"/>
    </row>
    <row r="803" spans="2:2" ht="12.75">
      <c r="B803" s="10"/>
    </row>
    <row r="804" spans="2:2" ht="12.75">
      <c r="B804" s="10"/>
    </row>
    <row r="805" spans="2:2" ht="12.75">
      <c r="B805" s="10"/>
    </row>
    <row r="806" spans="2:2" ht="12.75">
      <c r="B806" s="10"/>
    </row>
    <row r="807" spans="2:2" ht="12.75">
      <c r="B807" s="10"/>
    </row>
    <row r="808" spans="2:2" ht="12.75">
      <c r="B808" s="10"/>
    </row>
    <row r="809" spans="2:2" ht="12.75">
      <c r="B809" s="10"/>
    </row>
    <row r="810" spans="2:2" ht="12.75">
      <c r="B810" s="10"/>
    </row>
    <row r="811" spans="2:2" ht="12.75">
      <c r="B811" s="10"/>
    </row>
    <row r="812" spans="2:2" ht="12.75">
      <c r="B812" s="10"/>
    </row>
    <row r="813" spans="2:2" ht="12.75">
      <c r="B813" s="10"/>
    </row>
    <row r="814" spans="2:2" ht="12.75">
      <c r="B814" s="10"/>
    </row>
    <row r="815" spans="2:2" ht="12.75">
      <c r="B815" s="10"/>
    </row>
    <row r="816" spans="2:2" ht="12.75">
      <c r="B816" s="10"/>
    </row>
    <row r="817" spans="2:2" ht="12.75">
      <c r="B817" s="10"/>
    </row>
    <row r="818" spans="2:2" ht="12.75">
      <c r="B818" s="10"/>
    </row>
    <row r="819" spans="2:2" ht="12.75">
      <c r="B819" s="10"/>
    </row>
    <row r="820" spans="2:2" ht="12.75">
      <c r="B820" s="10"/>
    </row>
    <row r="821" spans="2:2" ht="12.75">
      <c r="B821" s="10"/>
    </row>
    <row r="822" spans="2:2" ht="12.75">
      <c r="B822" s="10"/>
    </row>
    <row r="823" spans="2:2" ht="12.75">
      <c r="B823" s="10"/>
    </row>
    <row r="824" spans="2:2" ht="12.75">
      <c r="B824" s="10"/>
    </row>
    <row r="825" spans="2:2" ht="12.75">
      <c r="B825" s="10"/>
    </row>
    <row r="826" spans="2:2" ht="12.75">
      <c r="B826" s="10"/>
    </row>
    <row r="827" spans="2:2" ht="12.75">
      <c r="B827" s="10"/>
    </row>
    <row r="828" spans="2:2" ht="12.75">
      <c r="B828" s="10"/>
    </row>
    <row r="829" spans="2:2" ht="12.75">
      <c r="B829" s="10"/>
    </row>
    <row r="830" spans="2:2" ht="12.75">
      <c r="B830" s="10"/>
    </row>
    <row r="831" spans="2:2" ht="12.75">
      <c r="B831" s="10"/>
    </row>
    <row r="832" spans="2:2" ht="12.75">
      <c r="B832" s="10"/>
    </row>
    <row r="833" spans="2:2" ht="12.75">
      <c r="B833" s="10"/>
    </row>
    <row r="834" spans="2:2" ht="12.75">
      <c r="B834" s="10"/>
    </row>
    <row r="835" spans="2:2" ht="12.75">
      <c r="B835" s="10"/>
    </row>
    <row r="836" spans="2:2" ht="12.75">
      <c r="B836" s="10"/>
    </row>
    <row r="837" spans="2:2" ht="12.75">
      <c r="B837" s="10"/>
    </row>
    <row r="838" spans="2:2" ht="12.75">
      <c r="B838" s="10"/>
    </row>
    <row r="839" spans="2:2" ht="12.75">
      <c r="B839" s="10"/>
    </row>
    <row r="840" spans="2:2" ht="12.75">
      <c r="B840" s="10"/>
    </row>
    <row r="841" spans="2:2" ht="12.75">
      <c r="B841" s="10"/>
    </row>
    <row r="842" spans="2:2" ht="12.75">
      <c r="B842" s="10"/>
    </row>
    <row r="843" spans="2:2" ht="12.75">
      <c r="B843" s="10"/>
    </row>
    <row r="844" spans="2:2" ht="12.75">
      <c r="B844" s="10"/>
    </row>
    <row r="845" spans="2:2" ht="12.75">
      <c r="B845" s="10"/>
    </row>
    <row r="846" spans="2:2" ht="12.75">
      <c r="B846" s="10"/>
    </row>
    <row r="847" spans="2:2" ht="12.75">
      <c r="B847" s="10"/>
    </row>
    <row r="848" spans="2:2" ht="12.75">
      <c r="B848" s="10"/>
    </row>
    <row r="849" spans="2:2" ht="12.75">
      <c r="B849" s="10"/>
    </row>
    <row r="850" spans="2:2" ht="12.75">
      <c r="B850" s="10"/>
    </row>
    <row r="851" spans="2:2" ht="12.75">
      <c r="B851" s="10"/>
    </row>
    <row r="852" spans="2:2" ht="12.75">
      <c r="B852" s="10"/>
    </row>
    <row r="853" spans="2:2" ht="12.75">
      <c r="B853" s="10"/>
    </row>
    <row r="854" spans="2:2" ht="12.75">
      <c r="B854" s="10"/>
    </row>
    <row r="855" spans="2:2" ht="12.75">
      <c r="B855" s="10"/>
    </row>
    <row r="856" spans="2:2" ht="12.75">
      <c r="B856" s="10"/>
    </row>
    <row r="857" spans="2:2" ht="12.75">
      <c r="B857" s="10"/>
    </row>
    <row r="858" spans="2:2" ht="12.75">
      <c r="B858" s="10"/>
    </row>
    <row r="859" spans="2:2" ht="12.75">
      <c r="B859" s="10"/>
    </row>
    <row r="860" spans="2:2" ht="12.75">
      <c r="B860" s="10"/>
    </row>
    <row r="861" spans="2:2" ht="12.75">
      <c r="B861" s="10"/>
    </row>
    <row r="862" spans="2:2" ht="12.75">
      <c r="B862" s="10"/>
    </row>
    <row r="863" spans="2:2" ht="12.75">
      <c r="B863" s="10"/>
    </row>
    <row r="864" spans="2:2" ht="12.75">
      <c r="B864" s="10"/>
    </row>
    <row r="865" spans="2:2" ht="12.75">
      <c r="B865" s="10"/>
    </row>
    <row r="866" spans="2:2" ht="12.75">
      <c r="B866" s="10"/>
    </row>
    <row r="867" spans="2:2" ht="12.75">
      <c r="B867" s="10"/>
    </row>
    <row r="868" spans="2:2" ht="12.75">
      <c r="B868" s="10"/>
    </row>
    <row r="869" spans="2:2" ht="12.75">
      <c r="B869" s="10"/>
    </row>
    <row r="870" spans="2:2" ht="12.75">
      <c r="B870" s="10"/>
    </row>
    <row r="871" spans="2:2" ht="12.75">
      <c r="B871" s="10"/>
    </row>
    <row r="872" spans="2:2" ht="12.75">
      <c r="B872" s="10"/>
    </row>
    <row r="873" spans="2:2" ht="12.75">
      <c r="B873" s="10"/>
    </row>
    <row r="874" spans="2:2" ht="12.75">
      <c r="B874" s="10"/>
    </row>
    <row r="875" spans="2:2" ht="12.75">
      <c r="B875" s="10"/>
    </row>
    <row r="876" spans="2:2" ht="12.75">
      <c r="B876" s="10"/>
    </row>
    <row r="877" spans="2:2" ht="12.75">
      <c r="B877" s="10"/>
    </row>
    <row r="878" spans="2:2" ht="12.75">
      <c r="B878" s="10"/>
    </row>
    <row r="879" spans="2:2" ht="12.75">
      <c r="B879" s="10"/>
    </row>
    <row r="880" spans="2:2" ht="12.75">
      <c r="B880" s="10"/>
    </row>
    <row r="881" spans="2:2" ht="12.75">
      <c r="B881" s="10"/>
    </row>
    <row r="882" spans="2:2" ht="12.75">
      <c r="B882" s="10"/>
    </row>
    <row r="883" spans="2:2" ht="12.75">
      <c r="B883" s="10"/>
    </row>
    <row r="884" spans="2:2" ht="12.75">
      <c r="B884" s="10"/>
    </row>
    <row r="885" spans="2:2" ht="12.75">
      <c r="B885" s="10"/>
    </row>
    <row r="886" spans="2:2" ht="12.75">
      <c r="B886" s="10"/>
    </row>
    <row r="887" spans="2:2" ht="12.75">
      <c r="B887" s="10"/>
    </row>
    <row r="888" spans="2:2" ht="12.75">
      <c r="B888" s="10"/>
    </row>
    <row r="889" spans="2:2" ht="12.75">
      <c r="B889" s="10"/>
    </row>
    <row r="890" spans="2:2" ht="12.75">
      <c r="B890" s="10"/>
    </row>
    <row r="891" spans="2:2" ht="12.75">
      <c r="B891" s="10"/>
    </row>
    <row r="892" spans="2:2" ht="12.75">
      <c r="B892" s="10"/>
    </row>
    <row r="893" spans="2:2" ht="12.75">
      <c r="B893" s="10"/>
    </row>
    <row r="894" spans="2:2" ht="12.75">
      <c r="B894" s="10"/>
    </row>
    <row r="895" spans="2:2" ht="12.75">
      <c r="B895" s="10"/>
    </row>
    <row r="896" spans="2:2" ht="12.75">
      <c r="B896" s="10"/>
    </row>
    <row r="897" spans="2:2" ht="12.75">
      <c r="B897" s="10"/>
    </row>
    <row r="898" spans="2:2" ht="12.75">
      <c r="B898" s="10"/>
    </row>
    <row r="899" spans="2:2" ht="12.75">
      <c r="B899" s="10"/>
    </row>
    <row r="900" spans="2:2" ht="12.75">
      <c r="B900" s="10"/>
    </row>
    <row r="901" spans="2:2" ht="12.75">
      <c r="B901" s="10"/>
    </row>
    <row r="902" spans="2:2" ht="12.75">
      <c r="B902" s="10"/>
    </row>
    <row r="903" spans="2:2" ht="12.75">
      <c r="B903" s="10"/>
    </row>
    <row r="904" spans="2:2" ht="12.75">
      <c r="B904" s="10"/>
    </row>
    <row r="905" spans="2:2" ht="12.75">
      <c r="B905" s="10"/>
    </row>
    <row r="906" spans="2:2" ht="12.75">
      <c r="B906" s="10"/>
    </row>
    <row r="907" spans="2:2" ht="12.75">
      <c r="B907" s="10"/>
    </row>
    <row r="908" spans="2:2" ht="12.75">
      <c r="B908" s="10"/>
    </row>
    <row r="909" spans="2:2" ht="12.75">
      <c r="B909" s="10"/>
    </row>
    <row r="910" spans="2:2" ht="12.75">
      <c r="B910" s="10"/>
    </row>
    <row r="911" spans="2:2" ht="12.75">
      <c r="B911" s="10"/>
    </row>
    <row r="912" spans="2:2" ht="12.75">
      <c r="B912" s="10"/>
    </row>
    <row r="913" spans="2:2" ht="12.75">
      <c r="B913" s="10"/>
    </row>
    <row r="914" spans="2:2" ht="12.75">
      <c r="B914" s="10"/>
    </row>
    <row r="915" spans="2:2" ht="12.75">
      <c r="B915" s="10"/>
    </row>
    <row r="916" spans="2:2" ht="12.75">
      <c r="B916" s="10"/>
    </row>
    <row r="917" spans="2:2" ht="12.75">
      <c r="B917" s="10"/>
    </row>
    <row r="918" spans="2:2" ht="12.75">
      <c r="B918" s="10"/>
    </row>
    <row r="919" spans="2:2" ht="12.75">
      <c r="B919" s="10"/>
    </row>
    <row r="920" spans="2:2" ht="12.75">
      <c r="B920" s="10"/>
    </row>
    <row r="921" spans="2:2" ht="12.75">
      <c r="B921" s="10"/>
    </row>
    <row r="922" spans="2:2" ht="12.75">
      <c r="B922" s="10"/>
    </row>
    <row r="923" spans="2:2" ht="12.75">
      <c r="B923" s="10"/>
    </row>
    <row r="924" spans="2:2" ht="12.75">
      <c r="B924" s="10"/>
    </row>
    <row r="925" spans="2:2" ht="12.75">
      <c r="B925" s="10"/>
    </row>
    <row r="926" spans="2:2" ht="12.75">
      <c r="B926" s="10"/>
    </row>
    <row r="927" spans="2:2" ht="12.75">
      <c r="B927" s="10"/>
    </row>
    <row r="928" spans="2:2" ht="12.75">
      <c r="B928" s="10"/>
    </row>
    <row r="929" spans="2:2" ht="12.75">
      <c r="B929" s="10"/>
    </row>
    <row r="930" spans="2:2" ht="12.75">
      <c r="B930" s="10"/>
    </row>
    <row r="931" spans="2:2" ht="12.75">
      <c r="B931" s="10"/>
    </row>
    <row r="932" spans="2:2" ht="12.75">
      <c r="B932" s="10"/>
    </row>
    <row r="933" spans="2:2" ht="12.75">
      <c r="B933" s="10"/>
    </row>
    <row r="934" spans="2:2" ht="12.75">
      <c r="B934" s="10"/>
    </row>
    <row r="935" spans="2:2" ht="12.75">
      <c r="B935" s="10"/>
    </row>
    <row r="936" spans="2:2" ht="12.75">
      <c r="B936" s="10"/>
    </row>
    <row r="937" spans="2:2" ht="12.75">
      <c r="B937" s="10"/>
    </row>
    <row r="938" spans="2:2" ht="12.75">
      <c r="B938" s="10"/>
    </row>
    <row r="939" spans="2:2" ht="12.75">
      <c r="B939" s="10"/>
    </row>
    <row r="940" spans="2:2" ht="12.75">
      <c r="B940" s="10"/>
    </row>
    <row r="941" spans="2:2" ht="12.75">
      <c r="B941" s="10"/>
    </row>
    <row r="942" spans="2:2" ht="12.75">
      <c r="B942" s="10"/>
    </row>
    <row r="943" spans="2:2" ht="12.75">
      <c r="B943" s="10"/>
    </row>
    <row r="944" spans="2:2" ht="12.75">
      <c r="B944" s="10"/>
    </row>
    <row r="945" spans="2:2" ht="12.75">
      <c r="B945" s="10"/>
    </row>
    <row r="946" spans="2:2" ht="12.75">
      <c r="B946" s="10"/>
    </row>
    <row r="947" spans="2:2" ht="12.75">
      <c r="B947" s="10"/>
    </row>
    <row r="948" spans="2:2" ht="12.75">
      <c r="B948" s="10"/>
    </row>
    <row r="949" spans="2:2" ht="12.75">
      <c r="B949" s="10"/>
    </row>
    <row r="950" spans="2:2" ht="12.75">
      <c r="B950" s="10"/>
    </row>
    <row r="951" spans="2:2" ht="12.75">
      <c r="B951" s="10"/>
    </row>
    <row r="952" spans="2:2" ht="12.75">
      <c r="B952" s="10"/>
    </row>
    <row r="953" spans="2:2" ht="12.75">
      <c r="B953" s="10"/>
    </row>
    <row r="954" spans="2:2" ht="12.75">
      <c r="B954" s="10"/>
    </row>
    <row r="955" spans="2:2" ht="12.75">
      <c r="B955" s="10"/>
    </row>
    <row r="956" spans="2:2" ht="12.75">
      <c r="B956" s="10"/>
    </row>
    <row r="957" spans="2:2" ht="12.75">
      <c r="B957" s="10"/>
    </row>
    <row r="958" spans="2:2" ht="12.75">
      <c r="B958" s="10"/>
    </row>
    <row r="959" spans="2:2" ht="12.75">
      <c r="B959" s="10"/>
    </row>
    <row r="960" spans="2:2" ht="12.75">
      <c r="B960" s="10"/>
    </row>
    <row r="961" spans="2:2" ht="12.75">
      <c r="B961" s="10"/>
    </row>
    <row r="962" spans="2:2" ht="12.75">
      <c r="B962" s="10"/>
    </row>
    <row r="963" spans="2:2" ht="12.75">
      <c r="B963" s="10"/>
    </row>
    <row r="964" spans="2:2" ht="12.75">
      <c r="B964" s="10"/>
    </row>
    <row r="965" spans="2:2" ht="12.75">
      <c r="B965" s="10"/>
    </row>
    <row r="966" spans="2:2" ht="12.75">
      <c r="B966" s="10"/>
    </row>
    <row r="967" spans="2:2" ht="12.75">
      <c r="B967" s="10"/>
    </row>
    <row r="968" spans="2:2" ht="12.75">
      <c r="B968" s="10"/>
    </row>
    <row r="969" spans="2:2" ht="12.75">
      <c r="B969" s="10"/>
    </row>
    <row r="970" spans="2:2" ht="12.75">
      <c r="B970" s="10"/>
    </row>
    <row r="971" spans="2:2" ht="12.75">
      <c r="B971" s="10"/>
    </row>
    <row r="972" spans="2:2" ht="12.75">
      <c r="B972" s="10"/>
    </row>
    <row r="973" spans="2:2" ht="12.75">
      <c r="B973" s="10"/>
    </row>
    <row r="974" spans="2:2" ht="12.75">
      <c r="B974" s="10"/>
    </row>
    <row r="975" spans="2:2" ht="12.75">
      <c r="B975" s="10"/>
    </row>
    <row r="976" spans="2:2" ht="12.75">
      <c r="B976" s="10"/>
    </row>
    <row r="977" spans="2:2" ht="12.75">
      <c r="B977" s="10"/>
    </row>
    <row r="978" spans="2:2" ht="12.75">
      <c r="B978" s="10"/>
    </row>
    <row r="979" spans="2:2" ht="12.75">
      <c r="B979" s="10"/>
    </row>
    <row r="980" spans="2:2" ht="12.75">
      <c r="B980" s="10"/>
    </row>
    <row r="981" spans="2:2" ht="12.75">
      <c r="B981" s="10"/>
    </row>
    <row r="982" spans="2:2" ht="12.75">
      <c r="B982" s="10"/>
    </row>
    <row r="983" spans="2:2" ht="12.75">
      <c r="B983" s="10"/>
    </row>
    <row r="984" spans="2:2" ht="12.75">
      <c r="B984" s="10"/>
    </row>
    <row r="985" spans="2:2" ht="12.75">
      <c r="B985" s="10"/>
    </row>
    <row r="986" spans="2:2" ht="12.75">
      <c r="B986" s="10"/>
    </row>
    <row r="987" spans="2:2" ht="12.75">
      <c r="B987" s="10"/>
    </row>
    <row r="988" spans="2:2" ht="12.75">
      <c r="B988" s="10"/>
    </row>
    <row r="989" spans="2:2" ht="12.75">
      <c r="B989" s="10"/>
    </row>
    <row r="990" spans="2:2" ht="12.75">
      <c r="B990" s="10"/>
    </row>
    <row r="991" spans="2:2" ht="12.75">
      <c r="B991" s="10"/>
    </row>
    <row r="992" spans="2:2" ht="12.75">
      <c r="B992" s="10"/>
    </row>
    <row r="993" spans="2:2" ht="12.75">
      <c r="B993" s="10"/>
    </row>
    <row r="994" spans="2:2" ht="12.75">
      <c r="B994" s="10"/>
    </row>
    <row r="995" spans="2:2" ht="12.75">
      <c r="B995" s="10"/>
    </row>
    <row r="996" spans="2:2" ht="12.75">
      <c r="B996" s="10"/>
    </row>
    <row r="997" spans="2:2" ht="12.75">
      <c r="B997" s="10"/>
    </row>
    <row r="998" spans="2:2" ht="12.75">
      <c r="B998" s="10"/>
    </row>
    <row r="999" spans="2:2" ht="12.75">
      <c r="B999" s="10"/>
    </row>
    <row r="1000" spans="2:2" ht="12.75">
      <c r="B1000" s="10"/>
    </row>
    <row r="1001" spans="2:2" ht="12.75">
      <c r="B1001" s="10"/>
    </row>
  </sheetData>
  <mergeCells count="10">
    <mergeCell ref="O4:P4"/>
    <mergeCell ref="G14:H14"/>
    <mergeCell ref="I14:J14"/>
    <mergeCell ref="O14:P14"/>
    <mergeCell ref="K14:L14"/>
    <mergeCell ref="M14:N14"/>
    <mergeCell ref="G4:H4"/>
    <mergeCell ref="I4:J4"/>
    <mergeCell ref="K4:L4"/>
    <mergeCell ref="M4:N4"/>
  </mergeCells>
  <dataValidations count="1">
    <dataValidation type="list" allowBlank="1" sqref="AA5:AA13" xr:uid="{00000000-0002-0000-0900-000000000000}">
      <formula1>$AC$5:$AC$6</formula1>
    </dataValidation>
  </dataValidations>
  <printOptions horizontalCentered="1" gridLines="1"/>
  <pageMargins left="0.7" right="0.7" top="0.75" bottom="0.75" header="0" footer="0"/>
  <pageSetup pageOrder="overThenDown" orientation="landscape" cellComments="atEnd"/>
  <rowBreaks count="3" manualBreakCount="3">
    <brk id="3" man="1"/>
    <brk id="11" man="1"/>
    <brk id="13" man="1"/>
  </rowBreaks>
  <colBreaks count="2" manualBreakCount="2">
    <brk id="5" man="1"/>
    <brk id="26"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outlinePr summaryBelow="0" summaryRight="0"/>
  </sheetPr>
  <dimension ref="A1:AL56"/>
  <sheetViews>
    <sheetView workbookViewId="0"/>
  </sheetViews>
  <sheetFormatPr defaultColWidth="14.42578125" defaultRowHeight="15.75" customHeight="1"/>
  <cols>
    <col min="1" max="1" width="20.42578125" customWidth="1"/>
    <col min="2" max="2" width="12.140625" customWidth="1"/>
    <col min="3" max="3" width="13.7109375" customWidth="1"/>
    <col min="5" max="5" width="17.140625" customWidth="1"/>
    <col min="6" max="6" width="17.5703125" customWidth="1"/>
    <col min="7" max="7" width="11.140625" customWidth="1"/>
    <col min="8" max="12" width="10.42578125" customWidth="1"/>
    <col min="25" max="26" width="16.140625" customWidth="1"/>
    <col min="37" max="38" width="14.42578125" hidden="1"/>
  </cols>
  <sheetData>
    <row r="1" spans="1:38">
      <c r="A1" s="28" t="s">
        <v>232</v>
      </c>
      <c r="B1" s="10"/>
    </row>
    <row r="2" spans="1:38">
      <c r="A2" s="28" t="s">
        <v>233</v>
      </c>
    </row>
    <row r="3" spans="1:38" ht="65.25" customHeight="1">
      <c r="A3" s="51" t="s">
        <v>130</v>
      </c>
      <c r="B3" s="52" t="s">
        <v>202</v>
      </c>
      <c r="C3" s="52" t="s">
        <v>203</v>
      </c>
      <c r="D3" s="52" t="s">
        <v>204</v>
      </c>
      <c r="E3" s="52" t="s">
        <v>205</v>
      </c>
      <c r="F3" s="52" t="s">
        <v>208</v>
      </c>
      <c r="G3" s="418" t="s">
        <v>209</v>
      </c>
      <c r="H3" s="421"/>
      <c r="I3" s="418" t="s">
        <v>210</v>
      </c>
      <c r="J3" s="421"/>
      <c r="K3" s="418" t="s">
        <v>211</v>
      </c>
      <c r="L3" s="421"/>
      <c r="M3" s="418" t="s">
        <v>212</v>
      </c>
      <c r="N3" s="421"/>
      <c r="O3" s="418" t="s">
        <v>213</v>
      </c>
      <c r="P3" s="421"/>
      <c r="Q3" s="418" t="s">
        <v>214</v>
      </c>
      <c r="R3" s="421"/>
      <c r="S3" s="418" t="s">
        <v>215</v>
      </c>
      <c r="T3" s="421"/>
      <c r="U3" s="418" t="s">
        <v>216</v>
      </c>
      <c r="V3" s="421"/>
      <c r="W3" s="418" t="s">
        <v>217</v>
      </c>
      <c r="X3" s="421"/>
      <c r="Y3" s="418" t="s">
        <v>218</v>
      </c>
      <c r="Z3" s="421"/>
      <c r="AA3" s="418" t="s">
        <v>219</v>
      </c>
      <c r="AB3" s="421"/>
      <c r="AC3" s="52" t="s">
        <v>220</v>
      </c>
      <c r="AD3" s="418" t="s">
        <v>221</v>
      </c>
      <c r="AE3" s="421"/>
      <c r="AF3" s="52" t="s">
        <v>222</v>
      </c>
      <c r="AG3" s="52" t="s">
        <v>223</v>
      </c>
      <c r="AH3" s="52" t="s">
        <v>224</v>
      </c>
      <c r="AI3" s="52" t="s">
        <v>234</v>
      </c>
      <c r="AJ3" s="103" t="s">
        <v>235</v>
      </c>
      <c r="AK3" s="28" t="s">
        <v>104</v>
      </c>
      <c r="AL3" s="28" t="s">
        <v>111</v>
      </c>
    </row>
    <row r="4" spans="1:38">
      <c r="A4" s="107" t="s">
        <v>147</v>
      </c>
      <c r="B4" s="57">
        <f ca="1">COUNTIFS(Included!B:B,"&lt;="&amp;AL4, Included!B:B,"&gt;="&amp;AK4, IncludedCat, "yes", Included!BD:BD,"=TRUE")</f>
        <v>23</v>
      </c>
      <c r="C4" s="57">
        <f ca="1">SUMIFS(Included!X:X, Included!B:B, "&lt;="&amp;AL4, Included!B:B, "&gt;="&amp;AK4, IncludedCat, "yes", Included!BD:BD,"=TRUE")</f>
        <v>1448</v>
      </c>
      <c r="D4" s="57">
        <f ca="1">SUMIFS(Included!AB:AB, Included!B:B, "&lt;="&amp;AL4, Included!B:B, "&gt;="&amp;AK4, IncludedCat, "yes", Included!BD:BD,"=TRUE")</f>
        <v>8</v>
      </c>
      <c r="E4" s="57">
        <f ca="1">SUMIFS(Included!Z:Z, Included!B:B, "&lt;="&amp;AL4, Included!B:B, "&gt;="&amp;AK4, IncludedCat, "yes", Included!BD:BD,"=TRUE")</f>
        <v>936</v>
      </c>
      <c r="F4" s="57">
        <f ca="1">SUMIFS(Included!AD:AD, Included!B:B, "&lt;="&amp;AL4, Included!B:B, "&gt;="&amp;AK4, IncludedCat, "yes", Included!BD:BD,"=TRUE")</f>
        <v>0</v>
      </c>
      <c r="G4" s="57">
        <f ca="1">SUMIFS(Included!AG:AG, Included!B:B, "&lt;="&amp;AL4, Included!B:B, "&gt;="&amp;AK4, IncludedCat, "yes", Included!BD:BD,"=TRUE")</f>
        <v>336</v>
      </c>
      <c r="H4" s="57" t="str">
        <f t="shared" ref="H4:H8" ca="1" si="0">TEXT(G4/C4,"0.0%")</f>
        <v>23.2%</v>
      </c>
      <c r="I4" s="57">
        <f ca="1">SUMIFS(Included!AZ:AZ, Included!B:B, "&lt;="&amp;AL4, Included!B:B, "&gt;="&amp;AK4, IncludedCat, "yes", Included!BD:BD,"=TRUE")</f>
        <v>389</v>
      </c>
      <c r="J4" s="57" t="str">
        <f t="shared" ref="J4:J8" ca="1" si="1">TEXT(I4/C4,"0.0%")</f>
        <v>26.9%</v>
      </c>
      <c r="K4" s="57">
        <f ca="1">SUMIFS(Included!BA:BA, Included!B:B, "&lt;="&amp;AL4, Included!B:B, "&gt;="&amp;AK4, IncludedCat, "yes", Included!BD:BD,"=TRUE")</f>
        <v>428</v>
      </c>
      <c r="L4" s="57" t="str">
        <f t="shared" ref="L4:L8" ca="1" si="2">TEXT(K4/C4,"0.0%")</f>
        <v>29.6%</v>
      </c>
      <c r="M4" s="57">
        <f ca="1">SUMIFS(Included!AL:AL, Included!B:B, "&lt;="&amp;AL4, Included!B:B, "&gt;="&amp;AK4, IncludedCat, "yes", Included!BD:BD,"=TRUE")</f>
        <v>0</v>
      </c>
      <c r="N4" s="149" t="str">
        <f t="shared" ref="N4:N8" ca="1" si="3">IFERROR(TEXT(M4/D4,"0.0%"),0)</f>
        <v>0.0%</v>
      </c>
      <c r="O4" s="57">
        <f ca="1">SUMIFS(Included!AJ:AJ, Included!B:B, "&lt;="&amp;AL4, Included!B:B, "&gt;="&amp;AK4, IncludedCat, "yes", Included!BD:BD,"=TRUE")</f>
        <v>9</v>
      </c>
      <c r="P4" s="142" t="str">
        <f t="shared" ref="P4:P8" ca="1" si="4">TEXT(O4/C4,"0.0%")</f>
        <v>0.6%</v>
      </c>
      <c r="Q4" s="57">
        <f ca="1">SUMIFS(Included!BB:BB, Included!B:B, "&lt;="&amp;AL4, Included!B:B, "&gt;="&amp;AK4, Included!BD:BD,"=TRUE")</f>
        <v>9</v>
      </c>
      <c r="R4" s="57" t="str">
        <f t="shared" ref="R4:R8" ca="1" si="5">TEXT(Q4/C4,"0.0%")</f>
        <v>0.6%</v>
      </c>
      <c r="S4" s="57">
        <f ca="1">SUMIFS(Included!BC:BC, Included!B:B, "&lt;="&amp;AL4, Included!B:B, "&gt;="&amp;AK4, IncludedCat, "yes", Included!BD:BD,"=TRUE")</f>
        <v>25</v>
      </c>
      <c r="T4" s="57" t="str">
        <f t="shared" ref="T4:T8" ca="1" si="6">TEXT(S4/C4,"0.0%")</f>
        <v>1.7%</v>
      </c>
      <c r="U4" s="57">
        <f ca="1">SUMIFS(Included!AI:AI, Included!B:B, "&lt;="&amp;AL4, Included!B:B, "&gt;="&amp;AK4, IncludedCat, "yes", Included!BD:BD,"=TRUE")</f>
        <v>4</v>
      </c>
      <c r="V4" s="117" t="str">
        <f t="shared" ref="V4:V8" ca="1" si="7">TEXT(U4/C4,"0.0%")</f>
        <v>0.3%</v>
      </c>
      <c r="W4" s="98">
        <f ca="1">COUNTIFS(Included!AE:AE, "*None given*", Included!B:B,"&lt;="&amp;AL4, Included!B:B,"&gt;="&amp;AK4, IncludedCat, "yes", Included!BD:BD,"=TRUE")</f>
        <v>20</v>
      </c>
      <c r="X4" s="57" t="str">
        <f t="shared" ref="X4:X8" ca="1" si="8">TEXT(W4/B4,"0.0%")</f>
        <v>87.0%</v>
      </c>
      <c r="Y4" s="98">
        <f ca="1">COUNTIFS(Included!AK:AK, "*No SAEs mentioned in text*", Included!B:B,"&lt;="&amp;AL4, Included!B:B,"&gt;="&amp;AK4, IncludedCat, "yes", Included!BD:BD,"=TRUE")</f>
        <v>21</v>
      </c>
      <c r="Z4" s="98" t="str">
        <f t="shared" ref="Z4:Z8" ca="1" si="9">TEXT(Y4/B4,"0.0%")</f>
        <v>91.3%</v>
      </c>
      <c r="AA4" s="98">
        <f ca="1">COUNTIFS(Included!AI:AI, "=*nd*", Included!B:B,"&lt;="&amp;AL4,Included!B:B,"&gt;="&amp;AK4, IncludedCat, "yes", Included!BD:BD,"=TRUE")</f>
        <v>1</v>
      </c>
      <c r="AB4" s="98" t="str">
        <f t="shared" ref="AB4:AB8" ca="1" si="10">TEXT(AA4/B4,"0.0%")</f>
        <v>4.3%</v>
      </c>
      <c r="AC4" s="98">
        <f>COUNTIFS(Included!AI:AI, "=*unclear*", Included!B:B, "&lt;="&amp;AL4, Included!B:B, "&gt;="&amp;AK4, IncludedCat, "yes", Included!BD:BD,"=TRUE")</f>
        <v>0</v>
      </c>
      <c r="AD4" s="98">
        <f ca="1">COUNTIFS(Included!AG:AG, "=*nd*", Included!B:B, "&lt;="&amp;AL4, Included!B:B, "&gt;="&amp;AK4, IncludedCat, "yes", Included!BD:BD,"=TRUE")</f>
        <v>0</v>
      </c>
      <c r="AE4" s="98" t="str">
        <f t="shared" ref="AE4:AE8" ca="1" si="11">TEXT(AD4/B4,"0.0%")</f>
        <v>0.0%</v>
      </c>
      <c r="AF4" s="98">
        <f ca="1">COUNTIFS(Included!AG:AG, "=*unclear*", Included!B:B, "&lt;="&amp;AL4, Included!B:B, "&gt;="&amp;AK4, IncludedCat, "yes", Included!BD:BD,"=TRUE")</f>
        <v>2</v>
      </c>
      <c r="AG4" s="98">
        <f>COUNTIFS(Included!I:I, "&lt;&gt;", Included!B:B, "&lt;="&amp;AL4, Included!B:B, "&gt;="&amp;AK4, IncludedCat, "yes", Included!BD:BD,"=TRUE")</f>
        <v>0</v>
      </c>
      <c r="AH4" s="98">
        <f ca="1">COUNTIFS(Included!I:I, "", Included!B:B, "&lt;="&amp;AL4, Included!B:B, "&gt;="&amp;AK4, IncludedCat, "yes", Included!BD:BD,"=TRUE")</f>
        <v>23</v>
      </c>
      <c r="AI4" s="101">
        <f ca="1">SUMIFS(Included!AX:AX, Included!B:B, "&lt;="&amp;AL4, Included!B:B, "&gt;="&amp;AK4, IncludedCat, "yes", Included!BD:BD,"=TRUE")</f>
        <v>1050</v>
      </c>
      <c r="AJ4" s="150">
        <f ca="1">SUMIFS(Included!AY:AY, Included!B:B, "&lt;="&amp;AL4, Included!B:B, "&gt;="&amp;AK4, IncludedCat, "yes", Included!BD:BD,"=TRUE")</f>
        <v>1163</v>
      </c>
      <c r="AK4" s="28">
        <v>1980</v>
      </c>
      <c r="AL4" s="28">
        <v>1989</v>
      </c>
    </row>
    <row r="5" spans="1:38">
      <c r="A5" s="109" t="s">
        <v>150</v>
      </c>
      <c r="B5" s="63">
        <f ca="1">COUNTIFS(Included!B:B,"&lt;="&amp;AL5, Included!B:B,"&gt;="&amp;AK5, IncludedCat, "yes", Included!BD:BD,"=TRUE")</f>
        <v>41</v>
      </c>
      <c r="C5" s="63">
        <f ca="1">SUMIFS(Included!X:X, Included!B:B, "&lt;="&amp;AL5, Included!B:B, "&gt;="&amp;AK5, IncludedCat, "yes", Included!BD:BD,"=TRUE")</f>
        <v>2875</v>
      </c>
      <c r="D5" s="63">
        <f ca="1">SUMIFS(Included!AB:AB, Included!B:B, "&lt;="&amp;AL5, Included!B:B, "&gt;="&amp;AK5, IncludedCat, "yes", Included!BD:BD,"=TRUE")</f>
        <v>47</v>
      </c>
      <c r="E5" s="63">
        <f ca="1">SUMIFS(Included!Z:Z, Included!B:B, "&lt;="&amp;AL5, Included!B:B, "&gt;="&amp;AK5, IncludedCat, "yes", Included!BD:BD,"=TRUE")</f>
        <v>2119</v>
      </c>
      <c r="F5" s="63">
        <f ca="1">SUMIFS(Included!AD:AD, Included!B:B, "&lt;="&amp;AL5, Included!B:B, "&gt;="&amp;AK5, IncludedCat, "yes", Included!BD:BD,"=TRUE")</f>
        <v>0</v>
      </c>
      <c r="G5" s="63">
        <f ca="1">SUMIFS(Included!AG:AG, Included!B:B, "&lt;="&amp;AL5, Included!B:B, "&gt;="&amp;AK5, IncludedCat, "yes", Included!BD:BD,"=TRUE")</f>
        <v>899</v>
      </c>
      <c r="H5" s="63" t="str">
        <f t="shared" ca="1" si="0"/>
        <v>31.3%</v>
      </c>
      <c r="I5" s="63">
        <f ca="1">SUMIFS(Included!AZ:AZ, Included!B:B, "&lt;="&amp;AL5, Included!B:B, "&gt;="&amp;AK5, IncludedCat, "yes", Included!BD:BD,"=TRUE")</f>
        <v>1192</v>
      </c>
      <c r="J5" s="63" t="str">
        <f t="shared" ca="1" si="1"/>
        <v>41.5%</v>
      </c>
      <c r="K5" s="63">
        <f ca="1">SUMIFS(Included!BA:BA, Included!B:B, "&lt;="&amp;AL5, Included!B:B, "&gt;="&amp;AK5, IncludedCat, "yes", Included!BD:BD,"=TRUE")</f>
        <v>1384</v>
      </c>
      <c r="L5" s="63" t="str">
        <f t="shared" ca="1" si="2"/>
        <v>48.1%</v>
      </c>
      <c r="M5" s="63">
        <f ca="1">SUMIFS(Included!AL:AL, Included!B:B, "&lt;="&amp;AL5, Included!B:B, "&gt;="&amp;AK5, IncludedCat, "yes", Included!BD:BD,"=TRUE")</f>
        <v>0</v>
      </c>
      <c r="N5" s="151" t="str">
        <f t="shared" ca="1" si="3"/>
        <v>0.0%</v>
      </c>
      <c r="O5" s="63">
        <f ca="1">SUMIFS(Included!AJ:AJ, Included!B:B, "&lt;="&amp;AL5, Included!B:B, "&gt;="&amp;AK5, IncludedCat, "yes", Included!BD:BD,"=TRUE")</f>
        <v>20</v>
      </c>
      <c r="P5" s="144" t="str">
        <f t="shared" ca="1" si="4"/>
        <v>0.7%</v>
      </c>
      <c r="Q5" s="63">
        <f ca="1">SUMIFS(Included!BB:BB, Included!B:B, "&lt;="&amp;AL5, Included!B:B, "&gt;="&amp;AK5, Included!BD:BD,"=TRUE")</f>
        <v>28</v>
      </c>
      <c r="R5" s="63" t="str">
        <f t="shared" ca="1" si="5"/>
        <v>1.0%</v>
      </c>
      <c r="S5" s="63">
        <f ca="1">SUMIFS(Included!BC:BC, Included!B:B, "&lt;="&amp;AL5, Included!B:B, "&gt;="&amp;AK5, IncludedCat, "yes", Included!BD:BD,"=TRUE")</f>
        <v>20</v>
      </c>
      <c r="T5" s="63" t="str">
        <f t="shared" ca="1" si="6"/>
        <v>0.7%</v>
      </c>
      <c r="U5" s="63">
        <f ca="1">SUMIFS(Included!AI:AI, Included!B:B, "&lt;="&amp;AL5, Included!B:B, "&gt;="&amp;AK5, IncludedCat, "yes", Included!BD:BD,"=TRUE")</f>
        <v>1</v>
      </c>
      <c r="V5" s="121" t="str">
        <f t="shared" ca="1" si="7"/>
        <v>0.0%</v>
      </c>
      <c r="W5" s="110">
        <f ca="1">COUNTIFS(Included!AE:AE, "*None given*", Included!B:B,"&lt;="&amp;AL5, Included!B:B,"&gt;="&amp;AK5, IncludedCat, "yes", Included!BD:BD,"=TRUE")</f>
        <v>32</v>
      </c>
      <c r="X5" s="63" t="str">
        <f t="shared" ca="1" si="8"/>
        <v>78.0%</v>
      </c>
      <c r="Y5" s="110">
        <f ca="1">COUNTIFS(Included!AK:AK, "*No SAEs mentioned in text*", Included!B:B,"&lt;="&amp;AL5, Included!B:B,"&gt;="&amp;AK5, IncludedCat, "yes", Included!BD:BD,"=TRUE")</f>
        <v>38</v>
      </c>
      <c r="Z5" s="110" t="str">
        <f t="shared" ca="1" si="9"/>
        <v>92.7%</v>
      </c>
      <c r="AA5" s="110">
        <f ca="1">COUNTIFS(Included!AI:AI, "=*nd*", Included!B:B,"&lt;="&amp;AL5,Included!B:B,"&gt;="&amp;AK5, IncludedCat, "yes", Included!BD:BD,"=TRUE")</f>
        <v>3</v>
      </c>
      <c r="AB5" s="110" t="str">
        <f t="shared" ca="1" si="10"/>
        <v>7.3%</v>
      </c>
      <c r="AC5" s="110">
        <f>COUNTIFS(Included!AI:AI, "=*unclear*", Included!B:B, "&lt;="&amp;AL5, Included!B:B, "&gt;="&amp;AK5, IncludedCat, "yes", Included!BD:BD,"=TRUE")</f>
        <v>0</v>
      </c>
      <c r="AD5" s="110">
        <f ca="1">COUNTIFS(Included!AG:AG, "=*nd*", Included!B:B, "&lt;="&amp;AL5, Included!B:B, "&gt;="&amp;AK5, IncludedCat, "yes", Included!BD:BD,"=TRUE")</f>
        <v>0</v>
      </c>
      <c r="AE5" s="110" t="str">
        <f t="shared" ca="1" si="11"/>
        <v>0.0%</v>
      </c>
      <c r="AF5" s="110">
        <f ca="1">COUNTIFS(Included!AG:AG, "=*unclear*", Included!B:B, "&lt;="&amp;AL5, Included!B:B, "&gt;="&amp;AK5, IncludedCat, "yes", Included!BD:BD,"=TRUE")</f>
        <v>8</v>
      </c>
      <c r="AG5" s="110">
        <f>COUNTIFS(Included!I:I, "&lt;&gt;", Included!B:B, "&lt;="&amp;AL5, Included!B:B, "&gt;="&amp;AK5, IncludedCat, "yes", Included!BD:BD,"=TRUE")</f>
        <v>0</v>
      </c>
      <c r="AH5" s="110">
        <f ca="1">COUNTIFS(Included!I:I, "", Included!B:B, "&lt;="&amp;AL5, Included!B:B, "&gt;="&amp;AK5, IncludedCat, "yes", Included!BD:BD,"=TRUE")</f>
        <v>41</v>
      </c>
      <c r="AI5" s="143">
        <f ca="1">SUMIFS(Included!AX:AX, Included!B:B, "&lt;="&amp;AL5, Included!B:B, "&gt;="&amp;AK5, IncludedCat, "yes", Included!BD:BD,"=TRUE")</f>
        <v>2120</v>
      </c>
      <c r="AJ5" s="152">
        <f ca="1">SUMIFS(Included!AY:AY, Included!B:B, "&lt;="&amp;AL5, Included!B:B, "&gt;="&amp;AK5, IncludedCat, "yes", Included!BD:BD,"=TRUE")</f>
        <v>2193</v>
      </c>
      <c r="AK5" s="45">
        <f t="shared" ref="AK5:AK8" si="12">AL4+1</f>
        <v>1990</v>
      </c>
      <c r="AL5" s="45">
        <f t="shared" ref="AL5:AL8" si="13">AK5+9</f>
        <v>1999</v>
      </c>
    </row>
    <row r="6" spans="1:38">
      <c r="A6" s="107" t="s">
        <v>153</v>
      </c>
      <c r="B6" s="57">
        <f ca="1">COUNTIFS(Included!B:B,"&lt;="&amp;AL6, Included!B:B,"&gt;="&amp;AK6, IncludedCat, "yes", Included!BD:BD,"=TRUE")</f>
        <v>26</v>
      </c>
      <c r="C6" s="57">
        <f ca="1">SUMIFS(Included!X:X, Included!B:B, "&lt;="&amp;AL6, Included!B:B, "&gt;="&amp;AK6, IncludedCat, "yes", Included!BD:BD,"=TRUE")</f>
        <v>1984</v>
      </c>
      <c r="D6" s="57">
        <f ca="1">SUMIFS(Included!AB:AB, Included!B:B, "&lt;="&amp;AL6, Included!B:B, "&gt;="&amp;AK6, IncludedCat, "yes", Included!BD:BD,"=TRUE")</f>
        <v>20</v>
      </c>
      <c r="E6" s="57">
        <f ca="1">SUMIFS(Included!Z:Z, Included!B:B, "&lt;="&amp;AL6, Included!B:B, "&gt;="&amp;AK6, IncludedCat, "yes", Included!BD:BD,"=TRUE")</f>
        <v>1484</v>
      </c>
      <c r="F6" s="57">
        <f ca="1">SUMIFS(Included!AD:AD, Included!B:B, "&lt;="&amp;AL6, Included!B:B, "&gt;="&amp;AK6, IncludedCat, "yes", Included!BD:BD,"=TRUE")</f>
        <v>0</v>
      </c>
      <c r="G6" s="57">
        <f ca="1">SUMIFS(Included!AG:AG, Included!B:B, "&lt;="&amp;AL6, Included!B:B, "&gt;="&amp;AK6, IncludedCat, "yes", Included!BD:BD,"=TRUE")</f>
        <v>693</v>
      </c>
      <c r="H6" s="57" t="str">
        <f t="shared" ca="1" si="0"/>
        <v>34.9%</v>
      </c>
      <c r="I6" s="57">
        <f ca="1">SUMIFS(Included!AZ:AZ, Included!B:B, "&lt;="&amp;AL6, Included!B:B, "&gt;="&amp;AK6, IncludedCat, "yes", Included!BD:BD,"=TRUE")</f>
        <v>743</v>
      </c>
      <c r="J6" s="57" t="str">
        <f t="shared" ca="1" si="1"/>
        <v>37.4%</v>
      </c>
      <c r="K6" s="57">
        <f ca="1">SUMIFS(Included!BA:BA, Included!B:B, "&lt;="&amp;AL6, Included!B:B, "&gt;="&amp;AK6, IncludedCat, "yes", Included!BD:BD,"=TRUE")</f>
        <v>1001</v>
      </c>
      <c r="L6" s="57" t="str">
        <f t="shared" ca="1" si="2"/>
        <v>50.5%</v>
      </c>
      <c r="M6" s="57">
        <f ca="1">SUMIFS(Included!AL:AL, Included!B:B, "&lt;="&amp;AL6, Included!B:B, "&gt;="&amp;AK6, IncludedCat, "yes", Included!BD:BD,"=TRUE")</f>
        <v>0</v>
      </c>
      <c r="N6" s="149" t="str">
        <f t="shared" ca="1" si="3"/>
        <v>0.0%</v>
      </c>
      <c r="O6" s="57">
        <f ca="1">SUMIFS(Included!AJ:AJ, Included!B:B, "&lt;="&amp;AL6, Included!B:B, "&gt;="&amp;AK6, IncludedCat, "yes", Included!BD:BD,"=TRUE")</f>
        <v>25</v>
      </c>
      <c r="P6" s="142" t="str">
        <f t="shared" ca="1" si="4"/>
        <v>1.3%</v>
      </c>
      <c r="Q6" s="57">
        <f ca="1">SUMIFS(Included!BB:BB, Included!B:B, "&lt;="&amp;AL6, Included!B:B, "&gt;="&amp;AK6, Included!BD:BD,"=TRUE")</f>
        <v>33</v>
      </c>
      <c r="R6" s="57" t="str">
        <f t="shared" ca="1" si="5"/>
        <v>1.7%</v>
      </c>
      <c r="S6" s="57">
        <f ca="1">SUMIFS(Included!BC:BC, Included!B:B, "&lt;="&amp;AL6, Included!B:B, "&gt;="&amp;AK6, IncludedCat, "yes", Included!BD:BD,"=TRUE")</f>
        <v>102</v>
      </c>
      <c r="T6" s="57" t="str">
        <f t="shared" ca="1" si="6"/>
        <v>5.1%</v>
      </c>
      <c r="U6" s="57">
        <f ca="1">SUMIFS(Included!AI:AI, Included!B:B, "&lt;="&amp;AL6, Included!B:B, "&gt;="&amp;AK6, IncludedCat, "yes", Included!BD:BD,"=TRUE")</f>
        <v>1</v>
      </c>
      <c r="V6" s="117" t="str">
        <f t="shared" ca="1" si="7"/>
        <v>0.1%</v>
      </c>
      <c r="W6" s="98">
        <f ca="1">COUNTIFS(Included!AE:AE, "*None given*", Included!B:B,"&lt;="&amp;AL6, Included!B:B,"&gt;="&amp;AK6, IncludedCat, "yes", Included!BD:BD,"=TRUE")</f>
        <v>16</v>
      </c>
      <c r="X6" s="57" t="str">
        <f t="shared" ca="1" si="8"/>
        <v>61.5%</v>
      </c>
      <c r="Y6" s="98">
        <f ca="1">COUNTIFS(Included!AK:AK, "*No SAEs mentioned in text*", Included!B:B,"&lt;="&amp;AL6, Included!B:B,"&gt;="&amp;AK6, IncludedCat, "yes", Included!BD:BD,"=TRUE")</f>
        <v>9</v>
      </c>
      <c r="Z6" s="98" t="str">
        <f t="shared" ca="1" si="9"/>
        <v>34.6%</v>
      </c>
      <c r="AA6" s="98">
        <f ca="1">COUNTIFS(Included!AI:AI, "=*nd*", Included!B:B,"&lt;="&amp;AL6,Included!B:B,"&gt;="&amp;AK6, IncludedCat, "yes", Included!BD:BD,"=TRUE")</f>
        <v>3</v>
      </c>
      <c r="AB6" s="98" t="str">
        <f t="shared" ca="1" si="10"/>
        <v>11.5%</v>
      </c>
      <c r="AC6" s="98">
        <f>COUNTIFS(Included!AI:AI, "=*unclear*", Included!B:B, "&lt;="&amp;AL6, Included!B:B, "&gt;="&amp;AK6, IncludedCat, "yes", Included!BD:BD,"=TRUE")</f>
        <v>0</v>
      </c>
      <c r="AD6" s="98">
        <f ca="1">COUNTIFS(Included!AG:AG, "=*nd*", Included!B:B, "&lt;="&amp;AL6, Included!B:B, "&gt;="&amp;AK6, IncludedCat, "yes", Included!BD:BD,"=TRUE")</f>
        <v>0</v>
      </c>
      <c r="AE6" s="98" t="str">
        <f t="shared" ca="1" si="11"/>
        <v>0.0%</v>
      </c>
      <c r="AF6" s="98">
        <f ca="1">COUNTIFS(Included!AG:AG, "=*unclear*", Included!B:B, "&lt;="&amp;AL6, Included!B:B, "&gt;="&amp;AK6, IncludedCat, "yes", Included!BD:BD,"=TRUE")</f>
        <v>7</v>
      </c>
      <c r="AG6" s="98">
        <f ca="1">COUNTIFS(Included!I:I, "&lt;&gt;", Included!B:B, "&lt;="&amp;AL6, Included!B:B, "&gt;="&amp;AK6, IncludedCat, "yes", Included!BD:BD,"=TRUE")</f>
        <v>1</v>
      </c>
      <c r="AH6" s="98">
        <f ca="1">COUNTIFS(Included!I:I, "", Included!B:B, "&lt;="&amp;AL6, Included!B:B, "&gt;="&amp;AK6, IncludedCat, "yes", Included!BD:BD,"=TRUE")</f>
        <v>25</v>
      </c>
      <c r="AI6" s="101">
        <f ca="1">SUMIFS(Included!AX:AX, Included!B:B, "&lt;="&amp;AL6, Included!B:B, "&gt;="&amp;AK6, IncludedCat, "yes", Included!BD:BD,"=TRUE")</f>
        <v>1484</v>
      </c>
      <c r="AJ6" s="150">
        <f ca="1">SUMIFS(Included!AY:AY, Included!B:B, "&lt;="&amp;AL6, Included!B:B, "&gt;="&amp;AK6, IncludedCat, "yes", Included!BD:BD,"=TRUE")</f>
        <v>1505</v>
      </c>
      <c r="AK6" s="45">
        <f t="shared" si="12"/>
        <v>2000</v>
      </c>
      <c r="AL6" s="45">
        <f t="shared" si="13"/>
        <v>2009</v>
      </c>
    </row>
    <row r="7" spans="1:38">
      <c r="A7" s="109" t="s">
        <v>157</v>
      </c>
      <c r="B7" s="63">
        <f ca="1">COUNTIFS(Included!B:B,"&lt;="&amp;AL7, Included!B:B,"&gt;="&amp;AK7, IncludedCat, "yes", Included!BD:BD,"=TRUE")</f>
        <v>80</v>
      </c>
      <c r="C7" s="63">
        <f ca="1">SUMIFS(Included!X:X, Included!B:B, "&lt;="&amp;AL7, Included!B:B, "&gt;="&amp;AK7, IncludedCat, "yes", Included!BD:BD,"=TRUE")</f>
        <v>3139</v>
      </c>
      <c r="D7" s="63">
        <f ca="1">SUMIFS(Included!AB:AB, Included!B:B, "&lt;="&amp;AL7, Included!B:B, "&gt;="&amp;AK7, IncludedCat, "yes", Included!BD:BD,"=TRUE")</f>
        <v>29</v>
      </c>
      <c r="E7" s="63">
        <f ca="1">SUMIFS(Included!Z:Z, Included!B:B, "&lt;="&amp;AL7, Included!B:B, "&gt;="&amp;AK7, IncludedCat, "yes", Included!BD:BD,"=TRUE")</f>
        <v>2004</v>
      </c>
      <c r="F7" s="63">
        <f ca="1">SUMIFS(Included!AD:AD, Included!B:B, "&lt;="&amp;AL7, Included!B:B, "&gt;="&amp;AK7, IncludedCat, "yes", Included!BD:BD,"=TRUE")</f>
        <v>0</v>
      </c>
      <c r="G7" s="63">
        <f ca="1">SUMIFS(Included!AG:AG, Included!B:B, "&lt;="&amp;AL7, Included!B:B, "&gt;="&amp;AK7, IncludedCat, "yes", Included!BD:BD,"=TRUE")</f>
        <v>1149</v>
      </c>
      <c r="H7" s="63" t="str">
        <f t="shared" ca="1" si="0"/>
        <v>36.6%</v>
      </c>
      <c r="I7" s="63">
        <f ca="1">SUMIFS(Included!AZ:AZ, Included!B:B, "&lt;="&amp;AL7, Included!B:B, "&gt;="&amp;AK7, IncludedCat, "yes", Included!BD:BD,"=TRUE")</f>
        <v>1576</v>
      </c>
      <c r="J7" s="63" t="str">
        <f t="shared" ca="1" si="1"/>
        <v>50.2%</v>
      </c>
      <c r="K7" s="63">
        <f ca="1">SUMIFS(Included!BA:BA, Included!B:B, "&lt;="&amp;AL7, Included!B:B, "&gt;="&amp;AK7, IncludedCat, "yes", Included!BD:BD,"=TRUE")</f>
        <v>2210</v>
      </c>
      <c r="L7" s="63" t="str">
        <f t="shared" ca="1" si="2"/>
        <v>70.4%</v>
      </c>
      <c r="M7" s="63">
        <f ca="1">SUMIFS(Included!AL:AL, Included!B:B, "&lt;="&amp;AL7, Included!B:B, "&gt;="&amp;AK7, IncludedCat, "yes", Included!BD:BD,"=TRUE")</f>
        <v>6</v>
      </c>
      <c r="N7" s="151" t="str">
        <f t="shared" ca="1" si="3"/>
        <v>20.7%</v>
      </c>
      <c r="O7" s="63">
        <f ca="1">SUMIFS(Included!AJ:AJ, Included!B:B, "&lt;="&amp;AL7, Included!B:B, "&gt;="&amp;AK7, IncludedCat, "yes", Included!BD:BD,"=TRUE")</f>
        <v>143</v>
      </c>
      <c r="P7" s="144" t="str">
        <f t="shared" ca="1" si="4"/>
        <v>4.6%</v>
      </c>
      <c r="Q7" s="63">
        <f ca="1">SUMIFS(Included!BB:BB, Included!B:B, "&lt;="&amp;AL7, Included!B:B, "&gt;="&amp;AK7, Included!BD:BD,"=TRUE")</f>
        <v>247</v>
      </c>
      <c r="R7" s="63" t="str">
        <f t="shared" ca="1" si="5"/>
        <v>7.9%</v>
      </c>
      <c r="S7" s="63">
        <f ca="1">SUMIFS(Included!BC:BC, Included!B:B, "&lt;="&amp;AL7, Included!B:B, "&gt;="&amp;AK7, IncludedCat, "yes", Included!BD:BD,"=TRUE")</f>
        <v>473</v>
      </c>
      <c r="T7" s="63" t="str">
        <f t="shared" ca="1" si="6"/>
        <v>15.1%</v>
      </c>
      <c r="U7" s="63">
        <f ca="1">SUMIFS(Included!AI:AI, Included!B:B, "&lt;="&amp;AL7, Included!B:B, "&gt;="&amp;AK7, IncludedCat, "yes", Included!BD:BD,"=TRUE")</f>
        <v>12</v>
      </c>
      <c r="V7" s="121" t="str">
        <f t="shared" ca="1" si="7"/>
        <v>0.4%</v>
      </c>
      <c r="W7" s="110">
        <f ca="1">COUNTIFS(Included!AE:AE, "*None given*", Included!B:B,"&lt;="&amp;AL7, Included!B:B,"&gt;="&amp;AK7, IncludedCat, "yes", Included!BD:BD,"=TRUE")</f>
        <v>19</v>
      </c>
      <c r="X7" s="63" t="str">
        <f t="shared" ca="1" si="8"/>
        <v>23.8%</v>
      </c>
      <c r="Y7" s="110">
        <f ca="1">COUNTIFS(Included!AK:AK, "*No SAEs mentioned in text*", Included!B:B,"&lt;="&amp;AL7, Included!B:B,"&gt;="&amp;AK7, IncludedCat, "yes", Included!BD:BD,"=TRUE")</f>
        <v>7</v>
      </c>
      <c r="Z7" s="110" t="str">
        <f t="shared" ca="1" si="9"/>
        <v>8.8%</v>
      </c>
      <c r="AA7" s="110">
        <f ca="1">COUNTIFS(Included!AI:AI, "=*nd*", Included!B:B,"&lt;="&amp;AL7,Included!B:B,"&gt;="&amp;AK7, IncludedCat, "yes", Included!BD:BD,"=TRUE")</f>
        <v>15</v>
      </c>
      <c r="AB7" s="110" t="str">
        <f t="shared" ca="1" si="10"/>
        <v>18.8%</v>
      </c>
      <c r="AC7" s="110">
        <f ca="1">COUNTIFS(Included!AI:AI, "=*unclear*", Included!B:B, "&lt;="&amp;AL7, Included!B:B, "&gt;="&amp;AK7, IncludedCat, "yes", Included!BD:BD,"=TRUE")</f>
        <v>0</v>
      </c>
      <c r="AD7" s="110">
        <f ca="1">COUNTIFS(Included!AG:AG, "=*nd*", Included!B:B, "&lt;="&amp;AL7, Included!B:B, "&gt;="&amp;AK7, IncludedCat, "yes", Included!BD:BD,"=TRUE")</f>
        <v>0</v>
      </c>
      <c r="AE7" s="110" t="str">
        <f t="shared" ca="1" si="11"/>
        <v>0.0%</v>
      </c>
      <c r="AF7" s="110">
        <f ca="1">COUNTIFS(Included!AG:AG, "=*unclear*", Included!B:B, "&lt;="&amp;AL7, Included!B:B, "&gt;="&amp;AK7, IncludedCat, "yes", Included!BD:BD,"=TRUE")</f>
        <v>32</v>
      </c>
      <c r="AG7" s="110">
        <f ca="1">COUNTIFS(Included!I:I, "&lt;&gt;", Included!B:B, "&lt;="&amp;AL7, Included!B:B, "&gt;="&amp;AK7, IncludedCat, "yes", Included!BD:BD,"=TRUE")</f>
        <v>65</v>
      </c>
      <c r="AH7" s="110">
        <f ca="1">COUNTIFS(Included!I:I, "", Included!B:B, "&lt;="&amp;AL7, Included!B:B, "&gt;="&amp;AK7, IncludedCat, "yes", Included!BD:BD,"=TRUE")</f>
        <v>15</v>
      </c>
      <c r="AI7" s="143">
        <f ca="1">SUMIFS(Included!AX:AX, Included!B:B, "&lt;="&amp;AL7, Included!B:B, "&gt;="&amp;AK7, IncludedCat, "yes", Included!BD:BD,"=TRUE")</f>
        <v>2004</v>
      </c>
      <c r="AJ7" s="152">
        <f ca="1">SUMIFS(Included!AY:AY, Included!B:B, "&lt;="&amp;AL7, Included!B:B, "&gt;="&amp;AK7, IncludedCat, "yes", Included!BD:BD,"=TRUE")</f>
        <v>2028</v>
      </c>
      <c r="AK7" s="45">
        <f t="shared" si="12"/>
        <v>2010</v>
      </c>
      <c r="AL7" s="45">
        <f t="shared" si="13"/>
        <v>2019</v>
      </c>
    </row>
    <row r="8" spans="1:38">
      <c r="A8" s="107" t="s">
        <v>160</v>
      </c>
      <c r="B8" s="57">
        <f ca="1">COUNTIFS(Included!B:B,"&lt;="&amp;AL8, Included!B:B,"&gt;="&amp;AK8, IncludedCat, "yes", Included!BD:BD,"=TRUE")</f>
        <v>20</v>
      </c>
      <c r="C8" s="57">
        <f ca="1">SUMIFS(Included!X:X, Included!B:B, "&lt;="&amp;AL8, Included!B:B, "&gt;="&amp;AK8, IncludedCat, "yes", Included!BD:BD,"=TRUE")</f>
        <v>879</v>
      </c>
      <c r="D8" s="57">
        <f ca="1">SUMIFS(Included!AB:AB, Included!B:B, "&lt;="&amp;AL8, Included!B:B, "&gt;="&amp;AK8, IncludedCat, "yes", Included!BD:BD,"=TRUE")</f>
        <v>0</v>
      </c>
      <c r="E8" s="57">
        <f ca="1">SUMIFS(Included!Z:Z, Included!B:B, "&lt;="&amp;AL8, Included!B:B, "&gt;="&amp;AK8, IncludedCat, "yes", Included!BD:BD,"=TRUE")</f>
        <v>584</v>
      </c>
      <c r="F8" s="57">
        <f ca="1">SUMIFS(Included!AD:AD, Included!B:B, "&lt;="&amp;AL8, Included!B:B, "&gt;="&amp;AK8, IncludedCat, "yes", Included!BD:BD,"=TRUE")</f>
        <v>0</v>
      </c>
      <c r="G8" s="57">
        <f ca="1">SUMIFS(Included!AG:AG, Included!B:B, "&lt;="&amp;AL8, Included!B:B, "&gt;="&amp;AK8, IncludedCat, "yes", Included!BD:BD,"=TRUE")</f>
        <v>244</v>
      </c>
      <c r="H8" s="57" t="str">
        <f t="shared" ca="1" si="0"/>
        <v>27.8%</v>
      </c>
      <c r="I8" s="57">
        <f ca="1">SUMIFS(Included!AZ:AZ, Included!B:B, "&lt;="&amp;AL8, Included!B:B, "&gt;="&amp;AK8, IncludedCat, "yes", Included!BD:BD,"=TRUE")</f>
        <v>417</v>
      </c>
      <c r="J8" s="57" t="str">
        <f t="shared" ca="1" si="1"/>
        <v>47.4%</v>
      </c>
      <c r="K8" s="57">
        <f ca="1">SUMIFS(Included!BA:BA, Included!B:B, "&lt;="&amp;AL8, Included!B:B, "&gt;="&amp;AK8, IncludedCat, "yes", Included!BD:BD,"=TRUE")</f>
        <v>707</v>
      </c>
      <c r="L8" s="57" t="str">
        <f t="shared" ca="1" si="2"/>
        <v>80.4%</v>
      </c>
      <c r="M8" s="57">
        <f ca="1">SUMIFS(Included!AL:AL, Included!B:B, "&lt;="&amp;AL8, Included!B:B, "&gt;="&amp;AK8, IncludedCat, "yes", Included!BD:BD,"=TRUE")</f>
        <v>0</v>
      </c>
      <c r="N8" s="153">
        <f t="shared" ca="1" si="3"/>
        <v>0</v>
      </c>
      <c r="O8" s="57">
        <f ca="1">SUMIFS(Included!AJ:AJ, Included!B:B, "&lt;="&amp;AL8, Included!B:B, "&gt;="&amp;AK8, IncludedCat, "yes", Included!BD:BD,"=TRUE")</f>
        <v>43</v>
      </c>
      <c r="P8" s="142" t="str">
        <f t="shared" ca="1" si="4"/>
        <v>4.9%</v>
      </c>
      <c r="Q8" s="57">
        <f ca="1">SUMIFS(Included!BB:BB, Included!B:B, "&lt;="&amp;AL8, Included!B:B, "&gt;="&amp;AK8, Included!BD:BD,"=TRUE")</f>
        <v>51</v>
      </c>
      <c r="R8" s="57" t="str">
        <f t="shared" ca="1" si="5"/>
        <v>5.8%</v>
      </c>
      <c r="S8" s="57">
        <f ca="1">SUMIFS(Included!BC:BC, Included!B:B, "&lt;="&amp;AL8, Included!B:B, "&gt;="&amp;AK8, IncludedCat, "yes", Included!BD:BD,"=TRUE")</f>
        <v>178</v>
      </c>
      <c r="T8" s="57" t="str">
        <f t="shared" ca="1" si="6"/>
        <v>20.3%</v>
      </c>
      <c r="U8" s="57">
        <f ca="1">SUMIFS(Included!AI:AI, Included!B:B, "&lt;="&amp;AL8, Included!B:B, "&gt;="&amp;AK8, IncludedCat, "yes", Included!BD:BD,"=TRUE")</f>
        <v>2</v>
      </c>
      <c r="V8" s="117" t="str">
        <f t="shared" ca="1" si="7"/>
        <v>0.2%</v>
      </c>
      <c r="W8" s="98">
        <f ca="1">COUNTIFS(Included!AE:AE, "*None given*", Included!B:B,"&lt;="&amp;AL8, Included!B:B,"&gt;="&amp;AK8, IncludedCat, "yes", Included!BD:BD,"=TRUE")</f>
        <v>5</v>
      </c>
      <c r="X8" s="57" t="str">
        <f t="shared" ca="1" si="8"/>
        <v>25.0%</v>
      </c>
      <c r="Y8" s="98">
        <f>COUNTIFS(Included!AK:AK, "*No SAEs mentioned in text*", Included!B:B,"&lt;="&amp;AL8, Included!B:B,"&gt;="&amp;AK8, IncludedCat, "yes", Included!BD:BD,"=TRUE")</f>
        <v>0</v>
      </c>
      <c r="Z8" s="98" t="str">
        <f t="shared" ca="1" si="9"/>
        <v>0.0%</v>
      </c>
      <c r="AA8" s="98">
        <f ca="1">COUNTIFS(Included!AI:AI, "=*nd*", Included!B:B,"&lt;="&amp;AL8,Included!B:B,"&gt;="&amp;AK8, IncludedCat, "yes", Included!BD:BD,"=TRUE")</f>
        <v>1</v>
      </c>
      <c r="AB8" s="98" t="str">
        <f t="shared" ca="1" si="10"/>
        <v>5.0%</v>
      </c>
      <c r="AC8" s="98">
        <f>COUNTIFS(Included!AI:AI, "=*unclear*", Included!B:B, "&lt;="&amp;AL8, Included!B:B, "&gt;="&amp;AK8, IncludedCat, "yes", Included!BD:BD,"=TRUE")</f>
        <v>0</v>
      </c>
      <c r="AD8" s="98">
        <f ca="1">COUNTIFS(Included!AG:AG, "=*nd*", Included!B:B, "&lt;="&amp;AL8, Included!B:B, "&gt;="&amp;AK8, IncludedCat, "yes", Included!BD:BD,"=TRUE")</f>
        <v>0</v>
      </c>
      <c r="AE8" s="98" t="str">
        <f t="shared" ca="1" si="11"/>
        <v>0.0%</v>
      </c>
      <c r="AF8" s="98">
        <f ca="1">COUNTIFS(Included!AG:AG, "=*unclear*", Included!B:B, "&lt;="&amp;AL8, Included!B:B, "&gt;="&amp;AK8, IncludedCat, "yes", Included!BD:BD,"=TRUE")</f>
        <v>9</v>
      </c>
      <c r="AG8" s="98">
        <f ca="1">COUNTIFS(Included!I:I, "&lt;&gt;", Included!B:B, "&lt;="&amp;AL8, Included!B:B, "&gt;="&amp;AK8, IncludedCat, "yes", Included!BD:BD,"=TRUE")</f>
        <v>20</v>
      </c>
      <c r="AH8" s="98">
        <f>COUNTIFS(Included!I:I, "", Included!B:B, "&lt;="&amp;AL8, Included!B:B, "&gt;="&amp;AK8, IncludedCat, "yes", Included!BD:BD,"=TRUE")</f>
        <v>0</v>
      </c>
      <c r="AI8" s="101">
        <f ca="1">SUMIFS(Included!AX:AX, Included!B:B, "&lt;="&amp;AL8, Included!B:B, "&gt;="&amp;AK8, IncludedCat, "yes", Included!BD:BD,"=TRUE")</f>
        <v>584</v>
      </c>
      <c r="AJ8" s="150">
        <f ca="1">SUMIFS(Included!AY:AY, Included!B:B, "&lt;="&amp;AL8, Included!B:B, "&gt;="&amp;AK8, IncludedCat, "yes", Included!BD:BD,"=TRUE")</f>
        <v>606</v>
      </c>
      <c r="AK8" s="45">
        <f t="shared" si="12"/>
        <v>2020</v>
      </c>
      <c r="AL8" s="45">
        <f t="shared" si="13"/>
        <v>2029</v>
      </c>
    </row>
    <row r="9" spans="1:38">
      <c r="A9" s="62"/>
      <c r="B9" s="63"/>
      <c r="C9" s="63"/>
      <c r="D9" s="63"/>
      <c r="E9" s="63"/>
      <c r="F9" s="63"/>
      <c r="G9" s="63"/>
      <c r="H9" s="63"/>
      <c r="I9" s="63"/>
      <c r="J9" s="63"/>
      <c r="K9" s="63"/>
      <c r="L9" s="63"/>
      <c r="M9" s="63"/>
      <c r="N9" s="151"/>
      <c r="O9" s="63"/>
      <c r="P9" s="63"/>
      <c r="Q9" s="63"/>
      <c r="R9" s="63"/>
      <c r="S9" s="63"/>
      <c r="T9" s="63"/>
      <c r="U9" s="63"/>
      <c r="V9" s="63"/>
      <c r="W9" s="63"/>
      <c r="X9" s="63"/>
      <c r="Y9" s="63"/>
      <c r="Z9" s="63"/>
      <c r="AA9" s="63"/>
      <c r="AB9" s="63"/>
      <c r="AC9" s="63"/>
      <c r="AD9" s="63"/>
      <c r="AE9" s="63"/>
      <c r="AF9" s="63"/>
      <c r="AG9" s="145"/>
      <c r="AH9" s="145"/>
      <c r="AI9" s="63"/>
      <c r="AJ9" s="64"/>
    </row>
    <row r="10" spans="1:38">
      <c r="A10" s="114" t="s">
        <v>165</v>
      </c>
      <c r="B10" s="115">
        <f t="shared" ref="B10:G10" ca="1" si="14">SUM(B4:B9)</f>
        <v>190</v>
      </c>
      <c r="C10" s="115">
        <f t="shared" ca="1" si="14"/>
        <v>10325</v>
      </c>
      <c r="D10" s="115">
        <f t="shared" ca="1" si="14"/>
        <v>104</v>
      </c>
      <c r="E10" s="115">
        <f t="shared" ca="1" si="14"/>
        <v>7127</v>
      </c>
      <c r="F10" s="115">
        <f t="shared" ca="1" si="14"/>
        <v>0</v>
      </c>
      <c r="G10" s="115">
        <f t="shared" ca="1" si="14"/>
        <v>3321</v>
      </c>
      <c r="H10" s="115" t="str">
        <f ca="1">TEXT(G10/C10,"0.0%")</f>
        <v>32.2%</v>
      </c>
      <c r="I10" s="115">
        <f ca="1">SUM(I4:I9)</f>
        <v>4317</v>
      </c>
      <c r="J10" s="115" t="str">
        <f ca="1">TEXT(I10/C10,"0.0%")</f>
        <v>41.8%</v>
      </c>
      <c r="K10" s="115">
        <f ca="1">SUM(K4:K9)</f>
        <v>5730</v>
      </c>
      <c r="L10" s="115" t="str">
        <f ca="1">TEXT(K10/C10,"0.0%")</f>
        <v>55.5%</v>
      </c>
      <c r="M10" s="115">
        <f ca="1">SUM(M4:M9)</f>
        <v>6</v>
      </c>
      <c r="N10" s="154" t="str">
        <f ca="1">IFERROR(TEXT(M10/D10,"0.0%"),0)</f>
        <v>5.8%</v>
      </c>
      <c r="O10" s="115">
        <f ca="1">SUM(O4:O9)</f>
        <v>240</v>
      </c>
      <c r="P10" s="115" t="str">
        <f ca="1">TEXT(O10/C10,"0.0%")</f>
        <v>2.3%</v>
      </c>
      <c r="Q10" s="115">
        <f ca="1">SUM(Q4:Q9)</f>
        <v>368</v>
      </c>
      <c r="R10" s="115" t="str">
        <f ca="1">TEXT(Q10/C10,"0.0%")</f>
        <v>3.6%</v>
      </c>
      <c r="S10" s="115">
        <f ca="1">SUM(S4:S9)</f>
        <v>798</v>
      </c>
      <c r="T10" s="115" t="str">
        <f ca="1">TEXT(S10/C10,"0.0%")</f>
        <v>7.7%</v>
      </c>
      <c r="U10" s="115">
        <f ca="1">SUM(U4:U9)</f>
        <v>20</v>
      </c>
      <c r="V10" s="115" t="str">
        <f ca="1">TEXT(U10/C10,"0.0%")</f>
        <v>0.2%</v>
      </c>
      <c r="W10" s="115">
        <f ca="1">SUM(W4:W9)</f>
        <v>92</v>
      </c>
      <c r="X10" s="115" t="str">
        <f ca="1">TEXT(W10/B10,"0.0%")</f>
        <v>48.4%</v>
      </c>
      <c r="Y10" s="115">
        <f ca="1">SUM(Y4:Y9)</f>
        <v>75</v>
      </c>
      <c r="Z10" s="115" t="str">
        <f ca="1">TEXT(Y10/B10,"0.0%")</f>
        <v>39.5%</v>
      </c>
      <c r="AA10" s="115">
        <f ca="1">SUM(AA4:AA9)</f>
        <v>23</v>
      </c>
      <c r="AB10" s="115" t="str">
        <f ca="1">TEXT(AA10/B10,"0.0%")</f>
        <v>12.1%</v>
      </c>
      <c r="AC10" s="115">
        <f t="shared" ref="AC10:AD10" ca="1" si="15">SUM(AC4:AC9)</f>
        <v>0</v>
      </c>
      <c r="AD10" s="115">
        <f t="shared" ca="1" si="15"/>
        <v>0</v>
      </c>
      <c r="AE10" s="115" t="str">
        <f ca="1">TEXT(AD10/B10,"0.0%")</f>
        <v>0.0%</v>
      </c>
      <c r="AF10" s="115">
        <f t="shared" ref="AF10:AJ10" ca="1" si="16">SUM(AF4:AF9)</f>
        <v>58</v>
      </c>
      <c r="AG10" s="115">
        <f t="shared" ca="1" si="16"/>
        <v>86</v>
      </c>
      <c r="AH10" s="146">
        <f t="shared" ca="1" si="16"/>
        <v>104</v>
      </c>
      <c r="AI10" s="115">
        <f t="shared" ca="1" si="16"/>
        <v>7242</v>
      </c>
      <c r="AJ10" s="116">
        <f t="shared" ca="1" si="16"/>
        <v>7495</v>
      </c>
    </row>
    <row r="11" spans="1:38">
      <c r="A11" s="57"/>
      <c r="B11" s="57"/>
      <c r="C11" s="57"/>
      <c r="D11" s="57"/>
      <c r="E11" s="57"/>
      <c r="F11" s="57"/>
      <c r="G11" s="57"/>
      <c r="H11" s="57"/>
      <c r="I11" s="57"/>
      <c r="J11" s="57"/>
      <c r="K11" s="57"/>
      <c r="L11" s="57"/>
      <c r="M11" s="57"/>
      <c r="N11" s="57"/>
      <c r="O11" s="57"/>
      <c r="P11" s="57"/>
      <c r="Q11" s="57"/>
      <c r="R11" s="57"/>
      <c r="S11" s="57"/>
      <c r="T11" s="57"/>
      <c r="U11" s="57"/>
      <c r="V11" s="57"/>
      <c r="W11" s="57"/>
      <c r="X11" s="57"/>
      <c r="Y11" s="57"/>
      <c r="Z11" s="57"/>
      <c r="AA11" s="57"/>
      <c r="AB11" s="57"/>
      <c r="AC11" s="57"/>
      <c r="AD11" s="57"/>
      <c r="AE11" s="57"/>
      <c r="AF11" s="57"/>
      <c r="AG11" s="63"/>
      <c r="AH11" s="63"/>
      <c r="AI11" s="63"/>
      <c r="AJ11" s="63"/>
    </row>
    <row r="12" spans="1:38">
      <c r="A12" s="117"/>
      <c r="B12" s="57"/>
      <c r="C12" s="57"/>
      <c r="D12" s="57"/>
      <c r="E12" s="57"/>
      <c r="F12" s="57"/>
      <c r="G12" s="57"/>
      <c r="H12" s="57"/>
      <c r="I12" s="57"/>
      <c r="J12" s="57"/>
      <c r="K12" s="57"/>
      <c r="L12" s="57"/>
      <c r="M12" s="57"/>
      <c r="N12" s="57"/>
      <c r="O12" s="57"/>
      <c r="P12" s="57"/>
      <c r="Q12" s="57"/>
      <c r="R12" s="57"/>
      <c r="S12" s="57"/>
      <c r="T12" s="57"/>
      <c r="U12" s="57"/>
      <c r="V12" s="57"/>
      <c r="W12" s="57"/>
      <c r="X12" s="57"/>
      <c r="Y12" s="57"/>
      <c r="Z12" s="57"/>
      <c r="AA12" s="57"/>
      <c r="AB12" s="57"/>
      <c r="AC12" s="57"/>
      <c r="AD12" s="57"/>
      <c r="AE12" s="57"/>
      <c r="AF12" s="57"/>
      <c r="AG12" s="57"/>
      <c r="AH12" s="57"/>
      <c r="AI12" s="57"/>
      <c r="AJ12" s="57"/>
    </row>
    <row r="13" spans="1:38">
      <c r="A13" s="155"/>
      <c r="B13" s="155"/>
      <c r="C13" s="155"/>
      <c r="D13" s="155"/>
      <c r="E13" s="155"/>
      <c r="F13" s="155"/>
      <c r="G13" s="428"/>
      <c r="H13" s="425"/>
      <c r="I13" s="155"/>
      <c r="J13" s="155"/>
      <c r="K13" s="155"/>
      <c r="L13" s="155"/>
      <c r="M13" s="428"/>
      <c r="N13" s="425"/>
      <c r="O13" s="428"/>
      <c r="P13" s="425"/>
      <c r="Q13" s="155"/>
      <c r="R13" s="155"/>
      <c r="S13" s="155"/>
      <c r="T13" s="155"/>
      <c r="U13" s="428"/>
      <c r="V13" s="425"/>
      <c r="W13" s="428"/>
      <c r="X13" s="425"/>
      <c r="Y13" s="155"/>
      <c r="Z13" s="155"/>
      <c r="AA13" s="155"/>
      <c r="AB13" s="155"/>
      <c r="AC13" s="155"/>
      <c r="AD13" s="155"/>
      <c r="AE13" s="155"/>
      <c r="AF13" s="155"/>
      <c r="AG13" s="155"/>
      <c r="AH13" s="148"/>
      <c r="AI13" s="148"/>
      <c r="AJ13" s="148"/>
    </row>
    <row r="14" spans="1:38">
      <c r="A14" s="117" t="s">
        <v>236</v>
      </c>
      <c r="B14" s="156"/>
      <c r="AI14" s="57"/>
      <c r="AJ14" s="57"/>
    </row>
    <row r="15" spans="1:38">
      <c r="A15" s="121" t="s">
        <v>237</v>
      </c>
      <c r="AI15" s="63"/>
      <c r="AJ15" s="63"/>
    </row>
    <row r="16" spans="1:38" ht="46.5" customHeight="1">
      <c r="A16" s="157" t="s">
        <v>130</v>
      </c>
      <c r="B16" s="158" t="s">
        <v>202</v>
      </c>
      <c r="C16" s="158" t="s">
        <v>203</v>
      </c>
      <c r="D16" s="158" t="s">
        <v>204</v>
      </c>
      <c r="E16" s="158" t="s">
        <v>205</v>
      </c>
      <c r="F16" s="158" t="s">
        <v>208</v>
      </c>
      <c r="G16" s="426" t="s">
        <v>209</v>
      </c>
      <c r="H16" s="427"/>
      <c r="I16" s="418" t="s">
        <v>210</v>
      </c>
      <c r="J16" s="427"/>
      <c r="K16" s="418" t="s">
        <v>211</v>
      </c>
      <c r="L16" s="427"/>
      <c r="M16" s="426" t="s">
        <v>212</v>
      </c>
      <c r="N16" s="427"/>
      <c r="O16" s="426" t="s">
        <v>213</v>
      </c>
      <c r="P16" s="427"/>
      <c r="Q16" s="418" t="s">
        <v>214</v>
      </c>
      <c r="R16" s="427"/>
      <c r="S16" s="418" t="s">
        <v>215</v>
      </c>
      <c r="T16" s="427"/>
      <c r="U16" s="426" t="s">
        <v>216</v>
      </c>
      <c r="V16" s="427"/>
      <c r="W16" s="426" t="s">
        <v>217</v>
      </c>
      <c r="X16" s="427"/>
      <c r="Y16" s="426" t="s">
        <v>218</v>
      </c>
      <c r="Z16" s="427"/>
      <c r="AA16" s="426" t="s">
        <v>219</v>
      </c>
      <c r="AB16" s="427"/>
      <c r="AC16" s="158" t="s">
        <v>220</v>
      </c>
      <c r="AD16" s="426" t="s">
        <v>221</v>
      </c>
      <c r="AE16" s="427"/>
      <c r="AF16" s="158" t="s">
        <v>222</v>
      </c>
      <c r="AG16" s="158" t="s">
        <v>223</v>
      </c>
      <c r="AH16" s="159" t="s">
        <v>224</v>
      </c>
      <c r="AI16" s="160"/>
      <c r="AJ16" s="160"/>
      <c r="AK16" s="28" t="s">
        <v>104</v>
      </c>
      <c r="AL16" s="28" t="s">
        <v>111</v>
      </c>
    </row>
    <row r="17" spans="1:38">
      <c r="A17" s="109" t="s">
        <v>147</v>
      </c>
      <c r="B17" s="63">
        <f ca="1">COUNTIFS(Included!B:B,"&lt;="&amp;AL17, Included!B:B,"&gt;="&amp;AK17, IncludedCat, "yes", Included!BE:BE,"=TRUE")</f>
        <v>25</v>
      </c>
      <c r="C17" s="63">
        <f ca="1">SUMIFS(Included!X:X, Included!B:B, "&lt;="&amp;AL17, Included!B:B, "&gt;="&amp;AK17, IncludedCat, "yes", Included!BE:BE,"=TRUE")</f>
        <v>1469</v>
      </c>
      <c r="D17" s="63">
        <f ca="1">SUMIFS(Included!AB:AB, Included!B:B, "&lt;="&amp;AL17, Included!B:B, "&gt;="&amp;AK17, IncludedCat, "yes", Included!BE:BE,"=TRUE")</f>
        <v>8</v>
      </c>
      <c r="E17" s="63">
        <f ca="1">SUMIFS(Included!Z:Z, Included!B:B, "&lt;="&amp;AL17, Included!B:B, "&gt;="&amp;AK17, IncludedCat, "yes", Included!BE:BE,"=TRUE")</f>
        <v>942</v>
      </c>
      <c r="F17" s="63">
        <f ca="1">SUMIFS(Included!AD:AD, Included!B:B, "&lt;="&amp;AL17, Included!B:B, "&gt;="&amp;AK17, IncludedCat, "yes", Included!BE:BE,"=TRUE")</f>
        <v>0</v>
      </c>
      <c r="G17" s="63">
        <f ca="1">SUMIFS(Included!AG:AG, Included!B:B, "&lt;="&amp;AL17, Included!B:B, "&gt;="&amp;AK17, IncludedCat, "yes", Included!BE:BE,"=TRUE")</f>
        <v>330</v>
      </c>
      <c r="H17" s="63" t="str">
        <f t="shared" ref="H17:H21" ca="1" si="17">TEXT(G17/C17,"0.0%")</f>
        <v>22.5%</v>
      </c>
      <c r="I17" s="63">
        <f ca="1">SUMIFS(Included!AZ:AZ, Included!B:B, "&lt;="&amp;AL17, Included!B:B, "&gt;="&amp;AK17, IncludedCat, "yes", Included!BE:BE,"=TRUE")</f>
        <v>383</v>
      </c>
      <c r="J17" s="63" t="str">
        <f t="shared" ref="J17:J21" ca="1" si="18">TEXT(I17/C17,"0.0%")</f>
        <v>26.1%</v>
      </c>
      <c r="K17" s="63">
        <f ca="1">SUMIFS(Included!BA:BA, Included!B:B, "&lt;="&amp;AL17, Included!B:B, "&gt;="&amp;AK17, IncludedCat, "yes", Included!BE:BE,"=TRUE")</f>
        <v>422</v>
      </c>
      <c r="L17" s="63" t="str">
        <f t="shared" ref="L17:L21" ca="1" si="19">TEXT(K17/C17,"0.0%")</f>
        <v>28.7%</v>
      </c>
      <c r="M17" s="63">
        <f ca="1">SUMIFS(Included!AL:AL, Included!B:B, "&lt;="&amp;AL17, Included!B:B, "&gt;="&amp;AK17, IncludedCat, "yes", Included!BE:BE,"=TRUE")</f>
        <v>0</v>
      </c>
      <c r="N17" s="63" t="str">
        <f t="shared" ref="N17:N21" ca="1" si="20">TEXT(M17/D17,"0.0%")</f>
        <v>0.0%</v>
      </c>
      <c r="O17" s="63">
        <f ca="1">SUMIFS(Included!AJ:AJ, Included!B:B, "&lt;="&amp;AL17, Included!B:B, "&gt;="&amp;AK17, IncludedCat, "yes", Included!BE:BE,"=TRUE")</f>
        <v>9</v>
      </c>
      <c r="P17" s="144" t="str">
        <f t="shared" ref="P17:P21" ca="1" si="21">TEXT(O17/C17,"0.0%")</f>
        <v>0.6%</v>
      </c>
      <c r="Q17" s="63">
        <f ca="1">SUMIFS(Included!BB:BB, Included!B:B, "&lt;="&amp;AL17, Included!B:B, "&gt;="&amp;AK17, Included!BE:BE,"=TRUE")</f>
        <v>9</v>
      </c>
      <c r="R17" s="63" t="str">
        <f t="shared" ref="R17:R21" ca="1" si="22">TEXT(Q17/C17,"0.0%")</f>
        <v>0.6%</v>
      </c>
      <c r="S17" s="63">
        <f ca="1">SUMIFS(Included!BC:BC, Included!B:B, "&lt;="&amp;AL17, Included!B:B, "&gt;="&amp;AK17, IncludedCat, "yes", Included!BE:BE,"=TRUE")</f>
        <v>25</v>
      </c>
      <c r="T17" s="63" t="str">
        <f t="shared" ref="T17:T21" ca="1" si="23">TEXT(S17/C17,"0.0%")</f>
        <v>1.7%</v>
      </c>
      <c r="U17" s="63">
        <f ca="1">SUMIFS(Included!AI:AI, Included!B:B, "&lt;="&amp;AL17, Included!B:B, "&gt;="&amp;AK17, IncludedCat, "yes", Included!BE:BE,"=TRUE")</f>
        <v>6</v>
      </c>
      <c r="V17" s="121" t="str">
        <f t="shared" ref="V17:V21" ca="1" si="24">TEXT(U17/C17,"0.0%")</f>
        <v>0.4%</v>
      </c>
      <c r="W17" s="110">
        <f ca="1">COUNTIFS(Included!AE:AE, "*None given*", Included!B:B,"&lt;="&amp;AL17, Included!B:B,"&gt;="&amp;AK17, IncludedCat, "yes", Included!BE:BE,"=TRUE")</f>
        <v>22</v>
      </c>
      <c r="X17" s="63" t="str">
        <f t="shared" ref="X17:X21" ca="1" si="25">TEXT(W17/B17,"0.0%")</f>
        <v>88.0%</v>
      </c>
      <c r="Y17" s="110">
        <f ca="1">COUNTIFS(Included!AK:AK, "*No SAEs mentioned in text*", Included!B:B,"&lt;="&amp;AL17, Included!B:B,"&gt;="&amp;AK17, IncludedCat, "yes", Included!BE:BE,"=TRUE")</f>
        <v>23</v>
      </c>
      <c r="Z17" s="110" t="str">
        <f t="shared" ref="Z17:Z21" ca="1" si="26">TEXT(Y17/B17,"0.0%")</f>
        <v>92.0%</v>
      </c>
      <c r="AA17" s="110">
        <f ca="1">COUNTIFS(Included!AI:AI, "=*nd*", Included!B:B,"&lt;="&amp;AL17,Included!B:B,"&gt;="&amp;AK17, IncludedCat, "yes", Included!BE:BE,"=TRUE")</f>
        <v>0</v>
      </c>
      <c r="AB17" s="110" t="str">
        <f t="shared" ref="AB17:AB21" ca="1" si="27">TEXT(AA17/B17,"0.0%")</f>
        <v>0.0%</v>
      </c>
      <c r="AC17" s="110">
        <f>COUNTIFS(Included!AI:AI, "=*unclear*", Included!B:B, "&lt;="&amp;AL17, Included!B:B, "&gt;="&amp;AK17, IncludedCat, "yes", Included!BE:BE,"=TRUE")</f>
        <v>0</v>
      </c>
      <c r="AD17" s="110">
        <f ca="1">COUNTIFS(Included!AG:AG, "=*nd*", Included!B:B, "&lt;="&amp;AL17, Included!B:B, "&gt;="&amp;AK17, IncludedCat, "yes", Included!BE:BE,"=TRUE")</f>
        <v>3</v>
      </c>
      <c r="AE17" s="110" t="str">
        <f t="shared" ref="AE17:AE21" ca="1" si="28">TEXT(AD17/B17,"0.0%")</f>
        <v>12.0%</v>
      </c>
      <c r="AF17" s="110">
        <f ca="1">COUNTIFS(Included!AG:AG, "=*unclear*", Included!B:B, "&lt;="&amp;AL17, Included!B:B, "&gt;="&amp;AK17, IncludedCat, "yes", Included!BE:BE,"=TRUE")</f>
        <v>2</v>
      </c>
      <c r="AG17" s="110">
        <f>COUNTIFS(Included!I:I, "&lt;&gt;", Included!B:B, "&lt;="&amp;AL17, Included!B:B, "&gt;="&amp;AK17, IncludedCat, "yes", Included!BE:BE,"=TRUE")</f>
        <v>0</v>
      </c>
      <c r="AH17" s="110">
        <f ca="1">COUNTIFS(Included!I:I, "", Included!B:B, "&lt;="&amp;AL17, Included!B:B, "&gt;="&amp;AK17, IncludedCat, "yes", Included!BE:BE,"=TRUE")</f>
        <v>25</v>
      </c>
      <c r="AI17" s="143"/>
      <c r="AJ17" s="143"/>
      <c r="AK17" s="28">
        <v>1980</v>
      </c>
      <c r="AL17" s="28">
        <v>1989</v>
      </c>
    </row>
    <row r="18" spans="1:38">
      <c r="A18" s="107" t="s">
        <v>150</v>
      </c>
      <c r="B18" s="57">
        <f ca="1">COUNTIFS(Included!B:B,"&lt;="&amp;AL18, Included!B:B,"&gt;="&amp;AK18, IncludedCat, "yes", Included!BE:BE,"=TRUE")</f>
        <v>41</v>
      </c>
      <c r="C18" s="57">
        <f ca="1">SUMIFS(Included!X:X, Included!B:B, "&lt;="&amp;AL18, Included!B:B, "&gt;="&amp;AK18, IncludedCat, "yes", Included!BE:BE,"=TRUE")</f>
        <v>2799</v>
      </c>
      <c r="D18" s="57">
        <f ca="1">SUMIFS(Included!AB:AB, Included!B:B, "&lt;="&amp;AL18, Included!B:B, "&gt;="&amp;AK18, IncludedCat, "yes", Included!BE:BE,"=TRUE")</f>
        <v>47</v>
      </c>
      <c r="E18" s="57">
        <f ca="1">SUMIFS(Included!Z:Z, Included!B:B, "&lt;="&amp;AL18, Included!B:B, "&gt;="&amp;AK18, IncludedCat, "yes", Included!BE:BE,"=TRUE")</f>
        <v>2021</v>
      </c>
      <c r="F18" s="57">
        <f ca="1">SUMIFS(Included!AD:AD, Included!B:B, "&lt;="&amp;AL18, Included!B:B, "&gt;="&amp;AK18, IncludedCat, "yes", Included!BE:BE,"=TRUE")</f>
        <v>0</v>
      </c>
      <c r="G18" s="57">
        <f ca="1">SUMIFS(Included!AG:AG, Included!B:B, "&lt;="&amp;AL18, Included!B:B, "&gt;="&amp;AK18, IncludedCat, "yes", Included!BE:BE,"=TRUE")</f>
        <v>853</v>
      </c>
      <c r="H18" s="57" t="str">
        <f t="shared" ca="1" si="17"/>
        <v>30.5%</v>
      </c>
      <c r="I18" s="63">
        <f ca="1">SUMIFS(Included!AZ:AZ, Included!B:B, "&lt;="&amp;AL18, Included!B:B, "&gt;="&amp;AK18, IncludedCat, "yes", Included!BE:BE,"=TRUE")</f>
        <v>1120</v>
      </c>
      <c r="J18" s="63" t="str">
        <f t="shared" ca="1" si="18"/>
        <v>40.0%</v>
      </c>
      <c r="K18" s="63">
        <f ca="1">SUMIFS(Included!BA:BA, Included!B:B, "&lt;="&amp;AL18, Included!B:B, "&gt;="&amp;AK18, IncludedCat, "yes", Included!BE:BE,"=TRUE")</f>
        <v>1295</v>
      </c>
      <c r="L18" s="63" t="str">
        <f t="shared" ca="1" si="19"/>
        <v>46.3%</v>
      </c>
      <c r="M18" s="57">
        <f ca="1">SUMIFS(Included!AL:AL, Included!B:B, "&lt;="&amp;AL18, Included!B:B, "&gt;="&amp;AK18, IncludedCat, "yes", Included!BE:BE,"=TRUE")</f>
        <v>0</v>
      </c>
      <c r="N18" s="57" t="str">
        <f t="shared" ca="1" si="20"/>
        <v>0.0%</v>
      </c>
      <c r="O18" s="57">
        <f ca="1">SUMIFS(Included!AJ:AJ, Included!B:B, "&lt;="&amp;AL18, Included!B:B, "&gt;="&amp;AK18, IncludedCat, "yes", Included!BE:BE,"=TRUE")</f>
        <v>20</v>
      </c>
      <c r="P18" s="142" t="str">
        <f t="shared" ca="1" si="21"/>
        <v>0.7%</v>
      </c>
      <c r="Q18" s="63">
        <f ca="1">SUMIFS(Included!BB:BB, Included!B:B, "&lt;="&amp;AL18, Included!B:B, "&gt;="&amp;AK18, Included!BE:BE,"=TRUE")</f>
        <v>28</v>
      </c>
      <c r="R18" s="63" t="str">
        <f t="shared" ca="1" si="22"/>
        <v>1.0%</v>
      </c>
      <c r="S18" s="63">
        <f ca="1">SUMIFS(Included!BC:BC, Included!B:B, "&lt;="&amp;AL18, Included!B:B, "&gt;="&amp;AK18, IncludedCat, "yes", Included!BE:BE,"=TRUE")</f>
        <v>20</v>
      </c>
      <c r="T18" s="63" t="str">
        <f t="shared" ca="1" si="23"/>
        <v>0.7%</v>
      </c>
      <c r="U18" s="57">
        <f ca="1">SUMIFS(Included!AI:AI, Included!B:B, "&lt;="&amp;AL18, Included!B:B, "&gt;="&amp;AK18, IncludedCat, "yes", Included!BE:BE,"=TRUE")</f>
        <v>1</v>
      </c>
      <c r="V18" s="117" t="str">
        <f t="shared" ca="1" si="24"/>
        <v>0.0%</v>
      </c>
      <c r="W18" s="98">
        <f ca="1">COUNTIFS(Included!AE:AE, "*None given*", Included!B:B,"&lt;="&amp;AL18, Included!B:B,"&gt;="&amp;AK18, IncludedCat, "yes", Included!BE:BE,"=TRUE")</f>
        <v>31</v>
      </c>
      <c r="X18" s="57" t="str">
        <f t="shared" ca="1" si="25"/>
        <v>75.6%</v>
      </c>
      <c r="Y18" s="98">
        <f ca="1">COUNTIFS(Included!AK:AK, "*No SAEs mentioned in text*", Included!B:B,"&lt;="&amp;AL18, Included!B:B,"&gt;="&amp;AK18, IncludedCat, "yes", Included!BE:BE,"=TRUE")</f>
        <v>40</v>
      </c>
      <c r="Z18" s="98" t="str">
        <f t="shared" ca="1" si="26"/>
        <v>97.6%</v>
      </c>
      <c r="AA18" s="98">
        <f ca="1">COUNTIFS(Included!AI:AI, "=*nd*", Included!B:B,"&lt;="&amp;AL18,Included!B:B,"&gt;="&amp;AK18, IncludedCat, "yes", Included!BE:BE,"=TRUE")</f>
        <v>0</v>
      </c>
      <c r="AB18" s="98" t="str">
        <f t="shared" ca="1" si="27"/>
        <v>0.0%</v>
      </c>
      <c r="AC18" s="98">
        <f>COUNTIFS(Included!AI:AI, "=*unclear*", Included!B:B, "&lt;="&amp;AL18, Included!B:B, "&gt;="&amp;AK18, IncludedCat, "yes", Included!BE:BE,"=TRUE")</f>
        <v>0</v>
      </c>
      <c r="AD18" s="98">
        <f ca="1">COUNTIFS(Included!AG:AG, "=*nd*", Included!B:B, "&lt;="&amp;AL18, Included!B:B, "&gt;="&amp;AK18, IncludedCat, "yes", Included!BE:BE,"=TRUE")</f>
        <v>3</v>
      </c>
      <c r="AE18" s="98" t="str">
        <f t="shared" ca="1" si="28"/>
        <v>7.3%</v>
      </c>
      <c r="AF18" s="98">
        <f ca="1">COUNTIFS(Included!AG:AG, "=*unclear*", Included!B:B, "&lt;="&amp;AL18, Included!B:B, "&gt;="&amp;AK18, IncludedCat, "yes", Included!BE:BE,"=TRUE")</f>
        <v>7</v>
      </c>
      <c r="AG18" s="98">
        <f>COUNTIFS(Included!I:I, "&lt;&gt;", Included!B:B, "&lt;="&amp;AL18, Included!B:B, "&gt;="&amp;AK18, IncludedCat, "yes", Included!BE:BE,"=TRUE")</f>
        <v>0</v>
      </c>
      <c r="AH18" s="98">
        <f ca="1">COUNTIFS(Included!I:I, "", Included!B:B, "&lt;="&amp;AL18, Included!B:B, "&gt;="&amp;AK18, IncludedCat, "yes", Included!BE:BE,"=TRUE")</f>
        <v>41</v>
      </c>
      <c r="AI18" s="98"/>
      <c r="AJ18" s="98"/>
      <c r="AK18" s="45">
        <f t="shared" ref="AK18:AK21" si="29">AL17+1</f>
        <v>1990</v>
      </c>
      <c r="AL18" s="45">
        <f t="shared" ref="AL18:AL21" si="30">AK18+9</f>
        <v>1999</v>
      </c>
    </row>
    <row r="19" spans="1:38">
      <c r="A19" s="109" t="s">
        <v>153</v>
      </c>
      <c r="B19" s="63">
        <f ca="1">COUNTIFS(Included!B:B,"&lt;="&amp;AL19, Included!B:B,"&gt;="&amp;AK19, IncludedCat, "yes", Included!BE:BE,"=TRUE")</f>
        <v>26</v>
      </c>
      <c r="C19" s="63">
        <f ca="1">SUMIFS(Included!X:X, Included!B:B, "&lt;="&amp;AL19, Included!B:B, "&gt;="&amp;AK19, IncludedCat, "yes", Included!BE:BE,"=TRUE")</f>
        <v>1623</v>
      </c>
      <c r="D19" s="63">
        <f ca="1">SUMIFS(Included!AB:AB, Included!B:B, "&lt;="&amp;AL19, Included!B:B, "&gt;="&amp;AK19, IncludedCat, "yes", Included!BE:BE,"=TRUE")</f>
        <v>13</v>
      </c>
      <c r="E19" s="63">
        <f ca="1">SUMIFS(Included!Z:Z, Included!B:B, "&lt;="&amp;AL19, Included!B:B, "&gt;="&amp;AK19, IncludedCat, "yes", Included!BE:BE,"=TRUE")</f>
        <v>1238</v>
      </c>
      <c r="F19" s="63">
        <f ca="1">SUMIFS(Included!AD:AD, Included!B:B, "&lt;="&amp;AL19, Included!B:B, "&gt;="&amp;AK19, IncludedCat, "yes", Included!BE:BE,"=TRUE")</f>
        <v>0</v>
      </c>
      <c r="G19" s="63">
        <f ca="1">SUMIFS(Included!AG:AG, Included!B:B, "&lt;="&amp;AL19, Included!B:B, "&gt;="&amp;AK19, IncludedCat, "yes", Included!BE:BE,"=TRUE")</f>
        <v>420</v>
      </c>
      <c r="H19" s="63" t="str">
        <f t="shared" ca="1" si="17"/>
        <v>25.9%</v>
      </c>
      <c r="I19" s="63">
        <f ca="1">SUMIFS(Included!AZ:AZ, Included!B:B, "&lt;="&amp;AL19, Included!B:B, "&gt;="&amp;AK19, IncludedCat, "yes", Included!BE:BE,"=TRUE")</f>
        <v>446</v>
      </c>
      <c r="J19" s="63" t="str">
        <f t="shared" ca="1" si="18"/>
        <v>27.5%</v>
      </c>
      <c r="K19" s="63">
        <f ca="1">SUMIFS(Included!BA:BA, Included!B:B, "&lt;="&amp;AL19, Included!B:B, "&gt;="&amp;AK19, IncludedCat, "yes", Included!BE:BE,"=TRUE")</f>
        <v>682</v>
      </c>
      <c r="L19" s="63" t="str">
        <f t="shared" ca="1" si="19"/>
        <v>42.0%</v>
      </c>
      <c r="M19" s="63">
        <f ca="1">SUMIFS(Included!AL:AL, Included!B:B, "&lt;="&amp;AL19, Included!B:B, "&gt;="&amp;AK19, IncludedCat, "yes", Included!BE:BE,"=TRUE")</f>
        <v>0</v>
      </c>
      <c r="N19" s="63" t="str">
        <f t="shared" ca="1" si="20"/>
        <v>0.0%</v>
      </c>
      <c r="O19" s="63">
        <f ca="1">SUMIFS(Included!AJ:AJ, Included!B:B, "&lt;="&amp;AL19, Included!B:B, "&gt;="&amp;AK19, IncludedCat, "yes", Included!BE:BE,"=TRUE")</f>
        <v>25</v>
      </c>
      <c r="P19" s="144" t="str">
        <f t="shared" ca="1" si="21"/>
        <v>1.5%</v>
      </c>
      <c r="Q19" s="63">
        <f ca="1">SUMIFS(Included!BB:BB, Included!B:B, "&lt;="&amp;AL19, Included!B:B, "&gt;="&amp;AK19, Included!BE:BE,"=TRUE")</f>
        <v>33</v>
      </c>
      <c r="R19" s="63" t="str">
        <f t="shared" ca="1" si="22"/>
        <v>2.0%</v>
      </c>
      <c r="S19" s="63">
        <f ca="1">SUMIFS(Included!BC:BC, Included!B:B, "&lt;="&amp;AL19, Included!B:B, "&gt;="&amp;AK19, IncludedCat, "yes", Included!BE:BE,"=TRUE")</f>
        <v>71</v>
      </c>
      <c r="T19" s="63" t="str">
        <f t="shared" ca="1" si="23"/>
        <v>4.4%</v>
      </c>
      <c r="U19" s="63">
        <f ca="1">SUMIFS(Included!AI:AI, Included!B:B, "&lt;="&amp;AL19, Included!B:B, "&gt;="&amp;AK19, IncludedCat, "yes", Included!BE:BE,"=TRUE")</f>
        <v>1</v>
      </c>
      <c r="V19" s="121" t="str">
        <f t="shared" ca="1" si="24"/>
        <v>0.1%</v>
      </c>
      <c r="W19" s="110">
        <f ca="1">COUNTIFS(Included!AE:AE, "*None given*", Included!B:B,"&lt;="&amp;AL19, Included!B:B,"&gt;="&amp;AK19, IncludedCat, "yes", Included!BE:BE,"=TRUE")</f>
        <v>17</v>
      </c>
      <c r="X19" s="63" t="str">
        <f t="shared" ca="1" si="25"/>
        <v>65.4%</v>
      </c>
      <c r="Y19" s="110">
        <f ca="1">COUNTIFS(Included!AK:AK, "*No SAEs mentioned in text*", Included!B:B,"&lt;="&amp;AL19, Included!B:B,"&gt;="&amp;AK19, IncludedCat, "yes", Included!BE:BE,"=TRUE")</f>
        <v>10</v>
      </c>
      <c r="Z19" s="110" t="str">
        <f t="shared" ca="1" si="26"/>
        <v>38.5%</v>
      </c>
      <c r="AA19" s="110">
        <f ca="1">COUNTIFS(Included!AI:AI, "=*nd*", Included!B:B,"&lt;="&amp;AL19,Included!B:B,"&gt;="&amp;AK19, IncludedCat, "yes", Included!BE:BE,"=TRUE")</f>
        <v>0</v>
      </c>
      <c r="AB19" s="110" t="str">
        <f t="shared" ca="1" si="27"/>
        <v>0.0%</v>
      </c>
      <c r="AC19" s="110">
        <f>COUNTIFS(Included!AI:AI, "=*unclear*", Included!B:B, "&lt;="&amp;AL19, Included!B:B, "&gt;="&amp;AK19, IncludedCat, "yes", Included!BE:BE,"=TRUE")</f>
        <v>0</v>
      </c>
      <c r="AD19" s="110">
        <f ca="1">COUNTIFS(Included!AG:AG, "=*nd*", Included!B:B, "&lt;="&amp;AL19, Included!B:B, "&gt;="&amp;AK19, IncludedCat, "yes", Included!BE:BE,"=TRUE")</f>
        <v>3</v>
      </c>
      <c r="AE19" s="110" t="str">
        <f t="shared" ca="1" si="28"/>
        <v>11.5%</v>
      </c>
      <c r="AF19" s="110">
        <f ca="1">COUNTIFS(Included!AG:AG, "=*unclear*", Included!B:B, "&lt;="&amp;AL19, Included!B:B, "&gt;="&amp;AK19, IncludedCat, "yes", Included!BE:BE,"=TRUE")</f>
        <v>5</v>
      </c>
      <c r="AG19" s="110">
        <f ca="1">COUNTIFS(Included!I:I, "&lt;&gt;", Included!B:B, "&lt;="&amp;AL19, Included!B:B, "&gt;="&amp;AK19, IncludedCat, "yes", Included!BE:BE,"=TRUE")</f>
        <v>2</v>
      </c>
      <c r="AH19" s="110">
        <f ca="1">COUNTIFS(Included!I:I, "", Included!B:B, "&lt;="&amp;AL19, Included!B:B, "&gt;="&amp;AK19, IncludedCat, "yes", Included!BE:BE,"=TRUE")</f>
        <v>24</v>
      </c>
      <c r="AI19" s="110"/>
      <c r="AJ19" s="110"/>
      <c r="AK19" s="45">
        <f t="shared" si="29"/>
        <v>2000</v>
      </c>
      <c r="AL19" s="45">
        <f t="shared" si="30"/>
        <v>2009</v>
      </c>
    </row>
    <row r="20" spans="1:38">
      <c r="A20" s="107" t="s">
        <v>157</v>
      </c>
      <c r="B20" s="57">
        <f ca="1">COUNTIFS(Included!B:B,"&lt;="&amp;AL20, Included!B:B,"&gt;="&amp;AK20, IncludedCat, "yes", Included!BE:BE,"=TRUE")</f>
        <v>74</v>
      </c>
      <c r="C20" s="57">
        <f ca="1">SUMIFS(Included!X:X, Included!B:B, "&lt;="&amp;AL20, Included!B:B, "&gt;="&amp;AK20, IncludedCat, "yes", Included!BE:BE,"=TRUE")</f>
        <v>3194</v>
      </c>
      <c r="D20" s="57">
        <f ca="1">SUMIFS(Included!AB:AB, Included!B:B, "&lt;="&amp;AL20, Included!B:B, "&gt;="&amp;AK20, IncludedCat, "yes", Included!BE:BE,"=TRUE")</f>
        <v>190</v>
      </c>
      <c r="E20" s="57">
        <f ca="1">SUMIFS(Included!Z:Z, Included!B:B, "&lt;="&amp;AL20, Included!B:B, "&gt;="&amp;AK20, IncludedCat, "yes", Included!BE:BE,"=TRUE")</f>
        <v>1931</v>
      </c>
      <c r="F20" s="57">
        <f ca="1">SUMIFS(Included!AD:AD, Included!B:B, "&lt;="&amp;AL20, Included!B:B, "&gt;="&amp;AK20, IncludedCat, "yes", Included!BE:BE,"=TRUE")</f>
        <v>0</v>
      </c>
      <c r="G20" s="57">
        <f ca="1">SUMIFS(Included!AG:AG, Included!B:B, "&lt;="&amp;AL20, Included!B:B, "&gt;="&amp;AK20, IncludedCat, "yes", Included!BE:BE,"=TRUE")</f>
        <v>1018</v>
      </c>
      <c r="H20" s="57" t="str">
        <f t="shared" ca="1" si="17"/>
        <v>31.9%</v>
      </c>
      <c r="I20" s="63">
        <f ca="1">SUMIFS(Included!AZ:AZ, Included!B:B, "&lt;="&amp;AL20, Included!B:B, "&gt;="&amp;AK20, IncludedCat, "yes", Included!BE:BE,"=TRUE")</f>
        <v>1322</v>
      </c>
      <c r="J20" s="63" t="str">
        <f t="shared" ca="1" si="18"/>
        <v>41.4%</v>
      </c>
      <c r="K20" s="63">
        <f ca="1">SUMIFS(Included!BA:BA, Included!B:B, "&lt;="&amp;AL20, Included!B:B, "&gt;="&amp;AK20, IncludedCat, "yes", Included!BE:BE,"=TRUE")</f>
        <v>1750</v>
      </c>
      <c r="L20" s="63" t="str">
        <f t="shared" ca="1" si="19"/>
        <v>54.8%</v>
      </c>
      <c r="M20" s="57">
        <f ca="1">SUMIFS(Included!AL:AL, Included!B:B, "&lt;="&amp;AL20, Included!B:B, "&gt;="&amp;AK20, IncludedCat, "yes", Included!BE:BE,"=TRUE")</f>
        <v>6</v>
      </c>
      <c r="N20" s="57" t="str">
        <f t="shared" ca="1" si="20"/>
        <v>3.2%</v>
      </c>
      <c r="O20" s="57">
        <f ca="1">SUMIFS(Included!AJ:AJ, Included!B:B, "&lt;="&amp;AL20, Included!B:B, "&gt;="&amp;AK20, IncludedCat, "yes", Included!BE:BE,"=TRUE")</f>
        <v>129</v>
      </c>
      <c r="P20" s="142" t="str">
        <f t="shared" ca="1" si="21"/>
        <v>4.0%</v>
      </c>
      <c r="Q20" s="63">
        <f ca="1">SUMIFS(Included!BB:BB, Included!B:B, "&lt;="&amp;AL20, Included!B:B, "&gt;="&amp;AK20, Included!BE:BE,"=TRUE")</f>
        <v>213</v>
      </c>
      <c r="R20" s="63" t="str">
        <f t="shared" ca="1" si="22"/>
        <v>6.7%</v>
      </c>
      <c r="S20" s="63">
        <f ca="1">SUMIFS(Included!BC:BC, Included!B:B, "&lt;="&amp;AL20, Included!B:B, "&gt;="&amp;AK20, IncludedCat, "yes", Included!BE:BE,"=TRUE")</f>
        <v>379</v>
      </c>
      <c r="T20" s="63" t="str">
        <f t="shared" ca="1" si="23"/>
        <v>11.9%</v>
      </c>
      <c r="U20" s="57">
        <f ca="1">SUMIFS(Included!AI:AI, Included!B:B, "&lt;="&amp;AL20, Included!B:B, "&gt;="&amp;AK20, IncludedCat, "yes", Included!BE:BE,"=TRUE")</f>
        <v>13</v>
      </c>
      <c r="V20" s="117" t="str">
        <f t="shared" ca="1" si="24"/>
        <v>0.4%</v>
      </c>
      <c r="W20" s="98">
        <f ca="1">COUNTIFS(Included!AE:AE, "*None given*", Included!B:B,"&lt;="&amp;AL20, Included!B:B,"&gt;="&amp;AK20, IncludedCat, "yes", Included!BE:BE,"=TRUE")</f>
        <v>21</v>
      </c>
      <c r="X20" s="57" t="str">
        <f t="shared" ca="1" si="25"/>
        <v>28.4%</v>
      </c>
      <c r="Y20" s="98">
        <f ca="1">COUNTIFS(Included!AK:AK, "*No SAEs mentioned in text*", Included!B:B,"&lt;="&amp;AL20, Included!B:B,"&gt;="&amp;AK20, IncludedCat, "yes", Included!BE:BE,"=TRUE")</f>
        <v>8</v>
      </c>
      <c r="Z20" s="98" t="str">
        <f t="shared" ca="1" si="26"/>
        <v>10.8%</v>
      </c>
      <c r="AA20" s="98">
        <f ca="1">COUNTIFS(Included!AI:AI, "=*nd*", Included!B:B,"&lt;="&amp;AL20,Included!B:B,"&gt;="&amp;AK20, IncludedCat, "yes", Included!BE:BE,"=TRUE")</f>
        <v>0</v>
      </c>
      <c r="AB20" s="98" t="str">
        <f t="shared" ca="1" si="27"/>
        <v>0.0%</v>
      </c>
      <c r="AC20" s="98">
        <f ca="1">COUNTIFS(Included!AI:AI, "=*unclear*", Included!B:B, "&lt;="&amp;AL20, Included!B:B, "&gt;="&amp;AK20, IncludedCat, "yes", Included!BE:BE,"=TRUE")</f>
        <v>0</v>
      </c>
      <c r="AD20" s="98">
        <f ca="1">COUNTIFS(Included!AG:AG, "=*nd*", Included!B:B, "&lt;="&amp;AL20, Included!B:B, "&gt;="&amp;AK20, IncludedCat, "yes", Included!BE:BE,"=TRUE")</f>
        <v>9</v>
      </c>
      <c r="AE20" s="98" t="str">
        <f t="shared" ca="1" si="28"/>
        <v>12.2%</v>
      </c>
      <c r="AF20" s="98">
        <f ca="1">COUNTIFS(Included!AG:AG, "=*unclear*", Included!B:B, "&lt;="&amp;AL20, Included!B:B, "&gt;="&amp;AK20, IncludedCat, "yes", Included!BE:BE,"=TRUE")</f>
        <v>23</v>
      </c>
      <c r="AG20" s="98">
        <f ca="1">COUNTIFS(Included!I:I, "&lt;&gt;", Included!B:B, "&lt;="&amp;AL20, Included!B:B, "&gt;="&amp;AK20, IncludedCat, "yes", Included!BE:BE,"=TRUE")</f>
        <v>59</v>
      </c>
      <c r="AH20" s="98">
        <f ca="1">COUNTIFS(Included!I:I, "", Included!B:B, "&lt;="&amp;AL20, Included!B:B, "&gt;="&amp;AK20, IncludedCat, "yes", Included!BE:BE,"=TRUE")</f>
        <v>15</v>
      </c>
      <c r="AI20" s="98"/>
      <c r="AJ20" s="98"/>
      <c r="AK20" s="45">
        <f t="shared" si="29"/>
        <v>2010</v>
      </c>
      <c r="AL20" s="45">
        <f t="shared" si="30"/>
        <v>2019</v>
      </c>
    </row>
    <row r="21" spans="1:38">
      <c r="A21" s="109" t="s">
        <v>160</v>
      </c>
      <c r="B21" s="63">
        <f ca="1">COUNTIFS(Included!B:B,"&lt;="&amp;AL21, Included!B:B,"&gt;="&amp;AK21, IncludedCat, "yes", Included!BE:BE,"=TRUE")</f>
        <v>21</v>
      </c>
      <c r="C21" s="63">
        <f ca="1">SUMIFS(Included!X:X, Included!B:B, "&lt;="&amp;AL21, Included!B:B, "&gt;="&amp;AK21, IncludedCat, "yes", Included!BE:BE,"=TRUE")</f>
        <v>931</v>
      </c>
      <c r="D21" s="63">
        <f ca="1">SUMIFS(Included!AB:AB, Included!B:B, "&lt;="&amp;AL21, Included!B:B, "&gt;="&amp;AK21, IncludedCat, "yes", Included!BE:BE,"=TRUE")</f>
        <v>75</v>
      </c>
      <c r="E21" s="63">
        <f ca="1">SUMIFS(Included!Z:Z, Included!B:B, "&lt;="&amp;AL21, Included!B:B, "&gt;="&amp;AK21, IncludedCat, "yes", Included!BE:BE,"=TRUE")</f>
        <v>624</v>
      </c>
      <c r="F21" s="63">
        <f ca="1">SUMIFS(Included!AD:AD, Included!B:B, "&lt;="&amp;AL21, Included!B:B, "&gt;="&amp;AK21, IncludedCat, "yes", Included!BE:BE,"=TRUE")</f>
        <v>1</v>
      </c>
      <c r="G21" s="63">
        <f ca="1">SUMIFS(Included!AG:AG, Included!B:B, "&lt;="&amp;AL21, Included!B:B, "&gt;="&amp;AK21, IncludedCat, "yes", Included!BE:BE,"=TRUE")</f>
        <v>244</v>
      </c>
      <c r="H21" s="63" t="str">
        <f t="shared" ca="1" si="17"/>
        <v>26.2%</v>
      </c>
      <c r="I21" s="63">
        <f ca="1">SUMIFS(Included!AZ:AZ, Included!B:B, "&lt;="&amp;AL21, Included!B:B, "&gt;="&amp;AK21, IncludedCat, "yes", Included!BE:BE,"=TRUE")</f>
        <v>417</v>
      </c>
      <c r="J21" s="63" t="str">
        <f t="shared" ca="1" si="18"/>
        <v>44.8%</v>
      </c>
      <c r="K21" s="63">
        <f ca="1">SUMIFS(Included!BA:BA, Included!B:B, "&lt;="&amp;AL21, Included!B:B, "&gt;="&amp;AK21, IncludedCat, "yes", Included!BE:BE,"=TRUE")</f>
        <v>648</v>
      </c>
      <c r="L21" s="63" t="str">
        <f t="shared" ca="1" si="19"/>
        <v>69.6%</v>
      </c>
      <c r="M21" s="63">
        <f ca="1">SUMIFS(Included!AL:AL, Included!B:B, "&lt;="&amp;AL21, Included!B:B, "&gt;="&amp;AK21, IncludedCat, "yes", Included!BE:BE,"=TRUE")</f>
        <v>0</v>
      </c>
      <c r="N21" s="63" t="str">
        <f t="shared" ca="1" si="20"/>
        <v>0.0%</v>
      </c>
      <c r="O21" s="63">
        <f ca="1">SUMIFS(Included!AJ:AJ, Included!B:B, "&lt;="&amp;AL21, Included!B:B, "&gt;="&amp;AK21, IncludedCat, "yes", Included!BE:BE,"=TRUE")</f>
        <v>43</v>
      </c>
      <c r="P21" s="144" t="str">
        <f t="shared" ca="1" si="21"/>
        <v>4.6%</v>
      </c>
      <c r="Q21" s="63">
        <f ca="1">SUMIFS(Included!BB:BB, Included!B:B, "&lt;="&amp;AL21, Included!B:B, "&gt;="&amp;AK21, Included!BE:BE,"=TRUE")</f>
        <v>44</v>
      </c>
      <c r="R21" s="63" t="str">
        <f t="shared" ca="1" si="22"/>
        <v>4.7%</v>
      </c>
      <c r="S21" s="63">
        <f ca="1">SUMIFS(Included!BC:BC, Included!B:B, "&lt;="&amp;AL21, Included!B:B, "&gt;="&amp;AK21, IncludedCat, "yes", Included!BE:BE,"=TRUE")</f>
        <v>119</v>
      </c>
      <c r="T21" s="63" t="str">
        <f t="shared" ca="1" si="23"/>
        <v>12.8%</v>
      </c>
      <c r="U21" s="63">
        <f ca="1">SUMIFS(Included!AI:AI, Included!B:B, "&lt;="&amp;AL21, Included!B:B, "&gt;="&amp;AK21, IncludedCat, "yes", Included!BE:BE,"=TRUE")</f>
        <v>2</v>
      </c>
      <c r="V21" s="121" t="str">
        <f t="shared" ca="1" si="24"/>
        <v>0.2%</v>
      </c>
      <c r="W21" s="110">
        <f ca="1">COUNTIFS(Included!AE:AE, "*None given*", Included!B:B,"&lt;="&amp;AL21, Included!B:B,"&gt;="&amp;AK21, IncludedCat, "yes", Included!BE:BE,"=TRUE")</f>
        <v>6</v>
      </c>
      <c r="X21" s="63" t="str">
        <f t="shared" ca="1" si="25"/>
        <v>28.6%</v>
      </c>
      <c r="Y21" s="110">
        <f>COUNTIFS(Included!AK:AK, "*No SAEs mentioned in text*", Included!B:B,"&lt;="&amp;AL21, Included!B:B,"&gt;="&amp;AK21, IncludedCat, "yes", Included!BE:BE,"=TRUE")</f>
        <v>0</v>
      </c>
      <c r="Z21" s="110" t="str">
        <f t="shared" ca="1" si="26"/>
        <v>0.0%</v>
      </c>
      <c r="AA21" s="110">
        <f ca="1">COUNTIFS(Included!AI:AI, "=*nd*", Included!B:B,"&lt;="&amp;AL21,Included!B:B,"&gt;="&amp;AK21, IncludedCat, "yes", Included!BE:BE,"=TRUE")</f>
        <v>0</v>
      </c>
      <c r="AB21" s="110" t="str">
        <f t="shared" ca="1" si="27"/>
        <v>0.0%</v>
      </c>
      <c r="AC21" s="110">
        <f>COUNTIFS(Included!AI:AI, "=*unclear*", Included!B:B, "&lt;="&amp;AL21, Included!B:B, "&gt;="&amp;AK21, IncludedCat, "yes", Included!BE:BE,"=TRUE")</f>
        <v>0</v>
      </c>
      <c r="AD21" s="110">
        <f ca="1">COUNTIFS(Included!AG:AG, "=*nd*", Included!B:B, "&lt;="&amp;AL21, Included!B:B, "&gt;="&amp;AK21, IncludedCat, "yes", Included!BE:BE,"=TRUE")</f>
        <v>2</v>
      </c>
      <c r="AE21" s="110" t="str">
        <f t="shared" ca="1" si="28"/>
        <v>9.5%</v>
      </c>
      <c r="AF21" s="110">
        <f ca="1">COUNTIFS(Included!AG:AG, "=*unclear*", Included!B:B, "&lt;="&amp;AL21, Included!B:B, "&gt;="&amp;AK21, IncludedCat, "yes", Included!BE:BE,"=TRUE")</f>
        <v>8</v>
      </c>
      <c r="AG21" s="110">
        <f ca="1">COUNTIFS(Included!I:I, "&lt;&gt;", Included!B:B, "&lt;="&amp;AL21, Included!B:B, "&gt;="&amp;AK21, IncludedCat, "yes", Included!BE:BE,"=TRUE")</f>
        <v>21</v>
      </c>
      <c r="AH21" s="110">
        <f>COUNTIFS(Included!I:I, "", Included!B:B, "&lt;="&amp;AL21, Included!B:B, "&gt;="&amp;AK21, IncludedCat, "yes", Included!BE:BE,"=TRUE")</f>
        <v>0</v>
      </c>
      <c r="AI21" s="110"/>
      <c r="AJ21" s="110"/>
      <c r="AK21" s="45">
        <f t="shared" si="29"/>
        <v>2020</v>
      </c>
      <c r="AL21" s="45">
        <f t="shared" si="30"/>
        <v>2029</v>
      </c>
    </row>
    <row r="22" spans="1:38">
      <c r="A22" s="56"/>
      <c r="B22" s="57"/>
      <c r="C22" s="57"/>
      <c r="D22" s="57"/>
      <c r="E22" s="57"/>
      <c r="F22" s="57"/>
      <c r="G22" s="57"/>
      <c r="H22" s="57"/>
      <c r="I22" s="63"/>
      <c r="J22" s="63"/>
      <c r="K22" s="63"/>
      <c r="L22" s="63"/>
      <c r="M22" s="57"/>
      <c r="N22" s="57"/>
      <c r="O22" s="57"/>
      <c r="P22" s="57"/>
      <c r="Q22" s="63"/>
      <c r="R22" s="63"/>
      <c r="S22" s="63"/>
      <c r="T22" s="63"/>
      <c r="U22" s="57"/>
      <c r="V22" s="57"/>
      <c r="W22" s="57"/>
      <c r="X22" s="57"/>
      <c r="Y22" s="57"/>
      <c r="Z22" s="57"/>
      <c r="AA22" s="57"/>
      <c r="AB22" s="57"/>
      <c r="AC22" s="57"/>
      <c r="AD22" s="57"/>
      <c r="AE22" s="57"/>
      <c r="AF22" s="57"/>
      <c r="AG22" s="146"/>
      <c r="AH22" s="146"/>
      <c r="AI22" s="57"/>
      <c r="AJ22" s="57"/>
    </row>
    <row r="23" spans="1:38">
      <c r="A23" s="73" t="s">
        <v>165</v>
      </c>
      <c r="B23" s="74">
        <f t="shared" ref="B23:G23" ca="1" si="31">SUM(B17:B22)</f>
        <v>187</v>
      </c>
      <c r="C23" s="74">
        <f t="shared" ca="1" si="31"/>
        <v>10016</v>
      </c>
      <c r="D23" s="74">
        <f t="shared" ca="1" si="31"/>
        <v>333</v>
      </c>
      <c r="E23" s="74">
        <f t="shared" ca="1" si="31"/>
        <v>6756</v>
      </c>
      <c r="F23" s="74">
        <f t="shared" ca="1" si="31"/>
        <v>1</v>
      </c>
      <c r="G23" s="74">
        <f t="shared" ca="1" si="31"/>
        <v>2865</v>
      </c>
      <c r="H23" s="74" t="str">
        <f ca="1">TEXT(G23/C23,"0.0%")</f>
        <v>28.6%</v>
      </c>
      <c r="I23" s="74">
        <f ca="1">SUM(I17:I22)</f>
        <v>3688</v>
      </c>
      <c r="J23" s="74" t="str">
        <f ca="1">TEXT(I23/C23,"0.0%")</f>
        <v>36.8%</v>
      </c>
      <c r="K23" s="74">
        <f ca="1">SUM(K17:K22)</f>
        <v>4797</v>
      </c>
      <c r="L23" s="74" t="str">
        <f ca="1">TEXT(K23/C23,"0.0%")</f>
        <v>47.9%</v>
      </c>
      <c r="M23" s="74">
        <f ca="1">SUM(M17:M22)</f>
        <v>6</v>
      </c>
      <c r="N23" s="74" t="str">
        <f ca="1">TEXT(M23/D23,"0.0%")</f>
        <v>1.8%</v>
      </c>
      <c r="O23" s="74">
        <f ca="1">SUM(O17:O22)</f>
        <v>226</v>
      </c>
      <c r="P23" s="74" t="str">
        <f ca="1">TEXT(O23/C23,"0.0%")</f>
        <v>2.3%</v>
      </c>
      <c r="Q23" s="74">
        <f ca="1">SUM(Q17:Q22)</f>
        <v>327</v>
      </c>
      <c r="R23" s="74" t="str">
        <f ca="1">TEXT(Q23/C23,"0.0%")</f>
        <v>3.3%</v>
      </c>
      <c r="S23" s="74">
        <f ca="1">SUM(S17:S22)</f>
        <v>614</v>
      </c>
      <c r="T23" s="74" t="str">
        <f ca="1">TEXT(S23/C23,"0.0%")</f>
        <v>6.1%</v>
      </c>
      <c r="U23" s="74">
        <f ca="1">SUM(U17:U22)</f>
        <v>23</v>
      </c>
      <c r="V23" s="74" t="str">
        <f ca="1">TEXT(U23/C23,"0.0%")</f>
        <v>0.2%</v>
      </c>
      <c r="W23" s="74">
        <f ca="1">SUM(W17:W22)</f>
        <v>97</v>
      </c>
      <c r="X23" s="74" t="str">
        <f ca="1">TEXT(W23/B23,"0.0%")</f>
        <v>51.9%</v>
      </c>
      <c r="Y23" s="74">
        <f ca="1">SUM(Y17:Y22)</f>
        <v>81</v>
      </c>
      <c r="Z23" s="74" t="str">
        <f ca="1">TEXT(Y23/B23,"0.0%")</f>
        <v>43.3%</v>
      </c>
      <c r="AA23" s="74">
        <f ca="1">SUM(AA17:AA22)</f>
        <v>0</v>
      </c>
      <c r="AB23" s="74" t="str">
        <f ca="1">TEXT(AA23/B23,"0.0%")</f>
        <v>0.0%</v>
      </c>
      <c r="AC23" s="74">
        <f t="shared" ref="AC23:AD23" ca="1" si="32">SUM(AC17:AC22)</f>
        <v>0</v>
      </c>
      <c r="AD23" s="74">
        <f t="shared" ca="1" si="32"/>
        <v>20</v>
      </c>
      <c r="AE23" s="74" t="str">
        <f ca="1">TEXT(AD23/B23,"0.0%")</f>
        <v>10.7%</v>
      </c>
      <c r="AF23" s="74">
        <f t="shared" ref="AF23:AH23" ca="1" si="33">SUM(AF17:AF22)</f>
        <v>45</v>
      </c>
      <c r="AG23" s="74">
        <f t="shared" ca="1" si="33"/>
        <v>82</v>
      </c>
      <c r="AH23" s="145">
        <f t="shared" ca="1" si="33"/>
        <v>105</v>
      </c>
      <c r="AI23" s="63"/>
      <c r="AJ23" s="63"/>
    </row>
    <row r="24" spans="1:38">
      <c r="A24" s="117"/>
      <c r="B24" s="117"/>
      <c r="C24" s="161"/>
      <c r="E24" s="57"/>
      <c r="F24" s="57"/>
      <c r="G24" s="57"/>
      <c r="H24" s="57"/>
      <c r="I24" s="57"/>
      <c r="J24" s="57"/>
      <c r="K24" s="57"/>
      <c r="L24" s="57"/>
      <c r="M24" s="57"/>
      <c r="N24" s="57"/>
      <c r="O24" s="57"/>
      <c r="P24" s="57"/>
      <c r="Q24" s="57"/>
      <c r="R24" s="57"/>
      <c r="S24" s="57"/>
      <c r="T24" s="57"/>
      <c r="U24" s="57"/>
      <c r="V24" s="57"/>
      <c r="W24" s="57"/>
      <c r="X24" s="57"/>
      <c r="Y24" s="57"/>
      <c r="Z24" s="57"/>
      <c r="AA24" s="57"/>
      <c r="AB24" s="57"/>
      <c r="AC24" s="57"/>
      <c r="AD24" s="57"/>
      <c r="AE24" s="57"/>
      <c r="AF24" s="57"/>
      <c r="AG24" s="57"/>
      <c r="AH24" s="57"/>
      <c r="AI24" s="57"/>
      <c r="AJ24" s="57"/>
    </row>
    <row r="25" spans="1:38">
      <c r="A25" s="121"/>
      <c r="B25" s="121"/>
      <c r="C25" s="162"/>
      <c r="E25" s="63"/>
      <c r="F25" s="63"/>
      <c r="G25" s="63"/>
      <c r="H25" s="63"/>
      <c r="I25" s="63"/>
      <c r="J25" s="63"/>
      <c r="K25" s="63"/>
      <c r="L25" s="63"/>
      <c r="M25" s="63"/>
      <c r="N25" s="63"/>
      <c r="O25" s="63"/>
      <c r="P25" s="63"/>
      <c r="Q25" s="63"/>
      <c r="R25" s="63"/>
      <c r="S25" s="63"/>
      <c r="T25" s="63"/>
      <c r="U25" s="63"/>
      <c r="V25" s="63"/>
      <c r="W25" s="63"/>
      <c r="X25" s="63"/>
      <c r="Y25" s="63"/>
      <c r="Z25" s="63"/>
      <c r="AA25" s="63"/>
      <c r="AB25" s="63"/>
      <c r="AC25" s="63"/>
      <c r="AD25" s="63"/>
      <c r="AE25" s="63"/>
      <c r="AF25" s="63"/>
      <c r="AG25" s="63"/>
      <c r="AH25" s="63"/>
      <c r="AI25" s="63"/>
      <c r="AJ25" s="63"/>
    </row>
    <row r="26" spans="1:38">
      <c r="A26" s="117"/>
      <c r="B26" s="117"/>
      <c r="C26" s="161"/>
      <c r="E26" s="57"/>
      <c r="F26" s="57"/>
      <c r="G26" s="57"/>
      <c r="H26" s="57"/>
      <c r="I26" s="57"/>
      <c r="J26" s="57"/>
      <c r="K26" s="57"/>
      <c r="L26" s="57"/>
      <c r="M26" s="57"/>
      <c r="N26" s="57"/>
      <c r="O26" s="57"/>
      <c r="P26" s="57"/>
      <c r="Q26" s="57"/>
      <c r="R26" s="57"/>
      <c r="S26" s="57"/>
      <c r="T26" s="57"/>
      <c r="U26" s="57"/>
      <c r="V26" s="57"/>
      <c r="W26" s="57"/>
      <c r="X26" s="57"/>
      <c r="Y26" s="57"/>
      <c r="Z26" s="57"/>
      <c r="AA26" s="57"/>
      <c r="AB26" s="57"/>
      <c r="AC26" s="57"/>
      <c r="AD26" s="57"/>
      <c r="AE26" s="57"/>
      <c r="AF26" s="57"/>
      <c r="AG26" s="57"/>
      <c r="AH26" s="57"/>
      <c r="AI26" s="57"/>
      <c r="AJ26" s="57"/>
    </row>
    <row r="27" spans="1:38">
      <c r="A27" s="121" t="s">
        <v>238</v>
      </c>
      <c r="B27" s="121"/>
      <c r="C27" s="162"/>
      <c r="E27" s="63"/>
      <c r="F27" s="63"/>
      <c r="G27" s="63"/>
      <c r="H27" s="63"/>
      <c r="I27" s="63"/>
      <c r="J27" s="63"/>
      <c r="K27" s="63"/>
      <c r="L27" s="63"/>
      <c r="M27" s="63"/>
      <c r="N27" s="63"/>
      <c r="O27" s="63"/>
      <c r="P27" s="63"/>
      <c r="Q27" s="63"/>
      <c r="R27" s="63"/>
      <c r="S27" s="63"/>
      <c r="T27" s="63"/>
      <c r="U27" s="63"/>
      <c r="V27" s="63"/>
      <c r="W27" s="63"/>
      <c r="X27" s="63"/>
      <c r="Y27" s="63"/>
      <c r="Z27" s="63"/>
      <c r="AA27" s="63"/>
      <c r="AB27" s="63"/>
      <c r="AC27" s="63"/>
      <c r="AD27" s="63"/>
      <c r="AE27" s="63"/>
      <c r="AF27" s="63"/>
      <c r="AG27" s="63"/>
      <c r="AH27" s="63"/>
      <c r="AI27" s="63"/>
      <c r="AJ27" s="63"/>
    </row>
    <row r="28" spans="1:38">
      <c r="A28" s="117" t="s">
        <v>239</v>
      </c>
      <c r="B28" s="117"/>
      <c r="C28" s="161"/>
      <c r="E28" s="57"/>
      <c r="F28" s="57"/>
      <c r="G28" s="57"/>
      <c r="H28" s="57"/>
      <c r="I28" s="57"/>
      <c r="J28" s="57"/>
      <c r="K28" s="57"/>
      <c r="L28" s="57"/>
      <c r="M28" s="57"/>
      <c r="N28" s="57"/>
      <c r="O28" s="57"/>
      <c r="P28" s="57"/>
      <c r="Q28" s="57"/>
      <c r="R28" s="57"/>
      <c r="S28" s="57"/>
      <c r="T28" s="57"/>
      <c r="U28" s="57"/>
      <c r="V28" s="57"/>
      <c r="W28" s="57"/>
      <c r="X28" s="57"/>
      <c r="Y28" s="57"/>
      <c r="Z28" s="57"/>
      <c r="AA28" s="57"/>
      <c r="AB28" s="57"/>
      <c r="AC28" s="57"/>
      <c r="AD28" s="57"/>
      <c r="AE28" s="57"/>
      <c r="AF28" s="57"/>
      <c r="AG28" s="57"/>
      <c r="AH28" s="57"/>
      <c r="AI28" s="57"/>
      <c r="AJ28" s="57"/>
    </row>
    <row r="29" spans="1:38" ht="69.75" customHeight="1">
      <c r="A29" s="118" t="s">
        <v>130</v>
      </c>
      <c r="B29" s="119" t="s">
        <v>202</v>
      </c>
      <c r="C29" s="119" t="s">
        <v>203</v>
      </c>
      <c r="D29" s="119" t="s">
        <v>204</v>
      </c>
      <c r="E29" s="119" t="s">
        <v>205</v>
      </c>
      <c r="F29" s="119" t="s">
        <v>208</v>
      </c>
      <c r="G29" s="422" t="s">
        <v>209</v>
      </c>
      <c r="H29" s="423"/>
      <c r="I29" s="418" t="s">
        <v>210</v>
      </c>
      <c r="J29" s="423"/>
      <c r="K29" s="418" t="s">
        <v>211</v>
      </c>
      <c r="L29" s="423"/>
      <c r="M29" s="422" t="s">
        <v>212</v>
      </c>
      <c r="N29" s="423"/>
      <c r="O29" s="422" t="s">
        <v>213</v>
      </c>
      <c r="P29" s="423"/>
      <c r="Q29" s="418" t="s">
        <v>214</v>
      </c>
      <c r="R29" s="423"/>
      <c r="S29" s="418" t="s">
        <v>215</v>
      </c>
      <c r="T29" s="423"/>
      <c r="U29" s="422" t="s">
        <v>216</v>
      </c>
      <c r="V29" s="423"/>
      <c r="W29" s="422" t="s">
        <v>217</v>
      </c>
      <c r="X29" s="423"/>
      <c r="Y29" s="422" t="s">
        <v>218</v>
      </c>
      <c r="Z29" s="423"/>
      <c r="AA29" s="422" t="s">
        <v>219</v>
      </c>
      <c r="AB29" s="423"/>
      <c r="AC29" s="119" t="s">
        <v>220</v>
      </c>
      <c r="AD29" s="422" t="s">
        <v>221</v>
      </c>
      <c r="AE29" s="423"/>
      <c r="AF29" s="119" t="s">
        <v>222</v>
      </c>
      <c r="AG29" s="119" t="s">
        <v>223</v>
      </c>
      <c r="AH29" s="120" t="s">
        <v>224</v>
      </c>
      <c r="AI29" s="155"/>
      <c r="AJ29" s="155"/>
      <c r="AK29" s="28" t="s">
        <v>104</v>
      </c>
      <c r="AL29" s="28" t="s">
        <v>111</v>
      </c>
    </row>
    <row r="30" spans="1:38">
      <c r="A30" s="107" t="s">
        <v>147</v>
      </c>
      <c r="B30" s="57">
        <f ca="1">COUNTIFS(Included!B:B,"&lt;="&amp;AL30, Included!B:B,"&gt;="&amp;AK30, IncludedCat, "yes", Included!BF:BF,"=TRUE")</f>
        <v>3</v>
      </c>
      <c r="C30" s="57">
        <f ca="1">SUMIFS(Included!X:X, Included!B:B, "&lt;="&amp;AL30, Included!B:B, "&gt;="&amp;AK30, IncludedCat, "yes", Included!BF:BF,"=TRUE")</f>
        <v>77</v>
      </c>
      <c r="D30" s="57">
        <f ca="1">SUMIFS(Included!AB:AB, Included!B:B, "&lt;="&amp;AL30, Included!B:B, "&gt;="&amp;AK30, IncludedCat, "yes", Included!BF:BF,"=TRUE")</f>
        <v>8</v>
      </c>
      <c r="E30" s="57">
        <f ca="1">SUMIFS(Included!Z:Z, Included!B:B, "&lt;="&amp;AL30, Included!B:B, "&gt;="&amp;AK30, IncludedCat, "yes", Included!BF:BF,"=TRUE")</f>
        <v>53</v>
      </c>
      <c r="F30" s="57">
        <f ca="1">SUMIFS(Included!AD:AD, Included!B:B, "&lt;="&amp;AL30, Included!B:B, "&gt;="&amp;AK30, IncludedCat, "yes", Included!BF:BF,"=TRUE")</f>
        <v>0</v>
      </c>
      <c r="G30" s="57">
        <f ca="1">SUMIFS(Included!AG:AG, Included!B:B, "&lt;="&amp;AL30, Included!B:B, "&gt;="&amp;AK30, IncludedCat, "yes", Included!BF:BF,"=TRUE")</f>
        <v>37</v>
      </c>
      <c r="H30" s="57" t="str">
        <f t="shared" ref="H30:H34" ca="1" si="34">TEXT(G30/C30,"0.0%")</f>
        <v>48.1%</v>
      </c>
      <c r="I30" s="57">
        <f ca="1">SUMIFS(Included!AZ:AZ, Included!B:B, "&lt;="&amp;AL30, Included!B:B, "&gt;="&amp;AK30, IncludedCat, "yes", Included!BF:BF,"=TRUE")</f>
        <v>37</v>
      </c>
      <c r="J30" s="57" t="str">
        <f t="shared" ref="J30:J34" ca="1" si="35">TEXT(I30/C30,"0.0%")</f>
        <v>48.1%</v>
      </c>
      <c r="K30" s="57">
        <f ca="1">SUMIFS(Included!BA:BA, Included!B:B, "&lt;="&amp;AL30, Included!B:B, "&gt;="&amp;AK30, IncludedCat, "yes", Included!BF:BF,"=TRUE")</f>
        <v>37</v>
      </c>
      <c r="L30" s="57" t="str">
        <f t="shared" ref="L30:L34" ca="1" si="36">TEXT(K30/C30,"0.0%")</f>
        <v>48.1%</v>
      </c>
      <c r="M30" s="57">
        <f ca="1">SUMIFS(Included!AL:AL, Included!B:B, "&lt;="&amp;AL30, Included!B:B, "&gt;="&amp;AK30, IncludedCat, "yes", Included!BF:BF,"=TRUE")</f>
        <v>0</v>
      </c>
      <c r="N30" s="153" t="str">
        <f t="shared" ref="N30:N36" ca="1" si="37">IFERROR(TEXT(M30/D30,"0.0%"),0)</f>
        <v>0.0%</v>
      </c>
      <c r="O30" s="57">
        <f ca="1">SUMIFS(Included!AJ:AJ, Included!B:B, "&lt;="&amp;AL30, Included!B:B, "&gt;="&amp;AK30, IncludedCat, "yes", Included!BF:BF,"=TRUE")</f>
        <v>9</v>
      </c>
      <c r="P30" s="142" t="str">
        <f t="shared" ref="P30:P34" ca="1" si="38">TEXT(O30/C30,"0.0%")</f>
        <v>11.7%</v>
      </c>
      <c r="Q30" s="57">
        <f ca="1">SUMIFS(Included!BB:BB, Included!B:B, "&lt;="&amp;AL30, Included!B:B, "&gt;="&amp;AK30, IncludedCat, "yes", Included!BF:BF,"=TRUE")</f>
        <v>9</v>
      </c>
      <c r="R30" s="57" t="str">
        <f t="shared" ref="R30:R34" ca="1" si="39">TEXT(Q30/C30,"0.0%")</f>
        <v>11.7%</v>
      </c>
      <c r="S30" s="57">
        <f ca="1">SUMIFS(Included!BC:BC, Included!B:B, "&lt;="&amp;AL30, Included!B:B, "&gt;="&amp;AK30, IncludedCat, "yes", Included!BF:BF,"=TRUE")</f>
        <v>25</v>
      </c>
      <c r="T30" s="57" t="str">
        <f t="shared" ref="T30:T34" ca="1" si="40">TEXT(S30/C30,"0.0%")</f>
        <v>32.5%</v>
      </c>
      <c r="U30" s="57">
        <f ca="1">SUMIFS(Included!AI:AI, Included!B:B, "&lt;="&amp;AL30, Included!B:B, "&gt;="&amp;AK30, IncludedCat, "yes", Included!BF:BF,"=TRUE")</f>
        <v>4</v>
      </c>
      <c r="V30" s="117" t="str">
        <f t="shared" ref="V30:V34" ca="1" si="41">TEXT(U30/C30,"0.0%")</f>
        <v>5.2%</v>
      </c>
      <c r="W30" s="98">
        <f ca="1">COUNTIFS(Included!AE:AE, "*None given*", Included!B:B,"&lt;="&amp;AL30, Included!B:B,"&gt;="&amp;AK30, IncludedCat, "yes", Included!BF:BF,"=TRUE")</f>
        <v>2</v>
      </c>
      <c r="X30" s="57" t="str">
        <f t="shared" ref="X30:X34" ca="1" si="42">TEXT(W30/B30,"0.0%")</f>
        <v>66.7%</v>
      </c>
      <c r="Y30" s="98">
        <f ca="1">COUNTIFS(Included!AK:AK, "*No SAEs mentioned in text*", Included!B:B,"&lt;="&amp;AL30, Included!B:B,"&gt;="&amp;AK30, IncludedCat, "yes", Included!BF:BF,"=TRUE")</f>
        <v>3</v>
      </c>
      <c r="Z30" s="98" t="str">
        <f t="shared" ref="Z30:Z34" ca="1" si="43">TEXT(Y30/B30,"0.0%")</f>
        <v>100.0%</v>
      </c>
      <c r="AA30" s="98">
        <f ca="1">COUNTIFS(Included!AI:AI, "=*nd*", Included!B:B,"&lt;="&amp;AL30,Included!B:B,"&gt;="&amp;AK30, IncludedCat, "yes", Included!BF:BF,"=TRUE")</f>
        <v>0</v>
      </c>
      <c r="AB30" s="98" t="str">
        <f t="shared" ref="AB30:AB34" ca="1" si="44">TEXT(AA30/B30,"0.0%")</f>
        <v>0.0%</v>
      </c>
      <c r="AC30" s="98">
        <f>COUNTIFS(Included!AI:AI, "=*unclear*", Included!B:B, "&lt;="&amp;AL30, Included!B:B, "&gt;="&amp;AK30, IncludedCat, "yes", Included!BF:BF,"=TRUE")</f>
        <v>0</v>
      </c>
      <c r="AD30" s="98">
        <f ca="1">COUNTIFS(Included!AG:AG, "=*nd*", Included!B:B, "&lt;="&amp;AL30, Included!B:B, "&gt;="&amp;AK30, IncludedCat, "yes", Included!BF:BF,"=TRUE")</f>
        <v>0</v>
      </c>
      <c r="AE30" s="98" t="str">
        <f t="shared" ref="AE30:AE34" ca="1" si="45">TEXT(AD30/B30,"0.0%")</f>
        <v>0.0%</v>
      </c>
      <c r="AF30" s="98">
        <f ca="1">COUNTIFS(Included!AG:AG, "=*unclear*", Included!B:B, "&lt;="&amp;AL30, Included!B:B, "&gt;="&amp;AK30, IncludedCat, "yes", Included!BF:BF,"=TRUE")</f>
        <v>0</v>
      </c>
      <c r="AG30" s="98">
        <f>COUNTIFS(Included!I:I, "&lt;&gt;", Included!B:B, "&lt;="&amp;AL30, Included!B:B, "&gt;="&amp;AK30, IncludedCat, "yes", Included!BF:BF,"=TRUE")</f>
        <v>0</v>
      </c>
      <c r="AH30" s="98">
        <f ca="1">COUNTIFS(Included!I:I, "", Included!B:B, "&lt;="&amp;AL30, Included!B:B, "&gt;="&amp;AK30, IncludedCat, "yes", Included!BF:BF,"=TRUE")</f>
        <v>3</v>
      </c>
      <c r="AI30" s="101"/>
      <c r="AJ30" s="101"/>
      <c r="AK30" s="28">
        <v>1980</v>
      </c>
      <c r="AL30" s="28">
        <v>1989</v>
      </c>
    </row>
    <row r="31" spans="1:38">
      <c r="A31" s="109" t="s">
        <v>150</v>
      </c>
      <c r="B31" s="63">
        <f ca="1">COUNTIFS(Included!B:B,"&lt;="&amp;AL31, Included!B:B,"&gt;="&amp;AK31, IncludedCat, "yes", Included!BF:BF,"=TRUE")</f>
        <v>8</v>
      </c>
      <c r="C31" s="63">
        <f ca="1">SUMIFS(Included!X:X, Included!B:B, "&lt;="&amp;AL31, Included!B:B, "&gt;="&amp;AK31, IncludedCat, "yes", Included!BF:BF,"=TRUE")</f>
        <v>429</v>
      </c>
      <c r="D31" s="63">
        <f ca="1">SUMIFS(Included!AB:AB, Included!B:B, "&lt;="&amp;AL31, Included!B:B, "&gt;="&amp;AK31, IncludedCat, "yes", Included!BF:BF,"=TRUE")</f>
        <v>10</v>
      </c>
      <c r="E31" s="63">
        <f ca="1">SUMIFS(Included!Z:Z, Included!B:B, "&lt;="&amp;AL31, Included!B:B, "&gt;="&amp;AK31, IncludedCat, "yes", Included!BF:BF,"=TRUE")</f>
        <v>309</v>
      </c>
      <c r="F31" s="63">
        <f ca="1">SUMIFS(Included!AD:AD, Included!B:B, "&lt;="&amp;AL31, Included!B:B, "&gt;="&amp;AK31, IncludedCat, "yes", Included!BF:BF,"=TRUE")</f>
        <v>0</v>
      </c>
      <c r="G31" s="63">
        <f ca="1">SUMIFS(Included!AG:AG, Included!B:B, "&lt;="&amp;AL31, Included!B:B, "&gt;="&amp;AK31, IncludedCat, "yes", Included!BF:BF,"=TRUE")</f>
        <v>91</v>
      </c>
      <c r="H31" s="63" t="str">
        <f t="shared" ca="1" si="34"/>
        <v>21.2%</v>
      </c>
      <c r="I31" s="63">
        <f ca="1">SUMIFS(Included!AZ:AZ, Included!B:B, "&lt;="&amp;AL31, Included!B:B, "&gt;="&amp;AK31, IncludedCat, "yes", Included!BF:BF,"=TRUE")</f>
        <v>91</v>
      </c>
      <c r="J31" s="63" t="str">
        <f t="shared" ca="1" si="35"/>
        <v>21.2%</v>
      </c>
      <c r="K31" s="63">
        <f ca="1">SUMIFS(Included!BA:BA, Included!B:B, "&lt;="&amp;AL31, Included!B:B, "&gt;="&amp;AK31, IncludedCat, "yes", Included!BF:BF,"=TRUE")</f>
        <v>91</v>
      </c>
      <c r="L31" s="63" t="str">
        <f t="shared" ca="1" si="36"/>
        <v>21.2%</v>
      </c>
      <c r="M31" s="63">
        <f ca="1">SUMIFS(Included!AL:AL, Included!B:B, "&lt;="&amp;AL31, Included!B:B, "&gt;="&amp;AK31, IncludedCat, "yes", Included!BF:BF,"=TRUE")</f>
        <v>0</v>
      </c>
      <c r="N31" s="163" t="str">
        <f t="shared" ca="1" si="37"/>
        <v>0.0%</v>
      </c>
      <c r="O31" s="63">
        <f ca="1">SUMIFS(Included!AJ:AJ, Included!B:B, "&lt;="&amp;AL31, Included!B:B, "&gt;="&amp;AK31, IncludedCat, "yes", Included!BF:BF,"=TRUE")</f>
        <v>23</v>
      </c>
      <c r="P31" s="144" t="str">
        <f t="shared" ca="1" si="38"/>
        <v>5.4%</v>
      </c>
      <c r="Q31" s="63">
        <f ca="1">SUMIFS(Included!BB:BB, Included!B:B, "&lt;="&amp;AL31, Included!B:B, "&gt;="&amp;AK31, IncludedCat, "yes", Included!BF:BF,"=TRUE")</f>
        <v>23</v>
      </c>
      <c r="R31" s="63" t="str">
        <f t="shared" ca="1" si="39"/>
        <v>5.4%</v>
      </c>
      <c r="S31" s="63">
        <f ca="1">SUMIFS(Included!BC:BC, Included!B:B, "&lt;="&amp;AL31, Included!B:B, "&gt;="&amp;AK31, IncludedCat, "yes", Included!BF:BF,"=TRUE")</f>
        <v>23</v>
      </c>
      <c r="T31" s="63" t="str">
        <f t="shared" ca="1" si="40"/>
        <v>5.4%</v>
      </c>
      <c r="U31" s="63">
        <f ca="1">SUMIFS(Included!AI:AI, Included!B:B, "&lt;="&amp;AL31, Included!B:B, "&gt;="&amp;AK31, IncludedCat, "yes", Included!BF:BF,"=TRUE")</f>
        <v>0</v>
      </c>
      <c r="V31" s="121" t="str">
        <f t="shared" ca="1" si="41"/>
        <v>0.0%</v>
      </c>
      <c r="W31" s="110">
        <f ca="1">COUNTIFS(Included!AE:AE, "*None given*", Included!B:B,"&lt;="&amp;AL31, Included!B:B,"&gt;="&amp;AK31, IncludedCat, "yes", Included!BF:BF,"=TRUE")</f>
        <v>2</v>
      </c>
      <c r="X31" s="63" t="str">
        <f t="shared" ca="1" si="42"/>
        <v>25.0%</v>
      </c>
      <c r="Y31" s="110">
        <f ca="1">COUNTIFS(Included!AK:AK, "*No SAEs mentioned in text*", Included!B:B,"&lt;="&amp;AL31, Included!B:B,"&gt;="&amp;AK31, IncludedCat, "yes", Included!BF:BF,"=TRUE")</f>
        <v>6</v>
      </c>
      <c r="Z31" s="110" t="str">
        <f t="shared" ca="1" si="43"/>
        <v>75.0%</v>
      </c>
      <c r="AA31" s="110">
        <f ca="1">COUNTIFS(Included!AI:AI, "=*nd*", Included!B:B,"&lt;="&amp;AL31,Included!B:B,"&gt;="&amp;AK31, IncludedCat, "yes", Included!BF:BF,"=TRUE")</f>
        <v>1</v>
      </c>
      <c r="AB31" s="110" t="str">
        <f t="shared" ca="1" si="44"/>
        <v>12.5%</v>
      </c>
      <c r="AC31" s="110">
        <f>COUNTIFS(Included!AI:AI, "=*unclear*", Included!B:B, "&lt;="&amp;AL31, Included!B:B, "&gt;="&amp;AK31, IncludedCat, "yes", Included!BF:BF,"=TRUE")</f>
        <v>0</v>
      </c>
      <c r="AD31" s="110">
        <f ca="1">COUNTIFS(Included!AG:AG, "=*nd*", Included!B:B, "&lt;="&amp;AL31, Included!B:B, "&gt;="&amp;AK31, IncludedCat, "yes", Included!BF:BF,"=TRUE")</f>
        <v>1</v>
      </c>
      <c r="AE31" s="110" t="str">
        <f t="shared" ca="1" si="45"/>
        <v>12.5%</v>
      </c>
      <c r="AF31" s="110">
        <f ca="1">COUNTIFS(Included!AG:AG, "=*unclear*", Included!B:B, "&lt;="&amp;AL31, Included!B:B, "&gt;="&amp;AK31, IncludedCat, "yes", Included!BF:BF,"=TRUE")</f>
        <v>0</v>
      </c>
      <c r="AG31" s="110">
        <f>COUNTIFS(Included!I:I, "&lt;&gt;", Included!B:B, "&lt;="&amp;AL31, Included!B:B, "&gt;="&amp;AK31, IncludedCat, "yes", Included!BF:BF,"=TRUE")</f>
        <v>0</v>
      </c>
      <c r="AH31" s="110">
        <f ca="1">COUNTIFS(Included!I:I, "", Included!B:B, "&lt;="&amp;AL31, Included!B:B, "&gt;="&amp;AK31, IncludedCat, "yes", Included!BF:BF,"=TRUE")</f>
        <v>8</v>
      </c>
      <c r="AI31" s="110"/>
      <c r="AJ31" s="110"/>
      <c r="AK31" s="45">
        <f t="shared" ref="AK31:AK34" si="46">AL30+1</f>
        <v>1990</v>
      </c>
      <c r="AL31" s="45">
        <f t="shared" ref="AL31:AL34" si="47">AK31+9</f>
        <v>1999</v>
      </c>
    </row>
    <row r="32" spans="1:38">
      <c r="A32" s="107" t="s">
        <v>153</v>
      </c>
      <c r="B32" s="57">
        <f ca="1">COUNTIFS(Included!B:B,"&lt;="&amp;AL32, Included!B:B,"&gt;="&amp;AK32, IncludedCat, "yes", Included!BF:BF,"=TRUE")</f>
        <v>12</v>
      </c>
      <c r="C32" s="57">
        <f ca="1">SUMIFS(Included!X:X, Included!B:B, "&lt;="&amp;AL32, Included!B:B, "&gt;="&amp;AK32, IncludedCat, "yes", Included!BD:BD,"=TRUE")</f>
        <v>1984</v>
      </c>
      <c r="D32" s="57">
        <f ca="1">SUMIFS(Included!AB:AB, Included!B:B, "&lt;="&amp;AL32, Included!B:B, "&gt;="&amp;AK32, IncludedCat, "yes", Included!BF:BF,"=TRUE")</f>
        <v>0</v>
      </c>
      <c r="E32" s="57">
        <f ca="1">SUMIFS(Included!Z:Z, Included!B:B, "&lt;="&amp;AL32, Included!B:B, "&gt;="&amp;AK32, IncludedCat, "yes", Included!BF:BF,"=TRUE")</f>
        <v>168</v>
      </c>
      <c r="F32" s="57">
        <f ca="1">SUMIFS(Included!AD:AD, Included!B:B, "&lt;="&amp;AL32, Included!B:B, "&gt;="&amp;AK32, IncludedCat, "yes", Included!BF:BF,"=TRUE")</f>
        <v>0</v>
      </c>
      <c r="G32" s="57">
        <f ca="1">SUMIFS(Included!AG:AG, Included!B:B, "&lt;="&amp;AL32, Included!B:B, "&gt;="&amp;AK32, IncludedCat, "yes", Included!BF:BF,"=TRUE")</f>
        <v>113</v>
      </c>
      <c r="H32" s="57" t="str">
        <f t="shared" ca="1" si="34"/>
        <v>5.7%</v>
      </c>
      <c r="I32" s="57">
        <f ca="1">SUMIFS(Included!AZ:AZ, Included!B:B, "&lt;="&amp;AL32, Included!B:B, "&gt;="&amp;AK32, IncludedCat, "yes", Included!BF:BF,"=TRUE")</f>
        <v>161</v>
      </c>
      <c r="J32" s="57" t="str">
        <f t="shared" ca="1" si="35"/>
        <v>8.1%</v>
      </c>
      <c r="K32" s="57">
        <f ca="1">SUMIFS(Included!BA:BA, Included!B:B, "&lt;="&amp;AL32, Included!B:B, "&gt;="&amp;AK32, IncludedCat, "yes", Included!BF:BF,"=TRUE")</f>
        <v>190</v>
      </c>
      <c r="L32" s="57" t="str">
        <f t="shared" ca="1" si="36"/>
        <v>9.6%</v>
      </c>
      <c r="M32" s="57">
        <f ca="1">SUMIFS(Included!AL:AL, Included!B:B, "&lt;="&amp;AL32, Included!B:B, "&gt;="&amp;AK32, IncludedCat, "yes", Included!BF:BF,"=TRUE")</f>
        <v>0</v>
      </c>
      <c r="N32" s="153">
        <f t="shared" ca="1" si="37"/>
        <v>0</v>
      </c>
      <c r="O32" s="57">
        <f ca="1">SUMIFS(Included!AJ:AJ, Included!B:B, "&lt;="&amp;AL32, Included!B:B, "&gt;="&amp;AK32, IncludedCat, "yes", Included!BF:BF,"=TRUE")</f>
        <v>25</v>
      </c>
      <c r="P32" s="142" t="str">
        <f t="shared" ca="1" si="38"/>
        <v>1.3%</v>
      </c>
      <c r="Q32" s="57">
        <f ca="1">SUMIFS(Included!BB:BB, Included!B:B, "&lt;="&amp;AL32, Included!B:B, "&gt;="&amp;AK32, IncludedCat, "yes", Included!BF:BF,"=TRUE")</f>
        <v>31</v>
      </c>
      <c r="R32" s="57" t="str">
        <f t="shared" ca="1" si="39"/>
        <v>1.6%</v>
      </c>
      <c r="S32" s="57">
        <f ca="1">SUMIFS(Included!BC:BC, Included!B:B, "&lt;="&amp;AL32, Included!B:B, "&gt;="&amp;AK32, IncludedCat, "yes", Included!BF:BF,"=TRUE")</f>
        <v>102</v>
      </c>
      <c r="T32" s="57" t="str">
        <f t="shared" ca="1" si="40"/>
        <v>5.1%</v>
      </c>
      <c r="U32" s="57">
        <f ca="1">SUMIFS(Included!AI:AI, Included!B:B, "&lt;="&amp;AL32, Included!B:B, "&gt;="&amp;AK32, IncludedCat, "yes", Included!BF:BF,"=TRUE")</f>
        <v>0</v>
      </c>
      <c r="V32" s="117" t="str">
        <f t="shared" ca="1" si="41"/>
        <v>0.0%</v>
      </c>
      <c r="W32" s="98">
        <f ca="1">COUNTIFS(Included!AE:AE, "*None given*", Included!B:B,"&lt;="&amp;AL32, Included!B:B,"&gt;="&amp;AK32, IncludedCat, "yes", Included!BF:BF,"=TRUE")</f>
        <v>5</v>
      </c>
      <c r="X32" s="57" t="str">
        <f t="shared" ca="1" si="42"/>
        <v>41.7%</v>
      </c>
      <c r="Y32" s="98">
        <f ca="1">COUNTIFS(Included!AK:AK, "*No SAEs mentioned in text*", Included!B:B,"&lt;="&amp;AL32, Included!B:B,"&gt;="&amp;AK32, IncludedCat, "yes", Included!BF:BF,"=TRUE")</f>
        <v>4</v>
      </c>
      <c r="Z32" s="98" t="str">
        <f t="shared" ca="1" si="43"/>
        <v>33.3%</v>
      </c>
      <c r="AA32" s="98">
        <f ca="1">COUNTIFS(Included!AI:AI, "=*nd*", Included!B:B,"&lt;="&amp;AL32,Included!B:B,"&gt;="&amp;AK32, IncludedCat, "yes", Included!BF:BF,"=TRUE")</f>
        <v>1</v>
      </c>
      <c r="AB32" s="98" t="str">
        <f t="shared" ca="1" si="44"/>
        <v>8.3%</v>
      </c>
      <c r="AC32" s="98">
        <f>COUNTIFS(Included!AI:AI, "=*unclear*", Included!B:B, "&lt;="&amp;AL32, Included!B:B, "&gt;="&amp;AK32, IncludedCat, "yes", Included!BF:BF,"=TRUE")</f>
        <v>0</v>
      </c>
      <c r="AD32" s="98">
        <f ca="1">COUNTIFS(Included!AG:AG, "=*nd*", Included!B:B, "&lt;="&amp;AL32, Included!B:B, "&gt;="&amp;AK32, IncludedCat, "yes", Included!BF:BF,"=TRUE")</f>
        <v>0</v>
      </c>
      <c r="AE32" s="98" t="str">
        <f t="shared" ca="1" si="45"/>
        <v>0.0%</v>
      </c>
      <c r="AF32" s="98">
        <f ca="1">COUNTIFS(Included!AG:AG, "=*unclear*", Included!B:B, "&lt;="&amp;AL32, Included!B:B, "&gt;="&amp;AK32, IncludedCat, "yes", Included!BF:BF,"=TRUE")</f>
        <v>3</v>
      </c>
      <c r="AG32" s="98">
        <f ca="1">COUNTIFS(Included!I:I, "&lt;&gt;", Included!B:B, "&lt;="&amp;AL32, Included!B:B, "&gt;="&amp;AK32, IncludedCat, "yes", Included!BF:BF,"=TRUE")</f>
        <v>1</v>
      </c>
      <c r="AH32" s="98">
        <f ca="1">COUNTIFS(Included!I:I, "", Included!B:B, "&lt;="&amp;AL32, Included!B:B, "&gt;="&amp;AK32, IncludedCat, "yes", Included!BF:BF,"=TRUE")</f>
        <v>11</v>
      </c>
      <c r="AI32" s="98"/>
      <c r="AJ32" s="98"/>
      <c r="AK32" s="45">
        <f t="shared" si="46"/>
        <v>2000</v>
      </c>
      <c r="AL32" s="45">
        <f t="shared" si="47"/>
        <v>2009</v>
      </c>
    </row>
    <row r="33" spans="1:38">
      <c r="A33" s="109" t="s">
        <v>157</v>
      </c>
      <c r="B33" s="63">
        <f ca="1">COUNTIFS(Included!B:B,"&lt;="&amp;AL33, Included!B:B,"&gt;="&amp;AK33, IncludedCat, "yes", Included!BF:BF,"=TRUE")</f>
        <v>57</v>
      </c>
      <c r="C33" s="63">
        <f ca="1">SUMIFS(Included!X:X, Included!B:B, "&lt;="&amp;AL33, Included!B:B, "&gt;="&amp;AK33, IncludedCat, "yes", Included!BF:BF,"=TRUE")</f>
        <v>1954</v>
      </c>
      <c r="D33" s="63">
        <f ca="1">SUMIFS(Included!AB:AB, Included!B:B, "&lt;="&amp;AL33, Included!B:B, "&gt;="&amp;AK33, IncludedCat, "yes", Included!BF:BF,"=TRUE")</f>
        <v>29</v>
      </c>
      <c r="E33" s="63">
        <f ca="1">SUMIFS(Included!Z:Z, Included!B:B, "&lt;="&amp;AL33, Included!B:B, "&gt;="&amp;AK33, IncludedCat, "yes", Included!BF:BF,"=TRUE")</f>
        <v>1302</v>
      </c>
      <c r="F33" s="63">
        <f ca="1">SUMIFS(Included!AD:AD, Included!B:B, "&lt;="&amp;AL33, Included!B:B, "&gt;="&amp;AK33, IncludedCat, "yes", Included!BF:BF,"=TRUE")</f>
        <v>0</v>
      </c>
      <c r="G33" s="63">
        <f ca="1">SUMIFS(Included!AG:AG, Included!B:B, "&lt;="&amp;AL33, Included!B:B, "&gt;="&amp;AK33, IncludedCat, "yes", Included!BF:BF,"=TRUE")</f>
        <v>745</v>
      </c>
      <c r="H33" s="63" t="str">
        <f t="shared" ca="1" si="34"/>
        <v>38.1%</v>
      </c>
      <c r="I33" s="63">
        <f ca="1">SUMIFS(Included!AZ:AZ, Included!B:B, "&lt;="&amp;AL33, Included!B:B, "&gt;="&amp;AK33, IncludedCat, "yes", Included!BF:BF,"=TRUE")</f>
        <v>1123</v>
      </c>
      <c r="J33" s="63" t="str">
        <f t="shared" ca="1" si="35"/>
        <v>57.5%</v>
      </c>
      <c r="K33" s="63">
        <f ca="1">SUMIFS(Included!BA:BA, Included!B:B, "&lt;="&amp;AL33, Included!B:B, "&gt;="&amp;AK33, IncludedCat, "yes", Included!BF:BF,"=TRUE")</f>
        <v>1569</v>
      </c>
      <c r="L33" s="63" t="str">
        <f t="shared" ca="1" si="36"/>
        <v>80.3%</v>
      </c>
      <c r="M33" s="63">
        <f ca="1">SUMIFS(Included!AL:AL, Included!B:B, "&lt;="&amp;AL33, Included!B:B, "&gt;="&amp;AK33, IncludedCat, "yes", Included!BF:BF,"=TRUE")</f>
        <v>6</v>
      </c>
      <c r="N33" s="163" t="str">
        <f t="shared" ca="1" si="37"/>
        <v>20.7%</v>
      </c>
      <c r="O33" s="63">
        <f ca="1">SUMIFS(Included!AJ:AJ, Included!B:B, "&lt;="&amp;AL33, Included!B:B, "&gt;="&amp;AK33, IncludedCat, "yes", Included!BF:BF,"=TRUE")</f>
        <v>143</v>
      </c>
      <c r="P33" s="144" t="str">
        <f t="shared" ca="1" si="38"/>
        <v>7.3%</v>
      </c>
      <c r="Q33" s="63">
        <f ca="1">SUMIFS(Included!BB:BB, Included!B:B, "&lt;="&amp;AL33, Included!B:B, "&gt;="&amp;AK33, IncludedCat, "yes", Included!BF:BF,"=TRUE")</f>
        <v>179</v>
      </c>
      <c r="R33" s="63" t="str">
        <f t="shared" ca="1" si="39"/>
        <v>9.2%</v>
      </c>
      <c r="S33" s="63">
        <f ca="1">SUMIFS(Included!BC:BC, Included!B:B, "&lt;="&amp;AL33, Included!B:B, "&gt;="&amp;AK33, IncludedCat, "yes", Included!BF:BF,"=TRUE")</f>
        <v>473</v>
      </c>
      <c r="T33" s="63" t="str">
        <f t="shared" ca="1" si="40"/>
        <v>24.2%</v>
      </c>
      <c r="U33" s="63">
        <f ca="1">SUMIFS(Included!AI:AI, Included!B:B, "&lt;="&amp;AL33, Included!B:B, "&gt;="&amp;AK33, IncludedCat, "yes", Included!BF:BF,"=TRUE")</f>
        <v>9</v>
      </c>
      <c r="V33" s="121" t="str">
        <f t="shared" ca="1" si="41"/>
        <v>0.5%</v>
      </c>
      <c r="W33" s="110">
        <f ca="1">COUNTIFS(Included!AE:AE, "*None given*", Included!B:B,"&lt;="&amp;AL33, Included!B:B,"&gt;="&amp;AK33, IncludedCat, "yes", Included!BF:BF,"=TRUE")</f>
        <v>11</v>
      </c>
      <c r="X33" s="63" t="str">
        <f t="shared" ca="1" si="42"/>
        <v>19.3%</v>
      </c>
      <c r="Y33" s="110">
        <f ca="1">COUNTIFS(Included!AK:AK, "*No SAEs mentioned in text*", Included!B:B,"&lt;="&amp;AL33, Included!B:B,"&gt;="&amp;AK33, IncludedCat, "yes", Included!BF:BF,"=TRUE")</f>
        <v>3</v>
      </c>
      <c r="Z33" s="110" t="str">
        <f t="shared" ca="1" si="43"/>
        <v>5.3%</v>
      </c>
      <c r="AA33" s="110">
        <f ca="1">COUNTIFS(Included!AI:AI, "=*nd*", Included!B:B,"&lt;="&amp;AL33,Included!B:B,"&gt;="&amp;AK33, IncludedCat, "yes", Included!BF:BF,"=TRUE")</f>
        <v>12</v>
      </c>
      <c r="AB33" s="110" t="str">
        <f t="shared" ca="1" si="44"/>
        <v>21.1%</v>
      </c>
      <c r="AC33" s="110">
        <f ca="1">COUNTIFS(Included!AI:AI, "=*unclear*", Included!B:B, "&lt;="&amp;AL33, Included!B:B, "&gt;="&amp;AK33, IncludedCat, "yes", Included!BF:BF,"=TRUE")</f>
        <v>0</v>
      </c>
      <c r="AD33" s="110">
        <f ca="1">COUNTIFS(Included!AG:AG, "=*nd*", Included!B:B, "&lt;="&amp;AL33, Included!B:B, "&gt;="&amp;AK33, IncludedCat, "yes", Included!BF:BF,"=TRUE")</f>
        <v>2</v>
      </c>
      <c r="AE33" s="110" t="str">
        <f t="shared" ca="1" si="45"/>
        <v>3.5%</v>
      </c>
      <c r="AF33" s="110">
        <f ca="1">COUNTIFS(Included!AG:AG, "=*unclear*", Included!B:B, "&lt;="&amp;AL33, Included!B:B, "&gt;="&amp;AK33, IncludedCat, "yes", Included!BF:BF,"=TRUE")</f>
        <v>24</v>
      </c>
      <c r="AG33" s="110">
        <f ca="1">COUNTIFS(Included!I:I, "&lt;&gt;", Included!B:B, "&lt;="&amp;AL33, Included!B:B, "&gt;="&amp;AK33, IncludedCat, "yes", Included!BF:BF,"=TRUE")</f>
        <v>47</v>
      </c>
      <c r="AH33" s="110">
        <f ca="1">COUNTIFS(Included!I:I, "", Included!B:B, "&lt;="&amp;AL33, Included!B:B, "&gt;="&amp;AK33, IncludedCat, "yes", Included!BF:BF,"=TRUE")</f>
        <v>10</v>
      </c>
      <c r="AI33" s="110"/>
      <c r="AJ33" s="110"/>
      <c r="AK33" s="45">
        <f t="shared" si="46"/>
        <v>2010</v>
      </c>
      <c r="AL33" s="45">
        <f t="shared" si="47"/>
        <v>2019</v>
      </c>
    </row>
    <row r="34" spans="1:38">
      <c r="A34" s="107" t="s">
        <v>160</v>
      </c>
      <c r="B34" s="57">
        <f ca="1">COUNTIFS(Included!B:B,"&lt;="&amp;AL34, Included!B:B,"&gt;="&amp;AK34, IncludedCat, "yes", Included!BF:BF,"=TRUE")</f>
        <v>14</v>
      </c>
      <c r="C34" s="57">
        <f ca="1">SUMIFS(Included!X:X, Included!B:B, "&lt;="&amp;AL34, Included!B:B, "&gt;="&amp;AK34, IncludedCat, "yes", Included!BF:BF,"=TRUE")</f>
        <v>639</v>
      </c>
      <c r="D34" s="57">
        <f ca="1">SUMIFS(Included!AB:AB, Included!B:B, "&lt;="&amp;AL34, Included!B:B, "&gt;="&amp;AK34, IncludedCat, "yes", Included!BF:BF,"=TRUE")</f>
        <v>0</v>
      </c>
      <c r="E34" s="57">
        <f ca="1">SUMIFS(Included!Z:Z, Included!B:B, "&lt;="&amp;AL34, Included!B:B, "&gt;="&amp;AK34, IncludedCat, "yes", Included!BF:BF,"=TRUE")</f>
        <v>438</v>
      </c>
      <c r="F34" s="57">
        <f ca="1">SUMIFS(Included!AD:AD, Included!B:B, "&lt;="&amp;AL34, Included!B:B, "&gt;="&amp;AK34, IncludedCat, "yes", Included!BF:BF,"=TRUE")</f>
        <v>0</v>
      </c>
      <c r="G34" s="57">
        <f ca="1">SUMIFS(Included!AG:AG, Included!B:B, "&lt;="&amp;AL34, Included!B:B, "&gt;="&amp;AK34, IncludedCat, "yes", Included!BF:BF,"=TRUE")</f>
        <v>233</v>
      </c>
      <c r="H34" s="57" t="str">
        <f t="shared" ca="1" si="34"/>
        <v>36.5%</v>
      </c>
      <c r="I34" s="57">
        <f ca="1">SUMIFS(Included!AZ:AZ, Included!B:B, "&lt;="&amp;AL34, Included!B:B, "&gt;="&amp;AK34, IncludedCat, "yes", Included!BF:BF,"=TRUE")</f>
        <v>367</v>
      </c>
      <c r="J34" s="57" t="str">
        <f t="shared" ca="1" si="35"/>
        <v>57.4%</v>
      </c>
      <c r="K34" s="57">
        <f ca="1">SUMIFS(Included!BA:BA, Included!B:B, "&lt;="&amp;AL34, Included!B:B, "&gt;="&amp;AK34, IncludedCat, "yes", Included!BF:BF,"=TRUE")</f>
        <v>554</v>
      </c>
      <c r="L34" s="57" t="str">
        <f t="shared" ca="1" si="36"/>
        <v>86.7%</v>
      </c>
      <c r="M34" s="57">
        <f ca="1">SUMIFS(Included!AL:AL, Included!B:B, "&lt;="&amp;AL34, Included!B:B, "&gt;="&amp;AK34, IncludedCat, "yes", Included!BF:BF,"=TRUE")</f>
        <v>0</v>
      </c>
      <c r="N34" s="153">
        <f t="shared" ca="1" si="37"/>
        <v>0</v>
      </c>
      <c r="O34" s="57">
        <f ca="1">SUMIFS(Included!AJ:AJ, Included!B:B, "&lt;="&amp;AL34, Included!B:B, "&gt;="&amp;AK34, IncludedCat, "yes", Included!BF:BF,"=TRUE")</f>
        <v>43</v>
      </c>
      <c r="P34" s="142" t="str">
        <f t="shared" ca="1" si="38"/>
        <v>6.7%</v>
      </c>
      <c r="Q34" s="57">
        <f ca="1">SUMIFS(Included!BB:BB, Included!B:B, "&lt;="&amp;AL34, Included!B:B, "&gt;="&amp;AK34, IncludedCat, "yes", Included!BF:BF,"=TRUE")</f>
        <v>43</v>
      </c>
      <c r="R34" s="57" t="str">
        <f t="shared" ca="1" si="39"/>
        <v>6.7%</v>
      </c>
      <c r="S34" s="57">
        <f ca="1">SUMIFS(Included!BC:BC, Included!B:B, "&lt;="&amp;AL34, Included!B:B, "&gt;="&amp;AK34, IncludedCat, "yes", Included!BF:BF,"=TRUE")</f>
        <v>178</v>
      </c>
      <c r="T34" s="57" t="str">
        <f t="shared" ca="1" si="40"/>
        <v>27.9%</v>
      </c>
      <c r="U34" s="57">
        <f ca="1">SUMIFS(Included!AI:AI, Included!B:B, "&lt;="&amp;AL34, Included!B:B, "&gt;="&amp;AK34, IncludedCat, "yes", Included!BF:BF,"=TRUE")</f>
        <v>1</v>
      </c>
      <c r="V34" s="117" t="str">
        <f t="shared" ca="1" si="41"/>
        <v>0.2%</v>
      </c>
      <c r="W34" s="98">
        <f ca="1">COUNTIFS(Included!AE:AE, "*None given*", Included!B:B,"&lt;="&amp;AL34, Included!B:B,"&gt;="&amp;AK34, IncludedCat, "yes", Included!BF:BF,"=TRUE")</f>
        <v>3</v>
      </c>
      <c r="X34" s="57" t="str">
        <f t="shared" ca="1" si="42"/>
        <v>21.4%</v>
      </c>
      <c r="Y34" s="98">
        <f>COUNTIFS(Included!AK:AK, "*No SAEs mentioned in text*", Included!B:B,"&lt;="&amp;AL34, Included!B:B,"&gt;="&amp;AK34, IncludedCat, "yes", Included!BF:BF,"=TRUE")</f>
        <v>0</v>
      </c>
      <c r="Z34" s="98" t="str">
        <f t="shared" ca="1" si="43"/>
        <v>0.0%</v>
      </c>
      <c r="AA34" s="98">
        <f ca="1">COUNTIFS(Included!AI:AI, "=*nd*", Included!B:B,"&lt;="&amp;AL34,Included!B:B,"&gt;="&amp;AK34, IncludedCat, "yes", Included!BF:BF,"=TRUE")</f>
        <v>1</v>
      </c>
      <c r="AB34" s="98" t="str">
        <f t="shared" ca="1" si="44"/>
        <v>7.1%</v>
      </c>
      <c r="AC34" s="98">
        <f>COUNTIFS(Included!AI:AI, "=*unclear*", Included!B:B, "&lt;="&amp;AL34, Included!B:B, "&gt;="&amp;AK34, IncludedCat, "yes", Included!BF:BF,"=TRUE")</f>
        <v>0</v>
      </c>
      <c r="AD34" s="98">
        <f ca="1">COUNTIFS(Included!AG:AG, "=*nd*", Included!B:B, "&lt;="&amp;AL34, Included!B:B, "&gt;="&amp;AK34, IncludedCat, "yes", Included!BF:BF,"=TRUE")</f>
        <v>0</v>
      </c>
      <c r="AE34" s="98" t="str">
        <f t="shared" ca="1" si="45"/>
        <v>0.0%</v>
      </c>
      <c r="AF34" s="98">
        <f ca="1">COUNTIFS(Included!AG:AG, "=*unclear*", Included!B:B, "&lt;="&amp;AL34, Included!B:B, "&gt;="&amp;AK34, IncludedCat, "yes", Included!BF:BF,"=TRUE")</f>
        <v>5</v>
      </c>
      <c r="AG34" s="98">
        <f ca="1">COUNTIFS(Included!I:I, "&lt;&gt;", Included!B:B, "&lt;="&amp;AL34, Included!B:B, "&gt;="&amp;AK34, IncludedCat, "yes", Included!BF:BF,"=TRUE")</f>
        <v>14</v>
      </c>
      <c r="AH34" s="98">
        <f>COUNTIFS(Included!I:I, "", Included!B:B, "&lt;="&amp;AL34, Included!B:B, "&gt;="&amp;AK34, IncludedCat, "yes", Included!BF:BF,"=TRUE")</f>
        <v>0</v>
      </c>
      <c r="AI34" s="98"/>
      <c r="AJ34" s="98"/>
      <c r="AK34" s="45">
        <f t="shared" si="46"/>
        <v>2020</v>
      </c>
      <c r="AL34" s="45">
        <f t="shared" si="47"/>
        <v>2029</v>
      </c>
    </row>
    <row r="35" spans="1:38">
      <c r="A35" s="62"/>
      <c r="B35" s="63"/>
      <c r="C35" s="63"/>
      <c r="D35" s="63"/>
      <c r="E35" s="63"/>
      <c r="F35" s="63"/>
      <c r="G35" s="63"/>
      <c r="H35" s="63"/>
      <c r="I35" s="63"/>
      <c r="J35" s="63"/>
      <c r="K35" s="63"/>
      <c r="L35" s="63"/>
      <c r="M35" s="63"/>
      <c r="N35" s="163">
        <f t="shared" si="37"/>
        <v>0</v>
      </c>
      <c r="O35" s="63"/>
      <c r="P35" s="63"/>
      <c r="Q35" s="63"/>
      <c r="R35" s="63"/>
      <c r="S35" s="63"/>
      <c r="T35" s="63"/>
      <c r="U35" s="63"/>
      <c r="V35" s="63"/>
      <c r="W35" s="63"/>
      <c r="X35" s="63"/>
      <c r="Y35" s="63"/>
      <c r="Z35" s="63"/>
      <c r="AA35" s="63"/>
      <c r="AB35" s="63"/>
      <c r="AC35" s="63"/>
      <c r="AD35" s="63"/>
      <c r="AE35" s="63"/>
      <c r="AF35" s="63"/>
      <c r="AG35" s="145"/>
      <c r="AH35" s="145"/>
      <c r="AI35" s="63"/>
      <c r="AJ35" s="63"/>
    </row>
    <row r="36" spans="1:38">
      <c r="A36" s="114" t="s">
        <v>165</v>
      </c>
      <c r="B36" s="115">
        <f t="shared" ref="B36:G36" ca="1" si="48">SUM(B30:B35)</f>
        <v>94</v>
      </c>
      <c r="C36" s="115">
        <f t="shared" ca="1" si="48"/>
        <v>5083</v>
      </c>
      <c r="D36" s="115">
        <f t="shared" ca="1" si="48"/>
        <v>47</v>
      </c>
      <c r="E36" s="115">
        <f t="shared" ca="1" si="48"/>
        <v>2270</v>
      </c>
      <c r="F36" s="115">
        <f t="shared" ca="1" si="48"/>
        <v>0</v>
      </c>
      <c r="G36" s="115">
        <f t="shared" ca="1" si="48"/>
        <v>1219</v>
      </c>
      <c r="H36" s="115" t="str">
        <f ca="1">TEXT(G36/C36,"0.0%")</f>
        <v>24.0%</v>
      </c>
      <c r="I36" s="115">
        <f ca="1">SUM(I30:I35)</f>
        <v>1779</v>
      </c>
      <c r="J36" s="115" t="str">
        <f ca="1">TEXT(I36/C36,"0.0%")</f>
        <v>35.0%</v>
      </c>
      <c r="K36" s="115">
        <f ca="1">SUM(K30:K35)</f>
        <v>2441</v>
      </c>
      <c r="L36" s="115" t="str">
        <f ca="1">TEXT(K36/C36,"0.0%")</f>
        <v>48.0%</v>
      </c>
      <c r="M36" s="115">
        <f ca="1">SUM(M30:M35)</f>
        <v>6</v>
      </c>
      <c r="N36" s="164" t="str">
        <f t="shared" ca="1" si="37"/>
        <v>12.8%</v>
      </c>
      <c r="O36" s="115">
        <f ca="1">SUM(O30:O35)</f>
        <v>243</v>
      </c>
      <c r="P36" s="115" t="str">
        <f ca="1">TEXT(O36/C36,"0.0%")</f>
        <v>4.8%</v>
      </c>
      <c r="Q36" s="115">
        <f ca="1">SUM(Q30:Q35)</f>
        <v>285</v>
      </c>
      <c r="R36" s="115" t="str">
        <f ca="1">TEXT(Q36/C36,"0.0%")</f>
        <v>5.6%</v>
      </c>
      <c r="S36" s="115">
        <f ca="1">SUM(S30:S35)</f>
        <v>801</v>
      </c>
      <c r="T36" s="115" t="str">
        <f ca="1">TEXT(S36/C36,"0.0%")</f>
        <v>15.8%</v>
      </c>
      <c r="U36" s="115">
        <f ca="1">SUM(U30:U35)</f>
        <v>14</v>
      </c>
      <c r="V36" s="115" t="str">
        <f ca="1">TEXT(U36/C36,"0.0%")</f>
        <v>0.3%</v>
      </c>
      <c r="W36" s="115">
        <f ca="1">SUM(W30:W35)</f>
        <v>23</v>
      </c>
      <c r="X36" s="115" t="str">
        <f ca="1">TEXT(W36/B36,"0.0%")</f>
        <v>24.5%</v>
      </c>
      <c r="Y36" s="115">
        <f ca="1">SUM(Y30:Y35)</f>
        <v>16</v>
      </c>
      <c r="Z36" s="115" t="str">
        <f ca="1">TEXT(Y36/B36,"0.0%")</f>
        <v>17.0%</v>
      </c>
      <c r="AA36" s="115">
        <f ca="1">SUM(AA30:AA35)</f>
        <v>15</v>
      </c>
      <c r="AB36" s="115" t="str">
        <f ca="1">TEXT(AA36/B36,"0.0%")</f>
        <v>16.0%</v>
      </c>
      <c r="AC36" s="115">
        <f t="shared" ref="AC36:AD36" ca="1" si="49">SUM(AC30:AC35)</f>
        <v>0</v>
      </c>
      <c r="AD36" s="115">
        <f t="shared" ca="1" si="49"/>
        <v>3</v>
      </c>
      <c r="AE36" s="115" t="str">
        <f ca="1">TEXT(AD36/B36,"0.0%")</f>
        <v>3.2%</v>
      </c>
      <c r="AF36" s="115">
        <f t="shared" ref="AF36:AH36" ca="1" si="50">SUM(AF30:AF35)</f>
        <v>32</v>
      </c>
      <c r="AG36" s="115">
        <f t="shared" ca="1" si="50"/>
        <v>62</v>
      </c>
      <c r="AH36" s="146">
        <f t="shared" ca="1" si="50"/>
        <v>32</v>
      </c>
      <c r="AI36" s="57"/>
      <c r="AJ36" s="57"/>
    </row>
    <row r="37" spans="1:38">
      <c r="A37" s="121"/>
      <c r="B37" s="63"/>
      <c r="C37" s="63"/>
      <c r="D37" s="63"/>
      <c r="E37" s="63"/>
      <c r="F37" s="63"/>
      <c r="G37" s="63"/>
      <c r="H37" s="63"/>
      <c r="I37" s="63"/>
      <c r="K37" s="63"/>
      <c r="M37" s="63"/>
      <c r="N37" s="163"/>
      <c r="O37" s="63"/>
      <c r="P37" s="63"/>
      <c r="Q37" s="63"/>
      <c r="S37" s="63"/>
      <c r="U37" s="63"/>
      <c r="V37" s="63"/>
      <c r="W37" s="63"/>
      <c r="X37" s="63"/>
      <c r="Y37" s="63"/>
      <c r="Z37" s="63"/>
      <c r="AA37" s="63"/>
      <c r="AB37" s="63"/>
      <c r="AC37" s="63"/>
      <c r="AD37" s="63"/>
      <c r="AE37" s="63"/>
      <c r="AF37" s="63"/>
      <c r="AG37" s="63"/>
      <c r="AH37" s="63"/>
      <c r="AI37" s="63"/>
      <c r="AJ37" s="63"/>
    </row>
    <row r="38" spans="1:38">
      <c r="A38" s="117"/>
      <c r="B38" s="57"/>
      <c r="C38" s="57"/>
      <c r="D38" s="57"/>
      <c r="E38" s="57"/>
      <c r="F38" s="57"/>
      <c r="G38" s="57"/>
      <c r="H38" s="57"/>
      <c r="I38" s="57"/>
      <c r="K38" s="57"/>
      <c r="M38" s="57"/>
      <c r="N38" s="153"/>
      <c r="O38" s="57"/>
      <c r="P38" s="57"/>
      <c r="Q38" s="57"/>
      <c r="S38" s="57"/>
      <c r="U38" s="57"/>
      <c r="V38" s="57"/>
      <c r="W38" s="57"/>
      <c r="X38" s="57"/>
      <c r="Y38" s="57"/>
      <c r="Z38" s="57"/>
      <c r="AA38" s="57"/>
      <c r="AB38" s="57"/>
      <c r="AC38" s="57"/>
      <c r="AD38" s="57"/>
      <c r="AE38" s="57"/>
      <c r="AF38" s="57"/>
      <c r="AG38" s="57"/>
      <c r="AH38" s="57"/>
      <c r="AI38" s="57"/>
      <c r="AJ38" s="57"/>
    </row>
    <row r="39" spans="1:38">
      <c r="A39" s="121"/>
      <c r="B39" s="63"/>
      <c r="C39" s="63"/>
      <c r="D39" s="63"/>
      <c r="E39" s="63"/>
      <c r="F39" s="63"/>
      <c r="G39" s="63"/>
      <c r="H39" s="63"/>
      <c r="I39" s="63"/>
      <c r="K39" s="63"/>
      <c r="M39" s="63"/>
      <c r="N39" s="163"/>
      <c r="O39" s="63"/>
      <c r="P39" s="63"/>
      <c r="Q39" s="63"/>
      <c r="S39" s="63"/>
      <c r="U39" s="63"/>
      <c r="V39" s="63"/>
      <c r="W39" s="63"/>
      <c r="X39" s="63"/>
      <c r="Y39" s="63"/>
      <c r="Z39" s="63"/>
      <c r="AA39" s="63"/>
      <c r="AB39" s="63"/>
      <c r="AC39" s="63"/>
      <c r="AD39" s="63"/>
      <c r="AE39" s="63"/>
      <c r="AF39" s="63"/>
      <c r="AG39" s="63"/>
      <c r="AH39" s="63"/>
      <c r="AI39" s="63"/>
      <c r="AJ39" s="63"/>
    </row>
    <row r="40" spans="1:38">
      <c r="A40" s="117"/>
      <c r="B40" s="57"/>
      <c r="C40" s="57"/>
      <c r="D40" s="57"/>
      <c r="E40" s="57"/>
      <c r="F40" s="57"/>
      <c r="G40" s="57"/>
      <c r="H40" s="57"/>
      <c r="I40" s="57"/>
      <c r="K40" s="57"/>
      <c r="M40" s="57"/>
      <c r="N40" s="153"/>
      <c r="O40" s="57"/>
      <c r="P40" s="57"/>
      <c r="Q40" s="57"/>
      <c r="S40" s="57"/>
      <c r="U40" s="57"/>
      <c r="V40" s="57"/>
      <c r="W40" s="57"/>
      <c r="X40" s="57"/>
      <c r="Y40" s="57"/>
      <c r="Z40" s="57"/>
      <c r="AA40" s="57"/>
      <c r="AB40" s="57"/>
      <c r="AC40" s="57"/>
      <c r="AD40" s="57"/>
      <c r="AE40" s="57"/>
      <c r="AF40" s="57"/>
      <c r="AG40" s="57"/>
      <c r="AH40" s="57"/>
      <c r="AI40" s="57"/>
      <c r="AJ40" s="57"/>
    </row>
    <row r="41" spans="1:38">
      <c r="A41" s="121"/>
      <c r="B41" s="63"/>
      <c r="C41" s="63"/>
      <c r="D41" s="63"/>
      <c r="E41" s="63"/>
      <c r="F41" s="63"/>
      <c r="G41" s="63"/>
      <c r="H41" s="63"/>
      <c r="I41" s="63"/>
      <c r="K41" s="63"/>
      <c r="M41" s="63"/>
      <c r="N41" s="163"/>
      <c r="O41" s="63"/>
      <c r="P41" s="63"/>
      <c r="Q41" s="63"/>
      <c r="S41" s="63"/>
      <c r="U41" s="63"/>
      <c r="V41" s="63"/>
      <c r="W41" s="63"/>
      <c r="X41" s="63"/>
      <c r="Y41" s="63"/>
      <c r="Z41" s="63"/>
      <c r="AA41" s="63"/>
      <c r="AB41" s="63"/>
      <c r="AC41" s="63"/>
      <c r="AD41" s="63"/>
      <c r="AE41" s="63"/>
      <c r="AF41" s="63"/>
      <c r="AG41" s="63"/>
      <c r="AH41" s="63"/>
      <c r="AI41" s="63"/>
      <c r="AJ41" s="63"/>
    </row>
    <row r="42" spans="1:38">
      <c r="A42" s="117"/>
      <c r="B42" s="57"/>
      <c r="C42" s="57"/>
      <c r="D42" s="57"/>
      <c r="E42" s="57"/>
      <c r="F42" s="57"/>
      <c r="G42" s="57"/>
      <c r="H42" s="57"/>
      <c r="I42" s="57"/>
      <c r="K42" s="57"/>
      <c r="M42" s="57"/>
      <c r="N42" s="153"/>
      <c r="O42" s="57"/>
      <c r="P42" s="57"/>
      <c r="Q42" s="57"/>
      <c r="S42" s="57"/>
      <c r="U42" s="57"/>
      <c r="V42" s="57"/>
      <c r="W42" s="57"/>
      <c r="X42" s="57"/>
      <c r="Y42" s="57"/>
      <c r="Z42" s="57"/>
      <c r="AA42" s="57"/>
      <c r="AB42" s="57"/>
      <c r="AC42" s="57"/>
      <c r="AD42" s="57"/>
      <c r="AE42" s="57"/>
      <c r="AF42" s="57"/>
      <c r="AG42" s="57"/>
      <c r="AH42" s="57"/>
      <c r="AI42" s="57"/>
      <c r="AJ42" s="57"/>
    </row>
    <row r="43" spans="1:38">
      <c r="A43" s="121"/>
      <c r="B43" s="63"/>
      <c r="C43" s="63"/>
      <c r="D43" s="63"/>
      <c r="E43" s="63"/>
      <c r="F43" s="63"/>
      <c r="G43" s="63"/>
      <c r="H43" s="63"/>
      <c r="I43" s="63"/>
      <c r="K43" s="63"/>
      <c r="M43" s="63"/>
      <c r="N43" s="163"/>
      <c r="O43" s="63"/>
      <c r="P43" s="63"/>
      <c r="Q43" s="63"/>
      <c r="S43" s="63"/>
      <c r="U43" s="63"/>
      <c r="V43" s="63"/>
      <c r="W43" s="63"/>
      <c r="X43" s="63"/>
      <c r="Y43" s="63"/>
      <c r="Z43" s="63"/>
      <c r="AA43" s="63"/>
      <c r="AB43" s="63"/>
      <c r="AC43" s="63"/>
      <c r="AD43" s="63"/>
      <c r="AE43" s="63"/>
      <c r="AF43" s="63"/>
      <c r="AG43" s="63"/>
      <c r="AH43" s="63"/>
      <c r="AI43" s="63"/>
      <c r="AJ43" s="63"/>
    </row>
    <row r="44" spans="1:38">
      <c r="A44" s="117"/>
      <c r="B44" s="57"/>
      <c r="C44" s="57"/>
      <c r="D44" s="57"/>
      <c r="E44" s="57"/>
      <c r="F44" s="57"/>
      <c r="G44" s="57"/>
      <c r="H44" s="57"/>
      <c r="I44" s="57"/>
      <c r="K44" s="57"/>
      <c r="M44" s="57"/>
      <c r="N44" s="153"/>
      <c r="O44" s="57"/>
      <c r="P44" s="57"/>
      <c r="Q44" s="57"/>
      <c r="S44" s="57"/>
      <c r="U44" s="57"/>
      <c r="V44" s="57"/>
      <c r="W44" s="57"/>
      <c r="X44" s="57"/>
      <c r="Y44" s="57"/>
      <c r="Z44" s="57"/>
      <c r="AA44" s="57"/>
      <c r="AB44" s="57"/>
      <c r="AC44" s="57"/>
      <c r="AD44" s="57"/>
      <c r="AE44" s="57"/>
      <c r="AF44" s="57"/>
      <c r="AG44" s="57"/>
      <c r="AH44" s="57"/>
      <c r="AI44" s="57"/>
      <c r="AJ44" s="57"/>
    </row>
    <row r="45" spans="1:38">
      <c r="A45" s="121"/>
      <c r="B45" s="63"/>
      <c r="C45" s="63"/>
      <c r="D45" s="63"/>
      <c r="E45" s="63"/>
      <c r="F45" s="63"/>
      <c r="G45" s="63"/>
      <c r="H45" s="63"/>
      <c r="I45" s="63"/>
      <c r="K45" s="63"/>
      <c r="M45" s="63"/>
      <c r="N45" s="163"/>
      <c r="O45" s="63"/>
      <c r="P45" s="63"/>
      <c r="Q45" s="63"/>
      <c r="S45" s="63"/>
      <c r="U45" s="63"/>
      <c r="V45" s="63"/>
      <c r="W45" s="63"/>
      <c r="X45" s="63"/>
      <c r="Y45" s="63"/>
      <c r="Z45" s="63"/>
      <c r="AA45" s="63"/>
      <c r="AB45" s="63"/>
      <c r="AC45" s="63"/>
      <c r="AD45" s="63"/>
      <c r="AE45" s="63"/>
      <c r="AF45" s="63"/>
      <c r="AG45" s="63"/>
      <c r="AH45" s="63"/>
      <c r="AI45" s="63"/>
      <c r="AJ45" s="63"/>
    </row>
    <row r="46" spans="1:38">
      <c r="A46" s="117"/>
      <c r="B46" s="57"/>
      <c r="C46" s="57"/>
      <c r="D46" s="57"/>
      <c r="E46" s="57"/>
      <c r="F46" s="57"/>
      <c r="G46" s="57"/>
      <c r="H46" s="57"/>
      <c r="I46" s="57"/>
      <c r="K46" s="57"/>
      <c r="M46" s="57"/>
      <c r="N46" s="153"/>
      <c r="O46" s="57"/>
      <c r="P46" s="57"/>
      <c r="Q46" s="57"/>
      <c r="S46" s="57"/>
      <c r="U46" s="57"/>
      <c r="V46" s="57"/>
      <c r="W46" s="57"/>
      <c r="X46" s="57"/>
      <c r="Y46" s="57"/>
      <c r="Z46" s="57"/>
      <c r="AA46" s="57"/>
      <c r="AB46" s="57"/>
      <c r="AC46" s="57"/>
      <c r="AD46" s="57"/>
      <c r="AE46" s="57"/>
      <c r="AF46" s="57"/>
      <c r="AG46" s="57"/>
      <c r="AH46" s="57"/>
      <c r="AI46" s="57"/>
      <c r="AJ46" s="57"/>
    </row>
    <row r="47" spans="1:38">
      <c r="A47" s="121"/>
      <c r="B47" s="63"/>
      <c r="C47" s="63"/>
      <c r="D47" s="63"/>
      <c r="E47" s="63"/>
      <c r="F47" s="63"/>
      <c r="G47" s="63"/>
      <c r="H47" s="63"/>
      <c r="I47" s="63"/>
      <c r="K47" s="63"/>
      <c r="M47" s="63"/>
      <c r="N47" s="163"/>
      <c r="O47" s="63"/>
      <c r="P47" s="63"/>
      <c r="Q47" s="63"/>
      <c r="S47" s="63"/>
      <c r="U47" s="63"/>
      <c r="V47" s="63"/>
      <c r="W47" s="63"/>
      <c r="X47" s="63"/>
      <c r="Y47" s="63"/>
      <c r="Z47" s="63"/>
      <c r="AA47" s="63"/>
      <c r="AB47" s="63"/>
      <c r="AC47" s="63"/>
      <c r="AD47" s="63"/>
      <c r="AE47" s="63"/>
      <c r="AF47" s="63"/>
      <c r="AG47" s="63"/>
      <c r="AH47" s="63"/>
      <c r="AI47" s="63"/>
      <c r="AJ47" s="63"/>
    </row>
    <row r="48" spans="1:38">
      <c r="A48" s="117"/>
      <c r="B48" s="57"/>
      <c r="C48" s="57"/>
      <c r="D48" s="57"/>
      <c r="E48" s="57"/>
      <c r="F48" s="57"/>
      <c r="G48" s="57"/>
      <c r="H48" s="57"/>
      <c r="I48" s="57"/>
      <c r="K48" s="57"/>
      <c r="M48" s="57"/>
      <c r="N48" s="153"/>
      <c r="O48" s="57"/>
      <c r="P48" s="57"/>
      <c r="Q48" s="57"/>
      <c r="S48" s="57"/>
      <c r="U48" s="57"/>
      <c r="V48" s="57"/>
      <c r="W48" s="57"/>
      <c r="X48" s="57"/>
      <c r="Y48" s="57"/>
      <c r="Z48" s="57"/>
      <c r="AA48" s="57"/>
      <c r="AB48" s="57"/>
      <c r="AC48" s="57"/>
      <c r="AD48" s="57"/>
      <c r="AE48" s="57"/>
      <c r="AF48" s="57"/>
      <c r="AG48" s="57"/>
      <c r="AH48" s="57"/>
      <c r="AI48" s="57"/>
      <c r="AJ48" s="57"/>
    </row>
    <row r="49" spans="1:36">
      <c r="A49" s="121"/>
      <c r="B49" s="63"/>
      <c r="C49" s="63"/>
      <c r="D49" s="63"/>
      <c r="E49" s="63"/>
      <c r="F49" s="63"/>
      <c r="G49" s="63"/>
      <c r="H49" s="63"/>
      <c r="I49" s="63"/>
      <c r="K49" s="63"/>
      <c r="M49" s="63"/>
      <c r="N49" s="163"/>
      <c r="O49" s="63"/>
      <c r="P49" s="63"/>
      <c r="Q49" s="63"/>
      <c r="S49" s="63"/>
      <c r="U49" s="63"/>
      <c r="V49" s="63"/>
      <c r="W49" s="63"/>
      <c r="X49" s="63"/>
      <c r="Y49" s="63"/>
      <c r="Z49" s="63"/>
      <c r="AA49" s="63"/>
      <c r="AB49" s="63"/>
      <c r="AC49" s="63"/>
      <c r="AD49" s="63"/>
      <c r="AE49" s="63"/>
      <c r="AF49" s="63"/>
      <c r="AG49" s="63"/>
      <c r="AH49" s="63"/>
      <c r="AI49" s="63"/>
      <c r="AJ49" s="63"/>
    </row>
    <row r="50" spans="1:36">
      <c r="A50" s="117"/>
      <c r="B50" s="57"/>
      <c r="C50" s="57"/>
      <c r="D50" s="57"/>
      <c r="E50" s="57"/>
      <c r="F50" s="57"/>
      <c r="G50" s="57"/>
      <c r="H50" s="57"/>
      <c r="I50" s="57"/>
      <c r="K50" s="57"/>
      <c r="M50" s="57"/>
      <c r="N50" s="153"/>
      <c r="O50" s="57"/>
      <c r="P50" s="57"/>
      <c r="Q50" s="57"/>
      <c r="S50" s="57"/>
      <c r="U50" s="57"/>
      <c r="V50" s="57"/>
      <c r="W50" s="57"/>
      <c r="X50" s="57"/>
      <c r="Y50" s="57"/>
      <c r="Z50" s="57"/>
      <c r="AA50" s="57"/>
      <c r="AB50" s="57"/>
      <c r="AC50" s="57"/>
      <c r="AD50" s="57"/>
      <c r="AE50" s="57"/>
      <c r="AF50" s="57"/>
      <c r="AG50" s="57"/>
      <c r="AH50" s="57"/>
      <c r="AI50" s="57"/>
      <c r="AJ50" s="57"/>
    </row>
    <row r="51" spans="1:36">
      <c r="A51" s="121"/>
      <c r="B51" s="63"/>
      <c r="C51" s="63"/>
      <c r="D51" s="63"/>
      <c r="E51" s="63"/>
      <c r="F51" s="63"/>
      <c r="G51" s="63"/>
      <c r="H51" s="63"/>
      <c r="I51" s="63"/>
      <c r="K51" s="63"/>
      <c r="M51" s="63"/>
      <c r="N51" s="163"/>
      <c r="O51" s="63"/>
      <c r="P51" s="63"/>
      <c r="Q51" s="63"/>
      <c r="S51" s="63"/>
      <c r="U51" s="63"/>
      <c r="V51" s="63"/>
      <c r="W51" s="63"/>
      <c r="X51" s="63"/>
      <c r="Y51" s="63"/>
      <c r="Z51" s="63"/>
      <c r="AA51" s="63"/>
      <c r="AB51" s="63"/>
      <c r="AC51" s="63"/>
      <c r="AD51" s="63"/>
      <c r="AE51" s="63"/>
      <c r="AF51" s="63"/>
      <c r="AG51" s="63"/>
      <c r="AH51" s="63"/>
      <c r="AI51" s="63"/>
      <c r="AJ51" s="63"/>
    </row>
    <row r="52" spans="1:36">
      <c r="A52" s="117"/>
      <c r="B52" s="57"/>
      <c r="C52" s="57"/>
      <c r="D52" s="57"/>
      <c r="E52" s="57"/>
      <c r="F52" s="57"/>
      <c r="G52" s="57"/>
      <c r="H52" s="57"/>
      <c r="I52" s="57"/>
      <c r="K52" s="57"/>
      <c r="M52" s="57"/>
      <c r="N52" s="153"/>
      <c r="O52" s="57"/>
      <c r="P52" s="57"/>
      <c r="Q52" s="57"/>
      <c r="S52" s="57"/>
      <c r="U52" s="57"/>
      <c r="V52" s="57"/>
      <c r="W52" s="57"/>
      <c r="X52" s="57"/>
      <c r="Y52" s="57"/>
      <c r="Z52" s="57"/>
      <c r="AA52" s="57"/>
      <c r="AB52" s="57"/>
      <c r="AC52" s="57"/>
      <c r="AD52" s="57"/>
      <c r="AE52" s="57"/>
      <c r="AF52" s="57"/>
      <c r="AG52" s="57"/>
      <c r="AH52" s="57"/>
      <c r="AI52" s="57"/>
      <c r="AJ52" s="57"/>
    </row>
    <row r="53" spans="1:36">
      <c r="A53" s="121"/>
      <c r="B53" s="63"/>
      <c r="C53" s="63"/>
      <c r="D53" s="63"/>
      <c r="E53" s="63"/>
      <c r="F53" s="63"/>
      <c r="G53" s="63"/>
      <c r="H53" s="63"/>
      <c r="I53" s="63"/>
      <c r="K53" s="63"/>
      <c r="M53" s="63"/>
      <c r="N53" s="163"/>
      <c r="O53" s="63"/>
      <c r="P53" s="63"/>
      <c r="Q53" s="63"/>
      <c r="S53" s="63"/>
      <c r="U53" s="63"/>
      <c r="V53" s="63"/>
      <c r="W53" s="63"/>
      <c r="X53" s="63"/>
      <c r="Y53" s="63"/>
      <c r="Z53" s="63"/>
      <c r="AA53" s="63"/>
      <c r="AB53" s="63"/>
      <c r="AC53" s="63"/>
      <c r="AD53" s="63"/>
      <c r="AE53" s="63"/>
      <c r="AF53" s="63"/>
      <c r="AG53" s="63"/>
      <c r="AH53" s="63"/>
      <c r="AI53" s="63"/>
      <c r="AJ53" s="63"/>
    </row>
    <row r="54" spans="1:36">
      <c r="A54" s="117"/>
      <c r="B54" s="57"/>
      <c r="C54" s="57"/>
      <c r="D54" s="57"/>
      <c r="E54" s="57"/>
      <c r="F54" s="57"/>
      <c r="G54" s="57"/>
      <c r="H54" s="57"/>
      <c r="I54" s="57"/>
      <c r="K54" s="57"/>
      <c r="M54" s="57"/>
      <c r="N54" s="153"/>
      <c r="O54" s="57"/>
      <c r="P54" s="57"/>
      <c r="Q54" s="57"/>
      <c r="S54" s="57"/>
      <c r="U54" s="57"/>
      <c r="V54" s="57"/>
      <c r="W54" s="57"/>
      <c r="X54" s="57"/>
      <c r="Y54" s="57"/>
      <c r="Z54" s="57"/>
      <c r="AA54" s="57"/>
      <c r="AB54" s="57"/>
      <c r="AC54" s="57"/>
      <c r="AD54" s="57"/>
      <c r="AE54" s="57"/>
      <c r="AF54" s="57"/>
      <c r="AG54" s="57"/>
      <c r="AH54" s="57"/>
      <c r="AI54" s="57"/>
      <c r="AJ54" s="57"/>
    </row>
    <row r="55" spans="1:36">
      <c r="A55" s="121"/>
      <c r="B55" s="63"/>
      <c r="C55" s="63"/>
      <c r="D55" s="63"/>
      <c r="E55" s="63"/>
      <c r="F55" s="63"/>
      <c r="G55" s="63"/>
      <c r="H55" s="63"/>
      <c r="I55" s="63"/>
      <c r="K55" s="63"/>
      <c r="M55" s="63"/>
      <c r="N55" s="163"/>
      <c r="O55" s="63"/>
      <c r="P55" s="63"/>
      <c r="Q55" s="63"/>
      <c r="S55" s="63"/>
      <c r="U55" s="63"/>
      <c r="V55" s="63"/>
      <c r="W55" s="63"/>
      <c r="X55" s="63"/>
      <c r="Y55" s="63"/>
      <c r="Z55" s="63"/>
      <c r="AA55" s="63"/>
      <c r="AB55" s="63"/>
      <c r="AC55" s="63"/>
      <c r="AD55" s="63"/>
      <c r="AE55" s="63"/>
      <c r="AF55" s="63"/>
      <c r="AG55" s="63"/>
      <c r="AH55" s="63"/>
      <c r="AI55" s="63"/>
      <c r="AJ55" s="63"/>
    </row>
    <row r="56" spans="1:36">
      <c r="A56" s="117"/>
      <c r="B56" s="57"/>
      <c r="C56" s="57"/>
      <c r="D56" s="57"/>
      <c r="E56" s="57"/>
      <c r="F56" s="57"/>
      <c r="G56" s="57"/>
      <c r="H56" s="57"/>
      <c r="I56" s="57"/>
      <c r="K56" s="57"/>
      <c r="M56" s="57"/>
      <c r="N56" s="153"/>
      <c r="O56" s="57"/>
      <c r="P56" s="57"/>
      <c r="Q56" s="57"/>
      <c r="S56" s="57"/>
      <c r="U56" s="57"/>
      <c r="V56" s="57"/>
      <c r="W56" s="57"/>
      <c r="X56" s="57"/>
      <c r="Y56" s="57"/>
      <c r="Z56" s="57"/>
      <c r="AA56" s="57"/>
      <c r="AB56" s="57"/>
      <c r="AC56" s="57"/>
      <c r="AD56" s="57"/>
      <c r="AE56" s="57"/>
      <c r="AF56" s="57"/>
      <c r="AG56" s="57"/>
      <c r="AH56" s="57"/>
      <c r="AI56" s="57"/>
      <c r="AJ56" s="57"/>
    </row>
  </sheetData>
  <mergeCells count="41">
    <mergeCell ref="AA29:AB29"/>
    <mergeCell ref="AD29:AE29"/>
    <mergeCell ref="K16:L16"/>
    <mergeCell ref="M16:N16"/>
    <mergeCell ref="G29:H29"/>
    <mergeCell ref="I29:J29"/>
    <mergeCell ref="K29:L29"/>
    <mergeCell ref="M29:N29"/>
    <mergeCell ref="O29:P29"/>
    <mergeCell ref="Q29:R29"/>
    <mergeCell ref="S29:T29"/>
    <mergeCell ref="U29:V29"/>
    <mergeCell ref="W29:X29"/>
    <mergeCell ref="Y29:Z29"/>
    <mergeCell ref="U16:V16"/>
    <mergeCell ref="Y16:Z16"/>
    <mergeCell ref="AA16:AB16"/>
    <mergeCell ref="AD16:AE16"/>
    <mergeCell ref="G13:H13"/>
    <mergeCell ref="M13:N13"/>
    <mergeCell ref="O13:P13"/>
    <mergeCell ref="U13:V13"/>
    <mergeCell ref="W13:X13"/>
    <mergeCell ref="G16:H16"/>
    <mergeCell ref="I16:J16"/>
    <mergeCell ref="W16:X16"/>
    <mergeCell ref="Q3:R3"/>
    <mergeCell ref="S3:T3"/>
    <mergeCell ref="O16:P16"/>
    <mergeCell ref="Q16:R16"/>
    <mergeCell ref="S16:T16"/>
    <mergeCell ref="G3:H3"/>
    <mergeCell ref="I3:J3"/>
    <mergeCell ref="K3:L3"/>
    <mergeCell ref="M3:N3"/>
    <mergeCell ref="O3:P3"/>
    <mergeCell ref="U3:V3"/>
    <mergeCell ref="W3:X3"/>
    <mergeCell ref="Y3:Z3"/>
    <mergeCell ref="AA3:AB3"/>
    <mergeCell ref="AD3:AE3"/>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outlinePr summaryBelow="0" summaryRight="0"/>
  </sheetPr>
  <dimension ref="A1:O64"/>
  <sheetViews>
    <sheetView workbookViewId="0"/>
  </sheetViews>
  <sheetFormatPr defaultColWidth="14.42578125" defaultRowHeight="15.75" customHeight="1"/>
  <cols>
    <col min="1" max="1" width="38" customWidth="1"/>
    <col min="2" max="7" width="7" customWidth="1"/>
    <col min="8" max="8" width="5.7109375" customWidth="1"/>
    <col min="9" max="9" width="40.85546875" customWidth="1"/>
    <col min="10" max="15" width="7" customWidth="1"/>
  </cols>
  <sheetData>
    <row r="1" spans="1:15">
      <c r="A1" s="165" t="str">
        <f t="array" ref="A1:F36">TRANSPOSE('Table 3c'!A4:AJ9)</f>
        <v>Decade</v>
      </c>
      <c r="B1" s="166" t="str">
        <v>1980s</v>
      </c>
      <c r="C1" s="166" t="str">
        <v>1990s</v>
      </c>
      <c r="D1" s="166" t="str">
        <v>2000s</v>
      </c>
      <c r="E1" s="166" t="str">
        <v>2010s</v>
      </c>
      <c r="F1" s="166" t="str">
        <v>2020s</v>
      </c>
      <c r="G1" s="167" t="s">
        <v>240</v>
      </c>
      <c r="H1" s="168"/>
      <c r="I1" s="167" t="str">
        <f ca="1">IFERROR(__xludf.DUMMYFUNCTION("QUERY(A1:G2,""select *"")"),"Decade")</f>
        <v>Decade</v>
      </c>
      <c r="J1" s="167" t="str">
        <f ca="1">IFERROR(__xludf.DUMMYFUNCTION("""COMPUTED_VALUE"""),"1980s")</f>
        <v>1980s</v>
      </c>
      <c r="K1" s="167" t="str">
        <f ca="1">IFERROR(__xludf.DUMMYFUNCTION("""COMPUTED_VALUE"""),"1990s")</f>
        <v>1990s</v>
      </c>
      <c r="L1" s="167" t="str">
        <f ca="1">IFERROR(__xludf.DUMMYFUNCTION("""COMPUTED_VALUE"""),"2000s")</f>
        <v>2000s</v>
      </c>
      <c r="M1" s="167" t="str">
        <f ca="1">IFERROR(__xludf.DUMMYFUNCTION("""COMPUTED_VALUE"""),"2010s")</f>
        <v>2010s</v>
      </c>
      <c r="N1" s="167" t="str">
        <f ca="1">IFERROR(__xludf.DUMMYFUNCTION("""COMPUTED_VALUE"""),"2020s")</f>
        <v>2020s</v>
      </c>
      <c r="O1" s="167" t="str">
        <f ca="1">IFERROR(__xludf.DUMMYFUNCTION("""COMPUTED_VALUE"""),"All")</f>
        <v>All</v>
      </c>
    </row>
    <row r="2" spans="1:15">
      <c r="A2" s="169" t="str">
        <v>Number of studies, n</v>
      </c>
      <c r="B2" s="170">
        <f ca="1"/>
        <v>31</v>
      </c>
      <c r="C2" s="170">
        <f ca="1"/>
        <v>68</v>
      </c>
      <c r="D2" s="170">
        <f ca="1"/>
        <v>57</v>
      </c>
      <c r="E2" s="170">
        <f ca="1"/>
        <v>106</v>
      </c>
      <c r="F2" s="170">
        <f ca="1"/>
        <v>22</v>
      </c>
      <c r="G2" s="170">
        <f t="shared" ref="G2:G7" ca="1" si="0">SUM(B2:F2)</f>
        <v>284</v>
      </c>
      <c r="H2" s="171"/>
      <c r="I2" s="172" t="str">
        <f ca="1">IFERROR(__xludf.DUMMYFUNCTION("""COMPUTED_VALUE"""),"Number of studies, n")</f>
        <v>Number of studies, n</v>
      </c>
      <c r="J2" s="170">
        <f ca="1">IFERROR(__xludf.DUMMYFUNCTION("""COMPUTED_VALUE"""),31)</f>
        <v>31</v>
      </c>
      <c r="K2" s="170">
        <f ca="1">IFERROR(__xludf.DUMMYFUNCTION("""COMPUTED_VALUE"""),68)</f>
        <v>68</v>
      </c>
      <c r="L2" s="170">
        <f ca="1">IFERROR(__xludf.DUMMYFUNCTION("""COMPUTED_VALUE"""),57)</f>
        <v>57</v>
      </c>
      <c r="M2" s="170">
        <f ca="1">IFERROR(__xludf.DUMMYFUNCTION("""COMPUTED_VALUE"""),106)</f>
        <v>106</v>
      </c>
      <c r="N2" s="170">
        <f ca="1">IFERROR(__xludf.DUMMYFUNCTION("""COMPUTED_VALUE"""),22)</f>
        <v>22</v>
      </c>
      <c r="O2" s="170">
        <f ca="1">IFERROR(__xludf.DUMMYFUNCTION("""COMPUTED_VALUE"""),284)</f>
        <v>284</v>
      </c>
    </row>
    <row r="3" spans="1:15">
      <c r="A3" s="173" t="str">
        <v>Number of challenged participants, n</v>
      </c>
      <c r="B3" s="174">
        <f ca="1"/>
        <v>1761</v>
      </c>
      <c r="C3" s="174">
        <f ca="1"/>
        <v>4181</v>
      </c>
      <c r="D3" s="174">
        <f ca="1"/>
        <v>2907</v>
      </c>
      <c r="E3" s="174">
        <f ca="1"/>
        <v>4789</v>
      </c>
      <c r="F3" s="174">
        <f ca="1"/>
        <v>990</v>
      </c>
      <c r="G3" s="174">
        <f t="shared" ca="1" si="0"/>
        <v>14628</v>
      </c>
      <c r="H3" s="175"/>
      <c r="I3" s="429" t="s">
        <v>241</v>
      </c>
      <c r="J3" s="423"/>
      <c r="K3" s="423"/>
      <c r="L3" s="423"/>
      <c r="M3" s="423"/>
      <c r="N3" s="423"/>
      <c r="O3" s="430"/>
    </row>
    <row r="4" spans="1:15">
      <c r="A4" s="169" t="str">
        <v>Number of non-challenged participants, n</v>
      </c>
      <c r="B4" s="170">
        <f ca="1"/>
        <v>18</v>
      </c>
      <c r="C4" s="170">
        <f ca="1"/>
        <v>47</v>
      </c>
      <c r="D4" s="170">
        <f ca="1"/>
        <v>37</v>
      </c>
      <c r="E4" s="170">
        <f ca="1"/>
        <v>256</v>
      </c>
      <c r="F4" s="170">
        <f ca="1"/>
        <v>75</v>
      </c>
      <c r="G4" s="170">
        <f t="shared" ca="1" si="0"/>
        <v>433</v>
      </c>
      <c r="H4" s="171"/>
      <c r="I4" s="172" t="str">
        <f ca="1">IFERROR(__xludf.DUMMYFUNCTION("QUERY(A3:G6,""select *"")"),"Number of challenged participants, n")</f>
        <v>Number of challenged participants, n</v>
      </c>
      <c r="J4" s="170">
        <f ca="1">IFERROR(__xludf.DUMMYFUNCTION("""COMPUTED_VALUE"""),1761)</f>
        <v>1761</v>
      </c>
      <c r="K4" s="170">
        <f ca="1">IFERROR(__xludf.DUMMYFUNCTION("""COMPUTED_VALUE"""),4181)</f>
        <v>4181</v>
      </c>
      <c r="L4" s="170">
        <f ca="1">IFERROR(__xludf.DUMMYFUNCTION("""COMPUTED_VALUE"""),2907)</f>
        <v>2907</v>
      </c>
      <c r="M4" s="170">
        <f ca="1">IFERROR(__xludf.DUMMYFUNCTION("""COMPUTED_VALUE"""),4789)</f>
        <v>4789</v>
      </c>
      <c r="N4" s="170">
        <f ca="1">IFERROR(__xludf.DUMMYFUNCTION("""COMPUTED_VALUE"""),990)</f>
        <v>990</v>
      </c>
      <c r="O4" s="170">
        <f ca="1">IFERROR(__xludf.DUMMYFUNCTION("""COMPUTED_VALUE"""),14628)</f>
        <v>14628</v>
      </c>
    </row>
    <row r="5" spans="1:15">
      <c r="A5" s="173" t="str">
        <v>Number of challenged participants diagnosed with infection, n</v>
      </c>
      <c r="B5" s="174">
        <f ca="1"/>
        <v>1158</v>
      </c>
      <c r="C5" s="174">
        <f ca="1"/>
        <v>2926</v>
      </c>
      <c r="D5" s="174">
        <f ca="1"/>
        <v>2172</v>
      </c>
      <c r="E5" s="174">
        <f ca="1"/>
        <v>2832</v>
      </c>
      <c r="F5" s="174">
        <f ca="1"/>
        <v>657</v>
      </c>
      <c r="G5" s="174">
        <f t="shared" ca="1" si="0"/>
        <v>9745</v>
      </c>
      <c r="H5" s="176"/>
      <c r="I5" s="177" t="str">
        <f ca="1">IFERROR(__xludf.DUMMYFUNCTION("""COMPUTED_VALUE"""),"Number of non-challenged participants, n")</f>
        <v>Number of non-challenged participants, n</v>
      </c>
      <c r="J5" s="174">
        <f ca="1">IFERROR(__xludf.DUMMYFUNCTION("""COMPUTED_VALUE"""),18)</f>
        <v>18</v>
      </c>
      <c r="K5" s="174">
        <f ca="1">IFERROR(__xludf.DUMMYFUNCTION("""COMPUTED_VALUE"""),47)</f>
        <v>47</v>
      </c>
      <c r="L5" s="174">
        <f ca="1">IFERROR(__xludf.DUMMYFUNCTION("""COMPUTED_VALUE"""),37)</f>
        <v>37</v>
      </c>
      <c r="M5" s="174">
        <f ca="1">IFERROR(__xludf.DUMMYFUNCTION("""COMPUTED_VALUE"""),256)</f>
        <v>256</v>
      </c>
      <c r="N5" s="174">
        <f ca="1">IFERROR(__xludf.DUMMYFUNCTION("""COMPUTED_VALUE"""),75)</f>
        <v>75</v>
      </c>
      <c r="O5" s="174">
        <f ca="1">IFERROR(__xludf.DUMMYFUNCTION("""COMPUTED_VALUE"""),433)</f>
        <v>433</v>
      </c>
    </row>
    <row r="6" spans="1:15">
      <c r="A6" s="169" t="str">
        <v>Number of challenged participants diagnosed with infection (minimum), n</v>
      </c>
      <c r="B6" s="170">
        <f ca="1"/>
        <v>1272</v>
      </c>
      <c r="C6" s="170">
        <f ca="1"/>
        <v>2956</v>
      </c>
      <c r="D6" s="170">
        <f ca="1"/>
        <v>2172</v>
      </c>
      <c r="E6" s="170">
        <f ca="1"/>
        <v>2860</v>
      </c>
      <c r="F6" s="170">
        <f ca="1"/>
        <v>657</v>
      </c>
      <c r="G6" s="170">
        <f t="shared" ca="1" si="0"/>
        <v>9917</v>
      </c>
      <c r="H6" s="171"/>
      <c r="I6" s="172" t="str">
        <f ca="1">IFERROR(__xludf.DUMMYFUNCTION("""COMPUTED_VALUE"""),"Number of challenged participants diagnosed with infection, n")</f>
        <v>Number of challenged participants diagnosed with infection, n</v>
      </c>
      <c r="J6" s="170">
        <f ca="1">IFERROR(__xludf.DUMMYFUNCTION("""COMPUTED_VALUE"""),1158)</f>
        <v>1158</v>
      </c>
      <c r="K6" s="170">
        <f ca="1">IFERROR(__xludf.DUMMYFUNCTION("""COMPUTED_VALUE"""),2926)</f>
        <v>2926</v>
      </c>
      <c r="L6" s="170">
        <f ca="1">IFERROR(__xludf.DUMMYFUNCTION("""COMPUTED_VALUE"""),2172)</f>
        <v>2172</v>
      </c>
      <c r="M6" s="170">
        <f ca="1">IFERROR(__xludf.DUMMYFUNCTION("""COMPUTED_VALUE"""),2832)</f>
        <v>2832</v>
      </c>
      <c r="N6" s="170">
        <f ca="1">IFERROR(__xludf.DUMMYFUNCTION("""COMPUTED_VALUE"""),657)</f>
        <v>657</v>
      </c>
      <c r="O6" s="170">
        <f ca="1">IFERROR(__xludf.DUMMYFUNCTION("""COMPUTED_VALUE"""),9745)</f>
        <v>9745</v>
      </c>
    </row>
    <row r="7" spans="1:15">
      <c r="A7" s="173" t="str">
        <v>Number of challenged participants diagnosed with infection (maximum), n</v>
      </c>
      <c r="B7" s="174">
        <f ca="1"/>
        <v>1385</v>
      </c>
      <c r="C7" s="174">
        <f ca="1"/>
        <v>3040</v>
      </c>
      <c r="D7" s="174">
        <f ca="1"/>
        <v>2193</v>
      </c>
      <c r="E7" s="174">
        <f ca="1"/>
        <v>2980</v>
      </c>
      <c r="F7" s="174">
        <f ca="1"/>
        <v>679</v>
      </c>
      <c r="G7" s="174">
        <f t="shared" ca="1" si="0"/>
        <v>10277</v>
      </c>
      <c r="H7" s="176"/>
      <c r="I7" s="177" t="str">
        <f ca="1">IFERROR(__xludf.DUMMYFUNCTION("""COMPUTED_VALUE"""),"Number of challenged participants diagnosed with infection (minimum), n")</f>
        <v>Number of challenged participants diagnosed with infection (minimum), n</v>
      </c>
      <c r="J7" s="174">
        <f ca="1">IFERROR(__xludf.DUMMYFUNCTION("""COMPUTED_VALUE"""),1272)</f>
        <v>1272</v>
      </c>
      <c r="K7" s="174">
        <f ca="1">IFERROR(__xludf.DUMMYFUNCTION("""COMPUTED_VALUE"""),2956)</f>
        <v>2956</v>
      </c>
      <c r="L7" s="174">
        <f ca="1">IFERROR(__xludf.DUMMYFUNCTION("""COMPUTED_VALUE"""),2172)</f>
        <v>2172</v>
      </c>
      <c r="M7" s="174">
        <f ca="1">IFERROR(__xludf.DUMMYFUNCTION("""COMPUTED_VALUE"""),2860)</f>
        <v>2860</v>
      </c>
      <c r="N7" s="174">
        <f ca="1">IFERROR(__xludf.DUMMYFUNCTION("""COMPUTED_VALUE"""),657)</f>
        <v>657</v>
      </c>
      <c r="O7" s="174">
        <f ca="1">IFERROR(__xludf.DUMMYFUNCTION("""COMPUTED_VALUE"""),9917)</f>
        <v>9917</v>
      </c>
    </row>
    <row r="8" spans="1:15">
      <c r="A8" s="169" t="str">
        <v>Number of non-challenged participants diagnosed with infection, n</v>
      </c>
      <c r="B8" s="170">
        <f ca="1"/>
        <v>0</v>
      </c>
      <c r="C8" s="170">
        <f ca="1"/>
        <v>0</v>
      </c>
      <c r="D8" s="170">
        <f ca="1"/>
        <v>0</v>
      </c>
      <c r="E8" s="170">
        <f ca="1"/>
        <v>0</v>
      </c>
      <c r="F8" s="170">
        <f ca="1"/>
        <v>1</v>
      </c>
      <c r="G8" s="170"/>
      <c r="H8" s="178"/>
      <c r="I8" s="431" t="s">
        <v>242</v>
      </c>
      <c r="J8" s="427"/>
      <c r="K8" s="427"/>
      <c r="L8" s="427"/>
      <c r="M8" s="427"/>
      <c r="N8" s="427"/>
      <c r="O8" s="432"/>
    </row>
    <row r="9" spans="1:15">
      <c r="A9" s="173" t="str">
        <v>Number of challenged participants with AEs, n (%)</v>
      </c>
      <c r="B9" s="174">
        <f ca="1"/>
        <v>336</v>
      </c>
      <c r="C9" s="174">
        <f ca="1"/>
        <v>899</v>
      </c>
      <c r="D9" s="174">
        <f ca="1"/>
        <v>693</v>
      </c>
      <c r="E9" s="174">
        <f ca="1"/>
        <v>1149</v>
      </c>
      <c r="F9" s="174">
        <f ca="1"/>
        <v>244</v>
      </c>
      <c r="G9" s="174">
        <f ca="1">SUM(B9:F9)</f>
        <v>3321</v>
      </c>
      <c r="H9" s="176"/>
      <c r="I9" s="177" t="str">
        <f ca="1">IFERROR(__xludf.DUMMYFUNCTION("QUERY(A7:G7,""select *"")"),"Number of challenged participants diagnosed with infection (maximum), n")</f>
        <v>Number of challenged participants diagnosed with infection (maximum), n</v>
      </c>
      <c r="J9" s="179">
        <f ca="1">IFERROR(__xludf.DUMMYFUNCTION("""COMPUTED_VALUE"""),1385)</f>
        <v>1385</v>
      </c>
      <c r="K9" s="179">
        <f ca="1">IFERROR(__xludf.DUMMYFUNCTION("""COMPUTED_VALUE"""),3040)</f>
        <v>3040</v>
      </c>
      <c r="L9" s="179">
        <f ca="1">IFERROR(__xludf.DUMMYFUNCTION("""COMPUTED_VALUE"""),2193)</f>
        <v>2193</v>
      </c>
      <c r="M9" s="179">
        <f ca="1">IFERROR(__xludf.DUMMYFUNCTION("""COMPUTED_VALUE"""),2980)</f>
        <v>2980</v>
      </c>
      <c r="N9" s="179">
        <f ca="1">IFERROR(__xludf.DUMMYFUNCTION("""COMPUTED_VALUE"""),679)</f>
        <v>679</v>
      </c>
      <c r="O9" s="179">
        <f ca="1">IFERROR(__xludf.DUMMYFUNCTION("""COMPUTED_VALUE"""),10277)</f>
        <v>10277</v>
      </c>
    </row>
    <row r="10" spans="1:15">
      <c r="A10" s="169">
        <v>0</v>
      </c>
      <c r="B10" s="170" t="str">
        <f ca="1"/>
        <v>19.1%</v>
      </c>
      <c r="C10" s="170" t="str">
        <f ca="1"/>
        <v>21.5%</v>
      </c>
      <c r="D10" s="170" t="str">
        <f ca="1"/>
        <v>23.8%</v>
      </c>
      <c r="E10" s="170" t="str">
        <f ca="1"/>
        <v>24.0%</v>
      </c>
      <c r="F10" s="170" t="str">
        <f ca="1"/>
        <v>24.6%</v>
      </c>
      <c r="G10" s="170"/>
      <c r="H10" s="171"/>
      <c r="I10" s="180" t="str">
        <f ca="1">IFERROR(__xludf.DUMMYFUNCTION("QUERY(A8:G8,""select *"")"),"Number of non-challenged participants diagnosed with infection, n")</f>
        <v>Number of non-challenged participants diagnosed with infection, n</v>
      </c>
      <c r="J10" s="181">
        <f ca="1">IFERROR(__xludf.DUMMYFUNCTION("""COMPUTED_VALUE"""),0)</f>
        <v>0</v>
      </c>
      <c r="K10" s="181">
        <f ca="1">IFERROR(__xludf.DUMMYFUNCTION("""COMPUTED_VALUE"""),0)</f>
        <v>0</v>
      </c>
      <c r="L10" s="181">
        <f ca="1">IFERROR(__xludf.DUMMYFUNCTION("""COMPUTED_VALUE"""),0)</f>
        <v>0</v>
      </c>
      <c r="M10" s="181">
        <f ca="1">IFERROR(__xludf.DUMMYFUNCTION("""COMPUTED_VALUE"""),0)</f>
        <v>0</v>
      </c>
      <c r="N10" s="181">
        <f ca="1">IFERROR(__xludf.DUMMYFUNCTION("""COMPUTED_VALUE"""),1)</f>
        <v>1</v>
      </c>
      <c r="O10" s="181"/>
    </row>
    <row r="11" spans="1:15">
      <c r="A11" s="173" t="str">
        <v>Number of challenged participants with AEs (Minimum), n (%)</v>
      </c>
      <c r="B11" s="174">
        <f ca="1"/>
        <v>389</v>
      </c>
      <c r="C11" s="174">
        <f ca="1"/>
        <v>1192</v>
      </c>
      <c r="D11" s="174">
        <f ca="1"/>
        <v>743</v>
      </c>
      <c r="E11" s="174">
        <f ca="1"/>
        <v>1576</v>
      </c>
      <c r="F11" s="174">
        <f ca="1"/>
        <v>417</v>
      </c>
      <c r="G11" s="174">
        <f ca="1">SUM(B11:F11)</f>
        <v>4317</v>
      </c>
      <c r="H11" s="176"/>
      <c r="I11" s="182" t="str">
        <f ca="1">IFERROR(__xludf.DUMMYFUNCTION("QUERY(A9:G9,""select *"")"),"Number of challenged participants with AEs, n (%)")</f>
        <v>Number of challenged participants with AEs, n (%)</v>
      </c>
      <c r="J11" s="179">
        <f ca="1">IFERROR(__xludf.DUMMYFUNCTION("""COMPUTED_VALUE"""),336)</f>
        <v>336</v>
      </c>
      <c r="K11" s="179">
        <f ca="1">IFERROR(__xludf.DUMMYFUNCTION("""COMPUTED_VALUE"""),899)</f>
        <v>899</v>
      </c>
      <c r="L11" s="179">
        <f ca="1">IFERROR(__xludf.DUMMYFUNCTION("""COMPUTED_VALUE"""),693)</f>
        <v>693</v>
      </c>
      <c r="M11" s="179">
        <f ca="1">IFERROR(__xludf.DUMMYFUNCTION("""COMPUTED_VALUE"""),1149)</f>
        <v>1149</v>
      </c>
      <c r="N11" s="179">
        <f ca="1">IFERROR(__xludf.DUMMYFUNCTION("""COMPUTED_VALUE"""),244)</f>
        <v>244</v>
      </c>
      <c r="O11" s="179">
        <f ca="1">IFERROR(__xludf.DUMMYFUNCTION("""COMPUTED_VALUE"""),3321)</f>
        <v>3321</v>
      </c>
    </row>
    <row r="12" spans="1:15">
      <c r="A12" s="169">
        <v>0</v>
      </c>
      <c r="B12" s="170" t="str">
        <f ca="1"/>
        <v>22.1%</v>
      </c>
      <c r="C12" s="170" t="str">
        <f ca="1"/>
        <v>28.5%</v>
      </c>
      <c r="D12" s="170" t="str">
        <f ca="1"/>
        <v>25.6%</v>
      </c>
      <c r="E12" s="170" t="str">
        <f ca="1"/>
        <v>32.9%</v>
      </c>
      <c r="F12" s="170" t="str">
        <f ca="1"/>
        <v>42.1%</v>
      </c>
      <c r="G12" s="170"/>
      <c r="H12" s="171"/>
      <c r="I12" s="180" t="str">
        <f ca="1">IFERROR(__xludf.DUMMYFUNCTION("QUERY(A10:G10,""select *"")"),"")</f>
        <v/>
      </c>
      <c r="J12" s="181" t="str">
        <f ca="1">IFERROR(__xludf.DUMMYFUNCTION("""COMPUTED_VALUE"""),"19.1%")</f>
        <v>19.1%</v>
      </c>
      <c r="K12" s="181" t="str">
        <f ca="1">IFERROR(__xludf.DUMMYFUNCTION("""COMPUTED_VALUE"""),"21.5%")</f>
        <v>21.5%</v>
      </c>
      <c r="L12" s="181" t="str">
        <f ca="1">IFERROR(__xludf.DUMMYFUNCTION("""COMPUTED_VALUE"""),"23.8%")</f>
        <v>23.8%</v>
      </c>
      <c r="M12" s="181" t="str">
        <f ca="1">IFERROR(__xludf.DUMMYFUNCTION("""COMPUTED_VALUE"""),"24.0%")</f>
        <v>24.0%</v>
      </c>
      <c r="N12" s="181" t="str">
        <f ca="1">IFERROR(__xludf.DUMMYFUNCTION("""COMPUTED_VALUE"""),"24.6%")</f>
        <v>24.6%</v>
      </c>
      <c r="O12" s="181"/>
    </row>
    <row r="13" spans="1:15">
      <c r="A13" s="173" t="str">
        <v>Number of challenged participants with AEs (Maximum), n (%)</v>
      </c>
      <c r="B13" s="174">
        <f ca="1"/>
        <v>428</v>
      </c>
      <c r="C13" s="174">
        <f ca="1"/>
        <v>1384</v>
      </c>
      <c r="D13" s="174">
        <f ca="1"/>
        <v>1001</v>
      </c>
      <c r="E13" s="174">
        <f ca="1"/>
        <v>2210</v>
      </c>
      <c r="F13" s="174">
        <f ca="1"/>
        <v>707</v>
      </c>
      <c r="G13" s="174">
        <f ca="1">SUM(B13:F13)</f>
        <v>5730</v>
      </c>
      <c r="H13" s="155"/>
      <c r="I13" s="182" t="str">
        <f ca="1">IFERROR(__xludf.DUMMYFUNCTION("QUERY(A11:G11,""select *"")"),"Number of challenged participants with AEs (Minimum), n (%)")</f>
        <v>Number of challenged participants with AEs (Minimum), n (%)</v>
      </c>
      <c r="J13" s="183">
        <f ca="1">IFERROR(__xludf.DUMMYFUNCTION("""COMPUTED_VALUE"""),389)</f>
        <v>389</v>
      </c>
      <c r="K13" s="183">
        <f ca="1">IFERROR(__xludf.DUMMYFUNCTION("""COMPUTED_VALUE"""),1192)</f>
        <v>1192</v>
      </c>
      <c r="L13" s="183">
        <f ca="1">IFERROR(__xludf.DUMMYFUNCTION("""COMPUTED_VALUE"""),743)</f>
        <v>743</v>
      </c>
      <c r="M13" s="183">
        <f ca="1">IFERROR(__xludf.DUMMYFUNCTION("""COMPUTED_VALUE"""),1576)</f>
        <v>1576</v>
      </c>
      <c r="N13" s="183">
        <f ca="1">IFERROR(__xludf.DUMMYFUNCTION("""COMPUTED_VALUE"""),417)</f>
        <v>417</v>
      </c>
      <c r="O13" s="183">
        <f ca="1">IFERROR(__xludf.DUMMYFUNCTION("""COMPUTED_VALUE"""),4317)</f>
        <v>4317</v>
      </c>
    </row>
    <row r="14" spans="1:15">
      <c r="A14" s="169">
        <v>0</v>
      </c>
      <c r="B14" s="170" t="str">
        <f ca="1"/>
        <v>24.3%</v>
      </c>
      <c r="C14" s="170" t="str">
        <f ca="1"/>
        <v>33.1%</v>
      </c>
      <c r="D14" s="170" t="str">
        <f ca="1"/>
        <v>34.4%</v>
      </c>
      <c r="E14" s="170" t="str">
        <f ca="1"/>
        <v>46.1%</v>
      </c>
      <c r="F14" s="170" t="str">
        <f ca="1"/>
        <v>71.4%</v>
      </c>
      <c r="G14" s="170"/>
      <c r="H14" s="160"/>
      <c r="I14" s="180" t="str">
        <f ca="1">IFERROR(__xludf.DUMMYFUNCTION("QUERY(A12:G12,""select *"")"),"")</f>
        <v/>
      </c>
      <c r="J14" s="184" t="str">
        <f ca="1">IFERROR(__xludf.DUMMYFUNCTION("""COMPUTED_VALUE"""),"22.1%")</f>
        <v>22.1%</v>
      </c>
      <c r="K14" s="184" t="str">
        <f ca="1">IFERROR(__xludf.DUMMYFUNCTION("""COMPUTED_VALUE"""),"28.5%")</f>
        <v>28.5%</v>
      </c>
      <c r="L14" s="184" t="str">
        <f ca="1">IFERROR(__xludf.DUMMYFUNCTION("""COMPUTED_VALUE"""),"25.6%")</f>
        <v>25.6%</v>
      </c>
      <c r="M14" s="184" t="str">
        <f ca="1">IFERROR(__xludf.DUMMYFUNCTION("""COMPUTED_VALUE"""),"32.9%")</f>
        <v>32.9%</v>
      </c>
      <c r="N14" s="184" t="str">
        <f ca="1">IFERROR(__xludf.DUMMYFUNCTION("""COMPUTED_VALUE"""),"42.1%")</f>
        <v>42.1%</v>
      </c>
      <c r="O14" s="184"/>
    </row>
    <row r="15" spans="1:15">
      <c r="A15" s="173" t="str">
        <v>Number of non-challenged participants with AEs, n (%)</v>
      </c>
      <c r="B15" s="174">
        <f ca="1"/>
        <v>0</v>
      </c>
      <c r="C15" s="174">
        <f ca="1"/>
        <v>0</v>
      </c>
      <c r="D15" s="174">
        <f ca="1"/>
        <v>0</v>
      </c>
      <c r="E15" s="174">
        <f ca="1"/>
        <v>6</v>
      </c>
      <c r="F15" s="174">
        <f ca="1"/>
        <v>0</v>
      </c>
      <c r="G15" s="174">
        <f ca="1">SUM(B15:F15)</f>
        <v>6</v>
      </c>
      <c r="H15" s="185"/>
      <c r="I15" s="177" t="str">
        <f ca="1">IFERROR(__xludf.DUMMYFUNCTION("QUERY(A13:G13,""select *"")"),"Number of challenged participants with AEs (Maximum), n (%)")</f>
        <v>Number of challenged participants with AEs (Maximum), n (%)</v>
      </c>
      <c r="J15" s="174">
        <f ca="1">IFERROR(__xludf.DUMMYFUNCTION("""COMPUTED_VALUE"""),428)</f>
        <v>428</v>
      </c>
      <c r="K15" s="174">
        <f ca="1">IFERROR(__xludf.DUMMYFUNCTION("""COMPUTED_VALUE"""),1384)</f>
        <v>1384</v>
      </c>
      <c r="L15" s="174">
        <f ca="1">IFERROR(__xludf.DUMMYFUNCTION("""COMPUTED_VALUE"""),1001)</f>
        <v>1001</v>
      </c>
      <c r="M15" s="174">
        <f ca="1">IFERROR(__xludf.DUMMYFUNCTION("""COMPUTED_VALUE"""),2210)</f>
        <v>2210</v>
      </c>
      <c r="N15" s="174">
        <f ca="1">IFERROR(__xludf.DUMMYFUNCTION("""COMPUTED_VALUE"""),707)</f>
        <v>707</v>
      </c>
      <c r="O15" s="174">
        <f ca="1">IFERROR(__xludf.DUMMYFUNCTION("""COMPUTED_VALUE"""),5730)</f>
        <v>5730</v>
      </c>
    </row>
    <row r="16" spans="1:15">
      <c r="A16" s="169">
        <v>0</v>
      </c>
      <c r="B16" s="170" t="str">
        <f ca="1"/>
        <v>0.0%</v>
      </c>
      <c r="C16" s="170" t="str">
        <f ca="1"/>
        <v>0.0%</v>
      </c>
      <c r="D16" s="170" t="str">
        <f ca="1"/>
        <v>0.0%</v>
      </c>
      <c r="E16" s="170" t="str">
        <f ca="1"/>
        <v>2.3%</v>
      </c>
      <c r="F16" s="170" t="str">
        <f ca="1"/>
        <v>0.0%</v>
      </c>
      <c r="G16" s="170"/>
      <c r="H16" s="171"/>
      <c r="I16" s="172" t="str">
        <f ca="1">IFERROR(__xludf.DUMMYFUNCTION("QUERY(A14:G14,""select *"")"),"")</f>
        <v/>
      </c>
      <c r="J16" s="170" t="str">
        <f ca="1">IFERROR(__xludf.DUMMYFUNCTION("""COMPUTED_VALUE"""),"24.3%")</f>
        <v>24.3%</v>
      </c>
      <c r="K16" s="170" t="str">
        <f ca="1">IFERROR(__xludf.DUMMYFUNCTION("""COMPUTED_VALUE"""),"33.1%")</f>
        <v>33.1%</v>
      </c>
      <c r="L16" s="170" t="str">
        <f ca="1">IFERROR(__xludf.DUMMYFUNCTION("""COMPUTED_VALUE"""),"34.4%")</f>
        <v>34.4%</v>
      </c>
      <c r="M16" s="170" t="str">
        <f ca="1">IFERROR(__xludf.DUMMYFUNCTION("""COMPUTED_VALUE"""),"46.1%")</f>
        <v>46.1%</v>
      </c>
      <c r="N16" s="170" t="str">
        <f ca="1">IFERROR(__xludf.DUMMYFUNCTION("""COMPUTED_VALUE"""),"71.4%")</f>
        <v>71.4%</v>
      </c>
      <c r="O16" s="170"/>
    </row>
    <row r="17" spans="1:15">
      <c r="A17" s="173" t="str">
        <v>Number of participants with severe or very severe (&gt;=grade 3) AEs, n (%)</v>
      </c>
      <c r="B17" s="174">
        <f ca="1"/>
        <v>9</v>
      </c>
      <c r="C17" s="174">
        <f ca="1"/>
        <v>23</v>
      </c>
      <c r="D17" s="174">
        <f ca="1"/>
        <v>25</v>
      </c>
      <c r="E17" s="174">
        <f ca="1"/>
        <v>143</v>
      </c>
      <c r="F17" s="174">
        <f ca="1"/>
        <v>43</v>
      </c>
      <c r="G17" s="174">
        <f ca="1">SUM(B17:F17)</f>
        <v>243</v>
      </c>
      <c r="H17" s="176"/>
      <c r="I17" s="429" t="s">
        <v>243</v>
      </c>
      <c r="J17" s="423"/>
      <c r="K17" s="423"/>
      <c r="L17" s="423"/>
      <c r="M17" s="423"/>
      <c r="N17" s="423"/>
      <c r="O17" s="430"/>
    </row>
    <row r="18" spans="1:15">
      <c r="A18" s="169">
        <v>0</v>
      </c>
      <c r="B18" s="186" t="str">
        <f ca="1"/>
        <v>0.5%</v>
      </c>
      <c r="C18" s="186" t="str">
        <f ca="1"/>
        <v>0.6%</v>
      </c>
      <c r="D18" s="186" t="str">
        <f ca="1"/>
        <v>0.9%</v>
      </c>
      <c r="E18" s="186" t="str">
        <f ca="1"/>
        <v>3.0%</v>
      </c>
      <c r="F18" s="186" t="str">
        <f ca="1"/>
        <v>4.3%</v>
      </c>
      <c r="G18" s="170"/>
      <c r="H18" s="171"/>
      <c r="I18" s="172" t="str">
        <f ca="1">IFERROR(__xludf.DUMMYFUNCTION("QUERY(A15:G15,""select *"")"),"Number of non-challenged participants with AEs, n (%)")</f>
        <v>Number of non-challenged participants with AEs, n (%)</v>
      </c>
      <c r="J18" s="170">
        <f ca="1">IFERROR(__xludf.DUMMYFUNCTION("""COMPUTED_VALUE"""),0)</f>
        <v>0</v>
      </c>
      <c r="K18" s="170">
        <f ca="1">IFERROR(__xludf.DUMMYFUNCTION("""COMPUTED_VALUE"""),0)</f>
        <v>0</v>
      </c>
      <c r="L18" s="170">
        <f ca="1">IFERROR(__xludf.DUMMYFUNCTION("""COMPUTED_VALUE"""),0)</f>
        <v>0</v>
      </c>
      <c r="M18" s="170">
        <f ca="1">IFERROR(__xludf.DUMMYFUNCTION("""COMPUTED_VALUE"""),6)</f>
        <v>6</v>
      </c>
      <c r="N18" s="170">
        <f ca="1">IFERROR(__xludf.DUMMYFUNCTION("""COMPUTED_VALUE"""),0)</f>
        <v>0</v>
      </c>
      <c r="O18" s="170">
        <f ca="1">IFERROR(__xludf.DUMMYFUNCTION("""COMPUTED_VALUE"""),6)</f>
        <v>6</v>
      </c>
    </row>
    <row r="19" spans="1:15">
      <c r="A19" s="173" t="str">
        <v>Number of challenged participants with severe  or very severe (&gt;=grade 3) AEs (Minimum), n (%)</v>
      </c>
      <c r="B19" s="174">
        <f ca="1"/>
        <v>9</v>
      </c>
      <c r="C19" s="174">
        <f ca="1"/>
        <v>23</v>
      </c>
      <c r="D19" s="174">
        <f ca="1"/>
        <v>31</v>
      </c>
      <c r="E19" s="174">
        <f ca="1"/>
        <v>179</v>
      </c>
      <c r="F19" s="174">
        <f ca="1"/>
        <v>43</v>
      </c>
      <c r="G19" s="174">
        <f ca="1">SUM(B19:F19)</f>
        <v>285</v>
      </c>
      <c r="H19" s="176"/>
      <c r="I19" s="177" t="str">
        <f ca="1">IFERROR(__xludf.DUMMYFUNCTION("QUERY(A16:G16,""select *"")"),"")</f>
        <v/>
      </c>
      <c r="J19" s="174" t="str">
        <f ca="1">IFERROR(__xludf.DUMMYFUNCTION("""COMPUTED_VALUE"""),"0.0%")</f>
        <v>0.0%</v>
      </c>
      <c r="K19" s="174" t="str">
        <f ca="1">IFERROR(__xludf.DUMMYFUNCTION("""COMPUTED_VALUE"""),"0.0%")</f>
        <v>0.0%</v>
      </c>
      <c r="L19" s="174" t="str">
        <f ca="1">IFERROR(__xludf.DUMMYFUNCTION("""COMPUTED_VALUE"""),"0.0%")</f>
        <v>0.0%</v>
      </c>
      <c r="M19" s="174" t="str">
        <f ca="1">IFERROR(__xludf.DUMMYFUNCTION("""COMPUTED_VALUE"""),"2.3%")</f>
        <v>2.3%</v>
      </c>
      <c r="N19" s="174" t="str">
        <f ca="1">IFERROR(__xludf.DUMMYFUNCTION("""COMPUTED_VALUE"""),"0.0%")</f>
        <v>0.0%</v>
      </c>
      <c r="O19" s="174"/>
    </row>
    <row r="20" spans="1:15">
      <c r="A20" s="169">
        <v>0</v>
      </c>
      <c r="B20" s="170" t="str">
        <f ca="1"/>
        <v>0.5%</v>
      </c>
      <c r="C20" s="170" t="str">
        <f ca="1"/>
        <v>0.6%</v>
      </c>
      <c r="D20" s="170" t="str">
        <f ca="1"/>
        <v>1.1%</v>
      </c>
      <c r="E20" s="170" t="str">
        <f ca="1"/>
        <v>3.7%</v>
      </c>
      <c r="F20" s="170" t="str">
        <f ca="1"/>
        <v>4.3%</v>
      </c>
      <c r="G20" s="170"/>
      <c r="H20" s="171"/>
      <c r="I20" s="172" t="str">
        <f ca="1">IFERROR(__xludf.DUMMYFUNCTION("QUERY(A17:G17,""select *"")"),"Number of participants with severe or very severe (&gt;=grade 3) AEs, n (%)")</f>
        <v>Number of participants with severe or very severe (&gt;=grade 3) AEs, n (%)</v>
      </c>
      <c r="J20" s="170">
        <f ca="1">IFERROR(__xludf.DUMMYFUNCTION("""COMPUTED_VALUE"""),9)</f>
        <v>9</v>
      </c>
      <c r="K20" s="170">
        <f ca="1">IFERROR(__xludf.DUMMYFUNCTION("""COMPUTED_VALUE"""),23)</f>
        <v>23</v>
      </c>
      <c r="L20" s="170">
        <f ca="1">IFERROR(__xludf.DUMMYFUNCTION("""COMPUTED_VALUE"""),25)</f>
        <v>25</v>
      </c>
      <c r="M20" s="170">
        <f ca="1">IFERROR(__xludf.DUMMYFUNCTION("""COMPUTED_VALUE"""),143)</f>
        <v>143</v>
      </c>
      <c r="N20" s="170">
        <f ca="1">IFERROR(__xludf.DUMMYFUNCTION("""COMPUTED_VALUE"""),43)</f>
        <v>43</v>
      </c>
      <c r="O20" s="170">
        <f ca="1">IFERROR(__xludf.DUMMYFUNCTION("""COMPUTED_VALUE"""),243)</f>
        <v>243</v>
      </c>
    </row>
    <row r="21" spans="1:15">
      <c r="A21" s="173" t="str">
        <v>Number of challenged participants with severe or very severe (&gt;=grade 3) AEs (Maximum), n (%)</v>
      </c>
      <c r="B21" s="174">
        <f ca="1"/>
        <v>25</v>
      </c>
      <c r="C21" s="174">
        <f ca="1"/>
        <v>23</v>
      </c>
      <c r="D21" s="174">
        <f ca="1"/>
        <v>102</v>
      </c>
      <c r="E21" s="174">
        <f ca="1"/>
        <v>473</v>
      </c>
      <c r="F21" s="174">
        <f ca="1"/>
        <v>178</v>
      </c>
      <c r="G21" s="174">
        <f ca="1">SUM(B21:F21)</f>
        <v>801</v>
      </c>
      <c r="H21" s="176"/>
      <c r="I21" s="177" t="str">
        <f ca="1">IFERROR(__xludf.DUMMYFUNCTION("QUERY(A18:G18,""select *"")"),"")</f>
        <v/>
      </c>
      <c r="J21" s="174" t="str">
        <f ca="1">IFERROR(__xludf.DUMMYFUNCTION("""COMPUTED_VALUE"""),"0.5%")</f>
        <v>0.5%</v>
      </c>
      <c r="K21" s="174" t="str">
        <f ca="1">IFERROR(__xludf.DUMMYFUNCTION("""COMPUTED_VALUE"""),"0.6%")</f>
        <v>0.6%</v>
      </c>
      <c r="L21" s="174" t="str">
        <f ca="1">IFERROR(__xludf.DUMMYFUNCTION("""COMPUTED_VALUE"""),"0.9%")</f>
        <v>0.9%</v>
      </c>
      <c r="M21" s="174" t="str">
        <f ca="1">IFERROR(__xludf.DUMMYFUNCTION("""COMPUTED_VALUE"""),"3.0%")</f>
        <v>3.0%</v>
      </c>
      <c r="N21" s="174" t="str">
        <f ca="1">IFERROR(__xludf.DUMMYFUNCTION("""COMPUTED_VALUE"""),"4.3%")</f>
        <v>4.3%</v>
      </c>
      <c r="O21" s="174"/>
    </row>
    <row r="22" spans="1:15">
      <c r="A22" s="169">
        <v>0</v>
      </c>
      <c r="B22" s="170" t="str">
        <f ca="1"/>
        <v>1.4%</v>
      </c>
      <c r="C22" s="170" t="str">
        <f ca="1"/>
        <v>0.6%</v>
      </c>
      <c r="D22" s="170" t="str">
        <f ca="1"/>
        <v>3.5%</v>
      </c>
      <c r="E22" s="170" t="str">
        <f ca="1"/>
        <v>9.9%</v>
      </c>
      <c r="F22" s="170" t="str">
        <f ca="1"/>
        <v>18.0%</v>
      </c>
      <c r="G22" s="170"/>
      <c r="H22" s="171"/>
      <c r="I22" s="172" t="str">
        <f ca="1">IFERROR(__xludf.DUMMYFUNCTION("query(A19:G19,""select *"")"),"Number of challenged participants with severe  or very severe (&gt;=grade 3) AEs (Minimum), n (%)")</f>
        <v>Number of challenged participants with severe  or very severe (&gt;=grade 3) AEs (Minimum), n (%)</v>
      </c>
      <c r="J22" s="170">
        <f ca="1">IFERROR(__xludf.DUMMYFUNCTION("""COMPUTED_VALUE"""),9)</f>
        <v>9</v>
      </c>
      <c r="K22" s="170">
        <f ca="1">IFERROR(__xludf.DUMMYFUNCTION("""COMPUTED_VALUE"""),23)</f>
        <v>23</v>
      </c>
      <c r="L22" s="170">
        <f ca="1">IFERROR(__xludf.DUMMYFUNCTION("""COMPUTED_VALUE"""),31)</f>
        <v>31</v>
      </c>
      <c r="M22" s="170">
        <f ca="1">IFERROR(__xludf.DUMMYFUNCTION("""COMPUTED_VALUE"""),179)</f>
        <v>179</v>
      </c>
      <c r="N22" s="170">
        <f ca="1">IFERROR(__xludf.DUMMYFUNCTION("""COMPUTED_VALUE"""),43)</f>
        <v>43</v>
      </c>
      <c r="O22" s="170">
        <f ca="1">IFERROR(__xludf.DUMMYFUNCTION("""COMPUTED_VALUE"""),285)</f>
        <v>285</v>
      </c>
    </row>
    <row r="23" spans="1:15">
      <c r="A23" s="173" t="str">
        <v>Number of participants with SAEs, n (%)</v>
      </c>
      <c r="B23" s="174">
        <f ca="1"/>
        <v>6</v>
      </c>
      <c r="C23" s="174">
        <f ca="1"/>
        <v>1</v>
      </c>
      <c r="D23" s="174">
        <f ca="1"/>
        <v>1</v>
      </c>
      <c r="E23" s="174">
        <f ca="1"/>
        <v>13</v>
      </c>
      <c r="F23" s="174">
        <f ca="1"/>
        <v>2</v>
      </c>
      <c r="G23" s="174">
        <f ca="1">SUM(B23:F23)</f>
        <v>23</v>
      </c>
      <c r="H23" s="176"/>
      <c r="I23" s="177" t="str">
        <f ca="1">IFERROR(__xludf.DUMMYFUNCTION("query(A20:G20,""select *"")"),"")</f>
        <v/>
      </c>
      <c r="J23" s="174" t="str">
        <f ca="1">IFERROR(__xludf.DUMMYFUNCTION("""COMPUTED_VALUE"""),"0.5%")</f>
        <v>0.5%</v>
      </c>
      <c r="K23" s="174" t="str">
        <f ca="1">IFERROR(__xludf.DUMMYFUNCTION("""COMPUTED_VALUE"""),"0.6%")</f>
        <v>0.6%</v>
      </c>
      <c r="L23" s="174" t="str">
        <f ca="1">IFERROR(__xludf.DUMMYFUNCTION("""COMPUTED_VALUE"""),"1.1%")</f>
        <v>1.1%</v>
      </c>
      <c r="M23" s="174" t="str">
        <f ca="1">IFERROR(__xludf.DUMMYFUNCTION("""COMPUTED_VALUE"""),"3.7%")</f>
        <v>3.7%</v>
      </c>
      <c r="N23" s="174" t="str">
        <f ca="1">IFERROR(__xludf.DUMMYFUNCTION("""COMPUTED_VALUE"""),"4.3%")</f>
        <v>4.3%</v>
      </c>
      <c r="O23" s="174"/>
    </row>
    <row r="24" spans="1:15">
      <c r="A24" s="169">
        <v>0</v>
      </c>
      <c r="B24" s="170" t="str">
        <f ca="1"/>
        <v>0.3%</v>
      </c>
      <c r="C24" s="170" t="str">
        <f ca="1"/>
        <v>0.0%</v>
      </c>
      <c r="D24" s="170" t="str">
        <f ca="1"/>
        <v>0.0%</v>
      </c>
      <c r="E24" s="170" t="str">
        <f ca="1"/>
        <v>0.3%</v>
      </c>
      <c r="F24" s="170" t="str">
        <f ca="1"/>
        <v>0.2%</v>
      </c>
      <c r="G24" s="170"/>
      <c r="H24" s="171"/>
      <c r="I24" s="431" t="s">
        <v>244</v>
      </c>
      <c r="J24" s="427"/>
      <c r="K24" s="427"/>
      <c r="L24" s="427"/>
      <c r="M24" s="427"/>
      <c r="N24" s="427"/>
      <c r="O24" s="432"/>
    </row>
    <row r="25" spans="1:15">
      <c r="A25" s="173" t="str">
        <v>Number of studies that don't define AEs, n (%)</v>
      </c>
      <c r="B25" s="174">
        <f ca="1"/>
        <v>25</v>
      </c>
      <c r="C25" s="174">
        <f ca="1"/>
        <v>52</v>
      </c>
      <c r="D25" s="174">
        <f ca="1"/>
        <v>45</v>
      </c>
      <c r="E25" s="174">
        <f ca="1"/>
        <v>33</v>
      </c>
      <c r="F25" s="174">
        <f ca="1"/>
        <v>6</v>
      </c>
      <c r="G25" s="174">
        <f ca="1">SUM(B25:F25)</f>
        <v>161</v>
      </c>
      <c r="H25" s="176"/>
      <c r="I25" s="177" t="str">
        <f ca="1">IFERROR(__xludf.DUMMYFUNCTION("query(A21:G21,""select *"")"),"Number of challenged participants with severe or very severe (&gt;=grade 3) AEs (Maximum), n (%)")</f>
        <v>Number of challenged participants with severe or very severe (&gt;=grade 3) AEs (Maximum), n (%)</v>
      </c>
      <c r="J25" s="174">
        <f ca="1">IFERROR(__xludf.DUMMYFUNCTION("""COMPUTED_VALUE"""),25)</f>
        <v>25</v>
      </c>
      <c r="K25" s="174">
        <f ca="1">IFERROR(__xludf.DUMMYFUNCTION("""COMPUTED_VALUE"""),23)</f>
        <v>23</v>
      </c>
      <c r="L25" s="174">
        <f ca="1">IFERROR(__xludf.DUMMYFUNCTION("""COMPUTED_VALUE"""),102)</f>
        <v>102</v>
      </c>
      <c r="M25" s="174">
        <f ca="1">IFERROR(__xludf.DUMMYFUNCTION("""COMPUTED_VALUE"""),473)</f>
        <v>473</v>
      </c>
      <c r="N25" s="174">
        <f ca="1">IFERROR(__xludf.DUMMYFUNCTION("""COMPUTED_VALUE"""),178)</f>
        <v>178</v>
      </c>
      <c r="O25" s="174">
        <f ca="1">IFERROR(__xludf.DUMMYFUNCTION("""COMPUTED_VALUE"""),801)</f>
        <v>801</v>
      </c>
    </row>
    <row r="26" spans="1:15">
      <c r="A26" s="169">
        <v>0</v>
      </c>
      <c r="B26" s="170" t="str">
        <f ca="1"/>
        <v>80.6%</v>
      </c>
      <c r="C26" s="170" t="str">
        <f ca="1"/>
        <v>76.5%</v>
      </c>
      <c r="D26" s="170" t="str">
        <f ca="1"/>
        <v>78.9%</v>
      </c>
      <c r="E26" s="170" t="str">
        <f ca="1"/>
        <v>31.1%</v>
      </c>
      <c r="F26" s="170" t="str">
        <f ca="1"/>
        <v>27.3%</v>
      </c>
      <c r="G26" s="170"/>
      <c r="H26" s="171"/>
      <c r="I26" s="172" t="str">
        <f ca="1">IFERROR(__xludf.DUMMYFUNCTION("query(A22:G22,""select *"")"),"")</f>
        <v/>
      </c>
      <c r="J26" s="170" t="str">
        <f ca="1">IFERROR(__xludf.DUMMYFUNCTION("""COMPUTED_VALUE"""),"1.4%")</f>
        <v>1.4%</v>
      </c>
      <c r="K26" s="170" t="str">
        <f ca="1">IFERROR(__xludf.DUMMYFUNCTION("""COMPUTED_VALUE"""),"0.6%")</f>
        <v>0.6%</v>
      </c>
      <c r="L26" s="170" t="str">
        <f ca="1">IFERROR(__xludf.DUMMYFUNCTION("""COMPUTED_VALUE"""),"3.5%")</f>
        <v>3.5%</v>
      </c>
      <c r="M26" s="170" t="str">
        <f ca="1">IFERROR(__xludf.DUMMYFUNCTION("""COMPUTED_VALUE"""),"9.9%")</f>
        <v>9.9%</v>
      </c>
      <c r="N26" s="170" t="str">
        <f ca="1">IFERROR(__xludf.DUMMYFUNCTION("""COMPUTED_VALUE"""),"18.0%")</f>
        <v>18.0%</v>
      </c>
      <c r="O26" s="170"/>
    </row>
    <row r="27" spans="1:15">
      <c r="A27" s="173" t="str">
        <v>Number of studies that don't mention SAEs (manually applied definition), n (%)</v>
      </c>
      <c r="B27" s="174">
        <f ca="1"/>
        <v>23</v>
      </c>
      <c r="C27" s="174">
        <f ca="1"/>
        <v>40</v>
      </c>
      <c r="D27" s="174">
        <f ca="1"/>
        <v>10</v>
      </c>
      <c r="E27" s="174">
        <f ca="1"/>
        <v>8</v>
      </c>
      <c r="F27" s="174">
        <v>0</v>
      </c>
      <c r="G27" s="174">
        <f ca="1">SUM(B27:F27)</f>
        <v>81</v>
      </c>
      <c r="H27" s="176"/>
      <c r="I27" s="429" t="s">
        <v>245</v>
      </c>
      <c r="J27" s="423"/>
      <c r="K27" s="423"/>
      <c r="L27" s="423"/>
      <c r="M27" s="423"/>
      <c r="N27" s="423"/>
      <c r="O27" s="430"/>
    </row>
    <row r="28" spans="1:15">
      <c r="A28" s="169">
        <v>0</v>
      </c>
      <c r="B28" s="170" t="str">
        <f ca="1"/>
        <v>74.2%</v>
      </c>
      <c r="C28" s="170" t="str">
        <f ca="1"/>
        <v>58.8%</v>
      </c>
      <c r="D28" s="170" t="str">
        <f ca="1"/>
        <v>17.5%</v>
      </c>
      <c r="E28" s="170" t="str">
        <f ca="1"/>
        <v>7.5%</v>
      </c>
      <c r="F28" s="170" t="str">
        <f ca="1"/>
        <v>0.0%</v>
      </c>
      <c r="G28" s="170"/>
      <c r="H28" s="171"/>
      <c r="I28" s="172" t="str">
        <f ca="1">IFERROR(__xludf.DUMMYFUNCTION("query(A23:G23,""select *"")"),"Number of participants with SAEs, n (%)")</f>
        <v>Number of participants with SAEs, n (%)</v>
      </c>
      <c r="J28" s="170">
        <f ca="1">IFERROR(__xludf.DUMMYFUNCTION("""COMPUTED_VALUE"""),6)</f>
        <v>6</v>
      </c>
      <c r="K28" s="170">
        <f ca="1">IFERROR(__xludf.DUMMYFUNCTION("""COMPUTED_VALUE"""),1)</f>
        <v>1</v>
      </c>
      <c r="L28" s="170">
        <f ca="1">IFERROR(__xludf.DUMMYFUNCTION("""COMPUTED_VALUE"""),1)</f>
        <v>1</v>
      </c>
      <c r="M28" s="170">
        <f ca="1">IFERROR(__xludf.DUMMYFUNCTION("""COMPUTED_VALUE"""),13)</f>
        <v>13</v>
      </c>
      <c r="N28" s="170">
        <f ca="1">IFERROR(__xludf.DUMMYFUNCTION("""COMPUTED_VALUE"""),2)</f>
        <v>2</v>
      </c>
      <c r="O28" s="170">
        <f ca="1">IFERROR(__xludf.DUMMYFUNCTION("""COMPUTED_VALUE"""),23)</f>
        <v>23</v>
      </c>
    </row>
    <row r="29" spans="1:15">
      <c r="A29" s="173" t="str">
        <v>Number of studies with no SAE data, n (%)</v>
      </c>
      <c r="B29" s="174">
        <f ca="1"/>
        <v>6</v>
      </c>
      <c r="C29" s="174">
        <f ca="1"/>
        <v>27</v>
      </c>
      <c r="D29" s="174">
        <f ca="1"/>
        <v>31</v>
      </c>
      <c r="E29" s="174">
        <f ca="1"/>
        <v>32</v>
      </c>
      <c r="F29" s="174">
        <f ca="1"/>
        <v>1</v>
      </c>
      <c r="G29" s="174">
        <f t="shared" ref="G29:G30" ca="1" si="1">SUM(B29:F29)</f>
        <v>97</v>
      </c>
      <c r="H29" s="176"/>
      <c r="I29" s="177" t="str">
        <f ca="1">IFERROR(__xludf.DUMMYFUNCTION("query(A24:G24,""select *"")"),"")</f>
        <v/>
      </c>
      <c r="J29" s="174" t="str">
        <f ca="1">IFERROR(__xludf.DUMMYFUNCTION("""COMPUTED_VALUE"""),"0.3%")</f>
        <v>0.3%</v>
      </c>
      <c r="K29" s="174" t="str">
        <f ca="1">IFERROR(__xludf.DUMMYFUNCTION("""COMPUTED_VALUE"""),"0.0%")</f>
        <v>0.0%</v>
      </c>
      <c r="L29" s="174" t="str">
        <f ca="1">IFERROR(__xludf.DUMMYFUNCTION("""COMPUTED_VALUE"""),"0.0%")</f>
        <v>0.0%</v>
      </c>
      <c r="M29" s="174" t="str">
        <f ca="1">IFERROR(__xludf.DUMMYFUNCTION("""COMPUTED_VALUE"""),"0.3%")</f>
        <v>0.3%</v>
      </c>
      <c r="N29" s="174" t="str">
        <f ca="1">IFERROR(__xludf.DUMMYFUNCTION("""COMPUTED_VALUE"""),"0.2%")</f>
        <v>0.2%</v>
      </c>
      <c r="O29" s="174"/>
    </row>
    <row r="30" spans="1:15">
      <c r="A30" s="169">
        <v>0</v>
      </c>
      <c r="B30" s="170" t="str">
        <f ca="1"/>
        <v>19.4%</v>
      </c>
      <c r="C30" s="170" t="str">
        <f ca="1"/>
        <v>39.7%</v>
      </c>
      <c r="D30" s="170" t="str">
        <f ca="1"/>
        <v>54.4%</v>
      </c>
      <c r="E30" s="170" t="str">
        <f ca="1"/>
        <v>30.2%</v>
      </c>
      <c r="F30" s="170" t="str">
        <f ca="1"/>
        <v>4.5%</v>
      </c>
      <c r="G30" s="170">
        <f t="shared" ca="1" si="1"/>
        <v>0</v>
      </c>
      <c r="H30" s="171"/>
      <c r="I30" s="172" t="str">
        <f ca="1">IFERROR(__xludf.DUMMYFUNCTION("query(A25:G25,""select *"")"),"Number of studies that don't define AEs, n (%)")</f>
        <v>Number of studies that don't define AEs, n (%)</v>
      </c>
      <c r="J30" s="170">
        <f ca="1">IFERROR(__xludf.DUMMYFUNCTION("""COMPUTED_VALUE"""),25)</f>
        <v>25</v>
      </c>
      <c r="K30" s="170">
        <f ca="1">IFERROR(__xludf.DUMMYFUNCTION("""COMPUTED_VALUE"""),52)</f>
        <v>52</v>
      </c>
      <c r="L30" s="170">
        <f ca="1">IFERROR(__xludf.DUMMYFUNCTION("""COMPUTED_VALUE"""),45)</f>
        <v>45</v>
      </c>
      <c r="M30" s="170">
        <f ca="1">IFERROR(__xludf.DUMMYFUNCTION("""COMPUTED_VALUE"""),33)</f>
        <v>33</v>
      </c>
      <c r="N30" s="170">
        <f ca="1">IFERROR(__xludf.DUMMYFUNCTION("""COMPUTED_VALUE"""),6)</f>
        <v>6</v>
      </c>
      <c r="O30" s="170">
        <f ca="1">IFERROR(__xludf.DUMMYFUNCTION("""COMPUTED_VALUE"""),161)</f>
        <v>161</v>
      </c>
    </row>
    <row r="31" spans="1:15">
      <c r="A31" s="173" t="str">
        <v>Number of studies with unclear SAE data, n</v>
      </c>
      <c r="B31" s="174">
        <v>0</v>
      </c>
      <c r="C31" s="174">
        <v>0</v>
      </c>
      <c r="D31" s="174">
        <v>0</v>
      </c>
      <c r="E31" s="174">
        <f ca="1"/>
        <v>0</v>
      </c>
      <c r="F31" s="174">
        <v>0</v>
      </c>
      <c r="G31" s="174"/>
      <c r="H31" s="176"/>
      <c r="I31" s="177" t="str">
        <f ca="1">IFERROR(__xludf.DUMMYFUNCTION("query(A26:G26,""select *"")"),"")</f>
        <v/>
      </c>
      <c r="J31" s="174" t="str">
        <f ca="1">IFERROR(__xludf.DUMMYFUNCTION("""COMPUTED_VALUE"""),"80.6%")</f>
        <v>80.6%</v>
      </c>
      <c r="K31" s="174" t="str">
        <f ca="1">IFERROR(__xludf.DUMMYFUNCTION("""COMPUTED_VALUE"""),"76.5%")</f>
        <v>76.5%</v>
      </c>
      <c r="L31" s="174" t="str">
        <f ca="1">IFERROR(__xludf.DUMMYFUNCTION("""COMPUTED_VALUE"""),"78.9%")</f>
        <v>78.9%</v>
      </c>
      <c r="M31" s="174" t="str">
        <f ca="1">IFERROR(__xludf.DUMMYFUNCTION("""COMPUTED_VALUE"""),"31.1%")</f>
        <v>31.1%</v>
      </c>
      <c r="N31" s="174" t="str">
        <f ca="1">IFERROR(__xludf.DUMMYFUNCTION("""COMPUTED_VALUE"""),"27.3%")</f>
        <v>27.3%</v>
      </c>
      <c r="O31" s="174"/>
    </row>
    <row r="32" spans="1:15">
      <c r="A32" s="169" t="str">
        <v>Number of studies with no AE data, n (%)</v>
      </c>
      <c r="B32" s="170">
        <f ca="1"/>
        <v>8</v>
      </c>
      <c r="C32" s="170">
        <f ca="1"/>
        <v>27</v>
      </c>
      <c r="D32" s="170">
        <f ca="1"/>
        <v>31</v>
      </c>
      <c r="E32" s="170">
        <f ca="1"/>
        <v>26</v>
      </c>
      <c r="F32" s="170">
        <f ca="1"/>
        <v>2</v>
      </c>
      <c r="G32" s="170">
        <f t="shared" ref="G32:G34" ca="1" si="2">SUM(B32:F32)</f>
        <v>94</v>
      </c>
      <c r="H32" s="171"/>
      <c r="I32" s="172" t="str">
        <f ca="1">IFERROR(__xludf.DUMMYFUNCTION("query(A27:G27,""select *"")"),"Number of studies that don't mention SAEs (manually applied definition), n (%)")</f>
        <v>Number of studies that don't mention SAEs (manually applied definition), n (%)</v>
      </c>
      <c r="J32" s="170">
        <f ca="1">IFERROR(__xludf.DUMMYFUNCTION("""COMPUTED_VALUE"""),23)</f>
        <v>23</v>
      </c>
      <c r="K32" s="170">
        <f ca="1">IFERROR(__xludf.DUMMYFUNCTION("""COMPUTED_VALUE"""),40)</f>
        <v>40</v>
      </c>
      <c r="L32" s="170">
        <f ca="1">IFERROR(__xludf.DUMMYFUNCTION("""COMPUTED_VALUE"""),10)</f>
        <v>10</v>
      </c>
      <c r="M32" s="170">
        <f ca="1">IFERROR(__xludf.DUMMYFUNCTION("""COMPUTED_VALUE"""),8)</f>
        <v>8</v>
      </c>
      <c r="N32" s="170">
        <f ca="1">IFERROR(__xludf.DUMMYFUNCTION("""COMPUTED_VALUE"""),0)</f>
        <v>0</v>
      </c>
      <c r="O32" s="170">
        <f ca="1">IFERROR(__xludf.DUMMYFUNCTION("""COMPUTED_VALUE"""),81)</f>
        <v>81</v>
      </c>
    </row>
    <row r="33" spans="1:15">
      <c r="A33" s="173">
        <v>0</v>
      </c>
      <c r="B33" s="174" t="str">
        <f ca="1"/>
        <v>25.8%</v>
      </c>
      <c r="C33" s="174" t="str">
        <f ca="1"/>
        <v>39.7%</v>
      </c>
      <c r="D33" s="174" t="str">
        <f ca="1"/>
        <v>54.4%</v>
      </c>
      <c r="E33" s="174" t="str">
        <f ca="1"/>
        <v>24.5%</v>
      </c>
      <c r="F33" s="174" t="str">
        <f ca="1"/>
        <v>9.1%</v>
      </c>
      <c r="G33" s="174">
        <f t="shared" ca="1" si="2"/>
        <v>0</v>
      </c>
      <c r="H33" s="176"/>
      <c r="I33" s="177" t="str">
        <f ca="1">IFERROR(__xludf.DUMMYFUNCTION("query(A28:G28,""select *"")"),"")</f>
        <v/>
      </c>
      <c r="J33" s="174" t="str">
        <f ca="1">IFERROR(__xludf.DUMMYFUNCTION("""COMPUTED_VALUE"""),"74.2%")</f>
        <v>74.2%</v>
      </c>
      <c r="K33" s="174" t="str">
        <f ca="1">IFERROR(__xludf.DUMMYFUNCTION("""COMPUTED_VALUE"""),"58.8%")</f>
        <v>58.8%</v>
      </c>
      <c r="L33" s="174" t="str">
        <f ca="1">IFERROR(__xludf.DUMMYFUNCTION("""COMPUTED_VALUE"""),"17.5%")</f>
        <v>17.5%</v>
      </c>
      <c r="M33" s="174" t="str">
        <f ca="1">IFERROR(__xludf.DUMMYFUNCTION("""COMPUTED_VALUE"""),"7.5%")</f>
        <v>7.5%</v>
      </c>
      <c r="N33" s="174" t="str">
        <f ca="1">IFERROR(__xludf.DUMMYFUNCTION("""COMPUTED_VALUE"""),"0.0%")</f>
        <v>0.0%</v>
      </c>
      <c r="O33" s="174"/>
    </row>
    <row r="34" spans="1:15">
      <c r="A34" s="169" t="str">
        <v>Number of studies with unclear AE data, n</v>
      </c>
      <c r="B34" s="170">
        <f ca="1"/>
        <v>2</v>
      </c>
      <c r="C34" s="170">
        <f ca="1"/>
        <v>8</v>
      </c>
      <c r="D34" s="170">
        <f ca="1"/>
        <v>7</v>
      </c>
      <c r="E34" s="170">
        <f ca="1"/>
        <v>32</v>
      </c>
      <c r="F34" s="170">
        <f ca="1"/>
        <v>9</v>
      </c>
      <c r="G34" s="170">
        <f t="shared" ca="1" si="2"/>
        <v>58</v>
      </c>
      <c r="H34" s="171"/>
      <c r="I34" s="172" t="str">
        <f ca="1">IFERROR(__xludf.DUMMYFUNCTION("query(A29:G29,""select *"")"),"Number of studies with no SAE data, n (%)")</f>
        <v>Number of studies with no SAE data, n (%)</v>
      </c>
      <c r="J34" s="170">
        <f ca="1">IFERROR(__xludf.DUMMYFUNCTION("""COMPUTED_VALUE"""),6)</f>
        <v>6</v>
      </c>
      <c r="K34" s="170">
        <f ca="1">IFERROR(__xludf.DUMMYFUNCTION("""COMPUTED_VALUE"""),27)</f>
        <v>27</v>
      </c>
      <c r="L34" s="170">
        <f ca="1">IFERROR(__xludf.DUMMYFUNCTION("""COMPUTED_VALUE"""),31)</f>
        <v>31</v>
      </c>
      <c r="M34" s="170">
        <f ca="1">IFERROR(__xludf.DUMMYFUNCTION("""COMPUTED_VALUE"""),32)</f>
        <v>32</v>
      </c>
      <c r="N34" s="170">
        <f ca="1">IFERROR(__xludf.DUMMYFUNCTION("""COMPUTED_VALUE"""),1)</f>
        <v>1</v>
      </c>
      <c r="O34" s="170">
        <f ca="1">IFERROR(__xludf.DUMMYFUNCTION("""COMPUTED_VALUE"""),97)</f>
        <v>97</v>
      </c>
    </row>
    <row r="35" spans="1:15">
      <c r="A35" s="187" t="str">
        <v>Number of studies registered in a database, n</v>
      </c>
      <c r="B35" s="188">
        <v>0</v>
      </c>
      <c r="C35" s="188">
        <v>0</v>
      </c>
      <c r="D35" s="188">
        <f ca="1"/>
        <v>3</v>
      </c>
      <c r="E35" s="188">
        <f ca="1"/>
        <v>81</v>
      </c>
      <c r="F35" s="188">
        <f ca="1"/>
        <v>22</v>
      </c>
      <c r="G35" s="188"/>
      <c r="H35" s="176"/>
      <c r="I35" s="177" t="str">
        <f ca="1">IFERROR(__xludf.DUMMYFUNCTION("query(A30:G30,""select *"")"),"")</f>
        <v/>
      </c>
      <c r="J35" s="174" t="str">
        <f ca="1">IFERROR(__xludf.DUMMYFUNCTION("""COMPUTED_VALUE"""),"19.4%")</f>
        <v>19.4%</v>
      </c>
      <c r="K35" s="174" t="str">
        <f ca="1">IFERROR(__xludf.DUMMYFUNCTION("""COMPUTED_VALUE"""),"39.7%")</f>
        <v>39.7%</v>
      </c>
      <c r="L35" s="174" t="str">
        <f ca="1">IFERROR(__xludf.DUMMYFUNCTION("""COMPUTED_VALUE"""),"54.4%")</f>
        <v>54.4%</v>
      </c>
      <c r="M35" s="174" t="str">
        <f ca="1">IFERROR(__xludf.DUMMYFUNCTION("""COMPUTED_VALUE"""),"30.2%")</f>
        <v>30.2%</v>
      </c>
      <c r="N35" s="174" t="str">
        <f ca="1">IFERROR(__xludf.DUMMYFUNCTION("""COMPUTED_VALUE"""),"4.5%")</f>
        <v>4.5%</v>
      </c>
      <c r="O35" s="174">
        <f ca="1">IFERROR(__xludf.DUMMYFUNCTION("""COMPUTED_VALUE"""),0)</f>
        <v>0</v>
      </c>
    </row>
    <row r="36" spans="1:15">
      <c r="A36" s="156" t="str">
        <v>Number of studies not registered in a database, n</v>
      </c>
      <c r="B36" s="189">
        <f ca="1"/>
        <v>31</v>
      </c>
      <c r="C36" s="189">
        <f ca="1"/>
        <v>68</v>
      </c>
      <c r="D36" s="189">
        <f ca="1"/>
        <v>54</v>
      </c>
      <c r="E36" s="189">
        <f ca="1"/>
        <v>25</v>
      </c>
      <c r="F36" s="189">
        <v>0</v>
      </c>
      <c r="G36" s="189"/>
      <c r="H36" s="171"/>
      <c r="I36" s="172" t="str">
        <f ca="1">IFERROR(__xludf.DUMMYFUNCTION("query(A31:G31,""select *"")"),"Number of studies with unclear SAE data, n")</f>
        <v>Number of studies with unclear SAE data, n</v>
      </c>
      <c r="J36" s="170">
        <f ca="1">IFERROR(__xludf.DUMMYFUNCTION("""COMPUTED_VALUE"""),0)</f>
        <v>0</v>
      </c>
      <c r="K36" s="170">
        <f ca="1">IFERROR(__xludf.DUMMYFUNCTION("""COMPUTED_VALUE"""),0)</f>
        <v>0</v>
      </c>
      <c r="L36" s="170">
        <f ca="1">IFERROR(__xludf.DUMMYFUNCTION("""COMPUTED_VALUE"""),0)</f>
        <v>0</v>
      </c>
      <c r="M36" s="170">
        <f ca="1">IFERROR(__xludf.DUMMYFUNCTION("""COMPUTED_VALUE"""),0)</f>
        <v>0</v>
      </c>
      <c r="N36" s="170">
        <f ca="1">IFERROR(__xludf.DUMMYFUNCTION("""COMPUTED_VALUE"""),0)</f>
        <v>0</v>
      </c>
      <c r="O36" s="170"/>
    </row>
    <row r="37" spans="1:15">
      <c r="A37" s="187"/>
      <c r="B37" s="188"/>
      <c r="C37" s="188"/>
      <c r="D37" s="188"/>
      <c r="E37" s="188"/>
      <c r="F37" s="188"/>
      <c r="G37" s="188"/>
      <c r="H37" s="176"/>
      <c r="I37" s="177" t="str">
        <f ca="1">IFERROR(__xludf.DUMMYFUNCTION("query(A32:G32,""select *"")"),"Number of studies with no AE data, n (%)")</f>
        <v>Number of studies with no AE data, n (%)</v>
      </c>
      <c r="J37" s="174">
        <f ca="1">IFERROR(__xludf.DUMMYFUNCTION("""COMPUTED_VALUE"""),8)</f>
        <v>8</v>
      </c>
      <c r="K37" s="174">
        <f ca="1">IFERROR(__xludf.DUMMYFUNCTION("""COMPUTED_VALUE"""),27)</f>
        <v>27</v>
      </c>
      <c r="L37" s="174">
        <f ca="1">IFERROR(__xludf.DUMMYFUNCTION("""COMPUTED_VALUE"""),31)</f>
        <v>31</v>
      </c>
      <c r="M37" s="174">
        <f ca="1">IFERROR(__xludf.DUMMYFUNCTION("""COMPUTED_VALUE"""),26)</f>
        <v>26</v>
      </c>
      <c r="N37" s="174">
        <f ca="1">IFERROR(__xludf.DUMMYFUNCTION("""COMPUTED_VALUE"""),2)</f>
        <v>2</v>
      </c>
      <c r="O37" s="174">
        <f ca="1">IFERROR(__xludf.DUMMYFUNCTION("""COMPUTED_VALUE"""),94)</f>
        <v>94</v>
      </c>
    </row>
    <row r="38" spans="1:15">
      <c r="A38" s="156"/>
      <c r="B38" s="189"/>
      <c r="C38" s="189"/>
      <c r="D38" s="189"/>
      <c r="E38" s="189"/>
      <c r="F38" s="189"/>
      <c r="G38" s="189"/>
      <c r="H38" s="171"/>
      <c r="I38" s="431" t="s">
        <v>246</v>
      </c>
      <c r="J38" s="427"/>
      <c r="K38" s="427"/>
      <c r="L38" s="427"/>
      <c r="M38" s="427"/>
      <c r="N38" s="427"/>
      <c r="O38" s="432"/>
    </row>
    <row r="39" spans="1:15">
      <c r="A39" s="187"/>
      <c r="B39" s="188"/>
      <c r="C39" s="188"/>
      <c r="D39" s="188"/>
      <c r="E39" s="188"/>
      <c r="F39" s="188"/>
      <c r="G39" s="188"/>
      <c r="H39" s="176"/>
      <c r="I39" s="177" t="str">
        <f ca="1">IFERROR(__xludf.DUMMYFUNCTION("query(A33:G33,""select *"")"),"")</f>
        <v/>
      </c>
      <c r="J39" s="174" t="str">
        <f ca="1">IFERROR(__xludf.DUMMYFUNCTION("""COMPUTED_VALUE"""),"25.8%")</f>
        <v>25.8%</v>
      </c>
      <c r="K39" s="174" t="str">
        <f ca="1">IFERROR(__xludf.DUMMYFUNCTION("""COMPUTED_VALUE"""),"39.7%")</f>
        <v>39.7%</v>
      </c>
      <c r="L39" s="174" t="str">
        <f ca="1">IFERROR(__xludf.DUMMYFUNCTION("""COMPUTED_VALUE"""),"54.4%")</f>
        <v>54.4%</v>
      </c>
      <c r="M39" s="174" t="str">
        <f ca="1">IFERROR(__xludf.DUMMYFUNCTION("""COMPUTED_VALUE"""),"24.5%")</f>
        <v>24.5%</v>
      </c>
      <c r="N39" s="174" t="str">
        <f ca="1">IFERROR(__xludf.DUMMYFUNCTION("""COMPUTED_VALUE"""),"9.1%")</f>
        <v>9.1%</v>
      </c>
      <c r="O39" s="174">
        <f ca="1">IFERROR(__xludf.DUMMYFUNCTION("""COMPUTED_VALUE"""),0)</f>
        <v>0</v>
      </c>
    </row>
    <row r="40" spans="1:15">
      <c r="A40" s="156"/>
      <c r="B40" s="189"/>
      <c r="C40" s="189"/>
      <c r="D40" s="189"/>
      <c r="E40" s="189"/>
      <c r="F40" s="189"/>
      <c r="G40" s="189"/>
      <c r="H40" s="171"/>
      <c r="I40" s="172" t="str">
        <f ca="1">IFERROR(__xludf.DUMMYFUNCTION("query(A34:G34,""select *"")"),"Number of studies with unclear AE data, n")</f>
        <v>Number of studies with unclear AE data, n</v>
      </c>
      <c r="J40" s="170">
        <f ca="1">IFERROR(__xludf.DUMMYFUNCTION("""COMPUTED_VALUE"""),2)</f>
        <v>2</v>
      </c>
      <c r="K40" s="170">
        <f ca="1">IFERROR(__xludf.DUMMYFUNCTION("""COMPUTED_VALUE"""),8)</f>
        <v>8</v>
      </c>
      <c r="L40" s="170">
        <f ca="1">IFERROR(__xludf.DUMMYFUNCTION("""COMPUTED_VALUE"""),7)</f>
        <v>7</v>
      </c>
      <c r="M40" s="170">
        <f ca="1">IFERROR(__xludf.DUMMYFUNCTION("""COMPUTED_VALUE"""),32)</f>
        <v>32</v>
      </c>
      <c r="N40" s="170">
        <f ca="1">IFERROR(__xludf.DUMMYFUNCTION("""COMPUTED_VALUE"""),9)</f>
        <v>9</v>
      </c>
      <c r="O40" s="170">
        <f ca="1">IFERROR(__xludf.DUMMYFUNCTION("""COMPUTED_VALUE"""),58)</f>
        <v>58</v>
      </c>
    </row>
    <row r="41" spans="1:15">
      <c r="A41" s="187"/>
      <c r="B41" s="188"/>
      <c r="C41" s="188"/>
      <c r="D41" s="188"/>
      <c r="E41" s="188"/>
      <c r="F41" s="188"/>
      <c r="G41" s="188"/>
      <c r="H41" s="176"/>
      <c r="I41" s="176"/>
      <c r="J41" s="188"/>
      <c r="K41" s="188"/>
      <c r="L41" s="188"/>
      <c r="M41" s="188"/>
      <c r="N41" s="188"/>
      <c r="O41" s="188"/>
    </row>
    <row r="42" spans="1:15">
      <c r="A42" s="156"/>
      <c r="B42" s="189"/>
      <c r="C42" s="189"/>
      <c r="D42" s="189"/>
      <c r="E42" s="189"/>
      <c r="F42" s="189"/>
      <c r="G42" s="189"/>
      <c r="H42" s="171"/>
      <c r="I42" s="171"/>
      <c r="J42" s="189"/>
      <c r="K42" s="189"/>
      <c r="L42" s="189"/>
      <c r="M42" s="189"/>
      <c r="N42" s="189"/>
      <c r="O42" s="189"/>
    </row>
    <row r="43" spans="1:15">
      <c r="A43" s="187"/>
      <c r="B43" s="188"/>
      <c r="C43" s="188"/>
      <c r="D43" s="188"/>
      <c r="E43" s="188"/>
      <c r="F43" s="188"/>
      <c r="G43" s="188"/>
      <c r="H43" s="176"/>
      <c r="I43" s="176"/>
      <c r="J43" s="188"/>
      <c r="K43" s="188"/>
      <c r="L43" s="188"/>
      <c r="M43" s="188"/>
      <c r="N43" s="188"/>
      <c r="O43" s="188"/>
    </row>
    <row r="44" spans="1:15">
      <c r="A44" s="156"/>
      <c r="B44" s="189"/>
      <c r="C44" s="189"/>
      <c r="D44" s="189"/>
      <c r="E44" s="189"/>
      <c r="F44" s="189"/>
      <c r="G44" s="189"/>
      <c r="H44" s="171"/>
      <c r="I44" s="171"/>
      <c r="J44" s="189"/>
      <c r="K44" s="189"/>
      <c r="L44" s="189"/>
      <c r="M44" s="189"/>
      <c r="N44" s="189"/>
      <c r="O44" s="189"/>
    </row>
    <row r="45" spans="1:15">
      <c r="A45" s="187"/>
      <c r="B45" s="188"/>
      <c r="C45" s="188"/>
      <c r="D45" s="188"/>
      <c r="E45" s="188"/>
      <c r="F45" s="188"/>
      <c r="G45" s="188"/>
      <c r="H45" s="176"/>
      <c r="I45" s="176"/>
      <c r="J45" s="188"/>
      <c r="K45" s="188"/>
      <c r="L45" s="188"/>
      <c r="M45" s="188"/>
      <c r="N45" s="188"/>
      <c r="O45" s="188"/>
    </row>
    <row r="46" spans="1:15">
      <c r="A46" s="156"/>
      <c r="B46" s="189"/>
      <c r="C46" s="189"/>
      <c r="D46" s="189"/>
      <c r="E46" s="189"/>
      <c r="F46" s="189"/>
      <c r="G46" s="189"/>
      <c r="H46" s="171"/>
      <c r="I46" s="171"/>
      <c r="J46" s="189"/>
      <c r="K46" s="189"/>
      <c r="L46" s="189"/>
      <c r="M46" s="189"/>
      <c r="N46" s="189"/>
      <c r="O46" s="189"/>
    </row>
    <row r="47" spans="1:15">
      <c r="A47" s="187"/>
      <c r="B47" s="188"/>
      <c r="C47" s="188"/>
      <c r="D47" s="188"/>
      <c r="E47" s="188"/>
      <c r="F47" s="188"/>
      <c r="G47" s="188"/>
      <c r="H47" s="176"/>
      <c r="I47" s="176"/>
      <c r="J47" s="188"/>
      <c r="K47" s="188"/>
      <c r="L47" s="188"/>
      <c r="M47" s="188"/>
      <c r="N47" s="188"/>
      <c r="O47" s="188"/>
    </row>
    <row r="48" spans="1:15">
      <c r="A48" s="156"/>
      <c r="B48" s="189"/>
      <c r="C48" s="189"/>
      <c r="D48" s="189"/>
      <c r="E48" s="189"/>
      <c r="F48" s="189"/>
      <c r="G48" s="189"/>
      <c r="H48" s="171"/>
      <c r="I48" s="171"/>
      <c r="J48" s="189"/>
      <c r="K48" s="189"/>
      <c r="L48" s="189"/>
      <c r="M48" s="189"/>
      <c r="N48" s="189"/>
      <c r="O48" s="189"/>
    </row>
    <row r="49" spans="1:15">
      <c r="A49" s="187"/>
      <c r="B49" s="188"/>
      <c r="C49" s="188"/>
      <c r="D49" s="188"/>
      <c r="E49" s="188"/>
      <c r="F49" s="188"/>
      <c r="G49" s="188"/>
      <c r="H49" s="176"/>
      <c r="I49" s="176"/>
      <c r="J49" s="188"/>
      <c r="K49" s="188"/>
      <c r="L49" s="188"/>
      <c r="M49" s="188"/>
      <c r="N49" s="188"/>
      <c r="O49" s="188"/>
    </row>
    <row r="50" spans="1:15">
      <c r="A50" s="156"/>
      <c r="B50" s="189"/>
      <c r="C50" s="189"/>
      <c r="D50" s="189"/>
      <c r="E50" s="189"/>
      <c r="F50" s="189"/>
      <c r="G50" s="189"/>
      <c r="H50" s="171"/>
      <c r="I50" s="171"/>
      <c r="J50" s="189"/>
      <c r="K50" s="189"/>
      <c r="L50" s="189"/>
      <c r="M50" s="189"/>
      <c r="N50" s="189"/>
      <c r="O50" s="189"/>
    </row>
    <row r="51" spans="1:15">
      <c r="A51" s="187"/>
      <c r="B51" s="188"/>
      <c r="C51" s="188"/>
      <c r="D51" s="188"/>
      <c r="E51" s="188"/>
      <c r="F51" s="188"/>
      <c r="G51" s="188"/>
      <c r="H51" s="176"/>
      <c r="I51" s="176"/>
      <c r="J51" s="188"/>
      <c r="K51" s="188"/>
      <c r="L51" s="188"/>
      <c r="M51" s="188"/>
      <c r="N51" s="188"/>
      <c r="O51" s="188"/>
    </row>
    <row r="52" spans="1:15">
      <c r="A52" s="156"/>
      <c r="B52" s="189"/>
      <c r="C52" s="189"/>
      <c r="D52" s="189"/>
      <c r="E52" s="189"/>
      <c r="F52" s="189"/>
      <c r="G52" s="189"/>
      <c r="H52" s="171"/>
      <c r="I52" s="171"/>
      <c r="J52" s="189"/>
      <c r="K52" s="189"/>
      <c r="L52" s="189"/>
      <c r="M52" s="189"/>
      <c r="N52" s="189"/>
      <c r="O52" s="189"/>
    </row>
    <row r="53" spans="1:15">
      <c r="A53" s="187"/>
      <c r="B53" s="188"/>
      <c r="C53" s="188"/>
      <c r="D53" s="188"/>
      <c r="E53" s="188"/>
      <c r="F53" s="188"/>
      <c r="G53" s="188"/>
      <c r="H53" s="176"/>
      <c r="I53" s="176"/>
      <c r="J53" s="188"/>
      <c r="K53" s="188"/>
      <c r="L53" s="188"/>
      <c r="M53" s="188"/>
      <c r="N53" s="188"/>
      <c r="O53" s="188"/>
    </row>
    <row r="54" spans="1:15">
      <c r="A54" s="156"/>
      <c r="B54" s="189"/>
      <c r="C54" s="189"/>
      <c r="D54" s="189"/>
      <c r="E54" s="189"/>
      <c r="F54" s="189"/>
      <c r="G54" s="189"/>
      <c r="H54" s="171"/>
      <c r="I54" s="171"/>
      <c r="J54" s="189"/>
      <c r="K54" s="189"/>
      <c r="L54" s="189"/>
      <c r="M54" s="189"/>
      <c r="N54" s="189"/>
      <c r="O54" s="189"/>
    </row>
    <row r="55" spans="1:15">
      <c r="A55" s="187"/>
      <c r="B55" s="188"/>
      <c r="C55" s="188"/>
      <c r="D55" s="188"/>
      <c r="E55" s="188"/>
      <c r="F55" s="188"/>
      <c r="G55" s="188"/>
      <c r="H55" s="176"/>
      <c r="I55" s="176"/>
      <c r="J55" s="188"/>
      <c r="K55" s="188"/>
      <c r="L55" s="188"/>
      <c r="M55" s="188"/>
      <c r="N55" s="188"/>
      <c r="O55" s="188"/>
    </row>
    <row r="56" spans="1:15">
      <c r="A56" s="156"/>
      <c r="B56" s="189"/>
      <c r="C56" s="189"/>
      <c r="D56" s="189"/>
      <c r="E56" s="189"/>
      <c r="F56" s="189"/>
      <c r="G56" s="189"/>
      <c r="H56" s="171"/>
      <c r="I56" s="171"/>
      <c r="J56" s="189"/>
      <c r="K56" s="189"/>
      <c r="L56" s="189"/>
      <c r="M56" s="189"/>
      <c r="N56" s="189"/>
      <c r="O56" s="189"/>
    </row>
    <row r="57" spans="1:15">
      <c r="A57" s="187"/>
      <c r="B57" s="188"/>
      <c r="C57" s="188"/>
      <c r="D57" s="188"/>
      <c r="E57" s="188"/>
      <c r="F57" s="188"/>
      <c r="G57" s="188"/>
      <c r="H57" s="176"/>
      <c r="I57" s="176"/>
      <c r="J57" s="188"/>
      <c r="K57" s="188"/>
      <c r="L57" s="188"/>
      <c r="M57" s="188"/>
      <c r="N57" s="188"/>
      <c r="O57" s="188"/>
    </row>
    <row r="58" spans="1:15">
      <c r="A58" s="156"/>
      <c r="B58" s="189"/>
      <c r="C58" s="189"/>
      <c r="D58" s="189"/>
      <c r="E58" s="189"/>
      <c r="F58" s="189"/>
      <c r="G58" s="189"/>
      <c r="H58" s="171"/>
      <c r="I58" s="171"/>
      <c r="J58" s="189"/>
      <c r="K58" s="189"/>
      <c r="L58" s="189"/>
      <c r="M58" s="189"/>
      <c r="N58" s="189"/>
      <c r="O58" s="189"/>
    </row>
    <row r="59" spans="1:15">
      <c r="A59" s="187"/>
      <c r="B59" s="188"/>
      <c r="C59" s="188"/>
      <c r="D59" s="188"/>
      <c r="E59" s="188"/>
      <c r="F59" s="188"/>
      <c r="G59" s="188"/>
      <c r="H59" s="176"/>
      <c r="I59" s="176"/>
      <c r="J59" s="188"/>
      <c r="K59" s="188"/>
      <c r="L59" s="188"/>
      <c r="M59" s="188"/>
      <c r="N59" s="188"/>
      <c r="O59" s="188"/>
    </row>
    <row r="60" spans="1:15">
      <c r="A60" s="156"/>
      <c r="B60" s="189"/>
      <c r="C60" s="189"/>
      <c r="D60" s="189"/>
      <c r="E60" s="189"/>
      <c r="F60" s="189"/>
      <c r="G60" s="189"/>
      <c r="H60" s="171"/>
      <c r="I60" s="171"/>
      <c r="J60" s="189"/>
      <c r="K60" s="189"/>
      <c r="L60" s="189"/>
      <c r="M60" s="189"/>
      <c r="N60" s="189"/>
      <c r="O60" s="189"/>
    </row>
    <row r="61" spans="1:15">
      <c r="A61" s="187"/>
      <c r="B61" s="188"/>
      <c r="C61" s="188"/>
      <c r="D61" s="188"/>
      <c r="E61" s="188"/>
      <c r="F61" s="188"/>
      <c r="G61" s="188"/>
      <c r="H61" s="176"/>
      <c r="I61" s="176"/>
      <c r="J61" s="188"/>
      <c r="K61" s="188"/>
      <c r="L61" s="188"/>
      <c r="M61" s="188"/>
      <c r="N61" s="188"/>
      <c r="O61" s="188"/>
    </row>
    <row r="62" spans="1:15">
      <c r="A62" s="156"/>
      <c r="B62" s="189"/>
      <c r="C62" s="189"/>
      <c r="D62" s="189"/>
      <c r="E62" s="189"/>
      <c r="F62" s="189"/>
      <c r="G62" s="189"/>
      <c r="H62" s="171"/>
      <c r="I62" s="171"/>
      <c r="J62" s="189"/>
      <c r="K62" s="189"/>
      <c r="L62" s="189"/>
      <c r="M62" s="189"/>
      <c r="N62" s="189"/>
      <c r="O62" s="189"/>
    </row>
    <row r="63" spans="1:15">
      <c r="A63" s="187"/>
      <c r="B63" s="188"/>
      <c r="C63" s="188"/>
      <c r="D63" s="188"/>
      <c r="E63" s="188"/>
      <c r="F63" s="188"/>
      <c r="G63" s="188"/>
      <c r="H63" s="176"/>
      <c r="I63" s="176"/>
      <c r="J63" s="188"/>
      <c r="K63" s="188"/>
      <c r="L63" s="188"/>
      <c r="M63" s="188"/>
      <c r="N63" s="188"/>
      <c r="O63" s="188"/>
    </row>
    <row r="64" spans="1:15">
      <c r="A64" s="156"/>
      <c r="B64" s="189"/>
      <c r="C64" s="189"/>
      <c r="D64" s="189"/>
      <c r="E64" s="189"/>
      <c r="F64" s="189"/>
      <c r="G64" s="189"/>
      <c r="H64" s="171"/>
      <c r="I64" s="171"/>
      <c r="J64" s="189"/>
      <c r="K64" s="189"/>
      <c r="L64" s="189"/>
      <c r="M64" s="189"/>
      <c r="N64" s="189"/>
      <c r="O64" s="189"/>
    </row>
  </sheetData>
  <mergeCells count="6">
    <mergeCell ref="I38:O38"/>
    <mergeCell ref="I3:O3"/>
    <mergeCell ref="I8:O8"/>
    <mergeCell ref="I17:O17"/>
    <mergeCell ref="I24:O24"/>
    <mergeCell ref="I27:O27"/>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ummaryRight="0"/>
  </sheetPr>
  <dimension ref="A1"/>
  <sheetViews>
    <sheetView workbookViewId="0"/>
  </sheetViews>
  <sheetFormatPr defaultColWidth="14.42578125" defaultRowHeight="15.75"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ummaryRight="0"/>
  </sheetPr>
  <dimension ref="A1:BF500"/>
  <sheetViews>
    <sheetView workbookViewId="0">
      <pane xSplit="4" ySplit="1" topLeftCell="AQ2" activePane="bottomRight" state="frozen"/>
      <selection pane="topRight" activeCell="E1" sqref="E1"/>
      <selection pane="bottomLeft" activeCell="A2" sqref="A2"/>
      <selection pane="bottomRight" activeCell="AX8" sqref="AX8"/>
    </sheetView>
  </sheetViews>
  <sheetFormatPr defaultColWidth="14.42578125" defaultRowHeight="15.75" customHeight="1"/>
  <cols>
    <col min="1" max="1" width="22.7109375" customWidth="1"/>
    <col min="2" max="2" width="11.42578125" customWidth="1"/>
    <col min="3" max="3" width="18" customWidth="1"/>
    <col min="4" max="4" width="25.140625" customWidth="1"/>
    <col min="5" max="5" width="12.42578125" customWidth="1"/>
    <col min="6" max="6" width="12.5703125" customWidth="1"/>
    <col min="7" max="7" width="16.7109375" customWidth="1"/>
    <col min="8" max="9" width="13.7109375" customWidth="1"/>
    <col min="10" max="10" width="16" customWidth="1"/>
    <col min="11" max="11" width="11" customWidth="1"/>
    <col min="12" max="12" width="19" customWidth="1"/>
    <col min="13" max="13" width="12.140625" customWidth="1"/>
    <col min="14" max="21" width="13.85546875" customWidth="1"/>
    <col min="22" max="22" width="17.5703125" customWidth="1"/>
    <col min="23" max="23" width="13.85546875" customWidth="1"/>
    <col min="24" max="24" width="15" customWidth="1"/>
    <col min="25" max="25" width="13.85546875" customWidth="1"/>
    <col min="26" max="26" width="25" customWidth="1"/>
    <col min="27" max="29" width="13.85546875" customWidth="1"/>
    <col min="30" max="30" width="16.7109375" customWidth="1"/>
    <col min="31" max="31" width="35.42578125" customWidth="1"/>
    <col min="32" max="32" width="13.85546875" customWidth="1"/>
    <col min="33" max="33" width="22.28515625" customWidth="1"/>
    <col min="34" max="34" width="16.28515625" customWidth="1"/>
    <col min="35" max="35" width="22" customWidth="1"/>
    <col min="36" max="36" width="28.5703125" customWidth="1"/>
    <col min="37" max="37" width="13.85546875" customWidth="1"/>
    <col min="38" max="38" width="19.28515625" customWidth="1"/>
    <col min="39" max="39" width="13.85546875" customWidth="1"/>
    <col min="40" max="40" width="19.28515625" customWidth="1"/>
    <col min="42" max="42" width="15.7109375" customWidth="1"/>
    <col min="46" max="46" width="16.28515625" hidden="1" customWidth="1"/>
    <col min="47" max="47" width="16.42578125" customWidth="1"/>
  </cols>
  <sheetData>
    <row r="1" spans="1:58" ht="46.5" customHeight="1">
      <c r="A1" s="190" t="s">
        <v>247</v>
      </c>
      <c r="B1" s="190" t="s">
        <v>248</v>
      </c>
      <c r="C1" s="190" t="s">
        <v>113</v>
      </c>
      <c r="D1" s="191" t="s">
        <v>249</v>
      </c>
      <c r="E1" s="190" t="s">
        <v>250</v>
      </c>
      <c r="F1" s="190" t="s">
        <v>251</v>
      </c>
      <c r="G1" s="190" t="s">
        <v>252</v>
      </c>
      <c r="H1" s="190" t="s">
        <v>253</v>
      </c>
      <c r="I1" s="190" t="s">
        <v>254</v>
      </c>
      <c r="J1" s="192" t="s">
        <v>255</v>
      </c>
      <c r="K1" s="190" t="s">
        <v>256</v>
      </c>
      <c r="L1" s="191" t="s">
        <v>257</v>
      </c>
      <c r="M1" s="190" t="s">
        <v>258</v>
      </c>
      <c r="N1" s="190" t="s">
        <v>259</v>
      </c>
      <c r="O1" s="190" t="s">
        <v>260</v>
      </c>
      <c r="P1" s="190" t="s">
        <v>261</v>
      </c>
      <c r="Q1" s="190" t="s">
        <v>262</v>
      </c>
      <c r="R1" s="190" t="s">
        <v>263</v>
      </c>
      <c r="S1" s="190" t="s">
        <v>264</v>
      </c>
      <c r="T1" s="190" t="s">
        <v>265</v>
      </c>
      <c r="U1" s="190" t="s">
        <v>266</v>
      </c>
      <c r="V1" s="190" t="s">
        <v>267</v>
      </c>
      <c r="W1" s="190" t="s">
        <v>257</v>
      </c>
      <c r="X1" s="190" t="s">
        <v>268</v>
      </c>
      <c r="Y1" s="190" t="s">
        <v>257</v>
      </c>
      <c r="Z1" s="190" t="s">
        <v>269</v>
      </c>
      <c r="AA1" s="190" t="s">
        <v>257</v>
      </c>
      <c r="AB1" s="190" t="s">
        <v>270</v>
      </c>
      <c r="AC1" s="190" t="s">
        <v>257</v>
      </c>
      <c r="AD1" s="190" t="s">
        <v>271</v>
      </c>
      <c r="AE1" s="190" t="s">
        <v>272</v>
      </c>
      <c r="AF1" s="190" t="s">
        <v>257</v>
      </c>
      <c r="AG1" s="190" t="s">
        <v>273</v>
      </c>
      <c r="AH1" s="190" t="s">
        <v>274</v>
      </c>
      <c r="AI1" s="190" t="s">
        <v>275</v>
      </c>
      <c r="AJ1" s="190" t="s">
        <v>276</v>
      </c>
      <c r="AK1" s="190" t="s">
        <v>257</v>
      </c>
      <c r="AL1" s="190" t="s">
        <v>277</v>
      </c>
      <c r="AM1" s="190" t="s">
        <v>257</v>
      </c>
      <c r="AN1" s="190" t="s">
        <v>278</v>
      </c>
      <c r="AO1" s="190" t="s">
        <v>279</v>
      </c>
      <c r="AP1" s="190" t="s">
        <v>280</v>
      </c>
      <c r="AQ1" s="190" t="s">
        <v>281</v>
      </c>
      <c r="AR1" s="190" t="s">
        <v>282</v>
      </c>
      <c r="AS1" s="190" t="s">
        <v>27</v>
      </c>
      <c r="AT1" s="190" t="s">
        <v>283</v>
      </c>
      <c r="AU1" s="190" t="s">
        <v>284</v>
      </c>
      <c r="AV1" s="190" t="s">
        <v>285</v>
      </c>
      <c r="AW1" s="190" t="s">
        <v>286</v>
      </c>
      <c r="AX1" s="190" t="s">
        <v>287</v>
      </c>
      <c r="AY1" s="190" t="s">
        <v>288</v>
      </c>
      <c r="AZ1" s="190" t="s">
        <v>289</v>
      </c>
      <c r="BA1" s="190" t="s">
        <v>290</v>
      </c>
      <c r="BB1" s="190" t="s">
        <v>291</v>
      </c>
      <c r="BC1" s="190" t="s">
        <v>292</v>
      </c>
      <c r="BD1" s="190" t="s">
        <v>293</v>
      </c>
      <c r="BE1" s="190" t="s">
        <v>294</v>
      </c>
      <c r="BF1" s="190" t="s">
        <v>295</v>
      </c>
    </row>
    <row r="2" spans="1:58" ht="34.5" customHeight="1">
      <c r="A2" s="193" t="s">
        <v>296</v>
      </c>
      <c r="B2" s="194">
        <v>2016</v>
      </c>
      <c r="C2" s="195" t="s">
        <v>297</v>
      </c>
      <c r="D2" s="4" t="s">
        <v>298</v>
      </c>
      <c r="E2" s="194">
        <v>27001804</v>
      </c>
      <c r="F2" s="196" t="str">
        <f t="shared" ref="F2:F55" si="0">"https://pubmed.ncbi.nlm.nih.gov/"&amp;E2</f>
        <v>https://pubmed.ncbi.nlm.nih.gov/27001804</v>
      </c>
      <c r="G2" s="197" t="str">
        <f t="shared" ref="G2:G55" si="1">HYPERLINK(AT2,AU2)</f>
        <v>Chen 2016</v>
      </c>
      <c r="H2" s="195">
        <v>2014</v>
      </c>
      <c r="I2" s="195" t="s">
        <v>299</v>
      </c>
      <c r="J2" s="198" t="s">
        <v>300</v>
      </c>
      <c r="K2" s="195">
        <v>197</v>
      </c>
      <c r="L2" s="4" t="s">
        <v>301</v>
      </c>
      <c r="M2" s="195">
        <v>124</v>
      </c>
      <c r="N2" s="195">
        <v>73</v>
      </c>
      <c r="O2" s="195">
        <v>31</v>
      </c>
      <c r="P2" s="195">
        <v>18</v>
      </c>
      <c r="Q2" s="195">
        <v>45</v>
      </c>
      <c r="R2" s="195">
        <v>18</v>
      </c>
      <c r="S2" s="195">
        <v>45</v>
      </c>
      <c r="T2" s="195" t="s">
        <v>302</v>
      </c>
      <c r="U2" s="195" t="s">
        <v>303</v>
      </c>
      <c r="V2" s="195" t="s">
        <v>304</v>
      </c>
      <c r="W2" s="199"/>
      <c r="X2" s="195">
        <v>95</v>
      </c>
      <c r="Y2" s="195" t="s">
        <v>305</v>
      </c>
      <c r="Z2" s="195">
        <v>85</v>
      </c>
      <c r="AA2" s="195"/>
      <c r="AB2" s="195">
        <v>102</v>
      </c>
      <c r="AC2" s="195" t="s">
        <v>306</v>
      </c>
      <c r="AD2" s="195">
        <v>2</v>
      </c>
      <c r="AE2" s="195" t="s">
        <v>307</v>
      </c>
      <c r="AF2" s="199"/>
      <c r="AG2" s="195">
        <v>17</v>
      </c>
      <c r="AH2" s="195" t="s">
        <v>308</v>
      </c>
      <c r="AI2" s="195" t="s">
        <v>309</v>
      </c>
      <c r="AJ2" s="195">
        <v>1</v>
      </c>
      <c r="AK2" s="195" t="s">
        <v>310</v>
      </c>
      <c r="AL2" s="195">
        <v>17</v>
      </c>
      <c r="AM2" s="199"/>
      <c r="AN2" s="195" t="s">
        <v>311</v>
      </c>
      <c r="AO2" s="195" t="s">
        <v>312</v>
      </c>
      <c r="AP2" s="200" t="s">
        <v>313</v>
      </c>
      <c r="AQ2" s="195" t="s">
        <v>314</v>
      </c>
      <c r="AR2" s="201" t="s">
        <v>315</v>
      </c>
      <c r="AS2" s="195" t="s">
        <v>316</v>
      </c>
      <c r="AT2" s="199"/>
      <c r="AU2" s="202" t="s">
        <v>317</v>
      </c>
      <c r="AV2" s="195" t="s">
        <v>318</v>
      </c>
      <c r="AW2" s="195" t="str">
        <f ca="1">IFERROR(__xludf.DUMMYFUNCTION("IF(AND(IF(AS2=""Yes"",True,False),NOT(IFERROR(REGEXMATCH(AV2,ExclusionCategories),FALSE))),""Yes"", ""No"")"),"No")</f>
        <v>No</v>
      </c>
      <c r="AX2" s="195">
        <f ca="1">IFERROR(__xludf.DUMMYFUNCTION("IF(IFERROR(SEARCH(""Unclear"", Z2)) = 1, VALUE(REGEXEXTRACT(Z2,""\d+"")), Z2)"),85)</f>
        <v>85</v>
      </c>
      <c r="AY2" s="195">
        <v>85</v>
      </c>
      <c r="AZ2" s="195">
        <f ca="1">IFERROR(__xludf.DUMMYFUNCTION("IF(IFERROR(SEARCH(""Unclear"", AG2)) = 1, VALUE(REGEXEXTRACT(AG2,""\d+"")), AG2)"),17)</f>
        <v>17</v>
      </c>
      <c r="BA2" s="195">
        <v>17</v>
      </c>
      <c r="BB2" s="195">
        <f ca="1">IFERROR(__xludf.DUMMYFUNCTION("IF(IFERROR(SEARCH(""Unclear"", AJ2)) = 1, VALUE(REGEXEXTRACT(AJ2,""\d+"")), AJ2)"),1)</f>
        <v>1</v>
      </c>
      <c r="BC2" s="195">
        <v>1</v>
      </c>
      <c r="BD2" s="195" t="b">
        <f t="shared" ref="BD2:BD496" si="2">IF(IFERROR(FIND("ND",AG2),0),FALSE,TRUE)</f>
        <v>1</v>
      </c>
      <c r="BE2" s="195" t="b">
        <f t="shared" ref="BE2:BF2" si="3">IF(IFERROR(FIND("ND",AI2),0),FALSE,TRUE)</f>
        <v>1</v>
      </c>
      <c r="BF2" s="195" t="b">
        <f t="shared" si="3"/>
        <v>1</v>
      </c>
    </row>
    <row r="3" spans="1:58" ht="34.5" customHeight="1">
      <c r="A3" s="193" t="s">
        <v>296</v>
      </c>
      <c r="B3" s="194">
        <v>2016</v>
      </c>
      <c r="C3" s="195" t="s">
        <v>297</v>
      </c>
      <c r="D3" s="4" t="s">
        <v>319</v>
      </c>
      <c r="E3" s="194">
        <v>27001804</v>
      </c>
      <c r="F3" s="196" t="str">
        <f t="shared" si="0"/>
        <v>https://pubmed.ncbi.nlm.nih.gov/27001804</v>
      </c>
      <c r="G3" s="197" t="str">
        <f t="shared" si="1"/>
        <v>Chen 2016</v>
      </c>
      <c r="H3" s="195">
        <v>2014</v>
      </c>
      <c r="I3" s="195" t="s">
        <v>299</v>
      </c>
      <c r="J3" s="198" t="s">
        <v>300</v>
      </c>
      <c r="K3" s="195">
        <v>35</v>
      </c>
      <c r="L3" s="4" t="s">
        <v>320</v>
      </c>
      <c r="M3" s="195">
        <v>25</v>
      </c>
      <c r="N3" s="195">
        <v>10</v>
      </c>
      <c r="O3" s="195">
        <v>31</v>
      </c>
      <c r="P3" s="195">
        <v>18</v>
      </c>
      <c r="Q3" s="195">
        <v>45</v>
      </c>
      <c r="R3" s="195">
        <v>18</v>
      </c>
      <c r="S3" s="195">
        <v>45</v>
      </c>
      <c r="T3" s="195">
        <v>30.5</v>
      </c>
      <c r="U3" s="195">
        <v>6.7</v>
      </c>
      <c r="V3" s="195" t="s">
        <v>321</v>
      </c>
      <c r="W3" s="199"/>
      <c r="X3" s="195">
        <v>35</v>
      </c>
      <c r="Y3" s="195"/>
      <c r="Z3" s="195">
        <v>5</v>
      </c>
      <c r="AA3" s="195"/>
      <c r="AB3" s="195">
        <v>0</v>
      </c>
      <c r="AC3" s="195"/>
      <c r="AD3" s="195" t="s">
        <v>322</v>
      </c>
      <c r="AE3" s="195" t="s">
        <v>307</v>
      </c>
      <c r="AF3" s="195" t="s">
        <v>323</v>
      </c>
      <c r="AG3" s="195" t="s">
        <v>324</v>
      </c>
      <c r="AH3" s="195" t="s">
        <v>316</v>
      </c>
      <c r="AI3" s="195" t="s">
        <v>324</v>
      </c>
      <c r="AJ3" s="195">
        <v>0</v>
      </c>
      <c r="AK3" s="195" t="s">
        <v>323</v>
      </c>
      <c r="AL3" s="195" t="s">
        <v>322</v>
      </c>
      <c r="AM3" s="199"/>
      <c r="AN3" s="195" t="s">
        <v>311</v>
      </c>
      <c r="AO3" s="195" t="s">
        <v>312</v>
      </c>
      <c r="AP3" s="200" t="s">
        <v>325</v>
      </c>
      <c r="AQ3" s="195" t="s">
        <v>314</v>
      </c>
      <c r="AR3" s="201" t="s">
        <v>315</v>
      </c>
      <c r="AS3" s="195" t="s">
        <v>316</v>
      </c>
      <c r="AT3" s="199"/>
      <c r="AU3" s="202" t="s">
        <v>317</v>
      </c>
      <c r="AV3" s="195" t="s">
        <v>326</v>
      </c>
      <c r="AW3" s="195" t="str">
        <f ca="1">IFERROR(__xludf.DUMMYFUNCTION("IF(AND(IF(AS3=""Yes"",True,False),NOT(IFERROR(REGEXMATCH(AV3,ExclusionCategories),FALSE))),""Yes"", ""No"")"),"No")</f>
        <v>No</v>
      </c>
      <c r="AX3" s="195">
        <f ca="1">IFERROR(__xludf.DUMMYFUNCTION("IF(IFERROR(SEARCH(""Unclear"", Z3)) = 1, VALUE(REGEXEXTRACT(Z3,""\d+"")), Z3)"),5)</f>
        <v>5</v>
      </c>
      <c r="AY3" s="195">
        <v>5</v>
      </c>
      <c r="AZ3" s="195" t="str">
        <f ca="1">IFERROR(__xludf.DUMMYFUNCTION("IF(IFERROR(SEARCH(""Unclear"", AG3)) = 1, VALUE(REGEXEXTRACT(AG3,""\d+"")), AG3)"),"ND")</f>
        <v>ND</v>
      </c>
      <c r="BA3" s="195" t="s">
        <v>324</v>
      </c>
      <c r="BB3" s="195">
        <f ca="1">IFERROR(__xludf.DUMMYFUNCTION("IF(IFERROR(SEARCH(""Unclear"", AJ3)) = 1, VALUE(REGEXEXTRACT(AJ3,""\d+"")), AJ3)"),0)</f>
        <v>0</v>
      </c>
      <c r="BC3" s="195">
        <v>0</v>
      </c>
      <c r="BD3" s="195" t="b">
        <f t="shared" si="2"/>
        <v>0</v>
      </c>
      <c r="BE3" s="195" t="b">
        <f t="shared" ref="BE3:BF3" si="4">IF(IFERROR(FIND("ND",AI3),0),FALSE,TRUE)</f>
        <v>0</v>
      </c>
      <c r="BF3" s="195" t="b">
        <f t="shared" si="4"/>
        <v>1</v>
      </c>
    </row>
    <row r="4" spans="1:58" ht="34.5" customHeight="1">
      <c r="A4" s="193" t="s">
        <v>296</v>
      </c>
      <c r="B4" s="194">
        <v>2016</v>
      </c>
      <c r="C4" s="195" t="s">
        <v>297</v>
      </c>
      <c r="D4" s="4" t="s">
        <v>319</v>
      </c>
      <c r="E4" s="194">
        <v>27001804</v>
      </c>
      <c r="F4" s="196" t="str">
        <f t="shared" si="0"/>
        <v>https://pubmed.ncbi.nlm.nih.gov/27001804</v>
      </c>
      <c r="G4" s="197" t="str">
        <f t="shared" si="1"/>
        <v>Chen 2016</v>
      </c>
      <c r="H4" s="195">
        <v>2014</v>
      </c>
      <c r="I4" s="195" t="s">
        <v>299</v>
      </c>
      <c r="J4" s="198" t="s">
        <v>300</v>
      </c>
      <c r="K4" s="195">
        <v>33</v>
      </c>
      <c r="L4" s="4" t="s">
        <v>327</v>
      </c>
      <c r="M4" s="195">
        <v>27</v>
      </c>
      <c r="N4" s="195">
        <v>6</v>
      </c>
      <c r="O4" s="195">
        <v>32</v>
      </c>
      <c r="P4" s="195">
        <v>18</v>
      </c>
      <c r="Q4" s="195">
        <v>45</v>
      </c>
      <c r="R4" s="195">
        <v>18</v>
      </c>
      <c r="S4" s="195">
        <v>45</v>
      </c>
      <c r="T4" s="195">
        <v>33.1</v>
      </c>
      <c r="U4" s="195">
        <v>8.1999999999999993</v>
      </c>
      <c r="V4" s="195" t="s">
        <v>321</v>
      </c>
      <c r="W4" s="199"/>
      <c r="X4" s="195">
        <v>33</v>
      </c>
      <c r="Y4" s="195"/>
      <c r="Z4" s="195">
        <v>15</v>
      </c>
      <c r="AA4" s="195"/>
      <c r="AB4" s="195">
        <v>0</v>
      </c>
      <c r="AC4" s="195"/>
      <c r="AD4" s="195" t="s">
        <v>322</v>
      </c>
      <c r="AE4" s="195" t="s">
        <v>307</v>
      </c>
      <c r="AF4" s="195" t="s">
        <v>323</v>
      </c>
      <c r="AG4" s="195" t="s">
        <v>324</v>
      </c>
      <c r="AH4" s="195" t="s">
        <v>316</v>
      </c>
      <c r="AI4" s="195" t="s">
        <v>324</v>
      </c>
      <c r="AJ4" s="195">
        <v>0</v>
      </c>
      <c r="AK4" s="195" t="s">
        <v>323</v>
      </c>
      <c r="AL4" s="195" t="s">
        <v>322</v>
      </c>
      <c r="AM4" s="199"/>
      <c r="AN4" s="195" t="s">
        <v>311</v>
      </c>
      <c r="AO4" s="195" t="s">
        <v>312</v>
      </c>
      <c r="AP4" s="200" t="s">
        <v>328</v>
      </c>
      <c r="AQ4" s="195" t="s">
        <v>314</v>
      </c>
      <c r="AR4" s="201" t="s">
        <v>315</v>
      </c>
      <c r="AS4" s="195" t="s">
        <v>316</v>
      </c>
      <c r="AT4" s="199"/>
      <c r="AU4" s="202" t="s">
        <v>317</v>
      </c>
      <c r="AV4" s="195" t="s">
        <v>326</v>
      </c>
      <c r="AW4" s="195" t="str">
        <f ca="1">IFERROR(__xludf.DUMMYFUNCTION("IF(AND(IF(AS4=""Yes"",True,False),NOT(IFERROR(REGEXMATCH(AV4,ExclusionCategories),FALSE))),""Yes"", ""No"")"),"No")</f>
        <v>No</v>
      </c>
      <c r="AX4" s="195">
        <f ca="1">IFERROR(__xludf.DUMMYFUNCTION("IF(IFERROR(SEARCH(""Unclear"", Z4)) = 1, VALUE(REGEXEXTRACT(Z4,""\d+"")), Z4)"),15)</f>
        <v>15</v>
      </c>
      <c r="AY4" s="195">
        <v>15</v>
      </c>
      <c r="AZ4" s="195" t="str">
        <f ca="1">IFERROR(__xludf.DUMMYFUNCTION("IF(IFERROR(SEARCH(""Unclear"", AG4)) = 1, VALUE(REGEXEXTRACT(AG4,""\d+"")), AG4)"),"ND")</f>
        <v>ND</v>
      </c>
      <c r="BA4" s="195" t="s">
        <v>324</v>
      </c>
      <c r="BB4" s="195">
        <f ca="1">IFERROR(__xludf.DUMMYFUNCTION("IF(IFERROR(SEARCH(""Unclear"", AJ4)) = 1, VALUE(REGEXEXTRACT(AJ4,""\d+"")), AJ4)"),0)</f>
        <v>0</v>
      </c>
      <c r="BC4" s="195">
        <v>0</v>
      </c>
      <c r="BD4" s="195" t="b">
        <f t="shared" si="2"/>
        <v>0</v>
      </c>
      <c r="BE4" s="195" t="b">
        <f t="shared" ref="BE4:BF4" si="5">IF(IFERROR(FIND("ND",AI4),0),FALSE,TRUE)</f>
        <v>0</v>
      </c>
      <c r="BF4" s="195" t="b">
        <f t="shared" si="5"/>
        <v>1</v>
      </c>
    </row>
    <row r="5" spans="1:58" ht="34.5" customHeight="1">
      <c r="A5" s="193" t="s">
        <v>296</v>
      </c>
      <c r="B5" s="194">
        <v>2016</v>
      </c>
      <c r="C5" s="195" t="s">
        <v>297</v>
      </c>
      <c r="D5" s="4" t="s">
        <v>319</v>
      </c>
      <c r="E5" s="194">
        <v>27001804</v>
      </c>
      <c r="F5" s="196" t="str">
        <f t="shared" si="0"/>
        <v>https://pubmed.ncbi.nlm.nih.gov/27001804</v>
      </c>
      <c r="G5" s="197" t="str">
        <f t="shared" si="1"/>
        <v>Chen 2016</v>
      </c>
      <c r="H5" s="195">
        <v>2014</v>
      </c>
      <c r="I5" s="195" t="s">
        <v>299</v>
      </c>
      <c r="J5" s="198" t="s">
        <v>300</v>
      </c>
      <c r="K5" s="195">
        <v>66</v>
      </c>
      <c r="L5" s="4" t="s">
        <v>329</v>
      </c>
      <c r="M5" s="195">
        <v>38</v>
      </c>
      <c r="N5" s="195">
        <v>28</v>
      </c>
      <c r="O5" s="195">
        <v>31.5</v>
      </c>
      <c r="P5" s="195">
        <v>18</v>
      </c>
      <c r="Q5" s="195">
        <v>45</v>
      </c>
      <c r="R5" s="195">
        <v>18</v>
      </c>
      <c r="S5" s="195">
        <v>45</v>
      </c>
      <c r="T5" s="195" t="s">
        <v>330</v>
      </c>
      <c r="U5" s="195" t="s">
        <v>331</v>
      </c>
      <c r="V5" s="195" t="s">
        <v>321</v>
      </c>
      <c r="W5" s="199"/>
      <c r="X5" s="195">
        <v>66</v>
      </c>
      <c r="Y5" s="195"/>
      <c r="Z5" s="195">
        <v>61</v>
      </c>
      <c r="AA5" s="195"/>
      <c r="AB5" s="195">
        <v>0</v>
      </c>
      <c r="AC5" s="195"/>
      <c r="AD5" s="195" t="s">
        <v>322</v>
      </c>
      <c r="AE5" s="195" t="s">
        <v>307</v>
      </c>
      <c r="AF5" s="195" t="s">
        <v>323</v>
      </c>
      <c r="AG5" s="195" t="s">
        <v>324</v>
      </c>
      <c r="AH5" s="195" t="s">
        <v>316</v>
      </c>
      <c r="AI5" s="195" t="s">
        <v>324</v>
      </c>
      <c r="AJ5" s="195" t="s">
        <v>324</v>
      </c>
      <c r="AK5" s="195" t="s">
        <v>323</v>
      </c>
      <c r="AL5" s="195" t="s">
        <v>322</v>
      </c>
      <c r="AM5" s="199"/>
      <c r="AN5" s="195" t="s">
        <v>332</v>
      </c>
      <c r="AO5" s="195" t="s">
        <v>312</v>
      </c>
      <c r="AP5" s="200" t="s">
        <v>333</v>
      </c>
      <c r="AQ5" s="195" t="s">
        <v>314</v>
      </c>
      <c r="AR5" s="201" t="s">
        <v>315</v>
      </c>
      <c r="AS5" s="195" t="s">
        <v>316</v>
      </c>
      <c r="AT5" s="199"/>
      <c r="AU5" s="202" t="s">
        <v>317</v>
      </c>
      <c r="AV5" s="195" t="s">
        <v>326</v>
      </c>
      <c r="AW5" s="195" t="str">
        <f ca="1">IFERROR(__xludf.DUMMYFUNCTION("IF(AND(IF(AS5=""Yes"",True,False),NOT(IFERROR(REGEXMATCH(AV5,ExclusionCategories),FALSE))),""Yes"", ""No"")"),"No")</f>
        <v>No</v>
      </c>
      <c r="AX5" s="195">
        <f ca="1">IFERROR(__xludf.DUMMYFUNCTION("IF(IFERROR(SEARCH(""Unclear"", Z5)) = 1, VALUE(REGEXEXTRACT(Z5,""\d+"")), Z5)"),61)</f>
        <v>61</v>
      </c>
      <c r="AY5" s="195">
        <v>61</v>
      </c>
      <c r="AZ5" s="195" t="str">
        <f ca="1">IFERROR(__xludf.DUMMYFUNCTION("IF(IFERROR(SEARCH(""Unclear"", AG5)) = 1, VALUE(REGEXEXTRACT(AG5,""\d+"")), AG5)"),"ND")</f>
        <v>ND</v>
      </c>
      <c r="BA5" s="195" t="s">
        <v>324</v>
      </c>
      <c r="BB5" s="195" t="str">
        <f ca="1">IFERROR(__xludf.DUMMYFUNCTION("IF(IFERROR(SEARCH(""Unclear"", AJ5)) = 1, VALUE(REGEXEXTRACT(AJ5,""\d+"")), AJ5)"),"ND")</f>
        <v>ND</v>
      </c>
      <c r="BC5" s="195" t="s">
        <v>324</v>
      </c>
      <c r="BD5" s="195" t="b">
        <f t="shared" si="2"/>
        <v>0</v>
      </c>
      <c r="BE5" s="195" t="b">
        <f t="shared" ref="BE5:BF5" si="6">IF(IFERROR(FIND("ND",AI5),0),FALSE,TRUE)</f>
        <v>0</v>
      </c>
      <c r="BF5" s="195" t="b">
        <f t="shared" si="6"/>
        <v>0</v>
      </c>
    </row>
    <row r="6" spans="1:58" ht="34.5" customHeight="1">
      <c r="A6" s="203" t="s">
        <v>296</v>
      </c>
      <c r="B6" s="204">
        <v>2016</v>
      </c>
      <c r="C6" s="195" t="s">
        <v>297</v>
      </c>
      <c r="D6" s="4" t="s">
        <v>319</v>
      </c>
      <c r="E6" s="194">
        <v>27001804</v>
      </c>
      <c r="F6" s="196" t="str">
        <f t="shared" si="0"/>
        <v>https://pubmed.ncbi.nlm.nih.gov/27001804</v>
      </c>
      <c r="G6" s="197" t="str">
        <f t="shared" si="1"/>
        <v>Chen 2016</v>
      </c>
      <c r="H6" s="195">
        <v>2014</v>
      </c>
      <c r="I6" s="195" t="s">
        <v>299</v>
      </c>
      <c r="J6" s="198" t="s">
        <v>300</v>
      </c>
      <c r="K6" s="195">
        <v>197</v>
      </c>
      <c r="L6" s="4" t="s">
        <v>334</v>
      </c>
      <c r="M6" s="195">
        <v>124</v>
      </c>
      <c r="N6" s="195">
        <v>73</v>
      </c>
      <c r="O6" s="195">
        <v>31</v>
      </c>
      <c r="P6" s="195">
        <v>18</v>
      </c>
      <c r="Q6" s="195">
        <v>45</v>
      </c>
      <c r="R6" s="195">
        <v>18</v>
      </c>
      <c r="S6" s="195">
        <v>45</v>
      </c>
      <c r="T6" s="195">
        <v>31</v>
      </c>
      <c r="U6" s="195" t="s">
        <v>303</v>
      </c>
      <c r="V6" s="195" t="s">
        <v>321</v>
      </c>
      <c r="W6" s="199"/>
      <c r="X6" s="195">
        <v>134</v>
      </c>
      <c r="Y6" s="195"/>
      <c r="Z6" s="195">
        <v>81</v>
      </c>
      <c r="AA6" s="195"/>
      <c r="AB6" s="195">
        <v>63</v>
      </c>
      <c r="AC6" s="195"/>
      <c r="AD6" s="195" t="s">
        <v>324</v>
      </c>
      <c r="AE6" s="195" t="s">
        <v>307</v>
      </c>
      <c r="AF6" s="195" t="s">
        <v>335</v>
      </c>
      <c r="AG6" s="195" t="s">
        <v>324</v>
      </c>
      <c r="AH6" s="195" t="s">
        <v>316</v>
      </c>
      <c r="AI6" s="195" t="s">
        <v>324</v>
      </c>
      <c r="AJ6" s="195" t="s">
        <v>324</v>
      </c>
      <c r="AK6" s="195" t="s">
        <v>323</v>
      </c>
      <c r="AL6" s="195" t="s">
        <v>322</v>
      </c>
      <c r="AM6" s="199"/>
      <c r="AN6" s="195" t="s">
        <v>311</v>
      </c>
      <c r="AO6" s="195" t="s">
        <v>312</v>
      </c>
      <c r="AP6" s="200" t="s">
        <v>336</v>
      </c>
      <c r="AQ6" s="195" t="s">
        <v>314</v>
      </c>
      <c r="AR6" s="201" t="s">
        <v>315</v>
      </c>
      <c r="AS6" s="195" t="s">
        <v>308</v>
      </c>
      <c r="AT6" s="199"/>
      <c r="AU6" s="202" t="s">
        <v>317</v>
      </c>
      <c r="AV6" s="195" t="s">
        <v>337</v>
      </c>
      <c r="AW6" s="195" t="str">
        <f ca="1">IFERROR(__xludf.DUMMYFUNCTION("IF(AND(IF(AS6=""Yes"",True,False),NOT(IFERROR(REGEXMATCH(AV6,ExclusionCategories),FALSE))),""Yes"", ""No"")"),"Yes")</f>
        <v>Yes</v>
      </c>
      <c r="AX6" s="195">
        <f ca="1">IFERROR(__xludf.DUMMYFUNCTION("IF(IFERROR(SEARCH(""Unclear"", Z6)) = 1, VALUE(REGEXEXTRACT(Z6,""\d+"")), Z6)"),81)</f>
        <v>81</v>
      </c>
      <c r="AY6" s="195">
        <v>81</v>
      </c>
      <c r="AZ6" s="195" t="str">
        <f ca="1">IFERROR(__xludf.DUMMYFUNCTION("IF(IFERROR(SEARCH(""Unclear"", AG6)) = 1, VALUE(REGEXEXTRACT(AG6,""\d+"")), AG6)"),"ND")</f>
        <v>ND</v>
      </c>
      <c r="BA6" s="195" t="s">
        <v>324</v>
      </c>
      <c r="BB6" s="195" t="str">
        <f ca="1">IFERROR(__xludf.DUMMYFUNCTION("IF(IFERROR(SEARCH(""Unclear"", AJ6)) = 1, VALUE(REGEXEXTRACT(AJ6,""\d+"")), AJ6)"),"ND")</f>
        <v>ND</v>
      </c>
      <c r="BC6" s="195" t="s">
        <v>324</v>
      </c>
      <c r="BD6" s="195" t="b">
        <f t="shared" si="2"/>
        <v>0</v>
      </c>
      <c r="BE6" s="195" t="b">
        <f t="shared" ref="BE6:BF6" si="7">IF(IFERROR(FIND("ND",AI6),0),FALSE,TRUE)</f>
        <v>0</v>
      </c>
      <c r="BF6" s="195" t="b">
        <f t="shared" si="7"/>
        <v>0</v>
      </c>
    </row>
    <row r="7" spans="1:58" ht="34.5" customHeight="1">
      <c r="A7" s="193" t="s">
        <v>338</v>
      </c>
      <c r="B7" s="194">
        <v>2013</v>
      </c>
      <c r="C7" s="195" t="s">
        <v>339</v>
      </c>
      <c r="D7" s="4" t="s">
        <v>340</v>
      </c>
      <c r="E7" s="194">
        <v>23457473</v>
      </c>
      <c r="F7" s="196" t="str">
        <f t="shared" si="0"/>
        <v>https://pubmed.ncbi.nlm.nih.gov/23457473</v>
      </c>
      <c r="G7" s="197" t="str">
        <f t="shared" si="1"/>
        <v>Chuang 2013</v>
      </c>
      <c r="H7" s="195">
        <v>2009</v>
      </c>
      <c r="I7" s="195" t="s">
        <v>341</v>
      </c>
      <c r="J7" s="198" t="s">
        <v>342</v>
      </c>
      <c r="K7" s="195">
        <v>20</v>
      </c>
      <c r="L7" s="4" t="s">
        <v>343</v>
      </c>
      <c r="M7" s="195">
        <v>6</v>
      </c>
      <c r="N7" s="195">
        <v>14</v>
      </c>
      <c r="O7" s="195" t="s">
        <v>324</v>
      </c>
      <c r="P7" s="195" t="s">
        <v>324</v>
      </c>
      <c r="Q7" s="195" t="s">
        <v>324</v>
      </c>
      <c r="R7" s="195">
        <v>18</v>
      </c>
      <c r="S7" s="195">
        <v>50</v>
      </c>
      <c r="T7" s="195">
        <v>35</v>
      </c>
      <c r="U7" s="195">
        <v>11.2</v>
      </c>
      <c r="V7" s="195" t="s">
        <v>322</v>
      </c>
      <c r="W7" s="199"/>
      <c r="X7" s="195" t="s">
        <v>322</v>
      </c>
      <c r="Y7" s="195"/>
      <c r="Z7" s="195" t="s">
        <v>322</v>
      </c>
      <c r="AA7" s="195"/>
      <c r="AB7" s="195">
        <v>0</v>
      </c>
      <c r="AC7" s="195"/>
      <c r="AD7" s="195" t="s">
        <v>322</v>
      </c>
      <c r="AE7" s="195" t="s">
        <v>344</v>
      </c>
      <c r="AF7" s="199"/>
      <c r="AG7" s="195" t="s">
        <v>345</v>
      </c>
      <c r="AH7" s="195" t="s">
        <v>308</v>
      </c>
      <c r="AI7" s="195">
        <v>1</v>
      </c>
      <c r="AJ7" s="195">
        <v>1</v>
      </c>
      <c r="AK7" s="195" t="s">
        <v>346</v>
      </c>
      <c r="AL7" s="195" t="s">
        <v>322</v>
      </c>
      <c r="AM7" s="199"/>
      <c r="AN7" s="195" t="s">
        <v>347</v>
      </c>
      <c r="AO7" s="195" t="s">
        <v>348</v>
      </c>
      <c r="AP7" s="205" t="s">
        <v>349</v>
      </c>
      <c r="AQ7" s="195" t="s">
        <v>350</v>
      </c>
      <c r="AR7" s="201" t="s">
        <v>315</v>
      </c>
      <c r="AS7" s="195" t="s">
        <v>316</v>
      </c>
      <c r="AT7" s="199"/>
      <c r="AU7" s="202" t="s">
        <v>351</v>
      </c>
      <c r="AV7" s="195" t="s">
        <v>318</v>
      </c>
      <c r="AW7" s="195" t="str">
        <f ca="1">IFERROR(__xludf.DUMMYFUNCTION("IF(AND(IF(AS7=""Yes"",True,False),NOT(IFERROR(REGEXMATCH(AV7,ExclusionCategories),FALSE))),""Yes"", ""No"")"),"No")</f>
        <v>No</v>
      </c>
      <c r="AX7" s="442" t="s">
        <v>322</v>
      </c>
      <c r="AY7" s="442" t="s">
        <v>322</v>
      </c>
      <c r="AZ7" s="195">
        <f ca="1">IFERROR(__xludf.DUMMYFUNCTION("IF(IFERROR(SEARCH(""Unclear"", AG7)) = 1, VALUE(REGEXEXTRACT(AG7,""\d+"")), AG7)"),1)</f>
        <v>1</v>
      </c>
      <c r="BA7" s="195" t="s">
        <v>322</v>
      </c>
      <c r="BB7" s="195">
        <f ca="1">IFERROR(__xludf.DUMMYFUNCTION("IF(IFERROR(SEARCH(""Unclear"", AJ7)) = 1, VALUE(REGEXEXTRACT(AJ7,""\d+"")), AJ7)"),1)</f>
        <v>1</v>
      </c>
      <c r="BC7" s="195">
        <v>1</v>
      </c>
      <c r="BD7" s="195" t="b">
        <f t="shared" si="2"/>
        <v>1</v>
      </c>
      <c r="BE7" s="195" t="b">
        <f t="shared" ref="BE7:BF7" si="8">IF(IFERROR(FIND("ND",AI7),0),FALSE,TRUE)</f>
        <v>1</v>
      </c>
      <c r="BF7" s="195" t="b">
        <f t="shared" si="8"/>
        <v>1</v>
      </c>
    </row>
    <row r="8" spans="1:58" ht="34.5" customHeight="1">
      <c r="A8" s="193" t="s">
        <v>338</v>
      </c>
      <c r="B8" s="194">
        <v>2013</v>
      </c>
      <c r="C8" s="195" t="s">
        <v>339</v>
      </c>
      <c r="D8" s="4" t="s">
        <v>352</v>
      </c>
      <c r="E8" s="194">
        <v>23457473</v>
      </c>
      <c r="F8" s="196" t="str">
        <f t="shared" si="0"/>
        <v>https://pubmed.ncbi.nlm.nih.gov/23457473</v>
      </c>
      <c r="G8" s="197" t="str">
        <f t="shared" si="1"/>
        <v>Chuang 2013</v>
      </c>
      <c r="H8" s="195">
        <v>2009</v>
      </c>
      <c r="I8" s="195" t="s">
        <v>341</v>
      </c>
      <c r="J8" s="198" t="s">
        <v>342</v>
      </c>
      <c r="K8" s="195">
        <v>21</v>
      </c>
      <c r="L8" s="4" t="s">
        <v>353</v>
      </c>
      <c r="M8" s="195" t="s">
        <v>324</v>
      </c>
      <c r="N8" s="195" t="s">
        <v>324</v>
      </c>
      <c r="O8" s="195" t="s">
        <v>324</v>
      </c>
      <c r="P8" s="195" t="s">
        <v>324</v>
      </c>
      <c r="Q8" s="195" t="s">
        <v>324</v>
      </c>
      <c r="R8" s="195">
        <v>18</v>
      </c>
      <c r="S8" s="195">
        <v>50</v>
      </c>
      <c r="T8" s="195">
        <v>33</v>
      </c>
      <c r="U8" s="195" t="s">
        <v>324</v>
      </c>
      <c r="V8" s="195" t="s">
        <v>354</v>
      </c>
      <c r="W8" s="199"/>
      <c r="X8" s="195">
        <v>21</v>
      </c>
      <c r="Y8" s="195" t="s">
        <v>355</v>
      </c>
      <c r="Z8" s="195">
        <v>17</v>
      </c>
      <c r="AA8" s="195" t="s">
        <v>356</v>
      </c>
      <c r="AB8" s="195">
        <v>0</v>
      </c>
      <c r="AC8" s="195"/>
      <c r="AD8" s="195" t="s">
        <v>322</v>
      </c>
      <c r="AE8" s="195" t="s">
        <v>344</v>
      </c>
      <c r="AF8" s="195" t="s">
        <v>323</v>
      </c>
      <c r="AG8" s="195" t="s">
        <v>324</v>
      </c>
      <c r="AH8" s="195" t="s">
        <v>316</v>
      </c>
      <c r="AI8" s="195">
        <v>0</v>
      </c>
      <c r="AJ8" s="195" t="s">
        <v>324</v>
      </c>
      <c r="AK8" s="195" t="s">
        <v>357</v>
      </c>
      <c r="AL8" s="195" t="s">
        <v>322</v>
      </c>
      <c r="AM8" s="199"/>
      <c r="AN8" s="195" t="s">
        <v>347</v>
      </c>
      <c r="AO8" s="195" t="s">
        <v>348</v>
      </c>
      <c r="AP8" s="205" t="s">
        <v>349</v>
      </c>
      <c r="AQ8" s="195" t="s">
        <v>350</v>
      </c>
      <c r="AR8" s="201" t="s">
        <v>315</v>
      </c>
      <c r="AS8" s="195" t="s">
        <v>308</v>
      </c>
      <c r="AT8" s="199"/>
      <c r="AU8" s="202" t="s">
        <v>351</v>
      </c>
      <c r="AV8" s="195" t="s">
        <v>9</v>
      </c>
      <c r="AW8" s="195" t="str">
        <f ca="1">IFERROR(__xludf.DUMMYFUNCTION("IF(AND(IF(AS8=""Yes"",True,False),NOT(IFERROR(REGEXMATCH(AV8,ExclusionCategories),FALSE))),""Yes"", ""No"")"),"Yes")</f>
        <v>Yes</v>
      </c>
      <c r="AX8" s="195">
        <f ca="1">IFERROR(__xludf.DUMMYFUNCTION("IF(IFERROR(SEARCH(""Unclear"", Z8)) = 1, VALUE(REGEXEXTRACT(Z8,""\d+"")), Z8)"),17)</f>
        <v>17</v>
      </c>
      <c r="AY8" s="195">
        <v>17</v>
      </c>
      <c r="AZ8" s="195" t="str">
        <f ca="1">IFERROR(__xludf.DUMMYFUNCTION("IF(IFERROR(SEARCH(""Unclear"", AG8)) = 1, VALUE(REGEXEXTRACT(AG8,""\d+"")), AG8)"),"ND")</f>
        <v>ND</v>
      </c>
      <c r="BA8" s="195" t="s">
        <v>324</v>
      </c>
      <c r="BB8" s="195" t="str">
        <f ca="1">IFERROR(__xludf.DUMMYFUNCTION("IF(IFERROR(SEARCH(""Unclear"", AJ8)) = 1, VALUE(REGEXEXTRACT(AJ8,""\d+"")), AJ8)"),"ND")</f>
        <v>ND</v>
      </c>
      <c r="BC8" s="195" t="s">
        <v>324</v>
      </c>
      <c r="BD8" s="195" t="b">
        <f t="shared" si="2"/>
        <v>0</v>
      </c>
      <c r="BE8" s="195" t="b">
        <f t="shared" ref="BE8:BF8" si="9">IF(IFERROR(FIND("ND",AI8),0),FALSE,TRUE)</f>
        <v>1</v>
      </c>
      <c r="BF8" s="195" t="b">
        <f t="shared" si="9"/>
        <v>0</v>
      </c>
    </row>
    <row r="9" spans="1:58" ht="34.5" customHeight="1">
      <c r="A9" s="193" t="s">
        <v>358</v>
      </c>
      <c r="B9" s="194">
        <v>2014</v>
      </c>
      <c r="C9" s="195" t="s">
        <v>359</v>
      </c>
      <c r="D9" s="4" t="s">
        <v>360</v>
      </c>
      <c r="E9" s="194">
        <v>25140957</v>
      </c>
      <c r="F9" s="196" t="str">
        <f t="shared" si="0"/>
        <v>https://pubmed.ncbi.nlm.nih.gov/25140957</v>
      </c>
      <c r="G9" s="197" t="str">
        <f t="shared" si="1"/>
        <v>DeVincenzo 2014</v>
      </c>
      <c r="H9" s="195">
        <v>2013</v>
      </c>
      <c r="I9" s="195" t="s">
        <v>361</v>
      </c>
      <c r="J9" s="198" t="s">
        <v>362</v>
      </c>
      <c r="K9" s="195">
        <v>143</v>
      </c>
      <c r="L9" s="4" t="s">
        <v>363</v>
      </c>
      <c r="M9" s="195">
        <v>105</v>
      </c>
      <c r="N9" s="195">
        <v>35</v>
      </c>
      <c r="O9" s="195" t="s">
        <v>324</v>
      </c>
      <c r="P9" s="195">
        <v>18.2</v>
      </c>
      <c r="Q9" s="195">
        <v>45.6</v>
      </c>
      <c r="R9" s="195">
        <v>18</v>
      </c>
      <c r="S9" s="195">
        <v>45</v>
      </c>
      <c r="T9" s="195" t="s">
        <v>364</v>
      </c>
      <c r="U9" s="195" t="s">
        <v>365</v>
      </c>
      <c r="V9" s="195" t="s">
        <v>366</v>
      </c>
      <c r="W9" s="199"/>
      <c r="X9" s="195">
        <v>143</v>
      </c>
      <c r="Y9" s="195" t="s">
        <v>367</v>
      </c>
      <c r="Z9" s="195">
        <v>97</v>
      </c>
      <c r="AA9" s="195" t="s">
        <v>368</v>
      </c>
      <c r="AB9" s="195">
        <v>0</v>
      </c>
      <c r="AC9" s="195"/>
      <c r="AD9" s="195" t="s">
        <v>322</v>
      </c>
      <c r="AE9" s="195" t="s">
        <v>369</v>
      </c>
      <c r="AF9" s="195" t="s">
        <v>370</v>
      </c>
      <c r="AG9" s="195" t="s">
        <v>371</v>
      </c>
      <c r="AH9" s="195" t="s">
        <v>308</v>
      </c>
      <c r="AI9" s="195">
        <v>0</v>
      </c>
      <c r="AJ9" s="195">
        <v>0</v>
      </c>
      <c r="AK9" s="195" t="s">
        <v>372</v>
      </c>
      <c r="AL9" s="195" t="s">
        <v>322</v>
      </c>
      <c r="AM9" s="199"/>
      <c r="AN9" s="195" t="s">
        <v>373</v>
      </c>
      <c r="AO9" s="195" t="s">
        <v>374</v>
      </c>
      <c r="AP9" s="205" t="s">
        <v>375</v>
      </c>
      <c r="AQ9" s="195" t="s">
        <v>376</v>
      </c>
      <c r="AR9" s="206" t="s">
        <v>315</v>
      </c>
      <c r="AS9" s="195" t="s">
        <v>308</v>
      </c>
      <c r="AT9" s="199"/>
      <c r="AU9" s="202" t="s">
        <v>377</v>
      </c>
      <c r="AV9" s="195" t="s">
        <v>9</v>
      </c>
      <c r="AW9" s="195" t="str">
        <f ca="1">IFERROR(__xludf.DUMMYFUNCTION("IF(AND(IF(AS9=""Yes"",True,False),NOT(IFERROR(REGEXMATCH(AV9,ExclusionCategories),FALSE))),""Yes"", ""No"")"),"Yes")</f>
        <v>Yes</v>
      </c>
      <c r="AX9" s="195">
        <f ca="1">IFERROR(__xludf.DUMMYFUNCTION("IF(IFERROR(SEARCH(""Unclear"", Z9)) = 1, VALUE(REGEXEXTRACT(Z9,""\d+"")), Z9)"),97)</f>
        <v>97</v>
      </c>
      <c r="AY9" s="195">
        <v>97</v>
      </c>
      <c r="AZ9" s="195">
        <f ca="1">IFERROR(__xludf.DUMMYFUNCTION("IF(IFERROR(SEARCH(""Unclear"", AG9)) = 1, VALUE(REGEXEXTRACT(AG9,""\d+"")), AG9)"),33)</f>
        <v>33</v>
      </c>
      <c r="BA9" s="195">
        <v>143</v>
      </c>
      <c r="BB9" s="195">
        <f ca="1">IFERROR(__xludf.DUMMYFUNCTION("IF(IFERROR(SEARCH(""Unclear"", AJ9)) = 1, VALUE(REGEXEXTRACT(AJ9,""\d+"")), AJ9)"),0)</f>
        <v>0</v>
      </c>
      <c r="BC9" s="195">
        <v>0</v>
      </c>
      <c r="BD9" s="195" t="b">
        <f t="shared" si="2"/>
        <v>1</v>
      </c>
      <c r="BE9" s="195" t="b">
        <f t="shared" ref="BE9:BF9" si="10">IF(IFERROR(FIND("ND",AI9),0),FALSE,TRUE)</f>
        <v>1</v>
      </c>
      <c r="BF9" s="195" t="b">
        <f t="shared" si="10"/>
        <v>1</v>
      </c>
    </row>
    <row r="10" spans="1:58" ht="34.5" customHeight="1">
      <c r="A10" s="193" t="s">
        <v>358</v>
      </c>
      <c r="B10" s="194">
        <v>2015</v>
      </c>
      <c r="C10" s="195" t="s">
        <v>359</v>
      </c>
      <c r="D10" s="4" t="s">
        <v>360</v>
      </c>
      <c r="E10" s="194">
        <v>26580997</v>
      </c>
      <c r="F10" s="196" t="str">
        <f t="shared" si="0"/>
        <v>https://pubmed.ncbi.nlm.nih.gov/26580997</v>
      </c>
      <c r="G10" s="197" t="str">
        <f t="shared" si="1"/>
        <v>DeVincenzo 2015</v>
      </c>
      <c r="H10" s="195">
        <v>2014</v>
      </c>
      <c r="I10" s="195" t="s">
        <v>378</v>
      </c>
      <c r="J10" s="198" t="s">
        <v>379</v>
      </c>
      <c r="K10" s="195">
        <v>64</v>
      </c>
      <c r="L10" s="4" t="s">
        <v>380</v>
      </c>
      <c r="M10" s="195">
        <v>45</v>
      </c>
      <c r="N10" s="195">
        <v>17</v>
      </c>
      <c r="O10" s="195" t="s">
        <v>324</v>
      </c>
      <c r="P10" s="195" t="s">
        <v>324</v>
      </c>
      <c r="Q10" s="195" t="s">
        <v>324</v>
      </c>
      <c r="R10" s="195">
        <v>18</v>
      </c>
      <c r="S10" s="195">
        <v>45</v>
      </c>
      <c r="T10" s="195" t="s">
        <v>364</v>
      </c>
      <c r="U10" s="195" t="s">
        <v>365</v>
      </c>
      <c r="V10" s="195" t="s">
        <v>381</v>
      </c>
      <c r="W10" s="199"/>
      <c r="X10" s="195">
        <v>64</v>
      </c>
      <c r="Y10" s="195" t="s">
        <v>382</v>
      </c>
      <c r="Z10" s="195">
        <v>35</v>
      </c>
      <c r="AA10" s="195"/>
      <c r="AB10" s="195">
        <v>0</v>
      </c>
      <c r="AC10" s="195"/>
      <c r="AD10" s="195" t="s">
        <v>322</v>
      </c>
      <c r="AE10" s="195" t="s">
        <v>383</v>
      </c>
      <c r="AF10" s="195"/>
      <c r="AG10" s="195" t="s">
        <v>384</v>
      </c>
      <c r="AH10" s="195" t="s">
        <v>308</v>
      </c>
      <c r="AI10" s="195">
        <v>0</v>
      </c>
      <c r="AJ10" s="195">
        <v>2</v>
      </c>
      <c r="AK10" s="195" t="s">
        <v>385</v>
      </c>
      <c r="AL10" s="195" t="s">
        <v>322</v>
      </c>
      <c r="AM10" s="199"/>
      <c r="AN10" s="195" t="s">
        <v>386</v>
      </c>
      <c r="AO10" s="195" t="s">
        <v>387</v>
      </c>
      <c r="AP10" s="205" t="s">
        <v>388</v>
      </c>
      <c r="AQ10" s="195" t="s">
        <v>389</v>
      </c>
      <c r="AR10" s="206" t="s">
        <v>315</v>
      </c>
      <c r="AS10" s="195" t="s">
        <v>308</v>
      </c>
      <c r="AT10" s="199"/>
      <c r="AU10" s="202" t="s">
        <v>390</v>
      </c>
      <c r="AV10" s="195" t="s">
        <v>9</v>
      </c>
      <c r="AW10" s="195" t="str">
        <f ca="1">IFERROR(__xludf.DUMMYFUNCTION("IF(AND(IF(AS10=""Yes"",True,False),NOT(IFERROR(REGEXMATCH(AV10,ExclusionCategories),FALSE))),""Yes"", ""No"")"),"Yes")</f>
        <v>Yes</v>
      </c>
      <c r="AX10" s="195">
        <f ca="1">IFERROR(__xludf.DUMMYFUNCTION("IF(IFERROR(SEARCH(""Unclear"", Z10)) = 1, VALUE(REGEXEXTRACT(Z10,""\d+"")), Z10)"),35)</f>
        <v>35</v>
      </c>
      <c r="AY10" s="195">
        <v>35</v>
      </c>
      <c r="AZ10" s="195">
        <f ca="1">IFERROR(__xludf.DUMMYFUNCTION("IF(IFERROR(SEARCH(""Unclear"", AG10)) = 1, VALUE(REGEXEXTRACT(AG10,""\d+"")), AG10)"),22)</f>
        <v>22</v>
      </c>
      <c r="BA10" s="195">
        <v>64</v>
      </c>
      <c r="BB10" s="195">
        <f ca="1">IFERROR(__xludf.DUMMYFUNCTION("IF(IFERROR(SEARCH(""Unclear"", AJ10)) = 1, VALUE(REGEXEXTRACT(AJ10,""\d+"")), AJ10)"),2)</f>
        <v>2</v>
      </c>
      <c r="BC10" s="195">
        <v>2</v>
      </c>
      <c r="BD10" s="195" t="b">
        <f t="shared" si="2"/>
        <v>1</v>
      </c>
      <c r="BE10" s="195" t="b">
        <f t="shared" ref="BE10:BF10" si="11">IF(IFERROR(FIND("ND",AI10),0),FALSE,TRUE)</f>
        <v>1</v>
      </c>
      <c r="BF10" s="195" t="b">
        <f t="shared" si="11"/>
        <v>1</v>
      </c>
    </row>
    <row r="11" spans="1:58" ht="34.5" customHeight="1">
      <c r="A11" s="193" t="s">
        <v>391</v>
      </c>
      <c r="B11" s="194">
        <v>2016</v>
      </c>
      <c r="C11" s="195" t="s">
        <v>339</v>
      </c>
      <c r="D11" s="4" t="s">
        <v>392</v>
      </c>
      <c r="E11" s="194">
        <v>27448805</v>
      </c>
      <c r="F11" s="196" t="str">
        <f t="shared" si="0"/>
        <v>https://pubmed.ncbi.nlm.nih.gov/27448805</v>
      </c>
      <c r="G11" s="197" t="str">
        <f t="shared" si="1"/>
        <v>Hickey 2016</v>
      </c>
      <c r="H11" s="195">
        <v>2002</v>
      </c>
      <c r="I11" s="195" t="s">
        <v>393</v>
      </c>
      <c r="J11" s="195" t="s">
        <v>322</v>
      </c>
      <c r="K11" s="195">
        <v>17</v>
      </c>
      <c r="L11" s="4" t="s">
        <v>343</v>
      </c>
      <c r="M11" s="195">
        <v>17</v>
      </c>
      <c r="N11" s="195">
        <v>0</v>
      </c>
      <c r="O11" s="195" t="s">
        <v>324</v>
      </c>
      <c r="P11" s="195" t="s">
        <v>324</v>
      </c>
      <c r="Q11" s="195" t="s">
        <v>324</v>
      </c>
      <c r="R11" s="195">
        <v>18</v>
      </c>
      <c r="S11" s="195">
        <v>50</v>
      </c>
      <c r="T11" s="195" t="s">
        <v>364</v>
      </c>
      <c r="U11" s="195" t="s">
        <v>365</v>
      </c>
      <c r="V11" s="195" t="s">
        <v>332</v>
      </c>
      <c r="W11" s="199"/>
      <c r="X11" s="195">
        <v>17</v>
      </c>
      <c r="Y11" s="195"/>
      <c r="Z11" s="195" t="s">
        <v>394</v>
      </c>
      <c r="AA11" s="195" t="s">
        <v>324</v>
      </c>
      <c r="AB11" s="195">
        <v>0</v>
      </c>
      <c r="AC11" s="195"/>
      <c r="AD11" s="195" t="s">
        <v>322</v>
      </c>
      <c r="AE11" s="195" t="s">
        <v>395</v>
      </c>
      <c r="AF11" s="195" t="s">
        <v>396</v>
      </c>
      <c r="AG11" s="195" t="s">
        <v>397</v>
      </c>
      <c r="AH11" s="195" t="s">
        <v>308</v>
      </c>
      <c r="AI11" s="195" t="s">
        <v>309</v>
      </c>
      <c r="AJ11" s="195" t="s">
        <v>397</v>
      </c>
      <c r="AK11" s="195"/>
      <c r="AL11" s="195" t="s">
        <v>322</v>
      </c>
      <c r="AM11" s="199"/>
      <c r="AN11" s="195" t="s">
        <v>398</v>
      </c>
      <c r="AO11" s="195" t="s">
        <v>399</v>
      </c>
      <c r="AP11" s="205" t="s">
        <v>400</v>
      </c>
      <c r="AQ11" s="195" t="s">
        <v>401</v>
      </c>
      <c r="AR11" s="206" t="s">
        <v>315</v>
      </c>
      <c r="AS11" s="195" t="s">
        <v>316</v>
      </c>
      <c r="AT11" s="199"/>
      <c r="AU11" s="202" t="s">
        <v>402</v>
      </c>
      <c r="AV11" s="195" t="s">
        <v>318</v>
      </c>
      <c r="AW11" s="195" t="str">
        <f ca="1">IFERROR(__xludf.DUMMYFUNCTION("IF(AND(IF(AS11=""Yes"",True,False),NOT(IFERROR(REGEXMATCH(AV11,ExclusionCategories),FALSE))),""Yes"", ""No"")"),"No")</f>
        <v>No</v>
      </c>
      <c r="AX11" s="195">
        <f ca="1">IFERROR(__xludf.DUMMYFUNCTION("IF(IFERROR(SEARCH(""Unclear"", Z11)) = 1, VALUE(REGEXEXTRACT(Z11,""\d+"")), Z11)"),0)</f>
        <v>0</v>
      </c>
      <c r="AY11" s="195">
        <v>17</v>
      </c>
      <c r="AZ11" s="195">
        <f ca="1">IFERROR(__xludf.DUMMYFUNCTION("IF(IFERROR(SEARCH(""Unclear"", AG11)) = 1, VALUE(REGEXEXTRACT(AG11,""\d+"")), AG11)"),3)</f>
        <v>3</v>
      </c>
      <c r="BA11" s="195">
        <v>17</v>
      </c>
      <c r="BB11" s="195">
        <f ca="1">IFERROR(__xludf.DUMMYFUNCTION("IF(IFERROR(SEARCH(""Unclear"", AJ11)) = 1, VALUE(REGEXEXTRACT(AJ11,""\d+"")), AJ11)"),3)</f>
        <v>3</v>
      </c>
      <c r="BC11" s="195">
        <v>17</v>
      </c>
      <c r="BD11" s="195" t="b">
        <f t="shared" si="2"/>
        <v>1</v>
      </c>
      <c r="BE11" s="195" t="b">
        <f t="shared" ref="BE11:BF11" si="12">IF(IFERROR(FIND("ND",AI11),0),FALSE,TRUE)</f>
        <v>1</v>
      </c>
      <c r="BF11" s="195" t="b">
        <f t="shared" si="12"/>
        <v>1</v>
      </c>
    </row>
    <row r="12" spans="1:58" ht="34.5" customHeight="1">
      <c r="A12" s="193" t="s">
        <v>391</v>
      </c>
      <c r="B12" s="194">
        <v>2016</v>
      </c>
      <c r="C12" s="195" t="s">
        <v>339</v>
      </c>
      <c r="D12" s="4" t="s">
        <v>403</v>
      </c>
      <c r="E12" s="194">
        <v>27448805</v>
      </c>
      <c r="F12" s="196" t="str">
        <f t="shared" si="0"/>
        <v>https://pubmed.ncbi.nlm.nih.gov/27448805</v>
      </c>
      <c r="G12" s="197" t="str">
        <f t="shared" si="1"/>
        <v>Hickey 2016</v>
      </c>
      <c r="H12" s="195">
        <v>2002</v>
      </c>
      <c r="I12" s="195" t="s">
        <v>393</v>
      </c>
      <c r="J12" s="195" t="s">
        <v>322</v>
      </c>
      <c r="K12" s="195">
        <v>15</v>
      </c>
      <c r="L12" s="4" t="s">
        <v>353</v>
      </c>
      <c r="M12" s="195">
        <v>14</v>
      </c>
      <c r="N12" s="195">
        <v>1</v>
      </c>
      <c r="O12" s="195" t="s">
        <v>324</v>
      </c>
      <c r="P12" s="195" t="s">
        <v>324</v>
      </c>
      <c r="Q12" s="195" t="s">
        <v>324</v>
      </c>
      <c r="R12" s="195">
        <v>18</v>
      </c>
      <c r="S12" s="195">
        <v>50</v>
      </c>
      <c r="T12" s="195" t="s">
        <v>324</v>
      </c>
      <c r="U12" s="195" t="s">
        <v>324</v>
      </c>
      <c r="V12" s="195" t="s">
        <v>404</v>
      </c>
      <c r="W12" s="199"/>
      <c r="X12" s="195">
        <v>15</v>
      </c>
      <c r="Y12" s="195" t="s">
        <v>405</v>
      </c>
      <c r="Z12" s="195">
        <v>10</v>
      </c>
      <c r="AA12" s="195" t="s">
        <v>406</v>
      </c>
      <c r="AB12" s="195">
        <v>0</v>
      </c>
      <c r="AC12" s="195"/>
      <c r="AD12" s="195" t="s">
        <v>322</v>
      </c>
      <c r="AE12" s="195" t="s">
        <v>395</v>
      </c>
      <c r="AF12" s="195" t="s">
        <v>396</v>
      </c>
      <c r="AG12" s="195" t="s">
        <v>407</v>
      </c>
      <c r="AH12" s="195" t="s">
        <v>308</v>
      </c>
      <c r="AI12" s="195" t="s">
        <v>324</v>
      </c>
      <c r="AJ12" s="195" t="s">
        <v>407</v>
      </c>
      <c r="AK12" s="195"/>
      <c r="AL12" s="195" t="s">
        <v>322</v>
      </c>
      <c r="AM12" s="199"/>
      <c r="AN12" s="195" t="s">
        <v>398</v>
      </c>
      <c r="AO12" s="195" t="s">
        <v>399</v>
      </c>
      <c r="AP12" s="205" t="s">
        <v>400</v>
      </c>
      <c r="AQ12" s="195" t="s">
        <v>401</v>
      </c>
      <c r="AR12" s="206" t="s">
        <v>315</v>
      </c>
      <c r="AS12" s="195" t="s">
        <v>308</v>
      </c>
      <c r="AT12" s="199"/>
      <c r="AU12" s="202" t="s">
        <v>402</v>
      </c>
      <c r="AV12" s="195" t="s">
        <v>9</v>
      </c>
      <c r="AW12" s="195" t="str">
        <f ca="1">IFERROR(__xludf.DUMMYFUNCTION("IF(AND(IF(AS12=""Yes"",True,False),NOT(IFERROR(REGEXMATCH(AV12,ExclusionCategories),FALSE))),""Yes"", ""No"")"),"Yes")</f>
        <v>Yes</v>
      </c>
      <c r="AX12" s="195">
        <f ca="1">IFERROR(__xludf.DUMMYFUNCTION("IF(IFERROR(SEARCH(""Unclear"", Z12)) = 1, VALUE(REGEXEXTRACT(Z12,""\d+"")), Z12)"),10)</f>
        <v>10</v>
      </c>
      <c r="AY12" s="195">
        <v>10</v>
      </c>
      <c r="AZ12" s="195">
        <f ca="1">IFERROR(__xludf.DUMMYFUNCTION("IF(IFERROR(SEARCH(""Unclear"", AG12)) = 1, VALUE(REGEXEXTRACT(AG12,""\d+"")), AG12)"),2)</f>
        <v>2</v>
      </c>
      <c r="BA12" s="195">
        <v>15</v>
      </c>
      <c r="BB12" s="195">
        <f ca="1">IFERROR(__xludf.DUMMYFUNCTION("IF(IFERROR(SEARCH(""Unclear"", AJ12)) = 1, VALUE(REGEXEXTRACT(AJ12,""\d+"")), AJ12)"),2)</f>
        <v>2</v>
      </c>
      <c r="BC12" s="195">
        <v>15</v>
      </c>
      <c r="BD12" s="195" t="b">
        <f t="shared" si="2"/>
        <v>1</v>
      </c>
      <c r="BE12" s="195" t="b">
        <f t="shared" ref="BE12:BF12" si="13">IF(IFERROR(FIND("ND",AI12),0),FALSE,TRUE)</f>
        <v>0</v>
      </c>
      <c r="BF12" s="195" t="b">
        <f t="shared" si="13"/>
        <v>1</v>
      </c>
    </row>
    <row r="13" spans="1:58" ht="34.5" customHeight="1">
      <c r="A13" s="193" t="s">
        <v>408</v>
      </c>
      <c r="B13" s="194">
        <v>2021</v>
      </c>
      <c r="C13" s="195" t="s">
        <v>409</v>
      </c>
      <c r="D13" s="4" t="s">
        <v>410</v>
      </c>
      <c r="E13" s="194">
        <v>32645714</v>
      </c>
      <c r="F13" s="196" t="str">
        <f t="shared" si="0"/>
        <v>https://pubmed.ncbi.nlm.nih.gov/32645714</v>
      </c>
      <c r="G13" s="197" t="str">
        <f t="shared" si="1"/>
        <v>Hoogerwerf 2021</v>
      </c>
      <c r="H13" s="195">
        <v>2018</v>
      </c>
      <c r="I13" s="195" t="s">
        <v>411</v>
      </c>
      <c r="J13" s="198" t="s">
        <v>412</v>
      </c>
      <c r="K13" s="195">
        <v>23</v>
      </c>
      <c r="L13" s="4"/>
      <c r="M13" s="195">
        <v>8</v>
      </c>
      <c r="N13" s="195">
        <v>15</v>
      </c>
      <c r="O13" s="195">
        <v>22</v>
      </c>
      <c r="P13" s="195">
        <v>19</v>
      </c>
      <c r="Q13" s="195">
        <v>41</v>
      </c>
      <c r="R13" s="195">
        <v>18</v>
      </c>
      <c r="S13" s="195">
        <v>45</v>
      </c>
      <c r="T13" s="195" t="s">
        <v>324</v>
      </c>
      <c r="U13" s="195" t="s">
        <v>324</v>
      </c>
      <c r="V13" s="195" t="s">
        <v>413</v>
      </c>
      <c r="W13" s="195" t="s">
        <v>414</v>
      </c>
      <c r="X13" s="195">
        <v>23</v>
      </c>
      <c r="Y13" s="195"/>
      <c r="Z13" s="195">
        <v>23</v>
      </c>
      <c r="AA13" s="195"/>
      <c r="AB13" s="195">
        <v>0</v>
      </c>
      <c r="AC13" s="195"/>
      <c r="AD13" s="195" t="s">
        <v>322</v>
      </c>
      <c r="AE13" s="195" t="s">
        <v>415</v>
      </c>
      <c r="AF13" s="195" t="s">
        <v>416</v>
      </c>
      <c r="AG13" s="195">
        <v>23</v>
      </c>
      <c r="AH13" s="195" t="s">
        <v>308</v>
      </c>
      <c r="AI13" s="195">
        <v>0</v>
      </c>
      <c r="AJ13" s="195">
        <v>11</v>
      </c>
      <c r="AK13" s="195" t="s">
        <v>417</v>
      </c>
      <c r="AL13" s="195" t="s">
        <v>322</v>
      </c>
      <c r="AM13" s="199"/>
      <c r="AN13" s="195" t="s">
        <v>418</v>
      </c>
      <c r="AO13" s="195" t="s">
        <v>419</v>
      </c>
      <c r="AP13" s="205" t="s">
        <v>420</v>
      </c>
      <c r="AQ13" s="195" t="s">
        <v>421</v>
      </c>
      <c r="AR13" s="206" t="s">
        <v>315</v>
      </c>
      <c r="AS13" s="195" t="s">
        <v>308</v>
      </c>
      <c r="AT13" s="199"/>
      <c r="AU13" s="202" t="s">
        <v>422</v>
      </c>
      <c r="AV13" s="195" t="s">
        <v>9</v>
      </c>
      <c r="AW13" s="195" t="str">
        <f ca="1">IFERROR(__xludf.DUMMYFUNCTION("IF(AND(IF(AS13=""Yes"",True,False),NOT(IFERROR(REGEXMATCH(AV13,ExclusionCategories),FALSE))),""Yes"", ""No"")"),"Yes")</f>
        <v>Yes</v>
      </c>
      <c r="AX13" s="195">
        <f ca="1">IFERROR(__xludf.DUMMYFUNCTION("IF(IFERROR(SEARCH(""Unclear"", Z13)) = 1, VALUE(REGEXEXTRACT(Z13,""\d+"")), Z13)"),23)</f>
        <v>23</v>
      </c>
      <c r="AY13" s="195">
        <v>23</v>
      </c>
      <c r="AZ13" s="195">
        <f ca="1">IFERROR(__xludf.DUMMYFUNCTION("IF(IFERROR(SEARCH(""Unclear"", AG13)) = 1, VALUE(REGEXEXTRACT(AG13,""\d+"")), AG13)"),23)</f>
        <v>23</v>
      </c>
      <c r="BA13" s="195">
        <v>23</v>
      </c>
      <c r="BB13" s="195">
        <f ca="1">IFERROR(__xludf.DUMMYFUNCTION("IF(IFERROR(SEARCH(""Unclear"", AJ13)) = 1, VALUE(REGEXEXTRACT(AJ13,""\d+"")), AJ13)"),11)</f>
        <v>11</v>
      </c>
      <c r="BC13" s="195">
        <v>11</v>
      </c>
      <c r="BD13" s="195" t="b">
        <f t="shared" si="2"/>
        <v>1</v>
      </c>
      <c r="BE13" s="195" t="b">
        <f t="shared" ref="BE13:BF13" si="14">IF(IFERROR(FIND("ND",AI13),0),FALSE,TRUE)</f>
        <v>1</v>
      </c>
      <c r="BF13" s="195" t="b">
        <f t="shared" si="14"/>
        <v>1</v>
      </c>
    </row>
    <row r="14" spans="1:58" ht="34.5" customHeight="1">
      <c r="A14" s="193" t="s">
        <v>423</v>
      </c>
      <c r="B14" s="194">
        <v>2020</v>
      </c>
      <c r="C14" s="195" t="s">
        <v>424</v>
      </c>
      <c r="D14" s="4" t="s">
        <v>425</v>
      </c>
      <c r="E14" s="194">
        <v>32066978</v>
      </c>
      <c r="F14" s="196" t="str">
        <f t="shared" si="0"/>
        <v>https://pubmed.ncbi.nlm.nih.gov/32066978</v>
      </c>
      <c r="G14" s="197" t="str">
        <f t="shared" si="1"/>
        <v>Langenberg 2020</v>
      </c>
      <c r="H14" s="195">
        <v>2018</v>
      </c>
      <c r="I14" s="195" t="s">
        <v>426</v>
      </c>
      <c r="J14" s="198" t="s">
        <v>427</v>
      </c>
      <c r="K14" s="195">
        <v>17</v>
      </c>
      <c r="L14" s="4" t="s">
        <v>428</v>
      </c>
      <c r="M14" s="195">
        <v>6</v>
      </c>
      <c r="N14" s="195">
        <v>11</v>
      </c>
      <c r="O14" s="195">
        <v>25</v>
      </c>
      <c r="P14" s="195">
        <v>18</v>
      </c>
      <c r="Q14" s="195">
        <v>45</v>
      </c>
      <c r="R14" s="195">
        <v>18</v>
      </c>
      <c r="S14" s="195">
        <v>45</v>
      </c>
      <c r="T14" s="195" t="s">
        <v>324</v>
      </c>
      <c r="U14" s="195" t="s">
        <v>324</v>
      </c>
      <c r="V14" s="195" t="s">
        <v>429</v>
      </c>
      <c r="W14" s="195" t="s">
        <v>430</v>
      </c>
      <c r="X14" s="195">
        <v>17</v>
      </c>
      <c r="Y14" s="195"/>
      <c r="Z14" s="195">
        <v>17</v>
      </c>
      <c r="AA14" s="195" t="s">
        <v>431</v>
      </c>
      <c r="AB14" s="195">
        <v>0</v>
      </c>
      <c r="AC14" s="195"/>
      <c r="AD14" s="195" t="s">
        <v>322</v>
      </c>
      <c r="AE14" s="195" t="s">
        <v>432</v>
      </c>
      <c r="AF14" s="195"/>
      <c r="AG14" s="195" t="s">
        <v>433</v>
      </c>
      <c r="AH14" s="195" t="s">
        <v>308</v>
      </c>
      <c r="AI14" s="195">
        <v>0</v>
      </c>
      <c r="AJ14" s="195">
        <v>5</v>
      </c>
      <c r="AK14" s="195" t="s">
        <v>434</v>
      </c>
      <c r="AL14" s="195" t="s">
        <v>322</v>
      </c>
      <c r="AM14" s="199"/>
      <c r="AN14" s="195" t="s">
        <v>435</v>
      </c>
      <c r="AO14" s="195" t="s">
        <v>436</v>
      </c>
      <c r="AP14" s="205" t="s">
        <v>437</v>
      </c>
      <c r="AQ14" s="195" t="s">
        <v>438</v>
      </c>
      <c r="AR14" s="206" t="s">
        <v>315</v>
      </c>
      <c r="AS14" s="195" t="s">
        <v>308</v>
      </c>
      <c r="AT14" s="199"/>
      <c r="AU14" s="202" t="s">
        <v>439</v>
      </c>
      <c r="AV14" s="195" t="s">
        <v>9</v>
      </c>
      <c r="AW14" s="195" t="str">
        <f ca="1">IFERROR(__xludf.DUMMYFUNCTION("IF(AND(IF(AS14=""Yes"",True,False),NOT(IFERROR(REGEXMATCH(AV14,ExclusionCategories),FALSE))),""Yes"", ""No"")"),"Yes")</f>
        <v>Yes</v>
      </c>
      <c r="AX14" s="195">
        <f ca="1">IFERROR(__xludf.DUMMYFUNCTION("IF(IFERROR(SEARCH(""Unclear"", Z14)) = 1, VALUE(REGEXEXTRACT(Z14,""\d+"")), Z14)"),17)</f>
        <v>17</v>
      </c>
      <c r="AY14" s="195">
        <v>17</v>
      </c>
      <c r="AZ14" s="195">
        <f ca="1">IFERROR(__xludf.DUMMYFUNCTION("IF(IFERROR(SEARCH(""Unclear"", AG14)) = 1, VALUE(REGEXEXTRACT(AG14,""\d+"")), AG14)"),16)</f>
        <v>16</v>
      </c>
      <c r="BA14" s="195">
        <v>17</v>
      </c>
      <c r="BB14" s="195">
        <f ca="1">IFERROR(__xludf.DUMMYFUNCTION("IF(IFERROR(SEARCH(""Unclear"", AJ14)) = 1, VALUE(REGEXEXTRACT(AJ14,""\d+"")), AJ14)"),5)</f>
        <v>5</v>
      </c>
      <c r="BC14" s="195">
        <v>5</v>
      </c>
      <c r="BD14" s="195" t="b">
        <f t="shared" si="2"/>
        <v>1</v>
      </c>
      <c r="BE14" s="195" t="b">
        <f t="shared" ref="BE14:BF14" si="15">IF(IFERROR(FIND("ND",AI14),0),FALSE,TRUE)</f>
        <v>1</v>
      </c>
      <c r="BF14" s="195" t="b">
        <f t="shared" si="15"/>
        <v>1</v>
      </c>
    </row>
    <row r="15" spans="1:58" ht="34.5" customHeight="1">
      <c r="A15" s="193" t="s">
        <v>440</v>
      </c>
      <c r="B15" s="194">
        <v>2018</v>
      </c>
      <c r="C15" s="195" t="s">
        <v>441</v>
      </c>
      <c r="D15" s="4" t="s">
        <v>442</v>
      </c>
      <c r="E15" s="194">
        <v>29567461</v>
      </c>
      <c r="F15" s="196" t="str">
        <f t="shared" si="0"/>
        <v>https://pubmed.ncbi.nlm.nih.gov/29567461</v>
      </c>
      <c r="G15" s="197" t="str">
        <f t="shared" si="1"/>
        <v>Malcolm 2018</v>
      </c>
      <c r="H15" s="195">
        <v>2014</v>
      </c>
      <c r="I15" s="195" t="s">
        <v>443</v>
      </c>
      <c r="J15" s="195" t="s">
        <v>322</v>
      </c>
      <c r="K15" s="195">
        <v>44</v>
      </c>
      <c r="L15" s="4" t="s">
        <v>444</v>
      </c>
      <c r="M15" s="195">
        <v>31</v>
      </c>
      <c r="N15" s="195">
        <v>13</v>
      </c>
      <c r="O15" s="195">
        <v>23.25</v>
      </c>
      <c r="P15" s="195">
        <v>18</v>
      </c>
      <c r="Q15" s="195">
        <v>44</v>
      </c>
      <c r="R15" s="195">
        <v>18</v>
      </c>
      <c r="S15" s="195">
        <v>45</v>
      </c>
      <c r="T15" s="195" t="s">
        <v>364</v>
      </c>
      <c r="U15" s="195" t="s">
        <v>365</v>
      </c>
      <c r="V15" s="195" t="s">
        <v>445</v>
      </c>
      <c r="W15" s="195" t="s">
        <v>446</v>
      </c>
      <c r="X15" s="195">
        <v>44</v>
      </c>
      <c r="Y15" s="195" t="s">
        <v>447</v>
      </c>
      <c r="Z15" s="195">
        <v>34</v>
      </c>
      <c r="AA15" s="195" t="s">
        <v>448</v>
      </c>
      <c r="AB15" s="195">
        <v>0</v>
      </c>
      <c r="AC15" s="195"/>
      <c r="AD15" s="195" t="s">
        <v>322</v>
      </c>
      <c r="AE15" s="195" t="s">
        <v>449</v>
      </c>
      <c r="AF15" s="195" t="s">
        <v>450</v>
      </c>
      <c r="AG15" s="195">
        <v>28</v>
      </c>
      <c r="AH15" s="195" t="s">
        <v>308</v>
      </c>
      <c r="AI15" s="195">
        <v>0</v>
      </c>
      <c r="AJ15" s="195">
        <v>0</v>
      </c>
      <c r="AK15" s="195" t="s">
        <v>451</v>
      </c>
      <c r="AL15" s="195" t="s">
        <v>322</v>
      </c>
      <c r="AM15" s="199"/>
      <c r="AN15" s="195" t="s">
        <v>452</v>
      </c>
      <c r="AO15" s="195" t="s">
        <v>453</v>
      </c>
      <c r="AP15" s="205" t="s">
        <v>454</v>
      </c>
      <c r="AQ15" s="195" t="s">
        <v>455</v>
      </c>
      <c r="AR15" s="206" t="s">
        <v>315</v>
      </c>
      <c r="AS15" s="195" t="s">
        <v>308</v>
      </c>
      <c r="AT15" s="199"/>
      <c r="AU15" s="202" t="s">
        <v>456</v>
      </c>
      <c r="AV15" s="195" t="s">
        <v>9</v>
      </c>
      <c r="AW15" s="195" t="str">
        <f ca="1">IFERROR(__xludf.DUMMYFUNCTION("IF(AND(IF(AS15=""Yes"",True,False),NOT(IFERROR(REGEXMATCH(AV15,ExclusionCategories),FALSE))),""Yes"", ""No"")"),"Yes")</f>
        <v>Yes</v>
      </c>
      <c r="AX15" s="195">
        <f ca="1">IFERROR(__xludf.DUMMYFUNCTION("IF(IFERROR(SEARCH(""Unclear"", Z15)) = 1, VALUE(REGEXEXTRACT(Z15,""\d+"")), Z15)"),34)</f>
        <v>34</v>
      </c>
      <c r="AY15" s="195">
        <v>34</v>
      </c>
      <c r="AZ15" s="195">
        <f ca="1">IFERROR(__xludf.DUMMYFUNCTION("IF(IFERROR(SEARCH(""Unclear"", AG15)) = 1, VALUE(REGEXEXTRACT(AG15,""\d+"")), AG15)"),28)</f>
        <v>28</v>
      </c>
      <c r="BA15" s="195">
        <v>28</v>
      </c>
      <c r="BB15" s="195">
        <f ca="1">IFERROR(__xludf.DUMMYFUNCTION("IF(IFERROR(SEARCH(""Unclear"", AJ15)) = 1, VALUE(REGEXEXTRACT(AJ15,""\d+"")), AJ15)"),0)</f>
        <v>0</v>
      </c>
      <c r="BC15" s="195">
        <v>0</v>
      </c>
      <c r="BD15" s="195" t="b">
        <f t="shared" si="2"/>
        <v>1</v>
      </c>
      <c r="BE15" s="195" t="b">
        <f t="shared" ref="BE15:BF15" si="16">IF(IFERROR(FIND("ND",AI15),0),FALSE,TRUE)</f>
        <v>1</v>
      </c>
      <c r="BF15" s="195" t="b">
        <f t="shared" si="16"/>
        <v>1</v>
      </c>
    </row>
    <row r="16" spans="1:58" ht="34.5" customHeight="1">
      <c r="A16" s="193" t="s">
        <v>440</v>
      </c>
      <c r="B16" s="194">
        <v>2018</v>
      </c>
      <c r="C16" s="195" t="s">
        <v>457</v>
      </c>
      <c r="D16" s="4" t="s">
        <v>458</v>
      </c>
      <c r="E16" s="194">
        <v>29567461</v>
      </c>
      <c r="F16" s="196" t="str">
        <f t="shared" si="0"/>
        <v>https://pubmed.ncbi.nlm.nih.gov/29567461</v>
      </c>
      <c r="G16" s="197" t="str">
        <f t="shared" si="1"/>
        <v>Malcolm 2018</v>
      </c>
      <c r="H16" s="195">
        <v>2016</v>
      </c>
      <c r="I16" s="195" t="s">
        <v>459</v>
      </c>
      <c r="J16" s="198" t="s">
        <v>460</v>
      </c>
      <c r="K16" s="195">
        <v>55</v>
      </c>
      <c r="L16" s="4" t="s">
        <v>461</v>
      </c>
      <c r="M16" s="195">
        <v>36</v>
      </c>
      <c r="N16" s="195">
        <v>19</v>
      </c>
      <c r="O16" s="195">
        <v>24.5</v>
      </c>
      <c r="P16" s="195">
        <v>19</v>
      </c>
      <c r="Q16" s="195">
        <v>41</v>
      </c>
      <c r="R16" s="195">
        <v>18</v>
      </c>
      <c r="S16" s="195">
        <v>55</v>
      </c>
      <c r="T16" s="195" t="s">
        <v>364</v>
      </c>
      <c r="U16" s="195" t="s">
        <v>365</v>
      </c>
      <c r="V16" s="195" t="s">
        <v>445</v>
      </c>
      <c r="W16" s="195" t="s">
        <v>446</v>
      </c>
      <c r="X16" s="195">
        <v>52</v>
      </c>
      <c r="Y16" s="195" t="s">
        <v>462</v>
      </c>
      <c r="Z16" s="195">
        <v>28</v>
      </c>
      <c r="AA16" s="195" t="s">
        <v>463</v>
      </c>
      <c r="AB16" s="195">
        <v>0</v>
      </c>
      <c r="AC16" s="195"/>
      <c r="AD16" s="195" t="s">
        <v>322</v>
      </c>
      <c r="AE16" s="195" t="s">
        <v>449</v>
      </c>
      <c r="AF16" s="195" t="s">
        <v>450</v>
      </c>
      <c r="AG16" s="195">
        <v>38</v>
      </c>
      <c r="AH16" s="195" t="s">
        <v>308</v>
      </c>
      <c r="AI16" s="195">
        <v>0</v>
      </c>
      <c r="AJ16" s="195">
        <v>0</v>
      </c>
      <c r="AK16" s="195" t="s">
        <v>451</v>
      </c>
      <c r="AL16" s="195" t="s">
        <v>322</v>
      </c>
      <c r="AM16" s="199"/>
      <c r="AN16" s="195" t="s">
        <v>452</v>
      </c>
      <c r="AO16" s="195" t="s">
        <v>453</v>
      </c>
      <c r="AP16" s="205" t="s">
        <v>454</v>
      </c>
      <c r="AQ16" s="195" t="s">
        <v>455</v>
      </c>
      <c r="AR16" s="206" t="s">
        <v>315</v>
      </c>
      <c r="AS16" s="195" t="s">
        <v>308</v>
      </c>
      <c r="AT16" s="199"/>
      <c r="AU16" s="202" t="s">
        <v>456</v>
      </c>
      <c r="AV16" s="195" t="s">
        <v>9</v>
      </c>
      <c r="AW16" s="195" t="str">
        <f ca="1">IFERROR(__xludf.DUMMYFUNCTION("IF(AND(IF(AS16=""Yes"",True,False),NOT(IFERROR(REGEXMATCH(AV16,ExclusionCategories),FALSE))),""Yes"", ""No"")"),"Yes")</f>
        <v>Yes</v>
      </c>
      <c r="AX16" s="195">
        <f ca="1">IFERROR(__xludf.DUMMYFUNCTION("IF(IFERROR(SEARCH(""Unclear"", Z16)) = 1, VALUE(REGEXEXTRACT(Z16,""\d+"")), Z16)"),28)</f>
        <v>28</v>
      </c>
      <c r="AY16" s="195">
        <v>28</v>
      </c>
      <c r="AZ16" s="195">
        <f ca="1">IFERROR(__xludf.DUMMYFUNCTION("IF(IFERROR(SEARCH(""Unclear"", AG16)) = 1, VALUE(REGEXEXTRACT(AG16,""\d+"")), AG16)"),38)</f>
        <v>38</v>
      </c>
      <c r="BA16" s="195">
        <v>38</v>
      </c>
      <c r="BB16" s="195">
        <f ca="1">IFERROR(__xludf.DUMMYFUNCTION("IF(IFERROR(SEARCH(""Unclear"", AJ16)) = 1, VALUE(REGEXEXTRACT(AJ16,""\d+"")), AJ16)"),0)</f>
        <v>0</v>
      </c>
      <c r="BC16" s="195">
        <v>0</v>
      </c>
      <c r="BD16" s="195" t="b">
        <f t="shared" si="2"/>
        <v>1</v>
      </c>
      <c r="BE16" s="195" t="b">
        <f t="shared" ref="BE16:BF16" si="17">IF(IFERROR(FIND("ND",AI16),0),FALSE,TRUE)</f>
        <v>1</v>
      </c>
      <c r="BF16" s="195" t="b">
        <f t="shared" si="17"/>
        <v>1</v>
      </c>
    </row>
    <row r="17" spans="1:58" ht="34.5" customHeight="1">
      <c r="A17" s="193" t="s">
        <v>464</v>
      </c>
      <c r="B17" s="194">
        <v>2018</v>
      </c>
      <c r="C17" s="195" t="s">
        <v>359</v>
      </c>
      <c r="D17" s="4" t="s">
        <v>360</v>
      </c>
      <c r="E17" s="194">
        <v>29684148</v>
      </c>
      <c r="F17" s="196" t="str">
        <f t="shared" si="0"/>
        <v>https://pubmed.ncbi.nlm.nih.gov/29684148</v>
      </c>
      <c r="G17" s="197" t="str">
        <f t="shared" si="1"/>
        <v>Stevens 2018</v>
      </c>
      <c r="H17" s="195">
        <v>2015</v>
      </c>
      <c r="I17" s="195" t="s">
        <v>465</v>
      </c>
      <c r="J17" s="198" t="s">
        <v>466</v>
      </c>
      <c r="K17" s="195">
        <v>69</v>
      </c>
      <c r="L17" s="4" t="s">
        <v>467</v>
      </c>
      <c r="M17" s="195">
        <v>66</v>
      </c>
      <c r="N17" s="195">
        <v>0</v>
      </c>
      <c r="O17" s="195" t="s">
        <v>324</v>
      </c>
      <c r="P17" s="195" t="s">
        <v>324</v>
      </c>
      <c r="Q17" s="195" t="s">
        <v>324</v>
      </c>
      <c r="R17" s="195">
        <v>18</v>
      </c>
      <c r="S17" s="195">
        <v>45</v>
      </c>
      <c r="T17" s="195" t="s">
        <v>468</v>
      </c>
      <c r="U17" s="195" t="s">
        <v>469</v>
      </c>
      <c r="V17" s="195" t="s">
        <v>470</v>
      </c>
      <c r="W17" s="195"/>
      <c r="X17" s="195">
        <v>69</v>
      </c>
      <c r="Y17" s="195"/>
      <c r="Z17" s="195">
        <v>45</v>
      </c>
      <c r="AA17" s="195" t="s">
        <v>471</v>
      </c>
      <c r="AB17" s="195">
        <v>0</v>
      </c>
      <c r="AC17" s="195"/>
      <c r="AD17" s="195" t="s">
        <v>322</v>
      </c>
      <c r="AE17" s="195" t="s">
        <v>472</v>
      </c>
      <c r="AF17" s="195" t="s">
        <v>473</v>
      </c>
      <c r="AG17" s="195">
        <v>43</v>
      </c>
      <c r="AH17" s="195" t="s">
        <v>308</v>
      </c>
      <c r="AI17" s="195">
        <v>0</v>
      </c>
      <c r="AJ17" s="195">
        <v>0</v>
      </c>
      <c r="AK17" s="195" t="s">
        <v>474</v>
      </c>
      <c r="AL17" s="195" t="s">
        <v>322</v>
      </c>
      <c r="AM17" s="199"/>
      <c r="AN17" s="195" t="s">
        <v>475</v>
      </c>
      <c r="AO17" s="195" t="s">
        <v>476</v>
      </c>
      <c r="AP17" s="205" t="s">
        <v>477</v>
      </c>
      <c r="AQ17" s="195" t="s">
        <v>478</v>
      </c>
      <c r="AR17" s="206" t="s">
        <v>315</v>
      </c>
      <c r="AS17" s="195" t="s">
        <v>308</v>
      </c>
      <c r="AT17" s="199"/>
      <c r="AU17" s="202" t="s">
        <v>479</v>
      </c>
      <c r="AV17" s="195" t="s">
        <v>9</v>
      </c>
      <c r="AW17" s="195" t="str">
        <f ca="1">IFERROR(__xludf.DUMMYFUNCTION("IF(AND(IF(AS17=""Yes"",True,False),NOT(IFERROR(REGEXMATCH(AV17,ExclusionCategories),FALSE))),""Yes"", ""No"")"),"Yes")</f>
        <v>Yes</v>
      </c>
      <c r="AX17" s="195">
        <f ca="1">IFERROR(__xludf.DUMMYFUNCTION("IF(IFERROR(SEARCH(""Unclear"", Z17)) = 1, VALUE(REGEXEXTRACT(Z17,""\d+"")), Z17)"),45)</f>
        <v>45</v>
      </c>
      <c r="AY17" s="195">
        <v>45</v>
      </c>
      <c r="AZ17" s="195">
        <f ca="1">IFERROR(__xludf.DUMMYFUNCTION("IF(IFERROR(SEARCH(""Unclear"", AG17)) = 1, VALUE(REGEXEXTRACT(AG17,""\d+"")), AG17)"),43)</f>
        <v>43</v>
      </c>
      <c r="BA17" s="195">
        <v>43</v>
      </c>
      <c r="BB17" s="195">
        <f ca="1">IFERROR(__xludf.DUMMYFUNCTION("IF(IFERROR(SEARCH(""Unclear"", AJ17)) = 1, VALUE(REGEXEXTRACT(AJ17,""\d+"")), AJ17)"),0)</f>
        <v>0</v>
      </c>
      <c r="BC17" s="195">
        <v>0</v>
      </c>
      <c r="BD17" s="195" t="b">
        <f t="shared" si="2"/>
        <v>1</v>
      </c>
      <c r="BE17" s="195" t="b">
        <f t="shared" ref="BE17:BF17" si="18">IF(IFERROR(FIND("ND",AI17),0),FALSE,TRUE)</f>
        <v>1</v>
      </c>
      <c r="BF17" s="195" t="b">
        <f t="shared" si="18"/>
        <v>1</v>
      </c>
    </row>
    <row r="18" spans="1:58" ht="34.5" customHeight="1">
      <c r="A18" s="193" t="s">
        <v>480</v>
      </c>
      <c r="B18" s="194">
        <v>2019</v>
      </c>
      <c r="C18" s="195" t="s">
        <v>481</v>
      </c>
      <c r="D18" s="4" t="s">
        <v>482</v>
      </c>
      <c r="E18" s="194">
        <v>30787276</v>
      </c>
      <c r="F18" s="196" t="str">
        <f t="shared" si="0"/>
        <v>https://pubmed.ncbi.nlm.nih.gov/30787276</v>
      </c>
      <c r="G18" s="197" t="str">
        <f t="shared" si="1"/>
        <v>Walk 2019</v>
      </c>
      <c r="H18" s="195">
        <v>2017</v>
      </c>
      <c r="I18" s="195" t="s">
        <v>483</v>
      </c>
      <c r="J18" s="198" t="s">
        <v>484</v>
      </c>
      <c r="K18" s="195">
        <v>20</v>
      </c>
      <c r="L18" s="4" t="s">
        <v>301</v>
      </c>
      <c r="M18" s="195">
        <v>7</v>
      </c>
      <c r="N18" s="195">
        <v>13</v>
      </c>
      <c r="O18" s="195" t="s">
        <v>324</v>
      </c>
      <c r="P18" s="195" t="s">
        <v>324</v>
      </c>
      <c r="Q18" s="195" t="s">
        <v>324</v>
      </c>
      <c r="R18" s="195">
        <v>18</v>
      </c>
      <c r="S18" s="195">
        <v>35</v>
      </c>
      <c r="T18" s="195">
        <v>22.1</v>
      </c>
      <c r="U18" s="195">
        <v>2.8</v>
      </c>
      <c r="V18" s="195" t="s">
        <v>322</v>
      </c>
      <c r="W18" s="195"/>
      <c r="X18" s="195">
        <v>10</v>
      </c>
      <c r="Y18" s="195"/>
      <c r="Z18" s="195" t="s">
        <v>322</v>
      </c>
      <c r="AA18" s="195"/>
      <c r="AB18" s="195">
        <v>10</v>
      </c>
      <c r="AC18" s="195"/>
      <c r="AD18" s="195" t="s">
        <v>322</v>
      </c>
      <c r="AE18" s="195" t="s">
        <v>485</v>
      </c>
      <c r="AF18" s="195"/>
      <c r="AG18" s="195" t="s">
        <v>324</v>
      </c>
      <c r="AH18" s="195" t="s">
        <v>308</v>
      </c>
      <c r="AI18" s="195" t="s">
        <v>324</v>
      </c>
      <c r="AJ18" s="195" t="s">
        <v>324</v>
      </c>
      <c r="AK18" s="195" t="s">
        <v>486</v>
      </c>
      <c r="AL18" s="195" t="s">
        <v>324</v>
      </c>
      <c r="AM18" s="199"/>
      <c r="AN18" s="195" t="s">
        <v>482</v>
      </c>
      <c r="AO18" s="195" t="s">
        <v>487</v>
      </c>
      <c r="AP18" s="205" t="s">
        <v>488</v>
      </c>
      <c r="AQ18" s="195" t="s">
        <v>489</v>
      </c>
      <c r="AR18" s="206" t="s">
        <v>315</v>
      </c>
      <c r="AS18" s="195" t="s">
        <v>316</v>
      </c>
      <c r="AT18" s="199"/>
      <c r="AU18" s="202" t="s">
        <v>490</v>
      </c>
      <c r="AV18" s="195" t="s">
        <v>318</v>
      </c>
      <c r="AW18" s="195" t="str">
        <f ca="1">IFERROR(__xludf.DUMMYFUNCTION("IF(AND(IF(AS18=""Yes"",True,False),NOT(IFERROR(REGEXMATCH(AV18,ExclusionCategories),FALSE))),""Yes"", ""No"")"),"No")</f>
        <v>No</v>
      </c>
      <c r="AX18" s="195" t="str">
        <f ca="1">IFERROR(__xludf.DUMMYFUNCTION("IF(IFERROR(SEARCH(""Unclear"", Z18)) = 1, VALUE(REGEXEXTRACT(Z18,""\d+"")), Z18)"),"N/A")</f>
        <v>N/A</v>
      </c>
      <c r="AY18" s="195" t="s">
        <v>322</v>
      </c>
      <c r="AZ18" s="195" t="str">
        <f ca="1">IFERROR(__xludf.DUMMYFUNCTION("IF(IFERROR(SEARCH(""Unclear"", AG18)) = 1, VALUE(REGEXEXTRACT(AG18,""\d+"")), AG18)"),"ND")</f>
        <v>ND</v>
      </c>
      <c r="BA18" s="195" t="s">
        <v>324</v>
      </c>
      <c r="BB18" s="195" t="str">
        <f ca="1">IFERROR(__xludf.DUMMYFUNCTION("IF(IFERROR(SEARCH(""Unclear"", AJ18)) = 1, VALUE(REGEXEXTRACT(AJ18,""\d+"")), AJ18)"),"ND")</f>
        <v>ND</v>
      </c>
      <c r="BC18" s="195" t="s">
        <v>324</v>
      </c>
      <c r="BD18" s="195" t="b">
        <f t="shared" si="2"/>
        <v>0</v>
      </c>
      <c r="BE18" s="195" t="b">
        <f t="shared" ref="BE18:BF18" si="19">IF(IFERROR(FIND("ND",AI18),0),FALSE,TRUE)</f>
        <v>0</v>
      </c>
      <c r="BF18" s="195" t="b">
        <f t="shared" si="19"/>
        <v>0</v>
      </c>
    </row>
    <row r="19" spans="1:58" ht="34.5" customHeight="1">
      <c r="A19" s="193" t="s">
        <v>480</v>
      </c>
      <c r="B19" s="194">
        <v>2019</v>
      </c>
      <c r="C19" s="195" t="s">
        <v>339</v>
      </c>
      <c r="D19" s="4" t="s">
        <v>491</v>
      </c>
      <c r="E19" s="194">
        <v>30787276</v>
      </c>
      <c r="F19" s="196" t="str">
        <f t="shared" si="0"/>
        <v>https://pubmed.ncbi.nlm.nih.gov/30787276</v>
      </c>
      <c r="G19" s="197" t="str">
        <f t="shared" si="1"/>
        <v>Walk 2019</v>
      </c>
      <c r="H19" s="195">
        <v>2017</v>
      </c>
      <c r="I19" s="195" t="s">
        <v>483</v>
      </c>
      <c r="J19" s="198" t="s">
        <v>484</v>
      </c>
      <c r="K19" s="195">
        <v>19</v>
      </c>
      <c r="L19" s="4" t="s">
        <v>353</v>
      </c>
      <c r="M19" s="195" t="s">
        <v>492</v>
      </c>
      <c r="N19" s="195" t="s">
        <v>493</v>
      </c>
      <c r="O19" s="195" t="s">
        <v>324</v>
      </c>
      <c r="P19" s="195" t="s">
        <v>324</v>
      </c>
      <c r="Q19" s="195" t="s">
        <v>324</v>
      </c>
      <c r="R19" s="195">
        <v>18</v>
      </c>
      <c r="S19" s="195">
        <v>35</v>
      </c>
      <c r="T19" s="195" t="s">
        <v>324</v>
      </c>
      <c r="U19" s="195" t="s">
        <v>324</v>
      </c>
      <c r="V19" s="195" t="s">
        <v>494</v>
      </c>
      <c r="W19" s="195"/>
      <c r="X19" s="195">
        <v>19</v>
      </c>
      <c r="Y19" s="195" t="s">
        <v>495</v>
      </c>
      <c r="Z19" s="195">
        <v>19</v>
      </c>
      <c r="AA19" s="195" t="s">
        <v>496</v>
      </c>
      <c r="AB19" s="195">
        <v>0</v>
      </c>
      <c r="AC19" s="195"/>
      <c r="AD19" s="195" t="s">
        <v>322</v>
      </c>
      <c r="AE19" s="195" t="s">
        <v>485</v>
      </c>
      <c r="AF19" s="195" t="s">
        <v>497</v>
      </c>
      <c r="AG19" s="195" t="s">
        <v>498</v>
      </c>
      <c r="AH19" s="195" t="s">
        <v>308</v>
      </c>
      <c r="AI19" s="195">
        <v>0</v>
      </c>
      <c r="AJ19" s="195" t="s">
        <v>397</v>
      </c>
      <c r="AK19" s="195" t="s">
        <v>499</v>
      </c>
      <c r="AL19" s="195" t="s">
        <v>322</v>
      </c>
      <c r="AM19" s="199"/>
      <c r="AN19" s="195" t="s">
        <v>500</v>
      </c>
      <c r="AO19" s="195" t="s">
        <v>487</v>
      </c>
      <c r="AP19" s="205" t="s">
        <v>488</v>
      </c>
      <c r="AQ19" s="195" t="s">
        <v>489</v>
      </c>
      <c r="AR19" s="206" t="s">
        <v>315</v>
      </c>
      <c r="AS19" s="195" t="s">
        <v>308</v>
      </c>
      <c r="AT19" s="199"/>
      <c r="AU19" s="202" t="s">
        <v>490</v>
      </c>
      <c r="AV19" s="195" t="s">
        <v>501</v>
      </c>
      <c r="AW19" s="195" t="str">
        <f ca="1">IFERROR(__xludf.DUMMYFUNCTION("IF(AND(IF(AS19=""Yes"",True,False),NOT(IFERROR(REGEXMATCH(AV19,ExclusionCategories),FALSE))),""Yes"", ""No"")"),"Yes")</f>
        <v>Yes</v>
      </c>
      <c r="AX19" s="195">
        <f ca="1">IFERROR(__xludf.DUMMYFUNCTION("IF(IFERROR(SEARCH(""Unclear"", Z19)) = 1, VALUE(REGEXEXTRACT(Z19,""\d+"")), Z19)"),19)</f>
        <v>19</v>
      </c>
      <c r="AY19" s="195">
        <v>19</v>
      </c>
      <c r="AZ19" s="195">
        <f ca="1">IFERROR(__xludf.DUMMYFUNCTION("IF(IFERROR(SEARCH(""Unclear"", AG19)) = 1, VALUE(REGEXEXTRACT(AG19,""\d+"")), AG19)"),12)</f>
        <v>12</v>
      </c>
      <c r="BA19" s="195">
        <v>19</v>
      </c>
      <c r="BB19" s="195">
        <f ca="1">IFERROR(__xludf.DUMMYFUNCTION("IF(IFERROR(SEARCH(""Unclear"", AJ19)) = 1, VALUE(REGEXEXTRACT(AJ19,""\d+"")), AJ19)"),3)</f>
        <v>3</v>
      </c>
      <c r="BC19" s="195">
        <v>19</v>
      </c>
      <c r="BD19" s="195" t="b">
        <f t="shared" si="2"/>
        <v>1</v>
      </c>
      <c r="BE19" s="195" t="b">
        <f t="shared" ref="BE19:BF19" si="20">IF(IFERROR(FIND("ND",AI19),0),FALSE,TRUE)</f>
        <v>1</v>
      </c>
      <c r="BF19" s="195" t="b">
        <f t="shared" si="20"/>
        <v>1</v>
      </c>
    </row>
    <row r="20" spans="1:58" ht="34.5" customHeight="1">
      <c r="A20" s="195" t="s">
        <v>502</v>
      </c>
      <c r="B20" s="195">
        <v>2020</v>
      </c>
      <c r="C20" s="195" t="s">
        <v>339</v>
      </c>
      <c r="D20" s="4" t="s">
        <v>503</v>
      </c>
      <c r="E20" s="207">
        <v>31402382</v>
      </c>
      <c r="F20" s="208" t="str">
        <f t="shared" si="0"/>
        <v>https://pubmed.ncbi.nlm.nih.gov/31402382</v>
      </c>
      <c r="G20" s="197" t="str">
        <f t="shared" si="1"/>
        <v>Achan 2020</v>
      </c>
      <c r="H20" s="195">
        <v>2018</v>
      </c>
      <c r="I20" s="195" t="s">
        <v>504</v>
      </c>
      <c r="J20" s="198" t="s">
        <v>505</v>
      </c>
      <c r="K20" s="195">
        <v>19</v>
      </c>
      <c r="L20" s="4"/>
      <c r="M20" s="195">
        <v>19</v>
      </c>
      <c r="N20" s="195">
        <v>0</v>
      </c>
      <c r="O20" s="195" t="s">
        <v>324</v>
      </c>
      <c r="P20" s="195" t="s">
        <v>324</v>
      </c>
      <c r="Q20" s="195" t="s">
        <v>324</v>
      </c>
      <c r="R20" s="195">
        <v>18</v>
      </c>
      <c r="S20" s="195">
        <v>35</v>
      </c>
      <c r="T20" s="195" t="s">
        <v>506</v>
      </c>
      <c r="U20" s="195" t="s">
        <v>507</v>
      </c>
      <c r="V20" s="195" t="s">
        <v>508</v>
      </c>
      <c r="W20" s="199"/>
      <c r="X20" s="195">
        <v>19</v>
      </c>
      <c r="Y20" s="195"/>
      <c r="Z20" s="195">
        <v>17</v>
      </c>
      <c r="AA20" s="195" t="s">
        <v>509</v>
      </c>
      <c r="AB20" s="195">
        <v>0</v>
      </c>
      <c r="AC20" s="195"/>
      <c r="AD20" s="195" t="s">
        <v>322</v>
      </c>
      <c r="AE20" s="195" t="s">
        <v>510</v>
      </c>
      <c r="AF20" s="199"/>
      <c r="AG20" s="199">
        <f>5+9</f>
        <v>14</v>
      </c>
      <c r="AH20" s="195" t="s">
        <v>511</v>
      </c>
      <c r="AI20" s="195">
        <v>0</v>
      </c>
      <c r="AJ20" s="195" t="s">
        <v>394</v>
      </c>
      <c r="AK20" s="195" t="s">
        <v>512</v>
      </c>
      <c r="AL20" s="195" t="s">
        <v>322</v>
      </c>
      <c r="AM20" s="199"/>
      <c r="AN20" s="195" t="s">
        <v>513</v>
      </c>
      <c r="AO20" s="195" t="s">
        <v>514</v>
      </c>
      <c r="AP20" s="195" t="s">
        <v>515</v>
      </c>
      <c r="AQ20" s="195" t="s">
        <v>516</v>
      </c>
      <c r="AR20" s="209" t="s">
        <v>517</v>
      </c>
      <c r="AS20" s="195" t="s">
        <v>308</v>
      </c>
      <c r="AT20" s="199"/>
      <c r="AU20" s="202" t="s">
        <v>518</v>
      </c>
      <c r="AV20" s="195" t="s">
        <v>9</v>
      </c>
      <c r="AW20" s="195" t="str">
        <f ca="1">IFERROR(__xludf.DUMMYFUNCTION("IF(AND(IF(AS20=""Yes"",True,False),NOT(IFERROR(REGEXMATCH(AV20,ExclusionCategories),FALSE))),""Yes"", ""No"")"),"Yes")</f>
        <v>Yes</v>
      </c>
      <c r="AX20" s="195">
        <f ca="1">IFERROR(__xludf.DUMMYFUNCTION("IF(IFERROR(SEARCH(""Unclear"", Z20)) = 1, VALUE(REGEXEXTRACT(Z20,""\d+"")), Z20)"),17)</f>
        <v>17</v>
      </c>
      <c r="AY20" s="195">
        <v>17</v>
      </c>
      <c r="AZ20" s="195">
        <f ca="1">IFERROR(__xludf.DUMMYFUNCTION("IF(IFERROR(SEARCH(""Unclear"", AG20)) = 1, VALUE(REGEXEXTRACT(AG20,""\d+"")), AG20)"),14)</f>
        <v>14</v>
      </c>
      <c r="BA20" s="195">
        <v>14</v>
      </c>
      <c r="BB20" s="195">
        <f ca="1">IFERROR(__xludf.DUMMYFUNCTION("IF(IFERROR(SEARCH(""Unclear"", AJ20)) = 1, VALUE(REGEXEXTRACT(AJ20,""\d+"")), AJ20)"),0)</f>
        <v>0</v>
      </c>
      <c r="BC20" s="195">
        <v>14</v>
      </c>
      <c r="BD20" s="195" t="b">
        <f t="shared" si="2"/>
        <v>1</v>
      </c>
      <c r="BE20" s="195" t="b">
        <f t="shared" ref="BE20:BF20" si="21">IF(IFERROR(FIND("ND",AI20),0),FALSE,TRUE)</f>
        <v>1</v>
      </c>
      <c r="BF20" s="195" t="b">
        <f t="shared" si="21"/>
        <v>1</v>
      </c>
    </row>
    <row r="21" spans="1:58" ht="34.5" customHeight="1">
      <c r="A21" s="203" t="s">
        <v>519</v>
      </c>
      <c r="B21" s="195">
        <v>2021</v>
      </c>
      <c r="C21" s="195" t="s">
        <v>520</v>
      </c>
      <c r="D21" s="4" t="s">
        <v>520</v>
      </c>
      <c r="E21" s="207">
        <v>32941735</v>
      </c>
      <c r="F21" s="208" t="str">
        <f t="shared" si="0"/>
        <v>https://pubmed.ncbi.nlm.nih.gov/32941735</v>
      </c>
      <c r="G21" s="197" t="str">
        <f t="shared" si="1"/>
        <v>Adler 2021</v>
      </c>
      <c r="H21" s="195">
        <v>2018</v>
      </c>
      <c r="I21" s="195" t="s">
        <v>521</v>
      </c>
      <c r="J21" s="205" t="s">
        <v>322</v>
      </c>
      <c r="K21" s="195">
        <v>64</v>
      </c>
      <c r="L21" s="210" t="s">
        <v>522</v>
      </c>
      <c r="M21" s="195">
        <v>28</v>
      </c>
      <c r="N21" s="195">
        <v>36</v>
      </c>
      <c r="O21" s="195">
        <v>64</v>
      </c>
      <c r="P21" s="195">
        <v>50</v>
      </c>
      <c r="Q21" s="195">
        <v>80</v>
      </c>
      <c r="R21" s="195">
        <v>50</v>
      </c>
      <c r="S21" s="195">
        <v>84</v>
      </c>
      <c r="T21" s="195" t="s">
        <v>324</v>
      </c>
      <c r="U21" s="195" t="s">
        <v>324</v>
      </c>
      <c r="V21" s="195" t="s">
        <v>523</v>
      </c>
      <c r="W21" s="199"/>
      <c r="X21" s="195">
        <v>64</v>
      </c>
      <c r="Y21" s="195"/>
      <c r="Z21" s="195">
        <v>25</v>
      </c>
      <c r="AA21" s="211" t="s">
        <v>524</v>
      </c>
      <c r="AB21" s="195">
        <v>0</v>
      </c>
      <c r="AC21" s="195" t="s">
        <v>525</v>
      </c>
      <c r="AD21" s="195" t="s">
        <v>526</v>
      </c>
      <c r="AE21" s="195" t="s">
        <v>332</v>
      </c>
      <c r="AF21" s="195"/>
      <c r="AG21" s="195">
        <v>0</v>
      </c>
      <c r="AH21" s="195" t="s">
        <v>527</v>
      </c>
      <c r="AI21" s="195">
        <v>0</v>
      </c>
      <c r="AJ21" s="195" t="s">
        <v>324</v>
      </c>
      <c r="AK21" s="195" t="s">
        <v>528</v>
      </c>
      <c r="AL21" s="195" t="s">
        <v>322</v>
      </c>
      <c r="AM21" s="195"/>
      <c r="AN21" s="195" t="s">
        <v>513</v>
      </c>
      <c r="AO21" s="195" t="s">
        <v>529</v>
      </c>
      <c r="AP21" s="195" t="s">
        <v>530</v>
      </c>
      <c r="AQ21" s="195" t="s">
        <v>531</v>
      </c>
      <c r="AR21" s="209" t="s">
        <v>517</v>
      </c>
      <c r="AS21" s="195" t="s">
        <v>308</v>
      </c>
      <c r="AT21" s="199"/>
      <c r="AU21" s="202" t="s">
        <v>532</v>
      </c>
      <c r="AV21" s="195" t="s">
        <v>9</v>
      </c>
      <c r="AW21" s="195" t="str">
        <f ca="1">IFERROR(__xludf.DUMMYFUNCTION("IF(AND(IF(AS21=""Yes"",True,False),NOT(IFERROR(REGEXMATCH(AV21,ExclusionCategories),FALSE))),""Yes"", ""No"")"),"Yes")</f>
        <v>Yes</v>
      </c>
      <c r="AX21" s="195">
        <f ca="1">IFERROR(__xludf.DUMMYFUNCTION("IF(IFERROR(SEARCH(""Unclear"", Z21)) = 1, VALUE(REGEXEXTRACT(Z21,""\d+"")), Z21)"),25)</f>
        <v>25</v>
      </c>
      <c r="AY21" s="195">
        <v>25</v>
      </c>
      <c r="AZ21" s="195">
        <f ca="1">IFERROR(__xludf.DUMMYFUNCTION("IF(IFERROR(SEARCH(""Unclear"", AG21)) = 1, VALUE(REGEXEXTRACT(AG21,""\d+"")), AG21)"),0)</f>
        <v>0</v>
      </c>
      <c r="BA21" s="195">
        <v>0</v>
      </c>
      <c r="BB21" s="195" t="str">
        <f ca="1">IFERROR(__xludf.DUMMYFUNCTION("IF(IFERROR(SEARCH(""Unclear"", AJ21)) = 1, VALUE(REGEXEXTRACT(AJ21,""\d+"")), AJ21)"),"ND")</f>
        <v>ND</v>
      </c>
      <c r="BC21" s="195" t="s">
        <v>324</v>
      </c>
      <c r="BD21" s="195" t="b">
        <f t="shared" si="2"/>
        <v>1</v>
      </c>
      <c r="BE21" s="195" t="b">
        <f t="shared" ref="BE21:BF21" si="22">IF(IFERROR(FIND("ND",AI21),0),FALSE,TRUE)</f>
        <v>1</v>
      </c>
      <c r="BF21" s="195" t="b">
        <f t="shared" si="22"/>
        <v>0</v>
      </c>
    </row>
    <row r="22" spans="1:58" ht="34.5" customHeight="1">
      <c r="A22" s="212" t="s">
        <v>533</v>
      </c>
      <c r="B22" s="213">
        <v>2016</v>
      </c>
      <c r="C22" s="195" t="s">
        <v>339</v>
      </c>
      <c r="D22" s="4" t="s">
        <v>534</v>
      </c>
      <c r="E22" s="207">
        <v>26711509</v>
      </c>
      <c r="F22" s="208" t="str">
        <f t="shared" si="0"/>
        <v>https://pubmed.ncbi.nlm.nih.gov/26711509</v>
      </c>
      <c r="G22" s="197" t="str">
        <f t="shared" si="1"/>
        <v>Bastiaens 2016</v>
      </c>
      <c r="H22" s="195">
        <v>2014</v>
      </c>
      <c r="I22" s="195" t="s">
        <v>535</v>
      </c>
      <c r="J22" s="198" t="s">
        <v>536</v>
      </c>
      <c r="K22" s="195">
        <v>30</v>
      </c>
      <c r="L22" s="4" t="s">
        <v>343</v>
      </c>
      <c r="M22" s="195" t="s">
        <v>324</v>
      </c>
      <c r="N22" s="195" t="s">
        <v>324</v>
      </c>
      <c r="O22" s="195" t="s">
        <v>537</v>
      </c>
      <c r="P22" s="195" t="s">
        <v>537</v>
      </c>
      <c r="Q22" s="195" t="s">
        <v>537</v>
      </c>
      <c r="R22" s="195">
        <v>18</v>
      </c>
      <c r="S22" s="195">
        <v>35</v>
      </c>
      <c r="T22" s="195" t="s">
        <v>324</v>
      </c>
      <c r="U22" s="195" t="s">
        <v>324</v>
      </c>
      <c r="V22" s="195" t="s">
        <v>538</v>
      </c>
      <c r="W22" s="195" t="s">
        <v>539</v>
      </c>
      <c r="X22" s="195">
        <v>20</v>
      </c>
      <c r="Y22" s="195"/>
      <c r="Z22" s="195">
        <v>0</v>
      </c>
      <c r="AA22" s="195"/>
      <c r="AB22" s="195">
        <v>10</v>
      </c>
      <c r="AC22" s="195"/>
      <c r="AD22" s="195">
        <v>0</v>
      </c>
      <c r="AE22" s="195" t="s">
        <v>540</v>
      </c>
      <c r="AF22" s="195"/>
      <c r="AG22" s="195">
        <v>11</v>
      </c>
      <c r="AH22" s="195" t="s">
        <v>527</v>
      </c>
      <c r="AI22" s="195">
        <v>0</v>
      </c>
      <c r="AJ22" s="195" t="s">
        <v>324</v>
      </c>
      <c r="AK22" s="195"/>
      <c r="AL22" s="195">
        <v>6</v>
      </c>
      <c r="AM22" s="195"/>
      <c r="AN22" s="195" t="s">
        <v>541</v>
      </c>
      <c r="AO22" s="195" t="s">
        <v>542</v>
      </c>
      <c r="AP22" s="195" t="s">
        <v>543</v>
      </c>
      <c r="AQ22" s="195" t="s">
        <v>544</v>
      </c>
      <c r="AR22" s="209" t="s">
        <v>517</v>
      </c>
      <c r="AS22" s="195" t="s">
        <v>316</v>
      </c>
      <c r="AT22" s="199"/>
      <c r="AU22" s="202" t="s">
        <v>545</v>
      </c>
      <c r="AV22" s="195" t="s">
        <v>318</v>
      </c>
      <c r="AW22" s="195" t="str">
        <f ca="1">IFERROR(__xludf.DUMMYFUNCTION("IF(AND(IF(AS22=""Yes"",True,False),NOT(IFERROR(REGEXMATCH(AV22,ExclusionCategories),FALSE))),""Yes"", ""No"")"),"No")</f>
        <v>No</v>
      </c>
      <c r="AX22" s="195">
        <f ca="1">IFERROR(__xludf.DUMMYFUNCTION("IF(IFERROR(SEARCH(""Unclear"", Z22)) = 1, VALUE(REGEXEXTRACT(Z22,""\d+"")), Z22)"),0)</f>
        <v>0</v>
      </c>
      <c r="AY22" s="195">
        <v>0</v>
      </c>
      <c r="AZ22" s="195">
        <f ca="1">IFERROR(__xludf.DUMMYFUNCTION("IF(IFERROR(SEARCH(""Unclear"", AG22)) = 1, VALUE(REGEXEXTRACT(AG22,""\d+"")), AG22)"),11)</f>
        <v>11</v>
      </c>
      <c r="BA22" s="195">
        <v>11</v>
      </c>
      <c r="BB22" s="195" t="str">
        <f ca="1">IFERROR(__xludf.DUMMYFUNCTION("IF(IFERROR(SEARCH(""Unclear"", AJ22)) = 1, VALUE(REGEXEXTRACT(AJ22,""\d+"")), AJ22)"),"ND")</f>
        <v>ND</v>
      </c>
      <c r="BC22" s="195" t="s">
        <v>324</v>
      </c>
      <c r="BD22" s="195" t="b">
        <f t="shared" si="2"/>
        <v>1</v>
      </c>
      <c r="BE22" s="195" t="b">
        <f t="shared" ref="BE22:BF22" si="23">IF(IFERROR(FIND("ND",AI22),0),FALSE,TRUE)</f>
        <v>1</v>
      </c>
      <c r="BF22" s="195" t="b">
        <f t="shared" si="23"/>
        <v>0</v>
      </c>
    </row>
    <row r="23" spans="1:58" ht="34.5" customHeight="1">
      <c r="A23" s="212" t="s">
        <v>533</v>
      </c>
      <c r="B23" s="213">
        <v>2016</v>
      </c>
      <c r="C23" s="195" t="s">
        <v>339</v>
      </c>
      <c r="D23" s="4" t="s">
        <v>546</v>
      </c>
      <c r="E23" s="207">
        <v>26711509</v>
      </c>
      <c r="F23" s="208" t="str">
        <f t="shared" si="0"/>
        <v>https://pubmed.ncbi.nlm.nih.gov/26711509</v>
      </c>
      <c r="G23" s="197" t="str">
        <f t="shared" si="1"/>
        <v>Bastiaens 2016</v>
      </c>
      <c r="H23" s="195">
        <v>2014</v>
      </c>
      <c r="I23" s="195" t="s">
        <v>535</v>
      </c>
      <c r="J23" s="198" t="s">
        <v>536</v>
      </c>
      <c r="K23" s="195">
        <v>23</v>
      </c>
      <c r="L23" s="4" t="s">
        <v>353</v>
      </c>
      <c r="M23" s="195" t="s">
        <v>324</v>
      </c>
      <c r="N23" s="195" t="s">
        <v>324</v>
      </c>
      <c r="O23" s="195" t="s">
        <v>537</v>
      </c>
      <c r="P23" s="195" t="s">
        <v>537</v>
      </c>
      <c r="Q23" s="195" t="s">
        <v>537</v>
      </c>
      <c r="R23" s="195">
        <v>18</v>
      </c>
      <c r="S23" s="195">
        <v>35</v>
      </c>
      <c r="T23" s="195" t="s">
        <v>324</v>
      </c>
      <c r="U23" s="195" t="s">
        <v>324</v>
      </c>
      <c r="V23" s="195" t="s">
        <v>538</v>
      </c>
      <c r="W23" s="195" t="s">
        <v>539</v>
      </c>
      <c r="X23" s="195">
        <v>23</v>
      </c>
      <c r="Y23" s="195" t="s">
        <v>547</v>
      </c>
      <c r="Z23" s="195">
        <v>23</v>
      </c>
      <c r="AA23" s="195" t="s">
        <v>548</v>
      </c>
      <c r="AB23" s="195">
        <v>0</v>
      </c>
      <c r="AC23" s="195" t="s">
        <v>549</v>
      </c>
      <c r="AD23" s="195" t="s">
        <v>322</v>
      </c>
      <c r="AE23" s="195" t="s">
        <v>540</v>
      </c>
      <c r="AF23" s="195"/>
      <c r="AG23" s="195">
        <v>22</v>
      </c>
      <c r="AH23" s="195" t="s">
        <v>511</v>
      </c>
      <c r="AI23" s="195">
        <v>1</v>
      </c>
      <c r="AJ23" s="195">
        <v>8</v>
      </c>
      <c r="AK23" s="195" t="s">
        <v>550</v>
      </c>
      <c r="AL23" s="195" t="s">
        <v>322</v>
      </c>
      <c r="AM23" s="195"/>
      <c r="AN23" s="195" t="s">
        <v>541</v>
      </c>
      <c r="AO23" s="195" t="s">
        <v>542</v>
      </c>
      <c r="AP23" s="195" t="s">
        <v>543</v>
      </c>
      <c r="AQ23" s="195" t="s">
        <v>544</v>
      </c>
      <c r="AR23" s="209" t="s">
        <v>517</v>
      </c>
      <c r="AS23" s="195" t="s">
        <v>308</v>
      </c>
      <c r="AT23" s="199"/>
      <c r="AU23" s="202" t="s">
        <v>545</v>
      </c>
      <c r="AV23" s="195" t="s">
        <v>9</v>
      </c>
      <c r="AW23" s="195" t="str">
        <f ca="1">IFERROR(__xludf.DUMMYFUNCTION("IF(AND(IF(AS23=""Yes"",True,False),NOT(IFERROR(REGEXMATCH(AV23,ExclusionCategories),FALSE))),""Yes"", ""No"")"),"Yes")</f>
        <v>Yes</v>
      </c>
      <c r="AX23" s="195">
        <f ca="1">IFERROR(__xludf.DUMMYFUNCTION("IF(IFERROR(SEARCH(""Unclear"", Z23)) = 1, VALUE(REGEXEXTRACT(Z23,""\d+"")), Z23)"),23)</f>
        <v>23</v>
      </c>
      <c r="AY23" s="195">
        <v>23</v>
      </c>
      <c r="AZ23" s="195">
        <f ca="1">IFERROR(__xludf.DUMMYFUNCTION("IF(IFERROR(SEARCH(""Unclear"", AG23)) = 1, VALUE(REGEXEXTRACT(AG23,""\d+"")), AG23)"),22)</f>
        <v>22</v>
      </c>
      <c r="BA23" s="195">
        <v>22</v>
      </c>
      <c r="BB23" s="195">
        <f ca="1">IFERROR(__xludf.DUMMYFUNCTION("IF(IFERROR(SEARCH(""Unclear"", AJ23)) = 1, VALUE(REGEXEXTRACT(AJ23,""\d+"")), AJ23)"),8)</f>
        <v>8</v>
      </c>
      <c r="BC23" s="195">
        <v>8</v>
      </c>
      <c r="BD23" s="195" t="b">
        <f t="shared" si="2"/>
        <v>1</v>
      </c>
      <c r="BE23" s="195" t="b">
        <f t="shared" ref="BE23:BF23" si="24">IF(IFERROR(FIND("ND",AI23),0),FALSE,TRUE)</f>
        <v>1</v>
      </c>
      <c r="BF23" s="195" t="b">
        <f t="shared" si="24"/>
        <v>1</v>
      </c>
    </row>
    <row r="24" spans="1:58" ht="34.5" customHeight="1">
      <c r="A24" s="203" t="s">
        <v>551</v>
      </c>
      <c r="B24" s="195">
        <v>2015</v>
      </c>
      <c r="C24" s="195" t="s">
        <v>552</v>
      </c>
      <c r="D24" s="4" t="s">
        <v>553</v>
      </c>
      <c r="E24" s="214">
        <v>25210140</v>
      </c>
      <c r="F24" s="208" t="str">
        <f t="shared" si="0"/>
        <v>https://pubmed.ncbi.nlm.nih.gov/25210140</v>
      </c>
      <c r="G24" s="197" t="str">
        <f t="shared" si="1"/>
        <v>Bernstein 2015</v>
      </c>
      <c r="H24" s="195">
        <v>2014</v>
      </c>
      <c r="I24" s="195" t="s">
        <v>554</v>
      </c>
      <c r="J24" s="198" t="s">
        <v>555</v>
      </c>
      <c r="K24" s="195">
        <v>132</v>
      </c>
      <c r="L24" s="4" t="s">
        <v>301</v>
      </c>
      <c r="M24" s="195">
        <v>68</v>
      </c>
      <c r="N24" s="195">
        <v>64</v>
      </c>
      <c r="O24" s="195">
        <v>30</v>
      </c>
      <c r="P24" s="195">
        <v>18</v>
      </c>
      <c r="Q24" s="195">
        <v>49</v>
      </c>
      <c r="R24" s="195">
        <v>18</v>
      </c>
      <c r="S24" s="195">
        <v>50</v>
      </c>
      <c r="T24" s="195" t="s">
        <v>324</v>
      </c>
      <c r="U24" s="195" t="s">
        <v>324</v>
      </c>
      <c r="V24" s="195" t="s">
        <v>556</v>
      </c>
      <c r="W24" s="199"/>
      <c r="X24" s="195">
        <v>67</v>
      </c>
      <c r="Y24" s="195"/>
      <c r="Z24" s="195">
        <v>0</v>
      </c>
      <c r="AA24" s="199"/>
      <c r="AB24" s="195">
        <v>65</v>
      </c>
      <c r="AC24" s="195"/>
      <c r="AD24" s="195">
        <v>0</v>
      </c>
      <c r="AE24" s="195" t="s">
        <v>557</v>
      </c>
      <c r="AF24" s="199"/>
      <c r="AG24" s="215" t="s">
        <v>558</v>
      </c>
      <c r="AH24" s="195" t="s">
        <v>511</v>
      </c>
      <c r="AI24" s="195">
        <v>0</v>
      </c>
      <c r="AJ24" s="195" t="s">
        <v>324</v>
      </c>
      <c r="AK24" s="195" t="s">
        <v>559</v>
      </c>
      <c r="AL24" s="215" t="s">
        <v>560</v>
      </c>
      <c r="AM24" s="195"/>
      <c r="AN24" s="195" t="s">
        <v>561</v>
      </c>
      <c r="AO24" s="195" t="s">
        <v>562</v>
      </c>
      <c r="AP24" s="195" t="s">
        <v>563</v>
      </c>
      <c r="AQ24" s="195" t="s">
        <v>421</v>
      </c>
      <c r="AR24" s="209" t="s">
        <v>517</v>
      </c>
      <c r="AS24" s="195" t="s">
        <v>316</v>
      </c>
      <c r="AT24" s="199"/>
      <c r="AU24" s="202" t="s">
        <v>564</v>
      </c>
      <c r="AV24" s="195" t="s">
        <v>318</v>
      </c>
      <c r="AW24" s="195" t="str">
        <f ca="1">IFERROR(__xludf.DUMMYFUNCTION("IF(AND(IF(AS24=""Yes"",True,False),NOT(IFERROR(REGEXMATCH(AV24,ExclusionCategories),FALSE))),""Yes"", ""No"")"),"No")</f>
        <v>No</v>
      </c>
      <c r="AX24" s="195">
        <f ca="1">IFERROR(__xludf.DUMMYFUNCTION("IF(IFERROR(SEARCH(""Unclear"", Z24)) = 1, VALUE(REGEXEXTRACT(Z24,""\d+"")), Z24)"),0)</f>
        <v>0</v>
      </c>
      <c r="AY24" s="195">
        <v>0</v>
      </c>
      <c r="AZ24" s="195">
        <f ca="1">IFERROR(__xludf.DUMMYFUNCTION("IF(IFERROR(SEARCH(""Unclear"", AG24)) = 1, VALUE(REGEXEXTRACT(AG24,""\d+"")), AG24)"),21)</f>
        <v>21</v>
      </c>
      <c r="BA24" s="195">
        <v>67</v>
      </c>
      <c r="BB24" s="195" t="str">
        <f ca="1">IFERROR(__xludf.DUMMYFUNCTION("IF(IFERROR(SEARCH(""Unclear"", AJ24)) = 1, VALUE(REGEXEXTRACT(AJ24,""\d+"")), AJ24)"),"ND")</f>
        <v>ND</v>
      </c>
      <c r="BC24" s="195" t="s">
        <v>324</v>
      </c>
      <c r="BD24" s="195" t="b">
        <f t="shared" si="2"/>
        <v>1</v>
      </c>
      <c r="BE24" s="195" t="b">
        <f t="shared" ref="BE24:BF24" si="25">IF(IFERROR(FIND("ND",AI24),0),FALSE,TRUE)</f>
        <v>1</v>
      </c>
      <c r="BF24" s="195" t="b">
        <f t="shared" si="25"/>
        <v>0</v>
      </c>
    </row>
    <row r="25" spans="1:58" ht="34.5" customHeight="1">
      <c r="A25" s="203" t="s">
        <v>551</v>
      </c>
      <c r="B25" s="195">
        <v>2015</v>
      </c>
      <c r="C25" s="195" t="s">
        <v>552</v>
      </c>
      <c r="D25" s="4" t="s">
        <v>565</v>
      </c>
      <c r="E25" s="214">
        <v>25210140</v>
      </c>
      <c r="F25" s="208" t="str">
        <f t="shared" si="0"/>
        <v>https://pubmed.ncbi.nlm.nih.gov/25210140</v>
      </c>
      <c r="G25" s="197" t="str">
        <f t="shared" si="1"/>
        <v>Bernstein 2015</v>
      </c>
      <c r="H25" s="195">
        <v>2014</v>
      </c>
      <c r="I25" s="195" t="s">
        <v>554</v>
      </c>
      <c r="J25" s="198" t="s">
        <v>555</v>
      </c>
      <c r="K25" s="195">
        <v>98</v>
      </c>
      <c r="L25" s="4" t="s">
        <v>566</v>
      </c>
      <c r="M25" s="195">
        <v>54</v>
      </c>
      <c r="N25" s="195">
        <v>44</v>
      </c>
      <c r="O25" s="195">
        <v>32</v>
      </c>
      <c r="P25" s="195">
        <v>18</v>
      </c>
      <c r="Q25" s="195">
        <v>49</v>
      </c>
      <c r="R25" s="195">
        <v>18</v>
      </c>
      <c r="S25" s="195">
        <v>50</v>
      </c>
      <c r="T25" s="195" t="s">
        <v>324</v>
      </c>
      <c r="U25" s="195" t="s">
        <v>324</v>
      </c>
      <c r="V25" s="195" t="s">
        <v>556</v>
      </c>
      <c r="W25" s="199"/>
      <c r="X25" s="195">
        <v>98</v>
      </c>
      <c r="Y25" s="195" t="s">
        <v>567</v>
      </c>
      <c r="Z25" s="195">
        <v>57</v>
      </c>
      <c r="AA25" s="195" t="s">
        <v>568</v>
      </c>
      <c r="AB25" s="195">
        <v>0</v>
      </c>
      <c r="AC25" s="195" t="s">
        <v>549</v>
      </c>
      <c r="AD25" s="195" t="s">
        <v>322</v>
      </c>
      <c r="AE25" s="195" t="s">
        <v>557</v>
      </c>
      <c r="AF25" s="195" t="s">
        <v>569</v>
      </c>
      <c r="AG25" s="215">
        <v>30</v>
      </c>
      <c r="AH25" s="195" t="s">
        <v>511</v>
      </c>
      <c r="AI25" s="195">
        <v>4</v>
      </c>
      <c r="AJ25" s="195">
        <v>4</v>
      </c>
      <c r="AK25" s="195" t="s">
        <v>570</v>
      </c>
      <c r="AL25" s="215" t="s">
        <v>322</v>
      </c>
      <c r="AM25" s="195"/>
      <c r="AN25" s="195" t="s">
        <v>561</v>
      </c>
      <c r="AO25" s="195" t="s">
        <v>562</v>
      </c>
      <c r="AP25" s="195" t="s">
        <v>563</v>
      </c>
      <c r="AQ25" s="195" t="s">
        <v>421</v>
      </c>
      <c r="AR25" s="209" t="s">
        <v>517</v>
      </c>
      <c r="AS25" s="195" t="s">
        <v>308</v>
      </c>
      <c r="AT25" s="199"/>
      <c r="AU25" s="202" t="s">
        <v>564</v>
      </c>
      <c r="AV25" s="195" t="s">
        <v>571</v>
      </c>
      <c r="AW25" s="195" t="str">
        <f ca="1">IFERROR(__xludf.DUMMYFUNCTION("IF(AND(IF(AS25=""Yes"",True,False),NOT(IFERROR(REGEXMATCH(AV25,ExclusionCategories),FALSE))),""Yes"", ""No"")"),"Yes")</f>
        <v>Yes</v>
      </c>
      <c r="AX25" s="195">
        <f ca="1">IFERROR(__xludf.DUMMYFUNCTION("IF(IFERROR(SEARCH(""Unclear"", Z25)) = 1, VALUE(REGEXEXTRACT(Z25,""\d+"")), Z25)"),57)</f>
        <v>57</v>
      </c>
      <c r="AY25" s="195">
        <v>57</v>
      </c>
      <c r="AZ25" s="195">
        <f ca="1">IFERROR(__xludf.DUMMYFUNCTION("IF(IFERROR(SEARCH(""Unclear"", AG25)) = 1, VALUE(REGEXEXTRACT(AG25,""\d+"")), AG25)"),30)</f>
        <v>30</v>
      </c>
      <c r="BA25" s="195">
        <v>30</v>
      </c>
      <c r="BB25" s="195">
        <f ca="1">IFERROR(__xludf.DUMMYFUNCTION("IF(IFERROR(SEARCH(""Unclear"", AJ25)) = 1, VALUE(REGEXEXTRACT(AJ25,""\d+"")), AJ25)"),4)</f>
        <v>4</v>
      </c>
      <c r="BC25" s="195">
        <v>4</v>
      </c>
      <c r="BD25" s="195" t="b">
        <f t="shared" si="2"/>
        <v>1</v>
      </c>
      <c r="BE25" s="195" t="b">
        <f t="shared" ref="BE25:BF25" si="26">IF(IFERROR(FIND("ND",AI25),0),FALSE,TRUE)</f>
        <v>1</v>
      </c>
      <c r="BF25" s="195" t="b">
        <f t="shared" si="26"/>
        <v>1</v>
      </c>
    </row>
    <row r="26" spans="1:58" ht="34.5" customHeight="1">
      <c r="A26" s="203" t="s">
        <v>572</v>
      </c>
      <c r="B26" s="195">
        <v>2013</v>
      </c>
      <c r="C26" s="195" t="s">
        <v>339</v>
      </c>
      <c r="D26" s="4" t="s">
        <v>573</v>
      </c>
      <c r="E26" s="214">
        <v>23599283</v>
      </c>
      <c r="F26" s="208" t="str">
        <f t="shared" si="0"/>
        <v>https://pubmed.ncbi.nlm.nih.gov/23599283</v>
      </c>
      <c r="G26" s="197" t="str">
        <f t="shared" si="1"/>
        <v>Bijker 2013</v>
      </c>
      <c r="H26" s="195">
        <v>2012</v>
      </c>
      <c r="I26" s="195" t="s">
        <v>574</v>
      </c>
      <c r="J26" s="198" t="s">
        <v>575</v>
      </c>
      <c r="K26" s="195">
        <v>24</v>
      </c>
      <c r="L26" s="4" t="s">
        <v>343</v>
      </c>
      <c r="M26" s="195">
        <v>10</v>
      </c>
      <c r="N26" s="195">
        <v>14</v>
      </c>
      <c r="O26" s="195">
        <v>21</v>
      </c>
      <c r="P26" s="195">
        <v>19</v>
      </c>
      <c r="Q26" s="195">
        <v>32</v>
      </c>
      <c r="R26" s="195">
        <v>18</v>
      </c>
      <c r="S26" s="195">
        <v>35</v>
      </c>
      <c r="T26" s="195" t="s">
        <v>324</v>
      </c>
      <c r="U26" s="195" t="s">
        <v>324</v>
      </c>
      <c r="V26" s="195" t="s">
        <v>576</v>
      </c>
      <c r="W26" s="195"/>
      <c r="X26" s="195">
        <v>15</v>
      </c>
      <c r="Y26" s="195"/>
      <c r="Z26" s="195" t="s">
        <v>577</v>
      </c>
      <c r="AA26" s="195"/>
      <c r="AB26" s="195">
        <v>10</v>
      </c>
      <c r="AC26" s="195"/>
      <c r="AD26" s="195">
        <v>0</v>
      </c>
      <c r="AE26" s="195" t="s">
        <v>578</v>
      </c>
      <c r="AF26" s="199"/>
      <c r="AG26" s="195">
        <v>15</v>
      </c>
      <c r="AH26" s="195" t="s">
        <v>511</v>
      </c>
      <c r="AI26" s="195">
        <v>0</v>
      </c>
      <c r="AJ26" s="195">
        <v>4</v>
      </c>
      <c r="AK26" s="195" t="s">
        <v>579</v>
      </c>
      <c r="AL26" s="195">
        <v>0</v>
      </c>
      <c r="AM26" s="195"/>
      <c r="AN26" s="195" t="s">
        <v>580</v>
      </c>
      <c r="AO26" s="195" t="s">
        <v>581</v>
      </c>
      <c r="AP26" s="195" t="s">
        <v>582</v>
      </c>
      <c r="AQ26" s="195" t="s">
        <v>583</v>
      </c>
      <c r="AR26" s="209" t="s">
        <v>517</v>
      </c>
      <c r="AS26" s="195" t="s">
        <v>316</v>
      </c>
      <c r="AT26" s="199"/>
      <c r="AU26" s="202" t="s">
        <v>584</v>
      </c>
      <c r="AV26" s="195" t="s">
        <v>318</v>
      </c>
      <c r="AW26" s="195" t="str">
        <f ca="1">IFERROR(__xludf.DUMMYFUNCTION("IF(AND(IF(AS26=""Yes"",True,False),NOT(IFERROR(REGEXMATCH(AV26,ExclusionCategories),FALSE))),""Yes"", ""No"")"),"No")</f>
        <v>No</v>
      </c>
      <c r="AX26" s="195">
        <f ca="1">IFERROR(__xludf.DUMMYFUNCTION("IF(IFERROR(SEARCH(""Unclear"", Z26)) = 1, VALUE(REGEXEXTRACT(Z26,""\d+"")), Z26)"),14)</f>
        <v>14</v>
      </c>
      <c r="AY26" s="195">
        <v>15</v>
      </c>
      <c r="AZ26" s="195">
        <f ca="1">IFERROR(__xludf.DUMMYFUNCTION("IF(IFERROR(SEARCH(""Unclear"", AG26)) = 1, VALUE(REGEXEXTRACT(AG26,""\d+"")), AG26)"),15)</f>
        <v>15</v>
      </c>
      <c r="BA26" s="195">
        <v>15</v>
      </c>
      <c r="BB26" s="195">
        <f ca="1">IFERROR(__xludf.DUMMYFUNCTION("IF(IFERROR(SEARCH(""Unclear"", AJ26)) = 1, VALUE(REGEXEXTRACT(AJ26,""\d+"")), AJ26)"),4)</f>
        <v>4</v>
      </c>
      <c r="BC26" s="195">
        <v>4</v>
      </c>
      <c r="BD26" s="195" t="b">
        <f t="shared" si="2"/>
        <v>1</v>
      </c>
      <c r="BE26" s="195" t="b">
        <f t="shared" ref="BE26:BF26" si="27">IF(IFERROR(FIND("ND",AI26),0),FALSE,TRUE)</f>
        <v>1</v>
      </c>
      <c r="BF26" s="195" t="b">
        <f t="shared" si="27"/>
        <v>1</v>
      </c>
    </row>
    <row r="27" spans="1:58" ht="34.5" customHeight="1">
      <c r="A27" s="203" t="s">
        <v>572</v>
      </c>
      <c r="B27" s="195">
        <v>2013</v>
      </c>
      <c r="C27" s="195" t="s">
        <v>339</v>
      </c>
      <c r="D27" s="4" t="s">
        <v>585</v>
      </c>
      <c r="E27" s="214">
        <v>23599283</v>
      </c>
      <c r="F27" s="208" t="str">
        <f t="shared" si="0"/>
        <v>https://pubmed.ncbi.nlm.nih.gov/23599283</v>
      </c>
      <c r="G27" s="197" t="str">
        <f t="shared" si="1"/>
        <v>Bijker 2013</v>
      </c>
      <c r="H27" s="195">
        <v>2012</v>
      </c>
      <c r="I27" s="195" t="s">
        <v>574</v>
      </c>
      <c r="J27" s="198" t="s">
        <v>575</v>
      </c>
      <c r="K27" s="195">
        <v>24</v>
      </c>
      <c r="L27" s="4" t="s">
        <v>353</v>
      </c>
      <c r="M27" s="195">
        <v>10</v>
      </c>
      <c r="N27" s="195">
        <v>14</v>
      </c>
      <c r="O27" s="195">
        <v>21</v>
      </c>
      <c r="P27" s="195">
        <v>19</v>
      </c>
      <c r="Q27" s="195">
        <v>32</v>
      </c>
      <c r="R27" s="195">
        <v>18</v>
      </c>
      <c r="S27" s="195">
        <v>35</v>
      </c>
      <c r="T27" s="195" t="s">
        <v>324</v>
      </c>
      <c r="U27" s="195" t="s">
        <v>324</v>
      </c>
      <c r="V27" s="195" t="s">
        <v>576</v>
      </c>
      <c r="W27" s="195"/>
      <c r="X27" s="195">
        <v>24</v>
      </c>
      <c r="Y27" s="195" t="s">
        <v>547</v>
      </c>
      <c r="Z27" s="195">
        <v>19</v>
      </c>
      <c r="AA27" s="195" t="s">
        <v>586</v>
      </c>
      <c r="AB27" s="195">
        <v>0</v>
      </c>
      <c r="AC27" s="195" t="s">
        <v>549</v>
      </c>
      <c r="AD27" s="195" t="s">
        <v>322</v>
      </c>
      <c r="AE27" s="195" t="s">
        <v>578</v>
      </c>
      <c r="AF27" s="199"/>
      <c r="AG27" s="195">
        <v>22</v>
      </c>
      <c r="AH27" s="195" t="s">
        <v>511</v>
      </c>
      <c r="AI27" s="195">
        <v>0</v>
      </c>
      <c r="AJ27" s="195">
        <v>14</v>
      </c>
      <c r="AK27" s="195" t="s">
        <v>587</v>
      </c>
      <c r="AL27" s="195" t="s">
        <v>322</v>
      </c>
      <c r="AM27" s="195"/>
      <c r="AN27" s="195" t="s">
        <v>580</v>
      </c>
      <c r="AO27" s="195" t="s">
        <v>581</v>
      </c>
      <c r="AP27" s="195" t="s">
        <v>582</v>
      </c>
      <c r="AQ27" s="195" t="s">
        <v>583</v>
      </c>
      <c r="AR27" s="209" t="s">
        <v>517</v>
      </c>
      <c r="AS27" s="195" t="s">
        <v>308</v>
      </c>
      <c r="AT27" s="199"/>
      <c r="AU27" s="202" t="s">
        <v>584</v>
      </c>
      <c r="AV27" s="195" t="s">
        <v>9</v>
      </c>
      <c r="AW27" s="195" t="str">
        <f ca="1">IFERROR(__xludf.DUMMYFUNCTION("IF(AND(IF(AS27=""Yes"",True,False),NOT(IFERROR(REGEXMATCH(AV27,ExclusionCategories),FALSE))),""Yes"", ""No"")"),"Yes")</f>
        <v>Yes</v>
      </c>
      <c r="AX27" s="195">
        <f ca="1">IFERROR(__xludf.DUMMYFUNCTION("IF(IFERROR(SEARCH(""Unclear"", Z27)) = 1, VALUE(REGEXEXTRACT(Z27,""\d+"")), Z27)"),19)</f>
        <v>19</v>
      </c>
      <c r="AY27" s="195">
        <v>19</v>
      </c>
      <c r="AZ27" s="195">
        <f ca="1">IFERROR(__xludf.DUMMYFUNCTION("IF(IFERROR(SEARCH(""Unclear"", AG27)) = 1, VALUE(REGEXEXTRACT(AG27,""\d+"")), AG27)"),22)</f>
        <v>22</v>
      </c>
      <c r="BA27" s="195">
        <v>22</v>
      </c>
      <c r="BB27" s="195">
        <f ca="1">IFERROR(__xludf.DUMMYFUNCTION("IF(IFERROR(SEARCH(""Unclear"", AJ27)) = 1, VALUE(REGEXEXTRACT(AJ27,""\d+"")), AJ27)"),14)</f>
        <v>14</v>
      </c>
      <c r="BC27" s="195">
        <v>14</v>
      </c>
      <c r="BD27" s="195" t="b">
        <f t="shared" si="2"/>
        <v>1</v>
      </c>
      <c r="BE27" s="195" t="b">
        <f t="shared" ref="BE27:BF27" si="28">IF(IFERROR(FIND("ND",AI27),0),FALSE,TRUE)</f>
        <v>1</v>
      </c>
      <c r="BF27" s="195" t="b">
        <f t="shared" si="28"/>
        <v>1</v>
      </c>
    </row>
    <row r="28" spans="1:58" ht="34.5" customHeight="1">
      <c r="A28" s="203" t="s">
        <v>572</v>
      </c>
      <c r="B28" s="195">
        <v>2014</v>
      </c>
      <c r="C28" s="195" t="s">
        <v>339</v>
      </c>
      <c r="D28" s="4" t="s">
        <v>588</v>
      </c>
      <c r="E28" s="207">
        <v>24872326</v>
      </c>
      <c r="F28" s="208" t="str">
        <f t="shared" si="0"/>
        <v>https://pubmed.ncbi.nlm.nih.gov/24872326</v>
      </c>
      <c r="G28" s="197" t="str">
        <f t="shared" si="1"/>
        <v>Bijker 2014a</v>
      </c>
      <c r="H28" s="195">
        <v>2012</v>
      </c>
      <c r="I28" s="195" t="s">
        <v>589</v>
      </c>
      <c r="J28" s="198" t="s">
        <v>590</v>
      </c>
      <c r="K28" s="199">
        <f>25+5</f>
        <v>30</v>
      </c>
      <c r="L28" s="4" t="s">
        <v>343</v>
      </c>
      <c r="M28" s="195" t="s">
        <v>324</v>
      </c>
      <c r="N28" s="195" t="s">
        <v>324</v>
      </c>
      <c r="O28" s="195">
        <v>21</v>
      </c>
      <c r="P28" s="195">
        <v>19</v>
      </c>
      <c r="Q28" s="195">
        <v>31</v>
      </c>
      <c r="R28" s="195">
        <v>18</v>
      </c>
      <c r="S28" s="195">
        <v>35</v>
      </c>
      <c r="T28" s="195" t="s">
        <v>324</v>
      </c>
      <c r="U28" s="195" t="s">
        <v>324</v>
      </c>
      <c r="V28" s="195" t="s">
        <v>591</v>
      </c>
      <c r="W28" s="199"/>
      <c r="X28" s="195">
        <v>25</v>
      </c>
      <c r="Y28" s="195" t="s">
        <v>592</v>
      </c>
      <c r="Z28" s="195">
        <v>21</v>
      </c>
      <c r="AA28" s="199"/>
      <c r="AB28" s="195">
        <v>5</v>
      </c>
      <c r="AC28" s="195"/>
      <c r="AD28" s="195">
        <v>0</v>
      </c>
      <c r="AE28" s="195" t="s">
        <v>593</v>
      </c>
      <c r="AF28" s="199"/>
      <c r="AG28" s="195" t="s">
        <v>324</v>
      </c>
      <c r="AH28" s="195" t="s">
        <v>527</v>
      </c>
      <c r="AI28" s="195" t="s">
        <v>324</v>
      </c>
      <c r="AJ28" s="195" t="s">
        <v>324</v>
      </c>
      <c r="AK28" s="195"/>
      <c r="AL28" s="195" t="s">
        <v>324</v>
      </c>
      <c r="AM28" s="199"/>
      <c r="AN28" s="195" t="s">
        <v>594</v>
      </c>
      <c r="AO28" s="195" t="s">
        <v>595</v>
      </c>
      <c r="AP28" s="195" t="s">
        <v>596</v>
      </c>
      <c r="AQ28" s="195" t="s">
        <v>597</v>
      </c>
      <c r="AR28" s="209" t="s">
        <v>517</v>
      </c>
      <c r="AS28" s="195" t="s">
        <v>316</v>
      </c>
      <c r="AT28" s="199"/>
      <c r="AU28" s="195" t="s">
        <v>598</v>
      </c>
      <c r="AV28" s="195" t="s">
        <v>318</v>
      </c>
      <c r="AW28" s="195" t="str">
        <f ca="1">IFERROR(__xludf.DUMMYFUNCTION("IF(AND(IF(AS28=""Yes"",True,False),NOT(IFERROR(REGEXMATCH(AV28,ExclusionCategories),FALSE))),""Yes"", ""No"")"),"No")</f>
        <v>No</v>
      </c>
      <c r="AX28" s="195">
        <f ca="1">IFERROR(__xludf.DUMMYFUNCTION("IF(IFERROR(SEARCH(""Unclear"", Z28)) = 1, VALUE(REGEXEXTRACT(Z28,""\d+"")), Z28)"),21)</f>
        <v>21</v>
      </c>
      <c r="AY28" s="195">
        <v>21</v>
      </c>
      <c r="AZ28" s="195" t="str">
        <f ca="1">IFERROR(__xludf.DUMMYFUNCTION("IF(IFERROR(SEARCH(""Unclear"", AG28)) = 1, VALUE(REGEXEXTRACT(AG28,""\d+"")), AG28)"),"ND")</f>
        <v>ND</v>
      </c>
      <c r="BA28" s="195" t="s">
        <v>324</v>
      </c>
      <c r="BB28" s="195" t="str">
        <f ca="1">IFERROR(__xludf.DUMMYFUNCTION("IF(IFERROR(SEARCH(""Unclear"", AJ28)) = 1, VALUE(REGEXEXTRACT(AJ28,""\d+"")), AJ28)"),"ND")</f>
        <v>ND</v>
      </c>
      <c r="BC28" s="195" t="s">
        <v>324</v>
      </c>
      <c r="BD28" s="195" t="b">
        <f t="shared" si="2"/>
        <v>0</v>
      </c>
      <c r="BE28" s="195" t="b">
        <f t="shared" ref="BE28:BF28" si="29">IF(IFERROR(FIND("ND",AI28),0),FALSE,TRUE)</f>
        <v>0</v>
      </c>
      <c r="BF28" s="195" t="b">
        <f t="shared" si="29"/>
        <v>0</v>
      </c>
    </row>
    <row r="29" spans="1:58" ht="34.5" customHeight="1">
      <c r="A29" s="203" t="s">
        <v>572</v>
      </c>
      <c r="B29" s="195">
        <v>2014</v>
      </c>
      <c r="C29" s="195" t="s">
        <v>339</v>
      </c>
      <c r="D29" s="4" t="s">
        <v>491</v>
      </c>
      <c r="E29" s="216">
        <v>24872326</v>
      </c>
      <c r="F29" s="208" t="str">
        <f t="shared" si="0"/>
        <v>https://pubmed.ncbi.nlm.nih.gov/24872326</v>
      </c>
      <c r="G29" s="197" t="str">
        <f t="shared" si="1"/>
        <v>Bijker 2014a</v>
      </c>
      <c r="H29" s="195">
        <v>2012</v>
      </c>
      <c r="I29" s="195" t="s">
        <v>589</v>
      </c>
      <c r="J29" s="198" t="s">
        <v>590</v>
      </c>
      <c r="K29" s="195">
        <v>29</v>
      </c>
      <c r="L29" s="4" t="s">
        <v>353</v>
      </c>
      <c r="M29" s="195" t="s">
        <v>324</v>
      </c>
      <c r="N29" s="195" t="s">
        <v>324</v>
      </c>
      <c r="O29" s="195">
        <v>21</v>
      </c>
      <c r="P29" s="195">
        <v>19</v>
      </c>
      <c r="Q29" s="195">
        <v>31</v>
      </c>
      <c r="R29" s="195">
        <v>18</v>
      </c>
      <c r="S29" s="195">
        <v>35</v>
      </c>
      <c r="T29" s="195" t="s">
        <v>324</v>
      </c>
      <c r="U29" s="195" t="s">
        <v>324</v>
      </c>
      <c r="V29" s="195" t="s">
        <v>591</v>
      </c>
      <c r="W29" s="199"/>
      <c r="X29" s="195">
        <v>29</v>
      </c>
      <c r="Y29" s="195" t="s">
        <v>599</v>
      </c>
      <c r="Z29" s="195">
        <v>12</v>
      </c>
      <c r="AA29" s="195" t="s">
        <v>600</v>
      </c>
      <c r="AB29" s="195">
        <v>0</v>
      </c>
      <c r="AC29" s="195" t="s">
        <v>549</v>
      </c>
      <c r="AD29" s="195" t="s">
        <v>322</v>
      </c>
      <c r="AE29" s="195" t="s">
        <v>601</v>
      </c>
      <c r="AF29" s="199"/>
      <c r="AG29" s="195" t="s">
        <v>602</v>
      </c>
      <c r="AH29" s="195" t="s">
        <v>308</v>
      </c>
      <c r="AI29" s="195">
        <v>0</v>
      </c>
      <c r="AJ29" s="195">
        <v>1</v>
      </c>
      <c r="AK29" s="195" t="s">
        <v>603</v>
      </c>
      <c r="AL29" s="195" t="s">
        <v>322</v>
      </c>
      <c r="AM29" s="199"/>
      <c r="AN29" s="195" t="s">
        <v>594</v>
      </c>
      <c r="AO29" s="195" t="s">
        <v>595</v>
      </c>
      <c r="AP29" s="195" t="s">
        <v>596</v>
      </c>
      <c r="AQ29" s="195" t="s">
        <v>597</v>
      </c>
      <c r="AR29" s="209" t="s">
        <v>517</v>
      </c>
      <c r="AS29" s="195" t="s">
        <v>308</v>
      </c>
      <c r="AT29" s="199"/>
      <c r="AU29" s="195" t="s">
        <v>598</v>
      </c>
      <c r="AV29" s="195" t="s">
        <v>9</v>
      </c>
      <c r="AW29" s="195" t="str">
        <f ca="1">IFERROR(__xludf.DUMMYFUNCTION("IF(AND(IF(AS29=""Yes"",True,False),NOT(IFERROR(REGEXMATCH(AV29,ExclusionCategories),FALSE))),""Yes"", ""No"")"),"Yes")</f>
        <v>Yes</v>
      </c>
      <c r="AX29" s="195">
        <f ca="1">IFERROR(__xludf.DUMMYFUNCTION("IF(IFERROR(SEARCH(""Unclear"", Z29)) = 1, VALUE(REGEXEXTRACT(Z29,""\d+"")), Z29)"),12)</f>
        <v>12</v>
      </c>
      <c r="AY29" s="195">
        <v>12</v>
      </c>
      <c r="AZ29" s="195">
        <f ca="1">IFERROR(__xludf.DUMMYFUNCTION("IF(IFERROR(SEARCH(""Unclear"", AG29)) = 1, VALUE(REGEXEXTRACT(AG29,""\d+"")), AG29)"),27)</f>
        <v>27</v>
      </c>
      <c r="BA29" s="195">
        <v>29</v>
      </c>
      <c r="BB29" s="195">
        <f ca="1">IFERROR(__xludf.DUMMYFUNCTION("IF(IFERROR(SEARCH(""Unclear"", AJ29)) = 1, VALUE(REGEXEXTRACT(AJ29,""\d+"")), AJ29)"),1)</f>
        <v>1</v>
      </c>
      <c r="BC29" s="195">
        <v>1</v>
      </c>
      <c r="BD29" s="195" t="b">
        <f t="shared" si="2"/>
        <v>1</v>
      </c>
      <c r="BE29" s="195" t="b">
        <f t="shared" ref="BE29:BF29" si="30">IF(IFERROR(FIND("ND",AI29),0),FALSE,TRUE)</f>
        <v>1</v>
      </c>
      <c r="BF29" s="195" t="b">
        <f t="shared" si="30"/>
        <v>1</v>
      </c>
    </row>
    <row r="30" spans="1:58" ht="34.5" customHeight="1">
      <c r="A30" s="203" t="s">
        <v>604</v>
      </c>
      <c r="B30" s="195">
        <v>2012</v>
      </c>
      <c r="C30" s="195" t="s">
        <v>605</v>
      </c>
      <c r="D30" s="4" t="s">
        <v>606</v>
      </c>
      <c r="E30" s="207">
        <v>23069701</v>
      </c>
      <c r="F30" s="208" t="str">
        <f t="shared" si="0"/>
        <v>https://pubmed.ncbi.nlm.nih.gov/23069701</v>
      </c>
      <c r="G30" s="197" t="str">
        <f t="shared" si="1"/>
        <v>Bodhidatta 2012</v>
      </c>
      <c r="H30" s="217">
        <v>2012</v>
      </c>
      <c r="I30" s="195"/>
      <c r="J30" s="195"/>
      <c r="K30" s="195">
        <v>36</v>
      </c>
      <c r="L30" s="4" t="s">
        <v>607</v>
      </c>
      <c r="M30" s="195">
        <v>23</v>
      </c>
      <c r="N30" s="195">
        <v>13</v>
      </c>
      <c r="O30" s="195" t="s">
        <v>324</v>
      </c>
      <c r="P30" s="195" t="s">
        <v>324</v>
      </c>
      <c r="Q30" s="195" t="s">
        <v>324</v>
      </c>
      <c r="R30" s="195">
        <v>20</v>
      </c>
      <c r="S30" s="195">
        <v>40</v>
      </c>
      <c r="T30" s="195" t="s">
        <v>608</v>
      </c>
      <c r="U30" s="195" t="s">
        <v>609</v>
      </c>
      <c r="V30" s="195" t="s">
        <v>610</v>
      </c>
      <c r="W30" s="199"/>
      <c r="X30" s="195">
        <v>36</v>
      </c>
      <c r="Y30" s="195"/>
      <c r="Z30" s="195">
        <v>21</v>
      </c>
      <c r="AA30" s="199"/>
      <c r="AB30" s="195">
        <v>0</v>
      </c>
      <c r="AC30" s="195" t="s">
        <v>525</v>
      </c>
      <c r="AD30" s="195" t="s">
        <v>322</v>
      </c>
      <c r="AE30" s="195" t="s">
        <v>611</v>
      </c>
      <c r="AF30" s="199"/>
      <c r="AG30" s="195" t="s">
        <v>612</v>
      </c>
      <c r="AH30" s="195" t="s">
        <v>511</v>
      </c>
      <c r="AI30" s="195">
        <v>2</v>
      </c>
      <c r="AJ30" s="195" t="s">
        <v>397</v>
      </c>
      <c r="AK30" s="195" t="s">
        <v>613</v>
      </c>
      <c r="AL30" s="195" t="s">
        <v>322</v>
      </c>
      <c r="AM30" s="199"/>
      <c r="AN30" s="195" t="s">
        <v>513</v>
      </c>
      <c r="AO30" s="195" t="s">
        <v>614</v>
      </c>
      <c r="AP30" s="195" t="s">
        <v>615</v>
      </c>
      <c r="AQ30" s="195" t="s">
        <v>616</v>
      </c>
      <c r="AR30" s="209" t="s">
        <v>517</v>
      </c>
      <c r="AS30" s="195" t="s">
        <v>308</v>
      </c>
      <c r="AT30" s="199"/>
      <c r="AU30" s="202" t="s">
        <v>617</v>
      </c>
      <c r="AV30" s="195" t="s">
        <v>9</v>
      </c>
      <c r="AW30" s="195" t="str">
        <f ca="1">IFERROR(__xludf.DUMMYFUNCTION("IF(AND(IF(AS30=""Yes"",True,False),NOT(IFERROR(REGEXMATCH(AV30,ExclusionCategories),FALSE))),""Yes"", ""No"")"),"Yes")</f>
        <v>Yes</v>
      </c>
      <c r="AX30" s="195">
        <f ca="1">IFERROR(__xludf.DUMMYFUNCTION("IF(IFERROR(SEARCH(""Unclear"", Z30)) = 1, VALUE(REGEXEXTRACT(Z30,""\d+"")), Z30)"),21)</f>
        <v>21</v>
      </c>
      <c r="AY30" s="195">
        <v>21</v>
      </c>
      <c r="AZ30" s="195">
        <f ca="1">IFERROR(__xludf.DUMMYFUNCTION("IF(IFERROR(SEARCH(""Unclear"", AG30)) = 1, VALUE(REGEXEXTRACT(AG30,""\d+"")), AG30)"),5)</f>
        <v>5</v>
      </c>
      <c r="BA30" s="195">
        <v>36</v>
      </c>
      <c r="BB30" s="195">
        <f ca="1">IFERROR(__xludf.DUMMYFUNCTION("IF(IFERROR(SEARCH(""Unclear"", AJ30)) = 1, VALUE(REGEXEXTRACT(AJ30,""\d+"")), AJ30)"),3)</f>
        <v>3</v>
      </c>
      <c r="BC30" s="195">
        <v>36</v>
      </c>
      <c r="BD30" s="195" t="b">
        <f t="shared" si="2"/>
        <v>1</v>
      </c>
      <c r="BE30" s="195" t="b">
        <f t="shared" ref="BE30:BF30" si="31">IF(IFERROR(FIND("ND",AI30),0),FALSE,TRUE)</f>
        <v>1</v>
      </c>
      <c r="BF30" s="195" t="b">
        <f t="shared" si="31"/>
        <v>1</v>
      </c>
    </row>
    <row r="31" spans="1:58" ht="34.5" customHeight="1">
      <c r="A31" s="212" t="s">
        <v>618</v>
      </c>
      <c r="B31" s="195">
        <v>2018</v>
      </c>
      <c r="C31" s="195" t="s">
        <v>619</v>
      </c>
      <c r="D31" s="4" t="s">
        <v>620</v>
      </c>
      <c r="E31" s="207">
        <v>29702652</v>
      </c>
      <c r="F31" s="208" t="str">
        <f t="shared" si="0"/>
        <v>https://pubmed.ncbi.nlm.nih.gov/29702652</v>
      </c>
      <c r="G31" s="197" t="str">
        <f t="shared" si="1"/>
        <v>Chakraborty 2018</v>
      </c>
      <c r="H31" s="195">
        <v>2013</v>
      </c>
      <c r="I31" s="195" t="s">
        <v>621</v>
      </c>
      <c r="J31" s="198" t="s">
        <v>622</v>
      </c>
      <c r="K31" s="195">
        <v>30</v>
      </c>
      <c r="L31" s="4" t="s">
        <v>623</v>
      </c>
      <c r="M31" s="195">
        <v>23</v>
      </c>
      <c r="N31" s="195">
        <v>7</v>
      </c>
      <c r="O31" s="195" t="s">
        <v>324</v>
      </c>
      <c r="P31" s="195">
        <v>23</v>
      </c>
      <c r="Q31" s="195">
        <v>45</v>
      </c>
      <c r="R31" s="195">
        <v>18</v>
      </c>
      <c r="S31" s="195">
        <v>45</v>
      </c>
      <c r="T31" s="195">
        <v>32.75</v>
      </c>
      <c r="U31" s="195" t="s">
        <v>324</v>
      </c>
      <c r="V31" s="195" t="s">
        <v>624</v>
      </c>
      <c r="W31" s="199"/>
      <c r="X31" s="195">
        <v>30</v>
      </c>
      <c r="Y31" s="199"/>
      <c r="Z31" s="195">
        <v>29</v>
      </c>
      <c r="AA31" s="195"/>
      <c r="AB31" s="195">
        <v>0</v>
      </c>
      <c r="AC31" s="195" t="s">
        <v>525</v>
      </c>
      <c r="AD31" s="195" t="s">
        <v>322</v>
      </c>
      <c r="AE31" s="195" t="s">
        <v>625</v>
      </c>
      <c r="AF31" s="199"/>
      <c r="AG31" s="195" t="s">
        <v>612</v>
      </c>
      <c r="AH31" s="195" t="s">
        <v>511</v>
      </c>
      <c r="AI31" s="195">
        <v>0</v>
      </c>
      <c r="AJ31" s="195">
        <v>0</v>
      </c>
      <c r="AK31" s="195" t="s">
        <v>626</v>
      </c>
      <c r="AL31" s="195" t="s">
        <v>322</v>
      </c>
      <c r="AM31" s="199"/>
      <c r="AN31" s="195" t="s">
        <v>627</v>
      </c>
      <c r="AO31" s="195" t="s">
        <v>628</v>
      </c>
      <c r="AP31" s="195" t="s">
        <v>629</v>
      </c>
      <c r="AQ31" s="195" t="s">
        <v>630</v>
      </c>
      <c r="AR31" s="209" t="s">
        <v>517</v>
      </c>
      <c r="AS31" s="195" t="s">
        <v>308</v>
      </c>
      <c r="AT31" s="199"/>
      <c r="AU31" s="202" t="s">
        <v>631</v>
      </c>
      <c r="AV31" s="195" t="s">
        <v>9</v>
      </c>
      <c r="AW31" s="195" t="str">
        <f ca="1">IFERROR(__xludf.DUMMYFUNCTION("IF(AND(IF(AS31=""Yes"",True,False),NOT(IFERROR(REGEXMATCH(AV31,ExclusionCategories),FALSE))),""Yes"", ""No"")"),"Yes")</f>
        <v>Yes</v>
      </c>
      <c r="AX31" s="195">
        <f ca="1">IFERROR(__xludf.DUMMYFUNCTION("IF(IFERROR(SEARCH(""Unclear"", Z31)) = 1, VALUE(REGEXEXTRACT(Z31,""\d+"")), Z31)"),29)</f>
        <v>29</v>
      </c>
      <c r="AY31" s="195">
        <v>29</v>
      </c>
      <c r="AZ31" s="195">
        <f ca="1">IFERROR(__xludf.DUMMYFUNCTION("IF(IFERROR(SEARCH(""Unclear"", AG31)) = 1, VALUE(REGEXEXTRACT(AG31,""\d+"")), AG31)"),5)</f>
        <v>5</v>
      </c>
      <c r="BA31" s="195">
        <v>30</v>
      </c>
      <c r="BB31" s="195">
        <f ca="1">IFERROR(__xludf.DUMMYFUNCTION("IF(IFERROR(SEARCH(""Unclear"", AJ31)) = 1, VALUE(REGEXEXTRACT(AJ31,""\d+"")), AJ31)"),0)</f>
        <v>0</v>
      </c>
      <c r="BC31" s="195">
        <v>0</v>
      </c>
      <c r="BD31" s="195" t="b">
        <f t="shared" si="2"/>
        <v>1</v>
      </c>
      <c r="BE31" s="195" t="b">
        <f t="shared" ref="BE31:BF31" si="32">IF(IFERROR(FIND("ND",AI31),0),FALSE,TRUE)</f>
        <v>1</v>
      </c>
      <c r="BF31" s="195" t="b">
        <f t="shared" si="32"/>
        <v>1</v>
      </c>
    </row>
    <row r="32" spans="1:58" ht="34.5" customHeight="1">
      <c r="A32" s="212" t="s">
        <v>632</v>
      </c>
      <c r="B32" s="195">
        <v>2018</v>
      </c>
      <c r="C32" s="195" t="s">
        <v>339</v>
      </c>
      <c r="D32" s="4" t="s">
        <v>633</v>
      </c>
      <c r="E32" s="207">
        <v>29389671</v>
      </c>
      <c r="F32" s="208" t="str">
        <f t="shared" si="0"/>
        <v>https://pubmed.ncbi.nlm.nih.gov/29389671</v>
      </c>
      <c r="G32" s="197" t="str">
        <f t="shared" si="1"/>
        <v>Collins 2018</v>
      </c>
      <c r="H32" s="195">
        <v>2016</v>
      </c>
      <c r="I32" s="195" t="s">
        <v>634</v>
      </c>
      <c r="J32" s="198" t="s">
        <v>635</v>
      </c>
      <c r="K32" s="195">
        <v>6</v>
      </c>
      <c r="L32" s="4" t="s">
        <v>636</v>
      </c>
      <c r="M32" s="195">
        <v>2</v>
      </c>
      <c r="N32" s="195">
        <v>4</v>
      </c>
      <c r="O32" s="195">
        <v>24</v>
      </c>
      <c r="P32" s="195" t="s">
        <v>637</v>
      </c>
      <c r="Q32" s="195" t="s">
        <v>638</v>
      </c>
      <c r="R32" s="195" t="s">
        <v>324</v>
      </c>
      <c r="S32" s="195" t="s">
        <v>324</v>
      </c>
      <c r="T32" s="195" t="s">
        <v>324</v>
      </c>
      <c r="U32" s="195" t="s">
        <v>324</v>
      </c>
      <c r="V32" s="195" t="s">
        <v>639</v>
      </c>
      <c r="W32" s="199"/>
      <c r="X32" s="195">
        <v>6</v>
      </c>
      <c r="Y32" s="195"/>
      <c r="Z32" s="195">
        <v>6</v>
      </c>
      <c r="AA32" s="195"/>
      <c r="AB32" s="195">
        <v>0</v>
      </c>
      <c r="AC32" s="195" t="s">
        <v>525</v>
      </c>
      <c r="AD32" s="195" t="s">
        <v>322</v>
      </c>
      <c r="AE32" s="195" t="s">
        <v>640</v>
      </c>
      <c r="AF32" s="195" t="s">
        <v>641</v>
      </c>
      <c r="AG32" s="195">
        <v>6</v>
      </c>
      <c r="AH32" s="195" t="s">
        <v>511</v>
      </c>
      <c r="AI32" s="195">
        <v>0</v>
      </c>
      <c r="AJ32" s="195" t="s">
        <v>642</v>
      </c>
      <c r="AK32" s="195"/>
      <c r="AL32" s="195" t="s">
        <v>322</v>
      </c>
      <c r="AM32" s="195"/>
      <c r="AN32" s="195" t="s">
        <v>643</v>
      </c>
      <c r="AO32" s="195" t="s">
        <v>644</v>
      </c>
      <c r="AP32" s="195" t="s">
        <v>645</v>
      </c>
      <c r="AQ32" s="195" t="s">
        <v>646</v>
      </c>
      <c r="AR32" s="209" t="s">
        <v>517</v>
      </c>
      <c r="AS32" s="195" t="s">
        <v>308</v>
      </c>
      <c r="AT32" s="199"/>
      <c r="AU32" s="202" t="s">
        <v>647</v>
      </c>
      <c r="AV32" s="195" t="s">
        <v>9</v>
      </c>
      <c r="AW32" s="195" t="str">
        <f ca="1">IFERROR(__xludf.DUMMYFUNCTION("IF(AND(IF(AS32=""Yes"",True,False),NOT(IFERROR(REGEXMATCH(AV32,ExclusionCategories),FALSE))),""Yes"", ""No"")"),"Yes")</f>
        <v>Yes</v>
      </c>
      <c r="AX32" s="195">
        <f ca="1">IFERROR(__xludf.DUMMYFUNCTION("IF(IFERROR(SEARCH(""Unclear"", Z32)) = 1, VALUE(REGEXEXTRACT(Z32,""\d+"")), Z32)"),6)</f>
        <v>6</v>
      </c>
      <c r="AY32" s="195">
        <v>6</v>
      </c>
      <c r="AZ32" s="195">
        <f ca="1">IFERROR(__xludf.DUMMYFUNCTION("IF(IFERROR(SEARCH(""Unclear"", AG32)) = 1, VALUE(REGEXEXTRACT(AG32,""\d+"")), AG32)"),6)</f>
        <v>6</v>
      </c>
      <c r="BA32" s="195">
        <v>6</v>
      </c>
      <c r="BB32" s="217">
        <v>1</v>
      </c>
      <c r="BC32" s="217">
        <v>2</v>
      </c>
      <c r="BD32" s="195" t="b">
        <f t="shared" si="2"/>
        <v>1</v>
      </c>
      <c r="BE32" s="195" t="b">
        <f t="shared" ref="BE32:BF32" si="33">IF(IFERROR(FIND("ND",AI32),0),FALSE,TRUE)</f>
        <v>1</v>
      </c>
      <c r="BF32" s="195" t="b">
        <f t="shared" si="33"/>
        <v>1</v>
      </c>
    </row>
    <row r="33" spans="1:58" ht="34.5" customHeight="1">
      <c r="A33" s="212" t="s">
        <v>632</v>
      </c>
      <c r="B33" s="195">
        <v>2018</v>
      </c>
      <c r="C33" s="195" t="s">
        <v>339</v>
      </c>
      <c r="D33" s="4" t="s">
        <v>633</v>
      </c>
      <c r="E33" s="207">
        <v>29389671</v>
      </c>
      <c r="F33" s="208" t="str">
        <f t="shared" si="0"/>
        <v>https://pubmed.ncbi.nlm.nih.gov/29389671</v>
      </c>
      <c r="G33" s="197" t="str">
        <f t="shared" si="1"/>
        <v>Collins 2018</v>
      </c>
      <c r="H33" s="195">
        <v>2016</v>
      </c>
      <c r="I33" s="195" t="s">
        <v>648</v>
      </c>
      <c r="J33" s="198" t="s">
        <v>649</v>
      </c>
      <c r="K33" s="195">
        <v>11</v>
      </c>
      <c r="L33" s="4" t="s">
        <v>650</v>
      </c>
      <c r="M33" s="195">
        <v>11</v>
      </c>
      <c r="N33" s="195">
        <v>0</v>
      </c>
      <c r="O33" s="195" t="s">
        <v>651</v>
      </c>
      <c r="P33" s="195" t="s">
        <v>324</v>
      </c>
      <c r="Q33" s="195" t="s">
        <v>324</v>
      </c>
      <c r="R33" s="195" t="s">
        <v>324</v>
      </c>
      <c r="S33" s="195" t="s">
        <v>324</v>
      </c>
      <c r="T33" s="195" t="s">
        <v>324</v>
      </c>
      <c r="U33" s="195" t="s">
        <v>324</v>
      </c>
      <c r="V33" s="195" t="s">
        <v>639</v>
      </c>
      <c r="W33" s="199"/>
      <c r="X33" s="195">
        <v>11</v>
      </c>
      <c r="Y33" s="195"/>
      <c r="Z33" s="195">
        <v>11</v>
      </c>
      <c r="AA33" s="195"/>
      <c r="AB33" s="195">
        <v>0</v>
      </c>
      <c r="AC33" s="195" t="s">
        <v>525</v>
      </c>
      <c r="AD33" s="195" t="s">
        <v>322</v>
      </c>
      <c r="AE33" s="195" t="s">
        <v>640</v>
      </c>
      <c r="AF33" s="195" t="s">
        <v>641</v>
      </c>
      <c r="AG33" s="195">
        <v>11</v>
      </c>
      <c r="AH33" s="195" t="s">
        <v>511</v>
      </c>
      <c r="AI33" s="195">
        <v>0</v>
      </c>
      <c r="AJ33" s="195">
        <v>1</v>
      </c>
      <c r="AK33" s="195"/>
      <c r="AL33" s="195" t="s">
        <v>322</v>
      </c>
      <c r="AM33" s="195"/>
      <c r="AN33" s="195" t="s">
        <v>652</v>
      </c>
      <c r="AO33" s="195" t="s">
        <v>644</v>
      </c>
      <c r="AP33" s="195" t="s">
        <v>645</v>
      </c>
      <c r="AQ33" s="195" t="s">
        <v>646</v>
      </c>
      <c r="AR33" s="209" t="s">
        <v>517</v>
      </c>
      <c r="AS33" s="195" t="s">
        <v>308</v>
      </c>
      <c r="AT33" s="199"/>
      <c r="AU33" s="202" t="s">
        <v>647</v>
      </c>
      <c r="AV33" s="195" t="s">
        <v>9</v>
      </c>
      <c r="AW33" s="195" t="str">
        <f ca="1">IFERROR(__xludf.DUMMYFUNCTION("IF(AND(IF(AS33=""Yes"",True,False),NOT(IFERROR(REGEXMATCH(AV33,ExclusionCategories),FALSE))),""Yes"", ""No"")"),"Yes")</f>
        <v>Yes</v>
      </c>
      <c r="AX33" s="195">
        <f ca="1">IFERROR(__xludf.DUMMYFUNCTION("IF(IFERROR(SEARCH(""Unclear"", Z33)) = 1, VALUE(REGEXEXTRACT(Z33,""\d+"")), Z33)"),11)</f>
        <v>11</v>
      </c>
      <c r="AY33" s="195">
        <v>11</v>
      </c>
      <c r="AZ33" s="195">
        <f ca="1">IFERROR(__xludf.DUMMYFUNCTION("IF(IFERROR(SEARCH(""Unclear"", AG33)) = 1, VALUE(REGEXEXTRACT(AG33,""\d+"")), AG33)"),11)</f>
        <v>11</v>
      </c>
      <c r="BA33" s="195">
        <v>11</v>
      </c>
      <c r="BB33" s="195">
        <f ca="1">IFERROR(__xludf.DUMMYFUNCTION("IF(IFERROR(SEARCH(""Unclear"", AJ33)) = 1, VALUE(REGEXEXTRACT(AJ33,""\d+"")), AJ33)"),1)</f>
        <v>1</v>
      </c>
      <c r="BC33" s="195">
        <v>1</v>
      </c>
      <c r="BD33" s="195" t="b">
        <f t="shared" si="2"/>
        <v>1</v>
      </c>
      <c r="BE33" s="195" t="b">
        <f t="shared" ref="BE33:BF33" si="34">IF(IFERROR(FIND("ND",AI33),0),FALSE,TRUE)</f>
        <v>1</v>
      </c>
      <c r="BF33" s="195" t="b">
        <f t="shared" si="34"/>
        <v>1</v>
      </c>
    </row>
    <row r="34" spans="1:58" ht="34.5" customHeight="1">
      <c r="A34" s="212" t="s">
        <v>653</v>
      </c>
      <c r="B34" s="195">
        <v>2012</v>
      </c>
      <c r="C34" s="195" t="s">
        <v>619</v>
      </c>
      <c r="D34" s="4" t="s">
        <v>654</v>
      </c>
      <c r="E34" s="207">
        <v>23035175</v>
      </c>
      <c r="F34" s="208" t="str">
        <f t="shared" si="0"/>
        <v>https://pubmed.ncbi.nlm.nih.gov/23035175</v>
      </c>
      <c r="G34" s="197" t="str">
        <f t="shared" si="1"/>
        <v>Darsley 2012</v>
      </c>
      <c r="H34" s="217">
        <v>2012</v>
      </c>
      <c r="I34" s="195"/>
      <c r="J34" s="195"/>
      <c r="K34" s="195">
        <v>70</v>
      </c>
      <c r="L34" s="4" t="s">
        <v>301</v>
      </c>
      <c r="M34" s="195">
        <v>54</v>
      </c>
      <c r="N34" s="195">
        <v>16</v>
      </c>
      <c r="O34" s="195" t="s">
        <v>324</v>
      </c>
      <c r="P34" s="195" t="s">
        <v>324</v>
      </c>
      <c r="Q34" s="195" t="s">
        <v>324</v>
      </c>
      <c r="R34" s="195">
        <v>18</v>
      </c>
      <c r="S34" s="195">
        <v>50</v>
      </c>
      <c r="T34" s="195">
        <v>35.6</v>
      </c>
      <c r="U34" s="195">
        <v>8.9</v>
      </c>
      <c r="V34" s="195" t="s">
        <v>655</v>
      </c>
      <c r="W34" s="199"/>
      <c r="X34" s="195">
        <v>36</v>
      </c>
      <c r="Y34" s="199"/>
      <c r="Z34" s="195" t="s">
        <v>394</v>
      </c>
      <c r="AA34" s="195" t="s">
        <v>324</v>
      </c>
      <c r="AB34" s="195">
        <v>34</v>
      </c>
      <c r="AC34" s="199"/>
      <c r="AD34" s="195" t="s">
        <v>324</v>
      </c>
      <c r="AE34" s="195" t="s">
        <v>656</v>
      </c>
      <c r="AF34" s="199"/>
      <c r="AG34" s="195">
        <v>17</v>
      </c>
      <c r="AH34" s="195" t="s">
        <v>316</v>
      </c>
      <c r="AI34" s="195">
        <v>0</v>
      </c>
      <c r="AJ34" s="195" t="s">
        <v>324</v>
      </c>
      <c r="AK34" s="195" t="s">
        <v>657</v>
      </c>
      <c r="AL34" s="195">
        <v>16</v>
      </c>
      <c r="AM34" s="195"/>
      <c r="AN34" s="195" t="s">
        <v>658</v>
      </c>
      <c r="AO34" s="195" t="s">
        <v>659</v>
      </c>
      <c r="AP34" s="195" t="s">
        <v>660</v>
      </c>
      <c r="AQ34" s="195" t="s">
        <v>661</v>
      </c>
      <c r="AR34" s="209" t="s">
        <v>517</v>
      </c>
      <c r="AS34" s="195" t="s">
        <v>316</v>
      </c>
      <c r="AT34" s="199"/>
      <c r="AU34" s="202" t="s">
        <v>662</v>
      </c>
      <c r="AV34" s="195" t="s">
        <v>318</v>
      </c>
      <c r="AW34" s="195" t="str">
        <f ca="1">IFERROR(__xludf.DUMMYFUNCTION("IF(AND(IF(AS34=""Yes"",True,False),NOT(IFERROR(REGEXMATCH(AV34,ExclusionCategories),FALSE))),""Yes"", ""No"")"),"No")</f>
        <v>No</v>
      </c>
      <c r="AX34" s="195">
        <f ca="1">IFERROR(__xludf.DUMMYFUNCTION("IF(IFERROR(SEARCH(""Unclear"", Z34)) = 1, VALUE(REGEXEXTRACT(Z34,""\d+"")), Z34)"),0)</f>
        <v>0</v>
      </c>
      <c r="AY34" s="195">
        <v>36</v>
      </c>
      <c r="AZ34" s="195">
        <f ca="1">IFERROR(__xludf.DUMMYFUNCTION("IF(IFERROR(SEARCH(""Unclear"", AG34)) = 1, VALUE(REGEXEXTRACT(AG34,""\d+"")), AG34)"),17)</f>
        <v>17</v>
      </c>
      <c r="BA34" s="195">
        <v>17</v>
      </c>
      <c r="BB34" s="195" t="str">
        <f ca="1">IFERROR(__xludf.DUMMYFUNCTION("IF(IFERROR(SEARCH(""Unclear"", AJ34)) = 1, VALUE(REGEXEXTRACT(AJ34,""\d+"")), AJ34)"),"ND")</f>
        <v>ND</v>
      </c>
      <c r="BC34" s="195" t="s">
        <v>324</v>
      </c>
      <c r="BD34" s="195" t="b">
        <f t="shared" si="2"/>
        <v>1</v>
      </c>
      <c r="BE34" s="195" t="b">
        <f t="shared" ref="BE34:BF34" si="35">IF(IFERROR(FIND("ND",AI34),0),FALSE,TRUE)</f>
        <v>1</v>
      </c>
      <c r="BF34" s="195" t="b">
        <f t="shared" si="35"/>
        <v>0</v>
      </c>
    </row>
    <row r="35" spans="1:58" ht="34.5" customHeight="1">
      <c r="A35" s="212" t="s">
        <v>653</v>
      </c>
      <c r="B35" s="195">
        <v>2012</v>
      </c>
      <c r="C35" s="195" t="s">
        <v>619</v>
      </c>
      <c r="D35" s="4" t="s">
        <v>620</v>
      </c>
      <c r="E35" s="207">
        <v>23035175</v>
      </c>
      <c r="F35" s="208" t="str">
        <f t="shared" si="0"/>
        <v>https://pubmed.ncbi.nlm.nih.gov/23035175</v>
      </c>
      <c r="G35" s="197" t="str">
        <f t="shared" si="1"/>
        <v>Darsley 2012</v>
      </c>
      <c r="H35" s="217">
        <v>2012</v>
      </c>
      <c r="I35" s="195"/>
      <c r="J35" s="195"/>
      <c r="K35" s="195">
        <v>56</v>
      </c>
      <c r="L35" s="4" t="s">
        <v>353</v>
      </c>
      <c r="M35" s="195" t="s">
        <v>324</v>
      </c>
      <c r="N35" s="195" t="s">
        <v>324</v>
      </c>
      <c r="O35" s="195" t="s">
        <v>324</v>
      </c>
      <c r="P35" s="195" t="s">
        <v>324</v>
      </c>
      <c r="Q35" s="195" t="s">
        <v>324</v>
      </c>
      <c r="R35" s="195">
        <v>18</v>
      </c>
      <c r="S35" s="195">
        <v>50</v>
      </c>
      <c r="T35" s="195" t="s">
        <v>324</v>
      </c>
      <c r="U35" s="195" t="s">
        <v>324</v>
      </c>
      <c r="V35" s="195" t="s">
        <v>655</v>
      </c>
      <c r="W35" s="199"/>
      <c r="X35" s="195">
        <v>56</v>
      </c>
      <c r="Y35" s="195" t="s">
        <v>663</v>
      </c>
      <c r="Z35" s="195">
        <v>34</v>
      </c>
      <c r="AA35" s="195" t="s">
        <v>664</v>
      </c>
      <c r="AB35" s="195">
        <v>0</v>
      </c>
      <c r="AC35" s="195" t="s">
        <v>525</v>
      </c>
      <c r="AD35" s="195" t="s">
        <v>322</v>
      </c>
      <c r="AE35" s="195" t="s">
        <v>656</v>
      </c>
      <c r="AF35" s="199"/>
      <c r="AG35" s="195" t="s">
        <v>394</v>
      </c>
      <c r="AH35" s="195" t="s">
        <v>316</v>
      </c>
      <c r="AI35" s="195">
        <v>0</v>
      </c>
      <c r="AJ35" s="195" t="s">
        <v>324</v>
      </c>
      <c r="AK35" s="195" t="s">
        <v>665</v>
      </c>
      <c r="AL35" s="195" t="s">
        <v>322</v>
      </c>
      <c r="AM35" s="195" t="s">
        <v>666</v>
      </c>
      <c r="AN35" s="195" t="s">
        <v>658</v>
      </c>
      <c r="AO35" s="195" t="s">
        <v>659</v>
      </c>
      <c r="AP35" s="195" t="s">
        <v>660</v>
      </c>
      <c r="AQ35" s="195" t="s">
        <v>661</v>
      </c>
      <c r="AR35" s="209" t="s">
        <v>517</v>
      </c>
      <c r="AS35" s="195" t="s">
        <v>308</v>
      </c>
      <c r="AT35" s="199"/>
      <c r="AU35" s="202" t="s">
        <v>662</v>
      </c>
      <c r="AV35" s="195" t="s">
        <v>9</v>
      </c>
      <c r="AW35" s="195" t="str">
        <f ca="1">IFERROR(__xludf.DUMMYFUNCTION("IF(AND(IF(AS35=""Yes"",True,False),NOT(IFERROR(REGEXMATCH(AV35,ExclusionCategories),FALSE))),""Yes"", ""No"")"),"Yes")</f>
        <v>Yes</v>
      </c>
      <c r="AX35" s="195">
        <f ca="1">IFERROR(__xludf.DUMMYFUNCTION("IF(IFERROR(SEARCH(""Unclear"", Z35)) = 1, VALUE(REGEXEXTRACT(Z35,""\d+"")), Z35)"),34)</f>
        <v>34</v>
      </c>
      <c r="AY35" s="195">
        <v>34</v>
      </c>
      <c r="AZ35" s="195">
        <f ca="1">IFERROR(__xludf.DUMMYFUNCTION("IF(IFERROR(SEARCH(""Unclear"", AG35)) = 1, VALUE(REGEXEXTRACT(AG35,""\d+"")), AG35)"),0)</f>
        <v>0</v>
      </c>
      <c r="BA35" s="195">
        <v>56</v>
      </c>
      <c r="BB35" s="195" t="str">
        <f ca="1">IFERROR(__xludf.DUMMYFUNCTION("IF(IFERROR(SEARCH(""Unclear"", AJ35)) = 1, VALUE(REGEXEXTRACT(AJ35,""\d+"")), AJ35)"),"ND")</f>
        <v>ND</v>
      </c>
      <c r="BC35" s="195" t="s">
        <v>324</v>
      </c>
      <c r="BD35" s="195" t="b">
        <f t="shared" si="2"/>
        <v>1</v>
      </c>
      <c r="BE35" s="195" t="b">
        <f t="shared" ref="BE35:BF35" si="36">IF(IFERROR(FIND("ND",AI35),0),FALSE,TRUE)</f>
        <v>1</v>
      </c>
      <c r="BF35" s="195" t="b">
        <f t="shared" si="36"/>
        <v>0</v>
      </c>
    </row>
    <row r="36" spans="1:58" ht="34.5" customHeight="1">
      <c r="A36" s="212" t="s">
        <v>667</v>
      </c>
      <c r="B36" s="195">
        <v>2016</v>
      </c>
      <c r="C36" s="195" t="s">
        <v>668</v>
      </c>
      <c r="D36" s="4" t="s">
        <v>669</v>
      </c>
      <c r="E36" s="207">
        <v>27533046</v>
      </c>
      <c r="F36" s="208" t="str">
        <f t="shared" si="0"/>
        <v>https://pubmed.ncbi.nlm.nih.gov/27533046</v>
      </c>
      <c r="G36" s="197" t="str">
        <f t="shared" si="1"/>
        <v>Darton 2016</v>
      </c>
      <c r="H36" s="195">
        <v>2015</v>
      </c>
      <c r="I36" s="195" t="s">
        <v>670</v>
      </c>
      <c r="J36" s="198" t="s">
        <v>671</v>
      </c>
      <c r="K36" s="195">
        <v>99</v>
      </c>
      <c r="L36" s="4" t="s">
        <v>301</v>
      </c>
      <c r="M36" s="199">
        <f>22+19+23</f>
        <v>64</v>
      </c>
      <c r="N36" s="199">
        <f>K36-M36</f>
        <v>35</v>
      </c>
      <c r="O36" s="195" t="s">
        <v>672</v>
      </c>
      <c r="P36" s="195" t="s">
        <v>324</v>
      </c>
      <c r="Q36" s="195" t="s">
        <v>324</v>
      </c>
      <c r="R36" s="195">
        <v>18</v>
      </c>
      <c r="S36" s="195">
        <v>60</v>
      </c>
      <c r="T36" s="195" t="s">
        <v>324</v>
      </c>
      <c r="U36" s="195" t="s">
        <v>324</v>
      </c>
      <c r="V36" s="195" t="s">
        <v>673</v>
      </c>
      <c r="W36" s="199"/>
      <c r="X36" s="195">
        <v>63</v>
      </c>
      <c r="Y36" s="195" t="s">
        <v>674</v>
      </c>
      <c r="Z36" s="195" t="s">
        <v>394</v>
      </c>
      <c r="AA36" s="195" t="s">
        <v>324</v>
      </c>
      <c r="AB36" s="195">
        <v>31</v>
      </c>
      <c r="AC36" s="195"/>
      <c r="AD36" s="195" t="s">
        <v>324</v>
      </c>
      <c r="AE36" s="195" t="s">
        <v>675</v>
      </c>
      <c r="AF36" s="195" t="s">
        <v>676</v>
      </c>
      <c r="AG36" s="195" t="s">
        <v>394</v>
      </c>
      <c r="AH36" s="195" t="s">
        <v>316</v>
      </c>
      <c r="AI36" s="195">
        <v>0</v>
      </c>
      <c r="AJ36" s="195" t="s">
        <v>324</v>
      </c>
      <c r="AK36" s="195" t="s">
        <v>677</v>
      </c>
      <c r="AL36" s="195" t="s">
        <v>309</v>
      </c>
      <c r="AM36" s="199"/>
      <c r="AN36" s="195" t="s">
        <v>678</v>
      </c>
      <c r="AO36" s="195" t="s">
        <v>679</v>
      </c>
      <c r="AP36" s="195" t="s">
        <v>680</v>
      </c>
      <c r="AQ36" s="195" t="s">
        <v>681</v>
      </c>
      <c r="AR36" s="209" t="s">
        <v>517</v>
      </c>
      <c r="AS36" s="195" t="s">
        <v>316</v>
      </c>
      <c r="AT36" s="199"/>
      <c r="AU36" s="202" t="s">
        <v>682</v>
      </c>
      <c r="AV36" s="195" t="s">
        <v>318</v>
      </c>
      <c r="AW36" s="195" t="str">
        <f ca="1">IFERROR(__xludf.DUMMYFUNCTION("IF(AND(IF(AS36=""Yes"",True,False),NOT(IFERROR(REGEXMATCH(AV36,ExclusionCategories),FALSE))),""Yes"", ""No"")"),"No")</f>
        <v>No</v>
      </c>
      <c r="AX36" s="195">
        <f ca="1">IFERROR(__xludf.DUMMYFUNCTION("IF(IFERROR(SEARCH(""Unclear"", Z36)) = 1, VALUE(REGEXEXTRACT(Z36,""\d+"")), Z36)"),0)</f>
        <v>0</v>
      </c>
      <c r="AY36" s="195">
        <v>63</v>
      </c>
      <c r="AZ36" s="195">
        <f ca="1">IFERROR(__xludf.DUMMYFUNCTION("IF(IFERROR(SEARCH(""Unclear"", AG36)) = 1, VALUE(REGEXEXTRACT(AG36,""\d+"")), AG36)"),0)</f>
        <v>0</v>
      </c>
      <c r="BA36" s="195">
        <v>63</v>
      </c>
      <c r="BB36" s="195" t="str">
        <f ca="1">IFERROR(__xludf.DUMMYFUNCTION("IF(IFERROR(SEARCH(""Unclear"", AJ36)) = 1, VALUE(REGEXEXTRACT(AJ36,""\d+"")), AJ36)"),"ND")</f>
        <v>ND</v>
      </c>
      <c r="BC36" s="195" t="s">
        <v>324</v>
      </c>
      <c r="BD36" s="195" t="b">
        <f t="shared" si="2"/>
        <v>1</v>
      </c>
      <c r="BE36" s="195" t="b">
        <f t="shared" ref="BE36:BF36" si="37">IF(IFERROR(FIND("ND",AI36),0),FALSE,TRUE)</f>
        <v>1</v>
      </c>
      <c r="BF36" s="195" t="b">
        <f t="shared" si="37"/>
        <v>0</v>
      </c>
    </row>
    <row r="37" spans="1:58" ht="34.5" customHeight="1">
      <c r="A37" s="212" t="s">
        <v>667</v>
      </c>
      <c r="B37" s="195">
        <v>2016</v>
      </c>
      <c r="C37" s="195" t="s">
        <v>668</v>
      </c>
      <c r="D37" s="4" t="s">
        <v>683</v>
      </c>
      <c r="E37" s="207">
        <v>27533046</v>
      </c>
      <c r="F37" s="208" t="str">
        <f t="shared" si="0"/>
        <v>https://pubmed.ncbi.nlm.nih.gov/27533046</v>
      </c>
      <c r="G37" s="197" t="str">
        <f t="shared" si="1"/>
        <v>Darton 2016</v>
      </c>
      <c r="H37" s="195">
        <v>2015</v>
      </c>
      <c r="I37" s="195" t="s">
        <v>670</v>
      </c>
      <c r="J37" s="198" t="s">
        <v>671</v>
      </c>
      <c r="K37" s="195">
        <v>92</v>
      </c>
      <c r="L37" s="4" t="s">
        <v>353</v>
      </c>
      <c r="M37" s="195" t="s">
        <v>324</v>
      </c>
      <c r="N37" s="195" t="s">
        <v>324</v>
      </c>
      <c r="O37" s="195" t="s">
        <v>324</v>
      </c>
      <c r="P37" s="195" t="s">
        <v>324</v>
      </c>
      <c r="Q37" s="195" t="s">
        <v>324</v>
      </c>
      <c r="R37" s="195">
        <v>18</v>
      </c>
      <c r="S37" s="195">
        <v>60</v>
      </c>
      <c r="T37" s="195" t="s">
        <v>324</v>
      </c>
      <c r="U37" s="195" t="s">
        <v>324</v>
      </c>
      <c r="V37" s="195" t="s">
        <v>673</v>
      </c>
      <c r="W37" s="199"/>
      <c r="X37" s="195">
        <v>92</v>
      </c>
      <c r="Y37" s="195" t="s">
        <v>684</v>
      </c>
      <c r="Z37" s="199">
        <f>18+20+13</f>
        <v>51</v>
      </c>
      <c r="AA37" s="195" t="s">
        <v>685</v>
      </c>
      <c r="AB37" s="195">
        <v>0</v>
      </c>
      <c r="AC37" s="195" t="s">
        <v>525</v>
      </c>
      <c r="AD37" s="195" t="s">
        <v>322</v>
      </c>
      <c r="AE37" s="195" t="s">
        <v>675</v>
      </c>
      <c r="AF37" s="195" t="s">
        <v>676</v>
      </c>
      <c r="AG37" s="195" t="s">
        <v>394</v>
      </c>
      <c r="AH37" s="195" t="s">
        <v>316</v>
      </c>
      <c r="AI37" s="195" t="s">
        <v>324</v>
      </c>
      <c r="AJ37" s="195" t="s">
        <v>324</v>
      </c>
      <c r="AK37" s="195" t="s">
        <v>677</v>
      </c>
      <c r="AL37" s="195" t="s">
        <v>322</v>
      </c>
      <c r="AM37" s="199"/>
      <c r="AN37" s="195" t="s">
        <v>678</v>
      </c>
      <c r="AO37" s="195" t="s">
        <v>679</v>
      </c>
      <c r="AP37" s="195" t="s">
        <v>680</v>
      </c>
      <c r="AQ37" s="195" t="s">
        <v>681</v>
      </c>
      <c r="AR37" s="209" t="s">
        <v>517</v>
      </c>
      <c r="AS37" s="195" t="s">
        <v>308</v>
      </c>
      <c r="AT37" s="199"/>
      <c r="AU37" s="202" t="s">
        <v>682</v>
      </c>
      <c r="AV37" s="195" t="s">
        <v>9</v>
      </c>
      <c r="AW37" s="195" t="str">
        <f ca="1">IFERROR(__xludf.DUMMYFUNCTION("IF(AND(IF(AS37=""Yes"",True,False),NOT(IFERROR(REGEXMATCH(AV37,ExclusionCategories),FALSE))),""Yes"", ""No"")"),"Yes")</f>
        <v>Yes</v>
      </c>
      <c r="AX37" s="195">
        <f ca="1">IFERROR(__xludf.DUMMYFUNCTION("IF(IFERROR(SEARCH(""Unclear"", Z37)) = 1, VALUE(REGEXEXTRACT(Z37,""\d+"")), Z37)"),51)</f>
        <v>51</v>
      </c>
      <c r="AY37" s="195">
        <v>51</v>
      </c>
      <c r="AZ37" s="195">
        <f ca="1">IFERROR(__xludf.DUMMYFUNCTION("IF(IFERROR(SEARCH(""Unclear"", AG37)) = 1, VALUE(REGEXEXTRACT(AG37,""\d+"")), AG37)"),0)</f>
        <v>0</v>
      </c>
      <c r="BA37" s="195">
        <v>92</v>
      </c>
      <c r="BB37" s="195" t="str">
        <f ca="1">IFERROR(__xludf.DUMMYFUNCTION("IF(IFERROR(SEARCH(""Unclear"", AJ37)) = 1, VALUE(REGEXEXTRACT(AJ37,""\d+"")), AJ37)"),"ND")</f>
        <v>ND</v>
      </c>
      <c r="BC37" s="195" t="s">
        <v>324</v>
      </c>
      <c r="BD37" s="195" t="b">
        <f t="shared" si="2"/>
        <v>1</v>
      </c>
      <c r="BE37" s="195" t="b">
        <f t="shared" ref="BE37:BF37" si="38">IF(IFERROR(FIND("ND",AI37),0),FALSE,TRUE)</f>
        <v>0</v>
      </c>
      <c r="BF37" s="195" t="b">
        <f t="shared" si="38"/>
        <v>0</v>
      </c>
    </row>
    <row r="38" spans="1:58" ht="34.5" customHeight="1">
      <c r="A38" s="212" t="s">
        <v>686</v>
      </c>
      <c r="B38" s="195">
        <v>2020</v>
      </c>
      <c r="C38" s="195" t="s">
        <v>687</v>
      </c>
      <c r="D38" s="4" t="s">
        <v>688</v>
      </c>
      <c r="E38" s="207">
        <v>31562530</v>
      </c>
      <c r="F38" s="208" t="str">
        <f t="shared" si="0"/>
        <v>https://pubmed.ncbi.nlm.nih.gov/31562530</v>
      </c>
      <c r="G38" s="197" t="str">
        <f t="shared" si="1"/>
        <v>de Graaf 2020</v>
      </c>
      <c r="H38" s="195">
        <v>2018</v>
      </c>
      <c r="I38" s="195" t="s">
        <v>689</v>
      </c>
      <c r="J38" s="198" t="s">
        <v>690</v>
      </c>
      <c r="K38" s="195">
        <v>34</v>
      </c>
      <c r="L38" s="4" t="s">
        <v>691</v>
      </c>
      <c r="M38" s="195">
        <v>20</v>
      </c>
      <c r="N38" s="199">
        <f t="shared" ref="N38:N39" si="39">K38-M38</f>
        <v>14</v>
      </c>
      <c r="O38" s="195">
        <v>26</v>
      </c>
      <c r="P38" s="195" t="s">
        <v>692</v>
      </c>
      <c r="Q38" s="195" t="s">
        <v>693</v>
      </c>
      <c r="R38" s="195">
        <v>18</v>
      </c>
      <c r="S38" s="195">
        <v>45</v>
      </c>
      <c r="T38" s="195" t="s">
        <v>324</v>
      </c>
      <c r="U38" s="195" t="s">
        <v>324</v>
      </c>
      <c r="V38" s="195" t="s">
        <v>694</v>
      </c>
      <c r="W38" s="199"/>
      <c r="X38" s="195">
        <v>34</v>
      </c>
      <c r="Y38" s="199"/>
      <c r="Z38" s="195">
        <v>19</v>
      </c>
      <c r="AA38" s="199"/>
      <c r="AB38" s="195">
        <v>0</v>
      </c>
      <c r="AC38" s="195" t="s">
        <v>525</v>
      </c>
      <c r="AD38" s="195" t="s">
        <v>695</v>
      </c>
      <c r="AE38" s="195" t="s">
        <v>696</v>
      </c>
      <c r="AF38" s="199"/>
      <c r="AG38" s="195">
        <v>11</v>
      </c>
      <c r="AH38" s="195" t="s">
        <v>308</v>
      </c>
      <c r="AI38" s="195">
        <v>0</v>
      </c>
      <c r="AJ38" s="195" t="s">
        <v>324</v>
      </c>
      <c r="AK38" s="195" t="s">
        <v>697</v>
      </c>
      <c r="AL38" s="195" t="s">
        <v>695</v>
      </c>
      <c r="AM38" s="195" t="s">
        <v>698</v>
      </c>
      <c r="AN38" s="195" t="s">
        <v>699</v>
      </c>
      <c r="AO38" s="195" t="s">
        <v>700</v>
      </c>
      <c r="AP38" s="195" t="s">
        <v>701</v>
      </c>
      <c r="AQ38" s="195" t="s">
        <v>702</v>
      </c>
      <c r="AR38" s="209" t="s">
        <v>517</v>
      </c>
      <c r="AS38" s="195" t="s">
        <v>308</v>
      </c>
      <c r="AT38" s="199"/>
      <c r="AU38" s="202" t="s">
        <v>703</v>
      </c>
      <c r="AV38" s="195" t="s">
        <v>9</v>
      </c>
      <c r="AW38" s="195" t="str">
        <f ca="1">IFERROR(__xludf.DUMMYFUNCTION("IF(AND(IF(AS38=""Yes"",True,False),NOT(IFERROR(REGEXMATCH(AV38,ExclusionCategories),FALSE))),""Yes"", ""No"")"),"Yes")</f>
        <v>Yes</v>
      </c>
      <c r="AX38" s="195">
        <f ca="1">IFERROR(__xludf.DUMMYFUNCTION("IF(IFERROR(SEARCH(""Unclear"", Z38)) = 1, VALUE(REGEXEXTRACT(Z38,""\d+"")), Z38)"),19)</f>
        <v>19</v>
      </c>
      <c r="AY38" s="195">
        <v>19</v>
      </c>
      <c r="AZ38" s="195">
        <f ca="1">IFERROR(__xludf.DUMMYFUNCTION("IF(IFERROR(SEARCH(""Unclear"", AG38)) = 1, VALUE(REGEXEXTRACT(AG38,""\d+"")), AG38)"),11)</f>
        <v>11</v>
      </c>
      <c r="BA38" s="195">
        <v>11</v>
      </c>
      <c r="BB38" s="195" t="str">
        <f ca="1">IFERROR(__xludf.DUMMYFUNCTION("IF(IFERROR(SEARCH(""Unclear"", AJ38)) = 1, VALUE(REGEXEXTRACT(AJ38,""\d+"")), AJ38)"),"ND")</f>
        <v>ND</v>
      </c>
      <c r="BC38" s="195" t="s">
        <v>324</v>
      </c>
      <c r="BD38" s="195" t="b">
        <f t="shared" si="2"/>
        <v>1</v>
      </c>
      <c r="BE38" s="195" t="b">
        <f t="shared" ref="BE38:BF38" si="40">IF(IFERROR(FIND("ND",AI38),0),FALSE,TRUE)</f>
        <v>1</v>
      </c>
      <c r="BF38" s="195" t="b">
        <f t="shared" si="40"/>
        <v>0</v>
      </c>
    </row>
    <row r="39" spans="1:58" ht="34.5" customHeight="1">
      <c r="A39" s="212" t="s">
        <v>704</v>
      </c>
      <c r="B39" s="195">
        <v>2020</v>
      </c>
      <c r="C39" s="195" t="s">
        <v>359</v>
      </c>
      <c r="D39" s="4" t="s">
        <v>360</v>
      </c>
      <c r="E39" s="207">
        <v>31712214</v>
      </c>
      <c r="F39" s="208" t="str">
        <f t="shared" si="0"/>
        <v>https://pubmed.ncbi.nlm.nih.gov/31712214</v>
      </c>
      <c r="G39" s="197" t="str">
        <f t="shared" si="1"/>
        <v>DeVincenzo 2020</v>
      </c>
      <c r="H39" s="195">
        <v>2017</v>
      </c>
      <c r="I39" s="195" t="s">
        <v>705</v>
      </c>
      <c r="J39" s="198" t="s">
        <v>706</v>
      </c>
      <c r="K39" s="195">
        <v>66</v>
      </c>
      <c r="L39" s="4" t="s">
        <v>707</v>
      </c>
      <c r="M39" s="199">
        <f>16+13+15</f>
        <v>44</v>
      </c>
      <c r="N39" s="199">
        <f t="shared" si="39"/>
        <v>22</v>
      </c>
      <c r="O39" s="195" t="s">
        <v>324</v>
      </c>
      <c r="P39" s="195">
        <v>18</v>
      </c>
      <c r="Q39" s="195">
        <v>40</v>
      </c>
      <c r="R39" s="195">
        <v>18</v>
      </c>
      <c r="S39" s="195">
        <v>45</v>
      </c>
      <c r="T39" s="195" t="s">
        <v>608</v>
      </c>
      <c r="U39" s="195" t="s">
        <v>609</v>
      </c>
      <c r="V39" s="195" t="s">
        <v>708</v>
      </c>
      <c r="W39" s="199"/>
      <c r="X39" s="195">
        <v>66</v>
      </c>
      <c r="Y39" s="195"/>
      <c r="Z39" s="195">
        <v>53</v>
      </c>
      <c r="AA39" s="199"/>
      <c r="AB39" s="195">
        <v>0</v>
      </c>
      <c r="AC39" s="195" t="s">
        <v>525</v>
      </c>
      <c r="AD39" s="195" t="s">
        <v>322</v>
      </c>
      <c r="AE39" s="195" t="s">
        <v>709</v>
      </c>
      <c r="AF39" s="199"/>
      <c r="AG39" s="195">
        <v>45</v>
      </c>
      <c r="AH39" s="195" t="s">
        <v>511</v>
      </c>
      <c r="AI39" s="195">
        <v>1</v>
      </c>
      <c r="AJ39" s="195">
        <v>0</v>
      </c>
      <c r="AK39" s="195" t="s">
        <v>710</v>
      </c>
      <c r="AL39" s="195" t="s">
        <v>322</v>
      </c>
      <c r="AM39" s="199"/>
      <c r="AN39" s="195" t="s">
        <v>711</v>
      </c>
      <c r="AO39" s="195" t="s">
        <v>712</v>
      </c>
      <c r="AP39" s="195" t="s">
        <v>713</v>
      </c>
      <c r="AQ39" s="195" t="s">
        <v>421</v>
      </c>
      <c r="AR39" s="209" t="s">
        <v>517</v>
      </c>
      <c r="AS39" s="195" t="s">
        <v>308</v>
      </c>
      <c r="AT39" s="199"/>
      <c r="AU39" s="202" t="s">
        <v>714</v>
      </c>
      <c r="AV39" s="195" t="s">
        <v>9</v>
      </c>
      <c r="AW39" s="195" t="str">
        <f ca="1">IFERROR(__xludf.DUMMYFUNCTION("IF(AND(IF(AS39=""Yes"",True,False),NOT(IFERROR(REGEXMATCH(AV39,ExclusionCategories),FALSE))),""Yes"", ""No"")"),"Yes")</f>
        <v>Yes</v>
      </c>
      <c r="AX39" s="195">
        <f ca="1">IFERROR(__xludf.DUMMYFUNCTION("IF(IFERROR(SEARCH(""Unclear"", Z39)) = 1, VALUE(REGEXEXTRACT(Z39,""\d+"")), Z39)"),53)</f>
        <v>53</v>
      </c>
      <c r="AY39" s="195">
        <v>53</v>
      </c>
      <c r="AZ39" s="195">
        <f ca="1">IFERROR(__xludf.DUMMYFUNCTION("IF(IFERROR(SEARCH(""Unclear"", AG39)) = 1, VALUE(REGEXEXTRACT(AG39,""\d+"")), AG39)"),45)</f>
        <v>45</v>
      </c>
      <c r="BA39" s="195">
        <v>45</v>
      </c>
      <c r="BB39" s="195">
        <f ca="1">IFERROR(__xludf.DUMMYFUNCTION("IF(IFERROR(SEARCH(""Unclear"", AJ39)) = 1, VALUE(REGEXEXTRACT(AJ39,""\d+"")), AJ39)"),0)</f>
        <v>0</v>
      </c>
      <c r="BC39" s="195">
        <v>0</v>
      </c>
      <c r="BD39" s="195" t="b">
        <f t="shared" si="2"/>
        <v>1</v>
      </c>
      <c r="BE39" s="195" t="b">
        <f t="shared" ref="BE39:BF39" si="41">IF(IFERROR(FIND("ND",AI39),0),FALSE,TRUE)</f>
        <v>1</v>
      </c>
      <c r="BF39" s="195" t="b">
        <f t="shared" si="41"/>
        <v>1</v>
      </c>
    </row>
    <row r="40" spans="1:58" ht="34.5" customHeight="1">
      <c r="A40" s="212" t="s">
        <v>715</v>
      </c>
      <c r="B40" s="195">
        <v>2020</v>
      </c>
      <c r="C40" s="195" t="s">
        <v>409</v>
      </c>
      <c r="D40" s="4" t="s">
        <v>716</v>
      </c>
      <c r="E40" s="207">
        <v>33222610</v>
      </c>
      <c r="F40" s="208" t="str">
        <f t="shared" si="0"/>
        <v>https://pubmed.ncbi.nlm.nih.gov/33222610</v>
      </c>
      <c r="G40" s="197" t="str">
        <f t="shared" si="1"/>
        <v>Ducarmon 2020</v>
      </c>
      <c r="H40" s="195">
        <v>2018</v>
      </c>
      <c r="I40" s="195" t="s">
        <v>411</v>
      </c>
      <c r="J40" s="198" t="s">
        <v>412</v>
      </c>
      <c r="K40" s="195">
        <v>20</v>
      </c>
      <c r="L40" s="4" t="s">
        <v>717</v>
      </c>
      <c r="M40" s="195">
        <v>8</v>
      </c>
      <c r="N40" s="195">
        <v>12</v>
      </c>
      <c r="O40" s="195" t="s">
        <v>324</v>
      </c>
      <c r="P40" s="195" t="s">
        <v>324</v>
      </c>
      <c r="Q40" s="195" t="s">
        <v>324</v>
      </c>
      <c r="R40" s="195" t="s">
        <v>324</v>
      </c>
      <c r="S40" s="195" t="s">
        <v>324</v>
      </c>
      <c r="T40" s="195">
        <v>25.7</v>
      </c>
      <c r="U40" s="195">
        <v>6.1</v>
      </c>
      <c r="V40" s="195" t="s">
        <v>718</v>
      </c>
      <c r="W40" s="195" t="s">
        <v>719</v>
      </c>
      <c r="X40" s="195">
        <v>20</v>
      </c>
      <c r="Y40" s="195" t="s">
        <v>720</v>
      </c>
      <c r="Z40" s="195">
        <v>20</v>
      </c>
      <c r="AA40" s="199"/>
      <c r="AB40" s="195">
        <v>0</v>
      </c>
      <c r="AC40" s="195" t="s">
        <v>525</v>
      </c>
      <c r="AD40" s="195" t="s">
        <v>322</v>
      </c>
      <c r="AE40" s="195" t="s">
        <v>721</v>
      </c>
      <c r="AF40" s="199"/>
      <c r="AG40" s="195">
        <v>20</v>
      </c>
      <c r="AH40" s="195" t="s">
        <v>511</v>
      </c>
      <c r="AI40" s="195" t="s">
        <v>324</v>
      </c>
      <c r="AJ40" s="195">
        <v>7</v>
      </c>
      <c r="AK40" s="195" t="s">
        <v>722</v>
      </c>
      <c r="AL40" s="195" t="s">
        <v>695</v>
      </c>
      <c r="AM40" s="199"/>
      <c r="AN40" s="195" t="s">
        <v>699</v>
      </c>
      <c r="AO40" s="195" t="s">
        <v>723</v>
      </c>
      <c r="AP40" s="195" t="s">
        <v>724</v>
      </c>
      <c r="AQ40" s="195" t="s">
        <v>725</v>
      </c>
      <c r="AR40" s="209" t="s">
        <v>517</v>
      </c>
      <c r="AS40" s="195" t="s">
        <v>316</v>
      </c>
      <c r="AT40" s="199"/>
      <c r="AU40" s="202" t="s">
        <v>726</v>
      </c>
      <c r="AV40" s="195" t="s">
        <v>326</v>
      </c>
      <c r="AW40" s="195" t="str">
        <f ca="1">IFERROR(__xludf.DUMMYFUNCTION("IF(AND(IF(AS40=""Yes"",True,False),NOT(IFERROR(REGEXMATCH(AV40,ExclusionCategories),FALSE))),""Yes"", ""No"")"),"No")</f>
        <v>No</v>
      </c>
      <c r="AX40" s="195">
        <f ca="1">IFERROR(__xludf.DUMMYFUNCTION("IF(IFERROR(SEARCH(""Unclear"", Z40)) = 1, VALUE(REGEXEXTRACT(Z40,""\d+"")), Z40)"),20)</f>
        <v>20</v>
      </c>
      <c r="AY40" s="195">
        <v>20</v>
      </c>
      <c r="AZ40" s="195">
        <f ca="1">IFERROR(__xludf.DUMMYFUNCTION("IF(IFERROR(SEARCH(""Unclear"", AG40)) = 1, VALUE(REGEXEXTRACT(AG40,""\d+"")), AG40)"),20)</f>
        <v>20</v>
      </c>
      <c r="BA40" s="195">
        <v>20</v>
      </c>
      <c r="BB40" s="195">
        <f ca="1">IFERROR(__xludf.DUMMYFUNCTION("IF(IFERROR(SEARCH(""Unclear"", AJ40)) = 1, VALUE(REGEXEXTRACT(AJ40,""\d+"")), AJ40)"),7)</f>
        <v>7</v>
      </c>
      <c r="BC40" s="195">
        <v>7</v>
      </c>
      <c r="BD40" s="195" t="b">
        <f t="shared" si="2"/>
        <v>1</v>
      </c>
      <c r="BE40" s="195" t="b">
        <f t="shared" ref="BE40:BF40" si="42">IF(IFERROR(FIND("ND",AI40),0),FALSE,TRUE)</f>
        <v>0</v>
      </c>
      <c r="BF40" s="195" t="b">
        <f t="shared" si="42"/>
        <v>1</v>
      </c>
    </row>
    <row r="41" spans="1:58" ht="34.5" customHeight="1">
      <c r="A41" s="212" t="s">
        <v>727</v>
      </c>
      <c r="B41" s="213">
        <v>2019</v>
      </c>
      <c r="C41" s="195" t="s">
        <v>457</v>
      </c>
      <c r="D41" s="4" t="s">
        <v>728</v>
      </c>
      <c r="E41" s="218" t="s">
        <v>729</v>
      </c>
      <c r="F41" s="219" t="str">
        <f t="shared" si="0"/>
        <v>https://pubmed.ncbi.nlm.nih.gov/PMC6810285</v>
      </c>
      <c r="G41" s="197" t="str">
        <f t="shared" si="1"/>
        <v>Eiden 2019</v>
      </c>
      <c r="H41" s="217">
        <v>2019</v>
      </c>
      <c r="I41" s="195" t="s">
        <v>730</v>
      </c>
      <c r="J41" s="197"/>
      <c r="K41" s="195">
        <v>99</v>
      </c>
      <c r="L41" s="4"/>
      <c r="M41" s="195" t="s">
        <v>324</v>
      </c>
      <c r="N41" s="195" t="s">
        <v>324</v>
      </c>
      <c r="O41" s="195" t="s">
        <v>324</v>
      </c>
      <c r="P41" s="195" t="s">
        <v>324</v>
      </c>
      <c r="Q41" s="195" t="s">
        <v>324</v>
      </c>
      <c r="R41" s="195">
        <v>18</v>
      </c>
      <c r="S41" s="195">
        <v>55</v>
      </c>
      <c r="T41" s="195" t="s">
        <v>324</v>
      </c>
      <c r="U41" s="195" t="s">
        <v>324</v>
      </c>
      <c r="V41" s="195" t="s">
        <v>332</v>
      </c>
      <c r="W41" s="195"/>
      <c r="X41" s="195">
        <v>99</v>
      </c>
      <c r="Y41" s="195" t="s">
        <v>731</v>
      </c>
      <c r="Z41" s="195">
        <v>62</v>
      </c>
      <c r="AA41" s="195" t="s">
        <v>732</v>
      </c>
      <c r="AB41" s="195">
        <v>0</v>
      </c>
      <c r="AC41" s="195"/>
      <c r="AD41" s="195" t="s">
        <v>322</v>
      </c>
      <c r="AE41" s="195" t="s">
        <v>733</v>
      </c>
      <c r="AF41" s="195" t="s">
        <v>734</v>
      </c>
      <c r="AG41" s="195">
        <v>42</v>
      </c>
      <c r="AH41" s="195" t="s">
        <v>316</v>
      </c>
      <c r="AI41" s="195" t="s">
        <v>324</v>
      </c>
      <c r="AJ41" s="195" t="s">
        <v>324</v>
      </c>
      <c r="AK41" s="195"/>
      <c r="AL41" s="195" t="s">
        <v>322</v>
      </c>
      <c r="AM41" s="199"/>
      <c r="AN41" s="195" t="s">
        <v>735</v>
      </c>
      <c r="AO41" s="195" t="s">
        <v>324</v>
      </c>
      <c r="AP41" s="195" t="s">
        <v>324</v>
      </c>
      <c r="AQ41" s="195" t="s">
        <v>736</v>
      </c>
      <c r="AR41" s="220" t="s">
        <v>517</v>
      </c>
      <c r="AS41" s="195" t="s">
        <v>308</v>
      </c>
      <c r="AT41" s="199"/>
      <c r="AU41" s="195" t="s">
        <v>737</v>
      </c>
      <c r="AV41" s="195" t="s">
        <v>738</v>
      </c>
      <c r="AW41" s="195" t="str">
        <f ca="1">IFERROR(__xludf.DUMMYFUNCTION("IF(AND(IF(AS41=""Yes"",True,False),NOT(IFERROR(REGEXMATCH(AV41,ExclusionCategories),FALSE))),""Yes"", ""No"")"),"Yes")</f>
        <v>Yes</v>
      </c>
      <c r="AX41" s="195">
        <f ca="1">IFERROR(__xludf.DUMMYFUNCTION("IF(IFERROR(SEARCH(""Unclear"", Z41)) = 1, VALUE(REGEXEXTRACT(Z41,""\d+"")), Z41)"),62)</f>
        <v>62</v>
      </c>
      <c r="AY41" s="195">
        <v>62</v>
      </c>
      <c r="AZ41" s="195">
        <f ca="1">IFERROR(__xludf.DUMMYFUNCTION("IF(IFERROR(SEARCH(""Unclear"", AG41)) = 1, VALUE(REGEXEXTRACT(AG41,""\d+"")), AG41)"),42)</f>
        <v>42</v>
      </c>
      <c r="BA41" s="195">
        <v>42</v>
      </c>
      <c r="BB41" s="195" t="str">
        <f ca="1">IFERROR(__xludf.DUMMYFUNCTION("IF(IFERROR(SEARCH(""Unclear"", AJ41)) = 1, VALUE(REGEXEXTRACT(AJ41,""\d+"")), AJ41)"),"ND")</f>
        <v>ND</v>
      </c>
      <c r="BC41" s="195" t="s">
        <v>324</v>
      </c>
      <c r="BD41" s="195" t="b">
        <f t="shared" si="2"/>
        <v>1</v>
      </c>
      <c r="BE41" s="195" t="b">
        <f t="shared" ref="BE41:BF41" si="43">IF(IFERROR(FIND("ND",AI41),0),FALSE,TRUE)</f>
        <v>0</v>
      </c>
      <c r="BF41" s="195" t="b">
        <f t="shared" si="43"/>
        <v>0</v>
      </c>
    </row>
    <row r="42" spans="1:58" ht="34.5" customHeight="1">
      <c r="A42" s="212" t="s">
        <v>739</v>
      </c>
      <c r="B42" s="195">
        <v>2013</v>
      </c>
      <c r="C42" s="195" t="s">
        <v>520</v>
      </c>
      <c r="D42" s="4" t="s">
        <v>740</v>
      </c>
      <c r="E42" s="207">
        <v>23370916</v>
      </c>
      <c r="F42" s="208" t="str">
        <f t="shared" si="0"/>
        <v>https://pubmed.ncbi.nlm.nih.gov/23370916</v>
      </c>
      <c r="G42" s="197" t="str">
        <f t="shared" si="1"/>
        <v>Ferreira 2013</v>
      </c>
      <c r="H42" s="195">
        <v>2012</v>
      </c>
      <c r="I42" s="199"/>
      <c r="J42" s="195"/>
      <c r="K42" s="199">
        <f>80</f>
        <v>80</v>
      </c>
      <c r="L42" s="4" t="s">
        <v>741</v>
      </c>
      <c r="M42" s="199">
        <f>5+6+5+2+4+9+5</f>
        <v>36</v>
      </c>
      <c r="N42" s="199">
        <f>K42-M42</f>
        <v>44</v>
      </c>
      <c r="O42" s="195" t="s">
        <v>324</v>
      </c>
      <c r="P42" s="195" t="s">
        <v>324</v>
      </c>
      <c r="Q42" s="195" t="s">
        <v>324</v>
      </c>
      <c r="R42" s="195">
        <v>18</v>
      </c>
      <c r="S42" s="195">
        <v>60</v>
      </c>
      <c r="T42" s="195" t="s">
        <v>742</v>
      </c>
      <c r="U42" s="195" t="s">
        <v>743</v>
      </c>
      <c r="V42" s="195" t="s">
        <v>744</v>
      </c>
      <c r="W42" s="199"/>
      <c r="X42" s="195">
        <v>70</v>
      </c>
      <c r="Y42" s="199"/>
      <c r="Z42" s="195">
        <v>29</v>
      </c>
      <c r="AA42" s="199"/>
      <c r="AB42" s="195">
        <v>10</v>
      </c>
      <c r="AC42" s="199"/>
      <c r="AD42" s="195">
        <v>0</v>
      </c>
      <c r="AE42" s="195" t="s">
        <v>745</v>
      </c>
      <c r="AF42" s="199"/>
      <c r="AG42" s="195">
        <v>0</v>
      </c>
      <c r="AH42" s="195" t="s">
        <v>527</v>
      </c>
      <c r="AI42" s="195">
        <v>0</v>
      </c>
      <c r="AJ42" s="195">
        <v>0</v>
      </c>
      <c r="AK42" s="195" t="s">
        <v>745</v>
      </c>
      <c r="AL42" s="195">
        <v>0</v>
      </c>
      <c r="AM42" s="199"/>
      <c r="AN42" s="199"/>
      <c r="AO42" s="195" t="s">
        <v>746</v>
      </c>
      <c r="AP42" s="195" t="s">
        <v>747</v>
      </c>
      <c r="AQ42" s="195" t="s">
        <v>748</v>
      </c>
      <c r="AR42" s="209" t="s">
        <v>517</v>
      </c>
      <c r="AS42" s="195" t="s">
        <v>308</v>
      </c>
      <c r="AT42" s="199"/>
      <c r="AU42" s="202" t="s">
        <v>749</v>
      </c>
      <c r="AV42" s="195" t="s">
        <v>9</v>
      </c>
      <c r="AW42" s="195" t="str">
        <f ca="1">IFERROR(__xludf.DUMMYFUNCTION("IF(AND(IF(AS42=""Yes"",True,False),NOT(IFERROR(REGEXMATCH(AV42,ExclusionCategories),FALSE))),""Yes"", ""No"")"),"Yes")</f>
        <v>Yes</v>
      </c>
      <c r="AX42" s="195">
        <f ca="1">IFERROR(__xludf.DUMMYFUNCTION("IF(IFERROR(SEARCH(""Unclear"", Z42)) = 1, VALUE(REGEXEXTRACT(Z42,""\d+"")), Z42)"),29)</f>
        <v>29</v>
      </c>
      <c r="AY42" s="195">
        <v>29</v>
      </c>
      <c r="AZ42" s="195">
        <f ca="1">IFERROR(__xludf.DUMMYFUNCTION("IF(IFERROR(SEARCH(""Unclear"", AG42)) = 1, VALUE(REGEXEXTRACT(AG42,""\d+"")), AG42)"),0)</f>
        <v>0</v>
      </c>
      <c r="BA42" s="195">
        <v>0</v>
      </c>
      <c r="BB42" s="195">
        <f ca="1">IFERROR(__xludf.DUMMYFUNCTION("IF(IFERROR(SEARCH(""Unclear"", AJ42)) = 1, VALUE(REGEXEXTRACT(AJ42,""\d+"")), AJ42)"),0)</f>
        <v>0</v>
      </c>
      <c r="BC42" s="195">
        <v>0</v>
      </c>
      <c r="BD42" s="195" t="b">
        <f t="shared" si="2"/>
        <v>1</v>
      </c>
      <c r="BE42" s="195" t="b">
        <f t="shared" ref="BE42:BF42" si="44">IF(IFERROR(FIND("ND",AI42),0),FALSE,TRUE)</f>
        <v>1</v>
      </c>
      <c r="BF42" s="195" t="b">
        <f t="shared" si="44"/>
        <v>1</v>
      </c>
    </row>
    <row r="43" spans="1:58" ht="34.5" customHeight="1">
      <c r="A43" s="212" t="s">
        <v>750</v>
      </c>
      <c r="B43" s="195">
        <v>2016</v>
      </c>
      <c r="C43" s="195" t="s">
        <v>457</v>
      </c>
      <c r="D43" s="4" t="s">
        <v>751</v>
      </c>
      <c r="E43" s="207">
        <v>26761707</v>
      </c>
      <c r="F43" s="208" t="str">
        <f t="shared" si="0"/>
        <v>https://pubmed.ncbi.nlm.nih.gov/26761707</v>
      </c>
      <c r="G43" s="197" t="str">
        <f t="shared" si="1"/>
        <v>Fullen 2016a</v>
      </c>
      <c r="H43" s="195">
        <v>2014</v>
      </c>
      <c r="I43" s="195" t="s">
        <v>752</v>
      </c>
      <c r="J43" s="198" t="s">
        <v>753</v>
      </c>
      <c r="K43" s="199">
        <f>4*6</f>
        <v>24</v>
      </c>
      <c r="L43" s="4" t="s">
        <v>717</v>
      </c>
      <c r="M43" s="195" t="s">
        <v>324</v>
      </c>
      <c r="N43" s="195" t="s">
        <v>324</v>
      </c>
      <c r="O43" s="195" t="s">
        <v>324</v>
      </c>
      <c r="P43" s="195" t="s">
        <v>324</v>
      </c>
      <c r="Q43" s="195" t="s">
        <v>324</v>
      </c>
      <c r="R43" s="195" t="s">
        <v>324</v>
      </c>
      <c r="S43" s="195" t="s">
        <v>324</v>
      </c>
      <c r="T43" s="195" t="s">
        <v>324</v>
      </c>
      <c r="U43" s="195" t="s">
        <v>324</v>
      </c>
      <c r="V43" s="195" t="s">
        <v>754</v>
      </c>
      <c r="W43" s="199"/>
      <c r="X43" s="195">
        <v>24</v>
      </c>
      <c r="Y43" s="195" t="s">
        <v>755</v>
      </c>
      <c r="Z43" s="195">
        <v>13</v>
      </c>
      <c r="AA43" s="199"/>
      <c r="AB43" s="195">
        <v>0</v>
      </c>
      <c r="AC43" s="195" t="s">
        <v>525</v>
      </c>
      <c r="AD43" s="195" t="s">
        <v>695</v>
      </c>
      <c r="AE43" s="195" t="s">
        <v>756</v>
      </c>
      <c r="AF43" s="199"/>
      <c r="AG43" s="195">
        <v>6</v>
      </c>
      <c r="AH43" s="195" t="s">
        <v>527</v>
      </c>
      <c r="AI43" s="195">
        <v>0</v>
      </c>
      <c r="AJ43" s="195" t="s">
        <v>324</v>
      </c>
      <c r="AK43" s="195" t="s">
        <v>757</v>
      </c>
      <c r="AL43" s="195" t="s">
        <v>695</v>
      </c>
      <c r="AM43" s="199"/>
      <c r="AN43" s="195" t="s">
        <v>699</v>
      </c>
      <c r="AO43" s="195" t="s">
        <v>758</v>
      </c>
      <c r="AP43" s="195" t="s">
        <v>759</v>
      </c>
      <c r="AQ43" s="195" t="s">
        <v>760</v>
      </c>
      <c r="AR43" s="209" t="s">
        <v>517</v>
      </c>
      <c r="AS43" s="195" t="s">
        <v>308</v>
      </c>
      <c r="AT43" s="199"/>
      <c r="AU43" s="202" t="s">
        <v>761</v>
      </c>
      <c r="AV43" s="195" t="s">
        <v>9</v>
      </c>
      <c r="AW43" s="195" t="str">
        <f ca="1">IFERROR(__xludf.DUMMYFUNCTION("IF(AND(IF(AS43=""Yes"",True,False),NOT(IFERROR(REGEXMATCH(AV43,ExclusionCategories),FALSE))),""Yes"", ""No"")"),"Yes")</f>
        <v>Yes</v>
      </c>
      <c r="AX43" s="195">
        <f ca="1">IFERROR(__xludf.DUMMYFUNCTION("IF(IFERROR(SEARCH(""Unclear"", Z43)) = 1, VALUE(REGEXEXTRACT(Z43,""\d+"")), Z43)"),13)</f>
        <v>13</v>
      </c>
      <c r="AY43" s="195">
        <v>13</v>
      </c>
      <c r="AZ43" s="195">
        <f ca="1">IFERROR(__xludf.DUMMYFUNCTION("IF(IFERROR(SEARCH(""Unclear"", AG43)) = 1, VALUE(REGEXEXTRACT(AG43,""\d+"")), AG43)"),6)</f>
        <v>6</v>
      </c>
      <c r="BA43" s="195">
        <v>6</v>
      </c>
      <c r="BB43" s="195" t="str">
        <f ca="1">IFERROR(__xludf.DUMMYFUNCTION("IF(IFERROR(SEARCH(""Unclear"", AJ43)) = 1, VALUE(REGEXEXTRACT(AJ43,""\d+"")), AJ43)"),"ND")</f>
        <v>ND</v>
      </c>
      <c r="BC43" s="195" t="s">
        <v>324</v>
      </c>
      <c r="BD43" s="195" t="b">
        <f t="shared" si="2"/>
        <v>1</v>
      </c>
      <c r="BE43" s="195" t="b">
        <f t="shared" ref="BE43:BF43" si="45">IF(IFERROR(FIND("ND",AI43),0),FALSE,TRUE)</f>
        <v>1</v>
      </c>
      <c r="BF43" s="195" t="b">
        <f t="shared" si="45"/>
        <v>0</v>
      </c>
    </row>
    <row r="44" spans="1:58" ht="34.5" customHeight="1">
      <c r="A44" s="212" t="s">
        <v>750</v>
      </c>
      <c r="B44" s="195">
        <v>2016</v>
      </c>
      <c r="C44" s="195" t="s">
        <v>441</v>
      </c>
      <c r="D44" s="4" t="s">
        <v>762</v>
      </c>
      <c r="E44" s="207">
        <v>27936016</v>
      </c>
      <c r="F44" s="208" t="str">
        <f t="shared" si="0"/>
        <v>https://pubmed.ncbi.nlm.nih.gov/27936016</v>
      </c>
      <c r="G44" s="197" t="str">
        <f t="shared" si="1"/>
        <v>Fullen 2016b</v>
      </c>
      <c r="H44" s="195">
        <v>2014</v>
      </c>
      <c r="I44" s="195" t="s">
        <v>763</v>
      </c>
      <c r="J44" s="198" t="s">
        <v>764</v>
      </c>
      <c r="K44" s="195">
        <v>17</v>
      </c>
      <c r="L44" s="10"/>
      <c r="M44" s="195">
        <v>17</v>
      </c>
      <c r="N44" s="195">
        <v>0</v>
      </c>
      <c r="O44" s="195">
        <v>23</v>
      </c>
      <c r="P44" s="195">
        <v>19</v>
      </c>
      <c r="Q44" s="195">
        <v>35</v>
      </c>
      <c r="R44" s="195" t="s">
        <v>324</v>
      </c>
      <c r="S44" s="195" t="s">
        <v>324</v>
      </c>
      <c r="T44" s="195" t="s">
        <v>324</v>
      </c>
      <c r="U44" s="195" t="s">
        <v>324</v>
      </c>
      <c r="V44" s="195" t="s">
        <v>765</v>
      </c>
      <c r="W44" s="199"/>
      <c r="X44" s="195">
        <v>17</v>
      </c>
      <c r="Y44" s="195" t="s">
        <v>766</v>
      </c>
      <c r="Z44" s="195">
        <v>15</v>
      </c>
      <c r="AA44" s="199"/>
      <c r="AB44" s="195">
        <v>0</v>
      </c>
      <c r="AC44" s="195" t="s">
        <v>525</v>
      </c>
      <c r="AD44" s="195" t="s">
        <v>322</v>
      </c>
      <c r="AE44" s="195" t="s">
        <v>767</v>
      </c>
      <c r="AF44" s="199"/>
      <c r="AG44" s="195">
        <v>4</v>
      </c>
      <c r="AH44" s="195" t="s">
        <v>511</v>
      </c>
      <c r="AI44" s="195">
        <v>0</v>
      </c>
      <c r="AJ44" s="195" t="s">
        <v>324</v>
      </c>
      <c r="AK44" s="195" t="s">
        <v>768</v>
      </c>
      <c r="AL44" s="195" t="s">
        <v>322</v>
      </c>
      <c r="AM44" s="199"/>
      <c r="AN44" s="195" t="s">
        <v>513</v>
      </c>
      <c r="AO44" s="195" t="s">
        <v>769</v>
      </c>
      <c r="AP44" s="195" t="s">
        <v>770</v>
      </c>
      <c r="AQ44" s="195" t="s">
        <v>771</v>
      </c>
      <c r="AR44" s="209" t="s">
        <v>517</v>
      </c>
      <c r="AS44" s="195" t="s">
        <v>308</v>
      </c>
      <c r="AT44" s="199"/>
      <c r="AU44" s="202" t="s">
        <v>772</v>
      </c>
      <c r="AV44" s="195" t="s">
        <v>9</v>
      </c>
      <c r="AW44" s="195" t="str">
        <f ca="1">IFERROR(__xludf.DUMMYFUNCTION("IF(AND(IF(AS44=""Yes"",True,False),NOT(IFERROR(REGEXMATCH(AV44,ExclusionCategories),FALSE))),""Yes"", ""No"")"),"Yes")</f>
        <v>Yes</v>
      </c>
      <c r="AX44" s="195">
        <f ca="1">IFERROR(__xludf.DUMMYFUNCTION("IF(IFERROR(SEARCH(""Unclear"", Z44)) = 1, VALUE(REGEXEXTRACT(Z44,""\d+"")), Z44)"),15)</f>
        <v>15</v>
      </c>
      <c r="AY44" s="195">
        <v>15</v>
      </c>
      <c r="AZ44" s="195">
        <f ca="1">IFERROR(__xludf.DUMMYFUNCTION("IF(IFERROR(SEARCH(""Unclear"", AG44)) = 1, VALUE(REGEXEXTRACT(AG44,""\d+"")), AG44)"),4)</f>
        <v>4</v>
      </c>
      <c r="BA44" s="195">
        <v>4</v>
      </c>
      <c r="BB44" s="195" t="str">
        <f ca="1">IFERROR(__xludf.DUMMYFUNCTION("IF(IFERROR(SEARCH(""Unclear"", AJ44)) = 1, VALUE(REGEXEXTRACT(AJ44,""\d+"")), AJ44)"),"ND")</f>
        <v>ND</v>
      </c>
      <c r="BC44" s="195" t="s">
        <v>324</v>
      </c>
      <c r="BD44" s="195" t="b">
        <f t="shared" si="2"/>
        <v>1</v>
      </c>
      <c r="BE44" s="195" t="b">
        <f t="shared" ref="BE44:BF44" si="46">IF(IFERROR(FIND("ND",AI44),0),FALSE,TRUE)</f>
        <v>1</v>
      </c>
      <c r="BF44" s="195" t="b">
        <f t="shared" si="46"/>
        <v>0</v>
      </c>
    </row>
    <row r="45" spans="1:58" ht="34.5" customHeight="1">
      <c r="A45" s="212" t="s">
        <v>773</v>
      </c>
      <c r="B45" s="195">
        <v>2019</v>
      </c>
      <c r="C45" s="195" t="s">
        <v>668</v>
      </c>
      <c r="D45" s="4" t="s">
        <v>774</v>
      </c>
      <c r="E45" s="207">
        <v>31270506</v>
      </c>
      <c r="F45" s="208" t="str">
        <f t="shared" si="0"/>
        <v>https://pubmed.ncbi.nlm.nih.gov/31270506</v>
      </c>
      <c r="G45" s="197" t="str">
        <f t="shared" si="1"/>
        <v>Gibani 2019</v>
      </c>
      <c r="H45" s="195">
        <v>2017</v>
      </c>
      <c r="I45" s="199"/>
      <c r="J45" s="195"/>
      <c r="K45" s="195">
        <v>40</v>
      </c>
      <c r="L45" s="4" t="s">
        <v>775</v>
      </c>
      <c r="M45" s="195" t="s">
        <v>324</v>
      </c>
      <c r="N45" s="195" t="s">
        <v>324</v>
      </c>
      <c r="O45" s="195" t="s">
        <v>324</v>
      </c>
      <c r="P45" s="195" t="s">
        <v>324</v>
      </c>
      <c r="Q45" s="195" t="s">
        <v>324</v>
      </c>
      <c r="R45" s="195">
        <v>18</v>
      </c>
      <c r="S45" s="195">
        <v>60</v>
      </c>
      <c r="T45" s="195" t="s">
        <v>324</v>
      </c>
      <c r="U45" s="195" t="s">
        <v>324</v>
      </c>
      <c r="V45" s="195" t="s">
        <v>776</v>
      </c>
      <c r="W45" s="199"/>
      <c r="X45" s="195">
        <v>40</v>
      </c>
      <c r="Y45" s="195" t="s">
        <v>777</v>
      </c>
      <c r="Z45" s="195">
        <v>30</v>
      </c>
      <c r="AA45" s="195" t="s">
        <v>778</v>
      </c>
      <c r="AB45" s="195">
        <v>0</v>
      </c>
      <c r="AC45" s="195" t="s">
        <v>525</v>
      </c>
      <c r="AD45" s="199"/>
      <c r="AE45" s="195" t="s">
        <v>779</v>
      </c>
      <c r="AF45" s="199"/>
      <c r="AG45" s="195">
        <v>30</v>
      </c>
      <c r="AH45" s="195" t="s">
        <v>511</v>
      </c>
      <c r="AI45" s="195">
        <v>0</v>
      </c>
      <c r="AJ45" s="195" t="s">
        <v>324</v>
      </c>
      <c r="AK45" s="195" t="s">
        <v>780</v>
      </c>
      <c r="AL45" s="195" t="s">
        <v>695</v>
      </c>
      <c r="AM45" s="199"/>
      <c r="AN45" s="195" t="s">
        <v>513</v>
      </c>
      <c r="AO45" s="195" t="s">
        <v>781</v>
      </c>
      <c r="AP45" s="200" t="s">
        <v>782</v>
      </c>
      <c r="AQ45" s="195" t="s">
        <v>783</v>
      </c>
      <c r="AR45" s="209" t="s">
        <v>517</v>
      </c>
      <c r="AS45" s="195" t="s">
        <v>308</v>
      </c>
      <c r="AT45" s="199"/>
      <c r="AU45" s="202" t="s">
        <v>784</v>
      </c>
      <c r="AV45" s="195" t="s">
        <v>9</v>
      </c>
      <c r="AW45" s="195" t="str">
        <f ca="1">IFERROR(__xludf.DUMMYFUNCTION("IF(AND(IF(AS45=""Yes"",True,False),NOT(IFERROR(REGEXMATCH(AV45,ExclusionCategories),FALSE))),""Yes"", ""No"")"),"Yes")</f>
        <v>Yes</v>
      </c>
      <c r="AX45" s="195">
        <f ca="1">IFERROR(__xludf.DUMMYFUNCTION("IF(IFERROR(SEARCH(""Unclear"", Z45)) = 1, VALUE(REGEXEXTRACT(Z45,""\d+"")), Z45)"),30)</f>
        <v>30</v>
      </c>
      <c r="AY45" s="195">
        <v>30</v>
      </c>
      <c r="AZ45" s="195">
        <f ca="1">IFERROR(__xludf.DUMMYFUNCTION("IF(IFERROR(SEARCH(""Unclear"", AG45)) = 1, VALUE(REGEXEXTRACT(AG45,""\d+"")), AG45)"),30)</f>
        <v>30</v>
      </c>
      <c r="BA45" s="195">
        <v>30</v>
      </c>
      <c r="BB45" s="195" t="str">
        <f ca="1">IFERROR(__xludf.DUMMYFUNCTION("IF(IFERROR(SEARCH(""Unclear"", AJ45)) = 1, VALUE(REGEXEXTRACT(AJ45,""\d+"")), AJ45)"),"ND")</f>
        <v>ND</v>
      </c>
      <c r="BC45" s="195" t="s">
        <v>324</v>
      </c>
      <c r="BD45" s="195" t="b">
        <f t="shared" si="2"/>
        <v>1</v>
      </c>
      <c r="BE45" s="195" t="b">
        <f t="shared" ref="BE45:BF45" si="47">IF(IFERROR(FIND("ND",AI45),0),FALSE,TRUE)</f>
        <v>1</v>
      </c>
      <c r="BF45" s="195" t="b">
        <f t="shared" si="47"/>
        <v>0</v>
      </c>
    </row>
    <row r="46" spans="1:58" ht="34.5" customHeight="1">
      <c r="A46" s="212" t="s">
        <v>773</v>
      </c>
      <c r="B46" s="195">
        <v>2020</v>
      </c>
      <c r="C46" s="195" t="s">
        <v>668</v>
      </c>
      <c r="D46" s="4" t="s">
        <v>785</v>
      </c>
      <c r="E46" s="207">
        <v>33079959</v>
      </c>
      <c r="F46" s="208" t="str">
        <f t="shared" si="0"/>
        <v>https://pubmed.ncbi.nlm.nih.gov/33079959</v>
      </c>
      <c r="G46" s="197" t="str">
        <f t="shared" si="1"/>
        <v>Gibani 2020</v>
      </c>
      <c r="H46" s="195">
        <v>2018</v>
      </c>
      <c r="I46" s="195" t="s">
        <v>786</v>
      </c>
      <c r="J46" s="198" t="s">
        <v>787</v>
      </c>
      <c r="K46" s="195">
        <v>37</v>
      </c>
      <c r="L46" s="4" t="s">
        <v>788</v>
      </c>
      <c r="M46" s="195">
        <v>25</v>
      </c>
      <c r="N46" s="195">
        <v>12</v>
      </c>
      <c r="O46" s="195">
        <v>27.8</v>
      </c>
      <c r="P46" s="195">
        <v>18.8</v>
      </c>
      <c r="Q46" s="195">
        <v>60.8</v>
      </c>
      <c r="R46" s="195">
        <v>18</v>
      </c>
      <c r="S46" s="195">
        <v>60</v>
      </c>
      <c r="T46" s="195" t="s">
        <v>324</v>
      </c>
      <c r="U46" s="195" t="s">
        <v>324</v>
      </c>
      <c r="V46" s="195" t="s">
        <v>789</v>
      </c>
      <c r="W46" s="199"/>
      <c r="X46" s="195">
        <v>37</v>
      </c>
      <c r="Y46" s="195"/>
      <c r="Z46" s="195">
        <v>22</v>
      </c>
      <c r="AA46" s="199"/>
      <c r="AB46" s="195">
        <v>0</v>
      </c>
      <c r="AC46" s="195" t="s">
        <v>525</v>
      </c>
      <c r="AD46" s="195" t="s">
        <v>322</v>
      </c>
      <c r="AE46" s="195" t="s">
        <v>790</v>
      </c>
      <c r="AF46" s="195" t="s">
        <v>791</v>
      </c>
      <c r="AG46" s="195" t="s">
        <v>345</v>
      </c>
      <c r="AH46" s="195" t="s">
        <v>316</v>
      </c>
      <c r="AI46" s="195">
        <v>1</v>
      </c>
      <c r="AJ46" s="195" t="s">
        <v>324</v>
      </c>
      <c r="AK46" s="195" t="s">
        <v>792</v>
      </c>
      <c r="AL46" s="195" t="s">
        <v>322</v>
      </c>
      <c r="AM46" s="195"/>
      <c r="AN46" s="195" t="s">
        <v>793</v>
      </c>
      <c r="AO46" s="195" t="s">
        <v>794</v>
      </c>
      <c r="AP46" s="195" t="s">
        <v>795</v>
      </c>
      <c r="AQ46" s="195" t="s">
        <v>796</v>
      </c>
      <c r="AR46" s="209" t="s">
        <v>517</v>
      </c>
      <c r="AS46" s="195" t="s">
        <v>308</v>
      </c>
      <c r="AT46" s="199"/>
      <c r="AU46" s="202" t="s">
        <v>797</v>
      </c>
      <c r="AV46" s="195" t="s">
        <v>9</v>
      </c>
      <c r="AW46" s="195" t="str">
        <f ca="1">IFERROR(__xludf.DUMMYFUNCTION("IF(AND(IF(AS46=""Yes"",True,False),NOT(IFERROR(REGEXMATCH(AV46,ExclusionCategories),FALSE))),""Yes"", ""No"")"),"Yes")</f>
        <v>Yes</v>
      </c>
      <c r="AX46" s="195">
        <f ca="1">IFERROR(__xludf.DUMMYFUNCTION("IF(IFERROR(SEARCH(""Unclear"", Z46)) = 1, VALUE(REGEXEXTRACT(Z46,""\d+"")), Z46)"),22)</f>
        <v>22</v>
      </c>
      <c r="AY46" s="195">
        <v>22</v>
      </c>
      <c r="AZ46" s="195">
        <f ca="1">IFERROR(__xludf.DUMMYFUNCTION("IF(IFERROR(SEARCH(""Unclear"", AG46)) = 1, VALUE(REGEXEXTRACT(AG46,""\d+"")), AG46)"),1)</f>
        <v>1</v>
      </c>
      <c r="BA46" s="195">
        <v>37</v>
      </c>
      <c r="BB46" s="195" t="str">
        <f ca="1">IFERROR(__xludf.DUMMYFUNCTION("IF(IFERROR(SEARCH(""Unclear"", AJ46)) = 1, VALUE(REGEXEXTRACT(AJ46,""\d+"")), AJ46)"),"ND")</f>
        <v>ND</v>
      </c>
      <c r="BC46" s="195" t="s">
        <v>324</v>
      </c>
      <c r="BD46" s="195" t="b">
        <f t="shared" si="2"/>
        <v>1</v>
      </c>
      <c r="BE46" s="195" t="b">
        <f t="shared" ref="BE46:BF46" si="48">IF(IFERROR(FIND("ND",AI46),0),FALSE,TRUE)</f>
        <v>1</v>
      </c>
      <c r="BF46" s="195" t="b">
        <f t="shared" si="48"/>
        <v>0</v>
      </c>
    </row>
    <row r="47" spans="1:58" ht="34.5" customHeight="1">
      <c r="A47" s="212" t="s">
        <v>773</v>
      </c>
      <c r="B47" s="195">
        <v>2020</v>
      </c>
      <c r="C47" s="195" t="s">
        <v>668</v>
      </c>
      <c r="D47" s="4" t="s">
        <v>785</v>
      </c>
      <c r="E47" s="207">
        <v>33079959</v>
      </c>
      <c r="F47" s="208" t="str">
        <f t="shared" si="0"/>
        <v>https://pubmed.ncbi.nlm.nih.gov/33079959</v>
      </c>
      <c r="G47" s="197" t="str">
        <f t="shared" si="1"/>
        <v>Gibani 2020</v>
      </c>
      <c r="H47" s="195">
        <v>2018</v>
      </c>
      <c r="I47" s="195" t="s">
        <v>786</v>
      </c>
      <c r="J47" s="198" t="s">
        <v>787</v>
      </c>
      <c r="K47" s="195">
        <v>75</v>
      </c>
      <c r="L47" s="4" t="s">
        <v>798</v>
      </c>
      <c r="M47" s="195">
        <v>46</v>
      </c>
      <c r="N47" s="195">
        <v>29</v>
      </c>
      <c r="O47" s="195">
        <v>27.8</v>
      </c>
      <c r="P47" s="195">
        <v>18.8</v>
      </c>
      <c r="Q47" s="195">
        <v>60.8</v>
      </c>
      <c r="R47" s="195">
        <v>18</v>
      </c>
      <c r="S47" s="195">
        <v>60</v>
      </c>
      <c r="T47" s="195" t="s">
        <v>324</v>
      </c>
      <c r="U47" s="195" t="s">
        <v>324</v>
      </c>
      <c r="V47" s="195" t="s">
        <v>789</v>
      </c>
      <c r="W47" s="199"/>
      <c r="X47" s="195">
        <v>75</v>
      </c>
      <c r="Y47" s="195"/>
      <c r="Z47" s="195">
        <v>35</v>
      </c>
      <c r="AA47" s="199"/>
      <c r="AB47" s="195">
        <v>0</v>
      </c>
      <c r="AC47" s="195" t="s">
        <v>525</v>
      </c>
      <c r="AD47" s="195" t="s">
        <v>322</v>
      </c>
      <c r="AE47" s="195" t="s">
        <v>790</v>
      </c>
      <c r="AF47" s="195" t="s">
        <v>791</v>
      </c>
      <c r="AG47" s="195" t="s">
        <v>345</v>
      </c>
      <c r="AH47" s="195" t="s">
        <v>316</v>
      </c>
      <c r="AI47" s="195">
        <v>1</v>
      </c>
      <c r="AJ47" s="195" t="s">
        <v>324</v>
      </c>
      <c r="AK47" s="195"/>
      <c r="AL47" s="195" t="s">
        <v>322</v>
      </c>
      <c r="AM47" s="195"/>
      <c r="AN47" s="195" t="s">
        <v>793</v>
      </c>
      <c r="AO47" s="195" t="s">
        <v>794</v>
      </c>
      <c r="AP47" s="195" t="s">
        <v>795</v>
      </c>
      <c r="AQ47" s="195" t="s">
        <v>796</v>
      </c>
      <c r="AR47" s="209" t="s">
        <v>517</v>
      </c>
      <c r="AS47" s="195" t="s">
        <v>308</v>
      </c>
      <c r="AT47" s="199"/>
      <c r="AU47" s="202" t="s">
        <v>797</v>
      </c>
      <c r="AV47" s="195" t="s">
        <v>15</v>
      </c>
      <c r="AW47" s="195" t="str">
        <f ca="1">IFERROR(__xludf.DUMMYFUNCTION("IF(AND(IF(AS47=""Yes"",True,False),NOT(IFERROR(REGEXMATCH(AV47,ExclusionCategories),FALSE))),""Yes"", ""No"")"),"No")</f>
        <v>No</v>
      </c>
      <c r="AX47" s="195">
        <f ca="1">IFERROR(__xludf.DUMMYFUNCTION("IF(IFERROR(SEARCH(""Unclear"", Z47)) = 1, VALUE(REGEXEXTRACT(Z47,""\d+"")), Z47)"),35)</f>
        <v>35</v>
      </c>
      <c r="AY47" s="195">
        <v>35</v>
      </c>
      <c r="AZ47" s="195">
        <f ca="1">IFERROR(__xludf.DUMMYFUNCTION("IF(IFERROR(SEARCH(""Unclear"", AG47)) = 1, VALUE(REGEXEXTRACT(AG47,""\d+"")), AG47)"),1)</f>
        <v>1</v>
      </c>
      <c r="BA47" s="195">
        <v>75</v>
      </c>
      <c r="BB47" s="195" t="str">
        <f ca="1">IFERROR(__xludf.DUMMYFUNCTION("IF(IFERROR(SEARCH(""Unclear"", AJ47)) = 1, VALUE(REGEXEXTRACT(AJ47,""\d+"")), AJ47)"),"ND")</f>
        <v>ND</v>
      </c>
      <c r="BC47" s="195" t="s">
        <v>324</v>
      </c>
      <c r="BD47" s="195" t="b">
        <f t="shared" si="2"/>
        <v>1</v>
      </c>
      <c r="BE47" s="195" t="b">
        <f t="shared" ref="BE47:BF47" si="49">IF(IFERROR(FIND("ND",AI47),0),FALSE,TRUE)</f>
        <v>1</v>
      </c>
      <c r="BF47" s="195" t="b">
        <f t="shared" si="49"/>
        <v>0</v>
      </c>
    </row>
    <row r="48" spans="1:58" ht="34.5" customHeight="1">
      <c r="A48" s="212" t="s">
        <v>773</v>
      </c>
      <c r="B48" s="195">
        <v>2020</v>
      </c>
      <c r="C48" s="195" t="s">
        <v>668</v>
      </c>
      <c r="D48" s="4" t="s">
        <v>785</v>
      </c>
      <c r="E48" s="207">
        <v>33079959</v>
      </c>
      <c r="F48" s="208" t="str">
        <f t="shared" si="0"/>
        <v>https://pubmed.ncbi.nlm.nih.gov/33079959</v>
      </c>
      <c r="G48" s="197" t="str">
        <f t="shared" si="1"/>
        <v>Gibani 2020</v>
      </c>
      <c r="H48" s="195">
        <v>2018</v>
      </c>
      <c r="I48" s="195" t="s">
        <v>786</v>
      </c>
      <c r="J48" s="198" t="s">
        <v>787</v>
      </c>
      <c r="K48" s="195">
        <v>112</v>
      </c>
      <c r="L48" s="4" t="s">
        <v>334</v>
      </c>
      <c r="M48" s="195">
        <v>71</v>
      </c>
      <c r="N48" s="195">
        <v>41</v>
      </c>
      <c r="O48" s="195">
        <v>27.8</v>
      </c>
      <c r="P48" s="195">
        <v>18.8</v>
      </c>
      <c r="Q48" s="195">
        <v>60.8</v>
      </c>
      <c r="R48" s="195">
        <v>18</v>
      </c>
      <c r="S48" s="195">
        <v>60</v>
      </c>
      <c r="T48" s="195" t="s">
        <v>324</v>
      </c>
      <c r="U48" s="195" t="s">
        <v>324</v>
      </c>
      <c r="V48" s="195" t="s">
        <v>789</v>
      </c>
      <c r="W48" s="199"/>
      <c r="X48" s="195">
        <v>112</v>
      </c>
      <c r="Y48" s="195"/>
      <c r="Z48" s="195">
        <v>57</v>
      </c>
      <c r="AA48" s="199"/>
      <c r="AB48" s="195">
        <v>0</v>
      </c>
      <c r="AC48" s="195" t="s">
        <v>525</v>
      </c>
      <c r="AD48" s="195" t="s">
        <v>322</v>
      </c>
      <c r="AE48" s="195" t="s">
        <v>790</v>
      </c>
      <c r="AF48" s="195" t="s">
        <v>791</v>
      </c>
      <c r="AG48" s="195" t="s">
        <v>407</v>
      </c>
      <c r="AH48" s="195" t="s">
        <v>316</v>
      </c>
      <c r="AI48" s="195">
        <v>2</v>
      </c>
      <c r="AJ48" s="195" t="s">
        <v>324</v>
      </c>
      <c r="AK48" s="195" t="s">
        <v>799</v>
      </c>
      <c r="AL48" s="195" t="s">
        <v>322</v>
      </c>
      <c r="AM48" s="195"/>
      <c r="AN48" s="195" t="s">
        <v>793</v>
      </c>
      <c r="AO48" s="195" t="s">
        <v>794</v>
      </c>
      <c r="AP48" s="195" t="s">
        <v>795</v>
      </c>
      <c r="AQ48" s="195" t="s">
        <v>796</v>
      </c>
      <c r="AR48" s="209" t="s">
        <v>517</v>
      </c>
      <c r="AS48" s="195" t="s">
        <v>316</v>
      </c>
      <c r="AT48" s="199"/>
      <c r="AU48" s="202" t="s">
        <v>797</v>
      </c>
      <c r="AV48" s="195" t="s">
        <v>800</v>
      </c>
      <c r="AW48" s="195" t="str">
        <f ca="1">IFERROR(__xludf.DUMMYFUNCTION("IF(AND(IF(AS48=""Yes"",True,False),NOT(IFERROR(REGEXMATCH(AV48,ExclusionCategories),FALSE))),""Yes"", ""No"")"),"No")</f>
        <v>No</v>
      </c>
      <c r="AX48" s="195">
        <f ca="1">IFERROR(__xludf.DUMMYFUNCTION("IF(IFERROR(SEARCH(""Unclear"", Z48)) = 1, VALUE(REGEXEXTRACT(Z48,""\d+"")), Z48)"),57)</f>
        <v>57</v>
      </c>
      <c r="AY48" s="195">
        <v>57</v>
      </c>
      <c r="AZ48" s="195">
        <f ca="1">IFERROR(__xludf.DUMMYFUNCTION("IF(IFERROR(SEARCH(""Unclear"", AG48)) = 1, VALUE(REGEXEXTRACT(AG48,""\d+"")), AG48)"),2)</f>
        <v>2</v>
      </c>
      <c r="BA48" s="195">
        <v>112</v>
      </c>
      <c r="BB48" s="195" t="str">
        <f ca="1">IFERROR(__xludf.DUMMYFUNCTION("IF(IFERROR(SEARCH(""Unclear"", AJ48)) = 1, VALUE(REGEXEXTRACT(AJ48,""\d+"")), AJ48)"),"ND")</f>
        <v>ND</v>
      </c>
      <c r="BC48" s="195" t="s">
        <v>324</v>
      </c>
      <c r="BD48" s="195" t="b">
        <f t="shared" si="2"/>
        <v>1</v>
      </c>
      <c r="BE48" s="195" t="b">
        <f t="shared" ref="BE48:BF48" si="50">IF(IFERROR(FIND("ND",AI48),0),FALSE,TRUE)</f>
        <v>1</v>
      </c>
      <c r="BF48" s="195" t="b">
        <f t="shared" si="50"/>
        <v>0</v>
      </c>
    </row>
    <row r="49" spans="1:58" ht="34.5" customHeight="1">
      <c r="A49" s="212" t="s">
        <v>801</v>
      </c>
      <c r="B49" s="195">
        <v>2015</v>
      </c>
      <c r="C49" s="195" t="s">
        <v>339</v>
      </c>
      <c r="D49" s="4" t="s">
        <v>802</v>
      </c>
      <c r="E49" s="207">
        <v>26245196</v>
      </c>
      <c r="F49" s="208" t="str">
        <f t="shared" si="0"/>
        <v>https://pubmed.ncbi.nlm.nih.gov/26245196</v>
      </c>
      <c r="G49" s="197" t="str">
        <f t="shared" si="1"/>
        <v>Gomez-Perez 2015</v>
      </c>
      <c r="H49" s="195">
        <v>2013</v>
      </c>
      <c r="I49" s="195" t="s">
        <v>803</v>
      </c>
      <c r="J49" s="198" t="s">
        <v>804</v>
      </c>
      <c r="K49" s="195">
        <v>36</v>
      </c>
      <c r="L49" s="4" t="s">
        <v>805</v>
      </c>
      <c r="M49" s="195">
        <v>16</v>
      </c>
      <c r="N49" s="195">
        <v>20</v>
      </c>
      <c r="O49" s="195">
        <v>26</v>
      </c>
      <c r="P49" s="195">
        <v>19</v>
      </c>
      <c r="Q49" s="195">
        <v>41</v>
      </c>
      <c r="R49" s="195">
        <v>18</v>
      </c>
      <c r="S49" s="195">
        <v>45</v>
      </c>
      <c r="T49" s="195" t="s">
        <v>324</v>
      </c>
      <c r="U49" s="195" t="s">
        <v>324</v>
      </c>
      <c r="V49" s="195" t="s">
        <v>806</v>
      </c>
      <c r="W49" s="199"/>
      <c r="X49" s="195">
        <v>36</v>
      </c>
      <c r="Y49" s="199"/>
      <c r="Z49" s="195">
        <v>25</v>
      </c>
      <c r="AA49" s="199"/>
      <c r="AB49" s="195">
        <v>0</v>
      </c>
      <c r="AC49" s="195" t="s">
        <v>525</v>
      </c>
      <c r="AD49" s="195" t="s">
        <v>322</v>
      </c>
      <c r="AE49" s="195" t="s">
        <v>807</v>
      </c>
      <c r="AF49" s="199"/>
      <c r="AG49" s="195" t="s">
        <v>394</v>
      </c>
      <c r="AH49" s="195" t="s">
        <v>511</v>
      </c>
      <c r="AI49" s="195">
        <v>0</v>
      </c>
      <c r="AJ49" s="217" t="s">
        <v>808</v>
      </c>
      <c r="AK49" s="195" t="s">
        <v>809</v>
      </c>
      <c r="AL49" s="195" t="s">
        <v>695</v>
      </c>
      <c r="AM49" s="199"/>
      <c r="AN49" s="195" t="s">
        <v>513</v>
      </c>
      <c r="AO49" s="195" t="s">
        <v>810</v>
      </c>
      <c r="AP49" s="195" t="s">
        <v>811</v>
      </c>
      <c r="AQ49" s="195" t="s">
        <v>812</v>
      </c>
      <c r="AR49" s="209" t="s">
        <v>517</v>
      </c>
      <c r="AS49" s="195" t="s">
        <v>308</v>
      </c>
      <c r="AT49" s="199"/>
      <c r="AU49" s="202" t="s">
        <v>813</v>
      </c>
      <c r="AV49" s="195" t="s">
        <v>9</v>
      </c>
      <c r="AW49" s="195" t="str">
        <f ca="1">IFERROR(__xludf.DUMMYFUNCTION("IF(AND(IF(AS49=""Yes"",True,False),NOT(IFERROR(REGEXMATCH(AV49,ExclusionCategories),FALSE))),""Yes"", ""No"")"),"Yes")</f>
        <v>Yes</v>
      </c>
      <c r="AX49" s="195">
        <f ca="1">IFERROR(__xludf.DUMMYFUNCTION("IF(IFERROR(SEARCH(""Unclear"", Z49)) = 1, VALUE(REGEXEXTRACT(Z49,""\d+"")), Z49)"),25)</f>
        <v>25</v>
      </c>
      <c r="AY49" s="195">
        <v>25</v>
      </c>
      <c r="AZ49" s="195">
        <f ca="1">IFERROR(__xludf.DUMMYFUNCTION("IF(IFERROR(SEARCH(""Unclear"", AG49)) = 1, VALUE(REGEXEXTRACT(AG49,""\d+"")), AG49)"),0)</f>
        <v>0</v>
      </c>
      <c r="BA49" s="195">
        <v>36</v>
      </c>
      <c r="BB49" s="195">
        <f ca="1">IFERROR(__xludf.DUMMYFUNCTION("IF(IFERROR(SEARCH(""Unclear"", AJ49)) = 1, VALUE(REGEXEXTRACT(AJ49,""\d+"")), AJ49)"),1)</f>
        <v>1</v>
      </c>
      <c r="BC49" s="217">
        <v>25</v>
      </c>
      <c r="BD49" s="195" t="b">
        <f t="shared" si="2"/>
        <v>1</v>
      </c>
      <c r="BE49" s="195" t="b">
        <f t="shared" ref="BE49:BF49" si="51">IF(IFERROR(FIND("ND",AI49),0),FALSE,TRUE)</f>
        <v>1</v>
      </c>
      <c r="BF49" s="195" t="b">
        <f t="shared" si="51"/>
        <v>1</v>
      </c>
    </row>
    <row r="50" spans="1:58" ht="34.5" customHeight="1">
      <c r="A50" s="212" t="s">
        <v>814</v>
      </c>
      <c r="B50" s="195">
        <v>2020</v>
      </c>
      <c r="C50" s="195" t="s">
        <v>520</v>
      </c>
      <c r="D50" s="4" t="s">
        <v>815</v>
      </c>
      <c r="E50" s="207">
        <v>32035708</v>
      </c>
      <c r="F50" s="208" t="str">
        <f t="shared" si="0"/>
        <v>https://pubmed.ncbi.nlm.nih.gov/32035708</v>
      </c>
      <c r="G50" s="197" t="str">
        <f t="shared" si="1"/>
        <v>Hales 2020</v>
      </c>
      <c r="H50" s="195">
        <v>2016</v>
      </c>
      <c r="I50" s="195" t="s">
        <v>816</v>
      </c>
      <c r="J50" s="195" t="s">
        <v>322</v>
      </c>
      <c r="K50" s="195">
        <v>117</v>
      </c>
      <c r="L50" s="4" t="s">
        <v>817</v>
      </c>
      <c r="M50" s="195" t="s">
        <v>324</v>
      </c>
      <c r="N50" s="195" t="s">
        <v>324</v>
      </c>
      <c r="O50" s="195" t="s">
        <v>324</v>
      </c>
      <c r="P50" s="195" t="s">
        <v>324</v>
      </c>
      <c r="Q50" s="195" t="s">
        <v>324</v>
      </c>
      <c r="R50" s="195">
        <v>18</v>
      </c>
      <c r="S50" s="195">
        <v>50</v>
      </c>
      <c r="T50" s="195" t="s">
        <v>324</v>
      </c>
      <c r="U50" s="195" t="s">
        <v>324</v>
      </c>
      <c r="V50" s="195" t="s">
        <v>818</v>
      </c>
      <c r="W50" s="195" t="s">
        <v>819</v>
      </c>
      <c r="X50" s="195">
        <v>117</v>
      </c>
      <c r="Y50" s="199"/>
      <c r="Z50" s="195">
        <v>47</v>
      </c>
      <c r="AA50" s="199"/>
      <c r="AB50" s="195">
        <v>0</v>
      </c>
      <c r="AC50" s="195" t="s">
        <v>525</v>
      </c>
      <c r="AD50" s="195" t="s">
        <v>322</v>
      </c>
      <c r="AE50" s="195" t="s">
        <v>820</v>
      </c>
      <c r="AF50" s="199"/>
      <c r="AG50" s="195">
        <v>8</v>
      </c>
      <c r="AH50" s="195" t="s">
        <v>527</v>
      </c>
      <c r="AI50" s="195">
        <v>0</v>
      </c>
      <c r="AJ50" s="195" t="s">
        <v>324</v>
      </c>
      <c r="AK50" s="195" t="s">
        <v>821</v>
      </c>
      <c r="AL50" s="195" t="s">
        <v>695</v>
      </c>
      <c r="AM50" s="199"/>
      <c r="AN50" s="195" t="s">
        <v>822</v>
      </c>
      <c r="AO50" s="195" t="s">
        <v>823</v>
      </c>
      <c r="AP50" s="195" t="s">
        <v>824</v>
      </c>
      <c r="AQ50" s="195" t="s">
        <v>825</v>
      </c>
      <c r="AR50" s="209" t="s">
        <v>517</v>
      </c>
      <c r="AS50" s="195" t="s">
        <v>316</v>
      </c>
      <c r="AT50" s="199"/>
      <c r="AU50" s="202" t="s">
        <v>826</v>
      </c>
      <c r="AV50" s="195" t="s">
        <v>326</v>
      </c>
      <c r="AW50" s="195" t="str">
        <f ca="1">IFERROR(__xludf.DUMMYFUNCTION("IF(AND(IF(AS50=""Yes"",True,False),NOT(IFERROR(REGEXMATCH(AV50,ExclusionCategories),FALSE))),""Yes"", ""No"")"),"No")</f>
        <v>No</v>
      </c>
      <c r="AX50" s="195">
        <f ca="1">IFERROR(__xludf.DUMMYFUNCTION("IF(IFERROR(SEARCH(""Unclear"", Z50)) = 1, VALUE(REGEXEXTRACT(Z50,""\d+"")), Z50)"),47)</f>
        <v>47</v>
      </c>
      <c r="AY50" s="195">
        <v>47</v>
      </c>
      <c r="AZ50" s="195">
        <f ca="1">IFERROR(__xludf.DUMMYFUNCTION("IF(IFERROR(SEARCH(""Unclear"", AG50)) = 1, VALUE(REGEXEXTRACT(AG50,""\d+"")), AG50)"),8)</f>
        <v>8</v>
      </c>
      <c r="BA50" s="195">
        <v>8</v>
      </c>
      <c r="BB50" s="195" t="str">
        <f ca="1">IFERROR(__xludf.DUMMYFUNCTION("IF(IFERROR(SEARCH(""Unclear"", AJ50)) = 1, VALUE(REGEXEXTRACT(AJ50,""\d+"")), AJ50)"),"ND")</f>
        <v>ND</v>
      </c>
      <c r="BC50" s="195" t="s">
        <v>324</v>
      </c>
      <c r="BD50" s="195" t="b">
        <f t="shared" si="2"/>
        <v>1</v>
      </c>
      <c r="BE50" s="195" t="b">
        <f t="shared" ref="BE50:BF50" si="52">IF(IFERROR(FIND("ND",AI50),0),FALSE,TRUE)</f>
        <v>1</v>
      </c>
      <c r="BF50" s="195" t="b">
        <f t="shared" si="52"/>
        <v>0</v>
      </c>
    </row>
    <row r="51" spans="1:58" ht="34.5" customHeight="1">
      <c r="A51" s="212" t="s">
        <v>814</v>
      </c>
      <c r="B51" s="195">
        <v>2020</v>
      </c>
      <c r="C51" s="195" t="s">
        <v>520</v>
      </c>
      <c r="D51" s="4" t="s">
        <v>815</v>
      </c>
      <c r="E51" s="207">
        <v>32035708</v>
      </c>
      <c r="F51" s="208" t="str">
        <f t="shared" si="0"/>
        <v>https://pubmed.ncbi.nlm.nih.gov/32035708</v>
      </c>
      <c r="G51" s="197" t="str">
        <f t="shared" si="1"/>
        <v>Hales 2020</v>
      </c>
      <c r="H51" s="195">
        <v>2017</v>
      </c>
      <c r="I51" s="195" t="s">
        <v>816</v>
      </c>
      <c r="J51" s="195" t="s">
        <v>322</v>
      </c>
      <c r="K51" s="195">
        <v>163</v>
      </c>
      <c r="L51" s="4" t="s">
        <v>827</v>
      </c>
      <c r="M51" s="195" t="s">
        <v>324</v>
      </c>
      <c r="N51" s="195" t="s">
        <v>324</v>
      </c>
      <c r="O51" s="195" t="s">
        <v>324</v>
      </c>
      <c r="P51" s="195" t="s">
        <v>324</v>
      </c>
      <c r="Q51" s="195" t="s">
        <v>324</v>
      </c>
      <c r="R51" s="195">
        <v>18</v>
      </c>
      <c r="S51" s="195">
        <v>50</v>
      </c>
      <c r="T51" s="195" t="s">
        <v>324</v>
      </c>
      <c r="U51" s="195" t="s">
        <v>324</v>
      </c>
      <c r="V51" s="195" t="s">
        <v>818</v>
      </c>
      <c r="W51" s="195" t="s">
        <v>819</v>
      </c>
      <c r="X51" s="195">
        <v>163</v>
      </c>
      <c r="Y51" s="199"/>
      <c r="Z51" s="195">
        <v>79</v>
      </c>
      <c r="AA51" s="199"/>
      <c r="AB51" s="195">
        <v>0</v>
      </c>
      <c r="AC51" s="195" t="s">
        <v>525</v>
      </c>
      <c r="AD51" s="195" t="s">
        <v>322</v>
      </c>
      <c r="AE51" s="195" t="s">
        <v>820</v>
      </c>
      <c r="AF51" s="199"/>
      <c r="AG51" s="195">
        <v>10</v>
      </c>
      <c r="AH51" s="195" t="s">
        <v>527</v>
      </c>
      <c r="AI51" s="195">
        <v>0</v>
      </c>
      <c r="AJ51" s="195" t="s">
        <v>324</v>
      </c>
      <c r="AK51" s="195" t="s">
        <v>821</v>
      </c>
      <c r="AL51" s="195" t="s">
        <v>695</v>
      </c>
      <c r="AM51" s="199"/>
      <c r="AN51" s="195" t="s">
        <v>822</v>
      </c>
      <c r="AO51" s="195" t="s">
        <v>823</v>
      </c>
      <c r="AP51" s="195" t="s">
        <v>824</v>
      </c>
      <c r="AQ51" s="195" t="s">
        <v>825</v>
      </c>
      <c r="AR51" s="209" t="s">
        <v>517</v>
      </c>
      <c r="AS51" s="195" t="s">
        <v>316</v>
      </c>
      <c r="AT51" s="199"/>
      <c r="AU51" s="202" t="s">
        <v>826</v>
      </c>
      <c r="AV51" s="195" t="s">
        <v>326</v>
      </c>
      <c r="AW51" s="195" t="str">
        <f ca="1">IFERROR(__xludf.DUMMYFUNCTION("IF(AND(IF(AS51=""Yes"",True,False),NOT(IFERROR(REGEXMATCH(AV51,ExclusionCategories),FALSE))),""Yes"", ""No"")"),"No")</f>
        <v>No</v>
      </c>
      <c r="AX51" s="195">
        <f ca="1">IFERROR(__xludf.DUMMYFUNCTION("IF(IFERROR(SEARCH(""Unclear"", Z51)) = 1, VALUE(REGEXEXTRACT(Z51,""\d+"")), Z51)"),79)</f>
        <v>79</v>
      </c>
      <c r="AY51" s="195">
        <v>79</v>
      </c>
      <c r="AZ51" s="195">
        <f ca="1">IFERROR(__xludf.DUMMYFUNCTION("IF(IFERROR(SEARCH(""Unclear"", AG51)) = 1, VALUE(REGEXEXTRACT(AG51,""\d+"")), AG51)"),10)</f>
        <v>10</v>
      </c>
      <c r="BA51" s="195">
        <v>10</v>
      </c>
      <c r="BB51" s="195" t="str">
        <f ca="1">IFERROR(__xludf.DUMMYFUNCTION("IF(IFERROR(SEARCH(""Unclear"", AJ51)) = 1, VALUE(REGEXEXTRACT(AJ51,""\d+"")), AJ51)"),"ND")</f>
        <v>ND</v>
      </c>
      <c r="BC51" s="195" t="s">
        <v>324</v>
      </c>
      <c r="BD51" s="195" t="b">
        <f t="shared" si="2"/>
        <v>1</v>
      </c>
      <c r="BE51" s="195" t="b">
        <f t="shared" ref="BE51:BF51" si="53">IF(IFERROR(FIND("ND",AI51),0),FALSE,TRUE)</f>
        <v>1</v>
      </c>
      <c r="BF51" s="195" t="b">
        <f t="shared" si="53"/>
        <v>0</v>
      </c>
    </row>
    <row r="52" spans="1:58" ht="34.5" customHeight="1">
      <c r="A52" s="212" t="s">
        <v>814</v>
      </c>
      <c r="B52" s="195">
        <v>2020</v>
      </c>
      <c r="C52" s="195" t="s">
        <v>520</v>
      </c>
      <c r="D52" s="4" t="s">
        <v>815</v>
      </c>
      <c r="E52" s="207">
        <v>32035708</v>
      </c>
      <c r="F52" s="208" t="str">
        <f t="shared" si="0"/>
        <v>https://pubmed.ncbi.nlm.nih.gov/32035708</v>
      </c>
      <c r="G52" s="197" t="str">
        <f t="shared" si="1"/>
        <v>Hales 2020</v>
      </c>
      <c r="H52" s="195">
        <v>2017</v>
      </c>
      <c r="I52" s="195" t="s">
        <v>816</v>
      </c>
      <c r="J52" s="195" t="s">
        <v>322</v>
      </c>
      <c r="K52" s="195">
        <v>280</v>
      </c>
      <c r="L52" s="4" t="s">
        <v>334</v>
      </c>
      <c r="M52" s="195" t="s">
        <v>324</v>
      </c>
      <c r="N52" s="195" t="s">
        <v>324</v>
      </c>
      <c r="O52" s="195" t="s">
        <v>324</v>
      </c>
      <c r="P52" s="195" t="s">
        <v>324</v>
      </c>
      <c r="Q52" s="195" t="s">
        <v>324</v>
      </c>
      <c r="R52" s="195">
        <v>18</v>
      </c>
      <c r="S52" s="195">
        <v>50</v>
      </c>
      <c r="T52" s="195" t="s">
        <v>324</v>
      </c>
      <c r="U52" s="195" t="s">
        <v>324</v>
      </c>
      <c r="V52" s="195" t="s">
        <v>818</v>
      </c>
      <c r="W52" s="195" t="s">
        <v>819</v>
      </c>
      <c r="X52" s="195">
        <v>280</v>
      </c>
      <c r="Y52" s="199"/>
      <c r="Z52" s="195">
        <v>126</v>
      </c>
      <c r="AA52" s="199"/>
      <c r="AB52" s="195">
        <v>0</v>
      </c>
      <c r="AC52" s="195" t="s">
        <v>525</v>
      </c>
      <c r="AD52" s="195" t="s">
        <v>322</v>
      </c>
      <c r="AE52" s="195" t="s">
        <v>820</v>
      </c>
      <c r="AF52" s="199"/>
      <c r="AG52" s="195">
        <v>18</v>
      </c>
      <c r="AH52" s="195" t="s">
        <v>316</v>
      </c>
      <c r="AI52" s="195">
        <v>0</v>
      </c>
      <c r="AJ52" s="195" t="s">
        <v>324</v>
      </c>
      <c r="AK52" s="195" t="s">
        <v>821</v>
      </c>
      <c r="AL52" s="195" t="s">
        <v>695</v>
      </c>
      <c r="AM52" s="199"/>
      <c r="AN52" s="195" t="s">
        <v>822</v>
      </c>
      <c r="AO52" s="195" t="s">
        <v>823</v>
      </c>
      <c r="AP52" s="195" t="s">
        <v>824</v>
      </c>
      <c r="AQ52" s="195" t="s">
        <v>825</v>
      </c>
      <c r="AR52" s="209" t="s">
        <v>517</v>
      </c>
      <c r="AS52" s="195" t="s">
        <v>316</v>
      </c>
      <c r="AT52" s="199"/>
      <c r="AU52" s="202" t="s">
        <v>826</v>
      </c>
      <c r="AV52" s="195" t="s">
        <v>828</v>
      </c>
      <c r="AW52" s="195" t="str">
        <f ca="1">IFERROR(__xludf.DUMMYFUNCTION("IF(AND(IF(AS52=""Yes"",True,False),NOT(IFERROR(REGEXMATCH(AV52,ExclusionCategories),FALSE))),""Yes"", ""No"")"),"No")</f>
        <v>No</v>
      </c>
      <c r="AX52" s="195">
        <f ca="1">IFERROR(__xludf.DUMMYFUNCTION("IF(IFERROR(SEARCH(""Unclear"", Z52)) = 1, VALUE(REGEXEXTRACT(Z52,""\d+"")), Z52)"),126)</f>
        <v>126</v>
      </c>
      <c r="AY52" s="195">
        <v>126</v>
      </c>
      <c r="AZ52" s="195">
        <f ca="1">IFERROR(__xludf.DUMMYFUNCTION("IF(IFERROR(SEARCH(""Unclear"", AG52)) = 1, VALUE(REGEXEXTRACT(AG52,""\d+"")), AG52)"),18)</f>
        <v>18</v>
      </c>
      <c r="BA52" s="195">
        <v>18</v>
      </c>
      <c r="BB52" s="195" t="str">
        <f ca="1">IFERROR(__xludf.DUMMYFUNCTION("IF(IFERROR(SEARCH(""Unclear"", AJ52)) = 1, VALUE(REGEXEXTRACT(AJ52,""\d+"")), AJ52)"),"ND")</f>
        <v>ND</v>
      </c>
      <c r="BC52" s="195" t="s">
        <v>324</v>
      </c>
      <c r="BD52" s="195" t="b">
        <f t="shared" si="2"/>
        <v>1</v>
      </c>
      <c r="BE52" s="195" t="b">
        <f t="shared" ref="BE52:BF52" si="54">IF(IFERROR(FIND("ND",AI52),0),FALSE,TRUE)</f>
        <v>1</v>
      </c>
      <c r="BF52" s="195" t="b">
        <f t="shared" si="54"/>
        <v>0</v>
      </c>
    </row>
    <row r="53" spans="1:58" ht="34.5" customHeight="1">
      <c r="A53" s="212" t="s">
        <v>829</v>
      </c>
      <c r="B53" s="195">
        <v>2019</v>
      </c>
      <c r="C53" s="195" t="s">
        <v>520</v>
      </c>
      <c r="D53" s="4" t="s">
        <v>830</v>
      </c>
      <c r="E53" s="216">
        <v>30758980</v>
      </c>
      <c r="F53" s="208" t="str">
        <f t="shared" si="0"/>
        <v>https://pubmed.ncbi.nlm.nih.gov/30758980</v>
      </c>
      <c r="G53" s="197" t="str">
        <f t="shared" si="1"/>
        <v>Rylance 2019</v>
      </c>
      <c r="H53" s="195">
        <v>2017</v>
      </c>
      <c r="I53" s="195" t="s">
        <v>831</v>
      </c>
      <c r="J53" s="198" t="s">
        <v>832</v>
      </c>
      <c r="K53" s="195">
        <v>130</v>
      </c>
      <c r="L53" s="4" t="s">
        <v>833</v>
      </c>
      <c r="M53" s="221">
        <f t="shared" ref="M53:M54" si="55">K53-N53</f>
        <v>54.600000000000009</v>
      </c>
      <c r="N53" s="221">
        <f>K53*0.58</f>
        <v>75.399999999999991</v>
      </c>
      <c r="O53" s="195" t="s">
        <v>324</v>
      </c>
      <c r="P53" s="195">
        <v>18</v>
      </c>
      <c r="Q53" s="195">
        <v>48</v>
      </c>
      <c r="R53" s="195">
        <v>18</v>
      </c>
      <c r="S53" s="195">
        <v>50</v>
      </c>
      <c r="T53" s="195">
        <v>20</v>
      </c>
      <c r="U53" s="195" t="s">
        <v>324</v>
      </c>
      <c r="V53" s="195" t="s">
        <v>834</v>
      </c>
      <c r="W53" s="199"/>
      <c r="X53" s="195">
        <v>117</v>
      </c>
      <c r="Y53" s="195" t="s">
        <v>835</v>
      </c>
      <c r="Z53" s="195">
        <v>49</v>
      </c>
      <c r="AA53" s="195" t="s">
        <v>836</v>
      </c>
      <c r="AB53" s="195">
        <v>0</v>
      </c>
      <c r="AC53" s="195" t="s">
        <v>549</v>
      </c>
      <c r="AD53" s="195" t="s">
        <v>322</v>
      </c>
      <c r="AE53" s="195" t="s">
        <v>332</v>
      </c>
      <c r="AF53" s="199"/>
      <c r="AG53" s="195" t="s">
        <v>324</v>
      </c>
      <c r="AH53" s="195" t="s">
        <v>527</v>
      </c>
      <c r="AI53" s="195" t="s">
        <v>324</v>
      </c>
      <c r="AJ53" s="195" t="s">
        <v>324</v>
      </c>
      <c r="AK53" s="195" t="s">
        <v>837</v>
      </c>
      <c r="AL53" s="195" t="s">
        <v>322</v>
      </c>
      <c r="AM53" s="199"/>
      <c r="AN53" s="195" t="s">
        <v>838</v>
      </c>
      <c r="AO53" s="195" t="s">
        <v>839</v>
      </c>
      <c r="AP53" s="195" t="s">
        <v>840</v>
      </c>
      <c r="AQ53" s="195" t="s">
        <v>841</v>
      </c>
      <c r="AR53" s="209" t="s">
        <v>517</v>
      </c>
      <c r="AS53" s="195" t="s">
        <v>316</v>
      </c>
      <c r="AT53" s="199"/>
      <c r="AU53" s="202" t="s">
        <v>842</v>
      </c>
      <c r="AV53" s="195" t="s">
        <v>326</v>
      </c>
      <c r="AW53" s="195" t="str">
        <f ca="1">IFERROR(__xludf.DUMMYFUNCTION("IF(AND(IF(AS53=""Yes"",True,False),NOT(IFERROR(REGEXMATCH(AV53,ExclusionCategories),FALSE))),""Yes"", ""No"")"),"No")</f>
        <v>No</v>
      </c>
      <c r="AX53" s="195">
        <f ca="1">IFERROR(__xludf.DUMMYFUNCTION("IF(IFERROR(SEARCH(""Unclear"", Z53)) = 1, VALUE(REGEXEXTRACT(Z53,""\d+"")), Z53)"),49)</f>
        <v>49</v>
      </c>
      <c r="AY53" s="195">
        <v>49</v>
      </c>
      <c r="AZ53" s="195" t="str">
        <f ca="1">IFERROR(__xludf.DUMMYFUNCTION("IF(IFERROR(SEARCH(""Unclear"", AG53)) = 1, VALUE(REGEXEXTRACT(AG53,""\d+"")), AG53)"),"ND")</f>
        <v>ND</v>
      </c>
      <c r="BA53" s="195" t="s">
        <v>324</v>
      </c>
      <c r="BB53" s="195" t="str">
        <f ca="1">IFERROR(__xludf.DUMMYFUNCTION("IF(IFERROR(SEARCH(""Unclear"", AJ53)) = 1, VALUE(REGEXEXTRACT(AJ53,""\d+"")), AJ53)"),"ND")</f>
        <v>ND</v>
      </c>
      <c r="BC53" s="195" t="s">
        <v>324</v>
      </c>
      <c r="BD53" s="195" t="b">
        <f t="shared" si="2"/>
        <v>0</v>
      </c>
      <c r="BE53" s="195" t="b">
        <f t="shared" ref="BE53:BF53" si="56">IF(IFERROR(FIND("ND",AI53),0),FALSE,TRUE)</f>
        <v>0</v>
      </c>
      <c r="BF53" s="195" t="b">
        <f t="shared" si="56"/>
        <v>0</v>
      </c>
    </row>
    <row r="54" spans="1:58" ht="34.5" customHeight="1">
      <c r="A54" s="212" t="s">
        <v>829</v>
      </c>
      <c r="B54" s="195">
        <v>2019</v>
      </c>
      <c r="C54" s="195" t="s">
        <v>520</v>
      </c>
      <c r="D54" s="4" t="s">
        <v>830</v>
      </c>
      <c r="E54" s="222">
        <v>30758980</v>
      </c>
      <c r="F54" s="208" t="str">
        <f t="shared" si="0"/>
        <v>https://pubmed.ncbi.nlm.nih.gov/30758980</v>
      </c>
      <c r="G54" s="197" t="str">
        <f t="shared" si="1"/>
        <v>Rylance 2019</v>
      </c>
      <c r="H54" s="195">
        <v>2017</v>
      </c>
      <c r="I54" s="195" t="s">
        <v>831</v>
      </c>
      <c r="J54" s="198" t="s">
        <v>832</v>
      </c>
      <c r="K54" s="195">
        <v>163</v>
      </c>
      <c r="L54" s="4" t="s">
        <v>843</v>
      </c>
      <c r="M54" s="221">
        <f t="shared" si="55"/>
        <v>73.349999999999994</v>
      </c>
      <c r="N54" s="221">
        <f>K54*0.55</f>
        <v>89.65</v>
      </c>
      <c r="O54" s="195" t="s">
        <v>324</v>
      </c>
      <c r="P54" s="195">
        <v>18</v>
      </c>
      <c r="Q54" s="195">
        <v>46</v>
      </c>
      <c r="R54" s="195">
        <v>18</v>
      </c>
      <c r="S54" s="195">
        <v>50</v>
      </c>
      <c r="T54" s="195">
        <v>20</v>
      </c>
      <c r="U54" s="195" t="s">
        <v>324</v>
      </c>
      <c r="V54" s="195" t="s">
        <v>834</v>
      </c>
      <c r="W54" s="199"/>
      <c r="X54" s="195">
        <f>73+90</f>
        <v>163</v>
      </c>
      <c r="Y54" s="195" t="s">
        <v>844</v>
      </c>
      <c r="Z54" s="199">
        <f>36+45</f>
        <v>81</v>
      </c>
      <c r="AA54" s="195" t="s">
        <v>845</v>
      </c>
      <c r="AB54" s="195">
        <v>0</v>
      </c>
      <c r="AC54" s="195" t="s">
        <v>549</v>
      </c>
      <c r="AD54" s="195" t="s">
        <v>322</v>
      </c>
      <c r="AE54" s="195" t="s">
        <v>332</v>
      </c>
      <c r="AF54" s="199"/>
      <c r="AG54" s="195" t="s">
        <v>324</v>
      </c>
      <c r="AH54" s="195" t="s">
        <v>527</v>
      </c>
      <c r="AI54" s="195" t="s">
        <v>324</v>
      </c>
      <c r="AJ54" s="195" t="s">
        <v>324</v>
      </c>
      <c r="AK54" s="195" t="s">
        <v>837</v>
      </c>
      <c r="AL54" s="195" t="s">
        <v>322</v>
      </c>
      <c r="AM54" s="199"/>
      <c r="AN54" s="195" t="s">
        <v>838</v>
      </c>
      <c r="AO54" s="195" t="s">
        <v>839</v>
      </c>
      <c r="AP54" s="195" t="s">
        <v>840</v>
      </c>
      <c r="AQ54" s="195" t="s">
        <v>841</v>
      </c>
      <c r="AR54" s="209" t="s">
        <v>517</v>
      </c>
      <c r="AS54" s="195" t="s">
        <v>316</v>
      </c>
      <c r="AT54" s="199"/>
      <c r="AU54" s="202" t="s">
        <v>842</v>
      </c>
      <c r="AV54" s="195" t="s">
        <v>326</v>
      </c>
      <c r="AW54" s="195" t="str">
        <f ca="1">IFERROR(__xludf.DUMMYFUNCTION("IF(AND(IF(AS54=""Yes"",True,False),NOT(IFERROR(REGEXMATCH(AV54,ExclusionCategories),FALSE))),""Yes"", ""No"")"),"No")</f>
        <v>No</v>
      </c>
      <c r="AX54" s="195">
        <f ca="1">IFERROR(__xludf.DUMMYFUNCTION("IF(IFERROR(SEARCH(""Unclear"", Z54)) = 1, VALUE(REGEXEXTRACT(Z54,""\d+"")), Z54)"),81)</f>
        <v>81</v>
      </c>
      <c r="AY54" s="195">
        <v>81</v>
      </c>
      <c r="AZ54" s="195" t="str">
        <f ca="1">IFERROR(__xludf.DUMMYFUNCTION("IF(IFERROR(SEARCH(""Unclear"", AG54)) = 1, VALUE(REGEXEXTRACT(AG54,""\d+"")), AG54)"),"ND")</f>
        <v>ND</v>
      </c>
      <c r="BA54" s="195" t="s">
        <v>324</v>
      </c>
      <c r="BB54" s="195" t="str">
        <f ca="1">IFERROR(__xludf.DUMMYFUNCTION("IF(IFERROR(SEARCH(""Unclear"", AJ54)) = 1, VALUE(REGEXEXTRACT(AJ54,""\d+"")), AJ54)"),"ND")</f>
        <v>ND</v>
      </c>
      <c r="BC54" s="195" t="s">
        <v>324</v>
      </c>
      <c r="BD54" s="195" t="b">
        <f t="shared" si="2"/>
        <v>0</v>
      </c>
      <c r="BE54" s="195" t="b">
        <f t="shared" ref="BE54:BF54" si="57">IF(IFERROR(FIND("ND",AI54),0),FALSE,TRUE)</f>
        <v>0</v>
      </c>
      <c r="BF54" s="195" t="b">
        <f t="shared" si="57"/>
        <v>0</v>
      </c>
    </row>
    <row r="55" spans="1:58" ht="34.5" customHeight="1">
      <c r="A55" s="212" t="s">
        <v>829</v>
      </c>
      <c r="B55" s="195">
        <v>2019</v>
      </c>
      <c r="C55" s="195" t="s">
        <v>520</v>
      </c>
      <c r="D55" s="4" t="s">
        <v>830</v>
      </c>
      <c r="E55" s="214">
        <v>30758980</v>
      </c>
      <c r="F55" s="208" t="str">
        <f t="shared" si="0"/>
        <v>https://pubmed.ncbi.nlm.nih.gov/30758980</v>
      </c>
      <c r="G55" s="197" t="str">
        <f t="shared" si="1"/>
        <v>Rylance 2019</v>
      </c>
      <c r="H55" s="195">
        <v>2017</v>
      </c>
      <c r="I55" s="195" t="s">
        <v>831</v>
      </c>
      <c r="J55" s="198" t="s">
        <v>832</v>
      </c>
      <c r="K55" s="195">
        <v>293</v>
      </c>
      <c r="L55" s="4" t="s">
        <v>846</v>
      </c>
      <c r="M55" s="195">
        <v>128</v>
      </c>
      <c r="N55" s="223">
        <v>165</v>
      </c>
      <c r="O55" s="195" t="s">
        <v>324</v>
      </c>
      <c r="P55" s="195">
        <v>18</v>
      </c>
      <c r="Q55" s="195">
        <v>48</v>
      </c>
      <c r="R55" s="195">
        <v>18</v>
      </c>
      <c r="S55" s="195">
        <v>50</v>
      </c>
      <c r="T55" s="195" t="s">
        <v>847</v>
      </c>
      <c r="U55" s="195" t="s">
        <v>324</v>
      </c>
      <c r="V55" s="195" t="s">
        <v>834</v>
      </c>
      <c r="W55" s="199"/>
      <c r="X55" s="195">
        <v>280</v>
      </c>
      <c r="Y55" s="195"/>
      <c r="Z55" s="195">
        <v>130</v>
      </c>
      <c r="AA55" s="195"/>
      <c r="AB55" s="195">
        <v>0</v>
      </c>
      <c r="AC55" s="195"/>
      <c r="AD55" s="195" t="s">
        <v>322</v>
      </c>
      <c r="AE55" s="195" t="s">
        <v>332</v>
      </c>
      <c r="AF55" s="199"/>
      <c r="AG55" s="195" t="s">
        <v>324</v>
      </c>
      <c r="AH55" s="195" t="s">
        <v>316</v>
      </c>
      <c r="AI55" s="195" t="s">
        <v>324</v>
      </c>
      <c r="AJ55" s="195" t="s">
        <v>324</v>
      </c>
      <c r="AK55" s="195" t="s">
        <v>837</v>
      </c>
      <c r="AL55" s="195" t="s">
        <v>322</v>
      </c>
      <c r="AM55" s="199"/>
      <c r="AN55" s="195" t="s">
        <v>838</v>
      </c>
      <c r="AO55" s="195" t="s">
        <v>839</v>
      </c>
      <c r="AP55" s="195" t="s">
        <v>840</v>
      </c>
      <c r="AQ55" s="195" t="s">
        <v>841</v>
      </c>
      <c r="AR55" s="209" t="s">
        <v>517</v>
      </c>
      <c r="AS55" s="195" t="s">
        <v>316</v>
      </c>
      <c r="AT55" s="199"/>
      <c r="AU55" s="202" t="s">
        <v>842</v>
      </c>
      <c r="AV55" s="195" t="s">
        <v>828</v>
      </c>
      <c r="AW55" s="195" t="str">
        <f ca="1">IFERROR(__xludf.DUMMYFUNCTION("IF(AND(IF(AS55=""Yes"",True,False),NOT(IFERROR(REGEXMATCH(AV55,ExclusionCategories),FALSE))),""Yes"", ""No"")"),"No")</f>
        <v>No</v>
      </c>
      <c r="AX55" s="195">
        <f ca="1">IFERROR(__xludf.DUMMYFUNCTION("IF(IFERROR(SEARCH(""Unclear"", Z55)) = 1, VALUE(REGEXEXTRACT(Z55,""\d+"")), Z55)"),130)</f>
        <v>130</v>
      </c>
      <c r="AY55" s="195">
        <v>130</v>
      </c>
      <c r="AZ55" s="195" t="str">
        <f ca="1">IFERROR(__xludf.DUMMYFUNCTION("IF(IFERROR(SEARCH(""Unclear"", AG55)) = 1, VALUE(REGEXEXTRACT(AG55,""\d+"")), AG55)"),"ND")</f>
        <v>ND</v>
      </c>
      <c r="BA55" s="195" t="s">
        <v>324</v>
      </c>
      <c r="BB55" s="195" t="str">
        <f ca="1">IFERROR(__xludf.DUMMYFUNCTION("IF(IFERROR(SEARCH(""Unclear"", AJ55)) = 1, VALUE(REGEXEXTRACT(AJ55,""\d+"")), AJ55)"),"ND")</f>
        <v>ND</v>
      </c>
      <c r="BC55" s="195" t="s">
        <v>324</v>
      </c>
      <c r="BD55" s="195" t="b">
        <f t="shared" si="2"/>
        <v>0</v>
      </c>
      <c r="BE55" s="195" t="b">
        <f t="shared" ref="BE55:BF55" si="58">IF(IFERROR(FIND("ND",AI55),0),FALSE,TRUE)</f>
        <v>0</v>
      </c>
      <c r="BF55" s="195" t="b">
        <f t="shared" si="58"/>
        <v>0</v>
      </c>
    </row>
    <row r="56" spans="1:58" ht="34.5" customHeight="1">
      <c r="A56" s="212" t="s">
        <v>848</v>
      </c>
      <c r="B56" s="195">
        <v>2019</v>
      </c>
      <c r="C56" s="195" t="s">
        <v>520</v>
      </c>
      <c r="D56" s="4" t="s">
        <v>830</v>
      </c>
      <c r="E56" s="214" t="s">
        <v>849</v>
      </c>
      <c r="F56" s="224" t="s">
        <v>850</v>
      </c>
      <c r="G56" s="197" t="s">
        <v>851</v>
      </c>
      <c r="H56" s="195"/>
      <c r="I56" s="195" t="s">
        <v>852</v>
      </c>
      <c r="J56" s="198" t="s">
        <v>832</v>
      </c>
      <c r="K56" s="195">
        <v>293</v>
      </c>
      <c r="L56" s="4" t="s">
        <v>853</v>
      </c>
      <c r="M56" s="195">
        <v>128</v>
      </c>
      <c r="N56" s="223">
        <v>165</v>
      </c>
      <c r="O56" s="195" t="s">
        <v>324</v>
      </c>
      <c r="P56" s="195">
        <v>18</v>
      </c>
      <c r="Q56" s="195">
        <v>48</v>
      </c>
      <c r="R56" s="195">
        <v>18</v>
      </c>
      <c r="S56" s="195">
        <v>50</v>
      </c>
      <c r="T56" s="195" t="s">
        <v>847</v>
      </c>
      <c r="U56" s="195" t="s">
        <v>324</v>
      </c>
      <c r="V56" s="195" t="s">
        <v>834</v>
      </c>
      <c r="W56" s="199"/>
      <c r="X56" s="195">
        <v>280</v>
      </c>
      <c r="Y56" s="195"/>
      <c r="Z56" s="195">
        <v>130</v>
      </c>
      <c r="AA56" s="195"/>
      <c r="AB56" s="195">
        <v>0</v>
      </c>
      <c r="AC56" s="195"/>
      <c r="AD56" s="195" t="s">
        <v>322</v>
      </c>
      <c r="AE56" s="195" t="s">
        <v>820</v>
      </c>
      <c r="AF56" s="199"/>
      <c r="AG56" s="195">
        <v>18</v>
      </c>
      <c r="AH56" s="195" t="s">
        <v>316</v>
      </c>
      <c r="AI56" s="195">
        <v>0</v>
      </c>
      <c r="AJ56" s="195" t="s">
        <v>324</v>
      </c>
      <c r="AK56" s="195" t="s">
        <v>821</v>
      </c>
      <c r="AL56" s="195" t="s">
        <v>322</v>
      </c>
      <c r="AM56" s="199"/>
      <c r="AN56" s="195" t="s">
        <v>838</v>
      </c>
      <c r="AO56" s="195" t="s">
        <v>823</v>
      </c>
      <c r="AP56" s="195" t="s">
        <v>824</v>
      </c>
      <c r="AQ56" s="195" t="s">
        <v>825</v>
      </c>
      <c r="AR56" s="220" t="s">
        <v>517</v>
      </c>
      <c r="AS56" s="195" t="s">
        <v>308</v>
      </c>
      <c r="AT56" s="199"/>
      <c r="AU56" s="197" t="s">
        <v>851</v>
      </c>
      <c r="AV56" s="195" t="s">
        <v>337</v>
      </c>
      <c r="AW56" s="195" t="str">
        <f ca="1">IFERROR(__xludf.DUMMYFUNCTION("IF(AND(IF(AS56=""Yes"",True,False),NOT(IFERROR(REGEXMATCH(AV56,ExclusionCategories),FALSE))),""Yes"", ""No"")"),"Yes")</f>
        <v>Yes</v>
      </c>
      <c r="AX56" s="195">
        <f ca="1">IFERROR(__xludf.DUMMYFUNCTION("IF(IFERROR(SEARCH(""Unclear"", Z56)) = 1, VALUE(REGEXEXTRACT(Z56,""\d+"")), Z56)"),130)</f>
        <v>130</v>
      </c>
      <c r="AY56" s="195">
        <v>130</v>
      </c>
      <c r="AZ56" s="195">
        <f ca="1">IFERROR(__xludf.DUMMYFUNCTION("IF(IFERROR(SEARCH(""Unclear"", AG56)) = 1, VALUE(REGEXEXTRACT(AG56,""\d+"")), AG56)"),18)</f>
        <v>18</v>
      </c>
      <c r="BA56" s="195">
        <v>18</v>
      </c>
      <c r="BB56" s="195" t="str">
        <f ca="1">IFERROR(__xludf.DUMMYFUNCTION("IF(IFERROR(SEARCH(""Unclear"", AJ56)) = 1, VALUE(REGEXEXTRACT(AJ56,""\d+"")), AJ56)"),"ND")</f>
        <v>ND</v>
      </c>
      <c r="BC56" s="195" t="s">
        <v>324</v>
      </c>
      <c r="BD56" s="195" t="b">
        <f t="shared" si="2"/>
        <v>1</v>
      </c>
      <c r="BE56" s="195" t="b">
        <f t="shared" ref="BE56:BF56" si="59">IF(IFERROR(FIND("ND",AI56),0),FALSE,TRUE)</f>
        <v>1</v>
      </c>
      <c r="BF56" s="195" t="b">
        <f t="shared" si="59"/>
        <v>0</v>
      </c>
    </row>
    <row r="57" spans="1:58" ht="34.5" customHeight="1">
      <c r="A57" s="225" t="s">
        <v>854</v>
      </c>
      <c r="B57" s="226">
        <v>2014</v>
      </c>
      <c r="C57" s="195" t="s">
        <v>481</v>
      </c>
      <c r="D57" s="4" t="s">
        <v>855</v>
      </c>
      <c r="E57" s="227" t="s">
        <v>856</v>
      </c>
      <c r="F57" s="228" t="str">
        <f t="shared" ref="F57:F81" si="60">"https://pubmed.ncbi.nlm.nih.gov/"&amp;E57</f>
        <v>https://pubmed.ncbi.nlm.nih.gov/PMC3969545</v>
      </c>
      <c r="G57" s="197" t="str">
        <f t="shared" ref="G57:G81" si="61">HYPERLINK(AT57,AU57)</f>
        <v>Harris 2014</v>
      </c>
      <c r="H57" s="195">
        <v>2012</v>
      </c>
      <c r="I57" s="195" t="s">
        <v>857</v>
      </c>
      <c r="J57" s="229" t="s">
        <v>858</v>
      </c>
      <c r="K57" s="195">
        <v>48</v>
      </c>
      <c r="L57" s="4" t="s">
        <v>859</v>
      </c>
      <c r="M57" s="195">
        <v>21</v>
      </c>
      <c r="N57" s="195">
        <v>27</v>
      </c>
      <c r="O57" s="195" t="s">
        <v>860</v>
      </c>
      <c r="P57" s="195">
        <v>18</v>
      </c>
      <c r="Q57" s="195">
        <v>41</v>
      </c>
      <c r="R57" s="195">
        <v>18</v>
      </c>
      <c r="S57" s="195">
        <v>55</v>
      </c>
      <c r="T57" s="195" t="s">
        <v>324</v>
      </c>
      <c r="U57" s="195" t="s">
        <v>324</v>
      </c>
      <c r="V57" s="195" t="s">
        <v>861</v>
      </c>
      <c r="W57" s="195"/>
      <c r="X57" s="195">
        <v>48</v>
      </c>
      <c r="Y57" s="195" t="s">
        <v>862</v>
      </c>
      <c r="Z57" s="195">
        <v>48</v>
      </c>
      <c r="AA57" s="195" t="s">
        <v>863</v>
      </c>
      <c r="AB57" s="195">
        <v>0</v>
      </c>
      <c r="AC57" s="195"/>
      <c r="AD57" s="195" t="s">
        <v>322</v>
      </c>
      <c r="AE57" s="195" t="s">
        <v>864</v>
      </c>
      <c r="AF57" s="199"/>
      <c r="AG57" s="195" t="s">
        <v>324</v>
      </c>
      <c r="AH57" s="195" t="s">
        <v>316</v>
      </c>
      <c r="AI57" s="195">
        <v>0</v>
      </c>
      <c r="AJ57" s="195" t="s">
        <v>324</v>
      </c>
      <c r="AK57" s="195" t="s">
        <v>865</v>
      </c>
      <c r="AL57" s="195" t="s">
        <v>322</v>
      </c>
      <c r="AM57" s="199"/>
      <c r="AN57" s="195" t="s">
        <v>866</v>
      </c>
      <c r="AO57" s="195" t="s">
        <v>867</v>
      </c>
      <c r="AP57" s="195" t="s">
        <v>868</v>
      </c>
      <c r="AQ57" s="195" t="s">
        <v>869</v>
      </c>
      <c r="AR57" s="220" t="s">
        <v>517</v>
      </c>
      <c r="AS57" s="195" t="s">
        <v>308</v>
      </c>
      <c r="AT57" s="199"/>
      <c r="AU57" s="195" t="s">
        <v>870</v>
      </c>
      <c r="AV57" s="195" t="s">
        <v>871</v>
      </c>
      <c r="AW57" s="195" t="str">
        <f ca="1">IFERROR(__xludf.DUMMYFUNCTION("IF(AND(IF(AS57=""Yes"",True,False),NOT(IFERROR(REGEXMATCH(AV57,ExclusionCategories),FALSE))),""Yes"", ""No"")"),"Yes")</f>
        <v>Yes</v>
      </c>
      <c r="AX57" s="195">
        <f ca="1">IFERROR(__xludf.DUMMYFUNCTION("IF(IFERROR(SEARCH(""Unclear"", Z57)) = 1, VALUE(REGEXEXTRACT(Z57,""\d+"")), Z57)"),48)</f>
        <v>48</v>
      </c>
      <c r="AY57" s="195">
        <v>48</v>
      </c>
      <c r="AZ57" s="195" t="str">
        <f ca="1">IFERROR(__xludf.DUMMYFUNCTION("IF(IFERROR(SEARCH(""Unclear"", AG57)) = 1, VALUE(REGEXEXTRACT(AG57,""\d+"")), AG57)"),"ND")</f>
        <v>ND</v>
      </c>
      <c r="BA57" s="195" t="s">
        <v>324</v>
      </c>
      <c r="BB57" s="195" t="str">
        <f ca="1">IFERROR(__xludf.DUMMYFUNCTION("IF(IFERROR(SEARCH(""Unclear"", AJ57)) = 1, VALUE(REGEXEXTRACT(AJ57,""\d+"")), AJ57)"),"ND")</f>
        <v>ND</v>
      </c>
      <c r="BC57" s="195" t="s">
        <v>324</v>
      </c>
      <c r="BD57" s="195" t="b">
        <f t="shared" si="2"/>
        <v>0</v>
      </c>
      <c r="BE57" s="195" t="b">
        <f t="shared" ref="BE57:BF57" si="62">IF(IFERROR(FIND("ND",AI57),0),FALSE,TRUE)</f>
        <v>1</v>
      </c>
      <c r="BF57" s="195" t="b">
        <f t="shared" si="62"/>
        <v>0</v>
      </c>
    </row>
    <row r="58" spans="1:58" ht="34.5" customHeight="1">
      <c r="A58" s="212" t="s">
        <v>872</v>
      </c>
      <c r="B58" s="195">
        <v>2011</v>
      </c>
      <c r="C58" s="195" t="s">
        <v>619</v>
      </c>
      <c r="D58" s="4" t="s">
        <v>620</v>
      </c>
      <c r="E58" s="207">
        <v>21852546</v>
      </c>
      <c r="F58" s="208" t="str">
        <f t="shared" si="60"/>
        <v>https://pubmed.ncbi.nlm.nih.gov/21852546</v>
      </c>
      <c r="G58" s="197" t="str">
        <f t="shared" si="61"/>
        <v>Harro 2011b</v>
      </c>
      <c r="H58" s="195">
        <v>2009</v>
      </c>
      <c r="I58" s="199"/>
      <c r="J58" s="197"/>
      <c r="K58" s="195">
        <v>45</v>
      </c>
      <c r="L58" s="4" t="s">
        <v>788</v>
      </c>
      <c r="M58" s="195">
        <v>29</v>
      </c>
      <c r="N58" s="195">
        <v>16</v>
      </c>
      <c r="O58" s="195" t="s">
        <v>324</v>
      </c>
      <c r="P58" s="195">
        <v>19</v>
      </c>
      <c r="Q58" s="195">
        <v>45</v>
      </c>
      <c r="R58" s="195">
        <v>18</v>
      </c>
      <c r="S58" s="195">
        <v>45</v>
      </c>
      <c r="T58" s="195">
        <v>30.63</v>
      </c>
      <c r="U58" s="195" t="s">
        <v>324</v>
      </c>
      <c r="V58" s="195" t="s">
        <v>873</v>
      </c>
      <c r="W58" s="199"/>
      <c r="X58" s="195">
        <v>45</v>
      </c>
      <c r="Y58" s="199"/>
      <c r="Z58" s="195">
        <v>44</v>
      </c>
      <c r="AA58" s="195"/>
      <c r="AB58" s="195">
        <v>0</v>
      </c>
      <c r="AC58" s="195" t="s">
        <v>874</v>
      </c>
      <c r="AD58" s="199"/>
      <c r="AE58" s="195" t="s">
        <v>875</v>
      </c>
      <c r="AF58" s="199"/>
      <c r="AG58" s="195" t="s">
        <v>876</v>
      </c>
      <c r="AH58" s="195" t="s">
        <v>511</v>
      </c>
      <c r="AI58" s="195" t="s">
        <v>324</v>
      </c>
      <c r="AJ58" s="28" t="s">
        <v>345</v>
      </c>
      <c r="AK58" s="195" t="s">
        <v>877</v>
      </c>
      <c r="AL58" s="195" t="s">
        <v>322</v>
      </c>
      <c r="AM58" s="199"/>
      <c r="AN58" s="195" t="s">
        <v>699</v>
      </c>
      <c r="AO58" s="195" t="s">
        <v>878</v>
      </c>
      <c r="AP58" s="195" t="s">
        <v>879</v>
      </c>
      <c r="AQ58" s="195" t="s">
        <v>880</v>
      </c>
      <c r="AR58" s="209" t="s">
        <v>517</v>
      </c>
      <c r="AS58" s="195" t="s">
        <v>308</v>
      </c>
      <c r="AT58" s="199"/>
      <c r="AU58" s="202" t="s">
        <v>881</v>
      </c>
      <c r="AV58" s="195" t="s">
        <v>9</v>
      </c>
      <c r="AW58" s="195" t="str">
        <f ca="1">IFERROR(__xludf.DUMMYFUNCTION("IF(AND(IF(AS58=""Yes"",True,False),NOT(IFERROR(REGEXMATCH(AV58,ExclusionCategories),FALSE))),""Yes"", ""No"")"),"Yes")</f>
        <v>Yes</v>
      </c>
      <c r="AX58" s="195">
        <f ca="1">IFERROR(__xludf.DUMMYFUNCTION("IF(IFERROR(SEARCH(""Unclear"", Z58)) = 1, VALUE(REGEXEXTRACT(Z58,""\d+"")), Z58)"),44)</f>
        <v>44</v>
      </c>
      <c r="AY58" s="195">
        <v>44</v>
      </c>
      <c r="AZ58" s="195">
        <f ca="1">IFERROR(__xludf.DUMMYFUNCTION("IF(IFERROR(SEARCH(""Unclear"", AG58)) = 1, VALUE(REGEXEXTRACT(AG58,""\d+"")), AG58)"),27)</f>
        <v>27</v>
      </c>
      <c r="BA58" s="195">
        <v>45</v>
      </c>
      <c r="BB58" s="195">
        <f ca="1">IFERROR(__xludf.DUMMYFUNCTION("IF(IFERROR(SEARCH(""Unclear"", AJ58)) = 1, VALUE(REGEXEXTRACT(AJ58,""\d+"")), AJ58)"),1)</f>
        <v>1</v>
      </c>
      <c r="BC58" s="195">
        <v>45</v>
      </c>
      <c r="BD58" s="195" t="b">
        <f t="shared" si="2"/>
        <v>1</v>
      </c>
      <c r="BE58" s="195" t="b">
        <f t="shared" ref="BE58:BF58" si="63">IF(IFERROR(FIND("ND",AI58),0),FALSE,TRUE)</f>
        <v>0</v>
      </c>
      <c r="BF58" s="195" t="b">
        <f t="shared" si="63"/>
        <v>1</v>
      </c>
    </row>
    <row r="59" spans="1:58" ht="34.5" customHeight="1">
      <c r="A59" s="212" t="s">
        <v>872</v>
      </c>
      <c r="B59" s="195">
        <v>2011</v>
      </c>
      <c r="C59" s="195" t="s">
        <v>619</v>
      </c>
      <c r="D59" s="4" t="s">
        <v>620</v>
      </c>
      <c r="E59" s="207">
        <v>21852546</v>
      </c>
      <c r="F59" s="208" t="str">
        <f t="shared" si="60"/>
        <v>https://pubmed.ncbi.nlm.nih.gov/21852546</v>
      </c>
      <c r="G59" s="197" t="str">
        <f t="shared" si="61"/>
        <v>Harro 2011b</v>
      </c>
      <c r="H59" s="195">
        <v>2009</v>
      </c>
      <c r="I59" s="199"/>
      <c r="J59" s="197"/>
      <c r="K59" s="195">
        <v>10</v>
      </c>
      <c r="L59" s="4" t="s">
        <v>882</v>
      </c>
      <c r="M59" s="195">
        <v>9</v>
      </c>
      <c r="N59" s="195">
        <v>1</v>
      </c>
      <c r="O59" s="195" t="s">
        <v>324</v>
      </c>
      <c r="P59" s="195">
        <v>19</v>
      </c>
      <c r="Q59" s="195">
        <v>43</v>
      </c>
      <c r="R59" s="195">
        <v>18</v>
      </c>
      <c r="S59" s="195">
        <v>45</v>
      </c>
      <c r="T59" s="195">
        <v>30.3</v>
      </c>
      <c r="U59" s="195" t="s">
        <v>324</v>
      </c>
      <c r="V59" s="195" t="s">
        <v>873</v>
      </c>
      <c r="W59" s="199"/>
      <c r="X59" s="195">
        <v>10</v>
      </c>
      <c r="Y59" s="199"/>
      <c r="Z59" s="195">
        <v>9</v>
      </c>
      <c r="AA59" s="195"/>
      <c r="AB59" s="195">
        <v>0</v>
      </c>
      <c r="AC59" s="195" t="s">
        <v>874</v>
      </c>
      <c r="AD59" s="199"/>
      <c r="AE59" s="195" t="s">
        <v>875</v>
      </c>
      <c r="AF59" s="199"/>
      <c r="AG59" s="195" t="s">
        <v>883</v>
      </c>
      <c r="AH59" s="195" t="s">
        <v>511</v>
      </c>
      <c r="AI59" s="195" t="s">
        <v>324</v>
      </c>
      <c r="AJ59" s="28" t="s">
        <v>345</v>
      </c>
      <c r="AK59" s="195" t="s">
        <v>877</v>
      </c>
      <c r="AL59" s="195" t="s">
        <v>322</v>
      </c>
      <c r="AM59" s="199"/>
      <c r="AN59" s="195" t="s">
        <v>699</v>
      </c>
      <c r="AO59" s="195" t="s">
        <v>878</v>
      </c>
      <c r="AP59" s="195" t="s">
        <v>879</v>
      </c>
      <c r="AQ59" s="195" t="s">
        <v>880</v>
      </c>
      <c r="AR59" s="209" t="s">
        <v>517</v>
      </c>
      <c r="AS59" s="195" t="s">
        <v>308</v>
      </c>
      <c r="AT59" s="199"/>
      <c r="AU59" s="202" t="s">
        <v>881</v>
      </c>
      <c r="AV59" s="195" t="s">
        <v>15</v>
      </c>
      <c r="AW59" s="195" t="str">
        <f ca="1">IFERROR(__xludf.DUMMYFUNCTION("IF(AND(IF(AS59=""Yes"",True,False),NOT(IFERROR(REGEXMATCH(AV59,ExclusionCategories),FALSE))),""Yes"", ""No"")"),"No")</f>
        <v>No</v>
      </c>
      <c r="AX59" s="195">
        <f ca="1">IFERROR(__xludf.DUMMYFUNCTION("IF(IFERROR(SEARCH(""Unclear"", Z59)) = 1, VALUE(REGEXEXTRACT(Z59,""\d+"")), Z59)"),9)</f>
        <v>9</v>
      </c>
      <c r="AY59" s="195">
        <v>9</v>
      </c>
      <c r="AZ59" s="195">
        <f ca="1">IFERROR(__xludf.DUMMYFUNCTION("IF(IFERROR(SEARCH(""Unclear"", AG59)) = 1, VALUE(REGEXEXTRACT(AG59,""\d+"")), AG59)"),7)</f>
        <v>7</v>
      </c>
      <c r="BA59" s="195">
        <v>10</v>
      </c>
      <c r="BB59" s="195">
        <f ca="1">IFERROR(__xludf.DUMMYFUNCTION("IF(IFERROR(SEARCH(""Unclear"", AJ59)) = 1, VALUE(REGEXEXTRACT(AJ59,""\d+"")), AJ59)"),1)</f>
        <v>1</v>
      </c>
      <c r="BC59" s="195">
        <v>10</v>
      </c>
      <c r="BD59" s="195" t="b">
        <f t="shared" si="2"/>
        <v>1</v>
      </c>
      <c r="BE59" s="195" t="b">
        <f t="shared" ref="BE59:BF59" si="64">IF(IFERROR(FIND("ND",AI59),0),FALSE,TRUE)</f>
        <v>0</v>
      </c>
      <c r="BF59" s="195" t="b">
        <f t="shared" si="64"/>
        <v>1</v>
      </c>
    </row>
    <row r="60" spans="1:58" ht="34.5" customHeight="1">
      <c r="A60" s="212" t="s">
        <v>872</v>
      </c>
      <c r="B60" s="195">
        <v>2019</v>
      </c>
      <c r="C60" s="195" t="s">
        <v>619</v>
      </c>
      <c r="D60" s="4" t="s">
        <v>654</v>
      </c>
      <c r="E60" s="207">
        <v>30797634</v>
      </c>
      <c r="F60" s="208" t="str">
        <f t="shared" si="60"/>
        <v>https://pubmed.ncbi.nlm.nih.gov/30797634</v>
      </c>
      <c r="G60" s="197" t="str">
        <f t="shared" si="61"/>
        <v>Harro 2019</v>
      </c>
      <c r="H60" s="195">
        <v>2014</v>
      </c>
      <c r="I60" s="195" t="s">
        <v>884</v>
      </c>
      <c r="J60" s="198" t="s">
        <v>885</v>
      </c>
      <c r="K60" s="195">
        <v>60</v>
      </c>
      <c r="L60" s="4" t="s">
        <v>886</v>
      </c>
      <c r="M60" s="195">
        <v>43</v>
      </c>
      <c r="N60" s="195">
        <v>17</v>
      </c>
      <c r="O60" s="195">
        <v>37</v>
      </c>
      <c r="P60" s="195">
        <v>19</v>
      </c>
      <c r="Q60" s="195">
        <v>49</v>
      </c>
      <c r="R60" s="195" t="s">
        <v>324</v>
      </c>
      <c r="S60" s="195" t="s">
        <v>324</v>
      </c>
      <c r="T60" s="195">
        <v>36.799999999999997</v>
      </c>
      <c r="U60" s="195" t="s">
        <v>324</v>
      </c>
      <c r="V60" s="195" t="s">
        <v>887</v>
      </c>
      <c r="W60" s="199"/>
      <c r="X60" s="195">
        <v>48</v>
      </c>
      <c r="Y60" s="195" t="s">
        <v>888</v>
      </c>
      <c r="Z60" s="195" t="s">
        <v>324</v>
      </c>
      <c r="AA60" s="195" t="s">
        <v>889</v>
      </c>
      <c r="AB60" s="195">
        <v>12</v>
      </c>
      <c r="AC60" s="195" t="s">
        <v>890</v>
      </c>
      <c r="AD60" s="195" t="s">
        <v>324</v>
      </c>
      <c r="AE60" s="195" t="s">
        <v>891</v>
      </c>
      <c r="AF60" s="199"/>
      <c r="AG60" s="195" t="s">
        <v>892</v>
      </c>
      <c r="AH60" s="195" t="s">
        <v>511</v>
      </c>
      <c r="AI60" s="195" t="s">
        <v>324</v>
      </c>
      <c r="AJ60" s="195" t="s">
        <v>345</v>
      </c>
      <c r="AK60" s="195" t="s">
        <v>877</v>
      </c>
      <c r="AL60" s="195" t="s">
        <v>407</v>
      </c>
      <c r="AM60" s="195"/>
      <c r="AN60" s="195" t="s">
        <v>893</v>
      </c>
      <c r="AO60" s="199"/>
      <c r="AP60" s="195" t="s">
        <v>894</v>
      </c>
      <c r="AQ60" s="195" t="s">
        <v>895</v>
      </c>
      <c r="AR60" s="209" t="s">
        <v>517</v>
      </c>
      <c r="AS60" s="195" t="s">
        <v>316</v>
      </c>
      <c r="AT60" s="199"/>
      <c r="AU60" s="202" t="s">
        <v>896</v>
      </c>
      <c r="AV60" s="195" t="s">
        <v>318</v>
      </c>
      <c r="AW60" s="195" t="str">
        <f ca="1">IFERROR(__xludf.DUMMYFUNCTION("IF(AND(IF(AS60=""Yes"",True,False),NOT(IFERROR(REGEXMATCH(AV60,ExclusionCategories),FALSE))),""Yes"", ""No"")"),"No")</f>
        <v>No</v>
      </c>
      <c r="AX60" s="195" t="str">
        <f ca="1">IFERROR(__xludf.DUMMYFUNCTION("IF(IFERROR(SEARCH(""Unclear"", Z60)) = 1, VALUE(REGEXEXTRACT(Z60,""\d+"")), Z60)"),"ND")</f>
        <v>ND</v>
      </c>
      <c r="AY60" s="195" t="s">
        <v>324</v>
      </c>
      <c r="AZ60" s="195">
        <f ca="1">IFERROR(__xludf.DUMMYFUNCTION("IF(IFERROR(SEARCH(""Unclear"", AG60)) = 1, VALUE(REGEXEXTRACT(AG60,""\d+"")), AG60)"),17)</f>
        <v>17</v>
      </c>
      <c r="BA60" s="195">
        <v>48</v>
      </c>
      <c r="BB60" s="195">
        <f ca="1">IFERROR(__xludf.DUMMYFUNCTION("IF(IFERROR(SEARCH(""Unclear"", AJ60)) = 1, VALUE(REGEXEXTRACT(AJ60,""\d+"")), AJ60)"),1)</f>
        <v>1</v>
      </c>
      <c r="BC60" s="195">
        <v>48</v>
      </c>
      <c r="BD60" s="195" t="b">
        <f t="shared" si="2"/>
        <v>1</v>
      </c>
      <c r="BE60" s="195" t="b">
        <f t="shared" ref="BE60:BF60" si="65">IF(IFERROR(FIND("ND",AI60),0),FALSE,TRUE)</f>
        <v>0</v>
      </c>
      <c r="BF60" s="195" t="b">
        <f t="shared" si="65"/>
        <v>1</v>
      </c>
    </row>
    <row r="61" spans="1:58" ht="34.5" customHeight="1">
      <c r="A61" s="212" t="s">
        <v>872</v>
      </c>
      <c r="B61" s="195">
        <v>2019</v>
      </c>
      <c r="C61" s="195" t="s">
        <v>619</v>
      </c>
      <c r="D61" s="4" t="s">
        <v>620</v>
      </c>
      <c r="E61" s="207">
        <v>30797634</v>
      </c>
      <c r="F61" s="208" t="str">
        <f t="shared" si="60"/>
        <v>https://pubmed.ncbi.nlm.nih.gov/30797634</v>
      </c>
      <c r="G61" s="197" t="str">
        <f t="shared" si="61"/>
        <v>Harro 2019</v>
      </c>
      <c r="H61" s="195">
        <v>2014</v>
      </c>
      <c r="I61" s="195" t="s">
        <v>884</v>
      </c>
      <c r="J61" s="198" t="s">
        <v>885</v>
      </c>
      <c r="K61" s="195">
        <v>57</v>
      </c>
      <c r="L61" s="4" t="s">
        <v>353</v>
      </c>
      <c r="M61" s="195">
        <v>41</v>
      </c>
      <c r="N61" s="195">
        <v>16</v>
      </c>
      <c r="O61" s="195">
        <v>36</v>
      </c>
      <c r="P61" s="195">
        <v>21</v>
      </c>
      <c r="Q61" s="195">
        <v>49</v>
      </c>
      <c r="R61" s="195" t="s">
        <v>324</v>
      </c>
      <c r="S61" s="195" t="s">
        <v>324</v>
      </c>
      <c r="T61" s="195">
        <v>36.799999999999997</v>
      </c>
      <c r="U61" s="195" t="s">
        <v>324</v>
      </c>
      <c r="V61" s="195" t="s">
        <v>887</v>
      </c>
      <c r="W61" s="199"/>
      <c r="X61" s="195">
        <v>57</v>
      </c>
      <c r="Y61" s="195" t="s">
        <v>897</v>
      </c>
      <c r="Z61" s="195">
        <v>31</v>
      </c>
      <c r="AA61" s="195" t="s">
        <v>898</v>
      </c>
      <c r="AB61" s="195">
        <v>0</v>
      </c>
      <c r="AC61" s="195" t="s">
        <v>549</v>
      </c>
      <c r="AD61" s="195" t="s">
        <v>322</v>
      </c>
      <c r="AE61" s="195" t="s">
        <v>891</v>
      </c>
      <c r="AF61" s="195" t="s">
        <v>899</v>
      </c>
      <c r="AG61" s="195" t="s">
        <v>324</v>
      </c>
      <c r="AH61" s="195" t="s">
        <v>511</v>
      </c>
      <c r="AI61" s="195" t="s">
        <v>324</v>
      </c>
      <c r="AJ61" s="195" t="s">
        <v>324</v>
      </c>
      <c r="AK61" s="195" t="s">
        <v>877</v>
      </c>
      <c r="AL61" s="195" t="s">
        <v>322</v>
      </c>
      <c r="AM61" s="195"/>
      <c r="AN61" s="195" t="s">
        <v>893</v>
      </c>
      <c r="AO61" s="195" t="s">
        <v>324</v>
      </c>
      <c r="AP61" s="195" t="s">
        <v>894</v>
      </c>
      <c r="AQ61" s="195" t="s">
        <v>895</v>
      </c>
      <c r="AR61" s="209" t="s">
        <v>517</v>
      </c>
      <c r="AS61" s="195" t="s">
        <v>308</v>
      </c>
      <c r="AT61" s="199"/>
      <c r="AU61" s="202" t="s">
        <v>896</v>
      </c>
      <c r="AV61" s="195" t="s">
        <v>9</v>
      </c>
      <c r="AW61" s="195" t="str">
        <f ca="1">IFERROR(__xludf.DUMMYFUNCTION("IF(AND(IF(AS61=""Yes"",True,False),NOT(IFERROR(REGEXMATCH(AV61,ExclusionCategories),FALSE))),""Yes"", ""No"")"),"Yes")</f>
        <v>Yes</v>
      </c>
      <c r="AX61" s="195">
        <f ca="1">IFERROR(__xludf.DUMMYFUNCTION("IF(IFERROR(SEARCH(""Unclear"", Z61)) = 1, VALUE(REGEXEXTRACT(Z61,""\d+"")), Z61)"),31)</f>
        <v>31</v>
      </c>
      <c r="AY61" s="195">
        <v>31</v>
      </c>
      <c r="AZ61" s="195" t="str">
        <f ca="1">IFERROR(__xludf.DUMMYFUNCTION("IF(IFERROR(SEARCH(""Unclear"", AG61)) = 1, VALUE(REGEXEXTRACT(AG61,""\d+"")), AG61)"),"ND")</f>
        <v>ND</v>
      </c>
      <c r="BA61" s="195" t="s">
        <v>324</v>
      </c>
      <c r="BB61" s="195" t="str">
        <f ca="1">IFERROR(__xludf.DUMMYFUNCTION("IF(IFERROR(SEARCH(""Unclear"", AJ61)) = 1, VALUE(REGEXEXTRACT(AJ61,""\d+"")), AJ61)"),"ND")</f>
        <v>ND</v>
      </c>
      <c r="BC61" s="195" t="s">
        <v>324</v>
      </c>
      <c r="BD61" s="195" t="b">
        <f t="shared" si="2"/>
        <v>0</v>
      </c>
      <c r="BE61" s="195" t="b">
        <f t="shared" ref="BE61:BF61" si="66">IF(IFERROR(FIND("ND",AI61),0),FALSE,TRUE)</f>
        <v>0</v>
      </c>
      <c r="BF61" s="195" t="b">
        <f t="shared" si="66"/>
        <v>0</v>
      </c>
    </row>
    <row r="62" spans="1:58" ht="34.5" customHeight="1">
      <c r="A62" s="212" t="s">
        <v>900</v>
      </c>
      <c r="B62" s="195">
        <v>2020</v>
      </c>
      <c r="C62" s="195" t="s">
        <v>339</v>
      </c>
      <c r="D62" s="4" t="s">
        <v>901</v>
      </c>
      <c r="E62" s="207">
        <v>31621832</v>
      </c>
      <c r="F62" s="208" t="str">
        <f t="shared" si="60"/>
        <v>https://pubmed.ncbi.nlm.nih.gov/31621832</v>
      </c>
      <c r="G62" s="197" t="str">
        <f t="shared" si="61"/>
        <v>Healy 2020</v>
      </c>
      <c r="H62" s="195">
        <v>2012</v>
      </c>
      <c r="I62" s="195" t="s">
        <v>902</v>
      </c>
      <c r="J62" s="198" t="s">
        <v>903</v>
      </c>
      <c r="K62" s="195">
        <v>30</v>
      </c>
      <c r="L62" s="4" t="s">
        <v>886</v>
      </c>
      <c r="M62" s="195">
        <v>15</v>
      </c>
      <c r="N62" s="195">
        <v>15</v>
      </c>
      <c r="O62" s="195" t="s">
        <v>324</v>
      </c>
      <c r="P62" s="195" t="s">
        <v>324</v>
      </c>
      <c r="Q62" s="195" t="s">
        <v>324</v>
      </c>
      <c r="R62" s="195">
        <v>18</v>
      </c>
      <c r="S62" s="195">
        <v>50</v>
      </c>
      <c r="T62" s="195">
        <v>28.6</v>
      </c>
      <c r="U62" s="195">
        <v>7.1</v>
      </c>
      <c r="V62" s="195" t="s">
        <v>904</v>
      </c>
      <c r="W62" s="199"/>
      <c r="X62" s="195">
        <v>24</v>
      </c>
      <c r="Y62" s="195" t="s">
        <v>905</v>
      </c>
      <c r="Z62" s="195">
        <v>1</v>
      </c>
      <c r="AA62" s="195" t="s">
        <v>906</v>
      </c>
      <c r="AB62" s="195">
        <v>6</v>
      </c>
      <c r="AC62" s="195" t="s">
        <v>907</v>
      </c>
      <c r="AD62" s="195">
        <v>0</v>
      </c>
      <c r="AE62" s="195" t="s">
        <v>908</v>
      </c>
      <c r="AF62" s="199"/>
      <c r="AG62" s="195" t="s">
        <v>394</v>
      </c>
      <c r="AH62" s="195" t="s">
        <v>511</v>
      </c>
      <c r="AI62" s="195">
        <v>0</v>
      </c>
      <c r="AJ62" s="195" t="s">
        <v>394</v>
      </c>
      <c r="AK62" s="195" t="s">
        <v>909</v>
      </c>
      <c r="AL62" s="195">
        <v>6</v>
      </c>
      <c r="AM62" s="199"/>
      <c r="AN62" s="195" t="s">
        <v>910</v>
      </c>
      <c r="AO62" s="195" t="s">
        <v>911</v>
      </c>
      <c r="AP62" s="195" t="s">
        <v>912</v>
      </c>
      <c r="AQ62" s="195" t="s">
        <v>913</v>
      </c>
      <c r="AR62" s="209" t="s">
        <v>517</v>
      </c>
      <c r="AS62" s="195" t="s">
        <v>316</v>
      </c>
      <c r="AT62" s="199"/>
      <c r="AU62" s="202" t="s">
        <v>914</v>
      </c>
      <c r="AV62" s="195" t="s">
        <v>318</v>
      </c>
      <c r="AW62" s="195" t="str">
        <f ca="1">IFERROR(__xludf.DUMMYFUNCTION("IF(AND(IF(AS62=""Yes"",True,False),NOT(IFERROR(REGEXMATCH(AV62,ExclusionCategories),FALSE))),""Yes"", ""No"")"),"No")</f>
        <v>No</v>
      </c>
      <c r="AX62" s="195">
        <f ca="1">IFERROR(__xludf.DUMMYFUNCTION("IF(IFERROR(SEARCH(""Unclear"", Z62)) = 1, VALUE(REGEXEXTRACT(Z62,""\d+"")), Z62)"),1)</f>
        <v>1</v>
      </c>
      <c r="AY62" s="195">
        <v>1</v>
      </c>
      <c r="AZ62" s="195">
        <f ca="1">IFERROR(__xludf.DUMMYFUNCTION("IF(IFERROR(SEARCH(""Unclear"", AG62)) = 1, VALUE(REGEXEXTRACT(AG62,""\d+"")), AG62)"),0)</f>
        <v>0</v>
      </c>
      <c r="BA62" s="195">
        <v>24</v>
      </c>
      <c r="BB62" s="195">
        <f ca="1">IFERROR(__xludf.DUMMYFUNCTION("IF(IFERROR(SEARCH(""Unclear"", AJ62)) = 1, VALUE(REGEXEXTRACT(AJ62,""\d+"")), AJ62)"),0)</f>
        <v>0</v>
      </c>
      <c r="BC62" s="195">
        <v>24</v>
      </c>
      <c r="BD62" s="195" t="b">
        <f t="shared" si="2"/>
        <v>1</v>
      </c>
      <c r="BE62" s="195" t="b">
        <f t="shared" ref="BE62:BF62" si="67">IF(IFERROR(FIND("ND",AI62),0),FALSE,TRUE)</f>
        <v>1</v>
      </c>
      <c r="BF62" s="195" t="b">
        <f t="shared" si="67"/>
        <v>1</v>
      </c>
    </row>
    <row r="63" spans="1:58" ht="34.5" customHeight="1">
      <c r="A63" s="212" t="s">
        <v>900</v>
      </c>
      <c r="B63" s="195">
        <v>2020</v>
      </c>
      <c r="C63" s="195" t="s">
        <v>339</v>
      </c>
      <c r="D63" s="4" t="s">
        <v>915</v>
      </c>
      <c r="E63" s="207">
        <v>31621832</v>
      </c>
      <c r="F63" s="208" t="str">
        <f t="shared" si="60"/>
        <v>https://pubmed.ncbi.nlm.nih.gov/31621832</v>
      </c>
      <c r="G63" s="197" t="str">
        <f t="shared" si="61"/>
        <v>Healy 2020</v>
      </c>
      <c r="H63" s="195">
        <v>2012</v>
      </c>
      <c r="I63" s="195" t="s">
        <v>902</v>
      </c>
      <c r="J63" s="198" t="s">
        <v>903</v>
      </c>
      <c r="K63" s="195">
        <v>29</v>
      </c>
      <c r="L63" s="4" t="s">
        <v>353</v>
      </c>
      <c r="M63" s="195" t="s">
        <v>324</v>
      </c>
      <c r="N63" s="195" t="s">
        <v>324</v>
      </c>
      <c r="O63" s="195" t="s">
        <v>324</v>
      </c>
      <c r="P63" s="195" t="s">
        <v>324</v>
      </c>
      <c r="Q63" s="195" t="s">
        <v>324</v>
      </c>
      <c r="R63" s="195">
        <v>18</v>
      </c>
      <c r="S63" s="195">
        <v>50</v>
      </c>
      <c r="T63" s="195" t="s">
        <v>324</v>
      </c>
      <c r="U63" s="195" t="s">
        <v>324</v>
      </c>
      <c r="V63" s="195" t="s">
        <v>916</v>
      </c>
      <c r="W63" s="199"/>
      <c r="X63" s="195">
        <v>29</v>
      </c>
      <c r="Y63" s="195" t="s">
        <v>917</v>
      </c>
      <c r="Z63" s="195">
        <v>25</v>
      </c>
      <c r="AA63" s="195" t="s">
        <v>918</v>
      </c>
      <c r="AB63" s="195">
        <v>0</v>
      </c>
      <c r="AC63" s="195" t="s">
        <v>874</v>
      </c>
      <c r="AD63" s="195" t="s">
        <v>322</v>
      </c>
      <c r="AE63" s="195" t="s">
        <v>908</v>
      </c>
      <c r="AF63" s="199"/>
      <c r="AG63" s="195">
        <v>28</v>
      </c>
      <c r="AH63" s="195" t="s">
        <v>511</v>
      </c>
      <c r="AI63" s="195">
        <v>0</v>
      </c>
      <c r="AJ63" s="195">
        <v>13</v>
      </c>
      <c r="AK63" s="199"/>
      <c r="AL63" s="195" t="s">
        <v>695</v>
      </c>
      <c r="AM63" s="199"/>
      <c r="AN63" s="195" t="s">
        <v>910</v>
      </c>
      <c r="AO63" s="195" t="s">
        <v>911</v>
      </c>
      <c r="AP63" s="195" t="s">
        <v>912</v>
      </c>
      <c r="AQ63" s="195" t="s">
        <v>913</v>
      </c>
      <c r="AR63" s="209" t="s">
        <v>517</v>
      </c>
      <c r="AS63" s="195" t="s">
        <v>308</v>
      </c>
      <c r="AT63" s="199"/>
      <c r="AU63" s="202" t="s">
        <v>914</v>
      </c>
      <c r="AV63" s="195" t="s">
        <v>9</v>
      </c>
      <c r="AW63" s="195" t="str">
        <f ca="1">IFERROR(__xludf.DUMMYFUNCTION("IF(AND(IF(AS63=""Yes"",True,False),NOT(IFERROR(REGEXMATCH(AV63,ExclusionCategories),FALSE))),""Yes"", ""No"")"),"Yes")</f>
        <v>Yes</v>
      </c>
      <c r="AX63" s="195">
        <f ca="1">IFERROR(__xludf.DUMMYFUNCTION("IF(IFERROR(SEARCH(""Unclear"", Z63)) = 1, VALUE(REGEXEXTRACT(Z63,""\d+"")), Z63)"),25)</f>
        <v>25</v>
      </c>
      <c r="AY63" s="195">
        <v>25</v>
      </c>
      <c r="AZ63" s="195">
        <f ca="1">IFERROR(__xludf.DUMMYFUNCTION("IF(IFERROR(SEARCH(""Unclear"", AG63)) = 1, VALUE(REGEXEXTRACT(AG63,""\d+"")), AG63)"),28)</f>
        <v>28</v>
      </c>
      <c r="BA63" s="195">
        <v>28</v>
      </c>
      <c r="BB63" s="195">
        <f ca="1">IFERROR(__xludf.DUMMYFUNCTION("IF(IFERROR(SEARCH(""Unclear"", AJ63)) = 1, VALUE(REGEXEXTRACT(AJ63,""\d+"")), AJ63)"),13)</f>
        <v>13</v>
      </c>
      <c r="BC63" s="195">
        <v>13</v>
      </c>
      <c r="BD63" s="195" t="b">
        <f t="shared" si="2"/>
        <v>1</v>
      </c>
      <c r="BE63" s="195" t="b">
        <f t="shared" ref="BE63:BF63" si="68">IF(IFERROR(FIND("ND",AI63),0),FALSE,TRUE)</f>
        <v>1</v>
      </c>
      <c r="BF63" s="195" t="b">
        <f t="shared" si="68"/>
        <v>1</v>
      </c>
    </row>
    <row r="64" spans="1:58" ht="34.5" customHeight="1">
      <c r="A64" s="212" t="s">
        <v>919</v>
      </c>
      <c r="B64" s="195">
        <v>2011</v>
      </c>
      <c r="C64" s="195" t="s">
        <v>339</v>
      </c>
      <c r="D64" s="4" t="s">
        <v>920</v>
      </c>
      <c r="E64" s="207">
        <v>21292872</v>
      </c>
      <c r="F64" s="208" t="str">
        <f t="shared" si="60"/>
        <v>https://pubmed.ncbi.nlm.nih.gov/21292872</v>
      </c>
      <c r="G64" s="197" t="str">
        <f t="shared" si="61"/>
        <v>Herrera 2011</v>
      </c>
      <c r="H64" s="217">
        <v>2011</v>
      </c>
      <c r="I64" s="195" t="s">
        <v>698</v>
      </c>
      <c r="J64" s="195"/>
      <c r="K64" s="195">
        <v>22</v>
      </c>
      <c r="L64" s="4"/>
      <c r="M64" s="195" t="s">
        <v>324</v>
      </c>
      <c r="N64" s="195" t="s">
        <v>324</v>
      </c>
      <c r="O64" s="195" t="s">
        <v>324</v>
      </c>
      <c r="P64" s="195" t="s">
        <v>324</v>
      </c>
      <c r="Q64" s="195" t="s">
        <v>324</v>
      </c>
      <c r="R64" s="195">
        <v>19</v>
      </c>
      <c r="S64" s="195">
        <v>45</v>
      </c>
      <c r="T64" s="195" t="s">
        <v>921</v>
      </c>
      <c r="U64" s="195" t="s">
        <v>324</v>
      </c>
      <c r="V64" s="195" t="s">
        <v>916</v>
      </c>
      <c r="W64" s="199"/>
      <c r="X64" s="195">
        <v>22</v>
      </c>
      <c r="Y64" s="195" t="s">
        <v>922</v>
      </c>
      <c r="Z64" s="195">
        <v>17</v>
      </c>
      <c r="AA64" s="199"/>
      <c r="AB64" s="195">
        <v>0</v>
      </c>
      <c r="AC64" s="195" t="s">
        <v>874</v>
      </c>
      <c r="AD64" s="195" t="s">
        <v>322</v>
      </c>
      <c r="AE64" s="195" t="s">
        <v>332</v>
      </c>
      <c r="AF64" s="199"/>
      <c r="AG64" s="195" t="s">
        <v>923</v>
      </c>
      <c r="AH64" s="195" t="s">
        <v>511</v>
      </c>
      <c r="AI64" s="195">
        <v>0</v>
      </c>
      <c r="AJ64" s="195">
        <v>0</v>
      </c>
      <c r="AK64" s="195" t="s">
        <v>924</v>
      </c>
      <c r="AL64" s="195" t="s">
        <v>322</v>
      </c>
      <c r="AM64" s="199"/>
      <c r="AN64" s="195" t="s">
        <v>699</v>
      </c>
      <c r="AO64" s="195" t="s">
        <v>925</v>
      </c>
      <c r="AP64" s="195" t="s">
        <v>926</v>
      </c>
      <c r="AQ64" s="195" t="s">
        <v>927</v>
      </c>
      <c r="AR64" s="209" t="s">
        <v>517</v>
      </c>
      <c r="AS64" s="195" t="s">
        <v>308</v>
      </c>
      <c r="AT64" s="199"/>
      <c r="AU64" s="202" t="s">
        <v>928</v>
      </c>
      <c r="AV64" s="195" t="s">
        <v>9</v>
      </c>
      <c r="AW64" s="195" t="str">
        <f ca="1">IFERROR(__xludf.DUMMYFUNCTION("IF(AND(IF(AS64=""Yes"",True,False),NOT(IFERROR(REGEXMATCH(AV64,ExclusionCategories),FALSE))),""Yes"", ""No"")"),"Yes")</f>
        <v>Yes</v>
      </c>
      <c r="AX64" s="195">
        <f ca="1">IFERROR(__xludf.DUMMYFUNCTION("IF(IFERROR(SEARCH(""Unclear"", Z64)) = 1, VALUE(REGEXEXTRACT(Z64,""\d+"")), Z64)"),17)</f>
        <v>17</v>
      </c>
      <c r="AY64" s="195">
        <v>17</v>
      </c>
      <c r="AZ64" s="195">
        <f ca="1">IFERROR(__xludf.DUMMYFUNCTION("IF(IFERROR(SEARCH(""Unclear"", AG64)) = 1, VALUE(REGEXEXTRACT(AG64,""\d+"")), AG64)"),17)</f>
        <v>17</v>
      </c>
      <c r="BA64" s="195">
        <v>22</v>
      </c>
      <c r="BB64" s="195">
        <f ca="1">IFERROR(__xludf.DUMMYFUNCTION("IF(IFERROR(SEARCH(""Unclear"", AJ64)) = 1, VALUE(REGEXEXTRACT(AJ64,""\d+"")), AJ64)"),0)</f>
        <v>0</v>
      </c>
      <c r="BC64" s="195">
        <v>0</v>
      </c>
      <c r="BD64" s="195" t="b">
        <f t="shared" si="2"/>
        <v>1</v>
      </c>
      <c r="BE64" s="195" t="b">
        <f t="shared" ref="BE64:BF64" si="69">IF(IFERROR(FIND("ND",AI64),0),FALSE,TRUE)</f>
        <v>1</v>
      </c>
      <c r="BF64" s="195" t="b">
        <f t="shared" si="69"/>
        <v>1</v>
      </c>
    </row>
    <row r="65" spans="1:58" ht="34.5" customHeight="1">
      <c r="A65" s="212" t="s">
        <v>929</v>
      </c>
      <c r="B65" s="195">
        <v>2014</v>
      </c>
      <c r="C65" s="195" t="s">
        <v>339</v>
      </c>
      <c r="D65" s="4" t="s">
        <v>802</v>
      </c>
      <c r="E65" s="207">
        <v>25566206</v>
      </c>
      <c r="F65" s="208" t="str">
        <f t="shared" si="60"/>
        <v>https://pubmed.ncbi.nlm.nih.gov/25566206</v>
      </c>
      <c r="G65" s="197" t="str">
        <f t="shared" si="61"/>
        <v>Hodgson 2014</v>
      </c>
      <c r="H65" s="195">
        <v>2013</v>
      </c>
      <c r="I65" s="195" t="s">
        <v>930</v>
      </c>
      <c r="J65" s="195" t="s">
        <v>322</v>
      </c>
      <c r="K65" s="195">
        <v>28</v>
      </c>
      <c r="L65" s="10"/>
      <c r="M65" s="195">
        <v>17</v>
      </c>
      <c r="N65" s="195">
        <v>11</v>
      </c>
      <c r="O65" s="195">
        <v>25</v>
      </c>
      <c r="P65" s="195">
        <v>19</v>
      </c>
      <c r="Q65" s="195">
        <v>31</v>
      </c>
      <c r="R65" s="195">
        <v>18</v>
      </c>
      <c r="S65" s="195">
        <v>40</v>
      </c>
      <c r="T65" s="195" t="s">
        <v>324</v>
      </c>
      <c r="U65" s="195" t="s">
        <v>324</v>
      </c>
      <c r="V65" s="195" t="s">
        <v>931</v>
      </c>
      <c r="W65" s="199"/>
      <c r="X65" s="195">
        <v>28</v>
      </c>
      <c r="Y65" s="195" t="s">
        <v>932</v>
      </c>
      <c r="Z65" s="195">
        <v>27</v>
      </c>
      <c r="AA65" s="199"/>
      <c r="AB65" s="195">
        <v>0</v>
      </c>
      <c r="AC65" s="195" t="s">
        <v>549</v>
      </c>
      <c r="AD65" s="195" t="s">
        <v>322</v>
      </c>
      <c r="AE65" s="195" t="s">
        <v>933</v>
      </c>
      <c r="AF65" s="195" t="s">
        <v>934</v>
      </c>
      <c r="AG65" s="195" t="s">
        <v>876</v>
      </c>
      <c r="AH65" s="195" t="s">
        <v>511</v>
      </c>
      <c r="AI65" s="195">
        <v>0</v>
      </c>
      <c r="AJ65" s="195" t="s">
        <v>394</v>
      </c>
      <c r="AK65" s="195"/>
      <c r="AL65" s="195" t="s">
        <v>322</v>
      </c>
      <c r="AM65" s="199"/>
      <c r="AN65" s="195" t="s">
        <v>513</v>
      </c>
      <c r="AO65" s="195" t="s">
        <v>935</v>
      </c>
      <c r="AP65" s="195" t="s">
        <v>936</v>
      </c>
      <c r="AQ65" s="195" t="s">
        <v>937</v>
      </c>
      <c r="AR65" s="209" t="s">
        <v>517</v>
      </c>
      <c r="AS65" s="195" t="s">
        <v>308</v>
      </c>
      <c r="AT65" s="199"/>
      <c r="AU65" s="202" t="s">
        <v>938</v>
      </c>
      <c r="AV65" s="195" t="s">
        <v>9</v>
      </c>
      <c r="AW65" s="195" t="str">
        <f ca="1">IFERROR(__xludf.DUMMYFUNCTION("IF(AND(IF(AS65=""Yes"",True,False),NOT(IFERROR(REGEXMATCH(AV65,ExclusionCategories),FALSE))),""Yes"", ""No"")"),"Yes")</f>
        <v>Yes</v>
      </c>
      <c r="AX65" s="195">
        <f ca="1">IFERROR(__xludf.DUMMYFUNCTION("IF(IFERROR(SEARCH(""Unclear"", Z65)) = 1, VALUE(REGEXEXTRACT(Z65,""\d+"")), Z65)"),27)</f>
        <v>27</v>
      </c>
      <c r="AY65" s="195">
        <v>27</v>
      </c>
      <c r="AZ65" s="195">
        <f ca="1">IFERROR(__xludf.DUMMYFUNCTION("IF(IFERROR(SEARCH(""Unclear"", AG65)) = 1, VALUE(REGEXEXTRACT(AG65,""\d+"")), AG65)"),27)</f>
        <v>27</v>
      </c>
      <c r="BA65" s="195">
        <v>28</v>
      </c>
      <c r="BB65" s="195">
        <f ca="1">IFERROR(__xludf.DUMMYFUNCTION("IF(IFERROR(SEARCH(""Unclear"", AJ65)) = 1, VALUE(REGEXEXTRACT(AJ65,""\d+"")), AJ65)"),0)</f>
        <v>0</v>
      </c>
      <c r="BC65" s="195">
        <v>28</v>
      </c>
      <c r="BD65" s="195" t="b">
        <f t="shared" si="2"/>
        <v>1</v>
      </c>
      <c r="BE65" s="195" t="b">
        <f t="shared" ref="BE65:BF65" si="70">IF(IFERROR(FIND("ND",AI65),0),FALSE,TRUE)</f>
        <v>1</v>
      </c>
      <c r="BF65" s="195" t="b">
        <f t="shared" si="70"/>
        <v>1</v>
      </c>
    </row>
    <row r="66" spans="1:58" ht="34.5" customHeight="1">
      <c r="A66" s="212" t="s">
        <v>929</v>
      </c>
      <c r="B66" s="195">
        <v>2015</v>
      </c>
      <c r="C66" s="195" t="s">
        <v>339</v>
      </c>
      <c r="D66" s="4" t="s">
        <v>939</v>
      </c>
      <c r="E66" s="207">
        <v>25927522</v>
      </c>
      <c r="F66" s="208" t="str">
        <f t="shared" si="60"/>
        <v>https://pubmed.ncbi.nlm.nih.gov/25927522</v>
      </c>
      <c r="G66" s="197" t="str">
        <f t="shared" si="61"/>
        <v>Hodgson 2015a</v>
      </c>
      <c r="H66" s="195">
        <v>2012</v>
      </c>
      <c r="I66" s="195" t="s">
        <v>940</v>
      </c>
      <c r="J66" s="198" t="s">
        <v>941</v>
      </c>
      <c r="K66" s="195">
        <v>36</v>
      </c>
      <c r="L66" s="4" t="s">
        <v>942</v>
      </c>
      <c r="M66" s="195">
        <v>21</v>
      </c>
      <c r="N66" s="195">
        <v>15</v>
      </c>
      <c r="O66" s="195" t="s">
        <v>324</v>
      </c>
      <c r="P66" s="195">
        <v>19</v>
      </c>
      <c r="Q66" s="195">
        <v>40</v>
      </c>
      <c r="R66" s="195">
        <v>18</v>
      </c>
      <c r="S66" s="195">
        <v>45</v>
      </c>
      <c r="T66" s="195">
        <v>26.4</v>
      </c>
      <c r="U66" s="195" t="s">
        <v>324</v>
      </c>
      <c r="V66" s="195" t="s">
        <v>943</v>
      </c>
      <c r="W66" s="199"/>
      <c r="X66" s="195">
        <v>36</v>
      </c>
      <c r="Y66" s="195" t="s">
        <v>944</v>
      </c>
      <c r="Z66" s="195">
        <v>33</v>
      </c>
      <c r="AA66" s="195" t="s">
        <v>945</v>
      </c>
      <c r="AB66" s="195">
        <v>0</v>
      </c>
      <c r="AC66" s="195" t="s">
        <v>549</v>
      </c>
      <c r="AD66" s="195" t="s">
        <v>322</v>
      </c>
      <c r="AE66" s="195" t="s">
        <v>946</v>
      </c>
      <c r="AF66" s="199"/>
      <c r="AG66" s="195" t="s">
        <v>371</v>
      </c>
      <c r="AH66" s="195" t="s">
        <v>308</v>
      </c>
      <c r="AI66" s="195">
        <v>0</v>
      </c>
      <c r="AJ66" s="195" t="s">
        <v>394</v>
      </c>
      <c r="AK66" s="195"/>
      <c r="AL66" s="195" t="s">
        <v>322</v>
      </c>
      <c r="AM66" s="199"/>
      <c r="AN66" s="199"/>
      <c r="AO66" s="195" t="s">
        <v>947</v>
      </c>
      <c r="AP66" s="195" t="s">
        <v>948</v>
      </c>
      <c r="AQ66" s="195" t="s">
        <v>949</v>
      </c>
      <c r="AR66" s="209" t="s">
        <v>517</v>
      </c>
      <c r="AS66" s="195" t="s">
        <v>308</v>
      </c>
      <c r="AT66" s="199"/>
      <c r="AU66" s="202" t="s">
        <v>950</v>
      </c>
      <c r="AV66" s="195" t="s">
        <v>9</v>
      </c>
      <c r="AW66" s="195" t="str">
        <f ca="1">IFERROR(__xludf.DUMMYFUNCTION("IF(AND(IF(AS66=""Yes"",True,False),NOT(IFERROR(REGEXMATCH(AV66,ExclusionCategories),FALSE))),""Yes"", ""No"")"),"Yes")</f>
        <v>Yes</v>
      </c>
      <c r="AX66" s="195">
        <f ca="1">IFERROR(__xludf.DUMMYFUNCTION("IF(IFERROR(SEARCH(""Unclear"", Z66)) = 1, VALUE(REGEXEXTRACT(Z66,""\d+"")), Z66)"),33)</f>
        <v>33</v>
      </c>
      <c r="AY66" s="195">
        <v>33</v>
      </c>
      <c r="AZ66" s="195">
        <f ca="1">IFERROR(__xludf.DUMMYFUNCTION("IF(IFERROR(SEARCH(""Unclear"", AG66)) = 1, VALUE(REGEXEXTRACT(AG66,""\d+"")), AG66)"),33)</f>
        <v>33</v>
      </c>
      <c r="BA66" s="195">
        <v>36</v>
      </c>
      <c r="BB66" s="195">
        <f ca="1">IFERROR(__xludf.DUMMYFUNCTION("IF(IFERROR(SEARCH(""Unclear"", AJ66)) = 1, VALUE(REGEXEXTRACT(AJ66,""\d+"")), AJ66)"),0)</f>
        <v>0</v>
      </c>
      <c r="BC66" s="195">
        <v>36</v>
      </c>
      <c r="BD66" s="195" t="b">
        <f t="shared" si="2"/>
        <v>1</v>
      </c>
      <c r="BE66" s="195" t="b">
        <f t="shared" ref="BE66:BF66" si="71">IF(IFERROR(FIND("ND",AI66),0),FALSE,TRUE)</f>
        <v>1</v>
      </c>
      <c r="BF66" s="195" t="b">
        <f t="shared" si="71"/>
        <v>1</v>
      </c>
    </row>
    <row r="67" spans="1:58" ht="34.5" customHeight="1">
      <c r="A67" s="212" t="s">
        <v>951</v>
      </c>
      <c r="B67" s="195">
        <v>2009</v>
      </c>
      <c r="C67" s="195" t="s">
        <v>952</v>
      </c>
      <c r="D67" s="4" t="s">
        <v>952</v>
      </c>
      <c r="E67" s="207">
        <v>19432549</v>
      </c>
      <c r="F67" s="208" t="str">
        <f t="shared" si="60"/>
        <v>https://pubmed.ncbi.nlm.nih.gov/19432549</v>
      </c>
      <c r="G67" s="197" t="str">
        <f t="shared" si="61"/>
        <v>Janowicz 2009</v>
      </c>
      <c r="H67" s="217">
        <v>2007</v>
      </c>
      <c r="I67" s="199"/>
      <c r="J67" s="195"/>
      <c r="K67" s="195">
        <v>267</v>
      </c>
      <c r="L67" s="4" t="s">
        <v>953</v>
      </c>
      <c r="M67" s="195">
        <v>105</v>
      </c>
      <c r="N67" s="195">
        <v>162</v>
      </c>
      <c r="O67" s="195" t="s">
        <v>324</v>
      </c>
      <c r="P67" s="195">
        <v>18</v>
      </c>
      <c r="Q67" s="195">
        <v>68</v>
      </c>
      <c r="R67" s="195" t="s">
        <v>324</v>
      </c>
      <c r="S67" s="195" t="s">
        <v>324</v>
      </c>
      <c r="T67" s="195">
        <v>33.700000000000003</v>
      </c>
      <c r="U67" s="195">
        <v>10.3</v>
      </c>
      <c r="V67" s="195" t="s">
        <v>954</v>
      </c>
      <c r="W67" s="199"/>
      <c r="X67" s="195">
        <v>267</v>
      </c>
      <c r="Y67" s="199"/>
      <c r="Z67" s="195">
        <v>139</v>
      </c>
      <c r="AA67" s="199"/>
      <c r="AB67" s="195">
        <v>0</v>
      </c>
      <c r="AC67" s="195" t="s">
        <v>549</v>
      </c>
      <c r="AD67" s="195" t="s">
        <v>322</v>
      </c>
      <c r="AE67" s="195" t="s">
        <v>332</v>
      </c>
      <c r="AF67" s="199"/>
      <c r="AG67" s="195" t="s">
        <v>394</v>
      </c>
      <c r="AH67" s="195" t="s">
        <v>527</v>
      </c>
      <c r="AI67" s="195" t="s">
        <v>324</v>
      </c>
      <c r="AJ67" s="195" t="s">
        <v>324</v>
      </c>
      <c r="AK67" s="199"/>
      <c r="AL67" s="195" t="s">
        <v>695</v>
      </c>
      <c r="AM67" s="199"/>
      <c r="AN67" s="195" t="s">
        <v>699</v>
      </c>
      <c r="AO67" s="195" t="s">
        <v>955</v>
      </c>
      <c r="AP67" s="195" t="s">
        <v>956</v>
      </c>
      <c r="AQ67" s="195" t="s">
        <v>957</v>
      </c>
      <c r="AR67" s="209" t="s">
        <v>517</v>
      </c>
      <c r="AS67" s="195" t="s">
        <v>316</v>
      </c>
      <c r="AT67" s="199"/>
      <c r="AU67" s="202" t="s">
        <v>958</v>
      </c>
      <c r="AV67" s="195" t="s">
        <v>326</v>
      </c>
      <c r="AW67" s="195" t="str">
        <f ca="1">IFERROR(__xludf.DUMMYFUNCTION("IF(AND(IF(AS67=""Yes"",True,False),NOT(IFERROR(REGEXMATCH(AV67,ExclusionCategories),FALSE))),""Yes"", ""No"")"),"No")</f>
        <v>No</v>
      </c>
      <c r="AX67" s="195">
        <f ca="1">IFERROR(__xludf.DUMMYFUNCTION("IF(IFERROR(SEARCH(""Unclear"", Z67)) = 1, VALUE(REGEXEXTRACT(Z67,""\d+"")), Z67)"),139)</f>
        <v>139</v>
      </c>
      <c r="AY67" s="195">
        <v>139</v>
      </c>
      <c r="AZ67" s="195">
        <f ca="1">IFERROR(__xludf.DUMMYFUNCTION("IF(IFERROR(SEARCH(""Unclear"", AG67)) = 1, VALUE(REGEXEXTRACT(AG67,""\d+"")), AG67)"),0)</f>
        <v>0</v>
      </c>
      <c r="BA67" s="195">
        <v>267</v>
      </c>
      <c r="BB67" s="195" t="str">
        <f ca="1">IFERROR(__xludf.DUMMYFUNCTION("IF(IFERROR(SEARCH(""Unclear"", AJ67)) = 1, VALUE(REGEXEXTRACT(AJ67,""\d+"")), AJ67)"),"ND")</f>
        <v>ND</v>
      </c>
      <c r="BC67" s="195" t="s">
        <v>324</v>
      </c>
      <c r="BD67" s="195" t="b">
        <f t="shared" si="2"/>
        <v>1</v>
      </c>
      <c r="BE67" s="195" t="b">
        <f t="shared" ref="BE67:BF67" si="72">IF(IFERROR(FIND("ND",AI67),0),FALSE,TRUE)</f>
        <v>0</v>
      </c>
      <c r="BF67" s="195" t="b">
        <f t="shared" si="72"/>
        <v>0</v>
      </c>
    </row>
    <row r="68" spans="1:58" ht="34.5" customHeight="1">
      <c r="A68" s="212" t="s">
        <v>959</v>
      </c>
      <c r="B68" s="195">
        <v>2017</v>
      </c>
      <c r="C68" s="195" t="s">
        <v>668</v>
      </c>
      <c r="D68" s="4" t="s">
        <v>960</v>
      </c>
      <c r="E68" s="207">
        <v>28965718</v>
      </c>
      <c r="F68" s="208" t="str">
        <f t="shared" si="60"/>
        <v>https://pubmed.ncbi.nlm.nih.gov/28965718</v>
      </c>
      <c r="G68" s="197" t="str">
        <f t="shared" si="61"/>
        <v>Jin 2017</v>
      </c>
      <c r="H68" s="195">
        <v>2017</v>
      </c>
      <c r="I68" s="195" t="s">
        <v>961</v>
      </c>
      <c r="J68" s="198" t="s">
        <v>962</v>
      </c>
      <c r="K68" s="195">
        <v>112</v>
      </c>
      <c r="L68" s="10"/>
      <c r="M68" s="199">
        <f>24+22+24</f>
        <v>70</v>
      </c>
      <c r="N68" s="195">
        <v>42</v>
      </c>
      <c r="O68" s="195" t="s">
        <v>324</v>
      </c>
      <c r="P68" s="195" t="s">
        <v>324</v>
      </c>
      <c r="Q68" s="195" t="s">
        <v>324</v>
      </c>
      <c r="R68" s="195">
        <v>18</v>
      </c>
      <c r="S68" s="195">
        <v>60</v>
      </c>
      <c r="T68" s="195" t="s">
        <v>963</v>
      </c>
      <c r="U68" s="195" t="s">
        <v>964</v>
      </c>
      <c r="V68" s="195" t="s">
        <v>965</v>
      </c>
      <c r="W68" s="199"/>
      <c r="X68" s="195">
        <v>104</v>
      </c>
      <c r="Y68" s="195" t="s">
        <v>966</v>
      </c>
      <c r="Z68" s="199">
        <f>24+13+13</f>
        <v>50</v>
      </c>
      <c r="AA68" s="195" t="s">
        <v>967</v>
      </c>
      <c r="AB68" s="195">
        <v>0</v>
      </c>
      <c r="AC68" s="195" t="s">
        <v>549</v>
      </c>
      <c r="AD68" s="195" t="s">
        <v>322</v>
      </c>
      <c r="AE68" s="195" t="s">
        <v>968</v>
      </c>
      <c r="AF68" s="199"/>
      <c r="AG68" s="195" t="s">
        <v>324</v>
      </c>
      <c r="AH68" s="195" t="s">
        <v>527</v>
      </c>
      <c r="AI68" s="195">
        <v>1</v>
      </c>
      <c r="AJ68" s="195" t="s">
        <v>324</v>
      </c>
      <c r="AK68" s="195" t="s">
        <v>969</v>
      </c>
      <c r="AL68" s="195" t="s">
        <v>695</v>
      </c>
      <c r="AM68" s="199"/>
      <c r="AN68" s="195" t="s">
        <v>970</v>
      </c>
      <c r="AO68" s="195" t="s">
        <v>971</v>
      </c>
      <c r="AP68" s="195" t="s">
        <v>972</v>
      </c>
      <c r="AQ68" s="195" t="s">
        <v>973</v>
      </c>
      <c r="AR68" s="209" t="s">
        <v>517</v>
      </c>
      <c r="AS68" s="195" t="s">
        <v>308</v>
      </c>
      <c r="AT68" s="199"/>
      <c r="AU68" s="202" t="s">
        <v>974</v>
      </c>
      <c r="AV68" s="195" t="s">
        <v>9</v>
      </c>
      <c r="AW68" s="195" t="str">
        <f ca="1">IFERROR(__xludf.DUMMYFUNCTION("IF(AND(IF(AS68=""Yes"",True,False),NOT(IFERROR(REGEXMATCH(AV68,ExclusionCategories),FALSE))),""Yes"", ""No"")"),"Yes")</f>
        <v>Yes</v>
      </c>
      <c r="AX68" s="195">
        <f ca="1">IFERROR(__xludf.DUMMYFUNCTION("IF(IFERROR(SEARCH(""Unclear"", Z68)) = 1, VALUE(REGEXEXTRACT(Z68,""\d+"")), Z68)"),50)</f>
        <v>50</v>
      </c>
      <c r="AY68" s="195">
        <v>50</v>
      </c>
      <c r="AZ68" s="195" t="str">
        <f ca="1">IFERROR(__xludf.DUMMYFUNCTION("IF(IFERROR(SEARCH(""Unclear"", AG68)) = 1, VALUE(REGEXEXTRACT(AG68,""\d+"")), AG68)"),"ND")</f>
        <v>ND</v>
      </c>
      <c r="BA68" s="195" t="s">
        <v>324</v>
      </c>
      <c r="BB68" s="195" t="str">
        <f ca="1">IFERROR(__xludf.DUMMYFUNCTION("IF(IFERROR(SEARCH(""Unclear"", AJ68)) = 1, VALUE(REGEXEXTRACT(AJ68,""\d+"")), AJ68)"),"ND")</f>
        <v>ND</v>
      </c>
      <c r="BC68" s="195" t="s">
        <v>324</v>
      </c>
      <c r="BD68" s="195" t="b">
        <f t="shared" si="2"/>
        <v>0</v>
      </c>
      <c r="BE68" s="195" t="b">
        <f t="shared" ref="BE68:BF68" si="73">IF(IFERROR(FIND("ND",AI68),0),FALSE,TRUE)</f>
        <v>1</v>
      </c>
      <c r="BF68" s="195" t="b">
        <f t="shared" si="73"/>
        <v>0</v>
      </c>
    </row>
    <row r="69" spans="1:58" ht="34.5" customHeight="1">
      <c r="A69" s="212" t="s">
        <v>959</v>
      </c>
      <c r="B69" s="195">
        <v>2019</v>
      </c>
      <c r="C69" s="195" t="s">
        <v>668</v>
      </c>
      <c r="D69" s="4" t="s">
        <v>975</v>
      </c>
      <c r="E69" s="207">
        <v>31877141</v>
      </c>
      <c r="F69" s="208" t="str">
        <f t="shared" si="60"/>
        <v>https://pubmed.ncbi.nlm.nih.gov/31877141</v>
      </c>
      <c r="G69" s="197" t="str">
        <f t="shared" si="61"/>
        <v>Jin 2019</v>
      </c>
      <c r="H69" s="217">
        <v>2019</v>
      </c>
      <c r="I69" s="195" t="s">
        <v>976</v>
      </c>
      <c r="J69" s="200" t="s">
        <v>977</v>
      </c>
      <c r="K69" s="195">
        <v>160</v>
      </c>
      <c r="L69" s="4" t="s">
        <v>978</v>
      </c>
      <c r="M69" s="199">
        <f>34+23</f>
        <v>57</v>
      </c>
      <c r="N69" s="199">
        <f>K69-M69</f>
        <v>103</v>
      </c>
      <c r="O69" s="195" t="s">
        <v>979</v>
      </c>
      <c r="P69" s="195" t="s">
        <v>324</v>
      </c>
      <c r="Q69" s="195" t="s">
        <v>324</v>
      </c>
      <c r="R69" s="195">
        <v>18</v>
      </c>
      <c r="S69" s="195">
        <v>60</v>
      </c>
      <c r="T69" s="195" t="s">
        <v>324</v>
      </c>
      <c r="U69" s="195" t="s">
        <v>324</v>
      </c>
      <c r="V69" s="195" t="s">
        <v>965</v>
      </c>
      <c r="W69" s="199"/>
      <c r="X69" s="195">
        <v>160</v>
      </c>
      <c r="Y69" s="195" t="s">
        <v>980</v>
      </c>
      <c r="Z69" s="199">
        <f>52+29</f>
        <v>81</v>
      </c>
      <c r="AA69" s="199"/>
      <c r="AB69" s="195">
        <v>0</v>
      </c>
      <c r="AC69" s="195" t="s">
        <v>549</v>
      </c>
      <c r="AD69" s="195" t="s">
        <v>322</v>
      </c>
      <c r="AE69" s="195" t="s">
        <v>981</v>
      </c>
      <c r="AF69" s="199"/>
      <c r="AG69" s="199">
        <f>6+1</f>
        <v>7</v>
      </c>
      <c r="AH69" s="195" t="s">
        <v>527</v>
      </c>
      <c r="AI69" s="195" t="s">
        <v>324</v>
      </c>
      <c r="AJ69" s="195" t="s">
        <v>324</v>
      </c>
      <c r="AK69" s="195"/>
      <c r="AL69" s="199"/>
      <c r="AM69" s="199"/>
      <c r="AN69" s="195" t="s">
        <v>982</v>
      </c>
      <c r="AO69" s="195" t="s">
        <v>983</v>
      </c>
      <c r="AP69" s="200" t="s">
        <v>984</v>
      </c>
      <c r="AQ69" s="195" t="s">
        <v>985</v>
      </c>
      <c r="AR69" s="209" t="s">
        <v>517</v>
      </c>
      <c r="AS69" s="195" t="s">
        <v>316</v>
      </c>
      <c r="AT69" s="199"/>
      <c r="AU69" s="202" t="s">
        <v>986</v>
      </c>
      <c r="AV69" s="195" t="s">
        <v>326</v>
      </c>
      <c r="AW69" s="195" t="str">
        <f ca="1">IFERROR(__xludf.DUMMYFUNCTION("IF(AND(IF(AS69=""Yes"",True,False),NOT(IFERROR(REGEXMATCH(AV69,ExclusionCategories),FALSE))),""Yes"", ""No"")"),"No")</f>
        <v>No</v>
      </c>
      <c r="AX69" s="195">
        <f ca="1">IFERROR(__xludf.DUMMYFUNCTION("IF(IFERROR(SEARCH(""Unclear"", Z69)) = 1, VALUE(REGEXEXTRACT(Z69,""\d+"")), Z69)"),81)</f>
        <v>81</v>
      </c>
      <c r="AY69" s="195">
        <v>81</v>
      </c>
      <c r="AZ69" s="195">
        <f ca="1">IFERROR(__xludf.DUMMYFUNCTION("IF(IFERROR(SEARCH(""Unclear"", AG69)) = 1, VALUE(REGEXEXTRACT(AG69,""\d+"")), AG69)"),7)</f>
        <v>7</v>
      </c>
      <c r="BA69" s="195">
        <v>7</v>
      </c>
      <c r="BB69" s="195" t="str">
        <f ca="1">IFERROR(__xludf.DUMMYFUNCTION("IF(IFERROR(SEARCH(""Unclear"", AJ69)) = 1, VALUE(REGEXEXTRACT(AJ69,""\d+"")), AJ69)"),"ND")</f>
        <v>ND</v>
      </c>
      <c r="BC69" s="195" t="s">
        <v>324</v>
      </c>
      <c r="BD69" s="195" t="b">
        <f t="shared" si="2"/>
        <v>1</v>
      </c>
      <c r="BE69" s="195" t="b">
        <f t="shared" ref="BE69:BF69" si="74">IF(IFERROR(FIND("ND",AI69),0),FALSE,TRUE)</f>
        <v>0</v>
      </c>
      <c r="BF69" s="195" t="b">
        <f t="shared" si="74"/>
        <v>0</v>
      </c>
    </row>
    <row r="70" spans="1:58" ht="34.5" customHeight="1">
      <c r="A70" s="212" t="s">
        <v>987</v>
      </c>
      <c r="B70" s="213">
        <v>2016</v>
      </c>
      <c r="C70" s="195" t="s">
        <v>339</v>
      </c>
      <c r="D70" s="4" t="s">
        <v>988</v>
      </c>
      <c r="E70" s="207">
        <v>27062080</v>
      </c>
      <c r="F70" s="230" t="str">
        <f t="shared" si="60"/>
        <v>https://pubmed.ncbi.nlm.nih.gov/27062080</v>
      </c>
      <c r="G70" s="231" t="str">
        <f t="shared" si="61"/>
        <v>Krause 2016</v>
      </c>
      <c r="H70" s="217">
        <v>2016</v>
      </c>
      <c r="I70" s="195"/>
      <c r="J70" s="205"/>
      <c r="K70" s="195">
        <v>8</v>
      </c>
      <c r="L70" s="4"/>
      <c r="M70" s="195">
        <v>8</v>
      </c>
      <c r="N70" s="195">
        <v>0</v>
      </c>
      <c r="O70" s="195" t="s">
        <v>324</v>
      </c>
      <c r="P70" s="195">
        <v>19</v>
      </c>
      <c r="Q70" s="195">
        <v>38</v>
      </c>
      <c r="R70" s="195" t="s">
        <v>324</v>
      </c>
      <c r="S70" s="195" t="s">
        <v>324</v>
      </c>
      <c r="T70" s="195">
        <v>24</v>
      </c>
      <c r="U70" s="195" t="s">
        <v>324</v>
      </c>
      <c r="V70" s="195" t="s">
        <v>989</v>
      </c>
      <c r="W70" s="199"/>
      <c r="X70" s="195">
        <v>8</v>
      </c>
      <c r="Y70" s="195"/>
      <c r="Z70" s="195">
        <v>8</v>
      </c>
      <c r="AA70" s="195" t="s">
        <v>990</v>
      </c>
      <c r="AB70" s="195">
        <v>0</v>
      </c>
      <c r="AC70" s="195" t="s">
        <v>549</v>
      </c>
      <c r="AD70" s="195" t="s">
        <v>322</v>
      </c>
      <c r="AE70" s="195" t="s">
        <v>991</v>
      </c>
      <c r="AF70" s="199"/>
      <c r="AG70" s="195" t="s">
        <v>883</v>
      </c>
      <c r="AH70" s="195" t="s">
        <v>308</v>
      </c>
      <c r="AI70" s="195">
        <v>0</v>
      </c>
      <c r="AJ70" s="195" t="s">
        <v>324</v>
      </c>
      <c r="AK70" s="195" t="s">
        <v>992</v>
      </c>
      <c r="AL70" s="195" t="s">
        <v>322</v>
      </c>
      <c r="AM70" s="199"/>
      <c r="AN70" s="195" t="s">
        <v>993</v>
      </c>
      <c r="AO70" s="195" t="s">
        <v>994</v>
      </c>
      <c r="AP70" s="205" t="s">
        <v>324</v>
      </c>
      <c r="AQ70" s="195" t="s">
        <v>995</v>
      </c>
      <c r="AR70" s="209" t="s">
        <v>517</v>
      </c>
      <c r="AS70" s="195" t="s">
        <v>308</v>
      </c>
      <c r="AT70" s="199"/>
      <c r="AU70" s="202" t="s">
        <v>996</v>
      </c>
      <c r="AV70" s="195" t="s">
        <v>9</v>
      </c>
      <c r="AW70" s="195" t="str">
        <f ca="1">IFERROR(__xludf.DUMMYFUNCTION("IF(AND(IF(AS70=""Yes"",True,False),NOT(IFERROR(REGEXMATCH(AV70,ExclusionCategories),FALSE))),""Yes"", ""No"")"),"Yes")</f>
        <v>Yes</v>
      </c>
      <c r="AX70" s="195">
        <f ca="1">IFERROR(__xludf.DUMMYFUNCTION("IF(IFERROR(SEARCH(""Unclear"", Z70)) = 1, VALUE(REGEXEXTRACT(Z70,""\d+"")), Z70)"),8)</f>
        <v>8</v>
      </c>
      <c r="AY70" s="195">
        <v>8</v>
      </c>
      <c r="AZ70" s="195">
        <f ca="1">IFERROR(__xludf.DUMMYFUNCTION("IF(IFERROR(SEARCH(""Unclear"", AG70)) = 1, VALUE(REGEXEXTRACT(AG70,""\d+"")), AG70)"),7)</f>
        <v>7</v>
      </c>
      <c r="BA70" s="195">
        <v>8</v>
      </c>
      <c r="BB70" s="195" t="str">
        <f ca="1">IFERROR(__xludf.DUMMYFUNCTION("IF(IFERROR(SEARCH(""Unclear"", AJ70)) = 1, VALUE(REGEXEXTRACT(AJ70,""\d+"")), AJ70)"),"ND")</f>
        <v>ND</v>
      </c>
      <c r="BC70" s="195" t="s">
        <v>324</v>
      </c>
      <c r="BD70" s="195" t="b">
        <f t="shared" si="2"/>
        <v>1</v>
      </c>
      <c r="BE70" s="195" t="b">
        <f t="shared" ref="BE70:BF70" si="75">IF(IFERROR(FIND("ND",AI70),0),FALSE,TRUE)</f>
        <v>1</v>
      </c>
      <c r="BF70" s="195" t="b">
        <f t="shared" si="75"/>
        <v>0</v>
      </c>
    </row>
    <row r="71" spans="1:58" ht="34.5" customHeight="1">
      <c r="A71" s="212" t="s">
        <v>997</v>
      </c>
      <c r="B71" s="195">
        <v>2016</v>
      </c>
      <c r="C71" s="195" t="s">
        <v>457</v>
      </c>
      <c r="D71" s="4" t="s">
        <v>998</v>
      </c>
      <c r="E71" s="207">
        <v>28005959</v>
      </c>
      <c r="F71" s="208" t="str">
        <f t="shared" si="60"/>
        <v>https://pubmed.ncbi.nlm.nih.gov/28005959</v>
      </c>
      <c r="G71" s="197" t="str">
        <f t="shared" si="61"/>
        <v>Lambkin-Williams 2016</v>
      </c>
      <c r="H71" s="195">
        <v>2004</v>
      </c>
      <c r="I71" s="195" t="s">
        <v>999</v>
      </c>
      <c r="J71" s="198" t="s">
        <v>1000</v>
      </c>
      <c r="K71" s="195">
        <v>176</v>
      </c>
      <c r="L71" s="4" t="s">
        <v>1001</v>
      </c>
      <c r="M71" s="195">
        <v>88</v>
      </c>
      <c r="N71" s="195">
        <v>88</v>
      </c>
      <c r="O71" s="195" t="s">
        <v>324</v>
      </c>
      <c r="P71" s="195" t="s">
        <v>324</v>
      </c>
      <c r="Q71" s="195" t="s">
        <v>324</v>
      </c>
      <c r="R71" s="195">
        <v>18</v>
      </c>
      <c r="S71" s="195">
        <v>50</v>
      </c>
      <c r="T71" s="195">
        <v>25.7</v>
      </c>
      <c r="U71" s="195">
        <v>5.7</v>
      </c>
      <c r="V71" s="195" t="s">
        <v>1002</v>
      </c>
      <c r="W71" s="199"/>
      <c r="X71" s="195">
        <v>145</v>
      </c>
      <c r="Y71" s="195" t="s">
        <v>1003</v>
      </c>
      <c r="Z71" s="195">
        <v>33</v>
      </c>
      <c r="AA71" s="195" t="s">
        <v>1004</v>
      </c>
      <c r="AB71" s="195">
        <v>0</v>
      </c>
      <c r="AC71" s="195" t="s">
        <v>549</v>
      </c>
      <c r="AD71" s="195" t="s">
        <v>322</v>
      </c>
      <c r="AE71" s="195" t="s">
        <v>1005</v>
      </c>
      <c r="AF71" s="195" t="s">
        <v>1006</v>
      </c>
      <c r="AG71" s="195">
        <v>97</v>
      </c>
      <c r="AH71" s="195" t="s">
        <v>511</v>
      </c>
      <c r="AI71" s="195">
        <v>0</v>
      </c>
      <c r="AJ71" s="195">
        <v>6</v>
      </c>
      <c r="AK71" s="199"/>
      <c r="AL71" s="195" t="s">
        <v>322</v>
      </c>
      <c r="AM71" s="199"/>
      <c r="AN71" s="195" t="s">
        <v>1007</v>
      </c>
      <c r="AO71" s="195" t="s">
        <v>1008</v>
      </c>
      <c r="AP71" s="195" t="s">
        <v>1009</v>
      </c>
      <c r="AQ71" s="195" t="s">
        <v>1010</v>
      </c>
      <c r="AR71" s="209" t="s">
        <v>517</v>
      </c>
      <c r="AS71" s="195" t="s">
        <v>308</v>
      </c>
      <c r="AT71" s="199"/>
      <c r="AU71" s="202" t="s">
        <v>1011</v>
      </c>
      <c r="AV71" s="195" t="s">
        <v>9</v>
      </c>
      <c r="AW71" s="195" t="str">
        <f ca="1">IFERROR(__xludf.DUMMYFUNCTION("IF(AND(IF(AS71=""Yes"",True,False),NOT(IFERROR(REGEXMATCH(AV71,ExclusionCategories),FALSE))),""Yes"", ""No"")"),"Yes")</f>
        <v>Yes</v>
      </c>
      <c r="AX71" s="195">
        <f ca="1">IFERROR(__xludf.DUMMYFUNCTION("IF(IFERROR(SEARCH(""Unclear"", Z71)) = 1, VALUE(REGEXEXTRACT(Z71,""\d+"")), Z71)"),33)</f>
        <v>33</v>
      </c>
      <c r="AY71" s="195">
        <v>33</v>
      </c>
      <c r="AZ71" s="195">
        <f ca="1">IFERROR(__xludf.DUMMYFUNCTION("IF(IFERROR(SEARCH(""Unclear"", AG71)) = 1, VALUE(REGEXEXTRACT(AG71,""\d+"")), AG71)"),97)</f>
        <v>97</v>
      </c>
      <c r="BA71" s="195">
        <v>97</v>
      </c>
      <c r="BB71" s="195">
        <f ca="1">IFERROR(__xludf.DUMMYFUNCTION("IF(IFERROR(SEARCH(""Unclear"", AJ71)) = 1, VALUE(REGEXEXTRACT(AJ71,""\d+"")), AJ71)"),6)</f>
        <v>6</v>
      </c>
      <c r="BC71" s="195">
        <v>6</v>
      </c>
      <c r="BD71" s="195" t="b">
        <f t="shared" si="2"/>
        <v>1</v>
      </c>
      <c r="BE71" s="195" t="b">
        <f t="shared" ref="BE71:BF71" si="76">IF(IFERROR(FIND("ND",AI71),0),FALSE,TRUE)</f>
        <v>1</v>
      </c>
      <c r="BF71" s="195" t="b">
        <f t="shared" si="76"/>
        <v>1</v>
      </c>
    </row>
    <row r="72" spans="1:58" ht="34.5" customHeight="1">
      <c r="A72" s="212" t="s">
        <v>423</v>
      </c>
      <c r="B72" s="195">
        <v>2018</v>
      </c>
      <c r="C72" s="195" t="s">
        <v>339</v>
      </c>
      <c r="D72" s="4" t="s">
        <v>1012</v>
      </c>
      <c r="E72" s="207">
        <v>30014816</v>
      </c>
      <c r="F72" s="208" t="str">
        <f t="shared" si="60"/>
        <v>https://pubmed.ncbi.nlm.nih.gov/30014816</v>
      </c>
      <c r="G72" s="197" t="str">
        <f t="shared" si="61"/>
        <v>Langenberg 2018</v>
      </c>
      <c r="H72" s="195">
        <v>2014</v>
      </c>
      <c r="I72" s="195" t="s">
        <v>1013</v>
      </c>
      <c r="J72" s="198" t="s">
        <v>1014</v>
      </c>
      <c r="K72" s="195">
        <v>24</v>
      </c>
      <c r="L72" s="4"/>
      <c r="M72" s="195" t="s">
        <v>324</v>
      </c>
      <c r="N72" s="195" t="s">
        <v>324</v>
      </c>
      <c r="O72" s="195" t="s">
        <v>324</v>
      </c>
      <c r="P72" s="195" t="s">
        <v>324</v>
      </c>
      <c r="Q72" s="195" t="s">
        <v>324</v>
      </c>
      <c r="R72" s="195">
        <v>18</v>
      </c>
      <c r="S72" s="195">
        <v>35</v>
      </c>
      <c r="T72" s="195" t="s">
        <v>324</v>
      </c>
      <c r="U72" s="195" t="s">
        <v>324</v>
      </c>
      <c r="V72" s="195" t="s">
        <v>1015</v>
      </c>
      <c r="W72" s="199"/>
      <c r="X72" s="195">
        <v>24</v>
      </c>
      <c r="Y72" s="199"/>
      <c r="Z72" s="195">
        <v>20</v>
      </c>
      <c r="AA72" s="199"/>
      <c r="AB72" s="195">
        <v>0</v>
      </c>
      <c r="AC72" s="195" t="s">
        <v>549</v>
      </c>
      <c r="AD72" s="195" t="s">
        <v>322</v>
      </c>
      <c r="AE72" s="195" t="s">
        <v>1016</v>
      </c>
      <c r="AF72" s="195"/>
      <c r="AG72" s="195">
        <v>20</v>
      </c>
      <c r="AH72" s="195" t="s">
        <v>511</v>
      </c>
      <c r="AI72" s="195">
        <v>0</v>
      </c>
      <c r="AJ72" s="195" t="s">
        <v>394</v>
      </c>
      <c r="AK72" s="195" t="s">
        <v>1017</v>
      </c>
      <c r="AL72" s="195" t="s">
        <v>322</v>
      </c>
      <c r="AM72" s="199"/>
      <c r="AN72" s="195" t="s">
        <v>1018</v>
      </c>
      <c r="AO72" s="195" t="s">
        <v>1019</v>
      </c>
      <c r="AP72" s="195" t="s">
        <v>1020</v>
      </c>
      <c r="AQ72" s="195" t="s">
        <v>1021</v>
      </c>
      <c r="AR72" s="209" t="s">
        <v>517</v>
      </c>
      <c r="AS72" s="195" t="s">
        <v>308</v>
      </c>
      <c r="AT72" s="199"/>
      <c r="AU72" s="202" t="s">
        <v>1022</v>
      </c>
      <c r="AV72" s="195" t="s">
        <v>9</v>
      </c>
      <c r="AW72" s="195" t="str">
        <f ca="1">IFERROR(__xludf.DUMMYFUNCTION("IF(AND(IF(AS72=""Yes"",True,False),NOT(IFERROR(REGEXMATCH(AV72,ExclusionCategories),FALSE))),""Yes"", ""No"")"),"Yes")</f>
        <v>Yes</v>
      </c>
      <c r="AX72" s="195">
        <f ca="1">IFERROR(__xludf.DUMMYFUNCTION("IF(IFERROR(SEARCH(""Unclear"", Z72)) = 1, VALUE(REGEXEXTRACT(Z72,""\d+"")), Z72)"),20)</f>
        <v>20</v>
      </c>
      <c r="AY72" s="195">
        <v>20</v>
      </c>
      <c r="AZ72" s="195">
        <f ca="1">IFERROR(__xludf.DUMMYFUNCTION("IF(IFERROR(SEARCH(""Unclear"", AG72)) = 1, VALUE(REGEXEXTRACT(AG72,""\d+"")), AG72)"),20)</f>
        <v>20</v>
      </c>
      <c r="BA72" s="195">
        <v>20</v>
      </c>
      <c r="BB72" s="195">
        <f ca="1">IFERROR(__xludf.DUMMYFUNCTION("IF(IFERROR(SEARCH(""Unclear"", AJ72)) = 1, VALUE(REGEXEXTRACT(AJ72,""\d+"")), AJ72)"),0)</f>
        <v>0</v>
      </c>
      <c r="BC72" s="195">
        <v>20</v>
      </c>
      <c r="BD72" s="195" t="b">
        <f t="shared" si="2"/>
        <v>1</v>
      </c>
      <c r="BE72" s="195" t="b">
        <f t="shared" ref="BE72:BF72" si="77">IF(IFERROR(FIND("ND",AI72),0),FALSE,TRUE)</f>
        <v>1</v>
      </c>
      <c r="BF72" s="195" t="b">
        <f t="shared" si="77"/>
        <v>1</v>
      </c>
    </row>
    <row r="73" spans="1:58" ht="34.5" customHeight="1">
      <c r="A73" s="212" t="s">
        <v>1023</v>
      </c>
      <c r="B73" s="195">
        <v>2013</v>
      </c>
      <c r="C73" s="195" t="s">
        <v>339</v>
      </c>
      <c r="D73" s="4" t="s">
        <v>1024</v>
      </c>
      <c r="E73" s="207">
        <v>23874828</v>
      </c>
      <c r="F73" s="208" t="str">
        <f t="shared" si="60"/>
        <v>https://pubmed.ncbi.nlm.nih.gov/23874828</v>
      </c>
      <c r="G73" s="197" t="str">
        <f t="shared" si="61"/>
        <v>Laurens 2013</v>
      </c>
      <c r="H73" s="195">
        <v>2011</v>
      </c>
      <c r="I73" s="195" t="s">
        <v>1025</v>
      </c>
      <c r="J73" s="198" t="s">
        <v>1026</v>
      </c>
      <c r="K73" s="195">
        <v>19</v>
      </c>
      <c r="L73" s="4"/>
      <c r="M73" s="195">
        <v>11</v>
      </c>
      <c r="N73" s="195">
        <v>8</v>
      </c>
      <c r="O73" s="195" t="s">
        <v>324</v>
      </c>
      <c r="P73" s="195">
        <v>20</v>
      </c>
      <c r="Q73" s="195">
        <v>39</v>
      </c>
      <c r="R73" s="195">
        <v>18</v>
      </c>
      <c r="S73" s="195">
        <v>40</v>
      </c>
      <c r="T73" s="195">
        <v>29.8</v>
      </c>
      <c r="U73" s="195" t="s">
        <v>324</v>
      </c>
      <c r="V73" s="195" t="s">
        <v>1027</v>
      </c>
      <c r="W73" s="199"/>
      <c r="X73" s="195">
        <v>19</v>
      </c>
      <c r="Y73" s="199"/>
      <c r="Z73" s="195">
        <v>19</v>
      </c>
      <c r="AA73" s="195" t="s">
        <v>1028</v>
      </c>
      <c r="AB73" s="195">
        <v>0</v>
      </c>
      <c r="AC73" s="195" t="s">
        <v>549</v>
      </c>
      <c r="AD73" s="195" t="s">
        <v>322</v>
      </c>
      <c r="AE73" s="195" t="s">
        <v>1029</v>
      </c>
      <c r="AF73" s="195"/>
      <c r="AG73" s="195" t="s">
        <v>1030</v>
      </c>
      <c r="AH73" s="195" t="s">
        <v>511</v>
      </c>
      <c r="AI73" s="195" t="s">
        <v>324</v>
      </c>
      <c r="AJ73" s="195">
        <v>1</v>
      </c>
      <c r="AK73" s="195"/>
      <c r="AL73" s="195" t="s">
        <v>322</v>
      </c>
      <c r="AM73" s="199"/>
      <c r="AN73" s="195" t="s">
        <v>1031</v>
      </c>
      <c r="AO73" s="195" t="s">
        <v>1032</v>
      </c>
      <c r="AP73" s="200" t="s">
        <v>1033</v>
      </c>
      <c r="AQ73" s="195" t="s">
        <v>531</v>
      </c>
      <c r="AR73" s="209" t="s">
        <v>517</v>
      </c>
      <c r="AS73" s="195" t="s">
        <v>316</v>
      </c>
      <c r="AT73" s="199"/>
      <c r="AU73" s="202" t="s">
        <v>1034</v>
      </c>
      <c r="AV73" s="195" t="s">
        <v>326</v>
      </c>
      <c r="AW73" s="195" t="str">
        <f ca="1">IFERROR(__xludf.DUMMYFUNCTION("IF(AND(IF(AS73=""Yes"",True,False),NOT(IFERROR(REGEXMATCH(AV73,ExclusionCategories),FALSE))),""Yes"", ""No"")"),"No")</f>
        <v>No</v>
      </c>
      <c r="AX73" s="195">
        <f ca="1">IFERROR(__xludf.DUMMYFUNCTION("IF(IFERROR(SEARCH(""Unclear"", Z73)) = 1, VALUE(REGEXEXTRACT(Z73,""\d+"")), Z73)"),19)</f>
        <v>19</v>
      </c>
      <c r="AY73" s="195">
        <v>19</v>
      </c>
      <c r="AZ73" s="195">
        <f ca="1">IFERROR(__xludf.DUMMYFUNCTION("IF(IFERROR(SEARCH(""Unclear"", AG73)) = 1, VALUE(REGEXEXTRACT(AG73,""\d+"")), AG73)"),8)</f>
        <v>8</v>
      </c>
      <c r="BA73" s="195">
        <v>19</v>
      </c>
      <c r="BB73" s="195">
        <f ca="1">IFERROR(__xludf.DUMMYFUNCTION("IF(IFERROR(SEARCH(""Unclear"", AJ73)) = 1, VALUE(REGEXEXTRACT(AJ73,""\d+"")), AJ73)"),1)</f>
        <v>1</v>
      </c>
      <c r="BC73" s="195">
        <v>1</v>
      </c>
      <c r="BD73" s="195" t="b">
        <f t="shared" si="2"/>
        <v>1</v>
      </c>
      <c r="BE73" s="195" t="b">
        <f t="shared" ref="BE73:BF73" si="78">IF(IFERROR(FIND("ND",AI73),0),FALSE,TRUE)</f>
        <v>0</v>
      </c>
      <c r="BF73" s="195" t="b">
        <f t="shared" si="78"/>
        <v>1</v>
      </c>
    </row>
    <row r="74" spans="1:58" ht="34.5" customHeight="1">
      <c r="A74" s="212" t="s">
        <v>1035</v>
      </c>
      <c r="B74" s="195">
        <v>2018</v>
      </c>
      <c r="C74" s="195" t="s">
        <v>339</v>
      </c>
      <c r="D74" s="4" t="s">
        <v>1036</v>
      </c>
      <c r="E74" s="207">
        <v>29260650</v>
      </c>
      <c r="F74" s="208" t="str">
        <f t="shared" si="60"/>
        <v>https://pubmed.ncbi.nlm.nih.gov/29260650</v>
      </c>
      <c r="G74" s="197" t="str">
        <f t="shared" si="61"/>
        <v>Lell 2018</v>
      </c>
      <c r="H74" s="195">
        <v>2015</v>
      </c>
      <c r="I74" s="195" t="s">
        <v>1037</v>
      </c>
      <c r="J74" s="198" t="s">
        <v>1038</v>
      </c>
      <c r="K74" s="195">
        <v>11</v>
      </c>
      <c r="L74" s="4" t="s">
        <v>1039</v>
      </c>
      <c r="M74" s="195">
        <v>6</v>
      </c>
      <c r="N74" s="195">
        <v>5</v>
      </c>
      <c r="O74" s="195">
        <v>22.1</v>
      </c>
      <c r="P74" s="195">
        <v>19.100000000000001</v>
      </c>
      <c r="Q74" s="195">
        <v>26.6</v>
      </c>
      <c r="R74" s="195">
        <v>18</v>
      </c>
      <c r="S74" s="195">
        <v>30</v>
      </c>
      <c r="T74" s="195" t="s">
        <v>324</v>
      </c>
      <c r="U74" s="195" t="s">
        <v>324</v>
      </c>
      <c r="V74" s="195" t="s">
        <v>1040</v>
      </c>
      <c r="W74" s="199"/>
      <c r="X74" s="195">
        <v>11</v>
      </c>
      <c r="Y74" s="199"/>
      <c r="Z74" s="195">
        <v>7</v>
      </c>
      <c r="AA74" s="195" t="s">
        <v>1041</v>
      </c>
      <c r="AB74" s="195">
        <v>0</v>
      </c>
      <c r="AC74" s="195" t="s">
        <v>549</v>
      </c>
      <c r="AD74" s="195" t="s">
        <v>322</v>
      </c>
      <c r="AE74" s="195" t="s">
        <v>1042</v>
      </c>
      <c r="AF74" s="195"/>
      <c r="AG74" s="195">
        <v>11</v>
      </c>
      <c r="AH74" s="195" t="s">
        <v>511</v>
      </c>
      <c r="AI74" s="195">
        <v>0</v>
      </c>
      <c r="AJ74" s="195">
        <v>0</v>
      </c>
      <c r="AK74" s="195" t="s">
        <v>1043</v>
      </c>
      <c r="AL74" s="195" t="s">
        <v>322</v>
      </c>
      <c r="AM74" s="199"/>
      <c r="AN74" s="195" t="s">
        <v>1044</v>
      </c>
      <c r="AO74" s="195" t="s">
        <v>1045</v>
      </c>
      <c r="AP74" s="195" t="s">
        <v>1046</v>
      </c>
      <c r="AQ74" s="195" t="s">
        <v>531</v>
      </c>
      <c r="AR74" s="209" t="s">
        <v>517</v>
      </c>
      <c r="AS74" s="195" t="s">
        <v>316</v>
      </c>
      <c r="AT74" s="199"/>
      <c r="AU74" s="202" t="s">
        <v>1047</v>
      </c>
      <c r="AV74" s="195" t="s">
        <v>326</v>
      </c>
      <c r="AW74" s="195" t="str">
        <f ca="1">IFERROR(__xludf.DUMMYFUNCTION("IF(AND(IF(AS74=""Yes"",True,False),NOT(IFERROR(REGEXMATCH(AV74,ExclusionCategories),FALSE))),""Yes"", ""No"")"),"No")</f>
        <v>No</v>
      </c>
      <c r="AX74" s="195">
        <f ca="1">IFERROR(__xludf.DUMMYFUNCTION("IF(IFERROR(SEARCH(""Unclear"", Z74)) = 1, VALUE(REGEXEXTRACT(Z74,""\d+"")), Z74)"),7)</f>
        <v>7</v>
      </c>
      <c r="AY74" s="195">
        <v>7</v>
      </c>
      <c r="AZ74" s="195">
        <f ca="1">IFERROR(__xludf.DUMMYFUNCTION("IF(IFERROR(SEARCH(""Unclear"", AG74)) = 1, VALUE(REGEXEXTRACT(AG74,""\d+"")), AG74)"),11)</f>
        <v>11</v>
      </c>
      <c r="BA74" s="195">
        <v>11</v>
      </c>
      <c r="BB74" s="195">
        <f ca="1">IFERROR(__xludf.DUMMYFUNCTION("IF(IFERROR(SEARCH(""Unclear"", AJ74)) = 1, VALUE(REGEXEXTRACT(AJ74,""\d+"")), AJ74)"),0)</f>
        <v>0</v>
      </c>
      <c r="BC74" s="195">
        <v>0</v>
      </c>
      <c r="BD74" s="195" t="b">
        <f t="shared" si="2"/>
        <v>1</v>
      </c>
      <c r="BE74" s="195" t="b">
        <f t="shared" ref="BE74:BF74" si="79">IF(IFERROR(FIND("ND",AI74),0),FALSE,TRUE)</f>
        <v>1</v>
      </c>
      <c r="BF74" s="195" t="b">
        <f t="shared" si="79"/>
        <v>1</v>
      </c>
    </row>
    <row r="75" spans="1:58" ht="34.5" customHeight="1">
      <c r="A75" s="212" t="s">
        <v>1035</v>
      </c>
      <c r="B75" s="195">
        <v>2018</v>
      </c>
      <c r="C75" s="195" t="s">
        <v>339</v>
      </c>
      <c r="D75" s="4" t="s">
        <v>1036</v>
      </c>
      <c r="E75" s="216">
        <v>29260650</v>
      </c>
      <c r="F75" s="208" t="str">
        <f t="shared" si="60"/>
        <v>https://pubmed.ncbi.nlm.nih.gov/29260650</v>
      </c>
      <c r="G75" s="197" t="str">
        <f t="shared" si="61"/>
        <v>Lell 2018</v>
      </c>
      <c r="H75" s="195">
        <v>2015</v>
      </c>
      <c r="I75" s="195" t="s">
        <v>1037</v>
      </c>
      <c r="J75" s="198" t="s">
        <v>1038</v>
      </c>
      <c r="K75" s="195">
        <v>9</v>
      </c>
      <c r="L75" s="4" t="s">
        <v>1048</v>
      </c>
      <c r="M75" s="195">
        <v>6</v>
      </c>
      <c r="N75" s="195">
        <v>3</v>
      </c>
      <c r="O75" s="195">
        <v>22.5</v>
      </c>
      <c r="P75" s="195">
        <v>18.600000000000001</v>
      </c>
      <c r="Q75" s="195">
        <v>25.9</v>
      </c>
      <c r="R75" s="195">
        <v>18</v>
      </c>
      <c r="S75" s="195">
        <v>30</v>
      </c>
      <c r="T75" s="195" t="s">
        <v>324</v>
      </c>
      <c r="U75" s="195" t="s">
        <v>324</v>
      </c>
      <c r="V75" s="195" t="s">
        <v>1040</v>
      </c>
      <c r="W75" s="199"/>
      <c r="X75" s="195">
        <v>9</v>
      </c>
      <c r="Y75" s="199"/>
      <c r="Z75" s="195">
        <v>5</v>
      </c>
      <c r="AA75" s="195" t="s">
        <v>1041</v>
      </c>
      <c r="AB75" s="195">
        <v>0</v>
      </c>
      <c r="AC75" s="195" t="s">
        <v>549</v>
      </c>
      <c r="AD75" s="195" t="s">
        <v>322</v>
      </c>
      <c r="AE75" s="195" t="s">
        <v>1042</v>
      </c>
      <c r="AF75" s="195"/>
      <c r="AG75" s="195">
        <v>9</v>
      </c>
      <c r="AH75" s="195" t="s">
        <v>511</v>
      </c>
      <c r="AI75" s="195">
        <v>0</v>
      </c>
      <c r="AJ75" s="195">
        <v>0</v>
      </c>
      <c r="AK75" s="195" t="s">
        <v>1043</v>
      </c>
      <c r="AL75" s="195" t="s">
        <v>322</v>
      </c>
      <c r="AM75" s="199"/>
      <c r="AN75" s="195" t="s">
        <v>1044</v>
      </c>
      <c r="AO75" s="195" t="s">
        <v>1045</v>
      </c>
      <c r="AP75" s="195" t="s">
        <v>1046</v>
      </c>
      <c r="AQ75" s="195" t="s">
        <v>531</v>
      </c>
      <c r="AR75" s="209" t="s">
        <v>517</v>
      </c>
      <c r="AS75" s="195" t="s">
        <v>316</v>
      </c>
      <c r="AT75" s="199"/>
      <c r="AU75" s="202" t="s">
        <v>1047</v>
      </c>
      <c r="AV75" s="195" t="s">
        <v>326</v>
      </c>
      <c r="AW75" s="195" t="str">
        <f ca="1">IFERROR(__xludf.DUMMYFUNCTION("IF(AND(IF(AS75=""Yes"",True,False),NOT(IFERROR(REGEXMATCH(AV75,ExclusionCategories),FALSE))),""Yes"", ""No"")"),"No")</f>
        <v>No</v>
      </c>
      <c r="AX75" s="195">
        <f ca="1">IFERROR(__xludf.DUMMYFUNCTION("IF(IFERROR(SEARCH(""Unclear"", Z75)) = 1, VALUE(REGEXEXTRACT(Z75,""\d+"")), Z75)"),5)</f>
        <v>5</v>
      </c>
      <c r="AY75" s="195">
        <v>5</v>
      </c>
      <c r="AZ75" s="195">
        <f ca="1">IFERROR(__xludf.DUMMYFUNCTION("IF(IFERROR(SEARCH(""Unclear"", AG75)) = 1, VALUE(REGEXEXTRACT(AG75,""\d+"")), AG75)"),9)</f>
        <v>9</v>
      </c>
      <c r="BA75" s="195">
        <v>9</v>
      </c>
      <c r="BB75" s="195">
        <f ca="1">IFERROR(__xludf.DUMMYFUNCTION("IF(IFERROR(SEARCH(""Unclear"", AJ75)) = 1, VALUE(REGEXEXTRACT(AJ75,""\d+"")), AJ75)"),0)</f>
        <v>0</v>
      </c>
      <c r="BC75" s="195">
        <v>0</v>
      </c>
      <c r="BD75" s="195" t="b">
        <f t="shared" si="2"/>
        <v>1</v>
      </c>
      <c r="BE75" s="195" t="b">
        <f t="shared" ref="BE75:BF75" si="80">IF(IFERROR(FIND("ND",AI75),0),FALSE,TRUE)</f>
        <v>1</v>
      </c>
      <c r="BF75" s="195" t="b">
        <f t="shared" si="80"/>
        <v>1</v>
      </c>
    </row>
    <row r="76" spans="1:58" ht="34.5" customHeight="1">
      <c r="A76" s="212" t="s">
        <v>1035</v>
      </c>
      <c r="B76" s="195">
        <v>2018</v>
      </c>
      <c r="C76" s="195" t="s">
        <v>339</v>
      </c>
      <c r="D76" s="4" t="s">
        <v>1036</v>
      </c>
      <c r="E76" s="216">
        <v>29260650</v>
      </c>
      <c r="F76" s="208" t="str">
        <f t="shared" si="60"/>
        <v>https://pubmed.ncbi.nlm.nih.gov/29260650</v>
      </c>
      <c r="G76" s="197" t="str">
        <f t="shared" si="61"/>
        <v>Lell 2018</v>
      </c>
      <c r="H76" s="195">
        <v>2015</v>
      </c>
      <c r="I76" s="195" t="s">
        <v>1037</v>
      </c>
      <c r="J76" s="198" t="s">
        <v>1038</v>
      </c>
      <c r="K76" s="195">
        <v>5</v>
      </c>
      <c r="L76" s="4" t="s">
        <v>1049</v>
      </c>
      <c r="M76" s="195">
        <v>1</v>
      </c>
      <c r="N76" s="195">
        <v>4</v>
      </c>
      <c r="O76" s="195">
        <v>28</v>
      </c>
      <c r="P76" s="195">
        <v>24.3</v>
      </c>
      <c r="Q76" s="195">
        <v>28.7</v>
      </c>
      <c r="R76" s="195">
        <v>18</v>
      </c>
      <c r="S76" s="195">
        <v>30</v>
      </c>
      <c r="T76" s="195" t="s">
        <v>324</v>
      </c>
      <c r="U76" s="195" t="s">
        <v>324</v>
      </c>
      <c r="V76" s="195" t="s">
        <v>1040</v>
      </c>
      <c r="W76" s="199"/>
      <c r="X76" s="195">
        <v>5</v>
      </c>
      <c r="Y76" s="199"/>
      <c r="Z76" s="195">
        <v>5</v>
      </c>
      <c r="AA76" s="195" t="s">
        <v>1041</v>
      </c>
      <c r="AB76" s="195">
        <v>0</v>
      </c>
      <c r="AC76" s="195" t="s">
        <v>549</v>
      </c>
      <c r="AD76" s="195" t="s">
        <v>322</v>
      </c>
      <c r="AE76" s="195" t="s">
        <v>1042</v>
      </c>
      <c r="AF76" s="195"/>
      <c r="AG76" s="195">
        <v>5</v>
      </c>
      <c r="AH76" s="195" t="s">
        <v>511</v>
      </c>
      <c r="AI76" s="195">
        <v>0</v>
      </c>
      <c r="AJ76" s="195" t="s">
        <v>397</v>
      </c>
      <c r="AK76" s="195" t="s">
        <v>1043</v>
      </c>
      <c r="AL76" s="195" t="s">
        <v>322</v>
      </c>
      <c r="AM76" s="199"/>
      <c r="AN76" s="195" t="s">
        <v>1044</v>
      </c>
      <c r="AO76" s="195" t="s">
        <v>1045</v>
      </c>
      <c r="AP76" s="195" t="s">
        <v>1046</v>
      </c>
      <c r="AQ76" s="195" t="s">
        <v>531</v>
      </c>
      <c r="AR76" s="209" t="s">
        <v>517</v>
      </c>
      <c r="AS76" s="195" t="s">
        <v>316</v>
      </c>
      <c r="AT76" s="199"/>
      <c r="AU76" s="202" t="s">
        <v>1047</v>
      </c>
      <c r="AV76" s="195" t="s">
        <v>326</v>
      </c>
      <c r="AW76" s="195" t="str">
        <f ca="1">IFERROR(__xludf.DUMMYFUNCTION("IF(AND(IF(AS76=""Yes"",True,False),NOT(IFERROR(REGEXMATCH(AV76,ExclusionCategories),FALSE))),""Yes"", ""No"")"),"No")</f>
        <v>No</v>
      </c>
      <c r="AX76" s="195">
        <f ca="1">IFERROR(__xludf.DUMMYFUNCTION("IF(IFERROR(SEARCH(""Unclear"", Z76)) = 1, VALUE(REGEXEXTRACT(Z76,""\d+"")), Z76)"),5)</f>
        <v>5</v>
      </c>
      <c r="AY76" s="195">
        <v>5</v>
      </c>
      <c r="AZ76" s="195">
        <f ca="1">IFERROR(__xludf.DUMMYFUNCTION("IF(IFERROR(SEARCH(""Unclear"", AG76)) = 1, VALUE(REGEXEXTRACT(AG76,""\d+"")), AG76)"),5)</f>
        <v>5</v>
      </c>
      <c r="BA76" s="195">
        <v>5</v>
      </c>
      <c r="BB76" s="195">
        <f ca="1">IFERROR(__xludf.DUMMYFUNCTION("IF(IFERROR(SEARCH(""Unclear"", AJ76)) = 1, VALUE(REGEXEXTRACT(AJ76,""\d+"")), AJ76)"),3)</f>
        <v>3</v>
      </c>
      <c r="BC76" s="195">
        <v>5</v>
      </c>
      <c r="BD76" s="195" t="b">
        <f t="shared" si="2"/>
        <v>1</v>
      </c>
      <c r="BE76" s="195" t="b">
        <f t="shared" ref="BE76:BF76" si="81">IF(IFERROR(FIND("ND",AI76),0),FALSE,TRUE)</f>
        <v>1</v>
      </c>
      <c r="BF76" s="195" t="b">
        <f t="shared" si="81"/>
        <v>1</v>
      </c>
    </row>
    <row r="77" spans="1:58" ht="34.5" customHeight="1">
      <c r="A77" s="212" t="s">
        <v>1035</v>
      </c>
      <c r="B77" s="195">
        <v>2018</v>
      </c>
      <c r="C77" s="195" t="s">
        <v>339</v>
      </c>
      <c r="D77" s="4" t="s">
        <v>1036</v>
      </c>
      <c r="E77" s="216">
        <v>29260650</v>
      </c>
      <c r="F77" s="208" t="str">
        <f t="shared" si="60"/>
        <v>https://pubmed.ncbi.nlm.nih.gov/29260650</v>
      </c>
      <c r="G77" s="197" t="str">
        <f t="shared" si="61"/>
        <v>Lell 2018</v>
      </c>
      <c r="H77" s="195">
        <v>2015</v>
      </c>
      <c r="I77" s="195" t="s">
        <v>1037</v>
      </c>
      <c r="J77" s="198" t="s">
        <v>1038</v>
      </c>
      <c r="K77" s="195">
        <v>25</v>
      </c>
      <c r="L77" s="4" t="s">
        <v>1050</v>
      </c>
      <c r="M77" s="195">
        <v>13</v>
      </c>
      <c r="N77" s="195">
        <v>12</v>
      </c>
      <c r="O77" s="195" t="s">
        <v>1051</v>
      </c>
      <c r="P77" s="195">
        <v>18.600000000000001</v>
      </c>
      <c r="Q77" s="195">
        <v>28.7</v>
      </c>
      <c r="R77" s="195">
        <v>18</v>
      </c>
      <c r="S77" s="195">
        <v>30</v>
      </c>
      <c r="T77" s="195" t="s">
        <v>324</v>
      </c>
      <c r="U77" s="195" t="s">
        <v>324</v>
      </c>
      <c r="V77" s="195" t="s">
        <v>1040</v>
      </c>
      <c r="W77" s="199"/>
      <c r="X77" s="195">
        <v>25</v>
      </c>
      <c r="Y77" s="199"/>
      <c r="Z77" s="195">
        <v>17</v>
      </c>
      <c r="AA77" s="195" t="s">
        <v>1041</v>
      </c>
      <c r="AB77" s="195">
        <v>0</v>
      </c>
      <c r="AC77" s="195"/>
      <c r="AD77" s="195" t="s">
        <v>322</v>
      </c>
      <c r="AE77" s="195" t="s">
        <v>1042</v>
      </c>
      <c r="AF77" s="195"/>
      <c r="AG77" s="195">
        <v>25</v>
      </c>
      <c r="AH77" s="195" t="s">
        <v>308</v>
      </c>
      <c r="AI77" s="195">
        <v>0</v>
      </c>
      <c r="AJ77" s="195" t="s">
        <v>397</v>
      </c>
      <c r="AK77" s="195" t="s">
        <v>1043</v>
      </c>
      <c r="AL77" s="195" t="s">
        <v>322</v>
      </c>
      <c r="AM77" s="199"/>
      <c r="AN77" s="195" t="s">
        <v>1044</v>
      </c>
      <c r="AO77" s="195" t="s">
        <v>1045</v>
      </c>
      <c r="AP77" s="195" t="s">
        <v>1046</v>
      </c>
      <c r="AQ77" s="195" t="s">
        <v>531</v>
      </c>
      <c r="AR77" s="209" t="s">
        <v>517</v>
      </c>
      <c r="AS77" s="195" t="s">
        <v>308</v>
      </c>
      <c r="AT77" s="199"/>
      <c r="AU77" s="202" t="s">
        <v>1047</v>
      </c>
      <c r="AV77" s="195" t="s">
        <v>337</v>
      </c>
      <c r="AW77" s="195" t="str">
        <f ca="1">IFERROR(__xludf.DUMMYFUNCTION("IF(AND(IF(AS77=""Yes"",True,False),NOT(IFERROR(REGEXMATCH(AV77,ExclusionCategories),FALSE))),""Yes"", ""No"")"),"Yes")</f>
        <v>Yes</v>
      </c>
      <c r="AX77" s="195">
        <f ca="1">IFERROR(__xludf.DUMMYFUNCTION("IF(IFERROR(SEARCH(""Unclear"", Z77)) = 1, VALUE(REGEXEXTRACT(Z77,""\d+"")), Z77)"),17)</f>
        <v>17</v>
      </c>
      <c r="AY77" s="195">
        <v>17</v>
      </c>
      <c r="AZ77" s="195">
        <f ca="1">IFERROR(__xludf.DUMMYFUNCTION("IF(IFERROR(SEARCH(""Unclear"", AG77)) = 1, VALUE(REGEXEXTRACT(AG77,""\d+"")), AG77)"),25)</f>
        <v>25</v>
      </c>
      <c r="BA77" s="195">
        <v>25</v>
      </c>
      <c r="BB77" s="195">
        <f ca="1">IFERROR(__xludf.DUMMYFUNCTION("IF(IFERROR(SEARCH(""Unclear"", AJ77)) = 1, VALUE(REGEXEXTRACT(AJ77,""\d+"")), AJ77)"),3)</f>
        <v>3</v>
      </c>
      <c r="BC77" s="195">
        <v>25</v>
      </c>
      <c r="BD77" s="195" t="b">
        <f t="shared" si="2"/>
        <v>1</v>
      </c>
      <c r="BE77" s="195" t="b">
        <f t="shared" ref="BE77:BF77" si="82">IF(IFERROR(FIND("ND",AI77),0),FALSE,TRUE)</f>
        <v>1</v>
      </c>
      <c r="BF77" s="195" t="b">
        <f t="shared" si="82"/>
        <v>1</v>
      </c>
    </row>
    <row r="78" spans="1:58" ht="34.5" customHeight="1">
      <c r="A78" s="212" t="s">
        <v>1052</v>
      </c>
      <c r="B78" s="195">
        <v>2012</v>
      </c>
      <c r="C78" s="195" t="s">
        <v>339</v>
      </c>
      <c r="D78" s="4" t="s">
        <v>939</v>
      </c>
      <c r="E78" s="207">
        <v>22531678</v>
      </c>
      <c r="F78" s="208" t="str">
        <f t="shared" si="60"/>
        <v>https://pubmed.ncbi.nlm.nih.gov/22531678</v>
      </c>
      <c r="G78" s="197" t="str">
        <f t="shared" si="61"/>
        <v>Lillie 2012</v>
      </c>
      <c r="H78" s="195">
        <v>2011</v>
      </c>
      <c r="I78" s="195" t="s">
        <v>1053</v>
      </c>
      <c r="J78" s="198" t="s">
        <v>1054</v>
      </c>
      <c r="K78" s="195">
        <v>12</v>
      </c>
      <c r="L78" s="4" t="s">
        <v>1055</v>
      </c>
      <c r="M78" s="195" t="s">
        <v>1056</v>
      </c>
      <c r="N78" s="195" t="s">
        <v>1056</v>
      </c>
      <c r="O78" s="195" t="s">
        <v>1057</v>
      </c>
      <c r="P78" s="195" t="s">
        <v>324</v>
      </c>
      <c r="Q78" s="195" t="s">
        <v>324</v>
      </c>
      <c r="R78" s="195">
        <v>18</v>
      </c>
      <c r="S78" s="195">
        <v>50</v>
      </c>
      <c r="T78" s="195" t="s">
        <v>324</v>
      </c>
      <c r="U78" s="195" t="s">
        <v>324</v>
      </c>
      <c r="V78" s="195" t="s">
        <v>1058</v>
      </c>
      <c r="W78" s="199"/>
      <c r="X78" s="195">
        <v>12</v>
      </c>
      <c r="Y78" s="199"/>
      <c r="Z78" s="195">
        <v>11</v>
      </c>
      <c r="AA78" s="195"/>
      <c r="AB78" s="195">
        <v>0</v>
      </c>
      <c r="AC78" s="195" t="s">
        <v>549</v>
      </c>
      <c r="AD78" s="195" t="s">
        <v>695</v>
      </c>
      <c r="AE78" s="195" t="s">
        <v>332</v>
      </c>
      <c r="AF78" s="199"/>
      <c r="AG78" s="195" t="s">
        <v>1059</v>
      </c>
      <c r="AH78" s="195" t="s">
        <v>527</v>
      </c>
      <c r="AI78" s="195">
        <v>0</v>
      </c>
      <c r="AJ78" s="195" t="s">
        <v>324</v>
      </c>
      <c r="AK78" s="195" t="s">
        <v>1060</v>
      </c>
      <c r="AL78" s="195" t="s">
        <v>322</v>
      </c>
      <c r="AM78" s="199"/>
      <c r="AN78" s="199"/>
      <c r="AO78" s="195" t="s">
        <v>1061</v>
      </c>
      <c r="AP78" s="195" t="s">
        <v>1062</v>
      </c>
      <c r="AQ78" s="195" t="s">
        <v>531</v>
      </c>
      <c r="AR78" s="209" t="s">
        <v>517</v>
      </c>
      <c r="AS78" s="195" t="s">
        <v>308</v>
      </c>
      <c r="AT78" s="199"/>
      <c r="AU78" s="202" t="s">
        <v>1063</v>
      </c>
      <c r="AV78" s="195" t="s">
        <v>9</v>
      </c>
      <c r="AW78" s="195" t="str">
        <f ca="1">IFERROR(__xludf.DUMMYFUNCTION("IF(AND(IF(AS78=""Yes"",True,False),NOT(IFERROR(REGEXMATCH(AV78,ExclusionCategories),FALSE))),""Yes"", ""No"")"),"Yes")</f>
        <v>Yes</v>
      </c>
      <c r="AX78" s="195">
        <f ca="1">IFERROR(__xludf.DUMMYFUNCTION("IF(IFERROR(SEARCH(""Unclear"", Z78)) = 1, VALUE(REGEXEXTRACT(Z78,""\d+"")), Z78)"),11)</f>
        <v>11</v>
      </c>
      <c r="AY78" s="195">
        <v>11</v>
      </c>
      <c r="AZ78" s="195">
        <f ca="1">IFERROR(__xludf.DUMMYFUNCTION("IF(IFERROR(SEARCH(""Unclear"", AG78)) = 1, VALUE(REGEXEXTRACT(AG78,""\d+"")), AG78)"),10)</f>
        <v>10</v>
      </c>
      <c r="BA78" s="195">
        <v>12</v>
      </c>
      <c r="BB78" s="195" t="str">
        <f ca="1">IFERROR(__xludf.DUMMYFUNCTION("IF(IFERROR(SEARCH(""Unclear"", AJ78)) = 1, VALUE(REGEXEXTRACT(AJ78,""\d+"")), AJ78)"),"ND")</f>
        <v>ND</v>
      </c>
      <c r="BC78" s="195" t="s">
        <v>324</v>
      </c>
      <c r="BD78" s="195" t="b">
        <f t="shared" si="2"/>
        <v>1</v>
      </c>
      <c r="BE78" s="195" t="b">
        <f t="shared" ref="BE78:BF78" si="83">IF(IFERROR(FIND("ND",AI78),0),FALSE,TRUE)</f>
        <v>1</v>
      </c>
      <c r="BF78" s="195" t="b">
        <f t="shared" si="83"/>
        <v>0</v>
      </c>
    </row>
    <row r="79" spans="1:58" ht="34.5" customHeight="1">
      <c r="A79" s="212" t="s">
        <v>1052</v>
      </c>
      <c r="B79" s="195">
        <v>2012</v>
      </c>
      <c r="C79" s="195" t="s">
        <v>457</v>
      </c>
      <c r="D79" s="4" t="s">
        <v>1064</v>
      </c>
      <c r="E79" s="207">
        <v>22531678</v>
      </c>
      <c r="F79" s="208" t="str">
        <f t="shared" si="60"/>
        <v>https://pubmed.ncbi.nlm.nih.gov/22531678</v>
      </c>
      <c r="G79" s="197" t="str">
        <f t="shared" si="61"/>
        <v>Lillie 2012</v>
      </c>
      <c r="H79" s="195">
        <v>2010</v>
      </c>
      <c r="I79" s="211" t="s">
        <v>1065</v>
      </c>
      <c r="J79" s="198" t="s">
        <v>1066</v>
      </c>
      <c r="K79" s="195">
        <v>11</v>
      </c>
      <c r="L79" s="4" t="s">
        <v>1067</v>
      </c>
      <c r="M79" s="195" t="s">
        <v>1056</v>
      </c>
      <c r="N79" s="195" t="s">
        <v>1056</v>
      </c>
      <c r="O79" s="195" t="s">
        <v>1057</v>
      </c>
      <c r="P79" s="195" t="s">
        <v>324</v>
      </c>
      <c r="Q79" s="195" t="s">
        <v>324</v>
      </c>
      <c r="R79" s="195">
        <v>18</v>
      </c>
      <c r="S79" s="195">
        <v>45</v>
      </c>
      <c r="T79" s="195" t="s">
        <v>324</v>
      </c>
      <c r="U79" s="195" t="s">
        <v>324</v>
      </c>
      <c r="V79" s="195" t="s">
        <v>1068</v>
      </c>
      <c r="W79" s="199"/>
      <c r="X79" s="195">
        <v>11</v>
      </c>
      <c r="Y79" s="199"/>
      <c r="Z79" s="195">
        <v>8</v>
      </c>
      <c r="AA79" s="195"/>
      <c r="AB79" s="195">
        <v>0</v>
      </c>
      <c r="AC79" s="195" t="s">
        <v>549</v>
      </c>
      <c r="AD79" s="195" t="s">
        <v>695</v>
      </c>
      <c r="AE79" s="195" t="s">
        <v>332</v>
      </c>
      <c r="AF79" s="199"/>
      <c r="AG79" s="195" t="s">
        <v>883</v>
      </c>
      <c r="AH79" s="195" t="s">
        <v>527</v>
      </c>
      <c r="AI79" s="195">
        <v>0</v>
      </c>
      <c r="AJ79" s="195" t="s">
        <v>324</v>
      </c>
      <c r="AK79" s="195" t="s">
        <v>1060</v>
      </c>
      <c r="AL79" s="195" t="s">
        <v>322</v>
      </c>
      <c r="AM79" s="199"/>
      <c r="AN79" s="199"/>
      <c r="AO79" s="195" t="s">
        <v>1069</v>
      </c>
      <c r="AP79" s="195" t="s">
        <v>1062</v>
      </c>
      <c r="AQ79" s="195" t="s">
        <v>1070</v>
      </c>
      <c r="AR79" s="209" t="s">
        <v>517</v>
      </c>
      <c r="AS79" s="195" t="s">
        <v>308</v>
      </c>
      <c r="AT79" s="199"/>
      <c r="AU79" s="202" t="s">
        <v>1063</v>
      </c>
      <c r="AV79" s="195" t="s">
        <v>9</v>
      </c>
      <c r="AW79" s="195" t="str">
        <f ca="1">IFERROR(__xludf.DUMMYFUNCTION("IF(AND(IF(AS79=""Yes"",True,False),NOT(IFERROR(REGEXMATCH(AV79,ExclusionCategories),FALSE))),""Yes"", ""No"")"),"Yes")</f>
        <v>Yes</v>
      </c>
      <c r="AX79" s="195">
        <f ca="1">IFERROR(__xludf.DUMMYFUNCTION("IF(IFERROR(SEARCH(""Unclear"", Z79)) = 1, VALUE(REGEXEXTRACT(Z79,""\d+"")), Z79)"),8)</f>
        <v>8</v>
      </c>
      <c r="AY79" s="195">
        <v>8</v>
      </c>
      <c r="AZ79" s="195">
        <f ca="1">IFERROR(__xludf.DUMMYFUNCTION("IF(IFERROR(SEARCH(""Unclear"", AG79)) = 1, VALUE(REGEXEXTRACT(AG79,""\d+"")), AG79)"),7)</f>
        <v>7</v>
      </c>
      <c r="BA79" s="195">
        <v>11</v>
      </c>
      <c r="BB79" s="195" t="str">
        <f ca="1">IFERROR(__xludf.DUMMYFUNCTION("IF(IFERROR(SEARCH(""Unclear"", AJ79)) = 1, VALUE(REGEXEXTRACT(AJ79,""\d+"")), AJ79)"),"ND")</f>
        <v>ND</v>
      </c>
      <c r="BC79" s="195" t="s">
        <v>324</v>
      </c>
      <c r="BD79" s="195" t="b">
        <f t="shared" si="2"/>
        <v>1</v>
      </c>
      <c r="BE79" s="195" t="b">
        <f t="shared" ref="BE79:BF79" si="84">IF(IFERROR(FIND("ND",AI79),0),FALSE,TRUE)</f>
        <v>1</v>
      </c>
      <c r="BF79" s="195" t="b">
        <f t="shared" si="84"/>
        <v>0</v>
      </c>
    </row>
    <row r="80" spans="1:58" ht="34.5" customHeight="1">
      <c r="A80" s="212" t="s">
        <v>1071</v>
      </c>
      <c r="B80" s="195">
        <v>2020</v>
      </c>
      <c r="C80" s="195" t="s">
        <v>339</v>
      </c>
      <c r="D80" s="4" t="s">
        <v>1072</v>
      </c>
      <c r="E80" s="207">
        <v>32938444</v>
      </c>
      <c r="F80" s="208" t="str">
        <f t="shared" si="60"/>
        <v>https://pubmed.ncbi.nlm.nih.gov/32938444</v>
      </c>
      <c r="G80" s="197" t="str">
        <f t="shared" si="61"/>
        <v>Livezey 2020</v>
      </c>
      <c r="H80" s="195">
        <v>2020</v>
      </c>
      <c r="I80" s="195" t="s">
        <v>1073</v>
      </c>
      <c r="J80" s="198" t="s">
        <v>1074</v>
      </c>
      <c r="K80" s="195">
        <v>23</v>
      </c>
      <c r="L80" s="10"/>
      <c r="M80" s="195">
        <v>11</v>
      </c>
      <c r="N80" s="195">
        <v>12</v>
      </c>
      <c r="O80" s="195">
        <v>32</v>
      </c>
      <c r="P80" s="195">
        <v>21</v>
      </c>
      <c r="Q80" s="195">
        <v>43</v>
      </c>
      <c r="R80" s="195">
        <v>18</v>
      </c>
      <c r="S80" s="195">
        <v>50</v>
      </c>
      <c r="T80" s="195" t="s">
        <v>324</v>
      </c>
      <c r="U80" s="195" t="s">
        <v>324</v>
      </c>
      <c r="V80" s="195" t="s">
        <v>1075</v>
      </c>
      <c r="W80" s="199"/>
      <c r="X80" s="195">
        <v>19</v>
      </c>
      <c r="Y80" s="199"/>
      <c r="Z80" s="199">
        <f>7+6</f>
        <v>13</v>
      </c>
      <c r="AA80" s="195" t="s">
        <v>1076</v>
      </c>
      <c r="AB80" s="195">
        <v>0</v>
      </c>
      <c r="AC80" s="195" t="s">
        <v>549</v>
      </c>
      <c r="AD80" s="195" t="s">
        <v>695</v>
      </c>
      <c r="AE80" s="195" t="s">
        <v>1077</v>
      </c>
      <c r="AF80" s="199"/>
      <c r="AG80" s="195">
        <v>18</v>
      </c>
      <c r="AH80" s="195" t="s">
        <v>511</v>
      </c>
      <c r="AI80" s="195">
        <v>0</v>
      </c>
      <c r="AJ80" s="195">
        <v>2</v>
      </c>
      <c r="AK80" s="195" t="s">
        <v>1078</v>
      </c>
      <c r="AL80" s="195" t="s">
        <v>322</v>
      </c>
      <c r="AM80" s="199"/>
      <c r="AN80" s="195" t="s">
        <v>1079</v>
      </c>
      <c r="AO80" s="195" t="s">
        <v>1080</v>
      </c>
      <c r="AP80" s="195" t="s">
        <v>1081</v>
      </c>
      <c r="AQ80" s="195" t="s">
        <v>1082</v>
      </c>
      <c r="AR80" s="209" t="s">
        <v>517</v>
      </c>
      <c r="AS80" s="195" t="s">
        <v>308</v>
      </c>
      <c r="AT80" s="199"/>
      <c r="AU80" s="202" t="s">
        <v>1083</v>
      </c>
      <c r="AV80" s="195" t="s">
        <v>9</v>
      </c>
      <c r="AW80" s="195" t="str">
        <f ca="1">IFERROR(__xludf.DUMMYFUNCTION("IF(AND(IF(AS80=""Yes"",True,False),NOT(IFERROR(REGEXMATCH(AV80,ExclusionCategories),FALSE))),""Yes"", ""No"")"),"Yes")</f>
        <v>Yes</v>
      </c>
      <c r="AX80" s="195">
        <f ca="1">IFERROR(__xludf.DUMMYFUNCTION("IF(IFERROR(SEARCH(""Unclear"", Z80)) = 1, VALUE(REGEXEXTRACT(Z80,""\d+"")), Z80)"),13)</f>
        <v>13</v>
      </c>
      <c r="AY80" s="195">
        <v>13</v>
      </c>
      <c r="AZ80" s="195">
        <f ca="1">IFERROR(__xludf.DUMMYFUNCTION("IF(IFERROR(SEARCH(""Unclear"", AG80)) = 1, VALUE(REGEXEXTRACT(AG80,""\d+"")), AG80)"),18)</f>
        <v>18</v>
      </c>
      <c r="BA80" s="195">
        <v>18</v>
      </c>
      <c r="BB80" s="195">
        <f ca="1">IFERROR(__xludf.DUMMYFUNCTION("IF(IFERROR(SEARCH(""Unclear"", AJ80)) = 1, VALUE(REGEXEXTRACT(AJ80,""\d+"")), AJ80)"),2)</f>
        <v>2</v>
      </c>
      <c r="BC80" s="195">
        <v>2</v>
      </c>
      <c r="BD80" s="195" t="b">
        <f t="shared" si="2"/>
        <v>1</v>
      </c>
      <c r="BE80" s="195" t="b">
        <f t="shared" ref="BE80:BF80" si="85">IF(IFERROR(FIND("ND",AI80),0),FALSE,TRUE)</f>
        <v>1</v>
      </c>
      <c r="BF80" s="195" t="b">
        <f t="shared" si="85"/>
        <v>1</v>
      </c>
    </row>
    <row r="81" spans="1:58" ht="34.5" customHeight="1">
      <c r="A81" s="212" t="s">
        <v>1084</v>
      </c>
      <c r="B81" s="195">
        <v>2010</v>
      </c>
      <c r="C81" s="195" t="s">
        <v>339</v>
      </c>
      <c r="D81" s="4" t="s">
        <v>1024</v>
      </c>
      <c r="E81" s="207">
        <v>21042404</v>
      </c>
      <c r="F81" s="208" t="str">
        <f t="shared" si="60"/>
        <v>https://pubmed.ncbi.nlm.nih.gov/21042404</v>
      </c>
      <c r="G81" s="197" t="str">
        <f t="shared" si="61"/>
        <v>Lyke 2010</v>
      </c>
      <c r="H81" s="195">
        <v>2010</v>
      </c>
      <c r="I81" s="195" t="s">
        <v>1025</v>
      </c>
      <c r="J81" s="198" t="s">
        <v>1026</v>
      </c>
      <c r="K81" s="195">
        <v>18</v>
      </c>
      <c r="L81" s="10"/>
      <c r="M81" s="195">
        <v>12</v>
      </c>
      <c r="N81" s="195">
        <v>6</v>
      </c>
      <c r="O81" s="195" t="s">
        <v>324</v>
      </c>
      <c r="P81" s="195">
        <v>19</v>
      </c>
      <c r="Q81" s="195">
        <v>39</v>
      </c>
      <c r="R81" s="195">
        <v>18</v>
      </c>
      <c r="S81" s="195">
        <v>40</v>
      </c>
      <c r="T81" s="195">
        <v>29</v>
      </c>
      <c r="U81" s="195" t="s">
        <v>324</v>
      </c>
      <c r="V81" s="195" t="s">
        <v>1085</v>
      </c>
      <c r="W81" s="199"/>
      <c r="X81" s="195">
        <v>18</v>
      </c>
      <c r="Y81" s="195" t="s">
        <v>1086</v>
      </c>
      <c r="Z81" s="195">
        <v>17</v>
      </c>
      <c r="AA81" s="199"/>
      <c r="AB81" s="195">
        <v>0</v>
      </c>
      <c r="AC81" s="195" t="s">
        <v>549</v>
      </c>
      <c r="AD81" s="195" t="s">
        <v>322</v>
      </c>
      <c r="AE81" s="195" t="s">
        <v>1087</v>
      </c>
      <c r="AF81" s="195"/>
      <c r="AG81" s="195">
        <v>15</v>
      </c>
      <c r="AH81" s="195" t="s">
        <v>511</v>
      </c>
      <c r="AI81" s="195" t="s">
        <v>324</v>
      </c>
      <c r="AJ81" s="195">
        <v>0</v>
      </c>
      <c r="AK81" s="195" t="s">
        <v>1088</v>
      </c>
      <c r="AL81" s="195" t="s">
        <v>322</v>
      </c>
      <c r="AM81" s="199"/>
      <c r="AN81" s="195" t="s">
        <v>1031</v>
      </c>
      <c r="AO81" s="195" t="s">
        <v>1089</v>
      </c>
      <c r="AP81" s="195" t="s">
        <v>1090</v>
      </c>
      <c r="AQ81" s="195" t="s">
        <v>1091</v>
      </c>
      <c r="AR81" s="209" t="s">
        <v>517</v>
      </c>
      <c r="AS81" s="195" t="s">
        <v>316</v>
      </c>
      <c r="AT81" s="199"/>
      <c r="AU81" s="202" t="s">
        <v>1092</v>
      </c>
      <c r="AV81" s="195" t="s">
        <v>326</v>
      </c>
      <c r="AW81" s="195" t="str">
        <f ca="1">IFERROR(__xludf.DUMMYFUNCTION("IF(AND(IF(AS81=""Yes"",True,False),NOT(IFERROR(REGEXMATCH(AV81,ExclusionCategories),FALSE))),""Yes"", ""No"")"),"No")</f>
        <v>No</v>
      </c>
      <c r="AX81" s="195">
        <f ca="1">IFERROR(__xludf.DUMMYFUNCTION("IF(IFERROR(SEARCH(""Unclear"", Z81)) = 1, VALUE(REGEXEXTRACT(Z81,""\d+"")), Z81)"),17)</f>
        <v>17</v>
      </c>
      <c r="AY81" s="195">
        <v>17</v>
      </c>
      <c r="AZ81" s="195">
        <f ca="1">IFERROR(__xludf.DUMMYFUNCTION("IF(IFERROR(SEARCH(""Unclear"", AG81)) = 1, VALUE(REGEXEXTRACT(AG81,""\d+"")), AG81)"),15)</f>
        <v>15</v>
      </c>
      <c r="BA81" s="195">
        <v>15</v>
      </c>
      <c r="BB81" s="195">
        <f ca="1">IFERROR(__xludf.DUMMYFUNCTION("IF(IFERROR(SEARCH(""Unclear"", AJ81)) = 1, VALUE(REGEXEXTRACT(AJ81,""\d+"")), AJ81)"),0)</f>
        <v>0</v>
      </c>
      <c r="BC81" s="195">
        <v>0</v>
      </c>
      <c r="BD81" s="195" t="b">
        <f t="shared" si="2"/>
        <v>1</v>
      </c>
      <c r="BE81" s="195" t="b">
        <f t="shared" ref="BE81:BF81" si="86">IF(IFERROR(FIND("ND",AI81),0),FALSE,TRUE)</f>
        <v>0</v>
      </c>
      <c r="BF81" s="195" t="b">
        <f t="shared" si="86"/>
        <v>1</v>
      </c>
    </row>
    <row r="82" spans="1:58" ht="34.5" customHeight="1">
      <c r="A82" s="212" t="s">
        <v>1093</v>
      </c>
      <c r="B82" s="195">
        <v>2010</v>
      </c>
      <c r="C82" s="195" t="s">
        <v>339</v>
      </c>
      <c r="D82" s="4" t="s">
        <v>491</v>
      </c>
      <c r="E82" s="207" t="s">
        <v>1094</v>
      </c>
      <c r="F82" s="224" t="s">
        <v>1095</v>
      </c>
      <c r="G82" s="197" t="s">
        <v>1096</v>
      </c>
      <c r="H82" s="195">
        <v>2011</v>
      </c>
      <c r="I82" s="195" t="s">
        <v>1025</v>
      </c>
      <c r="J82" s="198" t="s">
        <v>1026</v>
      </c>
      <c r="K82" s="195">
        <v>37</v>
      </c>
      <c r="L82" s="4" t="s">
        <v>1097</v>
      </c>
      <c r="M82" s="195">
        <v>23</v>
      </c>
      <c r="N82" s="195">
        <v>14</v>
      </c>
      <c r="O82" s="195" t="s">
        <v>324</v>
      </c>
      <c r="P82" s="195">
        <v>19</v>
      </c>
      <c r="Q82" s="195">
        <v>39</v>
      </c>
      <c r="R82" s="195">
        <v>18</v>
      </c>
      <c r="S82" s="195">
        <v>40</v>
      </c>
      <c r="T82" s="195" t="s">
        <v>1098</v>
      </c>
      <c r="U82" s="195" t="s">
        <v>324</v>
      </c>
      <c r="V82" s="195" t="s">
        <v>1027</v>
      </c>
      <c r="W82" s="199"/>
      <c r="X82" s="195">
        <v>37</v>
      </c>
      <c r="Y82" s="195" t="s">
        <v>1086</v>
      </c>
      <c r="Z82" s="195">
        <v>36</v>
      </c>
      <c r="AA82" s="199"/>
      <c r="AB82" s="195">
        <v>0</v>
      </c>
      <c r="AC82" s="195"/>
      <c r="AD82" s="195" t="s">
        <v>322</v>
      </c>
      <c r="AE82" s="195" t="s">
        <v>1099</v>
      </c>
      <c r="AF82" s="195"/>
      <c r="AG82" s="195" t="s">
        <v>1100</v>
      </c>
      <c r="AH82" s="195" t="s">
        <v>308</v>
      </c>
      <c r="AI82" s="195" t="s">
        <v>324</v>
      </c>
      <c r="AJ82" s="195">
        <v>1</v>
      </c>
      <c r="AK82" s="195"/>
      <c r="AL82" s="195" t="s">
        <v>322</v>
      </c>
      <c r="AM82" s="199"/>
      <c r="AN82" s="195" t="s">
        <v>1101</v>
      </c>
      <c r="AO82" s="195" t="s">
        <v>1102</v>
      </c>
      <c r="AP82" s="195" t="s">
        <v>1103</v>
      </c>
      <c r="AQ82" s="195" t="s">
        <v>1104</v>
      </c>
      <c r="AR82" s="220" t="s">
        <v>517</v>
      </c>
      <c r="AS82" s="195" t="s">
        <v>308</v>
      </c>
      <c r="AT82" s="199"/>
      <c r="AU82" s="195" t="s">
        <v>1105</v>
      </c>
      <c r="AV82" s="195" t="s">
        <v>337</v>
      </c>
      <c r="AW82" s="195" t="str">
        <f ca="1">IFERROR(__xludf.DUMMYFUNCTION("IF(AND(IF(AS82=""Yes"",True,False),NOT(IFERROR(REGEXMATCH(AV82,ExclusionCategories),FALSE))),""Yes"", ""No"")"),"Yes")</f>
        <v>Yes</v>
      </c>
      <c r="AX82" s="195">
        <f ca="1">IFERROR(__xludf.DUMMYFUNCTION("IF(IFERROR(SEARCH(""Unclear"", Z82)) = 1, VALUE(REGEXEXTRACT(Z82,""\d+"")), Z82)"),36)</f>
        <v>36</v>
      </c>
      <c r="AY82" s="195">
        <v>36</v>
      </c>
      <c r="AZ82" s="195">
        <f ca="1">IFERROR(__xludf.DUMMYFUNCTION("IF(IFERROR(SEARCH(""Unclear"", AG82)) = 1, VALUE(REGEXEXTRACT(AG82,""\d+"")), AG82)"),23)</f>
        <v>23</v>
      </c>
      <c r="BA82" s="195">
        <v>37</v>
      </c>
      <c r="BB82" s="195">
        <f ca="1">IFERROR(__xludf.DUMMYFUNCTION("IF(IFERROR(SEARCH(""Unclear"", AJ82)) = 1, VALUE(REGEXEXTRACT(AJ82,""\d+"")), AJ82)"),1)</f>
        <v>1</v>
      </c>
      <c r="BC82" s="195">
        <v>1</v>
      </c>
      <c r="BD82" s="195" t="b">
        <f t="shared" si="2"/>
        <v>1</v>
      </c>
      <c r="BE82" s="195" t="b">
        <f t="shared" ref="BE82:BF82" si="87">IF(IFERROR(FIND("ND",AI82),0),FALSE,TRUE)</f>
        <v>0</v>
      </c>
      <c r="BF82" s="195" t="b">
        <f t="shared" si="87"/>
        <v>1</v>
      </c>
    </row>
    <row r="83" spans="1:58" ht="34.5" customHeight="1">
      <c r="A83" s="212" t="s">
        <v>1106</v>
      </c>
      <c r="B83" s="195">
        <v>2020</v>
      </c>
      <c r="C83" s="195" t="s">
        <v>552</v>
      </c>
      <c r="D83" s="4" t="s">
        <v>1107</v>
      </c>
      <c r="E83" s="216">
        <v>31628848</v>
      </c>
      <c r="F83" s="208" t="str">
        <f t="shared" ref="F83:F126" si="88">"https://pubmed.ncbi.nlm.nih.gov/"&amp;E83</f>
        <v>https://pubmed.ncbi.nlm.nih.gov/31628848</v>
      </c>
      <c r="G83" s="197" t="str">
        <f t="shared" ref="G83:G387" si="89">HYPERLINK(AT83,AU83)</f>
        <v>Mateo 2020</v>
      </c>
      <c r="H83" s="195">
        <v>2018</v>
      </c>
      <c r="I83" s="195" t="s">
        <v>1108</v>
      </c>
      <c r="J83" s="198" t="s">
        <v>1109</v>
      </c>
      <c r="K83" s="195">
        <v>16</v>
      </c>
      <c r="L83" s="10"/>
      <c r="M83" s="195">
        <v>9</v>
      </c>
      <c r="N83" s="195">
        <v>7</v>
      </c>
      <c r="O83" s="195" t="s">
        <v>324</v>
      </c>
      <c r="P83" s="195" t="s">
        <v>324</v>
      </c>
      <c r="Q83" s="195" t="s">
        <v>324</v>
      </c>
      <c r="R83" s="195">
        <v>18</v>
      </c>
      <c r="S83" s="195">
        <v>49</v>
      </c>
      <c r="T83" s="195">
        <v>36.299999999999997</v>
      </c>
      <c r="U83" s="195" t="s">
        <v>324</v>
      </c>
      <c r="V83" s="195" t="s">
        <v>1110</v>
      </c>
      <c r="W83" s="199"/>
      <c r="X83" s="195">
        <v>16</v>
      </c>
      <c r="Y83" s="195" t="s">
        <v>1111</v>
      </c>
      <c r="Z83" s="195">
        <v>11</v>
      </c>
      <c r="AA83" s="199"/>
      <c r="AB83" s="195">
        <v>0</v>
      </c>
      <c r="AC83" s="195" t="s">
        <v>549</v>
      </c>
      <c r="AD83" s="195" t="s">
        <v>322</v>
      </c>
      <c r="AE83" s="195" t="s">
        <v>1112</v>
      </c>
      <c r="AF83" s="199"/>
      <c r="AG83" s="195" t="s">
        <v>394</v>
      </c>
      <c r="AH83" s="195" t="s">
        <v>316</v>
      </c>
      <c r="AI83" s="195">
        <v>0</v>
      </c>
      <c r="AJ83" s="195" t="s">
        <v>324</v>
      </c>
      <c r="AK83" s="195" t="s">
        <v>1113</v>
      </c>
      <c r="AL83" s="195" t="s">
        <v>322</v>
      </c>
      <c r="AM83" s="199"/>
      <c r="AN83" s="195" t="s">
        <v>513</v>
      </c>
      <c r="AO83" s="195" t="s">
        <v>1114</v>
      </c>
      <c r="AP83" s="200" t="s">
        <v>1115</v>
      </c>
      <c r="AQ83" s="195" t="s">
        <v>1116</v>
      </c>
      <c r="AR83" s="209" t="s">
        <v>517</v>
      </c>
      <c r="AS83" s="195" t="s">
        <v>308</v>
      </c>
      <c r="AT83" s="199"/>
      <c r="AU83" s="202" t="s">
        <v>1117</v>
      </c>
      <c r="AV83" s="195" t="s">
        <v>9</v>
      </c>
      <c r="AW83" s="195" t="str">
        <f ca="1">IFERROR(__xludf.DUMMYFUNCTION("IF(AND(IF(AS83=""Yes"",True,False),NOT(IFERROR(REGEXMATCH(AV83,ExclusionCategories),FALSE))),""Yes"", ""No"")"),"Yes")</f>
        <v>Yes</v>
      </c>
      <c r="AX83" s="195">
        <f ca="1">IFERROR(__xludf.DUMMYFUNCTION("IF(IFERROR(SEARCH(""Unclear"", Z83)) = 1, VALUE(REGEXEXTRACT(Z83,""\d+"")), Z83)"),11)</f>
        <v>11</v>
      </c>
      <c r="AY83" s="195">
        <v>11</v>
      </c>
      <c r="AZ83" s="195">
        <f ca="1">IFERROR(__xludf.DUMMYFUNCTION("IF(IFERROR(SEARCH(""Unclear"", AG83)) = 1, VALUE(REGEXEXTRACT(AG83,""\d+"")), AG83)"),0)</f>
        <v>0</v>
      </c>
      <c r="BA83" s="195">
        <v>16</v>
      </c>
      <c r="BB83" s="195" t="str">
        <f ca="1">IFERROR(__xludf.DUMMYFUNCTION("IF(IFERROR(SEARCH(""Unclear"", AJ83)) = 1, VALUE(REGEXEXTRACT(AJ83,""\d+"")), AJ83)"),"ND")</f>
        <v>ND</v>
      </c>
      <c r="BC83" s="195" t="s">
        <v>324</v>
      </c>
      <c r="BD83" s="195" t="b">
        <f t="shared" si="2"/>
        <v>1</v>
      </c>
      <c r="BE83" s="195" t="b">
        <f t="shared" ref="BE83:BF83" si="90">IF(IFERROR(FIND("ND",AI83),0),FALSE,TRUE)</f>
        <v>1</v>
      </c>
      <c r="BF83" s="195" t="b">
        <f t="shared" si="90"/>
        <v>0</v>
      </c>
    </row>
    <row r="84" spans="1:58" ht="34.5" customHeight="1">
      <c r="A84" s="212" t="s">
        <v>1118</v>
      </c>
      <c r="B84" s="195">
        <v>2017</v>
      </c>
      <c r="C84" s="195" t="s">
        <v>457</v>
      </c>
      <c r="D84" s="4" t="s">
        <v>1119</v>
      </c>
      <c r="E84" s="222">
        <v>28807912</v>
      </c>
      <c r="F84" s="208" t="str">
        <f t="shared" si="88"/>
        <v>https://pubmed.ncbi.nlm.nih.gov/28807912</v>
      </c>
      <c r="G84" s="197" t="str">
        <f t="shared" si="89"/>
        <v>McBride 2017</v>
      </c>
      <c r="H84" s="232">
        <v>2014</v>
      </c>
      <c r="I84" s="232" t="s">
        <v>1120</v>
      </c>
      <c r="J84" s="198" t="s">
        <v>1121</v>
      </c>
      <c r="K84" s="195">
        <v>101</v>
      </c>
      <c r="L84" s="10"/>
      <c r="M84" s="195">
        <v>42</v>
      </c>
      <c r="N84" s="199">
        <f>K84-M84</f>
        <v>59</v>
      </c>
      <c r="O84" s="195">
        <v>28</v>
      </c>
      <c r="P84" s="195">
        <v>18</v>
      </c>
      <c r="Q84" s="195">
        <v>45</v>
      </c>
      <c r="R84" s="195">
        <v>18</v>
      </c>
      <c r="S84" s="195">
        <v>45</v>
      </c>
      <c r="T84" s="195" t="s">
        <v>324</v>
      </c>
      <c r="U84" s="195" t="s">
        <v>324</v>
      </c>
      <c r="V84" s="195" t="s">
        <v>1122</v>
      </c>
      <c r="W84" s="199"/>
      <c r="X84" s="195">
        <v>101</v>
      </c>
      <c r="Y84" s="199"/>
      <c r="Z84" s="195">
        <v>61</v>
      </c>
      <c r="AA84" s="199"/>
      <c r="AB84" s="195">
        <v>0</v>
      </c>
      <c r="AC84" s="195" t="s">
        <v>549</v>
      </c>
      <c r="AD84" s="195" t="s">
        <v>322</v>
      </c>
      <c r="AE84" s="195" t="s">
        <v>1123</v>
      </c>
      <c r="AF84" s="199"/>
      <c r="AG84" s="195">
        <v>86</v>
      </c>
      <c r="AH84" s="195" t="s">
        <v>316</v>
      </c>
      <c r="AI84" s="195">
        <v>0</v>
      </c>
      <c r="AJ84" s="195" t="s">
        <v>324</v>
      </c>
      <c r="AK84" s="195" t="s">
        <v>1124</v>
      </c>
      <c r="AL84" s="195" t="s">
        <v>322</v>
      </c>
      <c r="AM84" s="199"/>
      <c r="AN84" s="195" t="s">
        <v>1125</v>
      </c>
      <c r="AO84" s="195" t="s">
        <v>1126</v>
      </c>
      <c r="AP84" s="195" t="s">
        <v>1127</v>
      </c>
      <c r="AQ84" s="195" t="s">
        <v>1128</v>
      </c>
      <c r="AR84" s="209" t="s">
        <v>517</v>
      </c>
      <c r="AS84" s="195" t="s">
        <v>308</v>
      </c>
      <c r="AT84" s="199"/>
      <c r="AU84" s="202" t="s">
        <v>1129</v>
      </c>
      <c r="AV84" s="195" t="s">
        <v>9</v>
      </c>
      <c r="AW84" s="195" t="str">
        <f ca="1">IFERROR(__xludf.DUMMYFUNCTION("IF(AND(IF(AS84=""Yes"",True,False),NOT(IFERROR(REGEXMATCH(AV84,ExclusionCategories),FALSE))),""Yes"", ""No"")"),"Yes")</f>
        <v>Yes</v>
      </c>
      <c r="AX84" s="195">
        <f ca="1">IFERROR(__xludf.DUMMYFUNCTION("IF(IFERROR(SEARCH(""Unclear"", Z84)) = 1, VALUE(REGEXEXTRACT(Z84,""\d+"")), Z84)"),61)</f>
        <v>61</v>
      </c>
      <c r="AY84" s="195">
        <v>61</v>
      </c>
      <c r="AZ84" s="195">
        <f ca="1">IFERROR(__xludf.DUMMYFUNCTION("IF(IFERROR(SEARCH(""Unclear"", AG84)) = 1, VALUE(REGEXEXTRACT(AG84,""\d+"")), AG84)"),86)</f>
        <v>86</v>
      </c>
      <c r="BA84" s="195">
        <v>86</v>
      </c>
      <c r="BB84" s="195" t="str">
        <f ca="1">IFERROR(__xludf.DUMMYFUNCTION("IF(IFERROR(SEARCH(""Unclear"", AJ84)) = 1, VALUE(REGEXEXTRACT(AJ84,""\d+"")), AJ84)"),"ND")</f>
        <v>ND</v>
      </c>
      <c r="BC84" s="195" t="s">
        <v>324</v>
      </c>
      <c r="BD84" s="195" t="b">
        <f t="shared" si="2"/>
        <v>1</v>
      </c>
      <c r="BE84" s="195" t="b">
        <f t="shared" ref="BE84:BF84" si="91">IF(IFERROR(FIND("ND",AI84),0),FALSE,TRUE)</f>
        <v>1</v>
      </c>
      <c r="BF84" s="195" t="b">
        <f t="shared" si="91"/>
        <v>0</v>
      </c>
    </row>
    <row r="85" spans="1:58" ht="34.5" customHeight="1">
      <c r="A85" s="212" t="s">
        <v>1130</v>
      </c>
      <c r="B85" s="213">
        <v>2013</v>
      </c>
      <c r="C85" s="195" t="s">
        <v>339</v>
      </c>
      <c r="D85" s="4" t="s">
        <v>1131</v>
      </c>
      <c r="E85" s="222">
        <v>23908484</v>
      </c>
      <c r="F85" s="230" t="str">
        <f t="shared" si="88"/>
        <v>https://pubmed.ncbi.nlm.nih.gov/23908484</v>
      </c>
      <c r="G85" s="231" t="str">
        <f t="shared" si="89"/>
        <v>McCarthy 2013</v>
      </c>
      <c r="H85" s="233">
        <v>2013</v>
      </c>
      <c r="I85" s="232" t="s">
        <v>1132</v>
      </c>
      <c r="J85" s="197"/>
      <c r="K85" s="195">
        <v>2</v>
      </c>
      <c r="L85" s="4"/>
      <c r="M85" s="195" t="s">
        <v>324</v>
      </c>
      <c r="N85" s="195" t="s">
        <v>324</v>
      </c>
      <c r="O85" s="195" t="s">
        <v>324</v>
      </c>
      <c r="P85" s="195" t="s">
        <v>324</v>
      </c>
      <c r="Q85" s="195" t="s">
        <v>324</v>
      </c>
      <c r="R85" s="195">
        <v>18</v>
      </c>
      <c r="S85" s="195">
        <v>45</v>
      </c>
      <c r="T85" s="195" t="s">
        <v>324</v>
      </c>
      <c r="U85" s="195" t="s">
        <v>324</v>
      </c>
      <c r="V85" s="195" t="s">
        <v>1133</v>
      </c>
      <c r="W85" s="199"/>
      <c r="X85" s="195">
        <v>2</v>
      </c>
      <c r="Y85" s="199"/>
      <c r="Z85" s="195">
        <v>2</v>
      </c>
      <c r="AA85" s="195"/>
      <c r="AB85" s="195">
        <v>0</v>
      </c>
      <c r="AC85" s="195" t="s">
        <v>549</v>
      </c>
      <c r="AD85" s="195" t="s">
        <v>322</v>
      </c>
      <c r="AE85" s="195" t="s">
        <v>1134</v>
      </c>
      <c r="AF85" s="195" t="s">
        <v>1135</v>
      </c>
      <c r="AG85" s="195">
        <v>2</v>
      </c>
      <c r="AH85" s="195" t="s">
        <v>316</v>
      </c>
      <c r="AI85" s="195">
        <v>0</v>
      </c>
      <c r="AJ85" s="195" t="s">
        <v>324</v>
      </c>
      <c r="AK85" s="195" t="s">
        <v>499</v>
      </c>
      <c r="AL85" s="195" t="s">
        <v>322</v>
      </c>
      <c r="AM85" s="199"/>
      <c r="AN85" s="195" t="s">
        <v>1136</v>
      </c>
      <c r="AO85" s="195" t="s">
        <v>1137</v>
      </c>
      <c r="AP85" s="195" t="s">
        <v>1138</v>
      </c>
      <c r="AQ85" s="195" t="s">
        <v>324</v>
      </c>
      <c r="AR85" s="209" t="s">
        <v>517</v>
      </c>
      <c r="AS85" s="195" t="s">
        <v>308</v>
      </c>
      <c r="AT85" s="199"/>
      <c r="AU85" s="202" t="s">
        <v>1139</v>
      </c>
      <c r="AV85" s="195" t="s">
        <v>571</v>
      </c>
      <c r="AW85" s="195" t="str">
        <f ca="1">IFERROR(__xludf.DUMMYFUNCTION("IF(AND(IF(AS85=""Yes"",True,False),NOT(IFERROR(REGEXMATCH(AV85,ExclusionCategories),FALSE))),""Yes"", ""No"")"),"Yes")</f>
        <v>Yes</v>
      </c>
      <c r="AX85" s="195">
        <f ca="1">IFERROR(__xludf.DUMMYFUNCTION("IF(IFERROR(SEARCH(""Unclear"", Z85)) = 1, VALUE(REGEXEXTRACT(Z85,""\d+"")), Z85)"),2)</f>
        <v>2</v>
      </c>
      <c r="AY85" s="195">
        <v>2</v>
      </c>
      <c r="AZ85" s="195">
        <f ca="1">IFERROR(__xludf.DUMMYFUNCTION("IF(IFERROR(SEARCH(""Unclear"", AG85)) = 1, VALUE(REGEXEXTRACT(AG85,""\d+"")), AG85)"),2)</f>
        <v>2</v>
      </c>
      <c r="BA85" s="195">
        <v>2</v>
      </c>
      <c r="BB85" s="195" t="str">
        <f ca="1">IFERROR(__xludf.DUMMYFUNCTION("IF(IFERROR(SEARCH(""Unclear"", AJ85)) = 1, VALUE(REGEXEXTRACT(AJ85,""\d+"")), AJ85)"),"ND")</f>
        <v>ND</v>
      </c>
      <c r="BC85" s="195" t="s">
        <v>324</v>
      </c>
      <c r="BD85" s="195" t="b">
        <f t="shared" si="2"/>
        <v>1</v>
      </c>
      <c r="BE85" s="195" t="b">
        <f t="shared" ref="BE85:BF85" si="92">IF(IFERROR(FIND("ND",AI85),0),FALSE,TRUE)</f>
        <v>1</v>
      </c>
      <c r="BF85" s="195" t="b">
        <f t="shared" si="92"/>
        <v>0</v>
      </c>
    </row>
    <row r="86" spans="1:58" ht="34.5" customHeight="1">
      <c r="A86" s="212" t="s">
        <v>1130</v>
      </c>
      <c r="B86" s="213">
        <v>2016</v>
      </c>
      <c r="C86" s="195" t="s">
        <v>339</v>
      </c>
      <c r="D86" s="4" t="s">
        <v>352</v>
      </c>
      <c r="E86" s="222">
        <v>27044554</v>
      </c>
      <c r="F86" s="230" t="str">
        <f t="shared" si="88"/>
        <v>https://pubmed.ncbi.nlm.nih.gov/27044554</v>
      </c>
      <c r="G86" s="231" t="str">
        <f t="shared" si="89"/>
        <v>McCarthy 2016a</v>
      </c>
      <c r="H86" s="233">
        <v>2016</v>
      </c>
      <c r="I86" s="232" t="s">
        <v>1140</v>
      </c>
      <c r="J86" s="197"/>
      <c r="K86" s="195">
        <v>22</v>
      </c>
      <c r="L86" s="4" t="s">
        <v>1141</v>
      </c>
      <c r="M86" s="195">
        <v>11</v>
      </c>
      <c r="N86" s="195">
        <v>11</v>
      </c>
      <c r="O86" s="195" t="s">
        <v>324</v>
      </c>
      <c r="P86" s="195" t="s">
        <v>324</v>
      </c>
      <c r="Q86" s="195" t="s">
        <v>324</v>
      </c>
      <c r="R86" s="195" t="s">
        <v>324</v>
      </c>
      <c r="S86" s="195" t="s">
        <v>324</v>
      </c>
      <c r="T86" s="195">
        <v>25</v>
      </c>
      <c r="U86" s="195">
        <v>4</v>
      </c>
      <c r="V86" s="195" t="s">
        <v>1142</v>
      </c>
      <c r="W86" s="199"/>
      <c r="X86" s="195">
        <v>22</v>
      </c>
      <c r="Y86" s="199"/>
      <c r="Z86" s="195">
        <v>22</v>
      </c>
      <c r="AA86" s="195" t="s">
        <v>1143</v>
      </c>
      <c r="AB86" s="195">
        <v>0</v>
      </c>
      <c r="AC86" s="195" t="s">
        <v>549</v>
      </c>
      <c r="AD86" s="195" t="s">
        <v>322</v>
      </c>
      <c r="AE86" s="195" t="s">
        <v>332</v>
      </c>
      <c r="AF86" s="195"/>
      <c r="AG86" s="195">
        <v>22</v>
      </c>
      <c r="AH86" s="195" t="s">
        <v>308</v>
      </c>
      <c r="AI86" s="195">
        <v>0</v>
      </c>
      <c r="AJ86" s="195">
        <v>3</v>
      </c>
      <c r="AK86" s="195" t="s">
        <v>1144</v>
      </c>
      <c r="AL86" s="195" t="s">
        <v>322</v>
      </c>
      <c r="AM86" s="199"/>
      <c r="AN86" s="195" t="s">
        <v>1145</v>
      </c>
      <c r="AO86" s="195" t="s">
        <v>1146</v>
      </c>
      <c r="AP86" s="195" t="s">
        <v>1147</v>
      </c>
      <c r="AQ86" s="195" t="s">
        <v>1148</v>
      </c>
      <c r="AR86" s="209" t="s">
        <v>517</v>
      </c>
      <c r="AS86" s="195" t="s">
        <v>308</v>
      </c>
      <c r="AT86" s="199"/>
      <c r="AU86" s="202" t="s">
        <v>1149</v>
      </c>
      <c r="AV86" s="195" t="s">
        <v>9</v>
      </c>
      <c r="AW86" s="195" t="str">
        <f ca="1">IFERROR(__xludf.DUMMYFUNCTION("IF(AND(IF(AS86=""Yes"",True,False),NOT(IFERROR(REGEXMATCH(AV86,ExclusionCategories),FALSE))),""Yes"", ""No"")"),"Yes")</f>
        <v>Yes</v>
      </c>
      <c r="AX86" s="195">
        <f ca="1">IFERROR(__xludf.DUMMYFUNCTION("IF(IFERROR(SEARCH(""Unclear"", Z86)) = 1, VALUE(REGEXEXTRACT(Z86,""\d+"")), Z86)"),22)</f>
        <v>22</v>
      </c>
      <c r="AY86" s="195">
        <v>22</v>
      </c>
      <c r="AZ86" s="195">
        <f ca="1">IFERROR(__xludf.DUMMYFUNCTION("IF(IFERROR(SEARCH(""Unclear"", AG86)) = 1, VALUE(REGEXEXTRACT(AG86,""\d+"")), AG86)"),22)</f>
        <v>22</v>
      </c>
      <c r="BA86" s="195">
        <v>22</v>
      </c>
      <c r="BB86" s="195">
        <f ca="1">IFERROR(__xludf.DUMMYFUNCTION("IF(IFERROR(SEARCH(""Unclear"", AJ86)) = 1, VALUE(REGEXEXTRACT(AJ86,""\d+"")), AJ86)"),3)</f>
        <v>3</v>
      </c>
      <c r="BC86" s="195">
        <v>3</v>
      </c>
      <c r="BD86" s="195" t="b">
        <f t="shared" si="2"/>
        <v>1</v>
      </c>
      <c r="BE86" s="195" t="b">
        <f t="shared" ref="BE86:BF86" si="93">IF(IFERROR(FIND("ND",AI86),0),FALSE,TRUE)</f>
        <v>1</v>
      </c>
      <c r="BF86" s="195" t="b">
        <f t="shared" si="93"/>
        <v>1</v>
      </c>
    </row>
    <row r="87" spans="1:58" ht="34.5" customHeight="1">
      <c r="A87" s="212" t="s">
        <v>1130</v>
      </c>
      <c r="B87" s="213">
        <v>2016</v>
      </c>
      <c r="C87" s="195" t="s">
        <v>339</v>
      </c>
      <c r="D87" s="4" t="s">
        <v>1150</v>
      </c>
      <c r="E87" s="222">
        <v>27272721</v>
      </c>
      <c r="F87" s="230" t="str">
        <f t="shared" si="88"/>
        <v>https://pubmed.ncbi.nlm.nih.gov/27272721</v>
      </c>
      <c r="G87" s="231" t="str">
        <f t="shared" si="89"/>
        <v>McCarthy 2016b</v>
      </c>
      <c r="H87" s="233">
        <v>2016</v>
      </c>
      <c r="I87" s="232" t="s">
        <v>1151</v>
      </c>
      <c r="J87" s="197"/>
      <c r="K87" s="195">
        <v>24</v>
      </c>
      <c r="L87" s="4"/>
      <c r="M87" s="195">
        <v>12</v>
      </c>
      <c r="N87" s="195">
        <v>12</v>
      </c>
      <c r="O87" s="195" t="s">
        <v>324</v>
      </c>
      <c r="P87" s="195">
        <v>20</v>
      </c>
      <c r="Q87" s="195">
        <v>34</v>
      </c>
      <c r="R87" s="195" t="s">
        <v>324</v>
      </c>
      <c r="S87" s="195" t="s">
        <v>324</v>
      </c>
      <c r="T87" s="195">
        <v>25.5</v>
      </c>
      <c r="U87" s="195">
        <v>3.7</v>
      </c>
      <c r="V87" s="195" t="s">
        <v>1152</v>
      </c>
      <c r="W87" s="199"/>
      <c r="X87" s="195">
        <v>24</v>
      </c>
      <c r="Y87" s="199"/>
      <c r="Z87" s="195">
        <v>24</v>
      </c>
      <c r="AA87" s="195" t="s">
        <v>1153</v>
      </c>
      <c r="AB87" s="195">
        <v>0</v>
      </c>
      <c r="AC87" s="195" t="s">
        <v>549</v>
      </c>
      <c r="AD87" s="195" t="s">
        <v>322</v>
      </c>
      <c r="AE87" s="195" t="s">
        <v>1154</v>
      </c>
      <c r="AF87" s="195"/>
      <c r="AG87" s="195">
        <v>23</v>
      </c>
      <c r="AH87" s="195" t="s">
        <v>316</v>
      </c>
      <c r="AI87" s="195">
        <v>0</v>
      </c>
      <c r="AJ87" s="195" t="s">
        <v>324</v>
      </c>
      <c r="AK87" s="195" t="s">
        <v>1155</v>
      </c>
      <c r="AL87" s="195" t="s">
        <v>322</v>
      </c>
      <c r="AM87" s="199"/>
      <c r="AN87" s="195" t="s">
        <v>1156</v>
      </c>
      <c r="AO87" s="195" t="s">
        <v>1146</v>
      </c>
      <c r="AP87" s="195" t="s">
        <v>1157</v>
      </c>
      <c r="AQ87" s="195" t="s">
        <v>1158</v>
      </c>
      <c r="AR87" s="209" t="s">
        <v>517</v>
      </c>
      <c r="AS87" s="195" t="s">
        <v>308</v>
      </c>
      <c r="AT87" s="199"/>
      <c r="AU87" s="202" t="s">
        <v>1159</v>
      </c>
      <c r="AV87" s="195" t="s">
        <v>9</v>
      </c>
      <c r="AW87" s="195" t="str">
        <f ca="1">IFERROR(__xludf.DUMMYFUNCTION("IF(AND(IF(AS87=""Yes"",True,False),NOT(IFERROR(REGEXMATCH(AV87,ExclusionCategories),FALSE))),""Yes"", ""No"")"),"Yes")</f>
        <v>Yes</v>
      </c>
      <c r="AX87" s="195">
        <f ca="1">IFERROR(__xludf.DUMMYFUNCTION("IF(IFERROR(SEARCH(""Unclear"", Z87)) = 1, VALUE(REGEXEXTRACT(Z87,""\d+"")), Z87)"),24)</f>
        <v>24</v>
      </c>
      <c r="AY87" s="195">
        <v>24</v>
      </c>
      <c r="AZ87" s="195">
        <f ca="1">IFERROR(__xludf.DUMMYFUNCTION("IF(IFERROR(SEARCH(""Unclear"", AG87)) = 1, VALUE(REGEXEXTRACT(AG87,""\d+"")), AG87)"),23)</f>
        <v>23</v>
      </c>
      <c r="BA87" s="195">
        <v>23</v>
      </c>
      <c r="BB87" s="195" t="str">
        <f ca="1">IFERROR(__xludf.DUMMYFUNCTION("IF(IFERROR(SEARCH(""Unclear"", AJ87)) = 1, VALUE(REGEXEXTRACT(AJ87,""\d+"")), AJ87)"),"ND")</f>
        <v>ND</v>
      </c>
      <c r="BC87" s="195" t="s">
        <v>324</v>
      </c>
      <c r="BD87" s="195" t="b">
        <f t="shared" si="2"/>
        <v>1</v>
      </c>
      <c r="BE87" s="195" t="b">
        <f t="shared" ref="BE87:BF87" si="94">IF(IFERROR(FIND("ND",AI87),0),FALSE,TRUE)</f>
        <v>1</v>
      </c>
      <c r="BF87" s="195" t="b">
        <f t="shared" si="94"/>
        <v>0</v>
      </c>
    </row>
    <row r="88" spans="1:58" ht="34.5" customHeight="1">
      <c r="A88" s="212" t="s">
        <v>1160</v>
      </c>
      <c r="B88" s="195">
        <v>2016</v>
      </c>
      <c r="C88" s="195" t="s">
        <v>457</v>
      </c>
      <c r="D88" s="4" t="s">
        <v>1161</v>
      </c>
      <c r="E88" s="222">
        <v>26506932</v>
      </c>
      <c r="F88" s="208" t="str">
        <f t="shared" si="88"/>
        <v>https://pubmed.ncbi.nlm.nih.gov/26506932</v>
      </c>
      <c r="G88" s="197" t="str">
        <f t="shared" si="89"/>
        <v>McClain 2016</v>
      </c>
      <c r="H88" s="217">
        <v>2016</v>
      </c>
      <c r="I88" s="199"/>
      <c r="J88" s="195"/>
      <c r="K88" s="195">
        <v>17</v>
      </c>
      <c r="L88" s="10"/>
      <c r="M88" s="195" t="s">
        <v>324</v>
      </c>
      <c r="N88" s="195" t="s">
        <v>324</v>
      </c>
      <c r="O88" s="195" t="s">
        <v>324</v>
      </c>
      <c r="P88" s="195">
        <v>22</v>
      </c>
      <c r="Q88" s="195">
        <v>41</v>
      </c>
      <c r="R88" s="195" t="s">
        <v>324</v>
      </c>
      <c r="S88" s="195" t="s">
        <v>324</v>
      </c>
      <c r="T88" s="195">
        <v>27</v>
      </c>
      <c r="U88" s="195" t="s">
        <v>324</v>
      </c>
      <c r="V88" s="195" t="s">
        <v>1162</v>
      </c>
      <c r="W88" s="199"/>
      <c r="X88" s="195">
        <v>17</v>
      </c>
      <c r="Y88" s="199"/>
      <c r="Z88" s="195">
        <v>9</v>
      </c>
      <c r="AA88" s="199"/>
      <c r="AB88" s="195">
        <v>0</v>
      </c>
      <c r="AC88" s="195" t="s">
        <v>549</v>
      </c>
      <c r="AD88" s="199"/>
      <c r="AE88" s="195" t="s">
        <v>1163</v>
      </c>
      <c r="AF88" s="199"/>
      <c r="AG88" s="195">
        <v>0</v>
      </c>
      <c r="AH88" s="195" t="s">
        <v>527</v>
      </c>
      <c r="AI88" s="195">
        <v>0</v>
      </c>
      <c r="AJ88" s="195" t="s">
        <v>324</v>
      </c>
      <c r="AK88" s="195" t="s">
        <v>1164</v>
      </c>
      <c r="AL88" s="195" t="s">
        <v>322</v>
      </c>
      <c r="AM88" s="199"/>
      <c r="AN88" s="195" t="s">
        <v>513</v>
      </c>
      <c r="AO88" s="195" t="s">
        <v>1165</v>
      </c>
      <c r="AP88" s="195" t="s">
        <v>1166</v>
      </c>
      <c r="AQ88" s="195" t="s">
        <v>1167</v>
      </c>
      <c r="AR88" s="209" t="s">
        <v>517</v>
      </c>
      <c r="AS88" s="195" t="s">
        <v>308</v>
      </c>
      <c r="AT88" s="199"/>
      <c r="AU88" s="202" t="s">
        <v>1168</v>
      </c>
      <c r="AV88" s="195" t="s">
        <v>9</v>
      </c>
      <c r="AW88" s="195" t="str">
        <f ca="1">IFERROR(__xludf.DUMMYFUNCTION("IF(AND(IF(AS88=""Yes"",True,False),NOT(IFERROR(REGEXMATCH(AV88,ExclusionCategories),FALSE))),""Yes"", ""No"")"),"Yes")</f>
        <v>Yes</v>
      </c>
      <c r="AX88" s="195">
        <f ca="1">IFERROR(__xludf.DUMMYFUNCTION("IF(IFERROR(SEARCH(""Unclear"", Z88)) = 1, VALUE(REGEXEXTRACT(Z88,""\d+"")), Z88)"),9)</f>
        <v>9</v>
      </c>
      <c r="AY88" s="195">
        <v>9</v>
      </c>
      <c r="AZ88" s="195">
        <f ca="1">IFERROR(__xludf.DUMMYFUNCTION("IF(IFERROR(SEARCH(""Unclear"", AG88)) = 1, VALUE(REGEXEXTRACT(AG88,""\d+"")), AG88)"),0)</f>
        <v>0</v>
      </c>
      <c r="BA88" s="195">
        <v>0</v>
      </c>
      <c r="BB88" s="195" t="str">
        <f ca="1">IFERROR(__xludf.DUMMYFUNCTION("IF(IFERROR(SEARCH(""Unclear"", AJ88)) = 1, VALUE(REGEXEXTRACT(AJ88,""\d+"")), AJ88)"),"ND")</f>
        <v>ND</v>
      </c>
      <c r="BC88" s="195" t="s">
        <v>324</v>
      </c>
      <c r="BD88" s="195" t="b">
        <f t="shared" si="2"/>
        <v>1</v>
      </c>
      <c r="BE88" s="195" t="b">
        <f t="shared" ref="BE88:BF88" si="95">IF(IFERROR(FIND("ND",AI88),0),FALSE,TRUE)</f>
        <v>1</v>
      </c>
      <c r="BF88" s="195" t="b">
        <f t="shared" si="95"/>
        <v>0</v>
      </c>
    </row>
    <row r="89" spans="1:58" ht="34.5" customHeight="1">
      <c r="A89" s="212" t="s">
        <v>1169</v>
      </c>
      <c r="B89" s="195">
        <v>2016</v>
      </c>
      <c r="C89" s="195" t="s">
        <v>481</v>
      </c>
      <c r="D89" s="4" t="s">
        <v>1170</v>
      </c>
      <c r="E89" s="222">
        <v>26450421</v>
      </c>
      <c r="F89" s="208" t="str">
        <f t="shared" si="88"/>
        <v>https://pubmed.ncbi.nlm.nih.gov/26450421</v>
      </c>
      <c r="G89" s="197" t="str">
        <f t="shared" si="89"/>
        <v>Minhinnick 2016</v>
      </c>
      <c r="H89" s="195">
        <v>2015</v>
      </c>
      <c r="I89" s="195" t="s">
        <v>1171</v>
      </c>
      <c r="J89" s="198" t="s">
        <v>1172</v>
      </c>
      <c r="K89" s="195">
        <v>40</v>
      </c>
      <c r="L89" s="10"/>
      <c r="M89" s="199">
        <f>K89-N89</f>
        <v>13</v>
      </c>
      <c r="N89" s="199">
        <f>6+5+8+8</f>
        <v>27</v>
      </c>
      <c r="O89" s="195" t="s">
        <v>324</v>
      </c>
      <c r="P89" s="195">
        <v>18</v>
      </c>
      <c r="Q89" s="195">
        <v>44</v>
      </c>
      <c r="R89" s="195">
        <v>18</v>
      </c>
      <c r="S89" s="195">
        <v>55</v>
      </c>
      <c r="T89" s="195">
        <v>26.725000000000001</v>
      </c>
      <c r="U89" s="195" t="s">
        <v>324</v>
      </c>
      <c r="V89" s="195" t="s">
        <v>1173</v>
      </c>
      <c r="W89" s="199"/>
      <c r="X89" s="195">
        <v>40</v>
      </c>
      <c r="Y89" s="199"/>
      <c r="Z89" s="195">
        <v>40</v>
      </c>
      <c r="AA89" s="199"/>
      <c r="AB89" s="195">
        <v>0</v>
      </c>
      <c r="AC89" s="195" t="s">
        <v>549</v>
      </c>
      <c r="AD89" s="195" t="s">
        <v>322</v>
      </c>
      <c r="AE89" s="195" t="s">
        <v>1174</v>
      </c>
      <c r="AF89" s="195"/>
      <c r="AG89" s="195">
        <v>40</v>
      </c>
      <c r="AH89" s="195" t="s">
        <v>511</v>
      </c>
      <c r="AI89" s="195">
        <v>0</v>
      </c>
      <c r="AJ89" s="195">
        <v>2</v>
      </c>
      <c r="AK89" s="195" t="s">
        <v>865</v>
      </c>
      <c r="AL89" s="195" t="s">
        <v>322</v>
      </c>
      <c r="AM89" s="199"/>
      <c r="AN89" s="195" t="s">
        <v>513</v>
      </c>
      <c r="AO89" s="195" t="s">
        <v>1175</v>
      </c>
      <c r="AP89" s="195" t="s">
        <v>1176</v>
      </c>
      <c r="AQ89" s="195" t="s">
        <v>1177</v>
      </c>
      <c r="AR89" s="209" t="s">
        <v>517</v>
      </c>
      <c r="AS89" s="195" t="s">
        <v>308</v>
      </c>
      <c r="AT89" s="199"/>
      <c r="AU89" s="202" t="s">
        <v>1178</v>
      </c>
      <c r="AV89" s="195" t="s">
        <v>871</v>
      </c>
      <c r="AW89" s="195" t="str">
        <f ca="1">IFERROR(__xludf.DUMMYFUNCTION("IF(AND(IF(AS89=""Yes"",True,False),NOT(IFERROR(REGEXMATCH(AV89,ExclusionCategories),FALSE))),""Yes"", ""No"")"),"Yes")</f>
        <v>Yes</v>
      </c>
      <c r="AX89" s="195">
        <f ca="1">IFERROR(__xludf.DUMMYFUNCTION("IF(IFERROR(SEARCH(""Unclear"", Z89)) = 1, VALUE(REGEXEXTRACT(Z89,""\d+"")), Z89)"),40)</f>
        <v>40</v>
      </c>
      <c r="AY89" s="195">
        <v>40</v>
      </c>
      <c r="AZ89" s="195">
        <f ca="1">IFERROR(__xludf.DUMMYFUNCTION("IF(IFERROR(SEARCH(""Unclear"", AG89)) = 1, VALUE(REGEXEXTRACT(AG89,""\d+"")), AG89)"),40)</f>
        <v>40</v>
      </c>
      <c r="BA89" s="195">
        <v>40</v>
      </c>
      <c r="BB89" s="195">
        <f ca="1">IFERROR(__xludf.DUMMYFUNCTION("IF(IFERROR(SEARCH(""Unclear"", AJ89)) = 1, VALUE(REGEXEXTRACT(AJ89,""\d+"")), AJ89)"),2)</f>
        <v>2</v>
      </c>
      <c r="BC89" s="195">
        <v>2</v>
      </c>
      <c r="BD89" s="195" t="b">
        <f t="shared" si="2"/>
        <v>1</v>
      </c>
      <c r="BE89" s="195" t="b">
        <f t="shared" ref="BE89:BF89" si="96">IF(IFERROR(FIND("ND",AI89),0),FALSE,TRUE)</f>
        <v>1</v>
      </c>
      <c r="BF89" s="195" t="b">
        <f t="shared" si="96"/>
        <v>1</v>
      </c>
    </row>
    <row r="90" spans="1:58" ht="34.5" customHeight="1">
      <c r="A90" s="212" t="s">
        <v>1179</v>
      </c>
      <c r="B90" s="195">
        <v>2015</v>
      </c>
      <c r="C90" s="195" t="s">
        <v>339</v>
      </c>
      <c r="D90" s="4" t="s">
        <v>1180</v>
      </c>
      <c r="E90" s="222">
        <v>25889522</v>
      </c>
      <c r="F90" s="208" t="str">
        <f t="shared" si="88"/>
        <v>https://pubmed.ncbi.nlm.nih.gov/25889522</v>
      </c>
      <c r="G90" s="197" t="str">
        <f t="shared" si="89"/>
        <v>Mordmuller 2015</v>
      </c>
      <c r="H90" s="234">
        <v>2013</v>
      </c>
      <c r="I90" s="234" t="s">
        <v>1181</v>
      </c>
      <c r="J90" s="198" t="s">
        <v>1182</v>
      </c>
      <c r="K90" s="195">
        <v>36</v>
      </c>
      <c r="L90" s="10"/>
      <c r="M90" s="195">
        <v>25</v>
      </c>
      <c r="N90" s="195">
        <v>11</v>
      </c>
      <c r="O90" s="195">
        <v>26</v>
      </c>
      <c r="P90" s="195">
        <v>19</v>
      </c>
      <c r="Q90" s="195">
        <v>43</v>
      </c>
      <c r="R90" s="195">
        <v>18</v>
      </c>
      <c r="S90" s="195">
        <v>45</v>
      </c>
      <c r="T90" s="195" t="s">
        <v>324</v>
      </c>
      <c r="U90" s="195" t="s">
        <v>324</v>
      </c>
      <c r="V90" s="195" t="s">
        <v>1183</v>
      </c>
      <c r="W90" s="199"/>
      <c r="X90" s="195">
        <v>36</v>
      </c>
      <c r="Y90" s="199"/>
      <c r="Z90" s="199">
        <f>4+1+1+7+9+6</f>
        <v>28</v>
      </c>
      <c r="AA90" s="199"/>
      <c r="AB90" s="195">
        <v>0</v>
      </c>
      <c r="AC90" s="195" t="s">
        <v>549</v>
      </c>
      <c r="AD90" s="199"/>
      <c r="AE90" s="195" t="s">
        <v>1163</v>
      </c>
      <c r="AF90" s="199"/>
      <c r="AG90" s="195">
        <v>34</v>
      </c>
      <c r="AH90" s="195" t="s">
        <v>511</v>
      </c>
      <c r="AI90" s="195">
        <v>0</v>
      </c>
      <c r="AJ90" s="195">
        <v>6</v>
      </c>
      <c r="AK90" s="195" t="s">
        <v>1184</v>
      </c>
      <c r="AL90" s="195" t="s">
        <v>695</v>
      </c>
      <c r="AM90" s="199"/>
      <c r="AN90" s="235" t="s">
        <v>1185</v>
      </c>
      <c r="AO90" s="195" t="s">
        <v>1186</v>
      </c>
      <c r="AP90" s="195" t="s">
        <v>1187</v>
      </c>
      <c r="AQ90" s="195" t="s">
        <v>1188</v>
      </c>
      <c r="AR90" s="209" t="s">
        <v>517</v>
      </c>
      <c r="AS90" s="195" t="s">
        <v>308</v>
      </c>
      <c r="AT90" s="199"/>
      <c r="AU90" s="202" t="s">
        <v>1189</v>
      </c>
      <c r="AV90" s="195" t="s">
        <v>9</v>
      </c>
      <c r="AW90" s="195" t="str">
        <f ca="1">IFERROR(__xludf.DUMMYFUNCTION("IF(AND(IF(AS90=""Yes"",True,False),NOT(IFERROR(REGEXMATCH(AV90,ExclusionCategories),FALSE))),""Yes"", ""No"")"),"Yes")</f>
        <v>Yes</v>
      </c>
      <c r="AX90" s="195">
        <f ca="1">IFERROR(__xludf.DUMMYFUNCTION("IF(IFERROR(SEARCH(""Unclear"", Z90)) = 1, VALUE(REGEXEXTRACT(Z90,""\d+"")), Z90)"),28)</f>
        <v>28</v>
      </c>
      <c r="AY90" s="195">
        <v>28</v>
      </c>
      <c r="AZ90" s="195">
        <f ca="1">IFERROR(__xludf.DUMMYFUNCTION("IF(IFERROR(SEARCH(""Unclear"", AG90)) = 1, VALUE(REGEXEXTRACT(AG90,""\d+"")), AG90)"),34)</f>
        <v>34</v>
      </c>
      <c r="BA90" s="195">
        <v>34</v>
      </c>
      <c r="BB90" s="195">
        <f ca="1">IFERROR(__xludf.DUMMYFUNCTION("IF(IFERROR(SEARCH(""Unclear"", AJ90)) = 1, VALUE(REGEXEXTRACT(AJ90,""\d+"")), AJ90)"),6)</f>
        <v>6</v>
      </c>
      <c r="BC90" s="195">
        <v>6</v>
      </c>
      <c r="BD90" s="195" t="b">
        <f t="shared" si="2"/>
        <v>1</v>
      </c>
      <c r="BE90" s="195" t="b">
        <f t="shared" ref="BE90:BF90" si="97">IF(IFERROR(FIND("ND",AI90),0),FALSE,TRUE)</f>
        <v>1</v>
      </c>
      <c r="BF90" s="195" t="b">
        <f t="shared" si="97"/>
        <v>1</v>
      </c>
    </row>
    <row r="91" spans="1:58" ht="34.5" customHeight="1">
      <c r="A91" s="212" t="s">
        <v>1190</v>
      </c>
      <c r="B91" s="195">
        <v>2018</v>
      </c>
      <c r="C91" s="195" t="s">
        <v>339</v>
      </c>
      <c r="D91" s="4" t="s">
        <v>1191</v>
      </c>
      <c r="E91" s="222">
        <v>29216395</v>
      </c>
      <c r="F91" s="208" t="str">
        <f t="shared" si="88"/>
        <v>https://pubmed.ncbi.nlm.nih.gov/29216395</v>
      </c>
      <c r="G91" s="197" t="str">
        <f t="shared" si="89"/>
        <v>Murphy 2018</v>
      </c>
      <c r="H91" s="217">
        <v>2018</v>
      </c>
      <c r="I91" s="199"/>
      <c r="J91" s="195"/>
      <c r="K91" s="195">
        <v>24</v>
      </c>
      <c r="L91" s="10"/>
      <c r="M91" s="199">
        <f>K91-N91</f>
        <v>12</v>
      </c>
      <c r="N91" s="195">
        <v>12</v>
      </c>
      <c r="O91" s="195" t="s">
        <v>324</v>
      </c>
      <c r="P91" s="195">
        <v>20</v>
      </c>
      <c r="Q91" s="195">
        <v>37</v>
      </c>
      <c r="R91" s="195">
        <v>18</v>
      </c>
      <c r="S91" s="195">
        <v>45</v>
      </c>
      <c r="T91" s="195">
        <v>28.8</v>
      </c>
      <c r="U91" s="195" t="s">
        <v>324</v>
      </c>
      <c r="V91" s="195" t="s">
        <v>1192</v>
      </c>
      <c r="W91" s="199"/>
      <c r="X91" s="195">
        <v>24</v>
      </c>
      <c r="Y91" s="199"/>
      <c r="Z91" s="195" t="s">
        <v>394</v>
      </c>
      <c r="AA91" s="195" t="s">
        <v>1193</v>
      </c>
      <c r="AB91" s="195">
        <v>0</v>
      </c>
      <c r="AC91" s="195" t="s">
        <v>549</v>
      </c>
      <c r="AD91" s="199"/>
      <c r="AE91" s="195" t="s">
        <v>1163</v>
      </c>
      <c r="AF91" s="199"/>
      <c r="AG91" s="195">
        <v>9</v>
      </c>
      <c r="AH91" s="195" t="s">
        <v>511</v>
      </c>
      <c r="AI91" s="195">
        <v>0</v>
      </c>
      <c r="AJ91" s="195"/>
      <c r="AK91" s="195" t="s">
        <v>1194</v>
      </c>
      <c r="AL91" s="195" t="s">
        <v>695</v>
      </c>
      <c r="AM91" s="199"/>
      <c r="AN91" s="236" t="s">
        <v>1195</v>
      </c>
      <c r="AO91" s="195" t="s">
        <v>1196</v>
      </c>
      <c r="AP91" s="200" t="s">
        <v>1197</v>
      </c>
      <c r="AQ91" s="195" t="s">
        <v>1198</v>
      </c>
      <c r="AR91" s="209" t="s">
        <v>517</v>
      </c>
      <c r="AS91" s="195" t="s">
        <v>308</v>
      </c>
      <c r="AT91" s="199"/>
      <c r="AU91" s="202" t="s">
        <v>1199</v>
      </c>
      <c r="AV91" s="195" t="s">
        <v>9</v>
      </c>
      <c r="AW91" s="195" t="str">
        <f ca="1">IFERROR(__xludf.DUMMYFUNCTION("IF(AND(IF(AS91=""Yes"",True,False),NOT(IFERROR(REGEXMATCH(AV91,ExclusionCategories),FALSE))),""Yes"", ""No"")"),"Yes")</f>
        <v>Yes</v>
      </c>
      <c r="AX91" s="195">
        <f ca="1">IFERROR(__xludf.DUMMYFUNCTION("IF(IFERROR(SEARCH(""Unclear"", Z91)) = 1, VALUE(REGEXEXTRACT(Z91,""\d+"")), Z91)"),0)</f>
        <v>0</v>
      </c>
      <c r="AY91" s="195">
        <v>24</v>
      </c>
      <c r="AZ91" s="195">
        <f ca="1">IFERROR(__xludf.DUMMYFUNCTION("IF(IFERROR(SEARCH(""Unclear"", AG91)) = 1, VALUE(REGEXEXTRACT(AG91,""\d+"")), AG91)"),9)</f>
        <v>9</v>
      </c>
      <c r="BA91" s="195">
        <v>9</v>
      </c>
      <c r="BB91" s="195" t="str">
        <f ca="1">IFERROR(__xludf.DUMMYFUNCTION("IF(IFERROR(SEARCH(""Unclear"", AJ91)) = 1, VALUE(REGEXEXTRACT(AJ91,""\d+"")), AJ91)"),"")</f>
        <v/>
      </c>
      <c r="BC91" s="195" t="s">
        <v>19503</v>
      </c>
      <c r="BD91" s="195" t="b">
        <f t="shared" si="2"/>
        <v>1</v>
      </c>
      <c r="BE91" s="195" t="b">
        <f t="shared" ref="BE91:BF91" si="98">IF(IFERROR(FIND("ND",AI91),0),FALSE,TRUE)</f>
        <v>1</v>
      </c>
      <c r="BF91" s="195" t="b">
        <f t="shared" si="98"/>
        <v>1</v>
      </c>
    </row>
    <row r="92" spans="1:58" ht="34.5" customHeight="1">
      <c r="A92" s="212" t="s">
        <v>1200</v>
      </c>
      <c r="B92" s="195">
        <v>2020</v>
      </c>
      <c r="C92" s="195" t="s">
        <v>457</v>
      </c>
      <c r="D92" s="4" t="s">
        <v>1161</v>
      </c>
      <c r="E92" s="222">
        <v>32658939</v>
      </c>
      <c r="F92" s="208" t="str">
        <f t="shared" si="88"/>
        <v>https://pubmed.ncbi.nlm.nih.gov/32658939</v>
      </c>
      <c r="G92" s="197" t="str">
        <f t="shared" si="89"/>
        <v>Nguyen-Van-Tam 2020</v>
      </c>
      <c r="H92" s="234">
        <v>2013</v>
      </c>
      <c r="I92" s="236" t="s">
        <v>1201</v>
      </c>
      <c r="J92" s="198" t="s">
        <v>1202</v>
      </c>
      <c r="K92" s="195">
        <v>127</v>
      </c>
      <c r="L92" s="10"/>
      <c r="M92" s="195">
        <v>87</v>
      </c>
      <c r="N92" s="195">
        <v>40</v>
      </c>
      <c r="O92" s="195" t="s">
        <v>324</v>
      </c>
      <c r="P92" s="195" t="s">
        <v>324</v>
      </c>
      <c r="Q92" s="195" t="s">
        <v>324</v>
      </c>
      <c r="R92" s="195">
        <v>18</v>
      </c>
      <c r="S92" s="195">
        <v>45</v>
      </c>
      <c r="T92" s="195" t="s">
        <v>324</v>
      </c>
      <c r="U92" s="195" t="s">
        <v>324</v>
      </c>
      <c r="V92" s="199"/>
      <c r="W92" s="199"/>
      <c r="X92" s="195">
        <v>52</v>
      </c>
      <c r="Y92" s="199"/>
      <c r="Z92" s="195">
        <v>42</v>
      </c>
      <c r="AA92" s="199"/>
      <c r="AB92" s="195">
        <f>40+35</f>
        <v>75</v>
      </c>
      <c r="AC92" s="195"/>
      <c r="AD92" s="195">
        <v>1</v>
      </c>
      <c r="AE92" s="195" t="s">
        <v>1163</v>
      </c>
      <c r="AF92" s="199"/>
      <c r="AG92" s="195" t="s">
        <v>324</v>
      </c>
      <c r="AH92" s="195" t="s">
        <v>316</v>
      </c>
      <c r="AI92" s="195">
        <v>0</v>
      </c>
      <c r="AJ92" s="195" t="s">
        <v>324</v>
      </c>
      <c r="AK92" s="195" t="s">
        <v>1203</v>
      </c>
      <c r="AL92" s="195" t="s">
        <v>324</v>
      </c>
      <c r="AM92" s="199"/>
      <c r="AN92" s="195" t="s">
        <v>513</v>
      </c>
      <c r="AO92" s="195" t="s">
        <v>1204</v>
      </c>
      <c r="AP92" s="195" t="s">
        <v>1205</v>
      </c>
      <c r="AQ92" s="195" t="s">
        <v>1206</v>
      </c>
      <c r="AR92" s="209" t="s">
        <v>517</v>
      </c>
      <c r="AS92" s="195" t="s">
        <v>308</v>
      </c>
      <c r="AT92" s="199"/>
      <c r="AU92" s="202" t="s">
        <v>1207</v>
      </c>
      <c r="AV92" s="195" t="s">
        <v>9</v>
      </c>
      <c r="AW92" s="195" t="str">
        <f ca="1">IFERROR(__xludf.DUMMYFUNCTION("IF(AND(IF(AS92=""Yes"",True,False),NOT(IFERROR(REGEXMATCH(AV92,ExclusionCategories),FALSE))),""Yes"", ""No"")"),"Yes")</f>
        <v>Yes</v>
      </c>
      <c r="AX92" s="195">
        <f ca="1">IFERROR(__xludf.DUMMYFUNCTION("IF(IFERROR(SEARCH(""Unclear"", Z92)) = 1, VALUE(REGEXEXTRACT(Z92,""\d+"")), Z92)"),42)</f>
        <v>42</v>
      </c>
      <c r="AY92" s="195">
        <v>42</v>
      </c>
      <c r="AZ92" s="195" t="str">
        <f ca="1">IFERROR(__xludf.DUMMYFUNCTION("IF(IFERROR(SEARCH(""Unclear"", AG92)) = 1, VALUE(REGEXEXTRACT(AG92,""\d+"")), AG92)"),"ND")</f>
        <v>ND</v>
      </c>
      <c r="BA92" s="195" t="s">
        <v>324</v>
      </c>
      <c r="BB92" s="195" t="str">
        <f ca="1">IFERROR(__xludf.DUMMYFUNCTION("IF(IFERROR(SEARCH(""Unclear"", AJ92)) = 1, VALUE(REGEXEXTRACT(AJ92,""\d+"")), AJ92)"),"ND")</f>
        <v>ND</v>
      </c>
      <c r="BC92" s="195" t="s">
        <v>324</v>
      </c>
      <c r="BD92" s="195" t="b">
        <f t="shared" si="2"/>
        <v>0</v>
      </c>
      <c r="BE92" s="195" t="b">
        <f t="shared" ref="BE92:BF92" si="99">IF(IFERROR(FIND("ND",AI92),0),FALSE,TRUE)</f>
        <v>1</v>
      </c>
      <c r="BF92" s="195" t="b">
        <f t="shared" si="99"/>
        <v>0</v>
      </c>
    </row>
    <row r="93" spans="1:58" ht="34.5" customHeight="1">
      <c r="A93" s="212" t="s">
        <v>1208</v>
      </c>
      <c r="B93" s="195">
        <v>2016</v>
      </c>
      <c r="C93" s="195" t="s">
        <v>339</v>
      </c>
      <c r="D93" s="4" t="s">
        <v>1209</v>
      </c>
      <c r="E93" s="222">
        <v>26908756</v>
      </c>
      <c r="F93" s="208" t="str">
        <f t="shared" si="88"/>
        <v>https://pubmed.ncbi.nlm.nih.gov/26908756</v>
      </c>
      <c r="G93" s="197" t="str">
        <f t="shared" si="89"/>
        <v>Payne 2016</v>
      </c>
      <c r="H93" s="234">
        <v>2014</v>
      </c>
      <c r="I93" s="237" t="s">
        <v>1210</v>
      </c>
      <c r="J93" s="198" t="s">
        <v>1211</v>
      </c>
      <c r="K93" s="195">
        <v>30</v>
      </c>
      <c r="L93" s="10"/>
      <c r="M93" s="195">
        <v>21</v>
      </c>
      <c r="N93" s="195">
        <v>9</v>
      </c>
      <c r="O93" s="195" t="s">
        <v>324</v>
      </c>
      <c r="P93" s="195">
        <v>19</v>
      </c>
      <c r="Q93" s="195">
        <v>43</v>
      </c>
      <c r="R93" s="195">
        <v>18</v>
      </c>
      <c r="S93" s="195">
        <v>45</v>
      </c>
      <c r="T93" s="195">
        <v>27.5</v>
      </c>
      <c r="U93" s="195" t="s">
        <v>324</v>
      </c>
      <c r="V93" s="195" t="s">
        <v>1212</v>
      </c>
      <c r="W93" s="199"/>
      <c r="X93" s="199">
        <f>12+15</f>
        <v>27</v>
      </c>
      <c r="Y93" s="195" t="s">
        <v>1213</v>
      </c>
      <c r="Z93" s="195">
        <v>27</v>
      </c>
      <c r="AA93" s="195" t="s">
        <v>1214</v>
      </c>
      <c r="AB93" s="195">
        <v>0</v>
      </c>
      <c r="AC93" s="195" t="s">
        <v>549</v>
      </c>
      <c r="AD93" s="195" t="s">
        <v>695</v>
      </c>
      <c r="AE93" s="195" t="s">
        <v>1163</v>
      </c>
      <c r="AF93" s="199"/>
      <c r="AG93" s="195" t="s">
        <v>394</v>
      </c>
      <c r="AH93" s="195" t="s">
        <v>308</v>
      </c>
      <c r="AI93" s="195">
        <v>0</v>
      </c>
      <c r="AJ93" s="195">
        <v>0</v>
      </c>
      <c r="AK93" s="195" t="s">
        <v>1215</v>
      </c>
      <c r="AL93" s="195" t="s">
        <v>695</v>
      </c>
      <c r="AM93" s="199"/>
      <c r="AN93" s="195" t="s">
        <v>1216</v>
      </c>
      <c r="AO93" s="195" t="s">
        <v>1217</v>
      </c>
      <c r="AP93" s="195" t="s">
        <v>1218</v>
      </c>
      <c r="AQ93" s="195" t="s">
        <v>1219</v>
      </c>
      <c r="AR93" s="209" t="s">
        <v>517</v>
      </c>
      <c r="AS93" s="195" t="s">
        <v>308</v>
      </c>
      <c r="AT93" s="199"/>
      <c r="AU93" s="202" t="s">
        <v>1220</v>
      </c>
      <c r="AV93" s="195" t="s">
        <v>9</v>
      </c>
      <c r="AW93" s="195" t="str">
        <f ca="1">IFERROR(__xludf.DUMMYFUNCTION("IF(AND(IF(AS93=""Yes"",True,False),NOT(IFERROR(REGEXMATCH(AV93,ExclusionCategories),FALSE))),""Yes"", ""No"")"),"Yes")</f>
        <v>Yes</v>
      </c>
      <c r="AX93" s="195">
        <f ca="1">IFERROR(__xludf.DUMMYFUNCTION("IF(IFERROR(SEARCH(""Unclear"", Z93)) = 1, VALUE(REGEXEXTRACT(Z93,""\d+"")), Z93)"),27)</f>
        <v>27</v>
      </c>
      <c r="AY93" s="195">
        <v>27</v>
      </c>
      <c r="AZ93" s="195">
        <f ca="1">IFERROR(__xludf.DUMMYFUNCTION("IF(IFERROR(SEARCH(""Unclear"", AG93)) = 1, VALUE(REGEXEXTRACT(AG93,""\d+"")), AG93)"),0)</f>
        <v>0</v>
      </c>
      <c r="BA93" s="195">
        <v>27</v>
      </c>
      <c r="BB93" s="195">
        <f ca="1">IFERROR(__xludf.DUMMYFUNCTION("IF(IFERROR(SEARCH(""Unclear"", AJ93)) = 1, VALUE(REGEXEXTRACT(AJ93,""\d+"")), AJ93)"),0)</f>
        <v>0</v>
      </c>
      <c r="BC93" s="195">
        <v>0</v>
      </c>
      <c r="BD93" s="195" t="b">
        <f t="shared" si="2"/>
        <v>1</v>
      </c>
      <c r="BE93" s="195" t="b">
        <f t="shared" ref="BE93:BF93" si="100">IF(IFERROR(FIND("ND",AI93),0),FALSE,TRUE)</f>
        <v>1</v>
      </c>
      <c r="BF93" s="195" t="b">
        <f t="shared" si="100"/>
        <v>1</v>
      </c>
    </row>
    <row r="94" spans="1:58" ht="34.5" customHeight="1">
      <c r="A94" s="212" t="s">
        <v>1221</v>
      </c>
      <c r="B94" s="195">
        <v>2016</v>
      </c>
      <c r="C94" s="195" t="s">
        <v>605</v>
      </c>
      <c r="D94" s="4" t="s">
        <v>1222</v>
      </c>
      <c r="E94" s="216">
        <v>27146000</v>
      </c>
      <c r="F94" s="208" t="str">
        <f t="shared" si="88"/>
        <v>https://pubmed.ncbi.nlm.nih.gov/27146000</v>
      </c>
      <c r="G94" s="197" t="str">
        <f t="shared" si="89"/>
        <v>Pitisuttithum 2016</v>
      </c>
      <c r="H94" s="195">
        <v>2011</v>
      </c>
      <c r="I94" s="195" t="s">
        <v>1223</v>
      </c>
      <c r="J94" s="198" t="s">
        <v>1224</v>
      </c>
      <c r="K94" s="195">
        <v>19</v>
      </c>
      <c r="L94" s="4" t="s">
        <v>1225</v>
      </c>
      <c r="M94" s="195" t="s">
        <v>324</v>
      </c>
      <c r="N94" s="195" t="s">
        <v>324</v>
      </c>
      <c r="O94" s="195" t="s">
        <v>324</v>
      </c>
      <c r="P94" s="195" t="s">
        <v>324</v>
      </c>
      <c r="Q94" s="195" t="s">
        <v>324</v>
      </c>
      <c r="R94" s="195">
        <v>20</v>
      </c>
      <c r="S94" s="195">
        <v>40</v>
      </c>
      <c r="T94" s="195" t="s">
        <v>324</v>
      </c>
      <c r="U94" s="195" t="s">
        <v>324</v>
      </c>
      <c r="V94" s="195" t="s">
        <v>1226</v>
      </c>
      <c r="W94" s="195" t="s">
        <v>1227</v>
      </c>
      <c r="X94" s="195">
        <v>13</v>
      </c>
      <c r="Y94" s="195"/>
      <c r="Z94" s="195" t="s">
        <v>322</v>
      </c>
      <c r="AA94" s="195" t="s">
        <v>1228</v>
      </c>
      <c r="AB94" s="195">
        <v>6</v>
      </c>
      <c r="AC94" s="195"/>
      <c r="AD94" s="195">
        <v>0</v>
      </c>
      <c r="AE94" s="195" t="s">
        <v>1229</v>
      </c>
      <c r="AF94" s="195" t="s">
        <v>1230</v>
      </c>
      <c r="AG94" s="195">
        <v>5</v>
      </c>
      <c r="AH94" s="195" t="s">
        <v>511</v>
      </c>
      <c r="AI94" s="195">
        <v>0</v>
      </c>
      <c r="AJ94" s="195">
        <v>0</v>
      </c>
      <c r="AK94" s="195" t="s">
        <v>1231</v>
      </c>
      <c r="AL94" s="195">
        <v>4</v>
      </c>
      <c r="AM94" s="199"/>
      <c r="AN94" s="195" t="s">
        <v>1232</v>
      </c>
      <c r="AO94" s="195" t="s">
        <v>1233</v>
      </c>
      <c r="AP94" s="195" t="s">
        <v>1234</v>
      </c>
      <c r="AQ94" s="195" t="s">
        <v>1235</v>
      </c>
      <c r="AR94" s="209" t="s">
        <v>517</v>
      </c>
      <c r="AS94" s="195" t="s">
        <v>316</v>
      </c>
      <c r="AT94" s="199"/>
      <c r="AU94" s="195" t="s">
        <v>1236</v>
      </c>
      <c r="AV94" s="195" t="s">
        <v>318</v>
      </c>
      <c r="AW94" s="195" t="str">
        <f ca="1">IFERROR(__xludf.DUMMYFUNCTION("IF(AND(IF(AS94=""Yes"",True,False),NOT(IFERROR(REGEXMATCH(AV94,ExclusionCategories),FALSE))),""Yes"", ""No"")"),"No")</f>
        <v>No</v>
      </c>
      <c r="AX94" s="195" t="str">
        <f ca="1">IFERROR(__xludf.DUMMYFUNCTION("IF(IFERROR(SEARCH(""Unclear"", Z94)) = 1, VALUE(REGEXEXTRACT(Z94,""\d+"")), Z94)"),"N/A")</f>
        <v>N/A</v>
      </c>
      <c r="AY94" s="195" t="s">
        <v>322</v>
      </c>
      <c r="AZ94" s="195">
        <f ca="1">IFERROR(__xludf.DUMMYFUNCTION("IF(IFERROR(SEARCH(""Unclear"", AG94)) = 1, VALUE(REGEXEXTRACT(AG94,""\d+"")), AG94)"),5)</f>
        <v>5</v>
      </c>
      <c r="BA94" s="195">
        <v>5</v>
      </c>
      <c r="BB94" s="195">
        <f ca="1">IFERROR(__xludf.DUMMYFUNCTION("IF(IFERROR(SEARCH(""Unclear"", AJ94)) = 1, VALUE(REGEXEXTRACT(AJ94,""\d+"")), AJ94)"),0)</f>
        <v>0</v>
      </c>
      <c r="BC94" s="195">
        <v>0</v>
      </c>
      <c r="BD94" s="195" t="b">
        <f t="shared" si="2"/>
        <v>1</v>
      </c>
      <c r="BE94" s="195" t="b">
        <f t="shared" ref="BE94:BF94" si="101">IF(IFERROR(FIND("ND",AI94),0),FALSE,TRUE)</f>
        <v>1</v>
      </c>
      <c r="BF94" s="195" t="b">
        <f t="shared" si="101"/>
        <v>1</v>
      </c>
    </row>
    <row r="95" spans="1:58" ht="34.5" customHeight="1">
      <c r="A95" s="212" t="s">
        <v>1221</v>
      </c>
      <c r="B95" s="195">
        <v>2016</v>
      </c>
      <c r="C95" s="195" t="s">
        <v>605</v>
      </c>
      <c r="D95" s="4" t="s">
        <v>1237</v>
      </c>
      <c r="E95" s="222">
        <v>27146000</v>
      </c>
      <c r="F95" s="208" t="str">
        <f t="shared" si="88"/>
        <v>https://pubmed.ncbi.nlm.nih.gov/27146000</v>
      </c>
      <c r="G95" s="197" t="str">
        <f t="shared" si="89"/>
        <v>Pitisuttithum 2016</v>
      </c>
      <c r="H95" s="195">
        <v>2011</v>
      </c>
      <c r="I95" s="195" t="s">
        <v>1223</v>
      </c>
      <c r="J95" s="198" t="s">
        <v>1224</v>
      </c>
      <c r="K95" s="195">
        <v>20</v>
      </c>
      <c r="L95" s="4" t="s">
        <v>1238</v>
      </c>
      <c r="M95" s="195" t="s">
        <v>324</v>
      </c>
      <c r="N95" s="195" t="s">
        <v>324</v>
      </c>
      <c r="O95" s="195" t="s">
        <v>324</v>
      </c>
      <c r="P95" s="195" t="s">
        <v>324</v>
      </c>
      <c r="Q95" s="195" t="s">
        <v>324</v>
      </c>
      <c r="R95" s="195">
        <v>20</v>
      </c>
      <c r="S95" s="195">
        <v>40</v>
      </c>
      <c r="T95" s="195" t="s">
        <v>324</v>
      </c>
      <c r="U95" s="195" t="s">
        <v>324</v>
      </c>
      <c r="V95" s="195" t="s">
        <v>1226</v>
      </c>
      <c r="W95" s="195" t="s">
        <v>1227</v>
      </c>
      <c r="X95" s="195">
        <v>20</v>
      </c>
      <c r="Y95" s="195" t="s">
        <v>1239</v>
      </c>
      <c r="Z95" s="195">
        <v>8</v>
      </c>
      <c r="AA95" s="195" t="s">
        <v>1240</v>
      </c>
      <c r="AB95" s="195">
        <v>0</v>
      </c>
      <c r="AC95" s="195" t="s">
        <v>549</v>
      </c>
      <c r="AD95" s="195" t="s">
        <v>322</v>
      </c>
      <c r="AE95" s="195" t="s">
        <v>1241</v>
      </c>
      <c r="AF95" s="195" t="s">
        <v>1230</v>
      </c>
      <c r="AG95" s="195">
        <v>10</v>
      </c>
      <c r="AH95" s="195" t="s">
        <v>511</v>
      </c>
      <c r="AI95" s="195" t="s">
        <v>324</v>
      </c>
      <c r="AJ95" s="195">
        <v>1</v>
      </c>
      <c r="AK95" s="199"/>
      <c r="AL95" s="195" t="s">
        <v>322</v>
      </c>
      <c r="AM95" s="199"/>
      <c r="AN95" s="195" t="s">
        <v>1232</v>
      </c>
      <c r="AO95" s="195" t="s">
        <v>1233</v>
      </c>
      <c r="AP95" s="195" t="s">
        <v>1234</v>
      </c>
      <c r="AQ95" s="195" t="s">
        <v>1235</v>
      </c>
      <c r="AR95" s="209" t="s">
        <v>517</v>
      </c>
      <c r="AS95" s="195" t="s">
        <v>308</v>
      </c>
      <c r="AT95" s="199"/>
      <c r="AU95" s="195" t="s">
        <v>1236</v>
      </c>
      <c r="AV95" s="195" t="s">
        <v>9</v>
      </c>
      <c r="AW95" s="195" t="str">
        <f ca="1">IFERROR(__xludf.DUMMYFUNCTION("IF(AND(IF(AS95=""Yes"",True,False),NOT(IFERROR(REGEXMATCH(AV95,ExclusionCategories),FALSE))),""Yes"", ""No"")"),"Yes")</f>
        <v>Yes</v>
      </c>
      <c r="AX95" s="195">
        <f ca="1">IFERROR(__xludf.DUMMYFUNCTION("IF(IFERROR(SEARCH(""Unclear"", Z95)) = 1, VALUE(REGEXEXTRACT(Z95,""\d+"")), Z95)"),8)</f>
        <v>8</v>
      </c>
      <c r="AY95" s="195">
        <v>8</v>
      </c>
      <c r="AZ95" s="195">
        <f ca="1">IFERROR(__xludf.DUMMYFUNCTION("IF(IFERROR(SEARCH(""Unclear"", AG95)) = 1, VALUE(REGEXEXTRACT(AG95,""\d+"")), AG95)"),10)</f>
        <v>10</v>
      </c>
      <c r="BA95" s="195">
        <v>10</v>
      </c>
      <c r="BB95" s="195">
        <f ca="1">IFERROR(__xludf.DUMMYFUNCTION("IF(IFERROR(SEARCH(""Unclear"", AJ95)) = 1, VALUE(REGEXEXTRACT(AJ95,""\d+"")), AJ95)"),1)</f>
        <v>1</v>
      </c>
      <c r="BC95" s="195">
        <v>1</v>
      </c>
      <c r="BD95" s="195" t="b">
        <f t="shared" si="2"/>
        <v>1</v>
      </c>
      <c r="BE95" s="195" t="b">
        <f t="shared" ref="BE95:BF95" si="102">IF(IFERROR(FIND("ND",AI95),0),FALSE,TRUE)</f>
        <v>0</v>
      </c>
      <c r="BF95" s="195" t="b">
        <f t="shared" si="102"/>
        <v>1</v>
      </c>
    </row>
    <row r="96" spans="1:58" ht="34.5" customHeight="1">
      <c r="A96" s="212" t="s">
        <v>1242</v>
      </c>
      <c r="B96" s="195">
        <v>2020</v>
      </c>
      <c r="C96" s="195" t="s">
        <v>457</v>
      </c>
      <c r="D96" s="4" t="s">
        <v>1243</v>
      </c>
      <c r="E96" s="222">
        <v>32194999</v>
      </c>
      <c r="F96" s="208" t="str">
        <f t="shared" si="88"/>
        <v>https://pubmed.ncbi.nlm.nih.gov/32194999</v>
      </c>
      <c r="G96" s="197" t="str">
        <f t="shared" si="89"/>
        <v>Pleguezuelos 2020</v>
      </c>
      <c r="H96" s="195">
        <v>2017</v>
      </c>
      <c r="I96" s="195" t="s">
        <v>1244</v>
      </c>
      <c r="J96" s="229" t="str">
        <f t="shared" ref="J96:J102" si="103">"https://clinicaltrials.gov/ct2/show/"&amp;I96&amp;"?term="&amp;I96&amp;"&amp;draw=2&amp;rank=1"</f>
        <v>https://clinicaltrials.gov/ct2/show/NCT03180801?term=NCT03180801&amp;draw=2&amp;rank=1</v>
      </c>
      <c r="K96" s="195">
        <v>123</v>
      </c>
      <c r="L96" s="4" t="s">
        <v>1245</v>
      </c>
      <c r="M96" s="195">
        <v>87</v>
      </c>
      <c r="N96" s="195">
        <v>36</v>
      </c>
      <c r="O96" s="195" t="s">
        <v>324</v>
      </c>
      <c r="P96" s="195" t="s">
        <v>324</v>
      </c>
      <c r="Q96" s="195" t="s">
        <v>324</v>
      </c>
      <c r="R96" s="195">
        <v>18</v>
      </c>
      <c r="S96" s="195">
        <v>55</v>
      </c>
      <c r="T96" s="195">
        <v>28.7</v>
      </c>
      <c r="U96" s="195">
        <v>8.6</v>
      </c>
      <c r="V96" s="195" t="s">
        <v>1246</v>
      </c>
      <c r="W96" s="199"/>
      <c r="X96" s="195">
        <v>123</v>
      </c>
      <c r="Y96" s="195" t="s">
        <v>1247</v>
      </c>
      <c r="Z96" s="195">
        <v>51</v>
      </c>
      <c r="AA96" s="195" t="s">
        <v>1248</v>
      </c>
      <c r="AB96" s="195">
        <v>0</v>
      </c>
      <c r="AC96" s="195" t="s">
        <v>549</v>
      </c>
      <c r="AD96" s="195" t="s">
        <v>322</v>
      </c>
      <c r="AE96" s="195" t="s">
        <v>1249</v>
      </c>
      <c r="AF96" s="199"/>
      <c r="AG96" s="195">
        <v>66</v>
      </c>
      <c r="AH96" s="195" t="s">
        <v>511</v>
      </c>
      <c r="AI96" s="195">
        <v>0</v>
      </c>
      <c r="AJ96" s="195">
        <v>1</v>
      </c>
      <c r="AK96" s="199"/>
      <c r="AL96" s="195" t="s">
        <v>322</v>
      </c>
      <c r="AM96" s="199"/>
      <c r="AN96" s="195" t="s">
        <v>1250</v>
      </c>
      <c r="AO96" s="195" t="s">
        <v>1251</v>
      </c>
      <c r="AP96" s="195" t="s">
        <v>1252</v>
      </c>
      <c r="AQ96" s="195" t="s">
        <v>1253</v>
      </c>
      <c r="AR96" s="209" t="s">
        <v>517</v>
      </c>
      <c r="AS96" s="195" t="s">
        <v>308</v>
      </c>
      <c r="AT96" s="199"/>
      <c r="AU96" s="202" t="s">
        <v>1254</v>
      </c>
      <c r="AV96" s="195" t="s">
        <v>9</v>
      </c>
      <c r="AW96" s="195" t="str">
        <f ca="1">IFERROR(__xludf.DUMMYFUNCTION("IF(AND(IF(AS96=""Yes"",True,False),NOT(IFERROR(REGEXMATCH(AV96,ExclusionCategories),FALSE))),""Yes"", ""No"")"),"Yes")</f>
        <v>Yes</v>
      </c>
      <c r="AX96" s="195">
        <f ca="1">IFERROR(__xludf.DUMMYFUNCTION("IF(IFERROR(SEARCH(""Unclear"", Z96)) = 1, VALUE(REGEXEXTRACT(Z96,""\d+"")), Z96)"),51)</f>
        <v>51</v>
      </c>
      <c r="AY96" s="195">
        <v>51</v>
      </c>
      <c r="AZ96" s="195">
        <f ca="1">IFERROR(__xludf.DUMMYFUNCTION("IF(IFERROR(SEARCH(""Unclear"", AG96)) = 1, VALUE(REGEXEXTRACT(AG96,""\d+"")), AG96)"),66)</f>
        <v>66</v>
      </c>
      <c r="BA96" s="195">
        <v>66</v>
      </c>
      <c r="BB96" s="195">
        <f ca="1">IFERROR(__xludf.DUMMYFUNCTION("IF(IFERROR(SEARCH(""Unclear"", AJ96)) = 1, VALUE(REGEXEXTRACT(AJ96,""\d+"")), AJ96)"),1)</f>
        <v>1</v>
      </c>
      <c r="BC96" s="195">
        <v>1</v>
      </c>
      <c r="BD96" s="195" t="b">
        <f t="shared" si="2"/>
        <v>1</v>
      </c>
      <c r="BE96" s="195" t="b">
        <f t="shared" ref="BE96:BF96" si="104">IF(IFERROR(FIND("ND",AI96),0),FALSE,TRUE)</f>
        <v>1</v>
      </c>
      <c r="BF96" s="195" t="b">
        <f t="shared" si="104"/>
        <v>1</v>
      </c>
    </row>
    <row r="97" spans="1:58" ht="34.5" customHeight="1">
      <c r="A97" s="212" t="s">
        <v>1255</v>
      </c>
      <c r="B97" s="195">
        <v>2018</v>
      </c>
      <c r="C97" s="195" t="s">
        <v>339</v>
      </c>
      <c r="D97" s="4" t="s">
        <v>939</v>
      </c>
      <c r="E97" s="222">
        <v>29482720</v>
      </c>
      <c r="F97" s="208" t="str">
        <f t="shared" si="88"/>
        <v>https://pubmed.ncbi.nlm.nih.gov/29482720</v>
      </c>
      <c r="G97" s="197" t="str">
        <f t="shared" si="89"/>
        <v>Reuling 2018</v>
      </c>
      <c r="H97" s="195">
        <v>2017</v>
      </c>
      <c r="I97" s="195" t="s">
        <v>1256</v>
      </c>
      <c r="J97" s="229" t="str">
        <f t="shared" si="103"/>
        <v>https://clinicaltrials.gov/ct2/show/NCT02836002?term=NCT02836002&amp;draw=2&amp;rank=1</v>
      </c>
      <c r="K97" s="195">
        <v>16</v>
      </c>
      <c r="L97" s="4" t="s">
        <v>1257</v>
      </c>
      <c r="M97" s="195">
        <v>4</v>
      </c>
      <c r="N97" s="195">
        <v>12</v>
      </c>
      <c r="O97" s="195" t="s">
        <v>324</v>
      </c>
      <c r="P97" s="195">
        <v>20</v>
      </c>
      <c r="Q97" s="195">
        <v>29</v>
      </c>
      <c r="R97" s="195">
        <v>18</v>
      </c>
      <c r="S97" s="195">
        <v>35</v>
      </c>
      <c r="T97" s="195">
        <v>23.125</v>
      </c>
      <c r="U97" s="195" t="s">
        <v>324</v>
      </c>
      <c r="V97" s="195" t="s">
        <v>1258</v>
      </c>
      <c r="W97" s="199"/>
      <c r="X97" s="195">
        <v>16</v>
      </c>
      <c r="Y97" s="199"/>
      <c r="Z97" s="195">
        <v>16</v>
      </c>
      <c r="AA97" s="199"/>
      <c r="AB97" s="195">
        <v>0</v>
      </c>
      <c r="AC97" s="195" t="s">
        <v>549</v>
      </c>
      <c r="AD97" s="195" t="s">
        <v>322</v>
      </c>
      <c r="AE97" s="195" t="s">
        <v>1259</v>
      </c>
      <c r="AF97" s="199"/>
      <c r="AG97" s="195">
        <v>16</v>
      </c>
      <c r="AH97" s="195" t="s">
        <v>511</v>
      </c>
      <c r="AI97" s="195">
        <v>0</v>
      </c>
      <c r="AJ97" s="195">
        <v>14</v>
      </c>
      <c r="AK97" s="195" t="s">
        <v>434</v>
      </c>
      <c r="AL97" s="195" t="s">
        <v>322</v>
      </c>
      <c r="AM97" s="199"/>
      <c r="AN97" s="195" t="s">
        <v>1260</v>
      </c>
      <c r="AO97" s="195" t="s">
        <v>1261</v>
      </c>
      <c r="AP97" s="195" t="s">
        <v>1262</v>
      </c>
      <c r="AQ97" s="195" t="s">
        <v>1263</v>
      </c>
      <c r="AR97" s="209" t="s">
        <v>517</v>
      </c>
      <c r="AS97" s="195" t="s">
        <v>308</v>
      </c>
      <c r="AT97" s="199"/>
      <c r="AU97" s="202" t="s">
        <v>1264</v>
      </c>
      <c r="AV97" s="195" t="s">
        <v>9</v>
      </c>
      <c r="AW97" s="195" t="str">
        <f ca="1">IFERROR(__xludf.DUMMYFUNCTION("IF(AND(IF(AS97=""Yes"",True,False),NOT(IFERROR(REGEXMATCH(AV97,ExclusionCategories),FALSE))),""Yes"", ""No"")"),"Yes")</f>
        <v>Yes</v>
      </c>
      <c r="AX97" s="195">
        <f ca="1">IFERROR(__xludf.DUMMYFUNCTION("IF(IFERROR(SEARCH(""Unclear"", Z97)) = 1, VALUE(REGEXEXTRACT(Z97,""\d+"")), Z97)"),16)</f>
        <v>16</v>
      </c>
      <c r="AY97" s="195">
        <v>16</v>
      </c>
      <c r="AZ97" s="195">
        <f ca="1">IFERROR(__xludf.DUMMYFUNCTION("IF(IFERROR(SEARCH(""Unclear"", AG97)) = 1, VALUE(REGEXEXTRACT(AG97,""\d+"")), AG97)"),16)</f>
        <v>16</v>
      </c>
      <c r="BA97" s="195">
        <v>16</v>
      </c>
      <c r="BB97" s="195">
        <f ca="1">IFERROR(__xludf.DUMMYFUNCTION("IF(IFERROR(SEARCH(""Unclear"", AJ97)) = 1, VALUE(REGEXEXTRACT(AJ97,""\d+"")), AJ97)"),14)</f>
        <v>14</v>
      </c>
      <c r="BC97" s="195">
        <v>14</v>
      </c>
      <c r="BD97" s="195" t="b">
        <f t="shared" si="2"/>
        <v>1</v>
      </c>
      <c r="BE97" s="195" t="b">
        <f t="shared" ref="BE97:BF97" si="105">IF(IFERROR(FIND("ND",AI97),0),FALSE,TRUE)</f>
        <v>1</v>
      </c>
      <c r="BF97" s="195" t="b">
        <f t="shared" si="105"/>
        <v>1</v>
      </c>
    </row>
    <row r="98" spans="1:58" ht="34.5" customHeight="1">
      <c r="A98" s="212" t="s">
        <v>1265</v>
      </c>
      <c r="B98" s="195">
        <v>2013</v>
      </c>
      <c r="C98" s="195" t="s">
        <v>339</v>
      </c>
      <c r="D98" s="4" t="s">
        <v>1266</v>
      </c>
      <c r="E98" s="222">
        <v>23149582</v>
      </c>
      <c r="F98" s="208" t="str">
        <f t="shared" si="88"/>
        <v>https://pubmed.ncbi.nlm.nih.gov/23149582</v>
      </c>
      <c r="G98" s="197" t="str">
        <f t="shared" si="89"/>
        <v>Roestenberg 2013</v>
      </c>
      <c r="H98" s="195">
        <v>2011</v>
      </c>
      <c r="I98" s="195" t="s">
        <v>1267</v>
      </c>
      <c r="J98" s="229" t="str">
        <f t="shared" si="103"/>
        <v>https://clinicaltrials.gov/ct2/show/NCT01086917?term=NCT01086917&amp;draw=2&amp;rank=1</v>
      </c>
      <c r="K98" s="195">
        <v>18</v>
      </c>
      <c r="L98" s="10"/>
      <c r="M98" s="195" t="s">
        <v>324</v>
      </c>
      <c r="N98" s="195" t="s">
        <v>324</v>
      </c>
      <c r="O98" s="195" t="s">
        <v>324</v>
      </c>
      <c r="P98" s="195" t="s">
        <v>324</v>
      </c>
      <c r="Q98" s="195" t="s">
        <v>324</v>
      </c>
      <c r="R98" s="195">
        <v>18</v>
      </c>
      <c r="S98" s="195">
        <v>35</v>
      </c>
      <c r="T98" s="195" t="s">
        <v>324</v>
      </c>
      <c r="U98" s="195" t="s">
        <v>324</v>
      </c>
      <c r="V98" s="195" t="s">
        <v>1268</v>
      </c>
      <c r="W98" s="199"/>
      <c r="X98" s="195">
        <v>18</v>
      </c>
      <c r="Y98" s="199"/>
      <c r="Z98" s="195">
        <v>15</v>
      </c>
      <c r="AA98" s="199"/>
      <c r="AB98" s="195">
        <v>0</v>
      </c>
      <c r="AC98" s="195" t="s">
        <v>549</v>
      </c>
      <c r="AD98" s="195" t="s">
        <v>322</v>
      </c>
      <c r="AE98" s="195" t="s">
        <v>1269</v>
      </c>
      <c r="AF98" s="199"/>
      <c r="AG98" s="195">
        <v>18</v>
      </c>
      <c r="AH98" s="195" t="s">
        <v>511</v>
      </c>
      <c r="AI98" s="195">
        <v>1</v>
      </c>
      <c r="AJ98" s="195">
        <v>7</v>
      </c>
      <c r="AK98" s="195" t="s">
        <v>1270</v>
      </c>
      <c r="AL98" s="195" t="s">
        <v>322</v>
      </c>
      <c r="AM98" s="199"/>
      <c r="AN98" s="195" t="s">
        <v>1018</v>
      </c>
      <c r="AO98" s="195" t="s">
        <v>1271</v>
      </c>
      <c r="AP98" s="195" t="s">
        <v>1272</v>
      </c>
      <c r="AQ98" s="195" t="s">
        <v>1273</v>
      </c>
      <c r="AR98" s="209" t="s">
        <v>517</v>
      </c>
      <c r="AS98" s="195" t="s">
        <v>308</v>
      </c>
      <c r="AT98" s="199"/>
      <c r="AU98" s="202" t="s">
        <v>1274</v>
      </c>
      <c r="AV98" s="195" t="s">
        <v>9</v>
      </c>
      <c r="AW98" s="195" t="str">
        <f ca="1">IFERROR(__xludf.DUMMYFUNCTION("IF(AND(IF(AS98=""Yes"",True,False),NOT(IFERROR(REGEXMATCH(AV98,ExclusionCategories),FALSE))),""Yes"", ""No"")"),"Yes")</f>
        <v>Yes</v>
      </c>
      <c r="AX98" s="195">
        <f ca="1">IFERROR(__xludf.DUMMYFUNCTION("IF(IFERROR(SEARCH(""Unclear"", Z98)) = 1, VALUE(REGEXEXTRACT(Z98,""\d+"")), Z98)"),15)</f>
        <v>15</v>
      </c>
      <c r="AY98" s="195">
        <v>15</v>
      </c>
      <c r="AZ98" s="195">
        <f ca="1">IFERROR(__xludf.DUMMYFUNCTION("IF(IFERROR(SEARCH(""Unclear"", AG98)) = 1, VALUE(REGEXEXTRACT(AG98,""\d+"")), AG98)"),18)</f>
        <v>18</v>
      </c>
      <c r="BA98" s="195">
        <v>18</v>
      </c>
      <c r="BB98" s="195">
        <f ca="1">IFERROR(__xludf.DUMMYFUNCTION("IF(IFERROR(SEARCH(""Unclear"", AJ98)) = 1, VALUE(REGEXEXTRACT(AJ98,""\d+"")), AJ98)"),7)</f>
        <v>7</v>
      </c>
      <c r="BC98" s="195">
        <v>7</v>
      </c>
      <c r="BD98" s="195" t="b">
        <f t="shared" si="2"/>
        <v>1</v>
      </c>
      <c r="BE98" s="195" t="b">
        <f t="shared" ref="BE98:BF98" si="106">IF(IFERROR(FIND("ND",AI98),0),FALSE,TRUE)</f>
        <v>1</v>
      </c>
      <c r="BF98" s="195" t="b">
        <f t="shared" si="106"/>
        <v>1</v>
      </c>
    </row>
    <row r="99" spans="1:58" ht="34.5" customHeight="1">
      <c r="A99" s="212" t="s">
        <v>1275</v>
      </c>
      <c r="B99" s="195">
        <v>2019</v>
      </c>
      <c r="C99" s="195" t="s">
        <v>619</v>
      </c>
      <c r="D99" s="4" t="s">
        <v>1276</v>
      </c>
      <c r="E99" s="222">
        <v>31665141</v>
      </c>
      <c r="F99" s="208" t="str">
        <f t="shared" si="88"/>
        <v>https://pubmed.ncbi.nlm.nih.gov/31665141</v>
      </c>
      <c r="G99" s="197" t="str">
        <f t="shared" si="89"/>
        <v>Sakkestad 2019a</v>
      </c>
      <c r="H99" s="195">
        <v>2018</v>
      </c>
      <c r="I99" s="195" t="s">
        <v>1277</v>
      </c>
      <c r="J99" s="229" t="str">
        <f t="shared" si="103"/>
        <v>https://clinicaltrials.gov/ct2/show/NCT02870751?term=NCT02870751&amp;draw=2&amp;rank=1</v>
      </c>
      <c r="K99" s="195">
        <v>21</v>
      </c>
      <c r="L99" s="10"/>
      <c r="M99" s="195">
        <v>3</v>
      </c>
      <c r="N99" s="195">
        <v>18</v>
      </c>
      <c r="O99" s="195" t="s">
        <v>324</v>
      </c>
      <c r="P99" s="195">
        <v>19</v>
      </c>
      <c r="Q99" s="195">
        <v>29</v>
      </c>
      <c r="R99" s="195" t="s">
        <v>324</v>
      </c>
      <c r="S99" s="195" t="s">
        <v>324</v>
      </c>
      <c r="T99" s="195" t="s">
        <v>324</v>
      </c>
      <c r="U99" s="195" t="s">
        <v>324</v>
      </c>
      <c r="V99" s="195" t="s">
        <v>1278</v>
      </c>
      <c r="W99" s="199"/>
      <c r="X99" s="195">
        <v>21</v>
      </c>
      <c r="Y99" s="199"/>
      <c r="Z99" s="195">
        <v>10</v>
      </c>
      <c r="AA99" s="199"/>
      <c r="AB99" s="195">
        <v>0</v>
      </c>
      <c r="AC99" s="195" t="s">
        <v>549</v>
      </c>
      <c r="AD99" s="195" t="s">
        <v>322</v>
      </c>
      <c r="AE99" s="195" t="s">
        <v>1279</v>
      </c>
      <c r="AF99" s="199"/>
      <c r="AG99" s="195" t="s">
        <v>394</v>
      </c>
      <c r="AH99" s="195" t="s">
        <v>511</v>
      </c>
      <c r="AI99" s="195">
        <v>0</v>
      </c>
      <c r="AJ99" s="195">
        <v>0</v>
      </c>
      <c r="AK99" s="195" t="s">
        <v>1280</v>
      </c>
      <c r="AL99" s="195" t="s">
        <v>322</v>
      </c>
      <c r="AM99" s="199"/>
      <c r="AN99" s="195" t="s">
        <v>1281</v>
      </c>
      <c r="AO99" s="195" t="s">
        <v>1282</v>
      </c>
      <c r="AP99" s="195" t="s">
        <v>1283</v>
      </c>
      <c r="AQ99" s="195" t="s">
        <v>1284</v>
      </c>
      <c r="AR99" s="209" t="s">
        <v>517</v>
      </c>
      <c r="AS99" s="195" t="s">
        <v>308</v>
      </c>
      <c r="AT99" s="199"/>
      <c r="AU99" s="202" t="s">
        <v>1285</v>
      </c>
      <c r="AV99" s="195" t="s">
        <v>9</v>
      </c>
      <c r="AW99" s="195" t="str">
        <f ca="1">IFERROR(__xludf.DUMMYFUNCTION("IF(AND(IF(AS99=""Yes"",True,False),NOT(IFERROR(REGEXMATCH(AV99,ExclusionCategories),FALSE))),""Yes"", ""No"")"),"Yes")</f>
        <v>Yes</v>
      </c>
      <c r="AX99" s="195">
        <f ca="1">IFERROR(__xludf.DUMMYFUNCTION("IF(IFERROR(SEARCH(""Unclear"", Z99)) = 1, VALUE(REGEXEXTRACT(Z99,""\d+"")), Z99)"),10)</f>
        <v>10</v>
      </c>
      <c r="AY99" s="195">
        <v>10</v>
      </c>
      <c r="AZ99" s="195">
        <f ca="1">IFERROR(__xludf.DUMMYFUNCTION("IF(IFERROR(SEARCH(""Unclear"", AG99)) = 1, VALUE(REGEXEXTRACT(AG99,""\d+"")), AG99)"),0)</f>
        <v>0</v>
      </c>
      <c r="BA99" s="195">
        <v>21</v>
      </c>
      <c r="BB99" s="195">
        <f ca="1">IFERROR(__xludf.DUMMYFUNCTION("IF(IFERROR(SEARCH(""Unclear"", AJ99)) = 1, VALUE(REGEXEXTRACT(AJ99,""\d+"")), AJ99)"),0)</f>
        <v>0</v>
      </c>
      <c r="BC99" s="195">
        <v>0</v>
      </c>
      <c r="BD99" s="195" t="b">
        <f t="shared" si="2"/>
        <v>1</v>
      </c>
      <c r="BE99" s="195" t="b">
        <f t="shared" ref="BE99:BF99" si="107">IF(IFERROR(FIND("ND",AI99),0),FALSE,TRUE)</f>
        <v>1</v>
      </c>
      <c r="BF99" s="195" t="b">
        <f t="shared" si="107"/>
        <v>1</v>
      </c>
    </row>
    <row r="100" spans="1:58" ht="34.5" customHeight="1">
      <c r="A100" s="212" t="s">
        <v>1275</v>
      </c>
      <c r="B100" s="195">
        <v>2019</v>
      </c>
      <c r="C100" s="195" t="s">
        <v>619</v>
      </c>
      <c r="D100" s="4" t="s">
        <v>1286</v>
      </c>
      <c r="E100" s="222">
        <v>31234485</v>
      </c>
      <c r="F100" s="208" t="str">
        <f t="shared" si="88"/>
        <v>https://pubmed.ncbi.nlm.nih.gov/31234485</v>
      </c>
      <c r="G100" s="197" t="str">
        <f t="shared" si="89"/>
        <v>Sakkestad 2019b</v>
      </c>
      <c r="H100" s="195">
        <v>2016</v>
      </c>
      <c r="I100" s="195" t="s">
        <v>1277</v>
      </c>
      <c r="J100" s="229" t="str">
        <f t="shared" si="103"/>
        <v>https://clinicaltrials.gov/ct2/show/NCT02870751?term=NCT02870751&amp;draw=2&amp;rank=1</v>
      </c>
      <c r="K100" s="195">
        <v>9</v>
      </c>
      <c r="L100" s="10"/>
      <c r="M100" s="195">
        <v>1</v>
      </c>
      <c r="N100" s="195">
        <v>8</v>
      </c>
      <c r="O100" s="195" t="s">
        <v>324</v>
      </c>
      <c r="P100" s="195">
        <v>23.8</v>
      </c>
      <c r="Q100" s="195">
        <v>28.5</v>
      </c>
      <c r="R100" s="195">
        <v>18</v>
      </c>
      <c r="S100" s="195">
        <v>40</v>
      </c>
      <c r="T100" s="195">
        <v>25.7</v>
      </c>
      <c r="U100" s="195" t="s">
        <v>324</v>
      </c>
      <c r="V100" s="195" t="s">
        <v>1287</v>
      </c>
      <c r="W100" s="199"/>
      <c r="X100" s="195">
        <v>9</v>
      </c>
      <c r="Y100" s="199"/>
      <c r="Z100" s="195">
        <v>9</v>
      </c>
      <c r="AA100" s="199"/>
      <c r="AB100" s="195">
        <v>0</v>
      </c>
      <c r="AC100" s="195" t="s">
        <v>549</v>
      </c>
      <c r="AD100" s="195" t="s">
        <v>322</v>
      </c>
      <c r="AE100" s="195" t="s">
        <v>1288</v>
      </c>
      <c r="AF100" s="199"/>
      <c r="AG100" s="195" t="s">
        <v>394</v>
      </c>
      <c r="AH100" s="195" t="s">
        <v>316</v>
      </c>
      <c r="AI100" s="195">
        <v>0</v>
      </c>
      <c r="AJ100" s="195" t="s">
        <v>324</v>
      </c>
      <c r="AK100" s="195" t="s">
        <v>1280</v>
      </c>
      <c r="AL100" s="195" t="s">
        <v>322</v>
      </c>
      <c r="AM100" s="199"/>
      <c r="AN100" s="195" t="s">
        <v>1281</v>
      </c>
      <c r="AO100" s="195" t="s">
        <v>1289</v>
      </c>
      <c r="AP100" s="195" t="s">
        <v>1290</v>
      </c>
      <c r="AQ100" s="195" t="s">
        <v>1291</v>
      </c>
      <c r="AR100" s="209" t="s">
        <v>517</v>
      </c>
      <c r="AS100" s="195" t="s">
        <v>308</v>
      </c>
      <c r="AT100" s="199"/>
      <c r="AU100" s="202" t="s">
        <v>1292</v>
      </c>
      <c r="AV100" s="195" t="s">
        <v>9</v>
      </c>
      <c r="AW100" s="195" t="str">
        <f ca="1">IFERROR(__xludf.DUMMYFUNCTION("IF(AND(IF(AS100=""Yes"",True,False),NOT(IFERROR(REGEXMATCH(AV100,ExclusionCategories),FALSE))),""Yes"", ""No"")"),"Yes")</f>
        <v>Yes</v>
      </c>
      <c r="AX100" s="195">
        <f ca="1">IFERROR(__xludf.DUMMYFUNCTION("IF(IFERROR(SEARCH(""Unclear"", Z100)) = 1, VALUE(REGEXEXTRACT(Z100,""\d+"")), Z100)"),9)</f>
        <v>9</v>
      </c>
      <c r="AY100" s="195">
        <v>9</v>
      </c>
      <c r="AZ100" s="195">
        <f ca="1">IFERROR(__xludf.DUMMYFUNCTION("IF(IFERROR(SEARCH(""Unclear"", AG100)) = 1, VALUE(REGEXEXTRACT(AG100,""\d+"")), AG100)"),0)</f>
        <v>0</v>
      </c>
      <c r="BA100" s="195">
        <v>9</v>
      </c>
      <c r="BB100" s="195" t="str">
        <f ca="1">IFERROR(__xludf.DUMMYFUNCTION("IF(IFERROR(SEARCH(""Unclear"", AJ100)) = 1, VALUE(REGEXEXTRACT(AJ100,""\d+"")), AJ100)"),"ND")</f>
        <v>ND</v>
      </c>
      <c r="BC100" s="195" t="s">
        <v>324</v>
      </c>
      <c r="BD100" s="195" t="b">
        <f t="shared" si="2"/>
        <v>1</v>
      </c>
      <c r="BE100" s="195" t="b">
        <f t="shared" ref="BE100:BF100" si="108">IF(IFERROR(FIND("ND",AI100),0),FALSE,TRUE)</f>
        <v>1</v>
      </c>
      <c r="BF100" s="195" t="b">
        <f t="shared" si="108"/>
        <v>0</v>
      </c>
    </row>
    <row r="101" spans="1:58" ht="34.5" customHeight="1">
      <c r="A101" s="212" t="s">
        <v>1293</v>
      </c>
      <c r="B101" s="195">
        <v>2011</v>
      </c>
      <c r="C101" s="195" t="s">
        <v>552</v>
      </c>
      <c r="D101" s="4" t="s">
        <v>1294</v>
      </c>
      <c r="E101" s="222">
        <v>21856841</v>
      </c>
      <c r="F101" s="208" t="str">
        <f t="shared" si="88"/>
        <v>https://pubmed.ncbi.nlm.nih.gov/21856841</v>
      </c>
      <c r="G101" s="197" t="str">
        <f t="shared" si="89"/>
        <v>Seitz 2011</v>
      </c>
      <c r="H101" s="195">
        <v>2011</v>
      </c>
      <c r="I101" s="195" t="s">
        <v>1295</v>
      </c>
      <c r="J101" s="229" t="str">
        <f t="shared" si="103"/>
        <v>https://clinicaltrials.gov/ct2/show/NCT00313404?term=NCT00313404&amp;draw=2&amp;rank=1</v>
      </c>
      <c r="K101" s="195">
        <v>13</v>
      </c>
      <c r="L101" s="10"/>
      <c r="M101" s="195">
        <v>6</v>
      </c>
      <c r="N101" s="195">
        <v>7</v>
      </c>
      <c r="O101" s="195" t="s">
        <v>324</v>
      </c>
      <c r="P101" s="195" t="s">
        <v>324</v>
      </c>
      <c r="Q101" s="195" t="s">
        <v>324</v>
      </c>
      <c r="R101" s="195">
        <v>18</v>
      </c>
      <c r="S101" s="195">
        <v>50</v>
      </c>
      <c r="T101" s="195" t="s">
        <v>324</v>
      </c>
      <c r="U101" s="195" t="s">
        <v>324</v>
      </c>
      <c r="V101" s="195" t="s">
        <v>1296</v>
      </c>
      <c r="W101" s="199"/>
      <c r="X101" s="195">
        <v>13</v>
      </c>
      <c r="Y101" s="199"/>
      <c r="Z101" s="195">
        <v>10</v>
      </c>
      <c r="AA101" s="199"/>
      <c r="AB101" s="195">
        <v>0</v>
      </c>
      <c r="AC101" s="195" t="s">
        <v>549</v>
      </c>
      <c r="AD101" s="195" t="s">
        <v>322</v>
      </c>
      <c r="AE101" s="195" t="s">
        <v>332</v>
      </c>
      <c r="AF101" s="199"/>
      <c r="AG101" s="195" t="s">
        <v>324</v>
      </c>
      <c r="AH101" s="195" t="s">
        <v>527</v>
      </c>
      <c r="AI101" s="195" t="s">
        <v>324</v>
      </c>
      <c r="AJ101" s="195" t="s">
        <v>324</v>
      </c>
      <c r="AK101" s="195" t="s">
        <v>1297</v>
      </c>
      <c r="AL101" s="195" t="s">
        <v>322</v>
      </c>
      <c r="AM101" s="199"/>
      <c r="AN101" s="195" t="s">
        <v>513</v>
      </c>
      <c r="AO101" s="195" t="s">
        <v>1298</v>
      </c>
      <c r="AP101" s="195" t="s">
        <v>1299</v>
      </c>
      <c r="AQ101" s="195" t="s">
        <v>1300</v>
      </c>
      <c r="AR101" s="209" t="s">
        <v>517</v>
      </c>
      <c r="AS101" s="195" t="s">
        <v>308</v>
      </c>
      <c r="AT101" s="199"/>
      <c r="AU101" s="202" t="s">
        <v>1301</v>
      </c>
      <c r="AV101" s="195" t="s">
        <v>9</v>
      </c>
      <c r="AW101" s="195" t="str">
        <f ca="1">IFERROR(__xludf.DUMMYFUNCTION("IF(AND(IF(AS101=""Yes"",True,False),NOT(IFERROR(REGEXMATCH(AV101,ExclusionCategories),FALSE))),""Yes"", ""No"")"),"Yes")</f>
        <v>Yes</v>
      </c>
      <c r="AX101" s="195">
        <f ca="1">IFERROR(__xludf.DUMMYFUNCTION("IF(IFERROR(SEARCH(""Unclear"", Z101)) = 1, VALUE(REGEXEXTRACT(Z101,""\d+"")), Z101)"),10)</f>
        <v>10</v>
      </c>
      <c r="AY101" s="195">
        <v>10</v>
      </c>
      <c r="AZ101" s="195" t="str">
        <f ca="1">IFERROR(__xludf.DUMMYFUNCTION("IF(IFERROR(SEARCH(""Unclear"", AG101)) = 1, VALUE(REGEXEXTRACT(AG101,""\d+"")), AG101)"),"ND")</f>
        <v>ND</v>
      </c>
      <c r="BA101" s="195" t="s">
        <v>324</v>
      </c>
      <c r="BB101" s="195" t="str">
        <f ca="1">IFERROR(__xludf.DUMMYFUNCTION("IF(IFERROR(SEARCH(""Unclear"", AJ101)) = 1, VALUE(REGEXEXTRACT(AJ101,""\d+"")), AJ101)"),"ND")</f>
        <v>ND</v>
      </c>
      <c r="BC101" s="195" t="s">
        <v>324</v>
      </c>
      <c r="BD101" s="195" t="b">
        <f t="shared" si="2"/>
        <v>0</v>
      </c>
      <c r="BE101" s="195" t="b">
        <f t="shared" ref="BE101:BF101" si="109">IF(IFERROR(FIND("ND",AI101),0),FALSE,TRUE)</f>
        <v>0</v>
      </c>
      <c r="BF101" s="195" t="b">
        <f t="shared" si="109"/>
        <v>0</v>
      </c>
    </row>
    <row r="102" spans="1:58" ht="34.5" customHeight="1">
      <c r="A102" s="212" t="s">
        <v>1302</v>
      </c>
      <c r="B102" s="195">
        <v>2013</v>
      </c>
      <c r="C102" s="195" t="s">
        <v>339</v>
      </c>
      <c r="D102" s="4" t="s">
        <v>802</v>
      </c>
      <c r="E102" s="222">
        <v>23823332</v>
      </c>
      <c r="F102" s="208" t="str">
        <f t="shared" si="88"/>
        <v>https://pubmed.ncbi.nlm.nih.gov/23823332</v>
      </c>
      <c r="G102" s="197" t="str">
        <f t="shared" si="89"/>
        <v>Sheehy 2013</v>
      </c>
      <c r="H102" s="195">
        <v>2011</v>
      </c>
      <c r="I102" s="195" t="s">
        <v>1303</v>
      </c>
      <c r="J102" s="229" t="str">
        <f t="shared" si="103"/>
        <v>https://clinicaltrials.gov/ct2/show/NCT01465048?term=NCT01465048&amp;draw=2&amp;rank=1</v>
      </c>
      <c r="K102" s="195">
        <v>18</v>
      </c>
      <c r="L102" s="10"/>
      <c r="M102" s="195">
        <v>10</v>
      </c>
      <c r="N102" s="195">
        <v>8</v>
      </c>
      <c r="O102" s="195" t="s">
        <v>1304</v>
      </c>
      <c r="P102" s="195">
        <v>18</v>
      </c>
      <c r="Q102" s="195">
        <v>37</v>
      </c>
      <c r="R102" s="195">
        <v>18</v>
      </c>
      <c r="S102" s="195">
        <v>45</v>
      </c>
      <c r="T102" s="195" t="s">
        <v>1305</v>
      </c>
      <c r="U102" s="195" t="s">
        <v>1306</v>
      </c>
      <c r="V102" s="195" t="s">
        <v>1307</v>
      </c>
      <c r="W102" s="199"/>
      <c r="X102" s="195">
        <v>18</v>
      </c>
      <c r="Y102" s="199"/>
      <c r="Z102" s="195">
        <v>14</v>
      </c>
      <c r="AA102" s="199"/>
      <c r="AB102" s="195">
        <v>0</v>
      </c>
      <c r="AC102" s="195" t="s">
        <v>549</v>
      </c>
      <c r="AD102" s="195" t="s">
        <v>322</v>
      </c>
      <c r="AE102" s="195" t="s">
        <v>332</v>
      </c>
      <c r="AF102" s="195" t="s">
        <v>1308</v>
      </c>
      <c r="AG102" s="195" t="s">
        <v>1309</v>
      </c>
      <c r="AH102" s="195" t="s">
        <v>511</v>
      </c>
      <c r="AI102" s="195">
        <v>0</v>
      </c>
      <c r="AJ102" s="195">
        <v>9</v>
      </c>
      <c r="AK102" s="195"/>
      <c r="AL102" s="195" t="s">
        <v>322</v>
      </c>
      <c r="AM102" s="199"/>
      <c r="AN102" s="195" t="s">
        <v>1018</v>
      </c>
      <c r="AO102" s="195" t="s">
        <v>1310</v>
      </c>
      <c r="AP102" s="195" t="s">
        <v>1311</v>
      </c>
      <c r="AQ102" s="195" t="s">
        <v>1312</v>
      </c>
      <c r="AR102" s="209" t="s">
        <v>517</v>
      </c>
      <c r="AS102" s="195" t="s">
        <v>308</v>
      </c>
      <c r="AT102" s="199"/>
      <c r="AU102" s="202" t="s">
        <v>1313</v>
      </c>
      <c r="AV102" s="195" t="s">
        <v>9</v>
      </c>
      <c r="AW102" s="195" t="str">
        <f ca="1">IFERROR(__xludf.DUMMYFUNCTION("IF(AND(IF(AS102=""Yes"",True,False),NOT(IFERROR(REGEXMATCH(AV102,ExclusionCategories),FALSE))),""Yes"", ""No"")"),"Yes")</f>
        <v>Yes</v>
      </c>
      <c r="AX102" s="195">
        <f ca="1">IFERROR(__xludf.DUMMYFUNCTION("IF(IFERROR(SEARCH(""Unclear"", Z102)) = 1, VALUE(REGEXEXTRACT(Z102,""\d+"")), Z102)"),14)</f>
        <v>14</v>
      </c>
      <c r="AY102" s="195">
        <v>14</v>
      </c>
      <c r="AZ102" s="195">
        <f ca="1">IFERROR(__xludf.DUMMYFUNCTION("IF(IFERROR(SEARCH(""Unclear"", AG102)) = 1, VALUE(REGEXEXTRACT(AG102,""\d+"")), AG102)"),9)</f>
        <v>9</v>
      </c>
      <c r="BA102" s="195">
        <v>18</v>
      </c>
      <c r="BB102" s="195">
        <f ca="1">IFERROR(__xludf.DUMMYFUNCTION("IF(IFERROR(SEARCH(""Unclear"", AJ102)) = 1, VALUE(REGEXEXTRACT(AJ102,""\d+"")), AJ102)"),9)</f>
        <v>9</v>
      </c>
      <c r="BC102" s="195">
        <v>9</v>
      </c>
      <c r="BD102" s="195" t="b">
        <f t="shared" si="2"/>
        <v>1</v>
      </c>
      <c r="BE102" s="195" t="b">
        <f t="shared" ref="BE102:BF102" si="110">IF(IFERROR(FIND("ND",AI102),0),FALSE,TRUE)</f>
        <v>1</v>
      </c>
      <c r="BF102" s="195" t="b">
        <f t="shared" si="110"/>
        <v>1</v>
      </c>
    </row>
    <row r="103" spans="1:58" ht="34.5" customHeight="1">
      <c r="A103" s="212" t="s">
        <v>1314</v>
      </c>
      <c r="B103" s="213">
        <v>2019</v>
      </c>
      <c r="C103" s="195" t="s">
        <v>441</v>
      </c>
      <c r="D103" s="4" t="s">
        <v>1315</v>
      </c>
      <c r="E103" s="222">
        <v>31687927</v>
      </c>
      <c r="F103" s="230" t="str">
        <f t="shared" si="88"/>
        <v>https://pubmed.ncbi.nlm.nih.gov/31687927</v>
      </c>
      <c r="G103" s="231" t="str">
        <f t="shared" si="89"/>
        <v>Sinha 2019</v>
      </c>
      <c r="H103" s="217">
        <v>2019</v>
      </c>
      <c r="I103" s="195" t="s">
        <v>1316</v>
      </c>
      <c r="J103" s="195"/>
      <c r="K103" s="195">
        <v>24</v>
      </c>
      <c r="L103" s="10"/>
      <c r="M103" s="195" t="s">
        <v>324</v>
      </c>
      <c r="N103" s="195" t="s">
        <v>324</v>
      </c>
      <c r="O103" s="195" t="s">
        <v>324</v>
      </c>
      <c r="P103" s="195" t="s">
        <v>324</v>
      </c>
      <c r="Q103" s="195" t="s">
        <v>324</v>
      </c>
      <c r="R103" s="195">
        <v>18</v>
      </c>
      <c r="S103" s="195">
        <v>30</v>
      </c>
      <c r="T103" s="195" t="s">
        <v>364</v>
      </c>
      <c r="U103" s="195" t="s">
        <v>365</v>
      </c>
      <c r="V103" s="195" t="s">
        <v>1317</v>
      </c>
      <c r="W103" s="195" t="s">
        <v>1318</v>
      </c>
      <c r="X103" s="195">
        <v>24</v>
      </c>
      <c r="Y103" s="199"/>
      <c r="Z103" s="195">
        <v>24</v>
      </c>
      <c r="AA103" s="199"/>
      <c r="AB103" s="195">
        <v>0</v>
      </c>
      <c r="AC103" s="195" t="s">
        <v>549</v>
      </c>
      <c r="AD103" s="195" t="s">
        <v>322</v>
      </c>
      <c r="AE103" s="195" t="s">
        <v>332</v>
      </c>
      <c r="AF103" s="195"/>
      <c r="AG103" s="195" t="s">
        <v>324</v>
      </c>
      <c r="AH103" s="195" t="s">
        <v>316</v>
      </c>
      <c r="AI103" s="195" t="s">
        <v>324</v>
      </c>
      <c r="AJ103" s="195" t="s">
        <v>324</v>
      </c>
      <c r="AK103" s="195"/>
      <c r="AL103" s="195" t="s">
        <v>322</v>
      </c>
      <c r="AM103" s="199"/>
      <c r="AN103" s="195" t="s">
        <v>332</v>
      </c>
      <c r="AO103" s="195" t="s">
        <v>1319</v>
      </c>
      <c r="AP103" s="195" t="s">
        <v>1320</v>
      </c>
      <c r="AQ103" s="195" t="s">
        <v>1321</v>
      </c>
      <c r="AR103" s="209" t="s">
        <v>517</v>
      </c>
      <c r="AS103" s="195" t="s">
        <v>308</v>
      </c>
      <c r="AT103" s="199"/>
      <c r="AU103" s="202" t="s">
        <v>1322</v>
      </c>
      <c r="AV103" s="195" t="s">
        <v>9</v>
      </c>
      <c r="AW103" s="195" t="str">
        <f ca="1">IFERROR(__xludf.DUMMYFUNCTION("IF(AND(IF(AS103=""Yes"",True,False),NOT(IFERROR(REGEXMATCH(AV103,ExclusionCategories),FALSE))),""Yes"", ""No"")"),"Yes")</f>
        <v>Yes</v>
      </c>
      <c r="AX103" s="195">
        <f ca="1">IFERROR(__xludf.DUMMYFUNCTION("IF(IFERROR(SEARCH(""Unclear"", Z103)) = 1, VALUE(REGEXEXTRACT(Z103,""\d+"")), Z103)"),24)</f>
        <v>24</v>
      </c>
      <c r="AY103" s="195">
        <v>24</v>
      </c>
      <c r="AZ103" s="195" t="str">
        <f ca="1">IFERROR(__xludf.DUMMYFUNCTION("IF(IFERROR(SEARCH(""Unclear"", AG103)) = 1, VALUE(REGEXEXTRACT(AG103,""\d+"")), AG103)"),"ND")</f>
        <v>ND</v>
      </c>
      <c r="BA103" s="195" t="s">
        <v>324</v>
      </c>
      <c r="BB103" s="195" t="str">
        <f ca="1">IFERROR(__xludf.DUMMYFUNCTION("IF(IFERROR(SEARCH(""Unclear"", AJ103)) = 1, VALUE(REGEXEXTRACT(AJ103,""\d+"")), AJ103)"),"ND")</f>
        <v>ND</v>
      </c>
      <c r="BC103" s="195" t="s">
        <v>324</v>
      </c>
      <c r="BD103" s="195" t="b">
        <f t="shared" si="2"/>
        <v>0</v>
      </c>
      <c r="BE103" s="195" t="b">
        <f t="shared" ref="BE103:BF103" si="111">IF(IFERROR(FIND("ND",AI103),0),FALSE,TRUE)</f>
        <v>0</v>
      </c>
      <c r="BF103" s="195" t="b">
        <f t="shared" si="111"/>
        <v>0</v>
      </c>
    </row>
    <row r="104" spans="1:58" ht="34.5" customHeight="1">
      <c r="A104" s="212" t="s">
        <v>1323</v>
      </c>
      <c r="B104" s="195">
        <v>2014</v>
      </c>
      <c r="C104" s="195" t="s">
        <v>619</v>
      </c>
      <c r="D104" s="4" t="s">
        <v>1324</v>
      </c>
      <c r="E104" s="222">
        <v>25190096</v>
      </c>
      <c r="F104" s="208" t="str">
        <f t="shared" si="88"/>
        <v>https://pubmed.ncbi.nlm.nih.gov/25190096</v>
      </c>
      <c r="G104" s="197" t="str">
        <f t="shared" si="89"/>
        <v>Skrede 2014</v>
      </c>
      <c r="H104" s="195">
        <v>2013</v>
      </c>
      <c r="I104" s="195" t="s">
        <v>1325</v>
      </c>
      <c r="J104" s="195"/>
      <c r="K104" s="195">
        <v>30</v>
      </c>
      <c r="L104" s="10"/>
      <c r="M104" s="195">
        <v>9</v>
      </c>
      <c r="N104" s="195">
        <v>21</v>
      </c>
      <c r="O104" s="195" t="s">
        <v>324</v>
      </c>
      <c r="P104" s="195">
        <v>19.8</v>
      </c>
      <c r="Q104" s="195">
        <v>27.4</v>
      </c>
      <c r="R104" s="195">
        <v>18</v>
      </c>
      <c r="S104" s="195">
        <v>40</v>
      </c>
      <c r="T104" s="195">
        <v>22.8</v>
      </c>
      <c r="U104" s="195" t="s">
        <v>324</v>
      </c>
      <c r="V104" s="195" t="s">
        <v>1278</v>
      </c>
      <c r="W104" s="199"/>
      <c r="X104" s="195">
        <v>30</v>
      </c>
      <c r="Y104" s="199"/>
      <c r="Z104" s="195">
        <v>23</v>
      </c>
      <c r="AA104" s="199"/>
      <c r="AB104" s="195">
        <v>0</v>
      </c>
      <c r="AC104" s="195" t="s">
        <v>549</v>
      </c>
      <c r="AD104" s="195" t="s">
        <v>322</v>
      </c>
      <c r="AE104" s="195" t="s">
        <v>332</v>
      </c>
      <c r="AF104" s="199"/>
      <c r="AG104" s="195" t="s">
        <v>324</v>
      </c>
      <c r="AH104" s="195" t="s">
        <v>316</v>
      </c>
      <c r="AI104" s="195" t="s">
        <v>324</v>
      </c>
      <c r="AJ104" s="195">
        <v>0</v>
      </c>
      <c r="AK104" s="195" t="s">
        <v>1326</v>
      </c>
      <c r="AL104" s="195" t="s">
        <v>322</v>
      </c>
      <c r="AM104" s="199"/>
      <c r="AN104" s="195" t="s">
        <v>1281</v>
      </c>
      <c r="AO104" s="195" t="s">
        <v>1327</v>
      </c>
      <c r="AP104" s="195" t="s">
        <v>1328</v>
      </c>
      <c r="AQ104" s="195" t="s">
        <v>1329</v>
      </c>
      <c r="AR104" s="209" t="s">
        <v>517</v>
      </c>
      <c r="AS104" s="195" t="s">
        <v>308</v>
      </c>
      <c r="AT104" s="199"/>
      <c r="AU104" s="202" t="s">
        <v>1330</v>
      </c>
      <c r="AV104" s="195" t="s">
        <v>9</v>
      </c>
      <c r="AW104" s="195" t="str">
        <f ca="1">IFERROR(__xludf.DUMMYFUNCTION("IF(AND(IF(AS104=""Yes"",True,False),NOT(IFERROR(REGEXMATCH(AV104,ExclusionCategories),FALSE))),""Yes"", ""No"")"),"Yes")</f>
        <v>Yes</v>
      </c>
      <c r="AX104" s="195">
        <f ca="1">IFERROR(__xludf.DUMMYFUNCTION("IF(IFERROR(SEARCH(""Unclear"", Z104)) = 1, VALUE(REGEXEXTRACT(Z104,""\d+"")), Z104)"),23)</f>
        <v>23</v>
      </c>
      <c r="AY104" s="195">
        <v>23</v>
      </c>
      <c r="AZ104" s="195" t="str">
        <f ca="1">IFERROR(__xludf.DUMMYFUNCTION("IF(IFERROR(SEARCH(""Unclear"", AG104)) = 1, VALUE(REGEXEXTRACT(AG104,""\d+"")), AG104)"),"ND")</f>
        <v>ND</v>
      </c>
      <c r="BA104" s="195" t="s">
        <v>324</v>
      </c>
      <c r="BB104" s="195">
        <f ca="1">IFERROR(__xludf.DUMMYFUNCTION("IF(IFERROR(SEARCH(""Unclear"", AJ104)) = 1, VALUE(REGEXEXTRACT(AJ104,""\d+"")), AJ104)"),0)</f>
        <v>0</v>
      </c>
      <c r="BC104" s="195">
        <v>0</v>
      </c>
      <c r="BD104" s="195" t="b">
        <f t="shared" si="2"/>
        <v>0</v>
      </c>
      <c r="BE104" s="195" t="b">
        <f t="shared" ref="BE104:BF104" si="112">IF(IFERROR(FIND("ND",AI104),0),FALSE,TRUE)</f>
        <v>0</v>
      </c>
      <c r="BF104" s="195" t="b">
        <f t="shared" si="112"/>
        <v>1</v>
      </c>
    </row>
    <row r="105" spans="1:58" ht="34.5" customHeight="1">
      <c r="A105" s="212" t="s">
        <v>1331</v>
      </c>
      <c r="B105" s="195">
        <v>2020</v>
      </c>
      <c r="C105" s="195" t="s">
        <v>619</v>
      </c>
      <c r="D105" s="4" t="s">
        <v>1332</v>
      </c>
      <c r="E105" s="222">
        <v>33264302</v>
      </c>
      <c r="F105" s="208" t="str">
        <f t="shared" si="88"/>
        <v>https://pubmed.ncbi.nlm.nih.gov/33264302</v>
      </c>
      <c r="G105" s="197" t="str">
        <f t="shared" si="89"/>
        <v>Talaat 2020a</v>
      </c>
      <c r="H105" s="195">
        <v>2016</v>
      </c>
      <c r="I105" s="195" t="s">
        <v>1333</v>
      </c>
      <c r="J105" s="229" t="str">
        <f t="shared" ref="J105:J111" si="113">"https://clinicaltrials.gov/ct2/show/"&amp;I105&amp;"?term="&amp;I105&amp;"&amp;draw=2&amp;rank=1"</f>
        <v>https://clinicaltrials.gov/ct2/show/NCT02773446?term=NCT02773446&amp;draw=2&amp;rank=1</v>
      </c>
      <c r="K105" s="195">
        <v>47</v>
      </c>
      <c r="L105" s="4" t="s">
        <v>788</v>
      </c>
      <c r="M105" s="195">
        <v>34</v>
      </c>
      <c r="N105" s="195">
        <v>13</v>
      </c>
      <c r="O105" s="195">
        <v>35</v>
      </c>
      <c r="P105" s="195" t="s">
        <v>1334</v>
      </c>
      <c r="Q105" s="195" t="s">
        <v>1335</v>
      </c>
      <c r="R105" s="195">
        <v>18</v>
      </c>
      <c r="S105" s="195">
        <v>50</v>
      </c>
      <c r="T105" s="195" t="s">
        <v>324</v>
      </c>
      <c r="U105" s="195" t="s">
        <v>324</v>
      </c>
      <c r="V105" s="195" t="s">
        <v>1336</v>
      </c>
      <c r="W105" s="199"/>
      <c r="X105" s="195">
        <v>47</v>
      </c>
      <c r="Y105" s="195" t="s">
        <v>1337</v>
      </c>
      <c r="Z105" s="195">
        <v>27</v>
      </c>
      <c r="AA105" s="195" t="s">
        <v>1338</v>
      </c>
      <c r="AB105" s="195">
        <v>0</v>
      </c>
      <c r="AC105" s="195" t="s">
        <v>549</v>
      </c>
      <c r="AD105" s="195" t="s">
        <v>322</v>
      </c>
      <c r="AE105" s="195" t="s">
        <v>1339</v>
      </c>
      <c r="AF105" s="199"/>
      <c r="AG105" s="195" t="s">
        <v>1340</v>
      </c>
      <c r="AH105" s="195" t="s">
        <v>316</v>
      </c>
      <c r="AI105" s="195">
        <v>0</v>
      </c>
      <c r="AJ105" s="195" t="s">
        <v>324</v>
      </c>
      <c r="AK105" s="195" t="s">
        <v>1341</v>
      </c>
      <c r="AL105" s="195" t="s">
        <v>322</v>
      </c>
      <c r="AM105" s="199"/>
      <c r="AN105" s="195" t="s">
        <v>1281</v>
      </c>
      <c r="AO105" s="195" t="s">
        <v>1342</v>
      </c>
      <c r="AP105" s="200" t="s">
        <v>1343</v>
      </c>
      <c r="AQ105" s="195" t="s">
        <v>1344</v>
      </c>
      <c r="AR105" s="209" t="s">
        <v>517</v>
      </c>
      <c r="AS105" s="195" t="s">
        <v>308</v>
      </c>
      <c r="AT105" s="199"/>
      <c r="AU105" s="202" t="s">
        <v>1345</v>
      </c>
      <c r="AV105" s="195" t="s">
        <v>9</v>
      </c>
      <c r="AW105" s="195" t="str">
        <f ca="1">IFERROR(__xludf.DUMMYFUNCTION("IF(AND(IF(AS105=""Yes"",True,False),NOT(IFERROR(REGEXMATCH(AV105,ExclusionCategories),FALSE))),""Yes"", ""No"")"),"Yes")</f>
        <v>Yes</v>
      </c>
      <c r="AX105" s="195">
        <f ca="1">IFERROR(__xludf.DUMMYFUNCTION("IF(IFERROR(SEARCH(""Unclear"", Z105)) = 1, VALUE(REGEXEXTRACT(Z105,""\d+"")), Z105)"),27)</f>
        <v>27</v>
      </c>
      <c r="AY105" s="195">
        <v>27</v>
      </c>
      <c r="AZ105" s="195">
        <f ca="1">IFERROR(__xludf.DUMMYFUNCTION("IF(IFERROR(SEARCH(""Unclear"", AG105)) = 1, VALUE(REGEXEXTRACT(AG105,""\d+"")), AG105)"),38)</f>
        <v>38</v>
      </c>
      <c r="BA105" s="195">
        <v>47</v>
      </c>
      <c r="BB105" s="195" t="str">
        <f ca="1">IFERROR(__xludf.DUMMYFUNCTION("IF(IFERROR(SEARCH(""Unclear"", AJ105)) = 1, VALUE(REGEXEXTRACT(AJ105,""\d+"")), AJ105)"),"ND")</f>
        <v>ND</v>
      </c>
      <c r="BC105" s="195" t="s">
        <v>324</v>
      </c>
      <c r="BD105" s="195" t="b">
        <f t="shared" si="2"/>
        <v>1</v>
      </c>
      <c r="BE105" s="195" t="b">
        <f t="shared" ref="BE105:BF105" si="114">IF(IFERROR(FIND("ND",AI105),0),FALSE,TRUE)</f>
        <v>1</v>
      </c>
      <c r="BF105" s="195" t="b">
        <f t="shared" si="114"/>
        <v>0</v>
      </c>
    </row>
    <row r="106" spans="1:58" ht="34.5" customHeight="1">
      <c r="A106" s="212" t="s">
        <v>1331</v>
      </c>
      <c r="B106" s="195">
        <v>2020</v>
      </c>
      <c r="C106" s="195" t="s">
        <v>619</v>
      </c>
      <c r="D106" s="4" t="s">
        <v>1332</v>
      </c>
      <c r="E106" s="222">
        <v>33264302</v>
      </c>
      <c r="F106" s="208" t="str">
        <f t="shared" si="88"/>
        <v>https://pubmed.ncbi.nlm.nih.gov/33264302</v>
      </c>
      <c r="G106" s="197" t="str">
        <f t="shared" si="89"/>
        <v>Talaat 2020a</v>
      </c>
      <c r="H106" s="195">
        <v>2016</v>
      </c>
      <c r="I106" s="195" t="s">
        <v>1333</v>
      </c>
      <c r="J106" s="229" t="str">
        <f t="shared" si="113"/>
        <v>https://clinicaltrials.gov/ct2/show/NCT02773446?term=NCT02773446&amp;draw=2&amp;rank=1</v>
      </c>
      <c r="K106" s="195">
        <v>11</v>
      </c>
      <c r="L106" s="4" t="s">
        <v>882</v>
      </c>
      <c r="M106" s="195">
        <v>8</v>
      </c>
      <c r="N106" s="195">
        <v>3</v>
      </c>
      <c r="O106" s="195">
        <v>39</v>
      </c>
      <c r="P106" s="195" t="s">
        <v>1346</v>
      </c>
      <c r="Q106" s="195" t="s">
        <v>1347</v>
      </c>
      <c r="R106" s="195">
        <v>18</v>
      </c>
      <c r="S106" s="195">
        <v>50</v>
      </c>
      <c r="T106" s="195" t="s">
        <v>324</v>
      </c>
      <c r="U106" s="195" t="s">
        <v>324</v>
      </c>
      <c r="V106" s="195" t="s">
        <v>1336</v>
      </c>
      <c r="W106" s="199"/>
      <c r="X106" s="195">
        <v>11</v>
      </c>
      <c r="Y106" s="199"/>
      <c r="Z106" s="195">
        <v>5</v>
      </c>
      <c r="AA106" s="195"/>
      <c r="AB106" s="195">
        <v>0</v>
      </c>
      <c r="AC106" s="195" t="s">
        <v>549</v>
      </c>
      <c r="AD106" s="195" t="s">
        <v>322</v>
      </c>
      <c r="AE106" s="195" t="s">
        <v>1339</v>
      </c>
      <c r="AF106" s="199"/>
      <c r="AG106" s="195" t="s">
        <v>883</v>
      </c>
      <c r="AH106" s="195" t="s">
        <v>316</v>
      </c>
      <c r="AI106" s="195">
        <v>0</v>
      </c>
      <c r="AJ106" s="195" t="s">
        <v>324</v>
      </c>
      <c r="AK106" s="195" t="s">
        <v>1341</v>
      </c>
      <c r="AL106" s="195" t="s">
        <v>322</v>
      </c>
      <c r="AM106" s="199"/>
      <c r="AN106" s="195" t="s">
        <v>1281</v>
      </c>
      <c r="AO106" s="195" t="s">
        <v>1342</v>
      </c>
      <c r="AP106" s="200" t="s">
        <v>1348</v>
      </c>
      <c r="AQ106" s="195" t="s">
        <v>1344</v>
      </c>
      <c r="AR106" s="209" t="s">
        <v>517</v>
      </c>
      <c r="AS106" s="195" t="s">
        <v>308</v>
      </c>
      <c r="AT106" s="199"/>
      <c r="AU106" s="202" t="s">
        <v>1345</v>
      </c>
      <c r="AV106" s="195" t="s">
        <v>15</v>
      </c>
      <c r="AW106" s="195" t="str">
        <f ca="1">IFERROR(__xludf.DUMMYFUNCTION("IF(AND(IF(AS106=""Yes"",True,False),NOT(IFERROR(REGEXMATCH(AV106,ExclusionCategories),FALSE))),""Yes"", ""No"")"),"No")</f>
        <v>No</v>
      </c>
      <c r="AX106" s="195">
        <f ca="1">IFERROR(__xludf.DUMMYFUNCTION("IF(IFERROR(SEARCH(""Unclear"", Z106)) = 1, VALUE(REGEXEXTRACT(Z106,""\d+"")), Z106)"),5)</f>
        <v>5</v>
      </c>
      <c r="AY106" s="195">
        <v>5</v>
      </c>
      <c r="AZ106" s="195">
        <f ca="1">IFERROR(__xludf.DUMMYFUNCTION("IF(IFERROR(SEARCH(""Unclear"", AG106)) = 1, VALUE(REGEXEXTRACT(AG106,""\d+"")), AG106)"),7)</f>
        <v>7</v>
      </c>
      <c r="BA106" s="195">
        <v>11</v>
      </c>
      <c r="BB106" s="195" t="str">
        <f ca="1">IFERROR(__xludf.DUMMYFUNCTION("IF(IFERROR(SEARCH(""Unclear"", AJ106)) = 1, VALUE(REGEXEXTRACT(AJ106,""\d+"")), AJ106)"),"ND")</f>
        <v>ND</v>
      </c>
      <c r="BC106" s="195" t="s">
        <v>324</v>
      </c>
      <c r="BD106" s="195" t="b">
        <f t="shared" si="2"/>
        <v>1</v>
      </c>
      <c r="BE106" s="195" t="b">
        <f t="shared" ref="BE106:BF106" si="115">IF(IFERROR(FIND("ND",AI106),0),FALSE,TRUE)</f>
        <v>1</v>
      </c>
      <c r="BF106" s="195" t="b">
        <f t="shared" si="115"/>
        <v>0</v>
      </c>
    </row>
    <row r="107" spans="1:58" ht="34.5" customHeight="1">
      <c r="A107" s="212" t="s">
        <v>1331</v>
      </c>
      <c r="B107" s="195">
        <v>2020</v>
      </c>
      <c r="C107" s="195" t="s">
        <v>619</v>
      </c>
      <c r="D107" s="4" t="s">
        <v>1349</v>
      </c>
      <c r="E107" s="222">
        <v>32167011</v>
      </c>
      <c r="F107" s="208" t="str">
        <f t="shared" si="88"/>
        <v>https://pubmed.ncbi.nlm.nih.gov/32167011</v>
      </c>
      <c r="G107" s="197" t="str">
        <f t="shared" si="89"/>
        <v>Talaat 2020b</v>
      </c>
      <c r="H107" s="195">
        <v>2017</v>
      </c>
      <c r="I107" s="195" t="s">
        <v>1350</v>
      </c>
      <c r="J107" s="229" t="str">
        <f t="shared" si="113"/>
        <v>https://clinicaltrials.gov/ct2/show/NCT03040687?term=NCT03040687&amp;draw=2&amp;rank=1</v>
      </c>
      <c r="K107" s="195">
        <v>59</v>
      </c>
      <c r="L107" s="10"/>
      <c r="M107" s="195">
        <v>38</v>
      </c>
      <c r="N107" s="195">
        <v>21</v>
      </c>
      <c r="O107" s="195" t="s">
        <v>324</v>
      </c>
      <c r="P107" s="195" t="s">
        <v>324</v>
      </c>
      <c r="Q107" s="195" t="s">
        <v>324</v>
      </c>
      <c r="R107" s="195">
        <v>18</v>
      </c>
      <c r="S107" s="195">
        <v>50</v>
      </c>
      <c r="T107" s="195" t="s">
        <v>1305</v>
      </c>
      <c r="U107" s="195" t="s">
        <v>1306</v>
      </c>
      <c r="V107" s="195" t="s">
        <v>1351</v>
      </c>
      <c r="W107" s="199"/>
      <c r="X107" s="195">
        <v>59</v>
      </c>
      <c r="Y107" s="199"/>
      <c r="Z107" s="195">
        <v>33</v>
      </c>
      <c r="AA107" s="195" t="s">
        <v>1352</v>
      </c>
      <c r="AB107" s="195">
        <v>0</v>
      </c>
      <c r="AC107" s="195" t="s">
        <v>549</v>
      </c>
      <c r="AD107" s="195" t="s">
        <v>322</v>
      </c>
      <c r="AE107" s="195" t="s">
        <v>1353</v>
      </c>
      <c r="AF107" s="195" t="s">
        <v>1354</v>
      </c>
      <c r="AG107" s="223" t="s">
        <v>394</v>
      </c>
      <c r="AH107" s="195" t="s">
        <v>511</v>
      </c>
      <c r="AI107" s="195" t="s">
        <v>324</v>
      </c>
      <c r="AJ107" s="195" t="s">
        <v>394</v>
      </c>
      <c r="AK107" s="195" t="s">
        <v>1355</v>
      </c>
      <c r="AL107" s="195" t="s">
        <v>322</v>
      </c>
      <c r="AM107" s="199"/>
      <c r="AN107" s="195" t="s">
        <v>1356</v>
      </c>
      <c r="AO107" s="195" t="s">
        <v>1357</v>
      </c>
      <c r="AP107" s="200" t="s">
        <v>1358</v>
      </c>
      <c r="AQ107" s="195" t="s">
        <v>421</v>
      </c>
      <c r="AR107" s="209" t="s">
        <v>517</v>
      </c>
      <c r="AS107" s="195" t="s">
        <v>308</v>
      </c>
      <c r="AT107" s="199"/>
      <c r="AU107" s="202" t="s">
        <v>1359</v>
      </c>
      <c r="AV107" s="195" t="s">
        <v>9</v>
      </c>
      <c r="AW107" s="195" t="str">
        <f ca="1">IFERROR(__xludf.DUMMYFUNCTION("IF(AND(IF(AS107=""Yes"",True,False),NOT(IFERROR(REGEXMATCH(AV107,ExclusionCategories),FALSE))),""Yes"", ""No"")"),"Yes")</f>
        <v>Yes</v>
      </c>
      <c r="AX107" s="195">
        <f ca="1">IFERROR(__xludf.DUMMYFUNCTION("IF(IFERROR(SEARCH(""Unclear"", Z107)) = 1, VALUE(REGEXEXTRACT(Z107,""\d+"")), Z107)"),33)</f>
        <v>33</v>
      </c>
      <c r="AY107" s="195">
        <v>33</v>
      </c>
      <c r="AZ107" s="195">
        <f ca="1">IFERROR(__xludf.DUMMYFUNCTION("IF(IFERROR(SEARCH(""Unclear"", AG107)) = 1, VALUE(REGEXEXTRACT(AG107,""\d+"")), AG107)"),0)</f>
        <v>0</v>
      </c>
      <c r="BA107" s="195">
        <v>59</v>
      </c>
      <c r="BB107" s="195">
        <f ca="1">IFERROR(__xludf.DUMMYFUNCTION("IF(IFERROR(SEARCH(""Unclear"", AJ107)) = 1, VALUE(REGEXEXTRACT(AJ107,""\d+"")), AJ107)"),0)</f>
        <v>0</v>
      </c>
      <c r="BC107" s="195">
        <v>59</v>
      </c>
      <c r="BD107" s="195" t="b">
        <f t="shared" si="2"/>
        <v>1</v>
      </c>
      <c r="BE107" s="195" t="b">
        <f t="shared" ref="BE107:BF107" si="116">IF(IFERROR(FIND("ND",AI107),0),FALSE,TRUE)</f>
        <v>0</v>
      </c>
      <c r="BF107" s="195" t="b">
        <f t="shared" si="116"/>
        <v>1</v>
      </c>
    </row>
    <row r="108" spans="1:58" ht="34.5" customHeight="1">
      <c r="A108" s="212" t="s">
        <v>1360</v>
      </c>
      <c r="B108" s="195">
        <v>2014</v>
      </c>
      <c r="C108" s="195" t="s">
        <v>339</v>
      </c>
      <c r="D108" s="4" t="s">
        <v>491</v>
      </c>
      <c r="E108" s="222">
        <v>25405724</v>
      </c>
      <c r="F108" s="208" t="str">
        <f t="shared" si="88"/>
        <v>https://pubmed.ncbi.nlm.nih.gov/25405724</v>
      </c>
      <c r="G108" s="197" t="str">
        <f t="shared" si="89"/>
        <v>Talley 2014</v>
      </c>
      <c r="H108" s="195">
        <v>2010</v>
      </c>
      <c r="I108" s="195" t="s">
        <v>1361</v>
      </c>
      <c r="J108" s="229" t="str">
        <f t="shared" si="113"/>
        <v>https://clinicaltrials.gov/ct2/show/NCT01058226?term=NCT01058226&amp;draw=2&amp;rank=1</v>
      </c>
      <c r="K108" s="195">
        <v>6</v>
      </c>
      <c r="L108" s="10"/>
      <c r="M108" s="195">
        <v>4</v>
      </c>
      <c r="N108" s="195">
        <v>2</v>
      </c>
      <c r="O108" s="195" t="s">
        <v>324</v>
      </c>
      <c r="P108" s="195">
        <v>19</v>
      </c>
      <c r="Q108" s="195">
        <v>28</v>
      </c>
      <c r="R108" s="195">
        <v>18</v>
      </c>
      <c r="S108" s="195">
        <v>50</v>
      </c>
      <c r="T108" s="195">
        <v>23.5</v>
      </c>
      <c r="U108" s="195" t="s">
        <v>324</v>
      </c>
      <c r="V108" s="195" t="s">
        <v>1362</v>
      </c>
      <c r="W108" s="199"/>
      <c r="X108" s="195">
        <v>6</v>
      </c>
      <c r="Y108" s="199"/>
      <c r="Z108" s="195">
        <v>6</v>
      </c>
      <c r="AA108" s="199"/>
      <c r="AB108" s="195">
        <v>0</v>
      </c>
      <c r="AC108" s="195" t="s">
        <v>549</v>
      </c>
      <c r="AD108" s="195" t="s">
        <v>322</v>
      </c>
      <c r="AE108" s="195" t="s">
        <v>1363</v>
      </c>
      <c r="AF108" s="199"/>
      <c r="AG108" s="195">
        <v>6</v>
      </c>
      <c r="AH108" s="195" t="s">
        <v>511</v>
      </c>
      <c r="AI108" s="195">
        <v>0</v>
      </c>
      <c r="AJ108" s="195">
        <v>1</v>
      </c>
      <c r="AK108" s="199"/>
      <c r="AL108" s="195" t="s">
        <v>322</v>
      </c>
      <c r="AM108" s="199"/>
      <c r="AN108" s="195" t="s">
        <v>1364</v>
      </c>
      <c r="AO108" s="195" t="s">
        <v>1365</v>
      </c>
      <c r="AP108" s="195" t="s">
        <v>1366</v>
      </c>
      <c r="AQ108" s="195" t="s">
        <v>1367</v>
      </c>
      <c r="AR108" s="209" t="s">
        <v>517</v>
      </c>
      <c r="AS108" s="195" t="s">
        <v>308</v>
      </c>
      <c r="AT108" s="199"/>
      <c r="AU108" s="202" t="s">
        <v>1368</v>
      </c>
      <c r="AV108" s="195" t="s">
        <v>9</v>
      </c>
      <c r="AW108" s="195" t="str">
        <f ca="1">IFERROR(__xludf.DUMMYFUNCTION("IF(AND(IF(AS108=""Yes"",True,False),NOT(IFERROR(REGEXMATCH(AV108,ExclusionCategories),FALSE))),""Yes"", ""No"")"),"Yes")</f>
        <v>Yes</v>
      </c>
      <c r="AX108" s="195">
        <f ca="1">IFERROR(__xludf.DUMMYFUNCTION("IF(IFERROR(SEARCH(""Unclear"", Z108)) = 1, VALUE(REGEXEXTRACT(Z108,""\d+"")), Z108)"),6)</f>
        <v>6</v>
      </c>
      <c r="AY108" s="195">
        <v>6</v>
      </c>
      <c r="AZ108" s="195">
        <f ca="1">IFERROR(__xludf.DUMMYFUNCTION("IF(IFERROR(SEARCH(""Unclear"", AG108)) = 1, VALUE(REGEXEXTRACT(AG108,""\d+"")), AG108)"),6)</f>
        <v>6</v>
      </c>
      <c r="BA108" s="195">
        <v>6</v>
      </c>
      <c r="BB108" s="195">
        <f ca="1">IFERROR(__xludf.DUMMYFUNCTION("IF(IFERROR(SEARCH(""Unclear"", AJ108)) = 1, VALUE(REGEXEXTRACT(AJ108,""\d+"")), AJ108)"),1)</f>
        <v>1</v>
      </c>
      <c r="BC108" s="195">
        <v>1</v>
      </c>
      <c r="BD108" s="195" t="b">
        <f t="shared" si="2"/>
        <v>1</v>
      </c>
      <c r="BE108" s="195" t="b">
        <f t="shared" ref="BE108:BF108" si="117">IF(IFERROR(FIND("ND",AI108),0),FALSE,TRUE)</f>
        <v>1</v>
      </c>
      <c r="BF108" s="195" t="b">
        <f t="shared" si="117"/>
        <v>1</v>
      </c>
    </row>
    <row r="109" spans="1:58" ht="34.5" customHeight="1">
      <c r="A109" s="212" t="s">
        <v>1369</v>
      </c>
      <c r="B109" s="195">
        <v>2013</v>
      </c>
      <c r="C109" s="195" t="s">
        <v>339</v>
      </c>
      <c r="D109" s="4" t="s">
        <v>1370</v>
      </c>
      <c r="E109" s="222">
        <v>23186785</v>
      </c>
      <c r="F109" s="208" t="str">
        <f t="shared" si="88"/>
        <v>https://pubmed.ncbi.nlm.nih.gov/23186785</v>
      </c>
      <c r="G109" s="197" t="str">
        <f t="shared" si="89"/>
        <v>Teirlinck 2013</v>
      </c>
      <c r="H109" s="234">
        <v>2010</v>
      </c>
      <c r="I109" s="237" t="s">
        <v>1371</v>
      </c>
      <c r="J109" s="229" t="str">
        <f t="shared" si="113"/>
        <v>https://clinicaltrials.gov/ct2/show/NCT01002833?term=NCT01002833&amp;draw=2&amp;rank=1</v>
      </c>
      <c r="K109" s="195">
        <v>10</v>
      </c>
      <c r="L109" s="10"/>
      <c r="M109" s="195" t="s">
        <v>324</v>
      </c>
      <c r="N109" s="195" t="s">
        <v>324</v>
      </c>
      <c r="O109" s="195" t="s">
        <v>324</v>
      </c>
      <c r="P109" s="195" t="s">
        <v>324</v>
      </c>
      <c r="Q109" s="195" t="s">
        <v>324</v>
      </c>
      <c r="R109" s="195">
        <v>18</v>
      </c>
      <c r="S109" s="195">
        <v>35</v>
      </c>
      <c r="T109" s="195" t="s">
        <v>324</v>
      </c>
      <c r="U109" s="195" t="s">
        <v>324</v>
      </c>
      <c r="V109" s="195" t="s">
        <v>1372</v>
      </c>
      <c r="W109" s="195" t="s">
        <v>1373</v>
      </c>
      <c r="X109" s="195">
        <v>10</v>
      </c>
      <c r="Y109" s="199"/>
      <c r="Z109" s="199">
        <f>3+4</f>
        <v>7</v>
      </c>
      <c r="AA109" s="199"/>
      <c r="AB109" s="195">
        <v>0</v>
      </c>
      <c r="AC109" s="195" t="s">
        <v>549</v>
      </c>
      <c r="AD109" s="195" t="s">
        <v>322</v>
      </c>
      <c r="AE109" s="195" t="s">
        <v>1374</v>
      </c>
      <c r="AF109" s="199"/>
      <c r="AG109" s="195">
        <v>10</v>
      </c>
      <c r="AH109" s="195" t="s">
        <v>511</v>
      </c>
      <c r="AI109" s="195" t="s">
        <v>324</v>
      </c>
      <c r="AJ109" s="195">
        <v>1</v>
      </c>
      <c r="AK109" s="195" t="s">
        <v>1375</v>
      </c>
      <c r="AL109" s="195" t="s">
        <v>322</v>
      </c>
      <c r="AM109" s="199"/>
      <c r="AN109" s="195" t="s">
        <v>513</v>
      </c>
      <c r="AO109" s="195" t="s">
        <v>1376</v>
      </c>
      <c r="AP109" s="195" t="s">
        <v>1377</v>
      </c>
      <c r="AQ109" s="195" t="s">
        <v>1378</v>
      </c>
      <c r="AR109" s="209" t="s">
        <v>517</v>
      </c>
      <c r="AS109" s="195" t="s">
        <v>308</v>
      </c>
      <c r="AT109" s="199"/>
      <c r="AU109" s="202" t="s">
        <v>1379</v>
      </c>
      <c r="AV109" s="195" t="s">
        <v>9</v>
      </c>
      <c r="AW109" s="195" t="str">
        <f ca="1">IFERROR(__xludf.DUMMYFUNCTION("IF(AND(IF(AS109=""Yes"",True,False),NOT(IFERROR(REGEXMATCH(AV109,ExclusionCategories),FALSE))),""Yes"", ""No"")"),"Yes")</f>
        <v>Yes</v>
      </c>
      <c r="AX109" s="195">
        <f ca="1">IFERROR(__xludf.DUMMYFUNCTION("IF(IFERROR(SEARCH(""Unclear"", Z109)) = 1, VALUE(REGEXEXTRACT(Z109,""\d+"")), Z109)"),7)</f>
        <v>7</v>
      </c>
      <c r="AY109" s="195">
        <v>7</v>
      </c>
      <c r="AZ109" s="195">
        <f ca="1">IFERROR(__xludf.DUMMYFUNCTION("IF(IFERROR(SEARCH(""Unclear"", AG109)) = 1, VALUE(REGEXEXTRACT(AG109,""\d+"")), AG109)"),10)</f>
        <v>10</v>
      </c>
      <c r="BA109" s="195">
        <v>10</v>
      </c>
      <c r="BB109" s="195">
        <f ca="1">IFERROR(__xludf.DUMMYFUNCTION("IF(IFERROR(SEARCH(""Unclear"", AJ109)) = 1, VALUE(REGEXEXTRACT(AJ109,""\d+"")), AJ109)"),1)</f>
        <v>1</v>
      </c>
      <c r="BC109" s="195">
        <v>1</v>
      </c>
      <c r="BD109" s="195" t="b">
        <f t="shared" si="2"/>
        <v>1</v>
      </c>
      <c r="BE109" s="195" t="b">
        <f t="shared" ref="BE109:BF109" si="118">IF(IFERROR(FIND("ND",AI109),0),FALSE,TRUE)</f>
        <v>0</v>
      </c>
      <c r="BF109" s="195" t="b">
        <f t="shared" si="118"/>
        <v>1</v>
      </c>
    </row>
    <row r="110" spans="1:58" ht="34.5" customHeight="1">
      <c r="A110" s="212" t="s">
        <v>1380</v>
      </c>
      <c r="B110" s="195">
        <v>2021</v>
      </c>
      <c r="C110" s="195" t="s">
        <v>619</v>
      </c>
      <c r="D110" s="4" t="s">
        <v>1381</v>
      </c>
      <c r="E110" s="222">
        <v>33723346</v>
      </c>
      <c r="F110" s="208" t="str">
        <f t="shared" si="88"/>
        <v>https://pubmed.ncbi.nlm.nih.gov/33723346</v>
      </c>
      <c r="G110" s="197" t="str">
        <f t="shared" si="89"/>
        <v>van Hoffen 2021</v>
      </c>
      <c r="H110" s="195">
        <v>2016</v>
      </c>
      <c r="I110" s="195" t="s">
        <v>1382</v>
      </c>
      <c r="J110" s="229" t="str">
        <f t="shared" si="113"/>
        <v>https://clinicaltrials.gov/ct2/show/NCT02541695?term=NCT02541695&amp;draw=2&amp;rank=1</v>
      </c>
      <c r="K110" s="195">
        <v>42</v>
      </c>
      <c r="L110" s="4" t="s">
        <v>1383</v>
      </c>
      <c r="M110" s="195">
        <v>42</v>
      </c>
      <c r="N110" s="195">
        <v>0</v>
      </c>
      <c r="O110" s="195">
        <v>21</v>
      </c>
      <c r="P110" s="195">
        <v>18</v>
      </c>
      <c r="Q110" s="195">
        <v>48</v>
      </c>
      <c r="R110" s="195">
        <v>18</v>
      </c>
      <c r="S110" s="195">
        <v>55</v>
      </c>
      <c r="T110" s="195" t="s">
        <v>324</v>
      </c>
      <c r="U110" s="195" t="s">
        <v>324</v>
      </c>
      <c r="V110" s="195" t="s">
        <v>1384</v>
      </c>
      <c r="W110" s="199"/>
      <c r="X110" s="195">
        <v>42</v>
      </c>
      <c r="Y110" s="199"/>
      <c r="Z110" s="195">
        <v>42</v>
      </c>
      <c r="AA110" s="195" t="s">
        <v>1385</v>
      </c>
      <c r="AB110" s="195">
        <v>0</v>
      </c>
      <c r="AC110" s="195" t="s">
        <v>549</v>
      </c>
      <c r="AD110" s="195" t="s">
        <v>322</v>
      </c>
      <c r="AE110" s="195" t="s">
        <v>1386</v>
      </c>
      <c r="AF110" s="199"/>
      <c r="AG110" s="195" t="s">
        <v>394</v>
      </c>
      <c r="AH110" s="195" t="s">
        <v>316</v>
      </c>
      <c r="AI110" s="195">
        <v>0</v>
      </c>
      <c r="AJ110" s="195" t="s">
        <v>324</v>
      </c>
      <c r="AK110" s="195" t="s">
        <v>1387</v>
      </c>
      <c r="AL110" s="195" t="s">
        <v>322</v>
      </c>
      <c r="AM110" s="199"/>
      <c r="AN110" s="195" t="s">
        <v>513</v>
      </c>
      <c r="AO110" s="195" t="s">
        <v>1388</v>
      </c>
      <c r="AP110" s="195" t="s">
        <v>1389</v>
      </c>
      <c r="AQ110" s="195" t="s">
        <v>1390</v>
      </c>
      <c r="AR110" s="209" t="s">
        <v>517</v>
      </c>
      <c r="AS110" s="195" t="s">
        <v>308</v>
      </c>
      <c r="AT110" s="199"/>
      <c r="AU110" s="202" t="s">
        <v>1391</v>
      </c>
      <c r="AV110" s="195" t="s">
        <v>9</v>
      </c>
      <c r="AW110" s="195" t="str">
        <f ca="1">IFERROR(__xludf.DUMMYFUNCTION("IF(AND(IF(AS110=""Yes"",True,False),NOT(IFERROR(REGEXMATCH(AV110,ExclusionCategories),FALSE))),""Yes"", ""No"")"),"Yes")</f>
        <v>Yes</v>
      </c>
      <c r="AX110" s="195">
        <f ca="1">IFERROR(__xludf.DUMMYFUNCTION("IF(IFERROR(SEARCH(""Unclear"", Z110)) = 1, VALUE(REGEXEXTRACT(Z110,""\d+"")), Z110)"),42)</f>
        <v>42</v>
      </c>
      <c r="AY110" s="195">
        <v>42</v>
      </c>
      <c r="AZ110" s="195">
        <f ca="1">IFERROR(__xludf.DUMMYFUNCTION("IF(IFERROR(SEARCH(""Unclear"", AG110)) = 1, VALUE(REGEXEXTRACT(AG110,""\d+"")), AG110)"),0)</f>
        <v>0</v>
      </c>
      <c r="BA110" s="195">
        <v>42</v>
      </c>
      <c r="BB110" s="195" t="str">
        <f ca="1">IFERROR(__xludf.DUMMYFUNCTION("IF(IFERROR(SEARCH(""Unclear"", AJ110)) = 1, VALUE(REGEXEXTRACT(AJ110,""\d+"")), AJ110)"),"ND")</f>
        <v>ND</v>
      </c>
      <c r="BC110" s="195" t="s">
        <v>324</v>
      </c>
      <c r="BD110" s="195" t="b">
        <f t="shared" si="2"/>
        <v>1</v>
      </c>
      <c r="BE110" s="195" t="b">
        <f t="shared" ref="BE110:BF110" si="119">IF(IFERROR(FIND("ND",AI110),0),FALSE,TRUE)</f>
        <v>1</v>
      </c>
      <c r="BF110" s="195" t="b">
        <f t="shared" si="119"/>
        <v>0</v>
      </c>
    </row>
    <row r="111" spans="1:58" ht="34.5" customHeight="1">
      <c r="A111" s="212" t="s">
        <v>1392</v>
      </c>
      <c r="B111" s="195">
        <v>2015</v>
      </c>
      <c r="C111" s="195" t="s">
        <v>457</v>
      </c>
      <c r="D111" s="4" t="s">
        <v>1393</v>
      </c>
      <c r="E111" s="222">
        <v>25645025</v>
      </c>
      <c r="F111" s="208" t="str">
        <f t="shared" si="88"/>
        <v>https://pubmed.ncbi.nlm.nih.gov/25645025</v>
      </c>
      <c r="G111" s="197" t="str">
        <f t="shared" si="89"/>
        <v>Watson 2015</v>
      </c>
      <c r="H111" s="195">
        <v>2013</v>
      </c>
      <c r="I111" s="195" t="s">
        <v>1394</v>
      </c>
      <c r="J111" s="229" t="str">
        <f t="shared" si="113"/>
        <v>https://clinicaltrials.gov/ct2/show/NCT02014870?term=NCT02014870&amp;draw=2&amp;rank=1</v>
      </c>
      <c r="K111" s="195">
        <v>29</v>
      </c>
      <c r="L111" s="10"/>
      <c r="M111" s="195">
        <v>13</v>
      </c>
      <c r="N111" s="195">
        <v>16</v>
      </c>
      <c r="O111" s="195">
        <v>38</v>
      </c>
      <c r="P111" s="195">
        <v>22</v>
      </c>
      <c r="Q111" s="195">
        <v>45</v>
      </c>
      <c r="R111" s="195">
        <v>18</v>
      </c>
      <c r="S111" s="195">
        <v>45</v>
      </c>
      <c r="T111" s="195" t="s">
        <v>324</v>
      </c>
      <c r="U111" s="195" t="s">
        <v>324</v>
      </c>
      <c r="V111" s="195" t="s">
        <v>1395</v>
      </c>
      <c r="W111" s="195" t="s">
        <v>1396</v>
      </c>
      <c r="X111" s="195">
        <v>29</v>
      </c>
      <c r="Y111" s="199"/>
      <c r="Z111" s="195">
        <v>16</v>
      </c>
      <c r="AA111" s="195"/>
      <c r="AB111" s="195">
        <v>0</v>
      </c>
      <c r="AC111" s="195" t="s">
        <v>549</v>
      </c>
      <c r="AD111" s="195" t="s">
        <v>322</v>
      </c>
      <c r="AE111" s="195" t="s">
        <v>1397</v>
      </c>
      <c r="AF111" s="195" t="s">
        <v>1398</v>
      </c>
      <c r="AG111" s="195">
        <v>14</v>
      </c>
      <c r="AH111" s="195" t="s">
        <v>308</v>
      </c>
      <c r="AI111" s="195">
        <v>0</v>
      </c>
      <c r="AJ111" s="195">
        <v>4</v>
      </c>
      <c r="AK111" s="195" t="s">
        <v>1399</v>
      </c>
      <c r="AL111" s="195" t="s">
        <v>322</v>
      </c>
      <c r="AM111" s="199"/>
      <c r="AN111" s="195" t="s">
        <v>513</v>
      </c>
      <c r="AO111" s="195" t="s">
        <v>1400</v>
      </c>
      <c r="AP111" s="195" t="s">
        <v>1401</v>
      </c>
      <c r="AQ111" s="195" t="s">
        <v>1402</v>
      </c>
      <c r="AR111" s="209" t="s">
        <v>517</v>
      </c>
      <c r="AS111" s="195" t="s">
        <v>308</v>
      </c>
      <c r="AT111" s="199"/>
      <c r="AU111" s="202" t="s">
        <v>1403</v>
      </c>
      <c r="AV111" s="195" t="s">
        <v>9</v>
      </c>
      <c r="AW111" s="195" t="str">
        <f ca="1">IFERROR(__xludf.DUMMYFUNCTION("IF(AND(IF(AS111=""Yes"",True,False),NOT(IFERROR(REGEXMATCH(AV111,ExclusionCategories),FALSE))),""Yes"", ""No"")"),"Yes")</f>
        <v>Yes</v>
      </c>
      <c r="AX111" s="195">
        <f ca="1">IFERROR(__xludf.DUMMYFUNCTION("IF(IFERROR(SEARCH(""Unclear"", Z111)) = 1, VALUE(REGEXEXTRACT(Z111,""\d+"")), Z111)"),16)</f>
        <v>16</v>
      </c>
      <c r="AY111" s="195">
        <v>16</v>
      </c>
      <c r="AZ111" s="195">
        <f ca="1">IFERROR(__xludf.DUMMYFUNCTION("IF(IFERROR(SEARCH(""Unclear"", AG111)) = 1, VALUE(REGEXEXTRACT(AG111,""\d+"")), AG111)"),14)</f>
        <v>14</v>
      </c>
      <c r="BA111" s="195">
        <v>14</v>
      </c>
      <c r="BB111" s="195">
        <f ca="1">IFERROR(__xludf.DUMMYFUNCTION("IF(IFERROR(SEARCH(""Unclear"", AJ111)) = 1, VALUE(REGEXEXTRACT(AJ111,""\d+"")), AJ111)"),4)</f>
        <v>4</v>
      </c>
      <c r="BC111" s="195">
        <v>4</v>
      </c>
      <c r="BD111" s="195" t="b">
        <f t="shared" si="2"/>
        <v>1</v>
      </c>
      <c r="BE111" s="195" t="b">
        <f t="shared" ref="BE111:BF111" si="120">IF(IFERROR(FIND("ND",AI111),0),FALSE,TRUE)</f>
        <v>1</v>
      </c>
      <c r="BF111" s="195" t="b">
        <f t="shared" si="120"/>
        <v>1</v>
      </c>
    </row>
    <row r="112" spans="1:58" ht="34.5" customHeight="1">
      <c r="A112" s="212" t="s">
        <v>1404</v>
      </c>
      <c r="B112" s="195">
        <v>2020</v>
      </c>
      <c r="C112" s="195" t="s">
        <v>339</v>
      </c>
      <c r="D112" s="4" t="s">
        <v>1405</v>
      </c>
      <c r="E112" s="216">
        <v>32822347</v>
      </c>
      <c r="F112" s="208" t="str">
        <f t="shared" si="88"/>
        <v>https://pubmed.ncbi.nlm.nih.gov/32822347</v>
      </c>
      <c r="G112" s="197" t="str">
        <f t="shared" si="89"/>
        <v>Watts 2020</v>
      </c>
      <c r="H112" s="238">
        <v>2017</v>
      </c>
      <c r="I112" s="238" t="s">
        <v>1406</v>
      </c>
      <c r="J112" s="195" t="s">
        <v>322</v>
      </c>
      <c r="K112" s="195">
        <v>2</v>
      </c>
      <c r="L112" s="4" t="s">
        <v>1407</v>
      </c>
      <c r="M112" s="195">
        <v>2</v>
      </c>
      <c r="N112" s="195">
        <v>0</v>
      </c>
      <c r="O112" s="195">
        <v>26</v>
      </c>
      <c r="P112" s="195">
        <v>23</v>
      </c>
      <c r="Q112" s="195">
        <v>28</v>
      </c>
      <c r="R112" s="195">
        <v>18</v>
      </c>
      <c r="S112" s="195">
        <v>55</v>
      </c>
      <c r="T112" s="195">
        <v>25.5</v>
      </c>
      <c r="U112" s="195">
        <v>2.5</v>
      </c>
      <c r="V112" s="195" t="s">
        <v>1408</v>
      </c>
      <c r="W112" s="199"/>
      <c r="X112" s="195">
        <v>2</v>
      </c>
      <c r="Y112" s="199"/>
      <c r="Z112" s="195">
        <v>2</v>
      </c>
      <c r="AA112" s="199"/>
      <c r="AB112" s="195">
        <v>0</v>
      </c>
      <c r="AC112" s="195" t="s">
        <v>549</v>
      </c>
      <c r="AD112" s="195" t="s">
        <v>322</v>
      </c>
      <c r="AE112" s="195" t="s">
        <v>1163</v>
      </c>
      <c r="AF112" s="195" t="s">
        <v>1409</v>
      </c>
      <c r="AG112" s="195">
        <v>2</v>
      </c>
      <c r="AH112" s="195" t="s">
        <v>308</v>
      </c>
      <c r="AI112" s="195">
        <v>0</v>
      </c>
      <c r="AJ112" s="195">
        <v>1</v>
      </c>
      <c r="AK112" s="195" t="s">
        <v>1410</v>
      </c>
      <c r="AL112" s="195" t="s">
        <v>322</v>
      </c>
      <c r="AM112" s="199"/>
      <c r="AN112" s="195" t="s">
        <v>1411</v>
      </c>
      <c r="AO112" s="195" t="s">
        <v>1412</v>
      </c>
      <c r="AP112" s="195" t="s">
        <v>1413</v>
      </c>
      <c r="AQ112" s="195" t="s">
        <v>1414</v>
      </c>
      <c r="AR112" s="209" t="s">
        <v>517</v>
      </c>
      <c r="AS112" s="195" t="s">
        <v>308</v>
      </c>
      <c r="AT112" s="199"/>
      <c r="AU112" s="202" t="s">
        <v>1415</v>
      </c>
      <c r="AV112" s="195" t="s">
        <v>9</v>
      </c>
      <c r="AW112" s="195" t="str">
        <f ca="1">IFERROR(__xludf.DUMMYFUNCTION("IF(AND(IF(AS112=""Yes"",True,False),NOT(IFERROR(REGEXMATCH(AV112,ExclusionCategories),FALSE))),""Yes"", ""No"")"),"Yes")</f>
        <v>Yes</v>
      </c>
      <c r="AX112" s="195">
        <f ca="1">IFERROR(__xludf.DUMMYFUNCTION("IF(IFERROR(SEARCH(""Unclear"", Z112)) = 1, VALUE(REGEXEXTRACT(Z112,""\d+"")), Z112)"),2)</f>
        <v>2</v>
      </c>
      <c r="AY112" s="195">
        <v>2</v>
      </c>
      <c r="AZ112" s="195">
        <f ca="1">IFERROR(__xludf.DUMMYFUNCTION("IF(IFERROR(SEARCH(""Unclear"", AG112)) = 1, VALUE(REGEXEXTRACT(AG112,""\d+"")), AG112)"),2)</f>
        <v>2</v>
      </c>
      <c r="BA112" s="195">
        <v>2</v>
      </c>
      <c r="BB112" s="195">
        <f ca="1">IFERROR(__xludf.DUMMYFUNCTION("IF(IFERROR(SEARCH(""Unclear"", AJ112)) = 1, VALUE(REGEXEXTRACT(AJ112,""\d+"")), AJ112)"),1)</f>
        <v>1</v>
      </c>
      <c r="BC112" s="195">
        <v>1</v>
      </c>
      <c r="BD112" s="195" t="b">
        <f t="shared" si="2"/>
        <v>1</v>
      </c>
      <c r="BE112" s="195" t="b">
        <f t="shared" ref="BE112:BF112" si="121">IF(IFERROR(FIND("ND",AI112),0),FALSE,TRUE)</f>
        <v>1</v>
      </c>
      <c r="BF112" s="195" t="b">
        <f t="shared" si="121"/>
        <v>1</v>
      </c>
    </row>
    <row r="113" spans="1:58" ht="34.5" customHeight="1">
      <c r="A113" s="212" t="s">
        <v>1404</v>
      </c>
      <c r="B113" s="195">
        <v>2020</v>
      </c>
      <c r="C113" s="195" t="s">
        <v>339</v>
      </c>
      <c r="D113" s="4" t="s">
        <v>1416</v>
      </c>
      <c r="E113" s="222">
        <v>32822347</v>
      </c>
      <c r="F113" s="208" t="str">
        <f t="shared" si="88"/>
        <v>https://pubmed.ncbi.nlm.nih.gov/32822347</v>
      </c>
      <c r="G113" s="197" t="str">
        <f t="shared" si="89"/>
        <v>Watts 2020</v>
      </c>
      <c r="H113" s="238">
        <v>2018</v>
      </c>
      <c r="I113" s="238" t="s">
        <v>1417</v>
      </c>
      <c r="J113" s="195" t="s">
        <v>322</v>
      </c>
      <c r="K113" s="195">
        <v>22</v>
      </c>
      <c r="L113" s="4" t="s">
        <v>1418</v>
      </c>
      <c r="M113" s="195">
        <v>12</v>
      </c>
      <c r="N113" s="195">
        <v>10</v>
      </c>
      <c r="O113" s="195">
        <v>26</v>
      </c>
      <c r="P113" s="195">
        <v>18</v>
      </c>
      <c r="Q113" s="195">
        <v>40</v>
      </c>
      <c r="R113" s="195">
        <v>18</v>
      </c>
      <c r="S113" s="195">
        <v>55</v>
      </c>
      <c r="T113" s="195">
        <v>26</v>
      </c>
      <c r="U113" s="195">
        <v>5.4</v>
      </c>
      <c r="V113" s="195" t="s">
        <v>1408</v>
      </c>
      <c r="W113" s="199"/>
      <c r="X113" s="195">
        <v>22</v>
      </c>
      <c r="Y113" s="199"/>
      <c r="Z113" s="195">
        <v>22</v>
      </c>
      <c r="AA113" s="199"/>
      <c r="AB113" s="195">
        <v>0</v>
      </c>
      <c r="AC113" s="195" t="s">
        <v>549</v>
      </c>
      <c r="AD113" s="195" t="s">
        <v>322</v>
      </c>
      <c r="AE113" s="195" t="s">
        <v>1163</v>
      </c>
      <c r="AF113" s="195" t="s">
        <v>1409</v>
      </c>
      <c r="AG113" s="195">
        <v>22</v>
      </c>
      <c r="AH113" s="195" t="s">
        <v>308</v>
      </c>
      <c r="AI113" s="195">
        <v>0</v>
      </c>
      <c r="AJ113" s="195">
        <v>6</v>
      </c>
      <c r="AK113" s="195" t="s">
        <v>1410</v>
      </c>
      <c r="AL113" s="195" t="s">
        <v>322</v>
      </c>
      <c r="AM113" s="199"/>
      <c r="AN113" s="195" t="s">
        <v>1411</v>
      </c>
      <c r="AO113" s="195" t="s">
        <v>1412</v>
      </c>
      <c r="AP113" s="195" t="s">
        <v>1413</v>
      </c>
      <c r="AQ113" s="195" t="s">
        <v>1414</v>
      </c>
      <c r="AR113" s="209" t="s">
        <v>517</v>
      </c>
      <c r="AS113" s="195" t="s">
        <v>308</v>
      </c>
      <c r="AT113" s="199"/>
      <c r="AU113" s="202" t="s">
        <v>1415</v>
      </c>
      <c r="AV113" s="195" t="s">
        <v>9</v>
      </c>
      <c r="AW113" s="195" t="str">
        <f ca="1">IFERROR(__xludf.DUMMYFUNCTION("IF(AND(IF(AS113=""Yes"",True,False),NOT(IFERROR(REGEXMATCH(AV113,ExclusionCategories),FALSE))),""Yes"", ""No"")"),"Yes")</f>
        <v>Yes</v>
      </c>
      <c r="AX113" s="195">
        <f ca="1">IFERROR(__xludf.DUMMYFUNCTION("IF(IFERROR(SEARCH(""Unclear"", Z113)) = 1, VALUE(REGEXEXTRACT(Z113,""\d+"")), Z113)"),22)</f>
        <v>22</v>
      </c>
      <c r="AY113" s="195">
        <v>22</v>
      </c>
      <c r="AZ113" s="195">
        <f ca="1">IFERROR(__xludf.DUMMYFUNCTION("IF(IFERROR(SEARCH(""Unclear"", AG113)) = 1, VALUE(REGEXEXTRACT(AG113,""\d+"")), AG113)"),22)</f>
        <v>22</v>
      </c>
      <c r="BA113" s="195">
        <v>22</v>
      </c>
      <c r="BB113" s="195">
        <f ca="1">IFERROR(__xludf.DUMMYFUNCTION("IF(IFERROR(SEARCH(""Unclear"", AJ113)) = 1, VALUE(REGEXEXTRACT(AJ113,""\d+"")), AJ113)"),6)</f>
        <v>6</v>
      </c>
      <c r="BC113" s="195">
        <v>6</v>
      </c>
      <c r="BD113" s="195" t="b">
        <f t="shared" si="2"/>
        <v>1</v>
      </c>
      <c r="BE113" s="195" t="b">
        <f t="shared" ref="BE113:BF113" si="122">IF(IFERROR(FIND("ND",AI113),0),FALSE,TRUE)</f>
        <v>1</v>
      </c>
      <c r="BF113" s="195" t="b">
        <f t="shared" si="122"/>
        <v>1</v>
      </c>
    </row>
    <row r="114" spans="1:58" ht="34.5" customHeight="1">
      <c r="A114" s="195" t="s">
        <v>1419</v>
      </c>
      <c r="B114" s="195">
        <v>2000</v>
      </c>
      <c r="C114" s="195" t="s">
        <v>441</v>
      </c>
      <c r="D114" s="4" t="s">
        <v>1420</v>
      </c>
      <c r="E114" s="239">
        <v>10781777</v>
      </c>
      <c r="F114" s="230" t="str">
        <f t="shared" si="88"/>
        <v>https://pubmed.ncbi.nlm.nih.gov/10781777</v>
      </c>
      <c r="G114" s="213" t="str">
        <f t="shared" si="89"/>
        <v>Abisheganaden 2000</v>
      </c>
      <c r="H114" s="217">
        <v>2000</v>
      </c>
      <c r="I114" s="195"/>
      <c r="J114" s="199"/>
      <c r="K114" s="195">
        <v>24</v>
      </c>
      <c r="L114" s="10"/>
      <c r="M114" s="195">
        <f>5+7</f>
        <v>12</v>
      </c>
      <c r="N114" s="195">
        <f>K114-M114</f>
        <v>12</v>
      </c>
      <c r="O114" s="195" t="s">
        <v>1421</v>
      </c>
      <c r="P114" s="195" t="s">
        <v>1422</v>
      </c>
      <c r="Q114" s="195" t="s">
        <v>1422</v>
      </c>
      <c r="R114" s="195">
        <v>18</v>
      </c>
      <c r="S114" s="195" t="s">
        <v>324</v>
      </c>
      <c r="T114" s="195" t="s">
        <v>324</v>
      </c>
      <c r="U114" s="195" t="s">
        <v>324</v>
      </c>
      <c r="V114" s="195" t="s">
        <v>1423</v>
      </c>
      <c r="W114" s="199"/>
      <c r="X114" s="195">
        <v>24</v>
      </c>
      <c r="Y114" s="199"/>
      <c r="Z114" s="195">
        <v>24</v>
      </c>
      <c r="AA114" s="199"/>
      <c r="AB114" s="195">
        <v>0</v>
      </c>
      <c r="AC114" s="199"/>
      <c r="AD114" s="195" t="s">
        <v>322</v>
      </c>
      <c r="AE114" s="195" t="s">
        <v>1424</v>
      </c>
      <c r="AF114" s="195" t="s">
        <v>1425</v>
      </c>
      <c r="AG114" s="195" t="s">
        <v>324</v>
      </c>
      <c r="AH114" s="195" t="s">
        <v>308</v>
      </c>
      <c r="AI114" s="195">
        <v>0</v>
      </c>
      <c r="AJ114" s="195" t="s">
        <v>324</v>
      </c>
      <c r="AK114" s="195" t="s">
        <v>1426</v>
      </c>
      <c r="AL114" s="195" t="s">
        <v>322</v>
      </c>
      <c r="AM114" s="199"/>
      <c r="AN114" s="195" t="s">
        <v>1427</v>
      </c>
      <c r="AO114" s="195" t="s">
        <v>1428</v>
      </c>
      <c r="AP114" s="195" t="s">
        <v>1429</v>
      </c>
      <c r="AQ114" s="195" t="s">
        <v>1430</v>
      </c>
      <c r="AR114" s="220" t="s">
        <v>1431</v>
      </c>
      <c r="AS114" s="195" t="s">
        <v>308</v>
      </c>
      <c r="AT114" s="199"/>
      <c r="AU114" s="202" t="s">
        <v>1432</v>
      </c>
      <c r="AV114" s="195" t="s">
        <v>9</v>
      </c>
      <c r="AW114" s="195" t="str">
        <f ca="1">IFERROR(__xludf.DUMMYFUNCTION("IF(AND(IF(AS114=""Yes"",True,False),NOT(IFERROR(REGEXMATCH(AV114,ExclusionCategories),FALSE))),""Yes"", ""No"")"),"Yes")</f>
        <v>Yes</v>
      </c>
      <c r="AX114" s="195">
        <f ca="1">IFERROR(__xludf.DUMMYFUNCTION("IF(IFERROR(SEARCH(""Unclear"", Z114)) = 1, VALUE(REGEXEXTRACT(Z114,""\d+"")), Z114)"),24)</f>
        <v>24</v>
      </c>
      <c r="AY114" s="195">
        <v>24</v>
      </c>
      <c r="AZ114" s="195" t="str">
        <f ca="1">IFERROR(__xludf.DUMMYFUNCTION("IF(IFERROR(SEARCH(""Unclear"", AG114)) = 1, VALUE(REGEXEXTRACT(AG114,""\d+"")), AG114)"),"ND")</f>
        <v>ND</v>
      </c>
      <c r="BA114" s="195" t="s">
        <v>324</v>
      </c>
      <c r="BB114" s="195" t="str">
        <f ca="1">IFERROR(__xludf.DUMMYFUNCTION("IF(IFERROR(SEARCH(""Unclear"", AJ114)) = 1, VALUE(REGEXEXTRACT(AJ114,""\d+"")), AJ114)"),"ND")</f>
        <v>ND</v>
      </c>
      <c r="BC114" s="195" t="s">
        <v>324</v>
      </c>
      <c r="BD114" s="195" t="b">
        <f t="shared" si="2"/>
        <v>0</v>
      </c>
      <c r="BE114" s="195" t="b">
        <f t="shared" ref="BE114:BF114" si="123">IF(IFERROR(FIND("ND",AI114),0),FALSE,TRUE)</f>
        <v>1</v>
      </c>
      <c r="BF114" s="195" t="b">
        <f t="shared" si="123"/>
        <v>0</v>
      </c>
    </row>
    <row r="115" spans="1:58" ht="34.5" customHeight="1">
      <c r="A115" s="195" t="s">
        <v>1433</v>
      </c>
      <c r="B115" s="195">
        <v>1986</v>
      </c>
      <c r="C115" s="195" t="s">
        <v>457</v>
      </c>
      <c r="D115" s="4" t="s">
        <v>1434</v>
      </c>
      <c r="E115" s="239">
        <v>3531141</v>
      </c>
      <c r="F115" s="230" t="str">
        <f t="shared" si="88"/>
        <v>https://pubmed.ncbi.nlm.nih.gov/3531141</v>
      </c>
      <c r="G115" s="213" t="str">
        <f t="shared" si="89"/>
        <v>Al-Nakib 1986</v>
      </c>
      <c r="H115" s="217">
        <v>1986</v>
      </c>
      <c r="I115" s="240"/>
      <c r="J115" s="199"/>
      <c r="K115" s="195">
        <v>78</v>
      </c>
      <c r="L115" s="4" t="s">
        <v>1435</v>
      </c>
      <c r="M115" s="195">
        <v>31</v>
      </c>
      <c r="N115" s="195">
        <v>47</v>
      </c>
      <c r="O115" s="195" t="s">
        <v>324</v>
      </c>
      <c r="P115" s="195" t="s">
        <v>324</v>
      </c>
      <c r="Q115" s="195" t="s">
        <v>324</v>
      </c>
      <c r="R115" s="195">
        <v>18</v>
      </c>
      <c r="S115" s="195">
        <v>50</v>
      </c>
      <c r="T115" s="195" t="s">
        <v>364</v>
      </c>
      <c r="U115" s="195" t="s">
        <v>365</v>
      </c>
      <c r="V115" s="195" t="s">
        <v>1436</v>
      </c>
      <c r="W115" s="199"/>
      <c r="X115" s="195">
        <v>78</v>
      </c>
      <c r="Y115" s="195" t="s">
        <v>1437</v>
      </c>
      <c r="Z115" s="195">
        <v>65</v>
      </c>
      <c r="AA115" s="195" t="s">
        <v>1438</v>
      </c>
      <c r="AB115" s="195">
        <v>0</v>
      </c>
      <c r="AC115" s="199"/>
      <c r="AD115" s="195" t="s">
        <v>322</v>
      </c>
      <c r="AE115" s="195" t="s">
        <v>1439</v>
      </c>
      <c r="AF115" s="195" t="s">
        <v>1440</v>
      </c>
      <c r="AG115" s="195">
        <v>14</v>
      </c>
      <c r="AH115" s="195" t="s">
        <v>308</v>
      </c>
      <c r="AI115" s="195">
        <v>0</v>
      </c>
      <c r="AJ115" s="195" t="s">
        <v>324</v>
      </c>
      <c r="AK115" s="195" t="s">
        <v>1441</v>
      </c>
      <c r="AL115" s="195" t="s">
        <v>322</v>
      </c>
      <c r="AM115" s="199"/>
      <c r="AN115" s="195" t="s">
        <v>1442</v>
      </c>
      <c r="AO115" s="195" t="s">
        <v>1443</v>
      </c>
      <c r="AP115" s="195" t="s">
        <v>1444</v>
      </c>
      <c r="AQ115" s="195" t="s">
        <v>1445</v>
      </c>
      <c r="AR115" s="220" t="s">
        <v>1431</v>
      </c>
      <c r="AS115" s="195" t="s">
        <v>316</v>
      </c>
      <c r="AT115" s="199"/>
      <c r="AU115" s="202" t="s">
        <v>1446</v>
      </c>
      <c r="AV115" s="195" t="s">
        <v>1447</v>
      </c>
      <c r="AW115" s="195" t="str">
        <f ca="1">IFERROR(__xludf.DUMMYFUNCTION("IF(AND(IF(AS115=""Yes"",True,False),NOT(IFERROR(REGEXMATCH(AV115,ExclusionCategories),FALSE))),""Yes"", ""No"")"),"No")</f>
        <v>No</v>
      </c>
      <c r="AX115" s="195">
        <f ca="1">IFERROR(__xludf.DUMMYFUNCTION("IF(IFERROR(SEARCH(""Unclear"", Z115)) = 1, VALUE(REGEXEXTRACT(Z115,""\d+"")), Z115)"),65)</f>
        <v>65</v>
      </c>
      <c r="AY115" s="195">
        <v>65</v>
      </c>
      <c r="AZ115" s="195">
        <f ca="1">IFERROR(__xludf.DUMMYFUNCTION("IF(IFERROR(SEARCH(""Unclear"", AG115)) = 1, VALUE(REGEXEXTRACT(AG115,""\d+"")), AG115)"),14)</f>
        <v>14</v>
      </c>
      <c r="BA115" s="195">
        <v>14</v>
      </c>
      <c r="BB115" s="195" t="str">
        <f ca="1">IFERROR(__xludf.DUMMYFUNCTION("IF(IFERROR(SEARCH(""Unclear"", AJ115)) = 1, VALUE(REGEXEXTRACT(AJ115,""\d+"")), AJ115)"),"ND")</f>
        <v>ND</v>
      </c>
      <c r="BC115" s="195" t="s">
        <v>324</v>
      </c>
      <c r="BD115" s="195" t="b">
        <f t="shared" si="2"/>
        <v>1</v>
      </c>
      <c r="BE115" s="195" t="b">
        <f t="shared" ref="BE115:BF115" si="124">IF(IFERROR(FIND("ND",AI115),0),FALSE,TRUE)</f>
        <v>1</v>
      </c>
      <c r="BF115" s="195" t="b">
        <f t="shared" si="124"/>
        <v>0</v>
      </c>
    </row>
    <row r="116" spans="1:58" ht="34.5" customHeight="1">
      <c r="A116" s="195" t="s">
        <v>1433</v>
      </c>
      <c r="B116" s="195">
        <v>1986</v>
      </c>
      <c r="C116" s="195" t="s">
        <v>457</v>
      </c>
      <c r="D116" s="4" t="s">
        <v>1434</v>
      </c>
      <c r="E116" s="239">
        <v>3531141</v>
      </c>
      <c r="F116" s="230" t="str">
        <f t="shared" si="88"/>
        <v>https://pubmed.ncbi.nlm.nih.gov/3531141</v>
      </c>
      <c r="G116" s="213" t="str">
        <f t="shared" si="89"/>
        <v>Al-Nakib 1986</v>
      </c>
      <c r="H116" s="217">
        <v>1986</v>
      </c>
      <c r="I116" s="240"/>
      <c r="J116" s="199"/>
      <c r="K116" s="195">
        <v>56</v>
      </c>
      <c r="L116" s="4" t="s">
        <v>1448</v>
      </c>
      <c r="M116" s="195">
        <v>28</v>
      </c>
      <c r="N116" s="195">
        <v>28</v>
      </c>
      <c r="O116" s="195" t="s">
        <v>324</v>
      </c>
      <c r="P116" s="195" t="s">
        <v>324</v>
      </c>
      <c r="Q116" s="195" t="s">
        <v>324</v>
      </c>
      <c r="R116" s="195">
        <v>18</v>
      </c>
      <c r="S116" s="195">
        <v>50</v>
      </c>
      <c r="T116" s="195" t="s">
        <v>364</v>
      </c>
      <c r="U116" s="195" t="s">
        <v>365</v>
      </c>
      <c r="V116" s="195" t="s">
        <v>1436</v>
      </c>
      <c r="W116" s="199"/>
      <c r="X116" s="195">
        <v>56</v>
      </c>
      <c r="Y116" s="195" t="s">
        <v>1449</v>
      </c>
      <c r="Z116" s="195">
        <v>49</v>
      </c>
      <c r="AA116" s="195" t="s">
        <v>1450</v>
      </c>
      <c r="AB116" s="195">
        <v>0</v>
      </c>
      <c r="AC116" s="199"/>
      <c r="AD116" s="195" t="s">
        <v>322</v>
      </c>
      <c r="AE116" s="195" t="s">
        <v>1439</v>
      </c>
      <c r="AF116" s="195" t="s">
        <v>1440</v>
      </c>
      <c r="AG116" s="195">
        <v>18</v>
      </c>
      <c r="AH116" s="195" t="s">
        <v>308</v>
      </c>
      <c r="AI116" s="195">
        <v>0</v>
      </c>
      <c r="AJ116" s="195" t="s">
        <v>324</v>
      </c>
      <c r="AK116" s="195" t="s">
        <v>1441</v>
      </c>
      <c r="AL116" s="195" t="s">
        <v>322</v>
      </c>
      <c r="AM116" s="199"/>
      <c r="AN116" s="195" t="s">
        <v>1442</v>
      </c>
      <c r="AO116" s="195" t="s">
        <v>1443</v>
      </c>
      <c r="AP116" s="195" t="s">
        <v>1444</v>
      </c>
      <c r="AQ116" s="195" t="s">
        <v>1445</v>
      </c>
      <c r="AR116" s="220" t="s">
        <v>1431</v>
      </c>
      <c r="AS116" s="195" t="s">
        <v>316</v>
      </c>
      <c r="AT116" s="199"/>
      <c r="AU116" s="202" t="s">
        <v>1446</v>
      </c>
      <c r="AV116" s="195" t="s">
        <v>1447</v>
      </c>
      <c r="AW116" s="195" t="str">
        <f ca="1">IFERROR(__xludf.DUMMYFUNCTION("IF(AND(IF(AS116=""Yes"",True,False),NOT(IFERROR(REGEXMATCH(AV116,ExclusionCategories),FALSE))),""Yes"", ""No"")"),"No")</f>
        <v>No</v>
      </c>
      <c r="AX116" s="195">
        <f ca="1">IFERROR(__xludf.DUMMYFUNCTION("IF(IFERROR(SEARCH(""Unclear"", Z116)) = 1, VALUE(REGEXEXTRACT(Z116,""\d+"")), Z116)"),49)</f>
        <v>49</v>
      </c>
      <c r="AY116" s="195">
        <v>49</v>
      </c>
      <c r="AZ116" s="195">
        <f ca="1">IFERROR(__xludf.DUMMYFUNCTION("IF(IFERROR(SEARCH(""Unclear"", AG116)) = 1, VALUE(REGEXEXTRACT(AG116,""\d+"")), AG116)"),18)</f>
        <v>18</v>
      </c>
      <c r="BA116" s="195">
        <v>18</v>
      </c>
      <c r="BB116" s="195" t="str">
        <f ca="1">IFERROR(__xludf.DUMMYFUNCTION("IF(IFERROR(SEARCH(""Unclear"", AJ116)) = 1, VALUE(REGEXEXTRACT(AJ116,""\d+"")), AJ116)"),"ND")</f>
        <v>ND</v>
      </c>
      <c r="BC116" s="195" t="s">
        <v>324</v>
      </c>
      <c r="BD116" s="195" t="b">
        <f t="shared" si="2"/>
        <v>1</v>
      </c>
      <c r="BE116" s="195" t="b">
        <f t="shared" ref="BE116:BF116" si="125">IF(IFERROR(FIND("ND",AI116),0),FALSE,TRUE)</f>
        <v>1</v>
      </c>
      <c r="BF116" s="195" t="b">
        <f t="shared" si="125"/>
        <v>0</v>
      </c>
    </row>
    <row r="117" spans="1:58" ht="34.5" customHeight="1">
      <c r="A117" s="195" t="s">
        <v>1433</v>
      </c>
      <c r="B117" s="195">
        <v>1986</v>
      </c>
      <c r="C117" s="195" t="s">
        <v>457</v>
      </c>
      <c r="D117" s="4" t="s">
        <v>1434</v>
      </c>
      <c r="E117" s="239">
        <v>3531141</v>
      </c>
      <c r="F117" s="230" t="str">
        <f t="shared" si="88"/>
        <v>https://pubmed.ncbi.nlm.nih.gov/3531141</v>
      </c>
      <c r="G117" s="213" t="str">
        <f t="shared" si="89"/>
        <v>Al-Nakib 1986</v>
      </c>
      <c r="H117" s="217">
        <v>1986</v>
      </c>
      <c r="I117" s="240"/>
      <c r="J117" s="199"/>
      <c r="K117" s="195">
        <v>93</v>
      </c>
      <c r="L117" s="4" t="s">
        <v>1451</v>
      </c>
      <c r="M117" s="195" t="s">
        <v>324</v>
      </c>
      <c r="N117" s="195" t="s">
        <v>324</v>
      </c>
      <c r="O117" s="195" t="s">
        <v>324</v>
      </c>
      <c r="P117" s="195" t="s">
        <v>324</v>
      </c>
      <c r="Q117" s="195" t="s">
        <v>324</v>
      </c>
      <c r="R117" s="195">
        <v>18</v>
      </c>
      <c r="S117" s="195">
        <v>50</v>
      </c>
      <c r="T117" s="195" t="s">
        <v>324</v>
      </c>
      <c r="U117" s="195" t="s">
        <v>324</v>
      </c>
      <c r="V117" s="195" t="s">
        <v>1436</v>
      </c>
      <c r="W117" s="199"/>
      <c r="X117" s="195">
        <v>93</v>
      </c>
      <c r="Y117" s="199"/>
      <c r="Z117" s="195" t="s">
        <v>394</v>
      </c>
      <c r="AA117" s="195" t="s">
        <v>324</v>
      </c>
      <c r="AB117" s="195">
        <v>0</v>
      </c>
      <c r="AC117" s="199"/>
      <c r="AD117" s="195" t="s">
        <v>322</v>
      </c>
      <c r="AE117" s="195" t="s">
        <v>1439</v>
      </c>
      <c r="AF117" s="195" t="s">
        <v>1452</v>
      </c>
      <c r="AG117" s="195">
        <v>39</v>
      </c>
      <c r="AH117" s="195" t="s">
        <v>308</v>
      </c>
      <c r="AI117" s="195">
        <v>0</v>
      </c>
      <c r="AJ117" s="195" t="s">
        <v>324</v>
      </c>
      <c r="AK117" s="195" t="s">
        <v>1441</v>
      </c>
      <c r="AL117" s="195" t="s">
        <v>322</v>
      </c>
      <c r="AM117" s="199"/>
      <c r="AN117" s="195" t="s">
        <v>1442</v>
      </c>
      <c r="AO117" s="195" t="s">
        <v>1443</v>
      </c>
      <c r="AP117" s="195" t="s">
        <v>1444</v>
      </c>
      <c r="AQ117" s="195" t="s">
        <v>1445</v>
      </c>
      <c r="AR117" s="220" t="s">
        <v>1431</v>
      </c>
      <c r="AS117" s="195" t="s">
        <v>316</v>
      </c>
      <c r="AT117" s="199"/>
      <c r="AU117" s="202" t="s">
        <v>1446</v>
      </c>
      <c r="AV117" s="195" t="s">
        <v>1447</v>
      </c>
      <c r="AW117" s="195" t="str">
        <f ca="1">IFERROR(__xludf.DUMMYFUNCTION("IF(AND(IF(AS117=""Yes"",True,False),NOT(IFERROR(REGEXMATCH(AV117,ExclusionCategories),FALSE))),""Yes"", ""No"")"),"No")</f>
        <v>No</v>
      </c>
      <c r="AX117" s="195">
        <f ca="1">IFERROR(__xludf.DUMMYFUNCTION("IF(IFERROR(SEARCH(""Unclear"", Z117)) = 1, VALUE(REGEXEXTRACT(Z117,""\d+"")), Z117)"),0)</f>
        <v>0</v>
      </c>
      <c r="AY117" s="195">
        <v>93</v>
      </c>
      <c r="AZ117" s="195">
        <f ca="1">IFERROR(__xludf.DUMMYFUNCTION("IF(IFERROR(SEARCH(""Unclear"", AG117)) = 1, VALUE(REGEXEXTRACT(AG117,""\d+"")), AG117)"),39)</f>
        <v>39</v>
      </c>
      <c r="BA117" s="195">
        <v>39</v>
      </c>
      <c r="BB117" s="195" t="str">
        <f ca="1">IFERROR(__xludf.DUMMYFUNCTION("IF(IFERROR(SEARCH(""Unclear"", AJ117)) = 1, VALUE(REGEXEXTRACT(AJ117,""\d+"")), AJ117)"),"ND")</f>
        <v>ND</v>
      </c>
      <c r="BC117" s="195" t="s">
        <v>324</v>
      </c>
      <c r="BD117" s="195" t="b">
        <f t="shared" si="2"/>
        <v>1</v>
      </c>
      <c r="BE117" s="195" t="b">
        <f t="shared" ref="BE117:BF117" si="126">IF(IFERROR(FIND("ND",AI117),0),FALSE,TRUE)</f>
        <v>1</v>
      </c>
      <c r="BF117" s="195" t="b">
        <f t="shared" si="126"/>
        <v>0</v>
      </c>
    </row>
    <row r="118" spans="1:58" ht="34.5" customHeight="1">
      <c r="A118" s="195" t="s">
        <v>1433</v>
      </c>
      <c r="B118" s="195">
        <v>1986</v>
      </c>
      <c r="C118" s="195" t="s">
        <v>457</v>
      </c>
      <c r="D118" s="4" t="s">
        <v>1434</v>
      </c>
      <c r="E118" s="239">
        <v>3531141</v>
      </c>
      <c r="F118" s="230" t="str">
        <f t="shared" si="88"/>
        <v>https://pubmed.ncbi.nlm.nih.gov/3531141</v>
      </c>
      <c r="G118" s="213" t="str">
        <f t="shared" si="89"/>
        <v>Al-Nakib 1986</v>
      </c>
      <c r="H118" s="217">
        <v>1986</v>
      </c>
      <c r="I118" s="240"/>
      <c r="J118" s="199"/>
      <c r="K118" s="195">
        <v>227</v>
      </c>
      <c r="L118" s="4" t="s">
        <v>1453</v>
      </c>
      <c r="M118" s="195" t="s">
        <v>1454</v>
      </c>
      <c r="N118" s="195" t="s">
        <v>1454</v>
      </c>
      <c r="O118" s="195" t="s">
        <v>324</v>
      </c>
      <c r="P118" s="195" t="s">
        <v>324</v>
      </c>
      <c r="Q118" s="195" t="s">
        <v>324</v>
      </c>
      <c r="R118" s="195">
        <v>18</v>
      </c>
      <c r="S118" s="195">
        <v>50</v>
      </c>
      <c r="T118" s="195" t="s">
        <v>324</v>
      </c>
      <c r="U118" s="195" t="s">
        <v>324</v>
      </c>
      <c r="V118" s="195" t="s">
        <v>1436</v>
      </c>
      <c r="W118" s="199"/>
      <c r="X118" s="195">
        <v>227</v>
      </c>
      <c r="Y118" s="199"/>
      <c r="Z118" s="195" t="s">
        <v>1455</v>
      </c>
      <c r="AA118" s="195" t="s">
        <v>1456</v>
      </c>
      <c r="AB118" s="195">
        <v>0</v>
      </c>
      <c r="AC118" s="199"/>
      <c r="AD118" s="195" t="s">
        <v>322</v>
      </c>
      <c r="AE118" s="195" t="s">
        <v>1439</v>
      </c>
      <c r="AF118" s="195" t="s">
        <v>1440</v>
      </c>
      <c r="AG118" s="195">
        <v>71</v>
      </c>
      <c r="AH118" s="195" t="s">
        <v>308</v>
      </c>
      <c r="AI118" s="195">
        <v>0</v>
      </c>
      <c r="AJ118" s="195" t="s">
        <v>324</v>
      </c>
      <c r="AK118" s="195" t="s">
        <v>1441</v>
      </c>
      <c r="AL118" s="195" t="s">
        <v>322</v>
      </c>
      <c r="AM118" s="199"/>
      <c r="AN118" s="195" t="s">
        <v>1442</v>
      </c>
      <c r="AO118" s="195" t="s">
        <v>1443</v>
      </c>
      <c r="AP118" s="195" t="s">
        <v>1444</v>
      </c>
      <c r="AQ118" s="195" t="s">
        <v>1445</v>
      </c>
      <c r="AR118" s="220" t="s">
        <v>1431</v>
      </c>
      <c r="AS118" s="195" t="s">
        <v>308</v>
      </c>
      <c r="AT118" s="199"/>
      <c r="AU118" s="202" t="s">
        <v>1446</v>
      </c>
      <c r="AV118" s="195" t="s">
        <v>571</v>
      </c>
      <c r="AW118" s="195" t="str">
        <f ca="1">IFERROR(__xludf.DUMMYFUNCTION("IF(AND(IF(AS118=""Yes"",True,False),NOT(IFERROR(REGEXMATCH(AV118,ExclusionCategories),FALSE))),""Yes"", ""No"")"),"Yes")</f>
        <v>Yes</v>
      </c>
      <c r="AX118" s="195">
        <f ca="1">IFERROR(__xludf.DUMMYFUNCTION("IF(IFERROR(SEARCH(""Unclear"", Z118)) = 1, VALUE(REGEXEXTRACT(Z118,""\d+"")), Z118)"),114)</f>
        <v>114</v>
      </c>
      <c r="AY118" s="195">
        <v>227</v>
      </c>
      <c r="AZ118" s="195">
        <f ca="1">IFERROR(__xludf.DUMMYFUNCTION("IF(IFERROR(SEARCH(""Unclear"", AG118)) = 1, VALUE(REGEXEXTRACT(AG118,""\d+"")), AG118)"),71)</f>
        <v>71</v>
      </c>
      <c r="BA118" s="195">
        <v>71</v>
      </c>
      <c r="BB118" s="195" t="str">
        <f ca="1">IFERROR(__xludf.DUMMYFUNCTION("IF(IFERROR(SEARCH(""Unclear"", AJ118)) = 1, VALUE(REGEXEXTRACT(AJ118,""\d+"")), AJ118)"),"ND")</f>
        <v>ND</v>
      </c>
      <c r="BC118" s="195" t="s">
        <v>324</v>
      </c>
      <c r="BD118" s="195" t="b">
        <f t="shared" si="2"/>
        <v>1</v>
      </c>
      <c r="BE118" s="195" t="b">
        <f t="shared" ref="BE118:BF118" si="127">IF(IFERROR(FIND("ND",AI118),0),FALSE,TRUE)</f>
        <v>1</v>
      </c>
      <c r="BF118" s="195" t="b">
        <f t="shared" si="127"/>
        <v>0</v>
      </c>
    </row>
    <row r="119" spans="1:58" ht="34.5" customHeight="1">
      <c r="A119" s="195" t="s">
        <v>1433</v>
      </c>
      <c r="B119" s="195">
        <v>1987</v>
      </c>
      <c r="C119" s="195" t="s">
        <v>441</v>
      </c>
      <c r="D119" s="4" t="s">
        <v>1457</v>
      </c>
      <c r="E119" s="239">
        <v>3326874</v>
      </c>
      <c r="F119" s="230" t="str">
        <f t="shared" si="88"/>
        <v>https://pubmed.ncbi.nlm.nih.gov/3326874</v>
      </c>
      <c r="G119" s="213" t="str">
        <f t="shared" si="89"/>
        <v>Al-Nakib 1987</v>
      </c>
      <c r="H119" s="217">
        <v>1987</v>
      </c>
      <c r="I119" s="199"/>
      <c r="J119" s="199"/>
      <c r="K119" s="199">
        <f>26+24</f>
        <v>50</v>
      </c>
      <c r="L119" s="10"/>
      <c r="M119" s="199">
        <f>7+7</f>
        <v>14</v>
      </c>
      <c r="N119" s="199">
        <f>19+17</f>
        <v>36</v>
      </c>
      <c r="O119" s="195" t="s">
        <v>324</v>
      </c>
      <c r="P119" s="195" t="s">
        <v>324</v>
      </c>
      <c r="Q119" s="195" t="s">
        <v>324</v>
      </c>
      <c r="R119" s="195" t="s">
        <v>324</v>
      </c>
      <c r="S119" s="195" t="s">
        <v>324</v>
      </c>
      <c r="T119" s="195" t="s">
        <v>364</v>
      </c>
      <c r="U119" s="195" t="s">
        <v>365</v>
      </c>
      <c r="V119" s="195" t="s">
        <v>1458</v>
      </c>
      <c r="W119" s="199"/>
      <c r="X119" s="199">
        <f>26+24</f>
        <v>50</v>
      </c>
      <c r="Y119" s="195" t="s">
        <v>1459</v>
      </c>
      <c r="Z119" s="195">
        <v>37</v>
      </c>
      <c r="AA119" s="195" t="s">
        <v>1460</v>
      </c>
      <c r="AB119" s="195">
        <v>0</v>
      </c>
      <c r="AC119" s="199"/>
      <c r="AD119" s="195" t="s">
        <v>322</v>
      </c>
      <c r="AE119" s="195" t="s">
        <v>1163</v>
      </c>
      <c r="AF119" s="195" t="s">
        <v>1461</v>
      </c>
      <c r="AG119" s="195">
        <v>6</v>
      </c>
      <c r="AH119" s="195" t="s">
        <v>316</v>
      </c>
      <c r="AI119" s="195" t="s">
        <v>324</v>
      </c>
      <c r="AJ119" s="195" t="s">
        <v>324</v>
      </c>
      <c r="AK119" s="199"/>
      <c r="AL119" s="195" t="s">
        <v>322</v>
      </c>
      <c r="AM119" s="199"/>
      <c r="AN119" s="195" t="s">
        <v>1462</v>
      </c>
      <c r="AO119" s="195" t="s">
        <v>1463</v>
      </c>
      <c r="AP119" s="195" t="s">
        <v>1464</v>
      </c>
      <c r="AQ119" s="195" t="s">
        <v>1465</v>
      </c>
      <c r="AR119" s="220" t="s">
        <v>1431</v>
      </c>
      <c r="AS119" s="195" t="s">
        <v>308</v>
      </c>
      <c r="AT119" s="199"/>
      <c r="AU119" s="202" t="s">
        <v>1466</v>
      </c>
      <c r="AV119" s="195" t="s">
        <v>738</v>
      </c>
      <c r="AW119" s="195" t="str">
        <f ca="1">IFERROR(__xludf.DUMMYFUNCTION("IF(AND(IF(AS119=""Yes"",True,False),NOT(IFERROR(REGEXMATCH(AV119,ExclusionCategories),FALSE))),""Yes"", ""No"")"),"Yes")</f>
        <v>Yes</v>
      </c>
      <c r="AX119" s="195">
        <f ca="1">IFERROR(__xludf.DUMMYFUNCTION("IF(IFERROR(SEARCH(""Unclear"", Z119)) = 1, VALUE(REGEXEXTRACT(Z119,""\d+"")), Z119)"),37)</f>
        <v>37</v>
      </c>
      <c r="AY119" s="195">
        <v>37</v>
      </c>
      <c r="AZ119" s="195">
        <f ca="1">IFERROR(__xludf.DUMMYFUNCTION("IF(IFERROR(SEARCH(""Unclear"", AG119)) = 1, VALUE(REGEXEXTRACT(AG119,""\d+"")), AG119)"),6)</f>
        <v>6</v>
      </c>
      <c r="BA119" s="195">
        <v>6</v>
      </c>
      <c r="BB119" s="195" t="str">
        <f ca="1">IFERROR(__xludf.DUMMYFUNCTION("IF(IFERROR(SEARCH(""Unclear"", AJ119)) = 1, VALUE(REGEXEXTRACT(AJ119,""\d+"")), AJ119)"),"ND")</f>
        <v>ND</v>
      </c>
      <c r="BC119" s="195" t="s">
        <v>324</v>
      </c>
      <c r="BD119" s="195" t="b">
        <f t="shared" si="2"/>
        <v>1</v>
      </c>
      <c r="BE119" s="195" t="b">
        <f t="shared" ref="BE119:BF119" si="128">IF(IFERROR(FIND("ND",AI119),0),FALSE,TRUE)</f>
        <v>0</v>
      </c>
      <c r="BF119" s="195" t="b">
        <f t="shared" si="128"/>
        <v>0</v>
      </c>
    </row>
    <row r="120" spans="1:58" ht="34.5" customHeight="1">
      <c r="A120" s="218" t="s">
        <v>1467</v>
      </c>
      <c r="B120" s="241">
        <v>1996</v>
      </c>
      <c r="C120" s="195" t="s">
        <v>441</v>
      </c>
      <c r="D120" s="4" t="s">
        <v>1468</v>
      </c>
      <c r="E120" s="239">
        <v>8849805</v>
      </c>
      <c r="F120" s="230" t="str">
        <f t="shared" si="88"/>
        <v>https://pubmed.ncbi.nlm.nih.gov/8849805</v>
      </c>
      <c r="G120" s="213" t="str">
        <f t="shared" si="89"/>
        <v>Alper 1996</v>
      </c>
      <c r="H120" s="195">
        <v>1994</v>
      </c>
      <c r="I120" s="199"/>
      <c r="J120" s="199"/>
      <c r="K120" s="195">
        <v>151</v>
      </c>
      <c r="L120" s="10"/>
      <c r="M120" s="195">
        <v>85</v>
      </c>
      <c r="N120" s="195">
        <v>66</v>
      </c>
      <c r="O120" s="195" t="s">
        <v>324</v>
      </c>
      <c r="P120" s="195">
        <v>18</v>
      </c>
      <c r="Q120" s="195">
        <v>55</v>
      </c>
      <c r="R120" s="195" t="s">
        <v>324</v>
      </c>
      <c r="S120" s="195" t="s">
        <v>324</v>
      </c>
      <c r="T120" s="195">
        <v>28</v>
      </c>
      <c r="U120" s="195" t="s">
        <v>324</v>
      </c>
      <c r="V120" s="195" t="s">
        <v>1469</v>
      </c>
      <c r="W120" s="199"/>
      <c r="X120" s="195">
        <v>147</v>
      </c>
      <c r="Y120" s="195" t="s">
        <v>1470</v>
      </c>
      <c r="Z120" s="195">
        <v>132</v>
      </c>
      <c r="AA120" s="195"/>
      <c r="AB120" s="195">
        <v>0</v>
      </c>
      <c r="AC120" s="199"/>
      <c r="AD120" s="195" t="s">
        <v>322</v>
      </c>
      <c r="AE120" s="195" t="s">
        <v>1471</v>
      </c>
      <c r="AF120" s="195" t="s">
        <v>1472</v>
      </c>
      <c r="AG120" s="195" t="s">
        <v>324</v>
      </c>
      <c r="AH120" s="195" t="s">
        <v>316</v>
      </c>
      <c r="AI120" s="195" t="s">
        <v>324</v>
      </c>
      <c r="AJ120" s="195" t="s">
        <v>324</v>
      </c>
      <c r="AK120" s="199"/>
      <c r="AL120" s="195" t="s">
        <v>322</v>
      </c>
      <c r="AM120" s="199"/>
      <c r="AN120" s="195" t="s">
        <v>332</v>
      </c>
      <c r="AO120" s="195" t="s">
        <v>1473</v>
      </c>
      <c r="AP120" s="195" t="s">
        <v>1474</v>
      </c>
      <c r="AQ120" s="195" t="s">
        <v>324</v>
      </c>
      <c r="AR120" s="220" t="s">
        <v>1431</v>
      </c>
      <c r="AS120" s="195" t="s">
        <v>308</v>
      </c>
      <c r="AT120" s="199"/>
      <c r="AU120" s="202" t="s">
        <v>1475</v>
      </c>
      <c r="AV120" s="195" t="s">
        <v>738</v>
      </c>
      <c r="AW120" s="195" t="str">
        <f ca="1">IFERROR(__xludf.DUMMYFUNCTION("IF(AND(IF(AS120=""Yes"",True,False),NOT(IFERROR(REGEXMATCH(AV120,ExclusionCategories),FALSE))),""Yes"", ""No"")"),"Yes")</f>
        <v>Yes</v>
      </c>
      <c r="AX120" s="195">
        <f ca="1">IFERROR(__xludf.DUMMYFUNCTION("IF(IFERROR(SEARCH(""Unclear"", Z120)) = 1, VALUE(REGEXEXTRACT(Z120,""\d+"")), Z120)"),132)</f>
        <v>132</v>
      </c>
      <c r="AY120" s="195">
        <v>132</v>
      </c>
      <c r="AZ120" s="195" t="str">
        <f ca="1">IFERROR(__xludf.DUMMYFUNCTION("IF(IFERROR(SEARCH(""Unclear"", AG120)) = 1, VALUE(REGEXEXTRACT(AG120,""\d+"")), AG120)"),"ND")</f>
        <v>ND</v>
      </c>
      <c r="BA120" s="195" t="s">
        <v>324</v>
      </c>
      <c r="BB120" s="195" t="str">
        <f ca="1">IFERROR(__xludf.DUMMYFUNCTION("IF(IFERROR(SEARCH(""Unclear"", AJ120)) = 1, VALUE(REGEXEXTRACT(AJ120,""\d+"")), AJ120)"),"ND")</f>
        <v>ND</v>
      </c>
      <c r="BC120" s="195" t="s">
        <v>324</v>
      </c>
      <c r="BD120" s="195" t="b">
        <f t="shared" si="2"/>
        <v>0</v>
      </c>
      <c r="BE120" s="195" t="b">
        <f t="shared" ref="BE120:BF120" si="129">IF(IFERROR(FIND("ND",AI120),0),FALSE,TRUE)</f>
        <v>0</v>
      </c>
      <c r="BF120" s="195" t="b">
        <f t="shared" si="129"/>
        <v>0</v>
      </c>
    </row>
    <row r="121" spans="1:58" ht="34.5" customHeight="1">
      <c r="A121" s="195" t="s">
        <v>1476</v>
      </c>
      <c r="B121" s="195">
        <v>1985</v>
      </c>
      <c r="C121" s="195" t="s">
        <v>1477</v>
      </c>
      <c r="D121" s="4" t="s">
        <v>1478</v>
      </c>
      <c r="E121" s="239">
        <v>2993431</v>
      </c>
      <c r="F121" s="230" t="str">
        <f t="shared" si="88"/>
        <v>https://pubmed.ncbi.nlm.nih.gov/2993431</v>
      </c>
      <c r="G121" s="213" t="str">
        <f t="shared" si="89"/>
        <v>Anderson 1985</v>
      </c>
      <c r="H121" s="217">
        <v>1985</v>
      </c>
      <c r="I121" s="199"/>
      <c r="J121" s="199"/>
      <c r="K121" s="195">
        <v>9</v>
      </c>
      <c r="L121" s="10"/>
      <c r="M121" s="195" t="s">
        <v>324</v>
      </c>
      <c r="N121" s="195" t="s">
        <v>324</v>
      </c>
      <c r="O121" s="195" t="s">
        <v>324</v>
      </c>
      <c r="P121" s="195" t="s">
        <v>324</v>
      </c>
      <c r="Q121" s="195" t="s">
        <v>324</v>
      </c>
      <c r="R121" s="195">
        <v>45</v>
      </c>
      <c r="S121" s="195">
        <v>52</v>
      </c>
      <c r="T121" s="195" t="s">
        <v>324</v>
      </c>
      <c r="U121" s="195" t="s">
        <v>324</v>
      </c>
      <c r="V121" s="195" t="s">
        <v>1479</v>
      </c>
      <c r="W121" s="199"/>
      <c r="X121" s="195">
        <v>9</v>
      </c>
      <c r="Y121" s="199"/>
      <c r="Z121" s="195">
        <v>5</v>
      </c>
      <c r="AA121" s="199"/>
      <c r="AB121" s="195">
        <v>0</v>
      </c>
      <c r="AC121" s="199"/>
      <c r="AD121" s="195" t="s">
        <v>322</v>
      </c>
      <c r="AE121" s="195" t="s">
        <v>1163</v>
      </c>
      <c r="AF121" s="195" t="s">
        <v>1480</v>
      </c>
      <c r="AG121" s="195">
        <v>8</v>
      </c>
      <c r="AH121" s="195" t="s">
        <v>316</v>
      </c>
      <c r="AI121" s="195">
        <v>0</v>
      </c>
      <c r="AJ121" s="195" t="s">
        <v>324</v>
      </c>
      <c r="AK121" s="195" t="s">
        <v>1481</v>
      </c>
      <c r="AL121" s="195" t="s">
        <v>322</v>
      </c>
      <c r="AM121" s="199"/>
      <c r="AN121" s="195" t="s">
        <v>513</v>
      </c>
      <c r="AO121" s="195" t="s">
        <v>1482</v>
      </c>
      <c r="AP121" s="195" t="s">
        <v>1483</v>
      </c>
      <c r="AQ121" s="195" t="s">
        <v>324</v>
      </c>
      <c r="AR121" s="220" t="s">
        <v>1431</v>
      </c>
      <c r="AS121" s="195" t="s">
        <v>308</v>
      </c>
      <c r="AT121" s="199"/>
      <c r="AU121" s="202" t="s">
        <v>1484</v>
      </c>
      <c r="AV121" s="195" t="s">
        <v>738</v>
      </c>
      <c r="AW121" s="195" t="str">
        <f ca="1">IFERROR(__xludf.DUMMYFUNCTION("IF(AND(IF(AS121=""Yes"",True,False),NOT(IFERROR(REGEXMATCH(AV121,ExclusionCategories),FALSE))),""Yes"", ""No"")"),"Yes")</f>
        <v>Yes</v>
      </c>
      <c r="AX121" s="195">
        <f ca="1">IFERROR(__xludf.DUMMYFUNCTION("IF(IFERROR(SEARCH(""Unclear"", Z121)) = 1, VALUE(REGEXEXTRACT(Z121,""\d+"")), Z121)"),5)</f>
        <v>5</v>
      </c>
      <c r="AY121" s="195">
        <v>5</v>
      </c>
      <c r="AZ121" s="195">
        <f ca="1">IFERROR(__xludf.DUMMYFUNCTION("IF(IFERROR(SEARCH(""Unclear"", AG121)) = 1, VALUE(REGEXEXTRACT(AG121,""\d+"")), AG121)"),8)</f>
        <v>8</v>
      </c>
      <c r="BA121" s="195">
        <v>8</v>
      </c>
      <c r="BB121" s="195" t="str">
        <f ca="1">IFERROR(__xludf.DUMMYFUNCTION("IF(IFERROR(SEARCH(""Unclear"", AJ121)) = 1, VALUE(REGEXEXTRACT(AJ121,""\d+"")), AJ121)"),"ND")</f>
        <v>ND</v>
      </c>
      <c r="BC121" s="195" t="s">
        <v>324</v>
      </c>
      <c r="BD121" s="195" t="b">
        <f t="shared" si="2"/>
        <v>1</v>
      </c>
      <c r="BE121" s="195" t="b">
        <f t="shared" ref="BE121:BF121" si="130">IF(IFERROR(FIND("ND",AI121),0),FALSE,TRUE)</f>
        <v>1</v>
      </c>
      <c r="BF121" s="195" t="b">
        <f t="shared" si="130"/>
        <v>0</v>
      </c>
    </row>
    <row r="122" spans="1:58" ht="34.5" customHeight="1">
      <c r="A122" s="195" t="s">
        <v>1485</v>
      </c>
      <c r="B122" s="195">
        <v>1977</v>
      </c>
      <c r="C122" s="195" t="s">
        <v>457</v>
      </c>
      <c r="D122" s="4" t="s">
        <v>1486</v>
      </c>
      <c r="E122" s="214">
        <v>925382</v>
      </c>
      <c r="F122" s="230" t="str">
        <f t="shared" si="88"/>
        <v>https://pubmed.ncbi.nlm.nih.gov/925382</v>
      </c>
      <c r="G122" s="213" t="str">
        <f t="shared" si="89"/>
        <v>Betts 1977</v>
      </c>
      <c r="H122" s="195">
        <v>1976</v>
      </c>
      <c r="I122" s="199"/>
      <c r="J122" s="199"/>
      <c r="K122" s="199">
        <f>21+21</f>
        <v>42</v>
      </c>
      <c r="L122" s="10"/>
      <c r="M122" s="199">
        <f>11+11</f>
        <v>22</v>
      </c>
      <c r="N122" s="199">
        <f>10+10</f>
        <v>20</v>
      </c>
      <c r="O122" s="195" t="s">
        <v>324</v>
      </c>
      <c r="P122" s="195" t="s">
        <v>324</v>
      </c>
      <c r="Q122" s="195" t="s">
        <v>324</v>
      </c>
      <c r="R122" s="195">
        <v>18</v>
      </c>
      <c r="S122" s="195">
        <v>25</v>
      </c>
      <c r="T122" s="195" t="s">
        <v>364</v>
      </c>
      <c r="U122" s="195" t="s">
        <v>324</v>
      </c>
      <c r="V122" s="195" t="s">
        <v>1487</v>
      </c>
      <c r="W122" s="199"/>
      <c r="X122" s="195">
        <v>42</v>
      </c>
      <c r="Y122" s="195" t="s">
        <v>1488</v>
      </c>
      <c r="Z122" s="195">
        <v>37</v>
      </c>
      <c r="AA122" s="195" t="s">
        <v>1489</v>
      </c>
      <c r="AB122" s="195">
        <v>0</v>
      </c>
      <c r="AC122" s="199"/>
      <c r="AD122" s="195" t="s">
        <v>322</v>
      </c>
      <c r="AE122" s="195" t="s">
        <v>1490</v>
      </c>
      <c r="AF122" s="195" t="s">
        <v>1491</v>
      </c>
      <c r="AG122" s="195">
        <v>29</v>
      </c>
      <c r="AH122" s="195" t="s">
        <v>308</v>
      </c>
      <c r="AI122" s="223">
        <v>0</v>
      </c>
      <c r="AJ122" s="195" t="s">
        <v>394</v>
      </c>
      <c r="AK122" s="195" t="s">
        <v>1492</v>
      </c>
      <c r="AL122" s="195" t="s">
        <v>322</v>
      </c>
      <c r="AM122" s="199"/>
      <c r="AN122" s="195" t="s">
        <v>1493</v>
      </c>
      <c r="AO122" s="195" t="s">
        <v>1494</v>
      </c>
      <c r="AP122" s="195" t="s">
        <v>324</v>
      </c>
      <c r="AQ122" s="195" t="s">
        <v>324</v>
      </c>
      <c r="AR122" s="220" t="s">
        <v>1431</v>
      </c>
      <c r="AS122" s="195" t="s">
        <v>316</v>
      </c>
      <c r="AT122" s="199"/>
      <c r="AU122" s="242" t="s">
        <v>1495</v>
      </c>
      <c r="AV122" s="195" t="s">
        <v>1447</v>
      </c>
      <c r="AW122" s="195" t="str">
        <f ca="1">IFERROR(__xludf.DUMMYFUNCTION("IF(AND(IF(AS122=""Yes"",True,False),NOT(IFERROR(REGEXMATCH(AV122,ExclusionCategories),FALSE))),""Yes"", ""No"")"),"No")</f>
        <v>No</v>
      </c>
      <c r="AX122" s="195">
        <f ca="1">IFERROR(__xludf.DUMMYFUNCTION("IF(IFERROR(SEARCH(""Unclear"", Z122)) = 1, VALUE(REGEXEXTRACT(Z122,""\d+"")), Z122)"),37)</f>
        <v>37</v>
      </c>
      <c r="AY122" s="195">
        <v>37</v>
      </c>
      <c r="AZ122" s="195">
        <f ca="1">IFERROR(__xludf.DUMMYFUNCTION("IF(IFERROR(SEARCH(""Unclear"", AG122)) = 1, VALUE(REGEXEXTRACT(AG122,""\d+"")), AG122)"),29)</f>
        <v>29</v>
      </c>
      <c r="BA122" s="195">
        <v>29</v>
      </c>
      <c r="BB122" s="195">
        <f ca="1">IFERROR(__xludf.DUMMYFUNCTION("IF(IFERROR(SEARCH(""Unclear"", AJ122)) = 1, VALUE(REGEXEXTRACT(AJ122,""\d+"")), AJ122)"),0)</f>
        <v>0</v>
      </c>
      <c r="BC122" s="195">
        <v>29</v>
      </c>
      <c r="BD122" s="195" t="b">
        <f t="shared" si="2"/>
        <v>1</v>
      </c>
      <c r="BE122" s="195" t="b">
        <f t="shared" ref="BE122:BF122" si="131">IF(IFERROR(FIND("ND",AI122),0),FALSE,TRUE)</f>
        <v>1</v>
      </c>
      <c r="BF122" s="195" t="b">
        <f t="shared" si="131"/>
        <v>1</v>
      </c>
    </row>
    <row r="123" spans="1:58" ht="34.5" customHeight="1">
      <c r="A123" s="195" t="s">
        <v>1496</v>
      </c>
      <c r="B123" s="195">
        <v>1991</v>
      </c>
      <c r="C123" s="195" t="s">
        <v>457</v>
      </c>
      <c r="D123" s="4" t="s">
        <v>1497</v>
      </c>
      <c r="E123" s="239">
        <v>2024815</v>
      </c>
      <c r="F123" s="230" t="str">
        <f t="shared" si="88"/>
        <v>https://pubmed.ncbi.nlm.nih.gov/2024815</v>
      </c>
      <c r="G123" s="213" t="str">
        <f t="shared" si="89"/>
        <v>Bjornson 1991</v>
      </c>
      <c r="H123" s="217">
        <v>1991</v>
      </c>
      <c r="I123" s="199"/>
      <c r="J123" s="199"/>
      <c r="K123" s="195">
        <v>12</v>
      </c>
      <c r="L123" s="10"/>
      <c r="M123" s="195">
        <v>3</v>
      </c>
      <c r="N123" s="195">
        <v>9</v>
      </c>
      <c r="O123" s="195" t="s">
        <v>324</v>
      </c>
      <c r="P123" s="195" t="s">
        <v>324</v>
      </c>
      <c r="Q123" s="195" t="s">
        <v>324</v>
      </c>
      <c r="R123" s="195">
        <v>18</v>
      </c>
      <c r="S123" s="195">
        <v>40</v>
      </c>
      <c r="T123" s="195">
        <v>29.3</v>
      </c>
      <c r="U123" s="195" t="s">
        <v>324</v>
      </c>
      <c r="V123" s="195" t="s">
        <v>1498</v>
      </c>
      <c r="W123" s="199"/>
      <c r="X123" s="195">
        <v>7</v>
      </c>
      <c r="Y123" s="199"/>
      <c r="Z123" s="195">
        <v>7</v>
      </c>
      <c r="AA123" s="199"/>
      <c r="AB123" s="195">
        <v>4</v>
      </c>
      <c r="AC123" s="199"/>
      <c r="AD123" s="195">
        <v>0</v>
      </c>
      <c r="AE123" s="195" t="s">
        <v>1499</v>
      </c>
      <c r="AF123" s="195" t="s">
        <v>1500</v>
      </c>
      <c r="AG123" s="195">
        <v>4</v>
      </c>
      <c r="AH123" s="195" t="s">
        <v>511</v>
      </c>
      <c r="AI123" s="195">
        <v>0</v>
      </c>
      <c r="AJ123" s="195" t="s">
        <v>324</v>
      </c>
      <c r="AK123" s="195" t="s">
        <v>499</v>
      </c>
      <c r="AL123" s="195">
        <v>0</v>
      </c>
      <c r="AM123" s="199"/>
      <c r="AN123" s="195" t="s">
        <v>699</v>
      </c>
      <c r="AO123" s="195" t="s">
        <v>1501</v>
      </c>
      <c r="AP123" s="195" t="s">
        <v>324</v>
      </c>
      <c r="AQ123" s="195" t="s">
        <v>1502</v>
      </c>
      <c r="AR123" s="220" t="s">
        <v>1431</v>
      </c>
      <c r="AS123" s="195" t="s">
        <v>308</v>
      </c>
      <c r="AT123" s="199"/>
      <c r="AU123" s="242" t="s">
        <v>1503</v>
      </c>
      <c r="AV123" s="195" t="s">
        <v>571</v>
      </c>
      <c r="AW123" s="195" t="str">
        <f ca="1">IFERROR(__xludf.DUMMYFUNCTION("IF(AND(IF(AS123=""Yes"",True,False),NOT(IFERROR(REGEXMATCH(AV123,ExclusionCategories),FALSE))),""Yes"", ""No"")"),"Yes")</f>
        <v>Yes</v>
      </c>
      <c r="AX123" s="195">
        <f ca="1">IFERROR(__xludf.DUMMYFUNCTION("IF(IFERROR(SEARCH(""Unclear"", Z123)) = 1, VALUE(REGEXEXTRACT(Z123,""\d+"")), Z123)"),7)</f>
        <v>7</v>
      </c>
      <c r="AY123" s="195">
        <v>7</v>
      </c>
      <c r="AZ123" s="195">
        <f ca="1">IFERROR(__xludf.DUMMYFUNCTION("IF(IFERROR(SEARCH(""Unclear"", AG123)) = 1, VALUE(REGEXEXTRACT(AG123,""\d+"")), AG123)"),4)</f>
        <v>4</v>
      </c>
      <c r="BA123" s="195">
        <v>4</v>
      </c>
      <c r="BB123" s="195" t="str">
        <f ca="1">IFERROR(__xludf.DUMMYFUNCTION("IF(IFERROR(SEARCH(""Unclear"", AJ123)) = 1, VALUE(REGEXEXTRACT(AJ123,""\d+"")), AJ123)"),"ND")</f>
        <v>ND</v>
      </c>
      <c r="BC123" s="195" t="s">
        <v>324</v>
      </c>
      <c r="BD123" s="195" t="b">
        <f t="shared" si="2"/>
        <v>1</v>
      </c>
      <c r="BE123" s="195" t="b">
        <f t="shared" ref="BE123:BF123" si="132">IF(IFERROR(FIND("ND",AI123),0),FALSE,TRUE)</f>
        <v>1</v>
      </c>
      <c r="BF123" s="195" t="b">
        <f t="shared" si="132"/>
        <v>0</v>
      </c>
    </row>
    <row r="124" spans="1:58" ht="34.5" customHeight="1">
      <c r="A124" s="195" t="s">
        <v>1504</v>
      </c>
      <c r="B124" s="195">
        <v>2002</v>
      </c>
      <c r="C124" s="195" t="s">
        <v>359</v>
      </c>
      <c r="D124" s="4" t="s">
        <v>1505</v>
      </c>
      <c r="E124" s="239">
        <v>11893972</v>
      </c>
      <c r="F124" s="230" t="str">
        <f t="shared" si="88"/>
        <v>https://pubmed.ncbi.nlm.nih.gov/11893972</v>
      </c>
      <c r="G124" s="213" t="str">
        <f t="shared" si="89"/>
        <v>Buchman 2002</v>
      </c>
      <c r="H124" s="195">
        <v>2002</v>
      </c>
      <c r="I124" s="199"/>
      <c r="J124" s="199"/>
      <c r="K124" s="195">
        <v>32</v>
      </c>
      <c r="L124" s="10"/>
      <c r="M124" s="195">
        <v>19</v>
      </c>
      <c r="N124" s="195">
        <v>13</v>
      </c>
      <c r="O124" s="195" t="s">
        <v>324</v>
      </c>
      <c r="P124" s="195" t="s">
        <v>324</v>
      </c>
      <c r="Q124" s="195" t="s">
        <v>324</v>
      </c>
      <c r="R124" s="195">
        <v>18</v>
      </c>
      <c r="S124" s="195">
        <v>45</v>
      </c>
      <c r="T124" s="195">
        <v>31</v>
      </c>
      <c r="U124" s="195">
        <v>9</v>
      </c>
      <c r="V124" s="195" t="s">
        <v>1506</v>
      </c>
      <c r="W124" s="199"/>
      <c r="X124" s="195">
        <v>32</v>
      </c>
      <c r="Y124" s="199"/>
      <c r="Z124" s="195">
        <v>18</v>
      </c>
      <c r="AA124" s="199"/>
      <c r="AB124" s="195">
        <v>0</v>
      </c>
      <c r="AC124" s="199"/>
      <c r="AD124" s="195" t="s">
        <v>695</v>
      </c>
      <c r="AE124" s="195" t="s">
        <v>1507</v>
      </c>
      <c r="AF124" s="195" t="s">
        <v>1508</v>
      </c>
      <c r="AG124" s="195">
        <v>32</v>
      </c>
      <c r="AH124" s="195" t="s">
        <v>511</v>
      </c>
      <c r="AI124" s="195">
        <v>0</v>
      </c>
      <c r="AJ124" s="195" t="s">
        <v>324</v>
      </c>
      <c r="AK124" s="195" t="s">
        <v>1509</v>
      </c>
      <c r="AL124" s="195" t="s">
        <v>322</v>
      </c>
      <c r="AM124" s="199"/>
      <c r="AN124" s="195" t="s">
        <v>1510</v>
      </c>
      <c r="AO124" s="195" t="s">
        <v>1511</v>
      </c>
      <c r="AP124" s="195" t="s">
        <v>1512</v>
      </c>
      <c r="AQ124" s="195" t="s">
        <v>1513</v>
      </c>
      <c r="AR124" s="220" t="s">
        <v>1431</v>
      </c>
      <c r="AS124" s="195" t="s">
        <v>308</v>
      </c>
      <c r="AT124" s="199"/>
      <c r="AU124" s="242" t="s">
        <v>1514</v>
      </c>
      <c r="AV124" s="195" t="s">
        <v>571</v>
      </c>
      <c r="AW124" s="195" t="str">
        <f ca="1">IFERROR(__xludf.DUMMYFUNCTION("IF(AND(IF(AS124=""Yes"",True,False),NOT(IFERROR(REGEXMATCH(AV124,ExclusionCategories),FALSE))),""Yes"", ""No"")"),"Yes")</f>
        <v>Yes</v>
      </c>
      <c r="AX124" s="195">
        <f ca="1">IFERROR(__xludf.DUMMYFUNCTION("IF(IFERROR(SEARCH(""Unclear"", Z124)) = 1, VALUE(REGEXEXTRACT(Z124,""\d+"")), Z124)"),18)</f>
        <v>18</v>
      </c>
      <c r="AY124" s="195">
        <v>18</v>
      </c>
      <c r="AZ124" s="195">
        <f ca="1">IFERROR(__xludf.DUMMYFUNCTION("IF(IFERROR(SEARCH(""Unclear"", AG124)) = 1, VALUE(REGEXEXTRACT(AG124,""\d+"")), AG124)"),32)</f>
        <v>32</v>
      </c>
      <c r="BA124" s="195">
        <v>32</v>
      </c>
      <c r="BB124" s="195" t="str">
        <f ca="1">IFERROR(__xludf.DUMMYFUNCTION("IF(IFERROR(SEARCH(""Unclear"", AJ124)) = 1, VALUE(REGEXEXTRACT(AJ124,""\d+"")), AJ124)"),"ND")</f>
        <v>ND</v>
      </c>
      <c r="BC124" s="195" t="s">
        <v>324</v>
      </c>
      <c r="BD124" s="195" t="b">
        <f t="shared" si="2"/>
        <v>1</v>
      </c>
      <c r="BE124" s="195" t="b">
        <f t="shared" ref="BE124:BF124" si="133">IF(IFERROR(FIND("ND",AI124),0),FALSE,TRUE)</f>
        <v>1</v>
      </c>
      <c r="BF124" s="195" t="b">
        <f t="shared" si="133"/>
        <v>0</v>
      </c>
    </row>
    <row r="125" spans="1:58" ht="34.5" customHeight="1">
      <c r="A125" s="195" t="s">
        <v>1515</v>
      </c>
      <c r="B125" s="195">
        <v>1999</v>
      </c>
      <c r="C125" s="195" t="s">
        <v>457</v>
      </c>
      <c r="D125" s="4" t="s">
        <v>1516</v>
      </c>
      <c r="E125" s="239">
        <v>10390212</v>
      </c>
      <c r="F125" s="230" t="str">
        <f t="shared" si="88"/>
        <v>https://pubmed.ncbi.nlm.nih.gov/10390212</v>
      </c>
      <c r="G125" s="213" t="str">
        <f t="shared" si="89"/>
        <v>Calfee 1999</v>
      </c>
      <c r="H125" s="217">
        <v>1999</v>
      </c>
      <c r="I125" s="199"/>
      <c r="J125" s="199"/>
      <c r="K125" s="195">
        <v>16</v>
      </c>
      <c r="L125" s="4" t="s">
        <v>1517</v>
      </c>
      <c r="M125" s="195">
        <v>16</v>
      </c>
      <c r="N125" s="195">
        <v>0</v>
      </c>
      <c r="O125" s="195">
        <v>21.25</v>
      </c>
      <c r="P125" s="195">
        <v>18</v>
      </c>
      <c r="Q125" s="195">
        <v>35</v>
      </c>
      <c r="R125" s="195" t="s">
        <v>324</v>
      </c>
      <c r="S125" s="195" t="s">
        <v>324</v>
      </c>
      <c r="T125" s="195" t="s">
        <v>364</v>
      </c>
      <c r="U125" s="195" t="s">
        <v>365</v>
      </c>
      <c r="V125" s="195" t="s">
        <v>1518</v>
      </c>
      <c r="W125" s="199"/>
      <c r="X125" s="195">
        <v>15</v>
      </c>
      <c r="Y125" s="195" t="s">
        <v>1519</v>
      </c>
      <c r="Z125" s="199">
        <f>1+8</f>
        <v>9</v>
      </c>
      <c r="AA125" s="195" t="s">
        <v>1520</v>
      </c>
      <c r="AB125" s="195">
        <v>0</v>
      </c>
      <c r="AC125" s="199"/>
      <c r="AD125" s="195" t="s">
        <v>695</v>
      </c>
      <c r="AE125" s="195" t="s">
        <v>1521</v>
      </c>
      <c r="AF125" s="199"/>
      <c r="AG125" s="195" t="s">
        <v>324</v>
      </c>
      <c r="AH125" s="195" t="s">
        <v>511</v>
      </c>
      <c r="AI125" s="195">
        <v>0</v>
      </c>
      <c r="AJ125" s="195">
        <v>3</v>
      </c>
      <c r="AK125" s="195" t="s">
        <v>1522</v>
      </c>
      <c r="AL125" s="195" t="s">
        <v>322</v>
      </c>
      <c r="AM125" s="199"/>
      <c r="AN125" s="195" t="s">
        <v>1523</v>
      </c>
      <c r="AO125" s="195" t="s">
        <v>1524</v>
      </c>
      <c r="AP125" s="195" t="s">
        <v>1525</v>
      </c>
      <c r="AQ125" s="195" t="s">
        <v>1526</v>
      </c>
      <c r="AR125" s="220" t="s">
        <v>1431</v>
      </c>
      <c r="AS125" s="195" t="s">
        <v>308</v>
      </c>
      <c r="AT125" s="199"/>
      <c r="AU125" s="202" t="s">
        <v>1527</v>
      </c>
      <c r="AV125" s="195" t="s">
        <v>9</v>
      </c>
      <c r="AW125" s="195" t="str">
        <f ca="1">IFERROR(__xludf.DUMMYFUNCTION("IF(AND(IF(AS125=""Yes"",True,False),NOT(IFERROR(REGEXMATCH(AV125,ExclusionCategories),FALSE))),""Yes"", ""No"")"),"Yes")</f>
        <v>Yes</v>
      </c>
      <c r="AX125" s="195">
        <f ca="1">IFERROR(__xludf.DUMMYFUNCTION("IF(IFERROR(SEARCH(""Unclear"", Z125)) = 1, VALUE(REGEXEXTRACT(Z125,""\d+"")), Z125)"),9)</f>
        <v>9</v>
      </c>
      <c r="AY125" s="195">
        <v>9</v>
      </c>
      <c r="AZ125" s="195" t="str">
        <f ca="1">IFERROR(__xludf.DUMMYFUNCTION("IF(IFERROR(SEARCH(""Unclear"", AG125)) = 1, VALUE(REGEXEXTRACT(AG125,""\d+"")), AG125)"),"ND")</f>
        <v>ND</v>
      </c>
      <c r="BA125" s="195" t="s">
        <v>324</v>
      </c>
      <c r="BB125" s="195">
        <f ca="1">IFERROR(__xludf.DUMMYFUNCTION("IF(IFERROR(SEARCH(""Unclear"", AJ125)) = 1, VALUE(REGEXEXTRACT(AJ125,""\d+"")), AJ125)"),3)</f>
        <v>3</v>
      </c>
      <c r="BC125" s="195">
        <v>3</v>
      </c>
      <c r="BD125" s="195" t="b">
        <f t="shared" si="2"/>
        <v>0</v>
      </c>
      <c r="BE125" s="195" t="b">
        <f t="shared" ref="BE125:BF125" si="134">IF(IFERROR(FIND("ND",AI125),0),FALSE,TRUE)</f>
        <v>1</v>
      </c>
      <c r="BF125" s="195" t="b">
        <f t="shared" si="134"/>
        <v>1</v>
      </c>
    </row>
    <row r="126" spans="1:58" ht="34.5" customHeight="1">
      <c r="A126" s="195" t="s">
        <v>1528</v>
      </c>
      <c r="B126" s="195">
        <v>1991</v>
      </c>
      <c r="C126" s="195" t="s">
        <v>441</v>
      </c>
      <c r="D126" s="4" t="s">
        <v>1529</v>
      </c>
      <c r="E126" s="239">
        <v>1720601</v>
      </c>
      <c r="F126" s="230" t="str">
        <f t="shared" si="88"/>
        <v>https://pubmed.ncbi.nlm.nih.gov/1720601</v>
      </c>
      <c r="G126" s="213" t="str">
        <f t="shared" si="89"/>
        <v>Calhoun 1991</v>
      </c>
      <c r="H126" s="217">
        <v>1991</v>
      </c>
      <c r="I126" s="199"/>
      <c r="J126" s="199"/>
      <c r="K126" s="195">
        <v>8</v>
      </c>
      <c r="L126" s="4" t="s">
        <v>1530</v>
      </c>
      <c r="M126" s="195">
        <v>8</v>
      </c>
      <c r="N126" s="195">
        <v>0</v>
      </c>
      <c r="O126" s="199">
        <f>MEDIAN(24,44,23,53,22,55,25,19)</f>
        <v>24.5</v>
      </c>
      <c r="P126" s="199">
        <f>MIN(24,44,23,53,22,55,25,19)</f>
        <v>19</v>
      </c>
      <c r="Q126" s="199">
        <f>MAX(24,44,23,53,22,55,25,19)</f>
        <v>55</v>
      </c>
      <c r="R126" s="195" t="s">
        <v>324</v>
      </c>
      <c r="S126" s="195" t="s">
        <v>324</v>
      </c>
      <c r="T126" s="195">
        <v>33</v>
      </c>
      <c r="U126" s="195" t="s">
        <v>1531</v>
      </c>
      <c r="V126" s="195" t="s">
        <v>1532</v>
      </c>
      <c r="W126" s="199"/>
      <c r="X126" s="195">
        <v>8</v>
      </c>
      <c r="Y126" s="199"/>
      <c r="Z126" s="195">
        <v>8</v>
      </c>
      <c r="AA126" s="199"/>
      <c r="AB126" s="195">
        <v>0</v>
      </c>
      <c r="AC126" s="199"/>
      <c r="AD126" s="195" t="s">
        <v>695</v>
      </c>
      <c r="AE126" s="195" t="s">
        <v>1533</v>
      </c>
      <c r="AF126" s="195" t="s">
        <v>1534</v>
      </c>
      <c r="AG126" s="195">
        <v>8</v>
      </c>
      <c r="AH126" s="195" t="s">
        <v>511</v>
      </c>
      <c r="AI126" s="195">
        <v>0</v>
      </c>
      <c r="AJ126" s="195">
        <v>3</v>
      </c>
      <c r="AK126" s="195" t="s">
        <v>499</v>
      </c>
      <c r="AL126" s="195" t="s">
        <v>695</v>
      </c>
      <c r="AM126" s="199"/>
      <c r="AN126" s="195" t="s">
        <v>699</v>
      </c>
      <c r="AO126" s="195" t="s">
        <v>1535</v>
      </c>
      <c r="AP126" s="195" t="s">
        <v>324</v>
      </c>
      <c r="AQ126" s="195" t="s">
        <v>1536</v>
      </c>
      <c r="AR126" s="220" t="s">
        <v>1431</v>
      </c>
      <c r="AS126" s="195" t="s">
        <v>308</v>
      </c>
      <c r="AT126" s="199"/>
      <c r="AU126" s="202" t="s">
        <v>1537</v>
      </c>
      <c r="AV126" s="195" t="s">
        <v>571</v>
      </c>
      <c r="AW126" s="195" t="str">
        <f ca="1">IFERROR(__xludf.DUMMYFUNCTION("IF(AND(IF(AS126=""Yes"",True,False),NOT(IFERROR(REGEXMATCH(AV126,ExclusionCategories),FALSE))),""Yes"", ""No"")"),"Yes")</f>
        <v>Yes</v>
      </c>
      <c r="AX126" s="195">
        <f ca="1">IFERROR(__xludf.DUMMYFUNCTION("IF(IFERROR(SEARCH(""Unclear"", Z126)) = 1, VALUE(REGEXEXTRACT(Z126,""\d+"")), Z126)"),8)</f>
        <v>8</v>
      </c>
      <c r="AY126" s="195">
        <v>8</v>
      </c>
      <c r="AZ126" s="195">
        <f ca="1">IFERROR(__xludf.DUMMYFUNCTION("IF(IFERROR(SEARCH(""Unclear"", AG126)) = 1, VALUE(REGEXEXTRACT(AG126,""\d+"")), AG126)"),8)</f>
        <v>8</v>
      </c>
      <c r="BA126" s="195">
        <v>8</v>
      </c>
      <c r="BB126" s="195">
        <f ca="1">IFERROR(__xludf.DUMMYFUNCTION("IF(IFERROR(SEARCH(""Unclear"", AJ126)) = 1, VALUE(REGEXEXTRACT(AJ126,""\d+"")), AJ126)"),3)</f>
        <v>3</v>
      </c>
      <c r="BC126" s="195">
        <v>3</v>
      </c>
      <c r="BD126" s="195" t="b">
        <f t="shared" si="2"/>
        <v>1</v>
      </c>
      <c r="BE126" s="195" t="b">
        <f t="shared" ref="BE126:BF126" si="135">IF(IFERROR(FIND("ND",AI126),0),FALSE,TRUE)</f>
        <v>1</v>
      </c>
      <c r="BF126" s="195" t="b">
        <f t="shared" si="135"/>
        <v>1</v>
      </c>
    </row>
    <row r="127" spans="1:58" ht="34.5" customHeight="1">
      <c r="A127" s="227" t="s">
        <v>1538</v>
      </c>
      <c r="B127" s="243">
        <v>1990</v>
      </c>
      <c r="C127" s="195" t="s">
        <v>619</v>
      </c>
      <c r="D127" s="4" t="s">
        <v>1539</v>
      </c>
      <c r="E127" s="243">
        <v>2295861</v>
      </c>
      <c r="F127" s="213"/>
      <c r="G127" s="213" t="str">
        <f t="shared" si="89"/>
        <v>Cannon 1990</v>
      </c>
      <c r="H127" s="217">
        <v>1990</v>
      </c>
      <c r="I127" s="199"/>
      <c r="J127" s="199"/>
      <c r="K127" s="195">
        <v>6</v>
      </c>
      <c r="L127" s="4"/>
      <c r="M127" s="195">
        <v>6</v>
      </c>
      <c r="N127" s="195">
        <v>0</v>
      </c>
      <c r="O127" s="195" t="s">
        <v>324</v>
      </c>
      <c r="P127" s="195">
        <v>28</v>
      </c>
      <c r="Q127" s="195">
        <v>39</v>
      </c>
      <c r="R127" s="195" t="s">
        <v>324</v>
      </c>
      <c r="S127" s="195" t="s">
        <v>324</v>
      </c>
      <c r="T127" s="195" t="s">
        <v>324</v>
      </c>
      <c r="U127" s="195" t="s">
        <v>324</v>
      </c>
      <c r="V127" s="195" t="s">
        <v>332</v>
      </c>
      <c r="W127" s="199"/>
      <c r="X127" s="195">
        <v>6</v>
      </c>
      <c r="Y127" s="199"/>
      <c r="Z127" s="195" t="s">
        <v>394</v>
      </c>
      <c r="AA127" s="195" t="s">
        <v>324</v>
      </c>
      <c r="AB127" s="195">
        <v>0</v>
      </c>
      <c r="AC127" s="199"/>
      <c r="AD127" s="195" t="s">
        <v>322</v>
      </c>
      <c r="AE127" s="195" t="s">
        <v>332</v>
      </c>
      <c r="AF127" s="195" t="s">
        <v>1472</v>
      </c>
      <c r="AG127" s="195" t="s">
        <v>324</v>
      </c>
      <c r="AH127" s="195" t="s">
        <v>316</v>
      </c>
      <c r="AI127" s="195" t="s">
        <v>324</v>
      </c>
      <c r="AJ127" s="195" t="s">
        <v>324</v>
      </c>
      <c r="AK127" s="195"/>
      <c r="AL127" s="195" t="s">
        <v>322</v>
      </c>
      <c r="AM127" s="199"/>
      <c r="AN127" s="195" t="s">
        <v>332</v>
      </c>
      <c r="AO127" s="195" t="s">
        <v>324</v>
      </c>
      <c r="AP127" s="195" t="s">
        <v>1540</v>
      </c>
      <c r="AQ127" s="195" t="s">
        <v>324</v>
      </c>
      <c r="AR127" s="220" t="s">
        <v>1431</v>
      </c>
      <c r="AS127" s="195" t="s">
        <v>308</v>
      </c>
      <c r="AT127" s="199"/>
      <c r="AU127" s="195" t="s">
        <v>1541</v>
      </c>
      <c r="AV127" s="195" t="s">
        <v>9</v>
      </c>
      <c r="AW127" s="195" t="str">
        <f ca="1">IFERROR(__xludf.DUMMYFUNCTION("IF(AND(IF(AS127=""Yes"",True,False),NOT(IFERROR(REGEXMATCH(AV127,ExclusionCategories),FALSE))),""Yes"", ""No"")"),"Yes")</f>
        <v>Yes</v>
      </c>
      <c r="AX127" s="195">
        <f ca="1">IFERROR(__xludf.DUMMYFUNCTION("IF(IFERROR(SEARCH(""Unclear"", Z127)) = 1, VALUE(REGEXEXTRACT(Z127,""\d+"")), Z127)"),0)</f>
        <v>0</v>
      </c>
      <c r="AY127" s="195">
        <v>6</v>
      </c>
      <c r="AZ127" s="195" t="str">
        <f ca="1">IFERROR(__xludf.DUMMYFUNCTION("IF(IFERROR(SEARCH(""Unclear"", AG127)) = 1, VALUE(REGEXEXTRACT(AG127,""\d+"")), AG127)"),"ND")</f>
        <v>ND</v>
      </c>
      <c r="BA127" s="195" t="s">
        <v>324</v>
      </c>
      <c r="BB127" s="195" t="str">
        <f ca="1">IFERROR(__xludf.DUMMYFUNCTION("IF(IFERROR(SEARCH(""Unclear"", AJ127)) = 1, VALUE(REGEXEXTRACT(AJ127,""\d+"")), AJ127)"),"ND")</f>
        <v>ND</v>
      </c>
      <c r="BC127" s="195" t="s">
        <v>324</v>
      </c>
      <c r="BD127" s="195" t="b">
        <f t="shared" si="2"/>
        <v>0</v>
      </c>
      <c r="BE127" s="195" t="b">
        <f t="shared" ref="BE127:BF127" si="136">IF(IFERROR(FIND("ND",AI127),0),FALSE,TRUE)</f>
        <v>0</v>
      </c>
      <c r="BF127" s="195" t="b">
        <f t="shared" si="136"/>
        <v>0</v>
      </c>
    </row>
    <row r="128" spans="1:58" ht="34.5" customHeight="1">
      <c r="A128" s="218" t="s">
        <v>1542</v>
      </c>
      <c r="B128" s="241">
        <v>1982</v>
      </c>
      <c r="C128" s="195" t="s">
        <v>457</v>
      </c>
      <c r="D128" s="4" t="s">
        <v>1543</v>
      </c>
      <c r="E128" s="239">
        <v>7141686</v>
      </c>
      <c r="F128" s="230" t="str">
        <f t="shared" ref="F128:F183" si="137">"https://pubmed.ncbi.nlm.nih.gov/"&amp;E128</f>
        <v>https://pubmed.ncbi.nlm.nih.gov/7141686</v>
      </c>
      <c r="G128" s="213" t="str">
        <f t="shared" si="89"/>
        <v>Cate 1982</v>
      </c>
      <c r="H128" s="217">
        <v>1982</v>
      </c>
      <c r="I128" s="199"/>
      <c r="J128" s="199"/>
      <c r="K128" s="195">
        <v>34</v>
      </c>
      <c r="L128" s="4" t="s">
        <v>1544</v>
      </c>
      <c r="M128" s="195">
        <v>34</v>
      </c>
      <c r="N128" s="195">
        <v>0</v>
      </c>
      <c r="O128" s="195" t="s">
        <v>324</v>
      </c>
      <c r="P128" s="195" t="s">
        <v>1545</v>
      </c>
      <c r="Q128" s="195" t="s">
        <v>1545</v>
      </c>
      <c r="R128" s="195" t="s">
        <v>324</v>
      </c>
      <c r="S128" s="195" t="s">
        <v>324</v>
      </c>
      <c r="T128" s="195" t="s">
        <v>324</v>
      </c>
      <c r="U128" s="195" t="s">
        <v>324</v>
      </c>
      <c r="V128" s="195" t="s">
        <v>1546</v>
      </c>
      <c r="W128" s="199"/>
      <c r="X128" s="195">
        <v>34</v>
      </c>
      <c r="Y128" s="195" t="s">
        <v>1547</v>
      </c>
      <c r="Z128" s="195">
        <v>13</v>
      </c>
      <c r="AA128" s="199"/>
      <c r="AB128" s="195">
        <v>0</v>
      </c>
      <c r="AC128" s="199"/>
      <c r="AD128" s="195" t="s">
        <v>322</v>
      </c>
      <c r="AE128" s="195" t="s">
        <v>1548</v>
      </c>
      <c r="AF128" s="195" t="s">
        <v>1549</v>
      </c>
      <c r="AG128" s="195">
        <v>5</v>
      </c>
      <c r="AH128" s="195" t="s">
        <v>308</v>
      </c>
      <c r="AI128" s="195">
        <v>0</v>
      </c>
      <c r="AJ128" s="195" t="s">
        <v>324</v>
      </c>
      <c r="AK128" s="195" t="s">
        <v>499</v>
      </c>
      <c r="AL128" s="195" t="s">
        <v>322</v>
      </c>
      <c r="AM128" s="199"/>
      <c r="AN128" s="195" t="s">
        <v>1550</v>
      </c>
      <c r="AO128" s="195" t="s">
        <v>1551</v>
      </c>
      <c r="AP128" s="195" t="s">
        <v>1552</v>
      </c>
      <c r="AQ128" s="195" t="s">
        <v>324</v>
      </c>
      <c r="AR128" s="220" t="s">
        <v>1431</v>
      </c>
      <c r="AS128" s="195" t="s">
        <v>316</v>
      </c>
      <c r="AT128" s="199"/>
      <c r="AU128" s="202" t="s">
        <v>1553</v>
      </c>
      <c r="AV128" s="195" t="s">
        <v>1447</v>
      </c>
      <c r="AW128" s="195" t="str">
        <f ca="1">IFERROR(__xludf.DUMMYFUNCTION("IF(AND(IF(AS128=""Yes"",True,False),NOT(IFERROR(REGEXMATCH(AV128,ExclusionCategories),FALSE))),""Yes"", ""No"")"),"No")</f>
        <v>No</v>
      </c>
      <c r="AX128" s="195">
        <f ca="1">IFERROR(__xludf.DUMMYFUNCTION("IF(IFERROR(SEARCH(""Unclear"", Z128)) = 1, VALUE(REGEXEXTRACT(Z128,""\d+"")), Z128)"),13)</f>
        <v>13</v>
      </c>
      <c r="AY128" s="195">
        <v>13</v>
      </c>
      <c r="AZ128" s="195">
        <f ca="1">IFERROR(__xludf.DUMMYFUNCTION("IF(IFERROR(SEARCH(""Unclear"", AG128)) = 1, VALUE(REGEXEXTRACT(AG128,""\d+"")), AG128)"),5)</f>
        <v>5</v>
      </c>
      <c r="BA128" s="195">
        <v>5</v>
      </c>
      <c r="BB128" s="195" t="str">
        <f ca="1">IFERROR(__xludf.DUMMYFUNCTION("IF(IFERROR(SEARCH(""Unclear"", AJ128)) = 1, VALUE(REGEXEXTRACT(AJ128,""\d+"")), AJ128)"),"ND")</f>
        <v>ND</v>
      </c>
      <c r="BC128" s="195" t="s">
        <v>324</v>
      </c>
      <c r="BD128" s="195" t="b">
        <f t="shared" si="2"/>
        <v>1</v>
      </c>
      <c r="BE128" s="195" t="b">
        <f t="shared" ref="BE128:BF128" si="138">IF(IFERROR(FIND("ND",AI128),0),FALSE,TRUE)</f>
        <v>1</v>
      </c>
      <c r="BF128" s="195" t="b">
        <f t="shared" si="138"/>
        <v>0</v>
      </c>
    </row>
    <row r="129" spans="1:58" ht="34.5" customHeight="1">
      <c r="A129" s="218" t="s">
        <v>1542</v>
      </c>
      <c r="B129" s="241">
        <v>1982</v>
      </c>
      <c r="C129" s="195" t="s">
        <v>457</v>
      </c>
      <c r="D129" s="4" t="s">
        <v>1543</v>
      </c>
      <c r="E129" s="239">
        <v>7141686</v>
      </c>
      <c r="F129" s="230" t="str">
        <f t="shared" si="137"/>
        <v>https://pubmed.ncbi.nlm.nih.gov/7141686</v>
      </c>
      <c r="G129" s="213" t="str">
        <f t="shared" si="89"/>
        <v>Cate 1982</v>
      </c>
      <c r="H129" s="217">
        <v>1982</v>
      </c>
      <c r="I129" s="199"/>
      <c r="J129" s="199"/>
      <c r="K129" s="195">
        <v>12</v>
      </c>
      <c r="L129" s="4" t="s">
        <v>1554</v>
      </c>
      <c r="M129" s="195">
        <v>12</v>
      </c>
      <c r="N129" s="195">
        <v>0</v>
      </c>
      <c r="O129" s="195" t="s">
        <v>324</v>
      </c>
      <c r="P129" s="195" t="s">
        <v>324</v>
      </c>
      <c r="Q129" s="195" t="s">
        <v>324</v>
      </c>
      <c r="R129" s="195" t="s">
        <v>324</v>
      </c>
      <c r="S129" s="195" t="s">
        <v>324</v>
      </c>
      <c r="T129" s="195" t="s">
        <v>324</v>
      </c>
      <c r="U129" s="195" t="s">
        <v>324</v>
      </c>
      <c r="V129" s="195" t="s">
        <v>1546</v>
      </c>
      <c r="W129" s="199"/>
      <c r="X129" s="195">
        <v>12</v>
      </c>
      <c r="Y129" s="199"/>
      <c r="Z129" s="195">
        <v>7</v>
      </c>
      <c r="AA129" s="199"/>
      <c r="AB129" s="195">
        <v>0</v>
      </c>
      <c r="AC129" s="199"/>
      <c r="AD129" s="195" t="s">
        <v>322</v>
      </c>
      <c r="AE129" s="195" t="s">
        <v>1548</v>
      </c>
      <c r="AF129" s="195" t="s">
        <v>1549</v>
      </c>
      <c r="AG129" s="195">
        <v>0</v>
      </c>
      <c r="AH129" s="195" t="s">
        <v>308</v>
      </c>
      <c r="AI129" s="195">
        <v>0</v>
      </c>
      <c r="AJ129" s="195" t="s">
        <v>324</v>
      </c>
      <c r="AK129" s="195" t="s">
        <v>499</v>
      </c>
      <c r="AL129" s="195" t="s">
        <v>322</v>
      </c>
      <c r="AM129" s="199"/>
      <c r="AN129" s="195" t="s">
        <v>332</v>
      </c>
      <c r="AO129" s="195" t="s">
        <v>1551</v>
      </c>
      <c r="AP129" s="195" t="s">
        <v>1552</v>
      </c>
      <c r="AQ129" s="195" t="s">
        <v>324</v>
      </c>
      <c r="AR129" s="220" t="s">
        <v>1431</v>
      </c>
      <c r="AS129" s="195" t="s">
        <v>316</v>
      </c>
      <c r="AT129" s="199"/>
      <c r="AU129" s="202" t="s">
        <v>1553</v>
      </c>
      <c r="AV129" s="195" t="s">
        <v>1447</v>
      </c>
      <c r="AW129" s="195" t="str">
        <f ca="1">IFERROR(__xludf.DUMMYFUNCTION("IF(AND(IF(AS129=""Yes"",True,False),NOT(IFERROR(REGEXMATCH(AV129,ExclusionCategories),FALSE))),""Yes"", ""No"")"),"No")</f>
        <v>No</v>
      </c>
      <c r="AX129" s="195">
        <f ca="1">IFERROR(__xludf.DUMMYFUNCTION("IF(IFERROR(SEARCH(""Unclear"", Z129)) = 1, VALUE(REGEXEXTRACT(Z129,""\d+"")), Z129)"),7)</f>
        <v>7</v>
      </c>
      <c r="AY129" s="195">
        <v>7</v>
      </c>
      <c r="AZ129" s="195">
        <f ca="1">IFERROR(__xludf.DUMMYFUNCTION("IF(IFERROR(SEARCH(""Unclear"", AG129)) = 1, VALUE(REGEXEXTRACT(AG129,""\d+"")), AG129)"),0)</f>
        <v>0</v>
      </c>
      <c r="BA129" s="195">
        <v>0</v>
      </c>
      <c r="BB129" s="195" t="str">
        <f ca="1">IFERROR(__xludf.DUMMYFUNCTION("IF(IFERROR(SEARCH(""Unclear"", AJ129)) = 1, VALUE(REGEXEXTRACT(AJ129,""\d+"")), AJ129)"),"ND")</f>
        <v>ND</v>
      </c>
      <c r="BC129" s="195" t="s">
        <v>324</v>
      </c>
      <c r="BD129" s="195" t="b">
        <f t="shared" si="2"/>
        <v>1</v>
      </c>
      <c r="BE129" s="195" t="b">
        <f t="shared" ref="BE129:BF129" si="139">IF(IFERROR(FIND("ND",AI129),0),FALSE,TRUE)</f>
        <v>1</v>
      </c>
      <c r="BF129" s="195" t="b">
        <f t="shared" si="139"/>
        <v>0</v>
      </c>
    </row>
    <row r="130" spans="1:58" ht="34.5" customHeight="1">
      <c r="A130" s="218" t="s">
        <v>1542</v>
      </c>
      <c r="B130" s="241">
        <v>1982</v>
      </c>
      <c r="C130" s="195" t="s">
        <v>457</v>
      </c>
      <c r="D130" s="4" t="s">
        <v>1543</v>
      </c>
      <c r="E130" s="239">
        <v>7141686</v>
      </c>
      <c r="F130" s="230" t="str">
        <f t="shared" si="137"/>
        <v>https://pubmed.ncbi.nlm.nih.gov/7141686</v>
      </c>
      <c r="G130" s="213" t="str">
        <f t="shared" si="89"/>
        <v>Cate 1982</v>
      </c>
      <c r="H130" s="217">
        <v>1982</v>
      </c>
      <c r="I130" s="199"/>
      <c r="J130" s="199"/>
      <c r="K130" s="195">
        <v>25</v>
      </c>
      <c r="L130" s="4" t="s">
        <v>1555</v>
      </c>
      <c r="M130" s="195">
        <v>25</v>
      </c>
      <c r="N130" s="195">
        <v>0</v>
      </c>
      <c r="O130" s="195" t="s">
        <v>324</v>
      </c>
      <c r="P130" s="195" t="s">
        <v>324</v>
      </c>
      <c r="Q130" s="195" t="s">
        <v>324</v>
      </c>
      <c r="R130" s="195" t="s">
        <v>324</v>
      </c>
      <c r="S130" s="195" t="s">
        <v>324</v>
      </c>
      <c r="T130" s="195" t="s">
        <v>324</v>
      </c>
      <c r="U130" s="195" t="s">
        <v>324</v>
      </c>
      <c r="V130" s="195" t="s">
        <v>1546</v>
      </c>
      <c r="W130" s="199"/>
      <c r="X130" s="195">
        <v>25</v>
      </c>
      <c r="Y130" s="199"/>
      <c r="Z130" s="195">
        <v>24</v>
      </c>
      <c r="AA130" s="199"/>
      <c r="AB130" s="195">
        <v>0</v>
      </c>
      <c r="AC130" s="199"/>
      <c r="AD130" s="195" t="s">
        <v>322</v>
      </c>
      <c r="AE130" s="195" t="s">
        <v>1548</v>
      </c>
      <c r="AF130" s="195" t="s">
        <v>1549</v>
      </c>
      <c r="AG130" s="195">
        <v>17</v>
      </c>
      <c r="AH130" s="195" t="s">
        <v>308</v>
      </c>
      <c r="AI130" s="195">
        <v>0</v>
      </c>
      <c r="AJ130" s="195" t="s">
        <v>324</v>
      </c>
      <c r="AK130" s="195" t="s">
        <v>499</v>
      </c>
      <c r="AL130" s="195" t="s">
        <v>322</v>
      </c>
      <c r="AM130" s="199"/>
      <c r="AN130" s="195" t="s">
        <v>332</v>
      </c>
      <c r="AO130" s="195" t="s">
        <v>1551</v>
      </c>
      <c r="AP130" s="195" t="s">
        <v>1552</v>
      </c>
      <c r="AQ130" s="195" t="s">
        <v>324</v>
      </c>
      <c r="AR130" s="220" t="s">
        <v>1431</v>
      </c>
      <c r="AS130" s="195" t="s">
        <v>316</v>
      </c>
      <c r="AT130" s="199"/>
      <c r="AU130" s="202" t="s">
        <v>1553</v>
      </c>
      <c r="AV130" s="195" t="s">
        <v>1447</v>
      </c>
      <c r="AW130" s="195" t="str">
        <f ca="1">IFERROR(__xludf.DUMMYFUNCTION("IF(AND(IF(AS130=""Yes"",True,False),NOT(IFERROR(REGEXMATCH(AV130,ExclusionCategories),FALSE))),""Yes"", ""No"")"),"No")</f>
        <v>No</v>
      </c>
      <c r="AX130" s="195">
        <f ca="1">IFERROR(__xludf.DUMMYFUNCTION("IF(IFERROR(SEARCH(""Unclear"", Z130)) = 1, VALUE(REGEXEXTRACT(Z130,""\d+"")), Z130)"),24)</f>
        <v>24</v>
      </c>
      <c r="AY130" s="195">
        <v>24</v>
      </c>
      <c r="AZ130" s="195">
        <f ca="1">IFERROR(__xludf.DUMMYFUNCTION("IF(IFERROR(SEARCH(""Unclear"", AG130)) = 1, VALUE(REGEXEXTRACT(AG130,""\d+"")), AG130)"),17)</f>
        <v>17</v>
      </c>
      <c r="BA130" s="195">
        <v>17</v>
      </c>
      <c r="BB130" s="195" t="str">
        <f ca="1">IFERROR(__xludf.DUMMYFUNCTION("IF(IFERROR(SEARCH(""Unclear"", AJ130)) = 1, VALUE(REGEXEXTRACT(AJ130,""\d+"")), AJ130)"),"ND")</f>
        <v>ND</v>
      </c>
      <c r="BC130" s="195" t="s">
        <v>324</v>
      </c>
      <c r="BD130" s="195" t="b">
        <f t="shared" si="2"/>
        <v>1</v>
      </c>
      <c r="BE130" s="195" t="b">
        <f t="shared" ref="BE130:BF130" si="140">IF(IFERROR(FIND("ND",AI130),0),FALSE,TRUE)</f>
        <v>1</v>
      </c>
      <c r="BF130" s="195" t="b">
        <f t="shared" si="140"/>
        <v>0</v>
      </c>
    </row>
    <row r="131" spans="1:58" ht="34.5" customHeight="1">
      <c r="A131" s="218" t="s">
        <v>1542</v>
      </c>
      <c r="B131" s="241">
        <v>1982</v>
      </c>
      <c r="C131" s="195" t="s">
        <v>457</v>
      </c>
      <c r="D131" s="4" t="s">
        <v>1543</v>
      </c>
      <c r="E131" s="239">
        <v>7141686</v>
      </c>
      <c r="F131" s="230" t="str">
        <f t="shared" si="137"/>
        <v>https://pubmed.ncbi.nlm.nih.gov/7141686</v>
      </c>
      <c r="G131" s="213" t="str">
        <f t="shared" si="89"/>
        <v>Cate 1982</v>
      </c>
      <c r="H131" s="217">
        <v>1982</v>
      </c>
      <c r="I131" s="199"/>
      <c r="J131" s="199"/>
      <c r="K131" s="195">
        <v>71</v>
      </c>
      <c r="L131" s="4" t="s">
        <v>1050</v>
      </c>
      <c r="M131" s="195">
        <v>71</v>
      </c>
      <c r="N131" s="195">
        <v>0</v>
      </c>
      <c r="O131" s="195" t="s">
        <v>324</v>
      </c>
      <c r="P131" s="195" t="s">
        <v>324</v>
      </c>
      <c r="Q131" s="195" t="s">
        <v>324</v>
      </c>
      <c r="R131" s="195" t="s">
        <v>324</v>
      </c>
      <c r="S131" s="195" t="s">
        <v>324</v>
      </c>
      <c r="T131" s="195" t="s">
        <v>324</v>
      </c>
      <c r="U131" s="195" t="s">
        <v>324</v>
      </c>
      <c r="V131" s="195" t="s">
        <v>1546</v>
      </c>
      <c r="W131" s="199"/>
      <c r="X131" s="195">
        <v>71</v>
      </c>
      <c r="Y131" s="199"/>
      <c r="Z131" s="195">
        <v>44</v>
      </c>
      <c r="AA131" s="199"/>
      <c r="AB131" s="195">
        <v>0</v>
      </c>
      <c r="AC131" s="199"/>
      <c r="AD131" s="195" t="s">
        <v>322</v>
      </c>
      <c r="AE131" s="195" t="s">
        <v>1548</v>
      </c>
      <c r="AF131" s="195" t="s">
        <v>1549</v>
      </c>
      <c r="AG131" s="195">
        <v>22</v>
      </c>
      <c r="AH131" s="195" t="s">
        <v>308</v>
      </c>
      <c r="AI131" s="195">
        <v>0</v>
      </c>
      <c r="AJ131" s="195" t="s">
        <v>324</v>
      </c>
      <c r="AK131" s="195" t="s">
        <v>499</v>
      </c>
      <c r="AL131" s="195" t="s">
        <v>322</v>
      </c>
      <c r="AM131" s="199"/>
      <c r="AN131" s="195" t="s">
        <v>1550</v>
      </c>
      <c r="AO131" s="195" t="s">
        <v>1551</v>
      </c>
      <c r="AP131" s="195" t="s">
        <v>1552</v>
      </c>
      <c r="AQ131" s="195" t="s">
        <v>324</v>
      </c>
      <c r="AR131" s="220" t="s">
        <v>1431</v>
      </c>
      <c r="AS131" s="195" t="s">
        <v>308</v>
      </c>
      <c r="AT131" s="199"/>
      <c r="AU131" s="202" t="s">
        <v>1553</v>
      </c>
      <c r="AV131" s="195" t="s">
        <v>1556</v>
      </c>
      <c r="AW131" s="195" t="str">
        <f ca="1">IFERROR(__xludf.DUMMYFUNCTION("IF(AND(IF(AS131=""Yes"",True,False),NOT(IFERROR(REGEXMATCH(AV131,ExclusionCategories),FALSE))),""Yes"", ""No"")"),"Yes")</f>
        <v>Yes</v>
      </c>
      <c r="AX131" s="195">
        <f ca="1">IFERROR(__xludf.DUMMYFUNCTION("IF(IFERROR(SEARCH(""Unclear"", Z131)) = 1, VALUE(REGEXEXTRACT(Z131,""\d+"")), Z131)"),44)</f>
        <v>44</v>
      </c>
      <c r="AY131" s="195">
        <v>44</v>
      </c>
      <c r="AZ131" s="195">
        <f ca="1">IFERROR(__xludf.DUMMYFUNCTION("IF(IFERROR(SEARCH(""Unclear"", AG131)) = 1, VALUE(REGEXEXTRACT(AG131,""\d+"")), AG131)"),22)</f>
        <v>22</v>
      </c>
      <c r="BA131" s="195">
        <v>22</v>
      </c>
      <c r="BB131" s="195" t="str">
        <f ca="1">IFERROR(__xludf.DUMMYFUNCTION("IF(IFERROR(SEARCH(""Unclear"", AJ131)) = 1, VALUE(REGEXEXTRACT(AJ131,""\d+"")), AJ131)"),"ND")</f>
        <v>ND</v>
      </c>
      <c r="BC131" s="195" t="s">
        <v>324</v>
      </c>
      <c r="BD131" s="195" t="b">
        <f t="shared" si="2"/>
        <v>1</v>
      </c>
      <c r="BE131" s="195" t="b">
        <f t="shared" ref="BE131:BF131" si="141">IF(IFERROR(FIND("ND",AI131),0),FALSE,TRUE)</f>
        <v>1</v>
      </c>
      <c r="BF131" s="195" t="b">
        <f t="shared" si="141"/>
        <v>0</v>
      </c>
    </row>
    <row r="132" spans="1:58" ht="34.5" customHeight="1">
      <c r="A132" s="218" t="s">
        <v>1557</v>
      </c>
      <c r="B132" s="241">
        <v>1983</v>
      </c>
      <c r="C132" s="195" t="s">
        <v>457</v>
      </c>
      <c r="D132" s="4" t="s">
        <v>1558</v>
      </c>
      <c r="E132" s="239">
        <v>6852910</v>
      </c>
      <c r="F132" s="230" t="str">
        <f t="shared" si="137"/>
        <v>https://pubmed.ncbi.nlm.nih.gov/6852910</v>
      </c>
      <c r="G132" s="213" t="str">
        <f t="shared" si="89"/>
        <v>Clements 1983a</v>
      </c>
      <c r="H132" s="217">
        <v>1983</v>
      </c>
      <c r="I132" s="199"/>
      <c r="J132" s="199"/>
      <c r="K132" s="195">
        <v>66</v>
      </c>
      <c r="L132" s="4" t="s">
        <v>1559</v>
      </c>
      <c r="M132" s="195" t="s">
        <v>324</v>
      </c>
      <c r="N132" s="195" t="s">
        <v>324</v>
      </c>
      <c r="O132" s="195" t="s">
        <v>324</v>
      </c>
      <c r="P132" s="195" t="s">
        <v>324</v>
      </c>
      <c r="Q132" s="195" t="s">
        <v>324</v>
      </c>
      <c r="R132" s="195" t="s">
        <v>324</v>
      </c>
      <c r="S132" s="195" t="s">
        <v>324</v>
      </c>
      <c r="T132" s="195">
        <v>24</v>
      </c>
      <c r="U132" s="195">
        <v>0.3</v>
      </c>
      <c r="V132" s="195" t="s">
        <v>1560</v>
      </c>
      <c r="W132" s="199"/>
      <c r="X132" s="195">
        <v>66</v>
      </c>
      <c r="Y132" s="195" t="s">
        <v>1561</v>
      </c>
      <c r="Z132" s="195">
        <v>42</v>
      </c>
      <c r="AA132" s="199"/>
      <c r="AB132" s="195">
        <v>0</v>
      </c>
      <c r="AC132" s="199"/>
      <c r="AD132" s="195" t="s">
        <v>322</v>
      </c>
      <c r="AE132" s="195" t="s">
        <v>1562</v>
      </c>
      <c r="AF132" s="195" t="s">
        <v>1549</v>
      </c>
      <c r="AG132" s="195">
        <v>2</v>
      </c>
      <c r="AH132" s="195" t="s">
        <v>316</v>
      </c>
      <c r="AI132" s="195">
        <v>0</v>
      </c>
      <c r="AJ132" s="195" t="s">
        <v>324</v>
      </c>
      <c r="AK132" s="195" t="s">
        <v>1563</v>
      </c>
      <c r="AL132" s="195" t="s">
        <v>322</v>
      </c>
      <c r="AM132" s="199"/>
      <c r="AN132" s="195" t="s">
        <v>332</v>
      </c>
      <c r="AO132" s="195" t="s">
        <v>1564</v>
      </c>
      <c r="AP132" s="195" t="s">
        <v>1565</v>
      </c>
      <c r="AQ132" s="195" t="s">
        <v>324</v>
      </c>
      <c r="AR132" s="220" t="s">
        <v>1431</v>
      </c>
      <c r="AS132" s="195" t="s">
        <v>316</v>
      </c>
      <c r="AT132" s="199"/>
      <c r="AU132" s="202" t="s">
        <v>1566</v>
      </c>
      <c r="AV132" s="195" t="s">
        <v>1567</v>
      </c>
      <c r="AW132" s="195" t="str">
        <f ca="1">IFERROR(__xludf.DUMMYFUNCTION("IF(AND(IF(AS132=""Yes"",True,False),NOT(IFERROR(REGEXMATCH(AV132,ExclusionCategories),FALSE))),""Yes"", ""No"")"),"No")</f>
        <v>No</v>
      </c>
      <c r="AX132" s="195">
        <f ca="1">IFERROR(__xludf.DUMMYFUNCTION("IF(IFERROR(SEARCH(""Unclear"", Z132)) = 1, VALUE(REGEXEXTRACT(Z132,""\d+"")), Z132)"),42)</f>
        <v>42</v>
      </c>
      <c r="AY132" s="195">
        <v>42</v>
      </c>
      <c r="AZ132" s="195">
        <f ca="1">IFERROR(__xludf.DUMMYFUNCTION("IF(IFERROR(SEARCH(""Unclear"", AG132)) = 1, VALUE(REGEXEXTRACT(AG132,""\d+"")), AG132)"),2)</f>
        <v>2</v>
      </c>
      <c r="BA132" s="195">
        <v>2</v>
      </c>
      <c r="BB132" s="195" t="str">
        <f ca="1">IFERROR(__xludf.DUMMYFUNCTION("IF(IFERROR(SEARCH(""Unclear"", AJ132)) = 1, VALUE(REGEXEXTRACT(AJ132,""\d+"")), AJ132)"),"ND")</f>
        <v>ND</v>
      </c>
      <c r="BC132" s="195" t="s">
        <v>324</v>
      </c>
      <c r="BD132" s="195" t="b">
        <f t="shared" si="2"/>
        <v>1</v>
      </c>
      <c r="BE132" s="195" t="b">
        <f t="shared" ref="BE132:BF132" si="142">IF(IFERROR(FIND("ND",AI132),0),FALSE,TRUE)</f>
        <v>1</v>
      </c>
      <c r="BF132" s="195" t="b">
        <f t="shared" si="142"/>
        <v>0</v>
      </c>
    </row>
    <row r="133" spans="1:58" ht="34.5" customHeight="1">
      <c r="A133" s="218" t="s">
        <v>1557</v>
      </c>
      <c r="B133" s="241">
        <v>1983</v>
      </c>
      <c r="C133" s="195" t="s">
        <v>457</v>
      </c>
      <c r="D133" s="4" t="s">
        <v>1568</v>
      </c>
      <c r="E133" s="239">
        <v>6852910</v>
      </c>
      <c r="F133" s="230" t="str">
        <f t="shared" si="137"/>
        <v>https://pubmed.ncbi.nlm.nih.gov/6852910</v>
      </c>
      <c r="G133" s="213" t="str">
        <f t="shared" si="89"/>
        <v>Clements 1983a</v>
      </c>
      <c r="H133" s="217">
        <v>1983</v>
      </c>
      <c r="I133" s="199"/>
      <c r="J133" s="199"/>
      <c r="K133" s="195">
        <v>8</v>
      </c>
      <c r="L133" s="4" t="s">
        <v>1569</v>
      </c>
      <c r="M133" s="195" t="s">
        <v>324</v>
      </c>
      <c r="N133" s="195" t="s">
        <v>324</v>
      </c>
      <c r="O133" s="195" t="s">
        <v>324</v>
      </c>
      <c r="P133" s="195" t="s">
        <v>324</v>
      </c>
      <c r="Q133" s="195" t="s">
        <v>324</v>
      </c>
      <c r="R133" s="195" t="s">
        <v>324</v>
      </c>
      <c r="S133" s="195" t="s">
        <v>324</v>
      </c>
      <c r="T133" s="195">
        <v>24</v>
      </c>
      <c r="U133" s="195">
        <v>0.3</v>
      </c>
      <c r="V133" s="195" t="s">
        <v>1560</v>
      </c>
      <c r="W133" s="199"/>
      <c r="X133" s="195">
        <v>8</v>
      </c>
      <c r="Y133" s="199"/>
      <c r="Z133" s="195">
        <v>8</v>
      </c>
      <c r="AA133" s="199"/>
      <c r="AB133" s="195">
        <v>0</v>
      </c>
      <c r="AC133" s="199"/>
      <c r="AD133" s="195" t="s">
        <v>322</v>
      </c>
      <c r="AE133" s="195" t="s">
        <v>1562</v>
      </c>
      <c r="AF133" s="195" t="s">
        <v>1549</v>
      </c>
      <c r="AG133" s="195">
        <v>4</v>
      </c>
      <c r="AH133" s="195" t="s">
        <v>316</v>
      </c>
      <c r="AI133" s="195">
        <v>0</v>
      </c>
      <c r="AJ133" s="195" t="s">
        <v>324</v>
      </c>
      <c r="AK133" s="195" t="s">
        <v>1563</v>
      </c>
      <c r="AL133" s="195" t="s">
        <v>322</v>
      </c>
      <c r="AM133" s="199"/>
      <c r="AN133" s="195" t="s">
        <v>332</v>
      </c>
      <c r="AO133" s="195" t="s">
        <v>1564</v>
      </c>
      <c r="AP133" s="195" t="s">
        <v>1565</v>
      </c>
      <c r="AQ133" s="195" t="s">
        <v>324</v>
      </c>
      <c r="AR133" s="220" t="s">
        <v>1431</v>
      </c>
      <c r="AS133" s="195" t="s">
        <v>316</v>
      </c>
      <c r="AT133" s="199"/>
      <c r="AU133" s="202" t="s">
        <v>1566</v>
      </c>
      <c r="AV133" s="195" t="s">
        <v>1447</v>
      </c>
      <c r="AW133" s="195" t="str">
        <f ca="1">IFERROR(__xludf.DUMMYFUNCTION("IF(AND(IF(AS133=""Yes"",True,False),NOT(IFERROR(REGEXMATCH(AV133,ExclusionCategories),FALSE))),""Yes"", ""No"")"),"No")</f>
        <v>No</v>
      </c>
      <c r="AX133" s="195">
        <f ca="1">IFERROR(__xludf.DUMMYFUNCTION("IF(IFERROR(SEARCH(""Unclear"", Z133)) = 1, VALUE(REGEXEXTRACT(Z133,""\d+"")), Z133)"),8)</f>
        <v>8</v>
      </c>
      <c r="AY133" s="195">
        <v>8</v>
      </c>
      <c r="AZ133" s="195">
        <f ca="1">IFERROR(__xludf.DUMMYFUNCTION("IF(IFERROR(SEARCH(""Unclear"", AG133)) = 1, VALUE(REGEXEXTRACT(AG133,""\d+"")), AG133)"),4)</f>
        <v>4</v>
      </c>
      <c r="BA133" s="195">
        <v>4</v>
      </c>
      <c r="BB133" s="195" t="str">
        <f ca="1">IFERROR(__xludf.DUMMYFUNCTION("IF(IFERROR(SEARCH(""Unclear"", AJ133)) = 1, VALUE(REGEXEXTRACT(AJ133,""\d+"")), AJ133)"),"ND")</f>
        <v>ND</v>
      </c>
      <c r="BC133" s="195" t="s">
        <v>324</v>
      </c>
      <c r="BD133" s="195" t="b">
        <f t="shared" si="2"/>
        <v>1</v>
      </c>
      <c r="BE133" s="195" t="b">
        <f t="shared" ref="BE133:BF133" si="143">IF(IFERROR(FIND("ND",AI133),0),FALSE,TRUE)</f>
        <v>1</v>
      </c>
      <c r="BF133" s="195" t="b">
        <f t="shared" si="143"/>
        <v>0</v>
      </c>
    </row>
    <row r="134" spans="1:58" ht="34.5" customHeight="1">
      <c r="A134" s="218" t="s">
        <v>1557</v>
      </c>
      <c r="B134" s="241">
        <v>1983</v>
      </c>
      <c r="C134" s="195" t="s">
        <v>457</v>
      </c>
      <c r="D134" s="4" t="s">
        <v>1570</v>
      </c>
      <c r="E134" s="239">
        <v>6852910</v>
      </c>
      <c r="F134" s="230" t="str">
        <f t="shared" si="137"/>
        <v>https://pubmed.ncbi.nlm.nih.gov/6852910</v>
      </c>
      <c r="G134" s="213" t="str">
        <f t="shared" si="89"/>
        <v>Clements 1983a</v>
      </c>
      <c r="H134" s="217">
        <v>1983</v>
      </c>
      <c r="I134" s="199"/>
      <c r="J134" s="199"/>
      <c r="K134" s="195">
        <v>74</v>
      </c>
      <c r="L134" s="4" t="s">
        <v>1571</v>
      </c>
      <c r="M134" s="195" t="s">
        <v>324</v>
      </c>
      <c r="N134" s="195" t="s">
        <v>324</v>
      </c>
      <c r="O134" s="195" t="s">
        <v>324</v>
      </c>
      <c r="P134" s="195" t="s">
        <v>324</v>
      </c>
      <c r="Q134" s="195" t="s">
        <v>324</v>
      </c>
      <c r="R134" s="195" t="s">
        <v>324</v>
      </c>
      <c r="S134" s="195" t="s">
        <v>324</v>
      </c>
      <c r="T134" s="195">
        <v>24</v>
      </c>
      <c r="U134" s="195">
        <v>0.3</v>
      </c>
      <c r="V134" s="195" t="s">
        <v>1560</v>
      </c>
      <c r="W134" s="199"/>
      <c r="X134" s="195">
        <v>74</v>
      </c>
      <c r="Y134" s="199"/>
      <c r="Z134" s="195">
        <v>50</v>
      </c>
      <c r="AA134" s="199"/>
      <c r="AB134" s="195">
        <v>0</v>
      </c>
      <c r="AC134" s="199"/>
      <c r="AD134" s="195" t="s">
        <v>322</v>
      </c>
      <c r="AE134" s="195" t="s">
        <v>1562</v>
      </c>
      <c r="AF134" s="195" t="s">
        <v>1549</v>
      </c>
      <c r="AG134" s="195">
        <v>6</v>
      </c>
      <c r="AH134" s="195" t="s">
        <v>316</v>
      </c>
      <c r="AI134" s="195">
        <v>0</v>
      </c>
      <c r="AJ134" s="195" t="s">
        <v>324</v>
      </c>
      <c r="AK134" s="195" t="s">
        <v>1563</v>
      </c>
      <c r="AL134" s="195" t="s">
        <v>322</v>
      </c>
      <c r="AM134" s="199"/>
      <c r="AN134" s="195" t="s">
        <v>332</v>
      </c>
      <c r="AO134" s="195" t="s">
        <v>1564</v>
      </c>
      <c r="AP134" s="195" t="s">
        <v>1565</v>
      </c>
      <c r="AQ134" s="195" t="s">
        <v>324</v>
      </c>
      <c r="AR134" s="220" t="s">
        <v>1431</v>
      </c>
      <c r="AS134" s="195" t="s">
        <v>308</v>
      </c>
      <c r="AT134" s="199"/>
      <c r="AU134" s="202" t="s">
        <v>1566</v>
      </c>
      <c r="AV134" s="195" t="s">
        <v>1572</v>
      </c>
      <c r="AW134" s="195" t="str">
        <f ca="1">IFERROR(__xludf.DUMMYFUNCTION("IF(AND(IF(AS134=""Yes"",True,False),NOT(IFERROR(REGEXMATCH(AV134,ExclusionCategories),FALSE))),""Yes"", ""No"")"),"Yes")</f>
        <v>Yes</v>
      </c>
      <c r="AX134" s="195">
        <f ca="1">IFERROR(__xludf.DUMMYFUNCTION("IF(IFERROR(SEARCH(""Unclear"", Z134)) = 1, VALUE(REGEXEXTRACT(Z134,""\d+"")), Z134)"),50)</f>
        <v>50</v>
      </c>
      <c r="AY134" s="195">
        <v>50</v>
      </c>
      <c r="AZ134" s="195">
        <f ca="1">IFERROR(__xludf.DUMMYFUNCTION("IF(IFERROR(SEARCH(""Unclear"", AG134)) = 1, VALUE(REGEXEXTRACT(AG134,""\d+"")), AG134)"),6)</f>
        <v>6</v>
      </c>
      <c r="BA134" s="195">
        <v>6</v>
      </c>
      <c r="BB134" s="195" t="str">
        <f ca="1">IFERROR(__xludf.DUMMYFUNCTION("IF(IFERROR(SEARCH(""Unclear"", AJ134)) = 1, VALUE(REGEXEXTRACT(AJ134,""\d+"")), AJ134)"),"ND")</f>
        <v>ND</v>
      </c>
      <c r="BC134" s="195" t="s">
        <v>324</v>
      </c>
      <c r="BD134" s="195" t="b">
        <f t="shared" si="2"/>
        <v>1</v>
      </c>
      <c r="BE134" s="195" t="b">
        <f t="shared" ref="BE134:BF134" si="144">IF(IFERROR(FIND("ND",AI134),0),FALSE,TRUE)</f>
        <v>1</v>
      </c>
      <c r="BF134" s="195" t="b">
        <f t="shared" si="144"/>
        <v>0</v>
      </c>
    </row>
    <row r="135" spans="1:58" ht="34.5" customHeight="1">
      <c r="A135" s="218" t="s">
        <v>1557</v>
      </c>
      <c r="B135" s="241">
        <v>1984</v>
      </c>
      <c r="C135" s="195" t="s">
        <v>457</v>
      </c>
      <c r="D135" s="4" t="s">
        <v>1573</v>
      </c>
      <c r="E135" s="239">
        <v>6143042</v>
      </c>
      <c r="F135" s="230" t="str">
        <f t="shared" si="137"/>
        <v>https://pubmed.ncbi.nlm.nih.gov/6143042</v>
      </c>
      <c r="G135" s="213" t="str">
        <f t="shared" si="89"/>
        <v>Clements 1984</v>
      </c>
      <c r="H135" s="195">
        <v>1982</v>
      </c>
      <c r="I135" s="199"/>
      <c r="J135" s="199"/>
      <c r="K135" s="195">
        <v>57</v>
      </c>
      <c r="L135" s="4" t="s">
        <v>1544</v>
      </c>
      <c r="M135" s="195" t="s">
        <v>324</v>
      </c>
      <c r="N135" s="195" t="s">
        <v>324</v>
      </c>
      <c r="O135" s="195" t="s">
        <v>324</v>
      </c>
      <c r="P135" s="195" t="s">
        <v>324</v>
      </c>
      <c r="Q135" s="195" t="s">
        <v>324</v>
      </c>
      <c r="R135" s="195">
        <v>18</v>
      </c>
      <c r="S135" s="195">
        <v>35</v>
      </c>
      <c r="T135" s="195" t="s">
        <v>324</v>
      </c>
      <c r="U135" s="195" t="s">
        <v>324</v>
      </c>
      <c r="V135" s="195" t="s">
        <v>1574</v>
      </c>
      <c r="W135" s="199"/>
      <c r="X135" s="195">
        <v>57</v>
      </c>
      <c r="Y135" s="195" t="s">
        <v>1575</v>
      </c>
      <c r="Z135" s="195">
        <v>30</v>
      </c>
      <c r="AA135" s="199"/>
      <c r="AB135" s="195">
        <v>0</v>
      </c>
      <c r="AC135" s="199"/>
      <c r="AD135" s="195" t="s">
        <v>322</v>
      </c>
      <c r="AE135" s="195" t="s">
        <v>1576</v>
      </c>
      <c r="AF135" s="195" t="s">
        <v>1549</v>
      </c>
      <c r="AG135" s="195">
        <v>10</v>
      </c>
      <c r="AH135" s="195" t="s">
        <v>316</v>
      </c>
      <c r="AI135" s="195">
        <v>0</v>
      </c>
      <c r="AJ135" s="195" t="s">
        <v>324</v>
      </c>
      <c r="AK135" s="195" t="s">
        <v>1563</v>
      </c>
      <c r="AL135" s="195" t="s">
        <v>322</v>
      </c>
      <c r="AM135" s="199"/>
      <c r="AN135" s="195" t="s">
        <v>1577</v>
      </c>
      <c r="AO135" s="195" t="s">
        <v>1578</v>
      </c>
      <c r="AP135" s="195" t="s">
        <v>1579</v>
      </c>
      <c r="AQ135" s="195" t="s">
        <v>324</v>
      </c>
      <c r="AR135" s="220" t="s">
        <v>1431</v>
      </c>
      <c r="AS135" s="195" t="s">
        <v>308</v>
      </c>
      <c r="AT135" s="199"/>
      <c r="AU135" s="202" t="s">
        <v>1580</v>
      </c>
      <c r="AV135" s="195" t="s">
        <v>571</v>
      </c>
      <c r="AW135" s="195" t="str">
        <f ca="1">IFERROR(__xludf.DUMMYFUNCTION("IF(AND(IF(AS135=""Yes"",True,False),NOT(IFERROR(REGEXMATCH(AV135,ExclusionCategories),FALSE))),""Yes"", ""No"")"),"Yes")</f>
        <v>Yes</v>
      </c>
      <c r="AX135" s="195">
        <f ca="1">IFERROR(__xludf.DUMMYFUNCTION("IF(IFERROR(SEARCH(""Unclear"", Z135)) = 1, VALUE(REGEXEXTRACT(Z135,""\d+"")), Z135)"),30)</f>
        <v>30</v>
      </c>
      <c r="AY135" s="195">
        <v>30</v>
      </c>
      <c r="AZ135" s="195">
        <f ca="1">IFERROR(__xludf.DUMMYFUNCTION("IF(IFERROR(SEARCH(""Unclear"", AG135)) = 1, VALUE(REGEXEXTRACT(AG135,""\d+"")), AG135)"),10)</f>
        <v>10</v>
      </c>
      <c r="BA135" s="195">
        <v>10</v>
      </c>
      <c r="BB135" s="195" t="str">
        <f ca="1">IFERROR(__xludf.DUMMYFUNCTION("IF(IFERROR(SEARCH(""Unclear"", AJ135)) = 1, VALUE(REGEXEXTRACT(AJ135,""\d+"")), AJ135)"),"ND")</f>
        <v>ND</v>
      </c>
      <c r="BC135" s="195" t="s">
        <v>324</v>
      </c>
      <c r="BD135" s="195" t="b">
        <f t="shared" si="2"/>
        <v>1</v>
      </c>
      <c r="BE135" s="195" t="b">
        <f t="shared" ref="BE135:BF135" si="145">IF(IFERROR(FIND("ND",AI135),0),FALSE,TRUE)</f>
        <v>1</v>
      </c>
      <c r="BF135" s="195" t="b">
        <f t="shared" si="145"/>
        <v>0</v>
      </c>
    </row>
    <row r="136" spans="1:58" ht="34.5" customHeight="1">
      <c r="A136" s="218" t="s">
        <v>1557</v>
      </c>
      <c r="B136" s="241">
        <v>1984</v>
      </c>
      <c r="C136" s="195" t="s">
        <v>457</v>
      </c>
      <c r="D136" s="4" t="s">
        <v>1573</v>
      </c>
      <c r="E136" s="239">
        <v>6143042</v>
      </c>
      <c r="F136" s="230" t="str">
        <f t="shared" si="137"/>
        <v>https://pubmed.ncbi.nlm.nih.gov/6143042</v>
      </c>
      <c r="G136" s="213" t="str">
        <f t="shared" si="89"/>
        <v>Clements 1984</v>
      </c>
      <c r="H136" s="195">
        <v>1982</v>
      </c>
      <c r="I136" s="199"/>
      <c r="J136" s="199"/>
      <c r="K136" s="195">
        <v>24</v>
      </c>
      <c r="L136" s="4" t="s">
        <v>788</v>
      </c>
      <c r="M136" s="195" t="s">
        <v>324</v>
      </c>
      <c r="N136" s="195" t="s">
        <v>324</v>
      </c>
      <c r="O136" s="195" t="s">
        <v>324</v>
      </c>
      <c r="P136" s="195" t="s">
        <v>324</v>
      </c>
      <c r="Q136" s="195" t="s">
        <v>324</v>
      </c>
      <c r="R136" s="195">
        <v>18</v>
      </c>
      <c r="S136" s="195">
        <v>35</v>
      </c>
      <c r="T136" s="195" t="s">
        <v>324</v>
      </c>
      <c r="U136" s="195" t="s">
        <v>324</v>
      </c>
      <c r="V136" s="195" t="s">
        <v>1574</v>
      </c>
      <c r="W136" s="199"/>
      <c r="X136" s="195">
        <v>24</v>
      </c>
      <c r="Y136" s="199"/>
      <c r="Z136" s="195">
        <v>23</v>
      </c>
      <c r="AA136" s="199"/>
      <c r="AB136" s="195">
        <v>0</v>
      </c>
      <c r="AC136" s="199"/>
      <c r="AD136" s="195" t="s">
        <v>322</v>
      </c>
      <c r="AE136" s="195" t="s">
        <v>1576</v>
      </c>
      <c r="AF136" s="195" t="s">
        <v>1549</v>
      </c>
      <c r="AG136" s="195">
        <v>11</v>
      </c>
      <c r="AH136" s="195" t="s">
        <v>316</v>
      </c>
      <c r="AI136" s="195">
        <v>0</v>
      </c>
      <c r="AJ136" s="195" t="s">
        <v>324</v>
      </c>
      <c r="AK136" s="195" t="s">
        <v>1563</v>
      </c>
      <c r="AL136" s="195" t="s">
        <v>322</v>
      </c>
      <c r="AM136" s="199"/>
      <c r="AN136" s="195" t="s">
        <v>332</v>
      </c>
      <c r="AO136" s="195" t="s">
        <v>1578</v>
      </c>
      <c r="AP136" s="195" t="s">
        <v>1579</v>
      </c>
      <c r="AQ136" s="195" t="s">
        <v>324</v>
      </c>
      <c r="AR136" s="220" t="s">
        <v>1431</v>
      </c>
      <c r="AS136" s="195" t="s">
        <v>316</v>
      </c>
      <c r="AT136" s="199"/>
      <c r="AU136" s="202" t="s">
        <v>1580</v>
      </c>
      <c r="AV136" s="195" t="s">
        <v>1447</v>
      </c>
      <c r="AW136" s="195" t="str">
        <f ca="1">IFERROR(__xludf.DUMMYFUNCTION("IF(AND(IF(AS136=""Yes"",True,False),NOT(IFERROR(REGEXMATCH(AV136,ExclusionCategories),FALSE))),""Yes"", ""No"")"),"No")</f>
        <v>No</v>
      </c>
      <c r="AX136" s="195">
        <f ca="1">IFERROR(__xludf.DUMMYFUNCTION("IF(IFERROR(SEARCH(""Unclear"", Z136)) = 1, VALUE(REGEXEXTRACT(Z136,""\d+"")), Z136)"),23)</f>
        <v>23</v>
      </c>
      <c r="AY136" s="195">
        <v>23</v>
      </c>
      <c r="AZ136" s="195">
        <f ca="1">IFERROR(__xludf.DUMMYFUNCTION("IF(IFERROR(SEARCH(""Unclear"", AG136)) = 1, VALUE(REGEXEXTRACT(AG136,""\d+"")), AG136)"),11)</f>
        <v>11</v>
      </c>
      <c r="BA136" s="195">
        <v>11</v>
      </c>
      <c r="BB136" s="195" t="str">
        <f ca="1">IFERROR(__xludf.DUMMYFUNCTION("IF(IFERROR(SEARCH(""Unclear"", AJ136)) = 1, VALUE(REGEXEXTRACT(AJ136,""\d+"")), AJ136)"),"ND")</f>
        <v>ND</v>
      </c>
      <c r="BC136" s="195" t="s">
        <v>324</v>
      </c>
      <c r="BD136" s="195" t="b">
        <f t="shared" si="2"/>
        <v>1</v>
      </c>
      <c r="BE136" s="195" t="b">
        <f t="shared" ref="BE136:BF136" si="146">IF(IFERROR(FIND("ND",AI136),0),FALSE,TRUE)</f>
        <v>1</v>
      </c>
      <c r="BF136" s="195" t="b">
        <f t="shared" si="146"/>
        <v>0</v>
      </c>
    </row>
    <row r="137" spans="1:58" ht="34.5" customHeight="1">
      <c r="A137" s="218" t="s">
        <v>1557</v>
      </c>
      <c r="B137" s="241">
        <v>1984</v>
      </c>
      <c r="C137" s="195" t="s">
        <v>457</v>
      </c>
      <c r="D137" s="4" t="s">
        <v>1573</v>
      </c>
      <c r="E137" s="239">
        <v>6143042</v>
      </c>
      <c r="F137" s="230" t="str">
        <f t="shared" si="137"/>
        <v>https://pubmed.ncbi.nlm.nih.gov/6143042</v>
      </c>
      <c r="G137" s="213" t="str">
        <f t="shared" si="89"/>
        <v>Clements 1984</v>
      </c>
      <c r="H137" s="195">
        <v>1982</v>
      </c>
      <c r="I137" s="199"/>
      <c r="J137" s="199"/>
      <c r="K137" s="195">
        <v>81</v>
      </c>
      <c r="L137" s="4" t="s">
        <v>846</v>
      </c>
      <c r="M137" s="195" t="s">
        <v>324</v>
      </c>
      <c r="N137" s="195" t="s">
        <v>324</v>
      </c>
      <c r="O137" s="195" t="s">
        <v>324</v>
      </c>
      <c r="P137" s="195" t="s">
        <v>324</v>
      </c>
      <c r="Q137" s="195" t="s">
        <v>324</v>
      </c>
      <c r="R137" s="195">
        <v>18</v>
      </c>
      <c r="S137" s="195">
        <v>35</v>
      </c>
      <c r="T137" s="195" t="s">
        <v>324</v>
      </c>
      <c r="U137" s="195" t="s">
        <v>324</v>
      </c>
      <c r="V137" s="195" t="s">
        <v>1574</v>
      </c>
      <c r="W137" s="199"/>
      <c r="X137" s="195">
        <v>81</v>
      </c>
      <c r="Y137" s="199"/>
      <c r="Z137" s="195">
        <v>53</v>
      </c>
      <c r="AA137" s="199"/>
      <c r="AB137" s="195">
        <v>0</v>
      </c>
      <c r="AC137" s="199"/>
      <c r="AD137" s="195" t="s">
        <v>322</v>
      </c>
      <c r="AE137" s="195" t="s">
        <v>1576</v>
      </c>
      <c r="AF137" s="195" t="s">
        <v>1549</v>
      </c>
      <c r="AG137" s="195">
        <v>21</v>
      </c>
      <c r="AH137" s="195" t="s">
        <v>316</v>
      </c>
      <c r="AI137" s="195">
        <v>0</v>
      </c>
      <c r="AJ137" s="195" t="s">
        <v>324</v>
      </c>
      <c r="AK137" s="195" t="s">
        <v>1563</v>
      </c>
      <c r="AL137" s="195" t="s">
        <v>322</v>
      </c>
      <c r="AM137" s="199"/>
      <c r="AN137" s="195" t="s">
        <v>1577</v>
      </c>
      <c r="AO137" s="195" t="s">
        <v>1578</v>
      </c>
      <c r="AP137" s="195" t="s">
        <v>1579</v>
      </c>
      <c r="AQ137" s="195" t="s">
        <v>324</v>
      </c>
      <c r="AR137" s="220" t="s">
        <v>1431</v>
      </c>
      <c r="AS137" s="195" t="s">
        <v>316</v>
      </c>
      <c r="AT137" s="199"/>
      <c r="AU137" s="202" t="s">
        <v>1580</v>
      </c>
      <c r="AV137" s="195" t="s">
        <v>1581</v>
      </c>
      <c r="AW137" s="195" t="str">
        <f ca="1">IFERROR(__xludf.DUMMYFUNCTION("IF(AND(IF(AS137=""Yes"",True,False),NOT(IFERROR(REGEXMATCH(AV137,ExclusionCategories),FALSE))),""Yes"", ""No"")"),"No")</f>
        <v>No</v>
      </c>
      <c r="AX137" s="195">
        <f ca="1">IFERROR(__xludf.DUMMYFUNCTION("IF(IFERROR(SEARCH(""Unclear"", Z137)) = 1, VALUE(REGEXEXTRACT(Z137,""\d+"")), Z137)"),53)</f>
        <v>53</v>
      </c>
      <c r="AY137" s="195">
        <v>53</v>
      </c>
      <c r="AZ137" s="195">
        <f ca="1">IFERROR(__xludf.DUMMYFUNCTION("IF(IFERROR(SEARCH(""Unclear"", AG137)) = 1, VALUE(REGEXEXTRACT(AG137,""\d+"")), AG137)"),21)</f>
        <v>21</v>
      </c>
      <c r="BA137" s="195">
        <v>21</v>
      </c>
      <c r="BB137" s="195" t="str">
        <f ca="1">IFERROR(__xludf.DUMMYFUNCTION("IF(IFERROR(SEARCH(""Unclear"", AJ137)) = 1, VALUE(REGEXEXTRACT(AJ137,""\d+"")), AJ137)"),"ND")</f>
        <v>ND</v>
      </c>
      <c r="BC137" s="195" t="s">
        <v>324</v>
      </c>
      <c r="BD137" s="195" t="b">
        <f t="shared" si="2"/>
        <v>1</v>
      </c>
      <c r="BE137" s="195" t="b">
        <f t="shared" ref="BE137:BF137" si="147">IF(IFERROR(FIND("ND",AI137),0),FALSE,TRUE)</f>
        <v>1</v>
      </c>
      <c r="BF137" s="195" t="b">
        <f t="shared" si="147"/>
        <v>0</v>
      </c>
    </row>
    <row r="138" spans="1:58" ht="34.5" customHeight="1">
      <c r="A138" s="218" t="s">
        <v>1557</v>
      </c>
      <c r="B138" s="241">
        <v>1986</v>
      </c>
      <c r="C138" s="195" t="s">
        <v>457</v>
      </c>
      <c r="D138" s="4" t="s">
        <v>1582</v>
      </c>
      <c r="E138" s="239">
        <v>3700611</v>
      </c>
      <c r="F138" s="230" t="str">
        <f t="shared" si="137"/>
        <v>https://pubmed.ncbi.nlm.nih.gov/3700611</v>
      </c>
      <c r="G138" s="213" t="str">
        <f t="shared" si="89"/>
        <v>Clements 1986b</v>
      </c>
      <c r="H138" s="195">
        <v>1983</v>
      </c>
      <c r="I138" s="199"/>
      <c r="J138" s="199"/>
      <c r="K138" s="195">
        <v>64</v>
      </c>
      <c r="L138" s="4" t="s">
        <v>1544</v>
      </c>
      <c r="M138" s="195" t="s">
        <v>324</v>
      </c>
      <c r="N138" s="195" t="s">
        <v>324</v>
      </c>
      <c r="O138" s="195" t="s">
        <v>324</v>
      </c>
      <c r="P138" s="195" t="s">
        <v>324</v>
      </c>
      <c r="Q138" s="195" t="s">
        <v>324</v>
      </c>
      <c r="R138" s="195">
        <v>18</v>
      </c>
      <c r="S138" s="195">
        <v>35</v>
      </c>
      <c r="T138" s="195" t="s">
        <v>324</v>
      </c>
      <c r="U138" s="195" t="s">
        <v>324</v>
      </c>
      <c r="V138" s="195" t="s">
        <v>1583</v>
      </c>
      <c r="W138" s="199"/>
      <c r="X138" s="195">
        <v>64</v>
      </c>
      <c r="Y138" s="195" t="s">
        <v>1584</v>
      </c>
      <c r="Z138" s="195">
        <v>48</v>
      </c>
      <c r="AA138" s="199"/>
      <c r="AB138" s="195">
        <v>0</v>
      </c>
      <c r="AC138" s="199"/>
      <c r="AD138" s="195" t="s">
        <v>322</v>
      </c>
      <c r="AE138" s="195" t="s">
        <v>1585</v>
      </c>
      <c r="AF138" s="195" t="s">
        <v>1549</v>
      </c>
      <c r="AG138" s="195">
        <v>13</v>
      </c>
      <c r="AH138" s="195" t="s">
        <v>316</v>
      </c>
      <c r="AI138" s="195">
        <v>0</v>
      </c>
      <c r="AJ138" s="195" t="s">
        <v>324</v>
      </c>
      <c r="AK138" s="195" t="s">
        <v>1563</v>
      </c>
      <c r="AL138" s="195" t="s">
        <v>322</v>
      </c>
      <c r="AM138" s="199"/>
      <c r="AN138" s="195" t="s">
        <v>1586</v>
      </c>
      <c r="AO138" s="195" t="s">
        <v>1587</v>
      </c>
      <c r="AP138" s="195" t="s">
        <v>1588</v>
      </c>
      <c r="AQ138" s="195" t="s">
        <v>324</v>
      </c>
      <c r="AR138" s="220" t="s">
        <v>1431</v>
      </c>
      <c r="AS138" s="195" t="s">
        <v>316</v>
      </c>
      <c r="AT138" s="199"/>
      <c r="AU138" s="202" t="s">
        <v>1589</v>
      </c>
      <c r="AV138" s="195" t="s">
        <v>1447</v>
      </c>
      <c r="AW138" s="195" t="str">
        <f ca="1">IFERROR(__xludf.DUMMYFUNCTION("IF(AND(IF(AS138=""Yes"",True,False),NOT(IFERROR(REGEXMATCH(AV138,ExclusionCategories),FALSE))),""Yes"", ""No"")"),"No")</f>
        <v>No</v>
      </c>
      <c r="AX138" s="195">
        <f ca="1">IFERROR(__xludf.DUMMYFUNCTION("IF(IFERROR(SEARCH(""Unclear"", Z138)) = 1, VALUE(REGEXEXTRACT(Z138,""\d+"")), Z138)"),48)</f>
        <v>48</v>
      </c>
      <c r="AY138" s="195">
        <v>48</v>
      </c>
      <c r="AZ138" s="195">
        <f ca="1">IFERROR(__xludf.DUMMYFUNCTION("IF(IFERROR(SEARCH(""Unclear"", AG138)) = 1, VALUE(REGEXEXTRACT(AG138,""\d+"")), AG138)"),13)</f>
        <v>13</v>
      </c>
      <c r="BA138" s="195">
        <v>13</v>
      </c>
      <c r="BB138" s="195" t="str">
        <f ca="1">IFERROR(__xludf.DUMMYFUNCTION("IF(IFERROR(SEARCH(""Unclear"", AJ138)) = 1, VALUE(REGEXEXTRACT(AJ138,""\d+"")), AJ138)"),"ND")</f>
        <v>ND</v>
      </c>
      <c r="BC138" s="195" t="s">
        <v>324</v>
      </c>
      <c r="BD138" s="195" t="b">
        <f t="shared" si="2"/>
        <v>1</v>
      </c>
      <c r="BE138" s="195" t="b">
        <f t="shared" ref="BE138:BF138" si="148">IF(IFERROR(FIND("ND",AI138),0),FALSE,TRUE)</f>
        <v>1</v>
      </c>
      <c r="BF138" s="195" t="b">
        <f t="shared" si="148"/>
        <v>0</v>
      </c>
    </row>
    <row r="139" spans="1:58" ht="34.5" customHeight="1">
      <c r="A139" s="218" t="s">
        <v>1557</v>
      </c>
      <c r="B139" s="241">
        <v>1986</v>
      </c>
      <c r="C139" s="195" t="s">
        <v>457</v>
      </c>
      <c r="D139" s="4" t="s">
        <v>1582</v>
      </c>
      <c r="E139" s="239">
        <v>3700611</v>
      </c>
      <c r="F139" s="230" t="str">
        <f t="shared" si="137"/>
        <v>https://pubmed.ncbi.nlm.nih.gov/3700611</v>
      </c>
      <c r="G139" s="213" t="str">
        <f t="shared" si="89"/>
        <v>Clements 1986b</v>
      </c>
      <c r="H139" s="195">
        <v>1983</v>
      </c>
      <c r="I139" s="199"/>
      <c r="J139" s="199"/>
      <c r="K139" s="195">
        <v>42</v>
      </c>
      <c r="L139" s="4" t="s">
        <v>788</v>
      </c>
      <c r="M139" s="195" t="s">
        <v>324</v>
      </c>
      <c r="N139" s="195" t="s">
        <v>324</v>
      </c>
      <c r="O139" s="195" t="s">
        <v>324</v>
      </c>
      <c r="P139" s="195" t="s">
        <v>324</v>
      </c>
      <c r="Q139" s="195" t="s">
        <v>324</v>
      </c>
      <c r="R139" s="195">
        <v>18</v>
      </c>
      <c r="S139" s="195">
        <v>35</v>
      </c>
      <c r="T139" s="195" t="s">
        <v>324</v>
      </c>
      <c r="U139" s="195" t="s">
        <v>324</v>
      </c>
      <c r="V139" s="195" t="s">
        <v>1583</v>
      </c>
      <c r="W139" s="199"/>
      <c r="X139" s="195">
        <v>42</v>
      </c>
      <c r="Y139" s="195"/>
      <c r="Z139" s="195">
        <v>36</v>
      </c>
      <c r="AA139" s="199"/>
      <c r="AB139" s="195">
        <v>0</v>
      </c>
      <c r="AC139" s="199"/>
      <c r="AD139" s="195" t="s">
        <v>322</v>
      </c>
      <c r="AE139" s="195" t="s">
        <v>1585</v>
      </c>
      <c r="AF139" s="195" t="s">
        <v>1549</v>
      </c>
      <c r="AG139" s="195">
        <v>18</v>
      </c>
      <c r="AH139" s="195" t="s">
        <v>316</v>
      </c>
      <c r="AI139" s="195">
        <v>0</v>
      </c>
      <c r="AJ139" s="195" t="s">
        <v>324</v>
      </c>
      <c r="AK139" s="195" t="s">
        <v>1563</v>
      </c>
      <c r="AL139" s="195" t="s">
        <v>322</v>
      </c>
      <c r="AM139" s="199"/>
      <c r="AN139" s="195" t="s">
        <v>332</v>
      </c>
      <c r="AO139" s="195" t="s">
        <v>1587</v>
      </c>
      <c r="AP139" s="195" t="s">
        <v>1588</v>
      </c>
      <c r="AQ139" s="195" t="s">
        <v>324</v>
      </c>
      <c r="AR139" s="220" t="s">
        <v>1431</v>
      </c>
      <c r="AS139" s="195" t="s">
        <v>316</v>
      </c>
      <c r="AT139" s="199"/>
      <c r="AU139" s="202" t="s">
        <v>1589</v>
      </c>
      <c r="AV139" s="195" t="s">
        <v>1447</v>
      </c>
      <c r="AW139" s="195" t="str">
        <f ca="1">IFERROR(__xludf.DUMMYFUNCTION("IF(AND(IF(AS139=""Yes"",True,False),NOT(IFERROR(REGEXMATCH(AV139,ExclusionCategories),FALSE))),""Yes"", ""No"")"),"No")</f>
        <v>No</v>
      </c>
      <c r="AX139" s="195">
        <f ca="1">IFERROR(__xludf.DUMMYFUNCTION("IF(IFERROR(SEARCH(""Unclear"", Z139)) = 1, VALUE(REGEXEXTRACT(Z139,""\d+"")), Z139)"),36)</f>
        <v>36</v>
      </c>
      <c r="AY139" s="195">
        <v>36</v>
      </c>
      <c r="AZ139" s="195">
        <f ca="1">IFERROR(__xludf.DUMMYFUNCTION("IF(IFERROR(SEARCH(""Unclear"", AG139)) = 1, VALUE(REGEXEXTRACT(AG139,""\d+"")), AG139)"),18)</f>
        <v>18</v>
      </c>
      <c r="BA139" s="195">
        <v>18</v>
      </c>
      <c r="BB139" s="195" t="str">
        <f ca="1">IFERROR(__xludf.DUMMYFUNCTION("IF(IFERROR(SEARCH(""Unclear"", AJ139)) = 1, VALUE(REGEXEXTRACT(AJ139,""\d+"")), AJ139)"),"ND")</f>
        <v>ND</v>
      </c>
      <c r="BC139" s="195" t="s">
        <v>324</v>
      </c>
      <c r="BD139" s="195" t="b">
        <f t="shared" si="2"/>
        <v>1</v>
      </c>
      <c r="BE139" s="195" t="b">
        <f t="shared" ref="BE139:BF139" si="149">IF(IFERROR(FIND("ND",AI139),0),FALSE,TRUE)</f>
        <v>1</v>
      </c>
      <c r="BF139" s="195" t="b">
        <f t="shared" si="149"/>
        <v>0</v>
      </c>
    </row>
    <row r="140" spans="1:58" ht="34.5" customHeight="1">
      <c r="A140" s="218" t="s">
        <v>1557</v>
      </c>
      <c r="B140" s="241">
        <v>1986</v>
      </c>
      <c r="C140" s="195" t="s">
        <v>457</v>
      </c>
      <c r="D140" s="4" t="s">
        <v>1582</v>
      </c>
      <c r="E140" s="239">
        <v>3700611</v>
      </c>
      <c r="F140" s="230" t="str">
        <f t="shared" si="137"/>
        <v>https://pubmed.ncbi.nlm.nih.gov/3700611</v>
      </c>
      <c r="G140" s="213" t="str">
        <f t="shared" si="89"/>
        <v>Clements 1986b</v>
      </c>
      <c r="H140" s="195">
        <v>1983</v>
      </c>
      <c r="I140" s="199"/>
      <c r="J140" s="199"/>
      <c r="K140" s="195">
        <v>106</v>
      </c>
      <c r="L140" s="4" t="s">
        <v>1050</v>
      </c>
      <c r="M140" s="195" t="s">
        <v>324</v>
      </c>
      <c r="N140" s="195" t="s">
        <v>324</v>
      </c>
      <c r="O140" s="195" t="s">
        <v>324</v>
      </c>
      <c r="P140" s="195" t="s">
        <v>324</v>
      </c>
      <c r="Q140" s="195" t="s">
        <v>324</v>
      </c>
      <c r="R140" s="195">
        <v>18</v>
      </c>
      <c r="S140" s="195">
        <v>35</v>
      </c>
      <c r="T140" s="195" t="s">
        <v>324</v>
      </c>
      <c r="U140" s="195" t="s">
        <v>324</v>
      </c>
      <c r="V140" s="195" t="s">
        <v>1583</v>
      </c>
      <c r="W140" s="199"/>
      <c r="X140" s="195">
        <v>106</v>
      </c>
      <c r="Y140" s="195"/>
      <c r="Z140" s="195">
        <v>84</v>
      </c>
      <c r="AA140" s="199"/>
      <c r="AB140" s="195">
        <v>0</v>
      </c>
      <c r="AC140" s="199"/>
      <c r="AD140" s="195" t="s">
        <v>322</v>
      </c>
      <c r="AE140" s="195" t="s">
        <v>1585</v>
      </c>
      <c r="AF140" s="195" t="s">
        <v>1549</v>
      </c>
      <c r="AG140" s="195">
        <v>31</v>
      </c>
      <c r="AH140" s="195" t="s">
        <v>316</v>
      </c>
      <c r="AI140" s="195">
        <v>0</v>
      </c>
      <c r="AJ140" s="195" t="s">
        <v>324</v>
      </c>
      <c r="AK140" s="195" t="s">
        <v>1563</v>
      </c>
      <c r="AL140" s="195" t="s">
        <v>322</v>
      </c>
      <c r="AM140" s="199"/>
      <c r="AN140" s="195" t="s">
        <v>1586</v>
      </c>
      <c r="AO140" s="195" t="s">
        <v>1587</v>
      </c>
      <c r="AP140" s="195" t="s">
        <v>1588</v>
      </c>
      <c r="AQ140" s="195" t="s">
        <v>324</v>
      </c>
      <c r="AR140" s="220" t="s">
        <v>1431</v>
      </c>
      <c r="AS140" s="195" t="s">
        <v>308</v>
      </c>
      <c r="AT140" s="199"/>
      <c r="AU140" s="202" t="s">
        <v>1589</v>
      </c>
      <c r="AV140" s="195" t="s">
        <v>1556</v>
      </c>
      <c r="AW140" s="195" t="str">
        <f ca="1">IFERROR(__xludf.DUMMYFUNCTION("IF(AND(IF(AS140=""Yes"",True,False),NOT(IFERROR(REGEXMATCH(AV140,ExclusionCategories),FALSE))),""Yes"", ""No"")"),"Yes")</f>
        <v>Yes</v>
      </c>
      <c r="AX140" s="195">
        <f ca="1">IFERROR(__xludf.DUMMYFUNCTION("IF(IFERROR(SEARCH(""Unclear"", Z140)) = 1, VALUE(REGEXEXTRACT(Z140,""\d+"")), Z140)"),84)</f>
        <v>84</v>
      </c>
      <c r="AY140" s="195">
        <v>84</v>
      </c>
      <c r="AZ140" s="195">
        <f ca="1">IFERROR(__xludf.DUMMYFUNCTION("IF(IFERROR(SEARCH(""Unclear"", AG140)) = 1, VALUE(REGEXEXTRACT(AG140,""\d+"")), AG140)"),31)</f>
        <v>31</v>
      </c>
      <c r="BA140" s="195">
        <v>31</v>
      </c>
      <c r="BB140" s="195" t="str">
        <f ca="1">IFERROR(__xludf.DUMMYFUNCTION("IF(IFERROR(SEARCH(""Unclear"", AJ140)) = 1, VALUE(REGEXEXTRACT(AJ140,""\d+"")), AJ140)"),"ND")</f>
        <v>ND</v>
      </c>
      <c r="BC140" s="195" t="s">
        <v>324</v>
      </c>
      <c r="BD140" s="195" t="b">
        <f t="shared" si="2"/>
        <v>1</v>
      </c>
      <c r="BE140" s="195" t="b">
        <f t="shared" ref="BE140:BF140" si="150">IF(IFERROR(FIND("ND",AI140),0),FALSE,TRUE)</f>
        <v>1</v>
      </c>
      <c r="BF140" s="195" t="b">
        <f t="shared" si="150"/>
        <v>0</v>
      </c>
    </row>
    <row r="141" spans="1:58" ht="34.5" customHeight="1">
      <c r="A141" s="218" t="s">
        <v>1557</v>
      </c>
      <c r="B141" s="241">
        <v>1990</v>
      </c>
      <c r="C141" s="195" t="s">
        <v>457</v>
      </c>
      <c r="D141" s="4" t="s">
        <v>1590</v>
      </c>
      <c r="E141" s="239">
        <v>2324538</v>
      </c>
      <c r="F141" s="230" t="str">
        <f t="shared" si="137"/>
        <v>https://pubmed.ncbi.nlm.nih.gov/2324538</v>
      </c>
      <c r="G141" s="213" t="str">
        <f t="shared" si="89"/>
        <v>Clements 1990</v>
      </c>
      <c r="H141" s="217">
        <v>1990</v>
      </c>
      <c r="I141" s="199"/>
      <c r="J141" s="199"/>
      <c r="K141" s="195">
        <v>13</v>
      </c>
      <c r="L141" s="4" t="s">
        <v>1544</v>
      </c>
      <c r="M141" s="195" t="s">
        <v>324</v>
      </c>
      <c r="N141" s="195" t="s">
        <v>324</v>
      </c>
      <c r="O141" s="195" t="s">
        <v>324</v>
      </c>
      <c r="P141" s="195" t="s">
        <v>324</v>
      </c>
      <c r="Q141" s="195" t="s">
        <v>324</v>
      </c>
      <c r="R141" s="195">
        <v>18</v>
      </c>
      <c r="S141" s="195">
        <v>40</v>
      </c>
      <c r="T141" s="195" t="s">
        <v>324</v>
      </c>
      <c r="U141" s="195" t="s">
        <v>324</v>
      </c>
      <c r="V141" s="195" t="s">
        <v>1591</v>
      </c>
      <c r="W141" s="199"/>
      <c r="X141" s="195">
        <v>13</v>
      </c>
      <c r="Y141" s="195"/>
      <c r="Z141" s="195">
        <v>9</v>
      </c>
      <c r="AA141" s="199"/>
      <c r="AB141" s="195">
        <v>0</v>
      </c>
      <c r="AC141" s="199"/>
      <c r="AD141" s="195" t="s">
        <v>322</v>
      </c>
      <c r="AE141" s="195" t="s">
        <v>1592</v>
      </c>
      <c r="AF141" s="195" t="s">
        <v>1549</v>
      </c>
      <c r="AG141" s="195">
        <v>0</v>
      </c>
      <c r="AH141" s="195" t="s">
        <v>316</v>
      </c>
      <c r="AI141" s="195">
        <v>0</v>
      </c>
      <c r="AJ141" s="195" t="s">
        <v>324</v>
      </c>
      <c r="AK141" s="195" t="s">
        <v>1563</v>
      </c>
      <c r="AL141" s="195" t="s">
        <v>322</v>
      </c>
      <c r="AM141" s="199"/>
      <c r="AN141" s="195" t="s">
        <v>1593</v>
      </c>
      <c r="AO141" s="195" t="s">
        <v>1594</v>
      </c>
      <c r="AP141" s="195" t="s">
        <v>1595</v>
      </c>
      <c r="AQ141" s="195" t="s">
        <v>324</v>
      </c>
      <c r="AR141" s="220" t="s">
        <v>1431</v>
      </c>
      <c r="AS141" s="195" t="s">
        <v>316</v>
      </c>
      <c r="AT141" s="199"/>
      <c r="AU141" s="202" t="s">
        <v>1596</v>
      </c>
      <c r="AV141" s="195" t="s">
        <v>1447</v>
      </c>
      <c r="AW141" s="195" t="str">
        <f ca="1">IFERROR(__xludf.DUMMYFUNCTION("IF(AND(IF(AS141=""Yes"",True,False),NOT(IFERROR(REGEXMATCH(AV141,ExclusionCategories),FALSE))),""Yes"", ""No"")"),"No")</f>
        <v>No</v>
      </c>
      <c r="AX141" s="195">
        <f ca="1">IFERROR(__xludf.DUMMYFUNCTION("IF(IFERROR(SEARCH(""Unclear"", Z141)) = 1, VALUE(REGEXEXTRACT(Z141,""\d+"")), Z141)"),9)</f>
        <v>9</v>
      </c>
      <c r="AY141" s="195">
        <v>9</v>
      </c>
      <c r="AZ141" s="195">
        <f ca="1">IFERROR(__xludf.DUMMYFUNCTION("IF(IFERROR(SEARCH(""Unclear"", AG141)) = 1, VALUE(REGEXEXTRACT(AG141,""\d+"")), AG141)"),0)</f>
        <v>0</v>
      </c>
      <c r="BA141" s="195">
        <v>0</v>
      </c>
      <c r="BB141" s="195" t="str">
        <f ca="1">IFERROR(__xludf.DUMMYFUNCTION("IF(IFERROR(SEARCH(""Unclear"", AJ141)) = 1, VALUE(REGEXEXTRACT(AJ141,""\d+"")), AJ141)"),"ND")</f>
        <v>ND</v>
      </c>
      <c r="BC141" s="195" t="s">
        <v>324</v>
      </c>
      <c r="BD141" s="195" t="b">
        <f t="shared" si="2"/>
        <v>1</v>
      </c>
      <c r="BE141" s="195" t="b">
        <f t="shared" ref="BE141:BF141" si="151">IF(IFERROR(FIND("ND",AI141),0),FALSE,TRUE)</f>
        <v>1</v>
      </c>
      <c r="BF141" s="195" t="b">
        <f t="shared" si="151"/>
        <v>0</v>
      </c>
    </row>
    <row r="142" spans="1:58" ht="34.5" customHeight="1">
      <c r="A142" s="218" t="s">
        <v>1557</v>
      </c>
      <c r="B142" s="241">
        <v>1990</v>
      </c>
      <c r="C142" s="195" t="s">
        <v>457</v>
      </c>
      <c r="D142" s="4" t="s">
        <v>1590</v>
      </c>
      <c r="E142" s="239">
        <v>2324538</v>
      </c>
      <c r="F142" s="230" t="str">
        <f t="shared" si="137"/>
        <v>https://pubmed.ncbi.nlm.nih.gov/2324538</v>
      </c>
      <c r="G142" s="213" t="str">
        <f t="shared" si="89"/>
        <v>Clements 1990</v>
      </c>
      <c r="H142" s="217">
        <v>1990</v>
      </c>
      <c r="I142" s="199"/>
      <c r="J142" s="199"/>
      <c r="K142" s="195">
        <v>12</v>
      </c>
      <c r="L142" s="4" t="s">
        <v>788</v>
      </c>
      <c r="M142" s="195" t="s">
        <v>324</v>
      </c>
      <c r="N142" s="195" t="s">
        <v>324</v>
      </c>
      <c r="O142" s="195" t="s">
        <v>324</v>
      </c>
      <c r="P142" s="195" t="s">
        <v>324</v>
      </c>
      <c r="Q142" s="195" t="s">
        <v>324</v>
      </c>
      <c r="R142" s="195">
        <v>18</v>
      </c>
      <c r="S142" s="195">
        <v>40</v>
      </c>
      <c r="T142" s="195" t="s">
        <v>324</v>
      </c>
      <c r="U142" s="195" t="s">
        <v>324</v>
      </c>
      <c r="V142" s="195" t="s">
        <v>1591</v>
      </c>
      <c r="W142" s="199"/>
      <c r="X142" s="195">
        <v>12</v>
      </c>
      <c r="Y142" s="195"/>
      <c r="Z142" s="195">
        <v>10</v>
      </c>
      <c r="AA142" s="199"/>
      <c r="AB142" s="195">
        <v>0</v>
      </c>
      <c r="AC142" s="199"/>
      <c r="AD142" s="195" t="s">
        <v>322</v>
      </c>
      <c r="AE142" s="195" t="s">
        <v>1592</v>
      </c>
      <c r="AF142" s="195" t="s">
        <v>1549</v>
      </c>
      <c r="AG142" s="195">
        <v>5</v>
      </c>
      <c r="AH142" s="195" t="s">
        <v>316</v>
      </c>
      <c r="AI142" s="195">
        <v>0</v>
      </c>
      <c r="AJ142" s="195" t="s">
        <v>324</v>
      </c>
      <c r="AK142" s="195" t="s">
        <v>1563</v>
      </c>
      <c r="AL142" s="195" t="s">
        <v>322</v>
      </c>
      <c r="AM142" s="199"/>
      <c r="AN142" s="195" t="s">
        <v>332</v>
      </c>
      <c r="AO142" s="195" t="s">
        <v>1594</v>
      </c>
      <c r="AP142" s="195" t="s">
        <v>1595</v>
      </c>
      <c r="AQ142" s="195" t="s">
        <v>324</v>
      </c>
      <c r="AR142" s="220" t="s">
        <v>1431</v>
      </c>
      <c r="AS142" s="195" t="s">
        <v>316</v>
      </c>
      <c r="AT142" s="199"/>
      <c r="AU142" s="202" t="s">
        <v>1596</v>
      </c>
      <c r="AV142" s="195" t="s">
        <v>1447</v>
      </c>
      <c r="AW142" s="195" t="str">
        <f ca="1">IFERROR(__xludf.DUMMYFUNCTION("IF(AND(IF(AS142=""Yes"",True,False),NOT(IFERROR(REGEXMATCH(AV142,ExclusionCategories),FALSE))),""Yes"", ""No"")"),"No")</f>
        <v>No</v>
      </c>
      <c r="AX142" s="195">
        <f ca="1">IFERROR(__xludf.DUMMYFUNCTION("IF(IFERROR(SEARCH(""Unclear"", Z142)) = 1, VALUE(REGEXEXTRACT(Z142,""\d+"")), Z142)"),10)</f>
        <v>10</v>
      </c>
      <c r="AY142" s="195">
        <v>10</v>
      </c>
      <c r="AZ142" s="195">
        <f ca="1">IFERROR(__xludf.DUMMYFUNCTION("IF(IFERROR(SEARCH(""Unclear"", AG142)) = 1, VALUE(REGEXEXTRACT(AG142,""\d+"")), AG142)"),5)</f>
        <v>5</v>
      </c>
      <c r="BA142" s="195">
        <v>5</v>
      </c>
      <c r="BB142" s="195" t="str">
        <f ca="1">IFERROR(__xludf.DUMMYFUNCTION("IF(IFERROR(SEARCH(""Unclear"", AJ142)) = 1, VALUE(REGEXEXTRACT(AJ142,""\d+"")), AJ142)"),"ND")</f>
        <v>ND</v>
      </c>
      <c r="BC142" s="195" t="s">
        <v>324</v>
      </c>
      <c r="BD142" s="195" t="b">
        <f t="shared" si="2"/>
        <v>1</v>
      </c>
      <c r="BE142" s="195" t="b">
        <f t="shared" ref="BE142:BF142" si="152">IF(IFERROR(FIND("ND",AI142),0),FALSE,TRUE)</f>
        <v>1</v>
      </c>
      <c r="BF142" s="195" t="b">
        <f t="shared" si="152"/>
        <v>0</v>
      </c>
    </row>
    <row r="143" spans="1:58" ht="34.5" customHeight="1">
      <c r="A143" s="218" t="s">
        <v>1557</v>
      </c>
      <c r="B143" s="241">
        <v>1990</v>
      </c>
      <c r="C143" s="195" t="s">
        <v>457</v>
      </c>
      <c r="D143" s="4" t="s">
        <v>1590</v>
      </c>
      <c r="E143" s="239">
        <v>2324538</v>
      </c>
      <c r="F143" s="230" t="str">
        <f t="shared" si="137"/>
        <v>https://pubmed.ncbi.nlm.nih.gov/2324538</v>
      </c>
      <c r="G143" s="213" t="str">
        <f t="shared" si="89"/>
        <v>Clements 1990</v>
      </c>
      <c r="H143" s="217">
        <v>1990</v>
      </c>
      <c r="I143" s="199"/>
      <c r="J143" s="199"/>
      <c r="K143" s="195">
        <v>25</v>
      </c>
      <c r="L143" s="4" t="s">
        <v>846</v>
      </c>
      <c r="M143" s="195" t="s">
        <v>324</v>
      </c>
      <c r="N143" s="195" t="s">
        <v>324</v>
      </c>
      <c r="O143" s="195" t="s">
        <v>324</v>
      </c>
      <c r="P143" s="195" t="s">
        <v>324</v>
      </c>
      <c r="Q143" s="195" t="s">
        <v>324</v>
      </c>
      <c r="R143" s="195">
        <v>18</v>
      </c>
      <c r="S143" s="195">
        <v>40</v>
      </c>
      <c r="T143" s="195" t="s">
        <v>324</v>
      </c>
      <c r="U143" s="195" t="s">
        <v>324</v>
      </c>
      <c r="V143" s="195" t="s">
        <v>1591</v>
      </c>
      <c r="W143" s="199"/>
      <c r="X143" s="195">
        <v>25</v>
      </c>
      <c r="Y143" s="195"/>
      <c r="Z143" s="195">
        <v>19</v>
      </c>
      <c r="AA143" s="199"/>
      <c r="AB143" s="195">
        <v>0</v>
      </c>
      <c r="AC143" s="199"/>
      <c r="AD143" s="195" t="s">
        <v>322</v>
      </c>
      <c r="AE143" s="195" t="s">
        <v>1592</v>
      </c>
      <c r="AF143" s="195" t="s">
        <v>1549</v>
      </c>
      <c r="AG143" s="195">
        <v>5</v>
      </c>
      <c r="AH143" s="195" t="s">
        <v>316</v>
      </c>
      <c r="AI143" s="195">
        <v>0</v>
      </c>
      <c r="AJ143" s="195" t="s">
        <v>324</v>
      </c>
      <c r="AK143" s="195" t="s">
        <v>1563</v>
      </c>
      <c r="AL143" s="195" t="s">
        <v>322</v>
      </c>
      <c r="AM143" s="199"/>
      <c r="AN143" s="195" t="s">
        <v>1593</v>
      </c>
      <c r="AO143" s="195" t="s">
        <v>1594</v>
      </c>
      <c r="AP143" s="195" t="s">
        <v>1595</v>
      </c>
      <c r="AQ143" s="195" t="s">
        <v>324</v>
      </c>
      <c r="AR143" s="220" t="s">
        <v>1431</v>
      </c>
      <c r="AS143" s="195" t="s">
        <v>308</v>
      </c>
      <c r="AT143" s="199"/>
      <c r="AU143" s="202" t="s">
        <v>1596</v>
      </c>
      <c r="AV143" s="195" t="s">
        <v>1556</v>
      </c>
      <c r="AW143" s="195" t="str">
        <f ca="1">IFERROR(__xludf.DUMMYFUNCTION("IF(AND(IF(AS143=""Yes"",True,False),NOT(IFERROR(REGEXMATCH(AV143,ExclusionCategories),FALSE))),""Yes"", ""No"")"),"Yes")</f>
        <v>Yes</v>
      </c>
      <c r="AX143" s="195">
        <f ca="1">IFERROR(__xludf.DUMMYFUNCTION("IF(IFERROR(SEARCH(""Unclear"", Z143)) = 1, VALUE(REGEXEXTRACT(Z143,""\d+"")), Z143)"),19)</f>
        <v>19</v>
      </c>
      <c r="AY143" s="195">
        <v>19</v>
      </c>
      <c r="AZ143" s="195">
        <f ca="1">IFERROR(__xludf.DUMMYFUNCTION("IF(IFERROR(SEARCH(""Unclear"", AG143)) = 1, VALUE(REGEXEXTRACT(AG143,""\d+"")), AG143)"),5)</f>
        <v>5</v>
      </c>
      <c r="BA143" s="195">
        <v>5</v>
      </c>
      <c r="BB143" s="195" t="str">
        <f ca="1">IFERROR(__xludf.DUMMYFUNCTION("IF(IFERROR(SEARCH(""Unclear"", AJ143)) = 1, VALUE(REGEXEXTRACT(AJ143,""\d+"")), AJ143)"),"ND")</f>
        <v>ND</v>
      </c>
      <c r="BC143" s="195" t="s">
        <v>324</v>
      </c>
      <c r="BD143" s="195" t="b">
        <f t="shared" si="2"/>
        <v>1</v>
      </c>
      <c r="BE143" s="195" t="b">
        <f t="shared" ref="BE143:BF143" si="153">IF(IFERROR(FIND("ND",AI143),0),FALSE,TRUE)</f>
        <v>1</v>
      </c>
      <c r="BF143" s="195" t="b">
        <f t="shared" si="153"/>
        <v>0</v>
      </c>
    </row>
    <row r="144" spans="1:58" ht="34.5" customHeight="1">
      <c r="A144" s="218" t="s">
        <v>1557</v>
      </c>
      <c r="B144" s="241">
        <v>1991</v>
      </c>
      <c r="C144" s="195" t="s">
        <v>1597</v>
      </c>
      <c r="D144" s="4" t="s">
        <v>1598</v>
      </c>
      <c r="E144" s="239">
        <v>1650789</v>
      </c>
      <c r="F144" s="230" t="str">
        <f t="shared" si="137"/>
        <v>https://pubmed.ncbi.nlm.nih.gov/1650789</v>
      </c>
      <c r="G144" s="213" t="str">
        <f t="shared" si="89"/>
        <v>Clements 1991</v>
      </c>
      <c r="H144" s="217">
        <v>1991</v>
      </c>
      <c r="I144" s="199"/>
      <c r="J144" s="199"/>
      <c r="K144" s="195">
        <v>55</v>
      </c>
      <c r="L144" s="4" t="s">
        <v>1599</v>
      </c>
      <c r="M144" s="195" t="s">
        <v>324</v>
      </c>
      <c r="N144" s="195" t="s">
        <v>324</v>
      </c>
      <c r="O144" s="195" t="s">
        <v>324</v>
      </c>
      <c r="P144" s="195" t="s">
        <v>324</v>
      </c>
      <c r="Q144" s="195" t="s">
        <v>324</v>
      </c>
      <c r="R144" s="195">
        <v>18</v>
      </c>
      <c r="S144" s="195">
        <v>40</v>
      </c>
      <c r="T144" s="195" t="s">
        <v>324</v>
      </c>
      <c r="U144" s="195" t="s">
        <v>324</v>
      </c>
      <c r="V144" s="195" t="s">
        <v>1600</v>
      </c>
      <c r="W144" s="199"/>
      <c r="X144" s="195">
        <v>55</v>
      </c>
      <c r="Y144" s="195" t="s">
        <v>1601</v>
      </c>
      <c r="Z144" s="195">
        <v>19</v>
      </c>
      <c r="AA144" s="199"/>
      <c r="AB144" s="195">
        <v>0</v>
      </c>
      <c r="AC144" s="199"/>
      <c r="AD144" s="195" t="s">
        <v>322</v>
      </c>
      <c r="AE144" s="195" t="s">
        <v>1602</v>
      </c>
      <c r="AF144" s="195" t="s">
        <v>1549</v>
      </c>
      <c r="AG144" s="195">
        <v>3</v>
      </c>
      <c r="AH144" s="195" t="s">
        <v>316</v>
      </c>
      <c r="AI144" s="195">
        <v>0</v>
      </c>
      <c r="AJ144" s="195" t="s">
        <v>324</v>
      </c>
      <c r="AK144" s="195" t="s">
        <v>1563</v>
      </c>
      <c r="AL144" s="195" t="s">
        <v>322</v>
      </c>
      <c r="AM144" s="199"/>
      <c r="AN144" s="195" t="s">
        <v>1603</v>
      </c>
      <c r="AO144" s="195" t="s">
        <v>1604</v>
      </c>
      <c r="AP144" s="195" t="s">
        <v>1605</v>
      </c>
      <c r="AQ144" s="195" t="s">
        <v>324</v>
      </c>
      <c r="AR144" s="220" t="s">
        <v>1431</v>
      </c>
      <c r="AS144" s="195" t="s">
        <v>316</v>
      </c>
      <c r="AT144" s="199"/>
      <c r="AU144" s="202" t="s">
        <v>1606</v>
      </c>
      <c r="AV144" s="195" t="s">
        <v>1567</v>
      </c>
      <c r="AW144" s="195" t="str">
        <f ca="1">IFERROR(__xludf.DUMMYFUNCTION("IF(AND(IF(AS144=""Yes"",True,False),NOT(IFERROR(REGEXMATCH(AV144,ExclusionCategories),FALSE))),""Yes"", ""No"")"),"No")</f>
        <v>No</v>
      </c>
      <c r="AX144" s="195">
        <f ca="1">IFERROR(__xludf.DUMMYFUNCTION("IF(IFERROR(SEARCH(""Unclear"", Z144)) = 1, VALUE(REGEXEXTRACT(Z144,""\d+"")), Z144)"),19)</f>
        <v>19</v>
      </c>
      <c r="AY144" s="195">
        <v>19</v>
      </c>
      <c r="AZ144" s="195">
        <f ca="1">IFERROR(__xludf.DUMMYFUNCTION("IF(IFERROR(SEARCH(""Unclear"", AG144)) = 1, VALUE(REGEXEXTRACT(AG144,""\d+"")), AG144)"),3)</f>
        <v>3</v>
      </c>
      <c r="BA144" s="195">
        <v>3</v>
      </c>
      <c r="BB144" s="195" t="str">
        <f ca="1">IFERROR(__xludf.DUMMYFUNCTION("IF(IFERROR(SEARCH(""Unclear"", AJ144)) = 1, VALUE(REGEXEXTRACT(AJ144,""\d+"")), AJ144)"),"ND")</f>
        <v>ND</v>
      </c>
      <c r="BC144" s="195" t="s">
        <v>324</v>
      </c>
      <c r="BD144" s="195" t="b">
        <f t="shared" si="2"/>
        <v>1</v>
      </c>
      <c r="BE144" s="195" t="b">
        <f t="shared" ref="BE144:BF144" si="154">IF(IFERROR(FIND("ND",AI144),0),FALSE,TRUE)</f>
        <v>1</v>
      </c>
      <c r="BF144" s="195" t="b">
        <f t="shared" si="154"/>
        <v>0</v>
      </c>
    </row>
    <row r="145" spans="1:58" ht="34.5" customHeight="1">
      <c r="A145" s="218" t="s">
        <v>1557</v>
      </c>
      <c r="B145" s="241">
        <v>1991</v>
      </c>
      <c r="C145" s="195" t="s">
        <v>1597</v>
      </c>
      <c r="D145" s="4" t="s">
        <v>1607</v>
      </c>
      <c r="E145" s="239">
        <v>1650789</v>
      </c>
      <c r="F145" s="230" t="str">
        <f t="shared" si="137"/>
        <v>https://pubmed.ncbi.nlm.nih.gov/1650789</v>
      </c>
      <c r="G145" s="213" t="str">
        <f t="shared" si="89"/>
        <v>Clements 1991</v>
      </c>
      <c r="H145" s="217">
        <v>1991</v>
      </c>
      <c r="I145" s="199"/>
      <c r="J145" s="199"/>
      <c r="K145" s="195">
        <v>28</v>
      </c>
      <c r="L145" s="4" t="s">
        <v>1569</v>
      </c>
      <c r="M145" s="195" t="s">
        <v>324</v>
      </c>
      <c r="N145" s="195" t="s">
        <v>324</v>
      </c>
      <c r="O145" s="195" t="s">
        <v>324</v>
      </c>
      <c r="P145" s="195" t="s">
        <v>324</v>
      </c>
      <c r="Q145" s="195" t="s">
        <v>324</v>
      </c>
      <c r="R145" s="195">
        <v>18</v>
      </c>
      <c r="S145" s="195">
        <v>40</v>
      </c>
      <c r="T145" s="195" t="s">
        <v>324</v>
      </c>
      <c r="U145" s="195" t="s">
        <v>324</v>
      </c>
      <c r="V145" s="195" t="s">
        <v>1600</v>
      </c>
      <c r="W145" s="199"/>
      <c r="X145" s="195">
        <v>28</v>
      </c>
      <c r="Y145" s="195" t="s">
        <v>1561</v>
      </c>
      <c r="Z145" s="195">
        <v>15</v>
      </c>
      <c r="AA145" s="199"/>
      <c r="AB145" s="195">
        <v>0</v>
      </c>
      <c r="AC145" s="199"/>
      <c r="AD145" s="195" t="s">
        <v>322</v>
      </c>
      <c r="AE145" s="195" t="s">
        <v>1602</v>
      </c>
      <c r="AF145" s="195" t="s">
        <v>1549</v>
      </c>
      <c r="AG145" s="195">
        <v>1</v>
      </c>
      <c r="AH145" s="195" t="s">
        <v>316</v>
      </c>
      <c r="AI145" s="195">
        <v>0</v>
      </c>
      <c r="AJ145" s="195" t="s">
        <v>324</v>
      </c>
      <c r="AK145" s="195" t="s">
        <v>1563</v>
      </c>
      <c r="AL145" s="195" t="s">
        <v>322</v>
      </c>
      <c r="AM145" s="199"/>
      <c r="AN145" s="195" t="s">
        <v>332</v>
      </c>
      <c r="AO145" s="195" t="s">
        <v>1604</v>
      </c>
      <c r="AP145" s="195" t="s">
        <v>1605</v>
      </c>
      <c r="AQ145" s="195" t="s">
        <v>324</v>
      </c>
      <c r="AR145" s="220" t="s">
        <v>1431</v>
      </c>
      <c r="AS145" s="195" t="s">
        <v>316</v>
      </c>
      <c r="AT145" s="199"/>
      <c r="AU145" s="202" t="s">
        <v>1606</v>
      </c>
      <c r="AV145" s="195" t="s">
        <v>1447</v>
      </c>
      <c r="AW145" s="195" t="str">
        <f ca="1">IFERROR(__xludf.DUMMYFUNCTION("IF(AND(IF(AS145=""Yes"",True,False),NOT(IFERROR(REGEXMATCH(AV145,ExclusionCategories),FALSE))),""Yes"", ""No"")"),"No")</f>
        <v>No</v>
      </c>
      <c r="AX145" s="195">
        <f ca="1">IFERROR(__xludf.DUMMYFUNCTION("IF(IFERROR(SEARCH(""Unclear"", Z145)) = 1, VALUE(REGEXEXTRACT(Z145,""\d+"")), Z145)"),15)</f>
        <v>15</v>
      </c>
      <c r="AY145" s="195">
        <v>15</v>
      </c>
      <c r="AZ145" s="195">
        <f ca="1">IFERROR(__xludf.DUMMYFUNCTION("IF(IFERROR(SEARCH(""Unclear"", AG145)) = 1, VALUE(REGEXEXTRACT(AG145,""\d+"")), AG145)"),1)</f>
        <v>1</v>
      </c>
      <c r="BA145" s="195">
        <v>1</v>
      </c>
      <c r="BB145" s="195" t="str">
        <f ca="1">IFERROR(__xludf.DUMMYFUNCTION("IF(IFERROR(SEARCH(""Unclear"", AJ145)) = 1, VALUE(REGEXEXTRACT(AJ145,""\d+"")), AJ145)"),"ND")</f>
        <v>ND</v>
      </c>
      <c r="BC145" s="195" t="s">
        <v>324</v>
      </c>
      <c r="BD145" s="195" t="b">
        <f t="shared" si="2"/>
        <v>1</v>
      </c>
      <c r="BE145" s="195" t="b">
        <f t="shared" ref="BE145:BF145" si="155">IF(IFERROR(FIND("ND",AI145),0),FALSE,TRUE)</f>
        <v>1</v>
      </c>
      <c r="BF145" s="195" t="b">
        <f t="shared" si="155"/>
        <v>0</v>
      </c>
    </row>
    <row r="146" spans="1:58" ht="34.5" customHeight="1">
      <c r="A146" s="218" t="s">
        <v>1557</v>
      </c>
      <c r="B146" s="241">
        <v>1991</v>
      </c>
      <c r="C146" s="195" t="s">
        <v>1597</v>
      </c>
      <c r="D146" s="4" t="s">
        <v>1608</v>
      </c>
      <c r="E146" s="239">
        <v>1650789</v>
      </c>
      <c r="F146" s="230" t="str">
        <f t="shared" si="137"/>
        <v>https://pubmed.ncbi.nlm.nih.gov/1650789</v>
      </c>
      <c r="G146" s="213" t="str">
        <f t="shared" si="89"/>
        <v>Clements 1991</v>
      </c>
      <c r="H146" s="217">
        <v>1991</v>
      </c>
      <c r="I146" s="199"/>
      <c r="J146" s="199"/>
      <c r="K146" s="195">
        <v>83</v>
      </c>
      <c r="L146" s="4" t="s">
        <v>1571</v>
      </c>
      <c r="M146" s="195" t="s">
        <v>324</v>
      </c>
      <c r="N146" s="195" t="s">
        <v>324</v>
      </c>
      <c r="O146" s="195" t="s">
        <v>324</v>
      </c>
      <c r="P146" s="195" t="s">
        <v>324</v>
      </c>
      <c r="Q146" s="195" t="s">
        <v>324</v>
      </c>
      <c r="R146" s="195">
        <v>18</v>
      </c>
      <c r="S146" s="195">
        <v>40</v>
      </c>
      <c r="T146" s="195" t="s">
        <v>324</v>
      </c>
      <c r="U146" s="195" t="s">
        <v>324</v>
      </c>
      <c r="V146" s="195" t="s">
        <v>1600</v>
      </c>
      <c r="W146" s="199"/>
      <c r="X146" s="195">
        <v>83</v>
      </c>
      <c r="Y146" s="195"/>
      <c r="Z146" s="195">
        <v>34</v>
      </c>
      <c r="AA146" s="199"/>
      <c r="AB146" s="195">
        <v>0</v>
      </c>
      <c r="AC146" s="199"/>
      <c r="AD146" s="195" t="s">
        <v>322</v>
      </c>
      <c r="AE146" s="195" t="s">
        <v>1602</v>
      </c>
      <c r="AF146" s="195" t="s">
        <v>1549</v>
      </c>
      <c r="AG146" s="195">
        <v>4</v>
      </c>
      <c r="AH146" s="195" t="s">
        <v>316</v>
      </c>
      <c r="AI146" s="195">
        <v>0</v>
      </c>
      <c r="AJ146" s="195" t="s">
        <v>324</v>
      </c>
      <c r="AK146" s="195" t="s">
        <v>1563</v>
      </c>
      <c r="AL146" s="195" t="s">
        <v>322</v>
      </c>
      <c r="AM146" s="199"/>
      <c r="AN146" s="195" t="s">
        <v>1603</v>
      </c>
      <c r="AO146" s="195" t="s">
        <v>1604</v>
      </c>
      <c r="AP146" s="195" t="s">
        <v>1605</v>
      </c>
      <c r="AQ146" s="195" t="s">
        <v>324</v>
      </c>
      <c r="AR146" s="220" t="s">
        <v>1431</v>
      </c>
      <c r="AS146" s="195" t="s">
        <v>308</v>
      </c>
      <c r="AT146" s="199"/>
      <c r="AU146" s="202" t="s">
        <v>1606</v>
      </c>
      <c r="AV146" s="195" t="s">
        <v>1572</v>
      </c>
      <c r="AW146" s="195" t="str">
        <f ca="1">IFERROR(__xludf.DUMMYFUNCTION("IF(AND(IF(AS146=""Yes"",True,False),NOT(IFERROR(REGEXMATCH(AV146,ExclusionCategories),FALSE))),""Yes"", ""No"")"),"Yes")</f>
        <v>Yes</v>
      </c>
      <c r="AX146" s="195">
        <f ca="1">IFERROR(__xludf.DUMMYFUNCTION("IF(IFERROR(SEARCH(""Unclear"", Z146)) = 1, VALUE(REGEXEXTRACT(Z146,""\d+"")), Z146)"),34)</f>
        <v>34</v>
      </c>
      <c r="AY146" s="195">
        <v>34</v>
      </c>
      <c r="AZ146" s="195">
        <f ca="1">IFERROR(__xludf.DUMMYFUNCTION("IF(IFERROR(SEARCH(""Unclear"", AG146)) = 1, VALUE(REGEXEXTRACT(AG146,""\d+"")), AG146)"),4)</f>
        <v>4</v>
      </c>
      <c r="BA146" s="195">
        <v>4</v>
      </c>
      <c r="BB146" s="195" t="str">
        <f ca="1">IFERROR(__xludf.DUMMYFUNCTION("IF(IFERROR(SEARCH(""Unclear"", AJ146)) = 1, VALUE(REGEXEXTRACT(AJ146,""\d+"")), AJ146)"),"ND")</f>
        <v>ND</v>
      </c>
      <c r="BC146" s="195" t="s">
        <v>324</v>
      </c>
      <c r="BD146" s="195" t="b">
        <f t="shared" si="2"/>
        <v>1</v>
      </c>
      <c r="BE146" s="195" t="b">
        <f t="shared" ref="BE146:BF146" si="156">IF(IFERROR(FIND("ND",AI146),0),FALSE,TRUE)</f>
        <v>1</v>
      </c>
      <c r="BF146" s="195" t="b">
        <f t="shared" si="156"/>
        <v>0</v>
      </c>
    </row>
    <row r="147" spans="1:58" ht="34.5" customHeight="1">
      <c r="A147" s="218" t="s">
        <v>1609</v>
      </c>
      <c r="B147" s="241">
        <v>1999</v>
      </c>
      <c r="C147" s="195" t="s">
        <v>457</v>
      </c>
      <c r="D147" s="4" t="s">
        <v>1610</v>
      </c>
      <c r="E147" s="239">
        <v>10204970</v>
      </c>
      <c r="F147" s="230" t="str">
        <f t="shared" si="137"/>
        <v>https://pubmed.ncbi.nlm.nih.gov/10204970</v>
      </c>
      <c r="G147" s="213" t="str">
        <f t="shared" si="89"/>
        <v>Cohen 1999</v>
      </c>
      <c r="H147" s="195">
        <v>1997</v>
      </c>
      <c r="I147" s="199"/>
      <c r="J147" s="199"/>
      <c r="K147" s="195">
        <v>75</v>
      </c>
      <c r="L147" s="4"/>
      <c r="M147" s="195" t="s">
        <v>324</v>
      </c>
      <c r="N147" s="195" t="s">
        <v>324</v>
      </c>
      <c r="O147" s="195" t="s">
        <v>324</v>
      </c>
      <c r="P147" s="195" t="s">
        <v>324</v>
      </c>
      <c r="Q147" s="195" t="s">
        <v>324</v>
      </c>
      <c r="R147" s="195" t="s">
        <v>324</v>
      </c>
      <c r="S147" s="195" t="s">
        <v>324</v>
      </c>
      <c r="T147" s="195" t="s">
        <v>324</v>
      </c>
      <c r="U147" s="195" t="s">
        <v>324</v>
      </c>
      <c r="V147" s="195" t="s">
        <v>1611</v>
      </c>
      <c r="W147" s="199"/>
      <c r="X147" s="195">
        <v>75</v>
      </c>
      <c r="Y147" s="195"/>
      <c r="Z147" s="195">
        <v>55</v>
      </c>
      <c r="AA147" s="199"/>
      <c r="AB147" s="195">
        <v>0</v>
      </c>
      <c r="AC147" s="199"/>
      <c r="AD147" s="195" t="s">
        <v>322</v>
      </c>
      <c r="AE147" s="195" t="s">
        <v>1612</v>
      </c>
      <c r="AF147" s="195" t="s">
        <v>1472</v>
      </c>
      <c r="AG147" s="195" t="s">
        <v>324</v>
      </c>
      <c r="AH147" s="195" t="s">
        <v>308</v>
      </c>
      <c r="AI147" s="195" t="s">
        <v>324</v>
      </c>
      <c r="AJ147" s="195" t="s">
        <v>324</v>
      </c>
      <c r="AK147" s="195"/>
      <c r="AL147" s="195" t="s">
        <v>322</v>
      </c>
      <c r="AM147" s="199"/>
      <c r="AN147" s="195" t="s">
        <v>332</v>
      </c>
      <c r="AO147" s="195" t="s">
        <v>1613</v>
      </c>
      <c r="AP147" s="195" t="s">
        <v>1614</v>
      </c>
      <c r="AQ147" s="195" t="s">
        <v>324</v>
      </c>
      <c r="AR147" s="220" t="s">
        <v>1431</v>
      </c>
      <c r="AS147" s="195" t="s">
        <v>308</v>
      </c>
      <c r="AT147" s="199"/>
      <c r="AU147" s="202" t="s">
        <v>1615</v>
      </c>
      <c r="AV147" s="195" t="s">
        <v>9</v>
      </c>
      <c r="AW147" s="195" t="str">
        <f ca="1">IFERROR(__xludf.DUMMYFUNCTION("IF(AND(IF(AS147=""Yes"",True,False),NOT(IFERROR(REGEXMATCH(AV147,ExclusionCategories),FALSE))),""Yes"", ""No"")"),"Yes")</f>
        <v>Yes</v>
      </c>
      <c r="AX147" s="195">
        <f ca="1">IFERROR(__xludf.DUMMYFUNCTION("IF(IFERROR(SEARCH(""Unclear"", Z147)) = 1, VALUE(REGEXEXTRACT(Z147,""\d+"")), Z147)"),55)</f>
        <v>55</v>
      </c>
      <c r="AY147" s="195">
        <v>55</v>
      </c>
      <c r="AZ147" s="195" t="str">
        <f ca="1">IFERROR(__xludf.DUMMYFUNCTION("IF(IFERROR(SEARCH(""Unclear"", AG147)) = 1, VALUE(REGEXEXTRACT(AG147,""\d+"")), AG147)"),"ND")</f>
        <v>ND</v>
      </c>
      <c r="BA147" s="195" t="s">
        <v>324</v>
      </c>
      <c r="BB147" s="195" t="str">
        <f ca="1">IFERROR(__xludf.DUMMYFUNCTION("IF(IFERROR(SEARCH(""Unclear"", AJ147)) = 1, VALUE(REGEXEXTRACT(AJ147,""\d+"")), AJ147)"),"ND")</f>
        <v>ND</v>
      </c>
      <c r="BC147" s="195" t="s">
        <v>324</v>
      </c>
      <c r="BD147" s="195" t="b">
        <f t="shared" si="2"/>
        <v>0</v>
      </c>
      <c r="BE147" s="195" t="b">
        <f t="shared" ref="BE147:BF147" si="157">IF(IFERROR(FIND("ND",AI147),0),FALSE,TRUE)</f>
        <v>0</v>
      </c>
      <c r="BF147" s="195" t="b">
        <f t="shared" si="157"/>
        <v>0</v>
      </c>
    </row>
    <row r="148" spans="1:58" ht="34.5" customHeight="1">
      <c r="A148" s="218" t="s">
        <v>1616</v>
      </c>
      <c r="B148" s="241">
        <v>2007</v>
      </c>
      <c r="C148" s="195" t="s">
        <v>619</v>
      </c>
      <c r="D148" s="4" t="s">
        <v>1617</v>
      </c>
      <c r="E148" s="239">
        <v>17074855</v>
      </c>
      <c r="F148" s="230" t="str">
        <f t="shared" si="137"/>
        <v>https://pubmed.ncbi.nlm.nih.gov/17074855</v>
      </c>
      <c r="G148" s="213" t="str">
        <f t="shared" si="89"/>
        <v>Coster 2007</v>
      </c>
      <c r="H148" s="217">
        <v>2007</v>
      </c>
      <c r="I148" s="199"/>
      <c r="J148" s="199"/>
      <c r="K148" s="195">
        <v>31</v>
      </c>
      <c r="L148" s="4"/>
      <c r="M148" s="195">
        <v>20</v>
      </c>
      <c r="N148" s="195">
        <v>11</v>
      </c>
      <c r="O148" s="195" t="s">
        <v>324</v>
      </c>
      <c r="P148" s="195" t="s">
        <v>324</v>
      </c>
      <c r="Q148" s="195" t="s">
        <v>324</v>
      </c>
      <c r="R148" s="195">
        <v>18</v>
      </c>
      <c r="S148" s="195">
        <v>55</v>
      </c>
      <c r="T148" s="195" t="s">
        <v>324</v>
      </c>
      <c r="U148" s="195" t="s">
        <v>324</v>
      </c>
      <c r="V148" s="195" t="s">
        <v>1618</v>
      </c>
      <c r="W148" s="199"/>
      <c r="X148" s="195">
        <v>31</v>
      </c>
      <c r="Y148" s="195"/>
      <c r="Z148" s="195">
        <v>31</v>
      </c>
      <c r="AA148" s="195" t="s">
        <v>1619</v>
      </c>
      <c r="AB148" s="195">
        <v>0</v>
      </c>
      <c r="AC148" s="199"/>
      <c r="AD148" s="195" t="s">
        <v>322</v>
      </c>
      <c r="AE148" s="195" t="s">
        <v>1620</v>
      </c>
      <c r="AF148" s="195"/>
      <c r="AG148" s="195" t="s">
        <v>1621</v>
      </c>
      <c r="AH148" s="195" t="s">
        <v>308</v>
      </c>
      <c r="AI148" s="195" t="s">
        <v>324</v>
      </c>
      <c r="AJ148" s="195" t="s">
        <v>394</v>
      </c>
      <c r="AK148" s="195"/>
      <c r="AL148" s="195" t="s">
        <v>322</v>
      </c>
      <c r="AM148" s="199"/>
      <c r="AN148" s="195" t="s">
        <v>1622</v>
      </c>
      <c r="AO148" s="195" t="s">
        <v>1623</v>
      </c>
      <c r="AP148" s="195" t="s">
        <v>1624</v>
      </c>
      <c r="AQ148" s="195" t="s">
        <v>324</v>
      </c>
      <c r="AR148" s="220" t="s">
        <v>1431</v>
      </c>
      <c r="AS148" s="195" t="s">
        <v>308</v>
      </c>
      <c r="AT148" s="199"/>
      <c r="AU148" s="202" t="s">
        <v>1625</v>
      </c>
      <c r="AV148" s="195" t="s">
        <v>9</v>
      </c>
      <c r="AW148" s="195" t="str">
        <f ca="1">IFERROR(__xludf.DUMMYFUNCTION("IF(AND(IF(AS148=""Yes"",True,False),NOT(IFERROR(REGEXMATCH(AV148,ExclusionCategories),FALSE))),""Yes"", ""No"")"),"Yes")</f>
        <v>Yes</v>
      </c>
      <c r="AX148" s="195">
        <f ca="1">IFERROR(__xludf.DUMMYFUNCTION("IF(IFERROR(SEARCH(""Unclear"", Z148)) = 1, VALUE(REGEXEXTRACT(Z148,""\d+"")), Z148)"),31)</f>
        <v>31</v>
      </c>
      <c r="AY148" s="195">
        <v>31</v>
      </c>
      <c r="AZ148" s="195">
        <f ca="1">IFERROR(__xludf.DUMMYFUNCTION("IF(IFERROR(SEARCH(""Unclear"", AG148)) = 1, VALUE(REGEXEXTRACT(AG148,""\d+"")), AG148)"),24)</f>
        <v>24</v>
      </c>
      <c r="BA148" s="195">
        <v>31</v>
      </c>
      <c r="BB148" s="195">
        <f ca="1">IFERROR(__xludf.DUMMYFUNCTION("IF(IFERROR(SEARCH(""Unclear"", AJ148)) = 1, VALUE(REGEXEXTRACT(AJ148,""\d+"")), AJ148)"),0)</f>
        <v>0</v>
      </c>
      <c r="BC148" s="195">
        <v>31</v>
      </c>
      <c r="BD148" s="195" t="b">
        <f t="shared" si="2"/>
        <v>1</v>
      </c>
      <c r="BE148" s="195" t="b">
        <f t="shared" ref="BE148:BF148" si="158">IF(IFERROR(FIND("ND",AI148),0),FALSE,TRUE)</f>
        <v>0</v>
      </c>
      <c r="BF148" s="195" t="b">
        <f t="shared" si="158"/>
        <v>1</v>
      </c>
    </row>
    <row r="149" spans="1:58" ht="34.5" customHeight="1">
      <c r="A149" s="218" t="s">
        <v>1626</v>
      </c>
      <c r="B149" s="241">
        <v>1978</v>
      </c>
      <c r="C149" s="195" t="s">
        <v>457</v>
      </c>
      <c r="D149" s="4" t="s">
        <v>1627</v>
      </c>
      <c r="E149" s="239">
        <v>730356</v>
      </c>
      <c r="F149" s="230" t="str">
        <f t="shared" si="137"/>
        <v>https://pubmed.ncbi.nlm.nih.gov/730356</v>
      </c>
      <c r="G149" s="213" t="str">
        <f t="shared" si="89"/>
        <v>Cretescu 1978</v>
      </c>
      <c r="H149" s="217">
        <v>1978</v>
      </c>
      <c r="I149" s="199"/>
      <c r="J149" s="199"/>
      <c r="K149" s="195">
        <v>180</v>
      </c>
      <c r="L149" s="4"/>
      <c r="M149" s="195" t="s">
        <v>324</v>
      </c>
      <c r="N149" s="195" t="s">
        <v>324</v>
      </c>
      <c r="O149" s="195" t="s">
        <v>324</v>
      </c>
      <c r="P149" s="195" t="s">
        <v>324</v>
      </c>
      <c r="Q149" s="195" t="s">
        <v>324</v>
      </c>
      <c r="R149" s="195" t="s">
        <v>324</v>
      </c>
      <c r="S149" s="195" t="s">
        <v>324</v>
      </c>
      <c r="T149" s="195" t="s">
        <v>324</v>
      </c>
      <c r="U149" s="195" t="s">
        <v>324</v>
      </c>
      <c r="V149" s="195" t="s">
        <v>1628</v>
      </c>
      <c r="W149" s="199"/>
      <c r="X149" s="195">
        <v>180</v>
      </c>
      <c r="Y149" s="195" t="s">
        <v>1629</v>
      </c>
      <c r="Z149" s="195">
        <v>123</v>
      </c>
      <c r="AA149" s="195"/>
      <c r="AB149" s="195">
        <v>0</v>
      </c>
      <c r="AC149" s="199"/>
      <c r="AD149" s="195" t="s">
        <v>322</v>
      </c>
      <c r="AE149" s="195" t="s">
        <v>1630</v>
      </c>
      <c r="AF149" s="195" t="s">
        <v>1631</v>
      </c>
      <c r="AG149" s="195">
        <v>100</v>
      </c>
      <c r="AH149" s="195" t="s">
        <v>308</v>
      </c>
      <c r="AI149" s="195">
        <v>0</v>
      </c>
      <c r="AJ149" s="195">
        <v>20</v>
      </c>
      <c r="AK149" s="195" t="s">
        <v>1632</v>
      </c>
      <c r="AL149" s="195" t="s">
        <v>322</v>
      </c>
      <c r="AM149" s="199"/>
      <c r="AN149" s="195" t="s">
        <v>1510</v>
      </c>
      <c r="AO149" s="195" t="s">
        <v>1633</v>
      </c>
      <c r="AP149" s="195" t="s">
        <v>324</v>
      </c>
      <c r="AQ149" s="195" t="s">
        <v>324</v>
      </c>
      <c r="AR149" s="220" t="s">
        <v>1431</v>
      </c>
      <c r="AS149" s="195" t="s">
        <v>316</v>
      </c>
      <c r="AT149" s="199"/>
      <c r="AU149" s="202" t="s">
        <v>1634</v>
      </c>
      <c r="AV149" s="195" t="s">
        <v>1447</v>
      </c>
      <c r="AW149" s="195" t="str">
        <f ca="1">IFERROR(__xludf.DUMMYFUNCTION("IF(AND(IF(AS149=""Yes"",True,False),NOT(IFERROR(REGEXMATCH(AV149,ExclusionCategories),FALSE))),""Yes"", ""No"")"),"No")</f>
        <v>No</v>
      </c>
      <c r="AX149" s="195">
        <f ca="1">IFERROR(__xludf.DUMMYFUNCTION("IF(IFERROR(SEARCH(""Unclear"", Z149)) = 1, VALUE(REGEXEXTRACT(Z149,""\d+"")), Z149)"),123)</f>
        <v>123</v>
      </c>
      <c r="AY149" s="195">
        <v>123</v>
      </c>
      <c r="AZ149" s="195">
        <f ca="1">IFERROR(__xludf.DUMMYFUNCTION("IF(IFERROR(SEARCH(""Unclear"", AG149)) = 1, VALUE(REGEXEXTRACT(AG149,""\d+"")), AG149)"),100)</f>
        <v>100</v>
      </c>
      <c r="BA149" s="195">
        <v>100</v>
      </c>
      <c r="BB149" s="195">
        <f ca="1">IFERROR(__xludf.DUMMYFUNCTION("IF(IFERROR(SEARCH(""Unclear"", AJ149)) = 1, VALUE(REGEXEXTRACT(AJ149,""\d+"")), AJ149)"),20)</f>
        <v>20</v>
      </c>
      <c r="BC149" s="195">
        <v>20</v>
      </c>
      <c r="BD149" s="195" t="b">
        <f t="shared" si="2"/>
        <v>1</v>
      </c>
      <c r="BE149" s="195" t="b">
        <f t="shared" ref="BE149:BF149" si="159">IF(IFERROR(FIND("ND",AI149),0),FALSE,TRUE)</f>
        <v>1</v>
      </c>
      <c r="BF149" s="195" t="b">
        <f t="shared" si="159"/>
        <v>1</v>
      </c>
    </row>
    <row r="150" spans="1:58" ht="34.5" customHeight="1">
      <c r="A150" s="218" t="s">
        <v>1635</v>
      </c>
      <c r="B150" s="241">
        <v>2010</v>
      </c>
      <c r="C150" s="195" t="s">
        <v>339</v>
      </c>
      <c r="D150" s="4" t="s">
        <v>1636</v>
      </c>
      <c r="E150" s="239">
        <v>19737527</v>
      </c>
      <c r="F150" s="230" t="str">
        <f t="shared" si="137"/>
        <v>https://pubmed.ncbi.nlm.nih.gov/19737527</v>
      </c>
      <c r="G150" s="213" t="str">
        <f t="shared" si="89"/>
        <v>Cummings 2010</v>
      </c>
      <c r="H150" s="195">
        <v>2007</v>
      </c>
      <c r="I150" s="195" t="s">
        <v>1637</v>
      </c>
      <c r="J150" s="198" t="s">
        <v>1638</v>
      </c>
      <c r="K150" s="195">
        <v>36</v>
      </c>
      <c r="L150" s="4" t="s">
        <v>343</v>
      </c>
      <c r="M150" s="195">
        <v>23</v>
      </c>
      <c r="N150" s="195">
        <v>13</v>
      </c>
      <c r="O150" s="195" t="s">
        <v>324</v>
      </c>
      <c r="P150" s="195" t="s">
        <v>324</v>
      </c>
      <c r="Q150" s="195" t="s">
        <v>324</v>
      </c>
      <c r="R150" s="195" t="s">
        <v>324</v>
      </c>
      <c r="S150" s="195" t="s">
        <v>324</v>
      </c>
      <c r="T150" s="195">
        <v>31.5</v>
      </c>
      <c r="U150" s="195" t="s">
        <v>365</v>
      </c>
      <c r="V150" s="195" t="s">
        <v>1639</v>
      </c>
      <c r="W150" s="199"/>
      <c r="X150" s="195">
        <v>36</v>
      </c>
      <c r="Y150" s="195" t="s">
        <v>1640</v>
      </c>
      <c r="Z150" s="195">
        <v>36</v>
      </c>
      <c r="AA150" s="195" t="s">
        <v>1641</v>
      </c>
      <c r="AB150" s="195">
        <v>0</v>
      </c>
      <c r="AC150" s="195"/>
      <c r="AD150" s="195" t="s">
        <v>322</v>
      </c>
      <c r="AE150" s="195" t="s">
        <v>1642</v>
      </c>
      <c r="AF150" s="195"/>
      <c r="AG150" s="195">
        <v>36</v>
      </c>
      <c r="AH150" s="195" t="s">
        <v>308</v>
      </c>
      <c r="AI150" s="195">
        <v>0</v>
      </c>
      <c r="AJ150" s="195">
        <v>0</v>
      </c>
      <c r="AK150" s="195" t="s">
        <v>1643</v>
      </c>
      <c r="AL150" s="195" t="s">
        <v>322</v>
      </c>
      <c r="AM150" s="199"/>
      <c r="AN150" s="195" t="s">
        <v>1644</v>
      </c>
      <c r="AO150" s="195" t="s">
        <v>1645</v>
      </c>
      <c r="AP150" s="195" t="s">
        <v>1646</v>
      </c>
      <c r="AQ150" s="195" t="s">
        <v>1647</v>
      </c>
      <c r="AR150" s="220" t="s">
        <v>1431</v>
      </c>
      <c r="AS150" s="195" t="s">
        <v>316</v>
      </c>
      <c r="AT150" s="199"/>
      <c r="AU150" s="202" t="s">
        <v>1648</v>
      </c>
      <c r="AV150" s="195" t="s">
        <v>318</v>
      </c>
      <c r="AW150" s="195" t="str">
        <f ca="1">IFERROR(__xludf.DUMMYFUNCTION("IF(AND(IF(AS150=""Yes"",True,False),NOT(IFERROR(REGEXMATCH(AV150,ExclusionCategories),FALSE))),""Yes"", ""No"")"),"No")</f>
        <v>No</v>
      </c>
      <c r="AX150" s="195">
        <f ca="1">IFERROR(__xludf.DUMMYFUNCTION("IF(IFERROR(SEARCH(""Unclear"", Z150)) = 1, VALUE(REGEXEXTRACT(Z150,""\d+"")), Z150)"),36)</f>
        <v>36</v>
      </c>
      <c r="AY150" s="195">
        <v>36</v>
      </c>
      <c r="AZ150" s="195">
        <f ca="1">IFERROR(__xludf.DUMMYFUNCTION("IF(IFERROR(SEARCH(""Unclear"", AG150)) = 1, VALUE(REGEXEXTRACT(AG150,""\d+"")), AG150)"),36)</f>
        <v>36</v>
      </c>
      <c r="BA150" s="195">
        <v>36</v>
      </c>
      <c r="BB150" s="195">
        <f ca="1">IFERROR(__xludf.DUMMYFUNCTION("IF(IFERROR(SEARCH(""Unclear"", AJ150)) = 1, VALUE(REGEXEXTRACT(AJ150,""\d+"")), AJ150)"),0)</f>
        <v>0</v>
      </c>
      <c r="BC150" s="195">
        <v>0</v>
      </c>
      <c r="BD150" s="195" t="b">
        <f t="shared" si="2"/>
        <v>1</v>
      </c>
      <c r="BE150" s="195" t="b">
        <f t="shared" ref="BE150:BF150" si="160">IF(IFERROR(FIND("ND",AI150),0),FALSE,TRUE)</f>
        <v>1</v>
      </c>
      <c r="BF150" s="195" t="b">
        <f t="shared" si="160"/>
        <v>1</v>
      </c>
    </row>
    <row r="151" spans="1:58" ht="34.5" customHeight="1">
      <c r="A151" s="218" t="s">
        <v>1635</v>
      </c>
      <c r="B151" s="241">
        <v>2010</v>
      </c>
      <c r="C151" s="195" t="s">
        <v>339</v>
      </c>
      <c r="D151" s="4" t="s">
        <v>1649</v>
      </c>
      <c r="E151" s="239">
        <v>19737527</v>
      </c>
      <c r="F151" s="230" t="str">
        <f t="shared" si="137"/>
        <v>https://pubmed.ncbi.nlm.nih.gov/19737527</v>
      </c>
      <c r="G151" s="213" t="str">
        <f t="shared" si="89"/>
        <v>Cummings 2010</v>
      </c>
      <c r="H151" s="195">
        <v>2007</v>
      </c>
      <c r="I151" s="195" t="s">
        <v>1637</v>
      </c>
      <c r="J151" s="198" t="s">
        <v>1638</v>
      </c>
      <c r="K151" s="195">
        <v>28</v>
      </c>
      <c r="L151" s="4" t="s">
        <v>353</v>
      </c>
      <c r="M151" s="195" t="s">
        <v>324</v>
      </c>
      <c r="N151" s="195" t="s">
        <v>324</v>
      </c>
      <c r="O151" s="195" t="s">
        <v>324</v>
      </c>
      <c r="P151" s="195" t="s">
        <v>324</v>
      </c>
      <c r="Q151" s="195" t="s">
        <v>324</v>
      </c>
      <c r="R151" s="195" t="s">
        <v>324</v>
      </c>
      <c r="S151" s="195" t="s">
        <v>324</v>
      </c>
      <c r="T151" s="195" t="s">
        <v>324</v>
      </c>
      <c r="U151" s="195" t="s">
        <v>324</v>
      </c>
      <c r="V151" s="195" t="s">
        <v>1650</v>
      </c>
      <c r="W151" s="199"/>
      <c r="X151" s="195">
        <v>28</v>
      </c>
      <c r="Y151" s="195" t="s">
        <v>1651</v>
      </c>
      <c r="Z151" s="195">
        <v>28</v>
      </c>
      <c r="AA151" s="195" t="s">
        <v>1652</v>
      </c>
      <c r="AB151" s="195">
        <v>0</v>
      </c>
      <c r="AC151" s="195"/>
      <c r="AD151" s="195" t="s">
        <v>322</v>
      </c>
      <c r="AE151" s="195" t="s">
        <v>1642</v>
      </c>
      <c r="AF151" s="195" t="s">
        <v>1653</v>
      </c>
      <c r="AG151" s="195" t="s">
        <v>324</v>
      </c>
      <c r="AH151" s="195" t="s">
        <v>308</v>
      </c>
      <c r="AI151" s="195">
        <v>0</v>
      </c>
      <c r="AJ151" s="195" t="s">
        <v>324</v>
      </c>
      <c r="AK151" s="195" t="s">
        <v>1643</v>
      </c>
      <c r="AL151" s="195" t="s">
        <v>322</v>
      </c>
      <c r="AM151" s="199"/>
      <c r="AN151" s="195" t="s">
        <v>1644</v>
      </c>
      <c r="AO151" s="195" t="s">
        <v>1645</v>
      </c>
      <c r="AP151" s="195" t="s">
        <v>1646</v>
      </c>
      <c r="AQ151" s="195" t="s">
        <v>1647</v>
      </c>
      <c r="AR151" s="220" t="s">
        <v>1431</v>
      </c>
      <c r="AS151" s="195" t="s">
        <v>308</v>
      </c>
      <c r="AT151" s="199"/>
      <c r="AU151" s="202" t="s">
        <v>1648</v>
      </c>
      <c r="AV151" s="195" t="s">
        <v>9</v>
      </c>
      <c r="AW151" s="195" t="str">
        <f ca="1">IFERROR(__xludf.DUMMYFUNCTION("IF(AND(IF(AS151=""Yes"",True,False),NOT(IFERROR(REGEXMATCH(AV151,ExclusionCategories),FALSE))),""Yes"", ""No"")"),"Yes")</f>
        <v>Yes</v>
      </c>
      <c r="AX151" s="195">
        <f ca="1">IFERROR(__xludf.DUMMYFUNCTION("IF(IFERROR(SEARCH(""Unclear"", Z151)) = 1, VALUE(REGEXEXTRACT(Z151,""\d+"")), Z151)"),28)</f>
        <v>28</v>
      </c>
      <c r="AY151" s="195">
        <v>28</v>
      </c>
      <c r="AZ151" s="195" t="str">
        <f ca="1">IFERROR(__xludf.DUMMYFUNCTION("IF(IFERROR(SEARCH(""Unclear"", AG151)) = 1, VALUE(REGEXEXTRACT(AG151,""\d+"")), AG151)"),"ND")</f>
        <v>ND</v>
      </c>
      <c r="BA151" s="195" t="s">
        <v>324</v>
      </c>
      <c r="BB151" s="195" t="str">
        <f ca="1">IFERROR(__xludf.DUMMYFUNCTION("IF(IFERROR(SEARCH(""Unclear"", AJ151)) = 1, VALUE(REGEXEXTRACT(AJ151,""\d+"")), AJ151)"),"ND")</f>
        <v>ND</v>
      </c>
      <c r="BC151" s="195" t="s">
        <v>324</v>
      </c>
      <c r="BD151" s="195" t="b">
        <f t="shared" si="2"/>
        <v>0</v>
      </c>
      <c r="BE151" s="195" t="b">
        <f t="shared" ref="BE151:BF151" si="161">IF(IFERROR(FIND("ND",AI151),0),FALSE,TRUE)</f>
        <v>1</v>
      </c>
      <c r="BF151" s="195" t="b">
        <f t="shared" si="161"/>
        <v>0</v>
      </c>
    </row>
    <row r="152" spans="1:58" ht="34.5" customHeight="1">
      <c r="A152" s="218" t="s">
        <v>1654</v>
      </c>
      <c r="B152" s="241">
        <v>1998</v>
      </c>
      <c r="C152" s="195" t="s">
        <v>619</v>
      </c>
      <c r="D152" s="4" t="s">
        <v>1655</v>
      </c>
      <c r="E152" s="239">
        <v>9423838</v>
      </c>
      <c r="F152" s="230" t="str">
        <f t="shared" si="137"/>
        <v>https://pubmed.ncbi.nlm.nih.gov/9423838</v>
      </c>
      <c r="G152" s="213" t="str">
        <f t="shared" si="89"/>
        <v>Donnenberg 1998</v>
      </c>
      <c r="H152" s="217">
        <v>1998</v>
      </c>
      <c r="I152" s="195"/>
      <c r="J152" s="197"/>
      <c r="K152" s="195">
        <v>23</v>
      </c>
      <c r="L152" s="4" t="s">
        <v>1656</v>
      </c>
      <c r="M152" s="195" t="s">
        <v>324</v>
      </c>
      <c r="N152" s="195" t="s">
        <v>324</v>
      </c>
      <c r="O152" s="195" t="s">
        <v>324</v>
      </c>
      <c r="P152" s="195" t="s">
        <v>324</v>
      </c>
      <c r="Q152" s="195" t="s">
        <v>324</v>
      </c>
      <c r="R152" s="195">
        <v>18</v>
      </c>
      <c r="S152" s="195">
        <v>40</v>
      </c>
      <c r="T152" s="195" t="s">
        <v>324</v>
      </c>
      <c r="U152" s="195" t="s">
        <v>324</v>
      </c>
      <c r="V152" s="195" t="s">
        <v>1657</v>
      </c>
      <c r="W152" s="199"/>
      <c r="X152" s="195">
        <v>23</v>
      </c>
      <c r="Y152" s="195"/>
      <c r="Z152" s="195">
        <v>23</v>
      </c>
      <c r="AA152" s="195" t="s">
        <v>1658</v>
      </c>
      <c r="AB152" s="195">
        <v>0</v>
      </c>
      <c r="AC152" s="195"/>
      <c r="AD152" s="195" t="s">
        <v>322</v>
      </c>
      <c r="AE152" s="195" t="s">
        <v>1659</v>
      </c>
      <c r="AF152" s="195" t="s">
        <v>1472</v>
      </c>
      <c r="AG152" s="195" t="s">
        <v>324</v>
      </c>
      <c r="AH152" s="195" t="s">
        <v>316</v>
      </c>
      <c r="AI152" s="195" t="s">
        <v>324</v>
      </c>
      <c r="AJ152" s="195" t="s">
        <v>324</v>
      </c>
      <c r="AK152" s="195"/>
      <c r="AL152" s="195" t="s">
        <v>322</v>
      </c>
      <c r="AM152" s="199"/>
      <c r="AN152" s="195" t="s">
        <v>1660</v>
      </c>
      <c r="AO152" s="195" t="s">
        <v>324</v>
      </c>
      <c r="AP152" s="195" t="s">
        <v>1661</v>
      </c>
      <c r="AQ152" s="195" t="s">
        <v>1662</v>
      </c>
      <c r="AR152" s="220" t="s">
        <v>1431</v>
      </c>
      <c r="AS152" s="195" t="s">
        <v>308</v>
      </c>
      <c r="AT152" s="199"/>
      <c r="AU152" s="202" t="s">
        <v>1663</v>
      </c>
      <c r="AV152" s="195" t="s">
        <v>9</v>
      </c>
      <c r="AW152" s="195" t="str">
        <f ca="1">IFERROR(__xludf.DUMMYFUNCTION("IF(AND(IF(AS152=""Yes"",True,False),NOT(IFERROR(REGEXMATCH(AV152,ExclusionCategories),FALSE))),""Yes"", ""No"")"),"Yes")</f>
        <v>Yes</v>
      </c>
      <c r="AX152" s="195">
        <f ca="1">IFERROR(__xludf.DUMMYFUNCTION("IF(IFERROR(SEARCH(""Unclear"", Z152)) = 1, VALUE(REGEXEXTRACT(Z152,""\d+"")), Z152)"),23)</f>
        <v>23</v>
      </c>
      <c r="AY152" s="195">
        <v>23</v>
      </c>
      <c r="AZ152" s="195" t="str">
        <f ca="1">IFERROR(__xludf.DUMMYFUNCTION("IF(IFERROR(SEARCH(""Unclear"", AG152)) = 1, VALUE(REGEXEXTRACT(AG152,""\d+"")), AG152)"),"ND")</f>
        <v>ND</v>
      </c>
      <c r="BA152" s="195" t="s">
        <v>324</v>
      </c>
      <c r="BB152" s="195" t="str">
        <f ca="1">IFERROR(__xludf.DUMMYFUNCTION("IF(IFERROR(SEARCH(""Unclear"", AJ152)) = 1, VALUE(REGEXEXTRACT(AJ152,""\d+"")), AJ152)"),"ND")</f>
        <v>ND</v>
      </c>
      <c r="BC152" s="195" t="s">
        <v>324</v>
      </c>
      <c r="BD152" s="195" t="b">
        <f t="shared" si="2"/>
        <v>0</v>
      </c>
      <c r="BE152" s="195" t="b">
        <f t="shared" ref="BE152:BF152" si="162">IF(IFERROR(FIND("ND",AI152),0),FALSE,TRUE)</f>
        <v>0</v>
      </c>
      <c r="BF152" s="195" t="b">
        <f t="shared" si="162"/>
        <v>0</v>
      </c>
    </row>
    <row r="153" spans="1:58" ht="34.5" customHeight="1">
      <c r="A153" s="218" t="s">
        <v>1654</v>
      </c>
      <c r="B153" s="241">
        <v>1998</v>
      </c>
      <c r="C153" s="195" t="s">
        <v>619</v>
      </c>
      <c r="D153" s="4" t="s">
        <v>1664</v>
      </c>
      <c r="E153" s="239">
        <v>9423838</v>
      </c>
      <c r="F153" s="230" t="str">
        <f t="shared" si="137"/>
        <v>https://pubmed.ncbi.nlm.nih.gov/9423838</v>
      </c>
      <c r="G153" s="213" t="str">
        <f t="shared" si="89"/>
        <v>Donnenberg 1998</v>
      </c>
      <c r="H153" s="217">
        <v>1998</v>
      </c>
      <c r="I153" s="195"/>
      <c r="J153" s="197"/>
      <c r="K153" s="195">
        <v>8</v>
      </c>
      <c r="L153" s="4" t="s">
        <v>1665</v>
      </c>
      <c r="M153" s="195" t="s">
        <v>324</v>
      </c>
      <c r="N153" s="195" t="s">
        <v>324</v>
      </c>
      <c r="O153" s="195" t="s">
        <v>324</v>
      </c>
      <c r="P153" s="195" t="s">
        <v>324</v>
      </c>
      <c r="Q153" s="195" t="s">
        <v>324</v>
      </c>
      <c r="R153" s="195">
        <v>18</v>
      </c>
      <c r="S153" s="195">
        <v>40</v>
      </c>
      <c r="T153" s="195" t="s">
        <v>324</v>
      </c>
      <c r="U153" s="195" t="s">
        <v>324</v>
      </c>
      <c r="V153" s="195" t="s">
        <v>1657</v>
      </c>
      <c r="W153" s="199"/>
      <c r="X153" s="195">
        <v>8</v>
      </c>
      <c r="Y153" s="195"/>
      <c r="Z153" s="195">
        <v>8</v>
      </c>
      <c r="AA153" s="195" t="s">
        <v>1658</v>
      </c>
      <c r="AB153" s="195">
        <v>0</v>
      </c>
      <c r="AC153" s="195"/>
      <c r="AD153" s="195" t="s">
        <v>322</v>
      </c>
      <c r="AE153" s="195" t="s">
        <v>1659</v>
      </c>
      <c r="AF153" s="195" t="s">
        <v>1472</v>
      </c>
      <c r="AG153" s="195" t="s">
        <v>324</v>
      </c>
      <c r="AH153" s="195" t="s">
        <v>316</v>
      </c>
      <c r="AI153" s="195" t="s">
        <v>324</v>
      </c>
      <c r="AJ153" s="195" t="s">
        <v>324</v>
      </c>
      <c r="AK153" s="195"/>
      <c r="AL153" s="195" t="s">
        <v>322</v>
      </c>
      <c r="AM153" s="199"/>
      <c r="AN153" s="195" t="s">
        <v>1660</v>
      </c>
      <c r="AO153" s="195" t="s">
        <v>324</v>
      </c>
      <c r="AP153" s="195" t="s">
        <v>1661</v>
      </c>
      <c r="AQ153" s="195" t="s">
        <v>1662</v>
      </c>
      <c r="AR153" s="220" t="s">
        <v>1431</v>
      </c>
      <c r="AS153" s="195" t="s">
        <v>308</v>
      </c>
      <c r="AT153" s="199"/>
      <c r="AU153" s="202" t="s">
        <v>1663</v>
      </c>
      <c r="AV153" s="195" t="s">
        <v>15</v>
      </c>
      <c r="AW153" s="195" t="str">
        <f ca="1">IFERROR(__xludf.DUMMYFUNCTION("IF(AND(IF(AS153=""Yes"",True,False),NOT(IFERROR(REGEXMATCH(AV153,ExclusionCategories),FALSE))),""Yes"", ""No"")"),"No")</f>
        <v>No</v>
      </c>
      <c r="AX153" s="195">
        <f ca="1">IFERROR(__xludf.DUMMYFUNCTION("IF(IFERROR(SEARCH(""Unclear"", Z153)) = 1, VALUE(REGEXEXTRACT(Z153,""\d+"")), Z153)"),8)</f>
        <v>8</v>
      </c>
      <c r="AY153" s="195">
        <v>8</v>
      </c>
      <c r="AZ153" s="195" t="str">
        <f ca="1">IFERROR(__xludf.DUMMYFUNCTION("IF(IFERROR(SEARCH(""Unclear"", AG153)) = 1, VALUE(REGEXEXTRACT(AG153,""\d+"")), AG153)"),"ND")</f>
        <v>ND</v>
      </c>
      <c r="BA153" s="195" t="s">
        <v>324</v>
      </c>
      <c r="BB153" s="195" t="str">
        <f ca="1">IFERROR(__xludf.DUMMYFUNCTION("IF(IFERROR(SEARCH(""Unclear"", AJ153)) = 1, VALUE(REGEXEXTRACT(AJ153,""\d+"")), AJ153)"),"ND")</f>
        <v>ND</v>
      </c>
      <c r="BC153" s="195" t="s">
        <v>324</v>
      </c>
      <c r="BD153" s="195" t="b">
        <f t="shared" si="2"/>
        <v>0</v>
      </c>
      <c r="BE153" s="195" t="b">
        <f t="shared" ref="BE153:BF153" si="163">IF(IFERROR(FIND("ND",AI153),0),FALSE,TRUE)</f>
        <v>0</v>
      </c>
      <c r="BF153" s="195" t="b">
        <f t="shared" si="163"/>
        <v>0</v>
      </c>
    </row>
    <row r="154" spans="1:58" ht="34.5" customHeight="1">
      <c r="A154" s="218" t="s">
        <v>1654</v>
      </c>
      <c r="B154" s="241">
        <v>1998</v>
      </c>
      <c r="C154" s="195" t="s">
        <v>619</v>
      </c>
      <c r="D154" s="4" t="s">
        <v>1666</v>
      </c>
      <c r="E154" s="239">
        <v>9423838</v>
      </c>
      <c r="F154" s="230" t="str">
        <f t="shared" si="137"/>
        <v>https://pubmed.ncbi.nlm.nih.gov/9423838</v>
      </c>
      <c r="G154" s="213" t="str">
        <f t="shared" si="89"/>
        <v>Donnenberg 1998</v>
      </c>
      <c r="H154" s="217">
        <v>1998</v>
      </c>
      <c r="I154" s="195"/>
      <c r="J154" s="197"/>
      <c r="K154" s="195">
        <v>9</v>
      </c>
      <c r="L154" s="4" t="s">
        <v>1667</v>
      </c>
      <c r="M154" s="195" t="s">
        <v>324</v>
      </c>
      <c r="N154" s="195" t="s">
        <v>324</v>
      </c>
      <c r="O154" s="195" t="s">
        <v>324</v>
      </c>
      <c r="P154" s="195" t="s">
        <v>324</v>
      </c>
      <c r="Q154" s="195" t="s">
        <v>324</v>
      </c>
      <c r="R154" s="195">
        <v>18</v>
      </c>
      <c r="S154" s="195">
        <v>40</v>
      </c>
      <c r="T154" s="195" t="s">
        <v>324</v>
      </c>
      <c r="U154" s="195" t="s">
        <v>324</v>
      </c>
      <c r="V154" s="195" t="s">
        <v>1657</v>
      </c>
      <c r="W154" s="199"/>
      <c r="X154" s="195">
        <v>8</v>
      </c>
      <c r="Y154" s="195"/>
      <c r="Z154" s="195">
        <v>8</v>
      </c>
      <c r="AA154" s="195" t="s">
        <v>1658</v>
      </c>
      <c r="AB154" s="195">
        <v>0</v>
      </c>
      <c r="AC154" s="195"/>
      <c r="AD154" s="195" t="s">
        <v>322</v>
      </c>
      <c r="AE154" s="195" t="s">
        <v>1659</v>
      </c>
      <c r="AF154" s="195" t="s">
        <v>1472</v>
      </c>
      <c r="AG154" s="195" t="s">
        <v>324</v>
      </c>
      <c r="AH154" s="195" t="s">
        <v>316</v>
      </c>
      <c r="AI154" s="195" t="s">
        <v>324</v>
      </c>
      <c r="AJ154" s="195" t="s">
        <v>324</v>
      </c>
      <c r="AK154" s="195"/>
      <c r="AL154" s="195" t="s">
        <v>322</v>
      </c>
      <c r="AM154" s="199"/>
      <c r="AN154" s="195" t="s">
        <v>1668</v>
      </c>
      <c r="AO154" s="195" t="s">
        <v>324</v>
      </c>
      <c r="AP154" s="195" t="s">
        <v>1661</v>
      </c>
      <c r="AQ154" s="195" t="s">
        <v>1669</v>
      </c>
      <c r="AR154" s="220" t="s">
        <v>1431</v>
      </c>
      <c r="AS154" s="195" t="s">
        <v>308</v>
      </c>
      <c r="AT154" s="199"/>
      <c r="AU154" s="202" t="s">
        <v>1663</v>
      </c>
      <c r="AV154" s="195" t="s">
        <v>9</v>
      </c>
      <c r="AW154" s="195" t="str">
        <f ca="1">IFERROR(__xludf.DUMMYFUNCTION("IF(AND(IF(AS154=""Yes"",True,False),NOT(IFERROR(REGEXMATCH(AV154,ExclusionCategories),FALSE))),""Yes"", ""No"")"),"Yes")</f>
        <v>Yes</v>
      </c>
      <c r="AX154" s="195">
        <f ca="1">IFERROR(__xludf.DUMMYFUNCTION("IF(IFERROR(SEARCH(""Unclear"", Z154)) = 1, VALUE(REGEXEXTRACT(Z154,""\d+"")), Z154)"),8)</f>
        <v>8</v>
      </c>
      <c r="AY154" s="195">
        <v>8</v>
      </c>
      <c r="AZ154" s="195" t="str">
        <f ca="1">IFERROR(__xludf.DUMMYFUNCTION("IF(IFERROR(SEARCH(""Unclear"", AG154)) = 1, VALUE(REGEXEXTRACT(AG154,""\d+"")), AG154)"),"ND")</f>
        <v>ND</v>
      </c>
      <c r="BA154" s="195" t="s">
        <v>324</v>
      </c>
      <c r="BB154" s="195" t="str">
        <f ca="1">IFERROR(__xludf.DUMMYFUNCTION("IF(IFERROR(SEARCH(""Unclear"", AJ154)) = 1, VALUE(REGEXEXTRACT(AJ154,""\d+"")), AJ154)"),"ND")</f>
        <v>ND</v>
      </c>
      <c r="BC154" s="195" t="s">
        <v>324</v>
      </c>
      <c r="BD154" s="195" t="b">
        <f t="shared" si="2"/>
        <v>0</v>
      </c>
      <c r="BE154" s="195" t="b">
        <f t="shared" ref="BE154:BF154" si="164">IF(IFERROR(FIND("ND",AI154),0),FALSE,TRUE)</f>
        <v>0</v>
      </c>
      <c r="BF154" s="195" t="b">
        <f t="shared" si="164"/>
        <v>0</v>
      </c>
    </row>
    <row r="155" spans="1:58" ht="34.5" customHeight="1">
      <c r="A155" s="218" t="s">
        <v>1654</v>
      </c>
      <c r="B155" s="241">
        <v>1998</v>
      </c>
      <c r="C155" s="195" t="s">
        <v>619</v>
      </c>
      <c r="D155" s="4" t="s">
        <v>1670</v>
      </c>
      <c r="E155" s="239">
        <v>9423838</v>
      </c>
      <c r="F155" s="230" t="str">
        <f t="shared" si="137"/>
        <v>https://pubmed.ncbi.nlm.nih.gov/9423838</v>
      </c>
      <c r="G155" s="213" t="str">
        <f t="shared" si="89"/>
        <v>Donnenberg 1998</v>
      </c>
      <c r="H155" s="217">
        <v>1998</v>
      </c>
      <c r="I155" s="195"/>
      <c r="J155" s="197"/>
      <c r="K155" s="195">
        <v>13</v>
      </c>
      <c r="L155" s="4" t="s">
        <v>1671</v>
      </c>
      <c r="M155" s="195" t="s">
        <v>324</v>
      </c>
      <c r="N155" s="195" t="s">
        <v>324</v>
      </c>
      <c r="O155" s="195" t="s">
        <v>324</v>
      </c>
      <c r="P155" s="195" t="s">
        <v>324</v>
      </c>
      <c r="Q155" s="195" t="s">
        <v>324</v>
      </c>
      <c r="R155" s="195">
        <v>18</v>
      </c>
      <c r="S155" s="195">
        <v>40</v>
      </c>
      <c r="T155" s="195" t="s">
        <v>324</v>
      </c>
      <c r="U155" s="195" t="s">
        <v>324</v>
      </c>
      <c r="V155" s="195" t="s">
        <v>1657</v>
      </c>
      <c r="W155" s="199"/>
      <c r="X155" s="195">
        <v>11</v>
      </c>
      <c r="Y155" s="195"/>
      <c r="Z155" s="195">
        <v>11</v>
      </c>
      <c r="AA155" s="195" t="s">
        <v>1658</v>
      </c>
      <c r="AB155" s="195">
        <v>0</v>
      </c>
      <c r="AC155" s="195"/>
      <c r="AD155" s="195" t="s">
        <v>322</v>
      </c>
      <c r="AE155" s="195" t="s">
        <v>1659</v>
      </c>
      <c r="AF155" s="195" t="s">
        <v>1472</v>
      </c>
      <c r="AG155" s="195" t="s">
        <v>324</v>
      </c>
      <c r="AH155" s="195" t="s">
        <v>316</v>
      </c>
      <c r="AI155" s="195" t="s">
        <v>324</v>
      </c>
      <c r="AJ155" s="195" t="s">
        <v>324</v>
      </c>
      <c r="AK155" s="195"/>
      <c r="AL155" s="195" t="s">
        <v>322</v>
      </c>
      <c r="AM155" s="199"/>
      <c r="AN155" s="195" t="s">
        <v>1668</v>
      </c>
      <c r="AO155" s="195" t="s">
        <v>324</v>
      </c>
      <c r="AP155" s="195" t="s">
        <v>1661</v>
      </c>
      <c r="AQ155" s="195" t="s">
        <v>1669</v>
      </c>
      <c r="AR155" s="220" t="s">
        <v>1431</v>
      </c>
      <c r="AS155" s="195" t="s">
        <v>308</v>
      </c>
      <c r="AT155" s="199"/>
      <c r="AU155" s="202" t="s">
        <v>1663</v>
      </c>
      <c r="AV155" s="195" t="s">
        <v>15</v>
      </c>
      <c r="AW155" s="195" t="str">
        <f ca="1">IFERROR(__xludf.DUMMYFUNCTION("IF(AND(IF(AS155=""Yes"",True,False),NOT(IFERROR(REGEXMATCH(AV155,ExclusionCategories),FALSE))),""Yes"", ""No"")"),"No")</f>
        <v>No</v>
      </c>
      <c r="AX155" s="195">
        <f ca="1">IFERROR(__xludf.DUMMYFUNCTION("IF(IFERROR(SEARCH(""Unclear"", Z155)) = 1, VALUE(REGEXEXTRACT(Z155,""\d+"")), Z155)"),11)</f>
        <v>11</v>
      </c>
      <c r="AY155" s="195">
        <v>11</v>
      </c>
      <c r="AZ155" s="195" t="str">
        <f ca="1">IFERROR(__xludf.DUMMYFUNCTION("IF(IFERROR(SEARCH(""Unclear"", AG155)) = 1, VALUE(REGEXEXTRACT(AG155,""\d+"")), AG155)"),"ND")</f>
        <v>ND</v>
      </c>
      <c r="BA155" s="195" t="s">
        <v>324</v>
      </c>
      <c r="BB155" s="195" t="str">
        <f ca="1">IFERROR(__xludf.DUMMYFUNCTION("IF(IFERROR(SEARCH(""Unclear"", AJ155)) = 1, VALUE(REGEXEXTRACT(AJ155,""\d+"")), AJ155)"),"ND")</f>
        <v>ND</v>
      </c>
      <c r="BC155" s="195" t="s">
        <v>324</v>
      </c>
      <c r="BD155" s="195" t="b">
        <f t="shared" si="2"/>
        <v>0</v>
      </c>
      <c r="BE155" s="195" t="b">
        <f t="shared" ref="BE155:BF155" si="165">IF(IFERROR(FIND("ND",AI155),0),FALSE,TRUE)</f>
        <v>0</v>
      </c>
      <c r="BF155" s="195" t="b">
        <f t="shared" si="165"/>
        <v>0</v>
      </c>
    </row>
    <row r="156" spans="1:58" ht="34.5" customHeight="1">
      <c r="A156" s="218" t="s">
        <v>1672</v>
      </c>
      <c r="B156" s="241">
        <v>1975</v>
      </c>
      <c r="C156" s="195" t="s">
        <v>457</v>
      </c>
      <c r="D156" s="4" t="s">
        <v>1673</v>
      </c>
      <c r="E156" s="239">
        <v>1211921</v>
      </c>
      <c r="F156" s="230" t="str">
        <f t="shared" si="137"/>
        <v>https://pubmed.ncbi.nlm.nih.gov/1211921</v>
      </c>
      <c r="G156" s="213" t="str">
        <f t="shared" si="89"/>
        <v>Douglas 1975</v>
      </c>
      <c r="H156" s="217">
        <v>1975</v>
      </c>
      <c r="I156" s="195"/>
      <c r="J156" s="197"/>
      <c r="K156" s="195">
        <v>20</v>
      </c>
      <c r="L156" s="4"/>
      <c r="M156" s="195">
        <v>20</v>
      </c>
      <c r="N156" s="195">
        <v>0</v>
      </c>
      <c r="O156" s="195" t="s">
        <v>324</v>
      </c>
      <c r="P156" s="195" t="s">
        <v>324</v>
      </c>
      <c r="Q156" s="195" t="s">
        <v>324</v>
      </c>
      <c r="R156" s="195">
        <v>18</v>
      </c>
      <c r="S156" s="195">
        <v>25</v>
      </c>
      <c r="T156" s="195" t="s">
        <v>324</v>
      </c>
      <c r="U156" s="195" t="s">
        <v>324</v>
      </c>
      <c r="V156" s="195" t="s">
        <v>1674</v>
      </c>
      <c r="W156" s="199"/>
      <c r="X156" s="195">
        <v>20</v>
      </c>
      <c r="Y156" s="195" t="s">
        <v>1675</v>
      </c>
      <c r="Z156" s="195">
        <v>11</v>
      </c>
      <c r="AA156" s="195" t="s">
        <v>1676</v>
      </c>
      <c r="AB156" s="195">
        <v>0</v>
      </c>
      <c r="AC156" s="195"/>
      <c r="AD156" s="195" t="s">
        <v>322</v>
      </c>
      <c r="AE156" s="195" t="s">
        <v>1677</v>
      </c>
      <c r="AF156" s="195" t="s">
        <v>1549</v>
      </c>
      <c r="AG156" s="195">
        <v>14</v>
      </c>
      <c r="AH156" s="195" t="s">
        <v>308</v>
      </c>
      <c r="AI156" s="195">
        <v>0</v>
      </c>
      <c r="AJ156" s="195" t="s">
        <v>324</v>
      </c>
      <c r="AK156" s="195" t="s">
        <v>1678</v>
      </c>
      <c r="AL156" s="195" t="s">
        <v>322</v>
      </c>
      <c r="AM156" s="199"/>
      <c r="AN156" s="195" t="s">
        <v>1679</v>
      </c>
      <c r="AO156" s="195" t="s">
        <v>1680</v>
      </c>
      <c r="AP156" s="195" t="s">
        <v>1681</v>
      </c>
      <c r="AQ156" s="195" t="s">
        <v>1682</v>
      </c>
      <c r="AR156" s="220" t="s">
        <v>1431</v>
      </c>
      <c r="AS156" s="195" t="s">
        <v>316</v>
      </c>
      <c r="AT156" s="199"/>
      <c r="AU156" s="202" t="s">
        <v>1683</v>
      </c>
      <c r="AV156" s="195" t="s">
        <v>1447</v>
      </c>
      <c r="AW156" s="195" t="str">
        <f ca="1">IFERROR(__xludf.DUMMYFUNCTION("IF(AND(IF(AS156=""Yes"",True,False),NOT(IFERROR(REGEXMATCH(AV156,ExclusionCategories),FALSE))),""Yes"", ""No"")"),"No")</f>
        <v>No</v>
      </c>
      <c r="AX156" s="195">
        <f ca="1">IFERROR(__xludf.DUMMYFUNCTION("IF(IFERROR(SEARCH(""Unclear"", Z156)) = 1, VALUE(REGEXEXTRACT(Z156,""\d+"")), Z156)"),11)</f>
        <v>11</v>
      </c>
      <c r="AY156" s="195">
        <v>11</v>
      </c>
      <c r="AZ156" s="195">
        <f ca="1">IFERROR(__xludf.DUMMYFUNCTION("IF(IFERROR(SEARCH(""Unclear"", AG156)) = 1, VALUE(REGEXEXTRACT(AG156,""\d+"")), AG156)"),14)</f>
        <v>14</v>
      </c>
      <c r="BA156" s="195">
        <v>14</v>
      </c>
      <c r="BB156" s="195" t="str">
        <f ca="1">IFERROR(__xludf.DUMMYFUNCTION("IF(IFERROR(SEARCH(""Unclear"", AJ156)) = 1, VALUE(REGEXEXTRACT(AJ156,""\d+"")), AJ156)"),"ND")</f>
        <v>ND</v>
      </c>
      <c r="BC156" s="195" t="s">
        <v>324</v>
      </c>
      <c r="BD156" s="195" t="b">
        <f t="shared" si="2"/>
        <v>1</v>
      </c>
      <c r="BE156" s="195" t="b">
        <f t="shared" ref="BE156:BF156" si="166">IF(IFERROR(FIND("ND",AI156),0),FALSE,TRUE)</f>
        <v>1</v>
      </c>
      <c r="BF156" s="195" t="b">
        <f t="shared" si="166"/>
        <v>0</v>
      </c>
    </row>
    <row r="157" spans="1:58" ht="34.5" customHeight="1">
      <c r="A157" s="218" t="s">
        <v>1672</v>
      </c>
      <c r="B157" s="241">
        <v>1979</v>
      </c>
      <c r="C157" s="195" t="s">
        <v>457</v>
      </c>
      <c r="D157" s="4" t="s">
        <v>1684</v>
      </c>
      <c r="E157" s="239">
        <v>500204</v>
      </c>
      <c r="F157" s="230" t="str">
        <f t="shared" si="137"/>
        <v>https://pubmed.ncbi.nlm.nih.gov/500204</v>
      </c>
      <c r="G157" s="213" t="str">
        <f t="shared" si="89"/>
        <v>Douglas 1979</v>
      </c>
      <c r="H157" s="217">
        <v>1979</v>
      </c>
      <c r="I157" s="195"/>
      <c r="J157" s="197"/>
      <c r="K157" s="195">
        <v>28</v>
      </c>
      <c r="L157" s="4" t="s">
        <v>1685</v>
      </c>
      <c r="M157" s="195" t="s">
        <v>324</v>
      </c>
      <c r="N157" s="195" t="s">
        <v>324</v>
      </c>
      <c r="O157" s="195" t="s">
        <v>324</v>
      </c>
      <c r="P157" s="195" t="s">
        <v>324</v>
      </c>
      <c r="Q157" s="195" t="s">
        <v>324</v>
      </c>
      <c r="R157" s="195">
        <v>18</v>
      </c>
      <c r="S157" s="195">
        <v>50</v>
      </c>
      <c r="T157" s="195" t="s">
        <v>324</v>
      </c>
      <c r="U157" s="195" t="s">
        <v>324</v>
      </c>
      <c r="V157" s="195" t="s">
        <v>1686</v>
      </c>
      <c r="W157" s="199"/>
      <c r="X157" s="195">
        <v>28</v>
      </c>
      <c r="Y157" s="195"/>
      <c r="Z157" s="195">
        <v>16</v>
      </c>
      <c r="AA157" s="195"/>
      <c r="AB157" s="195">
        <v>0</v>
      </c>
      <c r="AC157" s="195"/>
      <c r="AD157" s="195" t="s">
        <v>322</v>
      </c>
      <c r="AE157" s="195" t="s">
        <v>1687</v>
      </c>
      <c r="AF157" s="195" t="s">
        <v>1549</v>
      </c>
      <c r="AG157" s="195">
        <v>5</v>
      </c>
      <c r="AH157" s="195" t="s">
        <v>308</v>
      </c>
      <c r="AI157" s="195">
        <v>0</v>
      </c>
      <c r="AJ157" s="195" t="s">
        <v>324</v>
      </c>
      <c r="AK157" s="195" t="s">
        <v>1678</v>
      </c>
      <c r="AL157" s="195" t="s">
        <v>322</v>
      </c>
      <c r="AM157" s="199"/>
      <c r="AN157" s="195" t="s">
        <v>332</v>
      </c>
      <c r="AO157" s="195" t="s">
        <v>1688</v>
      </c>
      <c r="AP157" s="195" t="s">
        <v>324</v>
      </c>
      <c r="AQ157" s="195" t="s">
        <v>324</v>
      </c>
      <c r="AR157" s="220" t="s">
        <v>1431</v>
      </c>
      <c r="AS157" s="195" t="s">
        <v>316</v>
      </c>
      <c r="AT157" s="199"/>
      <c r="AU157" s="202" t="s">
        <v>1689</v>
      </c>
      <c r="AV157" s="195" t="s">
        <v>1447</v>
      </c>
      <c r="AW157" s="195" t="str">
        <f ca="1">IFERROR(__xludf.DUMMYFUNCTION("IF(AND(IF(AS157=""Yes"",True,False),NOT(IFERROR(REGEXMATCH(AV157,ExclusionCategories),FALSE))),""Yes"", ""No"")"),"No")</f>
        <v>No</v>
      </c>
      <c r="AX157" s="195">
        <f ca="1">IFERROR(__xludf.DUMMYFUNCTION("IF(IFERROR(SEARCH(""Unclear"", Z157)) = 1, VALUE(REGEXEXTRACT(Z157,""\d+"")), Z157)"),16)</f>
        <v>16</v>
      </c>
      <c r="AY157" s="195">
        <v>16</v>
      </c>
      <c r="AZ157" s="195">
        <f ca="1">IFERROR(__xludf.DUMMYFUNCTION("IF(IFERROR(SEARCH(""Unclear"", AG157)) = 1, VALUE(REGEXEXTRACT(AG157,""\d+"")), AG157)"),5)</f>
        <v>5</v>
      </c>
      <c r="BA157" s="195">
        <v>5</v>
      </c>
      <c r="BB157" s="195" t="str">
        <f ca="1">IFERROR(__xludf.DUMMYFUNCTION("IF(IFERROR(SEARCH(""Unclear"", AJ157)) = 1, VALUE(REGEXEXTRACT(AJ157,""\d+"")), AJ157)"),"ND")</f>
        <v>ND</v>
      </c>
      <c r="BC157" s="195" t="s">
        <v>324</v>
      </c>
      <c r="BD157" s="195" t="b">
        <f t="shared" si="2"/>
        <v>1</v>
      </c>
      <c r="BE157" s="195" t="b">
        <f t="shared" ref="BE157:BF157" si="167">IF(IFERROR(FIND("ND",AI157),0),FALSE,TRUE)</f>
        <v>1</v>
      </c>
      <c r="BF157" s="195" t="b">
        <f t="shared" si="167"/>
        <v>0</v>
      </c>
    </row>
    <row r="158" spans="1:58" ht="34.5" customHeight="1">
      <c r="A158" s="218" t="s">
        <v>1672</v>
      </c>
      <c r="B158" s="241">
        <v>1979</v>
      </c>
      <c r="C158" s="195" t="s">
        <v>457</v>
      </c>
      <c r="D158" s="4" t="s">
        <v>1684</v>
      </c>
      <c r="E158" s="239">
        <v>500204</v>
      </c>
      <c r="F158" s="230" t="str">
        <f t="shared" si="137"/>
        <v>https://pubmed.ncbi.nlm.nih.gov/500204</v>
      </c>
      <c r="G158" s="213" t="str">
        <f t="shared" si="89"/>
        <v>Douglas 1979</v>
      </c>
      <c r="H158" s="217">
        <v>1979</v>
      </c>
      <c r="I158" s="195"/>
      <c r="J158" s="197"/>
      <c r="K158" s="195">
        <v>19</v>
      </c>
      <c r="L158" s="4" t="s">
        <v>788</v>
      </c>
      <c r="M158" s="195" t="s">
        <v>324</v>
      </c>
      <c r="N158" s="195" t="s">
        <v>324</v>
      </c>
      <c r="O158" s="195" t="s">
        <v>324</v>
      </c>
      <c r="P158" s="195" t="s">
        <v>324</v>
      </c>
      <c r="Q158" s="195" t="s">
        <v>324</v>
      </c>
      <c r="R158" s="195">
        <v>18</v>
      </c>
      <c r="S158" s="195">
        <v>50</v>
      </c>
      <c r="T158" s="195" t="s">
        <v>324</v>
      </c>
      <c r="U158" s="195" t="s">
        <v>324</v>
      </c>
      <c r="V158" s="195" t="s">
        <v>1686</v>
      </c>
      <c r="W158" s="199"/>
      <c r="X158" s="195">
        <v>19</v>
      </c>
      <c r="Y158" s="195"/>
      <c r="Z158" s="195">
        <v>19</v>
      </c>
      <c r="AA158" s="195"/>
      <c r="AB158" s="195">
        <v>0</v>
      </c>
      <c r="AC158" s="195"/>
      <c r="AD158" s="195" t="s">
        <v>322</v>
      </c>
      <c r="AE158" s="195" t="s">
        <v>1687</v>
      </c>
      <c r="AF158" s="195" t="s">
        <v>1549</v>
      </c>
      <c r="AG158" s="195">
        <v>14</v>
      </c>
      <c r="AH158" s="195" t="s">
        <v>308</v>
      </c>
      <c r="AI158" s="195">
        <v>0</v>
      </c>
      <c r="AJ158" s="195" t="s">
        <v>324</v>
      </c>
      <c r="AK158" s="195" t="s">
        <v>1678</v>
      </c>
      <c r="AL158" s="195" t="s">
        <v>322</v>
      </c>
      <c r="AM158" s="199"/>
      <c r="AN158" s="195" t="s">
        <v>332</v>
      </c>
      <c r="AO158" s="195" t="s">
        <v>1688</v>
      </c>
      <c r="AP158" s="195" t="s">
        <v>324</v>
      </c>
      <c r="AQ158" s="195" t="s">
        <v>324</v>
      </c>
      <c r="AR158" s="220" t="s">
        <v>1431</v>
      </c>
      <c r="AS158" s="195" t="s">
        <v>316</v>
      </c>
      <c r="AT158" s="199"/>
      <c r="AU158" s="202" t="s">
        <v>1689</v>
      </c>
      <c r="AV158" s="195" t="s">
        <v>1447</v>
      </c>
      <c r="AW158" s="195" t="str">
        <f ca="1">IFERROR(__xludf.DUMMYFUNCTION("IF(AND(IF(AS158=""Yes"",True,False),NOT(IFERROR(REGEXMATCH(AV158,ExclusionCategories),FALSE))),""Yes"", ""No"")"),"No")</f>
        <v>No</v>
      </c>
      <c r="AX158" s="195">
        <f ca="1">IFERROR(__xludf.DUMMYFUNCTION("IF(IFERROR(SEARCH(""Unclear"", Z158)) = 1, VALUE(REGEXEXTRACT(Z158,""\d+"")), Z158)"),19)</f>
        <v>19</v>
      </c>
      <c r="AY158" s="195">
        <v>19</v>
      </c>
      <c r="AZ158" s="195">
        <f ca="1">IFERROR(__xludf.DUMMYFUNCTION("IF(IFERROR(SEARCH(""Unclear"", AG158)) = 1, VALUE(REGEXEXTRACT(AG158,""\d+"")), AG158)"),14)</f>
        <v>14</v>
      </c>
      <c r="BA158" s="195">
        <v>14</v>
      </c>
      <c r="BB158" s="195" t="str">
        <f ca="1">IFERROR(__xludf.DUMMYFUNCTION("IF(IFERROR(SEARCH(""Unclear"", AJ158)) = 1, VALUE(REGEXEXTRACT(AJ158,""\d+"")), AJ158)"),"ND")</f>
        <v>ND</v>
      </c>
      <c r="BC158" s="195" t="s">
        <v>324</v>
      </c>
      <c r="BD158" s="195" t="b">
        <f t="shared" si="2"/>
        <v>1</v>
      </c>
      <c r="BE158" s="195" t="b">
        <f t="shared" ref="BE158:BF158" si="168">IF(IFERROR(FIND("ND",AI158),0),FALSE,TRUE)</f>
        <v>1</v>
      </c>
      <c r="BF158" s="195" t="b">
        <f t="shared" si="168"/>
        <v>0</v>
      </c>
    </row>
    <row r="159" spans="1:58" ht="34.5" customHeight="1">
      <c r="A159" s="218" t="s">
        <v>1690</v>
      </c>
      <c r="B159" s="241">
        <v>1993</v>
      </c>
      <c r="C159" s="195" t="s">
        <v>441</v>
      </c>
      <c r="D159" s="4" t="s">
        <v>1691</v>
      </c>
      <c r="E159" s="239">
        <v>8392820</v>
      </c>
      <c r="F159" s="230" t="str">
        <f t="shared" si="137"/>
        <v>https://pubmed.ncbi.nlm.nih.gov/8392820</v>
      </c>
      <c r="G159" s="213" t="str">
        <f t="shared" si="89"/>
        <v>Doyle 1993</v>
      </c>
      <c r="H159" s="217">
        <v>1993</v>
      </c>
      <c r="I159" s="195"/>
      <c r="J159" s="197"/>
      <c r="K159" s="195">
        <v>43</v>
      </c>
      <c r="L159" s="4"/>
      <c r="M159" s="195" t="s">
        <v>324</v>
      </c>
      <c r="N159" s="195" t="s">
        <v>324</v>
      </c>
      <c r="O159" s="195" t="s">
        <v>324</v>
      </c>
      <c r="P159" s="195" t="s">
        <v>324</v>
      </c>
      <c r="Q159" s="195" t="s">
        <v>324</v>
      </c>
      <c r="R159" s="195">
        <v>18</v>
      </c>
      <c r="S159" s="195">
        <v>35</v>
      </c>
      <c r="T159" s="195" t="s">
        <v>324</v>
      </c>
      <c r="U159" s="195" t="s">
        <v>324</v>
      </c>
      <c r="V159" s="195" t="s">
        <v>1692</v>
      </c>
      <c r="W159" s="199"/>
      <c r="X159" s="195">
        <v>43</v>
      </c>
      <c r="Y159" s="195" t="s">
        <v>1693</v>
      </c>
      <c r="Z159" s="195">
        <v>40</v>
      </c>
      <c r="AA159" s="195"/>
      <c r="AB159" s="195">
        <v>0</v>
      </c>
      <c r="AC159" s="195"/>
      <c r="AD159" s="195" t="s">
        <v>322</v>
      </c>
      <c r="AE159" s="195" t="s">
        <v>1694</v>
      </c>
      <c r="AF159" s="195"/>
      <c r="AG159" s="195" t="s">
        <v>1695</v>
      </c>
      <c r="AH159" s="195" t="s">
        <v>316</v>
      </c>
      <c r="AI159" s="195" t="s">
        <v>324</v>
      </c>
      <c r="AJ159" s="195" t="s">
        <v>324</v>
      </c>
      <c r="AK159" s="195"/>
      <c r="AL159" s="195" t="s">
        <v>322</v>
      </c>
      <c r="AM159" s="199"/>
      <c r="AN159" s="195" t="s">
        <v>1696</v>
      </c>
      <c r="AO159" s="195" t="s">
        <v>1697</v>
      </c>
      <c r="AP159" s="195" t="s">
        <v>1698</v>
      </c>
      <c r="AQ159" s="195" t="s">
        <v>1699</v>
      </c>
      <c r="AR159" s="220" t="s">
        <v>1431</v>
      </c>
      <c r="AS159" s="195" t="s">
        <v>308</v>
      </c>
      <c r="AT159" s="199"/>
      <c r="AU159" s="202" t="s">
        <v>1700</v>
      </c>
      <c r="AV159" s="195" t="s">
        <v>9</v>
      </c>
      <c r="AW159" s="195" t="str">
        <f ca="1">IFERROR(__xludf.DUMMYFUNCTION("IF(AND(IF(AS159=""Yes"",True,False),NOT(IFERROR(REGEXMATCH(AV159,ExclusionCategories),FALSE))),""Yes"", ""No"")"),"Yes")</f>
        <v>Yes</v>
      </c>
      <c r="AX159" s="195">
        <f ca="1">IFERROR(__xludf.DUMMYFUNCTION("IF(IFERROR(SEARCH(""Unclear"", Z159)) = 1, VALUE(REGEXEXTRACT(Z159,""\d+"")), Z159)"),40)</f>
        <v>40</v>
      </c>
      <c r="AY159" s="195">
        <v>40</v>
      </c>
      <c r="AZ159" s="195">
        <f ca="1">IFERROR(__xludf.DUMMYFUNCTION("IF(IFERROR(SEARCH(""Unclear"", AG159)) = 1, VALUE(REGEXEXTRACT(AG159,""\d+"")), AG159)"),26)</f>
        <v>26</v>
      </c>
      <c r="BA159" s="195">
        <v>43</v>
      </c>
      <c r="BB159" s="195" t="str">
        <f ca="1">IFERROR(__xludf.DUMMYFUNCTION("IF(IFERROR(SEARCH(""Unclear"", AJ159)) = 1, VALUE(REGEXEXTRACT(AJ159,""\d+"")), AJ159)"),"ND")</f>
        <v>ND</v>
      </c>
      <c r="BC159" s="195" t="s">
        <v>324</v>
      </c>
      <c r="BD159" s="195" t="b">
        <f t="shared" si="2"/>
        <v>1</v>
      </c>
      <c r="BE159" s="195" t="b">
        <f t="shared" ref="BE159:BF159" si="169">IF(IFERROR(FIND("ND",AI159),0),FALSE,TRUE)</f>
        <v>0</v>
      </c>
      <c r="BF159" s="195" t="b">
        <f t="shared" si="169"/>
        <v>0</v>
      </c>
    </row>
    <row r="160" spans="1:58" ht="34.5" customHeight="1">
      <c r="A160" s="218" t="s">
        <v>1690</v>
      </c>
      <c r="B160" s="241">
        <v>1994</v>
      </c>
      <c r="C160" s="195" t="s">
        <v>457</v>
      </c>
      <c r="D160" s="4" t="s">
        <v>1701</v>
      </c>
      <c r="E160" s="239">
        <v>8291861</v>
      </c>
      <c r="F160" s="230" t="str">
        <f t="shared" si="137"/>
        <v>https://pubmed.ncbi.nlm.nih.gov/8291861</v>
      </c>
      <c r="G160" s="213" t="str">
        <f t="shared" si="89"/>
        <v>Doyle 1994</v>
      </c>
      <c r="H160" s="195">
        <v>1993</v>
      </c>
      <c r="I160" s="195"/>
      <c r="J160" s="197"/>
      <c r="K160" s="195">
        <v>33</v>
      </c>
      <c r="L160" s="4"/>
      <c r="M160" s="195">
        <v>20</v>
      </c>
      <c r="N160" s="195">
        <v>13</v>
      </c>
      <c r="O160" s="195" t="s">
        <v>324</v>
      </c>
      <c r="P160" s="195" t="s">
        <v>324</v>
      </c>
      <c r="Q160" s="195" t="s">
        <v>324</v>
      </c>
      <c r="R160" s="195">
        <v>20</v>
      </c>
      <c r="S160" s="195">
        <v>39</v>
      </c>
      <c r="T160" s="195" t="s">
        <v>324</v>
      </c>
      <c r="U160" s="195" t="s">
        <v>324</v>
      </c>
      <c r="V160" s="195" t="s">
        <v>1702</v>
      </c>
      <c r="W160" s="199"/>
      <c r="X160" s="195">
        <v>33</v>
      </c>
      <c r="Y160" s="195" t="s">
        <v>1703</v>
      </c>
      <c r="Z160" s="195">
        <v>26</v>
      </c>
      <c r="AA160" s="195" t="s">
        <v>1704</v>
      </c>
      <c r="AB160" s="195">
        <v>0</v>
      </c>
      <c r="AC160" s="195"/>
      <c r="AD160" s="195" t="s">
        <v>322</v>
      </c>
      <c r="AE160" s="195" t="s">
        <v>1705</v>
      </c>
      <c r="AF160" s="195" t="s">
        <v>1706</v>
      </c>
      <c r="AG160" s="195">
        <v>24</v>
      </c>
      <c r="AH160" s="195" t="s">
        <v>308</v>
      </c>
      <c r="AI160" s="195">
        <v>0</v>
      </c>
      <c r="AJ160" s="195" t="s">
        <v>324</v>
      </c>
      <c r="AK160" s="195" t="s">
        <v>1707</v>
      </c>
      <c r="AL160" s="195" t="s">
        <v>322</v>
      </c>
      <c r="AM160" s="199"/>
      <c r="AN160" s="195" t="s">
        <v>332</v>
      </c>
      <c r="AO160" s="195" t="s">
        <v>1708</v>
      </c>
      <c r="AP160" s="195" t="s">
        <v>1709</v>
      </c>
      <c r="AQ160" s="195" t="s">
        <v>324</v>
      </c>
      <c r="AR160" s="220" t="s">
        <v>1431</v>
      </c>
      <c r="AS160" s="195" t="s">
        <v>308</v>
      </c>
      <c r="AT160" s="199"/>
      <c r="AU160" s="202" t="s">
        <v>1710</v>
      </c>
      <c r="AV160" s="195" t="s">
        <v>571</v>
      </c>
      <c r="AW160" s="195" t="str">
        <f ca="1">IFERROR(__xludf.DUMMYFUNCTION("IF(AND(IF(AS160=""Yes"",True,False),NOT(IFERROR(REGEXMATCH(AV160,ExclusionCategories),FALSE))),""Yes"", ""No"")"),"Yes")</f>
        <v>Yes</v>
      </c>
      <c r="AX160" s="195">
        <f ca="1">IFERROR(__xludf.DUMMYFUNCTION("IF(IFERROR(SEARCH(""Unclear"", Z160)) = 1, VALUE(REGEXEXTRACT(Z160,""\d+"")), Z160)"),26)</f>
        <v>26</v>
      </c>
      <c r="AY160" s="195">
        <v>26</v>
      </c>
      <c r="AZ160" s="195">
        <f ca="1">IFERROR(__xludf.DUMMYFUNCTION("IF(IFERROR(SEARCH(""Unclear"", AG160)) = 1, VALUE(REGEXEXTRACT(AG160,""\d+"")), AG160)"),24)</f>
        <v>24</v>
      </c>
      <c r="BA160" s="195">
        <v>24</v>
      </c>
      <c r="BB160" s="195" t="str">
        <f ca="1">IFERROR(__xludf.DUMMYFUNCTION("IF(IFERROR(SEARCH(""Unclear"", AJ160)) = 1, VALUE(REGEXEXTRACT(AJ160,""\d+"")), AJ160)"),"ND")</f>
        <v>ND</v>
      </c>
      <c r="BC160" s="195" t="s">
        <v>324</v>
      </c>
      <c r="BD160" s="195" t="b">
        <f t="shared" si="2"/>
        <v>1</v>
      </c>
      <c r="BE160" s="195" t="b">
        <f t="shared" ref="BE160:BF160" si="170">IF(IFERROR(FIND("ND",AI160),0),FALSE,TRUE)</f>
        <v>1</v>
      </c>
      <c r="BF160" s="195" t="b">
        <f t="shared" si="170"/>
        <v>0</v>
      </c>
    </row>
    <row r="161" spans="1:58" ht="34.5" customHeight="1">
      <c r="A161" s="218" t="s">
        <v>1690</v>
      </c>
      <c r="B161" s="241">
        <v>2006</v>
      </c>
      <c r="C161" s="195" t="s">
        <v>441</v>
      </c>
      <c r="D161" s="4" t="s">
        <v>1711</v>
      </c>
      <c r="E161" s="239">
        <v>16023829</v>
      </c>
      <c r="F161" s="230" t="str">
        <f t="shared" si="137"/>
        <v>https://pubmed.ncbi.nlm.nih.gov/16023829</v>
      </c>
      <c r="G161" s="213" t="str">
        <f t="shared" si="89"/>
        <v>Doyle 2006</v>
      </c>
      <c r="H161" s="195">
        <v>2004</v>
      </c>
      <c r="I161" s="195"/>
      <c r="J161" s="197"/>
      <c r="K161" s="195">
        <v>334</v>
      </c>
      <c r="L161" s="4" t="s">
        <v>1712</v>
      </c>
      <c r="M161" s="195" t="s">
        <v>1713</v>
      </c>
      <c r="N161" s="195" t="s">
        <v>1714</v>
      </c>
      <c r="O161" s="195" t="s">
        <v>324</v>
      </c>
      <c r="P161" s="195" t="s">
        <v>1715</v>
      </c>
      <c r="Q161" s="195" t="s">
        <v>1716</v>
      </c>
      <c r="R161" s="195">
        <v>18</v>
      </c>
      <c r="S161" s="195" t="s">
        <v>324</v>
      </c>
      <c r="T161" s="195" t="s">
        <v>1717</v>
      </c>
      <c r="U161" s="195" t="s">
        <v>1718</v>
      </c>
      <c r="V161" s="195" t="s">
        <v>1719</v>
      </c>
      <c r="W161" s="199"/>
      <c r="X161" s="195">
        <v>334</v>
      </c>
      <c r="Y161" s="195"/>
      <c r="Z161" s="195">
        <v>234</v>
      </c>
      <c r="AA161" s="195"/>
      <c r="AB161" s="195">
        <v>0</v>
      </c>
      <c r="AC161" s="195"/>
      <c r="AD161" s="195" t="s">
        <v>322</v>
      </c>
      <c r="AE161" s="195" t="s">
        <v>1720</v>
      </c>
      <c r="AF161" s="195" t="s">
        <v>1472</v>
      </c>
      <c r="AG161" s="195" t="s">
        <v>324</v>
      </c>
      <c r="AH161" s="195" t="s">
        <v>308</v>
      </c>
      <c r="AI161" s="195" t="s">
        <v>324</v>
      </c>
      <c r="AJ161" s="195" t="s">
        <v>324</v>
      </c>
      <c r="AK161" s="195"/>
      <c r="AL161" s="195" t="s">
        <v>322</v>
      </c>
      <c r="AM161" s="199"/>
      <c r="AN161" s="195" t="s">
        <v>332</v>
      </c>
      <c r="AO161" s="195" t="s">
        <v>1721</v>
      </c>
      <c r="AP161" s="195" t="s">
        <v>1722</v>
      </c>
      <c r="AQ161" s="195" t="s">
        <v>324</v>
      </c>
      <c r="AR161" s="220" t="s">
        <v>1431</v>
      </c>
      <c r="AS161" s="195" t="s">
        <v>308</v>
      </c>
      <c r="AT161" s="199"/>
      <c r="AU161" s="202" t="s">
        <v>1723</v>
      </c>
      <c r="AV161" s="195" t="s">
        <v>9</v>
      </c>
      <c r="AW161" s="195" t="str">
        <f ca="1">IFERROR(__xludf.DUMMYFUNCTION("IF(AND(IF(AS161=""Yes"",True,False),NOT(IFERROR(REGEXMATCH(AV161,ExclusionCategories),FALSE))),""Yes"", ""No"")"),"Yes")</f>
        <v>Yes</v>
      </c>
      <c r="AX161" s="195">
        <f ca="1">IFERROR(__xludf.DUMMYFUNCTION("IF(IFERROR(SEARCH(""Unclear"", Z161)) = 1, VALUE(REGEXEXTRACT(Z161,""\d+"")), Z161)"),234)</f>
        <v>234</v>
      </c>
      <c r="AY161" s="195">
        <v>234</v>
      </c>
      <c r="AZ161" s="195" t="str">
        <f ca="1">IFERROR(__xludf.DUMMYFUNCTION("IF(IFERROR(SEARCH(""Unclear"", AG161)) = 1, VALUE(REGEXEXTRACT(AG161,""\d+"")), AG161)"),"ND")</f>
        <v>ND</v>
      </c>
      <c r="BA161" s="195" t="s">
        <v>324</v>
      </c>
      <c r="BB161" s="195" t="str">
        <f ca="1">IFERROR(__xludf.DUMMYFUNCTION("IF(IFERROR(SEARCH(""Unclear"", AJ161)) = 1, VALUE(REGEXEXTRACT(AJ161,""\d+"")), AJ161)"),"ND")</f>
        <v>ND</v>
      </c>
      <c r="BC161" s="195" t="s">
        <v>324</v>
      </c>
      <c r="BD161" s="195" t="b">
        <f t="shared" si="2"/>
        <v>0</v>
      </c>
      <c r="BE161" s="195" t="b">
        <f t="shared" ref="BE161:BF161" si="171">IF(IFERROR(FIND("ND",AI161),0),FALSE,TRUE)</f>
        <v>0</v>
      </c>
      <c r="BF161" s="195" t="b">
        <f t="shared" si="171"/>
        <v>0</v>
      </c>
    </row>
    <row r="162" spans="1:58" ht="34.5" customHeight="1">
      <c r="A162" s="218" t="s">
        <v>1724</v>
      </c>
      <c r="B162" s="241">
        <v>2000</v>
      </c>
      <c r="C162" s="195" t="s">
        <v>441</v>
      </c>
      <c r="D162" s="4" t="s">
        <v>1725</v>
      </c>
      <c r="E162" s="239">
        <v>11134688</v>
      </c>
      <c r="F162" s="230" t="str">
        <f t="shared" si="137"/>
        <v>https://pubmed.ncbi.nlm.nih.gov/11134688</v>
      </c>
      <c r="G162" s="213" t="str">
        <f t="shared" si="89"/>
        <v>Drake 2000</v>
      </c>
      <c r="H162" s="217">
        <v>2000</v>
      </c>
      <c r="I162" s="195"/>
      <c r="J162" s="197"/>
      <c r="K162" s="195">
        <v>21</v>
      </c>
      <c r="L162" s="4"/>
      <c r="M162" s="195" t="s">
        <v>324</v>
      </c>
      <c r="N162" s="195" t="s">
        <v>324</v>
      </c>
      <c r="O162" s="195" t="s">
        <v>324</v>
      </c>
      <c r="P162" s="195">
        <v>18</v>
      </c>
      <c r="Q162" s="195">
        <v>45</v>
      </c>
      <c r="R162" s="195" t="s">
        <v>324</v>
      </c>
      <c r="S162" s="195" t="s">
        <v>324</v>
      </c>
      <c r="T162" s="195">
        <v>27.5</v>
      </c>
      <c r="U162" s="195">
        <v>8.1300000000000008</v>
      </c>
      <c r="V162" s="195" t="s">
        <v>332</v>
      </c>
      <c r="W162" s="199"/>
      <c r="X162" s="195">
        <v>21</v>
      </c>
      <c r="Y162" s="195"/>
      <c r="Z162" s="195" t="s">
        <v>394</v>
      </c>
      <c r="AA162" s="195" t="s">
        <v>324</v>
      </c>
      <c r="AB162" s="195">
        <v>0</v>
      </c>
      <c r="AC162" s="195"/>
      <c r="AD162" s="195" t="s">
        <v>322</v>
      </c>
      <c r="AE162" s="195" t="s">
        <v>1726</v>
      </c>
      <c r="AF162" s="195" t="s">
        <v>1727</v>
      </c>
      <c r="AG162" s="195" t="s">
        <v>883</v>
      </c>
      <c r="AH162" s="195" t="s">
        <v>308</v>
      </c>
      <c r="AI162" s="195">
        <v>0</v>
      </c>
      <c r="AJ162" s="195" t="s">
        <v>394</v>
      </c>
      <c r="AK162" s="195" t="s">
        <v>1728</v>
      </c>
      <c r="AL162" s="195" t="s">
        <v>322</v>
      </c>
      <c r="AM162" s="199"/>
      <c r="AN162" s="195" t="s">
        <v>332</v>
      </c>
      <c r="AO162" s="195" t="s">
        <v>1729</v>
      </c>
      <c r="AP162" s="195" t="s">
        <v>1730</v>
      </c>
      <c r="AQ162" s="195" t="s">
        <v>1731</v>
      </c>
      <c r="AR162" s="220" t="s">
        <v>1431</v>
      </c>
      <c r="AS162" s="195" t="s">
        <v>308</v>
      </c>
      <c r="AT162" s="199"/>
      <c r="AU162" s="202" t="s">
        <v>1732</v>
      </c>
      <c r="AV162" s="195" t="s">
        <v>571</v>
      </c>
      <c r="AW162" s="195" t="str">
        <f ca="1">IFERROR(__xludf.DUMMYFUNCTION("IF(AND(IF(AS162=""Yes"",True,False),NOT(IFERROR(REGEXMATCH(AV162,ExclusionCategories),FALSE))),""Yes"", ""No"")"),"Yes")</f>
        <v>Yes</v>
      </c>
      <c r="AX162" s="195">
        <f ca="1">IFERROR(__xludf.DUMMYFUNCTION("IF(IFERROR(SEARCH(""Unclear"", Z162)) = 1, VALUE(REGEXEXTRACT(Z162,""\d+"")), Z162)"),0)</f>
        <v>0</v>
      </c>
      <c r="AY162" s="195">
        <v>21</v>
      </c>
      <c r="AZ162" s="195">
        <f ca="1">IFERROR(__xludf.DUMMYFUNCTION("IF(IFERROR(SEARCH(""Unclear"", AG162)) = 1, VALUE(REGEXEXTRACT(AG162,""\d+"")), AG162)"),7)</f>
        <v>7</v>
      </c>
      <c r="BA162" s="195">
        <v>21</v>
      </c>
      <c r="BB162" s="195">
        <f ca="1">IFERROR(__xludf.DUMMYFUNCTION("IF(IFERROR(SEARCH(""Unclear"", AJ162)) = 1, VALUE(REGEXEXTRACT(AJ162,""\d+"")), AJ162)"),0)</f>
        <v>0</v>
      </c>
      <c r="BC162" s="195">
        <v>21</v>
      </c>
      <c r="BD162" s="195" t="b">
        <f t="shared" si="2"/>
        <v>1</v>
      </c>
      <c r="BE162" s="195" t="b">
        <f t="shared" ref="BE162:BF162" si="172">IF(IFERROR(FIND("ND",AI162),0),FALSE,TRUE)</f>
        <v>1</v>
      </c>
      <c r="BF162" s="195" t="b">
        <f t="shared" si="172"/>
        <v>1</v>
      </c>
    </row>
    <row r="163" spans="1:58" ht="34.5" customHeight="1">
      <c r="A163" s="218" t="s">
        <v>1733</v>
      </c>
      <c r="B163" s="241">
        <v>1999</v>
      </c>
      <c r="C163" s="195" t="s">
        <v>441</v>
      </c>
      <c r="D163" s="4" t="s">
        <v>1734</v>
      </c>
      <c r="E163" s="239">
        <v>10474212</v>
      </c>
      <c r="F163" s="230" t="str">
        <f t="shared" si="137"/>
        <v>https://pubmed.ncbi.nlm.nih.gov/10474212</v>
      </c>
      <c r="G163" s="213" t="str">
        <f t="shared" si="89"/>
        <v>Feldman 1999</v>
      </c>
      <c r="H163" s="217">
        <v>1999</v>
      </c>
      <c r="I163" s="195"/>
      <c r="J163" s="197"/>
      <c r="K163" s="195">
        <v>276</v>
      </c>
      <c r="L163" s="4"/>
      <c r="M163" s="195">
        <v>125</v>
      </c>
      <c r="N163" s="195">
        <v>151</v>
      </c>
      <c r="O163" s="195" t="s">
        <v>324</v>
      </c>
      <c r="P163" s="195">
        <v>18</v>
      </c>
      <c r="Q163" s="195">
        <v>55</v>
      </c>
      <c r="R163" s="195" t="s">
        <v>324</v>
      </c>
      <c r="S163" s="195" t="s">
        <v>324</v>
      </c>
      <c r="T163" s="195">
        <v>29</v>
      </c>
      <c r="U163" s="195">
        <v>9.1</v>
      </c>
      <c r="V163" s="195" t="s">
        <v>1735</v>
      </c>
      <c r="W163" s="199"/>
      <c r="X163" s="195">
        <v>276</v>
      </c>
      <c r="Y163" s="195"/>
      <c r="Z163" s="195">
        <v>109</v>
      </c>
      <c r="AA163" s="195" t="s">
        <v>1736</v>
      </c>
      <c r="AB163" s="195">
        <v>0</v>
      </c>
      <c r="AC163" s="195"/>
      <c r="AD163" s="195" t="s">
        <v>322</v>
      </c>
      <c r="AE163" s="195" t="s">
        <v>1737</v>
      </c>
      <c r="AF163" s="195" t="s">
        <v>1472</v>
      </c>
      <c r="AG163" s="195" t="s">
        <v>324</v>
      </c>
      <c r="AH163" s="195" t="s">
        <v>308</v>
      </c>
      <c r="AI163" s="195" t="s">
        <v>324</v>
      </c>
      <c r="AJ163" s="195" t="s">
        <v>324</v>
      </c>
      <c r="AK163" s="195"/>
      <c r="AL163" s="195" t="s">
        <v>322</v>
      </c>
      <c r="AM163" s="199"/>
      <c r="AN163" s="195" t="s">
        <v>332</v>
      </c>
      <c r="AO163" s="195" t="s">
        <v>1738</v>
      </c>
      <c r="AP163" s="195" t="s">
        <v>324</v>
      </c>
      <c r="AQ163" s="195" t="s">
        <v>324</v>
      </c>
      <c r="AR163" s="220" t="s">
        <v>1431</v>
      </c>
      <c r="AS163" s="195" t="s">
        <v>308</v>
      </c>
      <c r="AT163" s="199"/>
      <c r="AU163" s="202" t="s">
        <v>1739</v>
      </c>
      <c r="AV163" s="195" t="s">
        <v>9</v>
      </c>
      <c r="AW163" s="195" t="str">
        <f ca="1">IFERROR(__xludf.DUMMYFUNCTION("IF(AND(IF(AS163=""Yes"",True,False),NOT(IFERROR(REGEXMATCH(AV163,ExclusionCategories),FALSE))),""Yes"", ""No"")"),"Yes")</f>
        <v>Yes</v>
      </c>
      <c r="AX163" s="195">
        <f ca="1">IFERROR(__xludf.DUMMYFUNCTION("IF(IFERROR(SEARCH(""Unclear"", Z163)) = 1, VALUE(REGEXEXTRACT(Z163,""\d+"")), Z163)"),109)</f>
        <v>109</v>
      </c>
      <c r="AY163" s="195">
        <v>109</v>
      </c>
      <c r="AZ163" s="195" t="str">
        <f ca="1">IFERROR(__xludf.DUMMYFUNCTION("IF(IFERROR(SEARCH(""Unclear"", AG163)) = 1, VALUE(REGEXEXTRACT(AG163,""\d+"")), AG163)"),"ND")</f>
        <v>ND</v>
      </c>
      <c r="BA163" s="195" t="s">
        <v>324</v>
      </c>
      <c r="BB163" s="195" t="str">
        <f ca="1">IFERROR(__xludf.DUMMYFUNCTION("IF(IFERROR(SEARCH(""Unclear"", AJ163)) = 1, VALUE(REGEXEXTRACT(AJ163,""\d+"")), AJ163)"),"ND")</f>
        <v>ND</v>
      </c>
      <c r="BC163" s="195" t="s">
        <v>324</v>
      </c>
      <c r="BD163" s="195" t="b">
        <f t="shared" si="2"/>
        <v>0</v>
      </c>
      <c r="BE163" s="195" t="b">
        <f t="shared" ref="BE163:BF163" si="173">IF(IFERROR(FIND("ND",AI163),0),FALSE,TRUE)</f>
        <v>0</v>
      </c>
      <c r="BF163" s="195" t="b">
        <f t="shared" si="173"/>
        <v>0</v>
      </c>
    </row>
    <row r="164" spans="1:58" ht="34.5" customHeight="1">
      <c r="A164" s="218" t="s">
        <v>1740</v>
      </c>
      <c r="B164" s="241">
        <v>2003</v>
      </c>
      <c r="C164" s="195" t="s">
        <v>457</v>
      </c>
      <c r="D164" s="4" t="s">
        <v>1741</v>
      </c>
      <c r="E164" s="239">
        <v>14533659</v>
      </c>
      <c r="F164" s="230" t="str">
        <f t="shared" si="137"/>
        <v>https://pubmed.ncbi.nlm.nih.gov/14533659</v>
      </c>
      <c r="G164" s="213" t="str">
        <f t="shared" si="89"/>
        <v>Gentile 2003</v>
      </c>
      <c r="H164" s="217">
        <v>2003</v>
      </c>
      <c r="I164" s="195"/>
      <c r="J164" s="197"/>
      <c r="K164" s="195">
        <v>38</v>
      </c>
      <c r="L164" s="4" t="s">
        <v>1742</v>
      </c>
      <c r="M164" s="195" t="s">
        <v>324</v>
      </c>
      <c r="N164" s="195" t="s">
        <v>324</v>
      </c>
      <c r="O164" s="195" t="s">
        <v>324</v>
      </c>
      <c r="P164" s="195" t="s">
        <v>324</v>
      </c>
      <c r="Q164" s="195" t="s">
        <v>324</v>
      </c>
      <c r="R164" s="195">
        <v>18</v>
      </c>
      <c r="S164" s="195">
        <v>50</v>
      </c>
      <c r="T164" s="195" t="s">
        <v>324</v>
      </c>
      <c r="U164" s="195" t="s">
        <v>324</v>
      </c>
      <c r="V164" s="195" t="s">
        <v>1743</v>
      </c>
      <c r="W164" s="199"/>
      <c r="X164" s="195">
        <v>29</v>
      </c>
      <c r="Y164" s="195"/>
      <c r="Z164" s="195">
        <v>29</v>
      </c>
      <c r="AA164" s="195"/>
      <c r="AB164" s="195">
        <v>9</v>
      </c>
      <c r="AC164" s="195"/>
      <c r="AD164" s="195">
        <v>0</v>
      </c>
      <c r="AE164" s="195" t="s">
        <v>332</v>
      </c>
      <c r="AF164" s="195" t="s">
        <v>1472</v>
      </c>
      <c r="AG164" s="195" t="s">
        <v>324</v>
      </c>
      <c r="AH164" s="195" t="s">
        <v>316</v>
      </c>
      <c r="AI164" s="195" t="s">
        <v>324</v>
      </c>
      <c r="AJ164" s="195" t="s">
        <v>324</v>
      </c>
      <c r="AK164" s="195"/>
      <c r="AL164" s="195" t="s">
        <v>324</v>
      </c>
      <c r="AM164" s="199"/>
      <c r="AN164" s="195" t="s">
        <v>332</v>
      </c>
      <c r="AO164" s="195" t="s">
        <v>1744</v>
      </c>
      <c r="AP164" s="195" t="s">
        <v>1745</v>
      </c>
      <c r="AQ164" s="195" t="s">
        <v>324</v>
      </c>
      <c r="AR164" s="220" t="s">
        <v>1431</v>
      </c>
      <c r="AS164" s="195" t="s">
        <v>308</v>
      </c>
      <c r="AT164" s="199"/>
      <c r="AU164" s="202" t="s">
        <v>1746</v>
      </c>
      <c r="AV164" s="195" t="s">
        <v>9</v>
      </c>
      <c r="AW164" s="195" t="str">
        <f ca="1">IFERROR(__xludf.DUMMYFUNCTION("IF(AND(IF(AS164=""Yes"",True,False),NOT(IFERROR(REGEXMATCH(AV164,ExclusionCategories),FALSE))),""Yes"", ""No"")"),"Yes")</f>
        <v>Yes</v>
      </c>
      <c r="AX164" s="195">
        <f ca="1">IFERROR(__xludf.DUMMYFUNCTION("IF(IFERROR(SEARCH(""Unclear"", Z164)) = 1, VALUE(REGEXEXTRACT(Z164,""\d+"")), Z164)"),29)</f>
        <v>29</v>
      </c>
      <c r="AY164" s="195">
        <v>29</v>
      </c>
      <c r="AZ164" s="195" t="str">
        <f ca="1">IFERROR(__xludf.DUMMYFUNCTION("IF(IFERROR(SEARCH(""Unclear"", AG164)) = 1, VALUE(REGEXEXTRACT(AG164,""\d+"")), AG164)"),"ND")</f>
        <v>ND</v>
      </c>
      <c r="BA164" s="195" t="s">
        <v>324</v>
      </c>
      <c r="BB164" s="195" t="str">
        <f ca="1">IFERROR(__xludf.DUMMYFUNCTION("IF(IFERROR(SEARCH(""Unclear"", AJ164)) = 1, VALUE(REGEXEXTRACT(AJ164,""\d+"")), AJ164)"),"ND")</f>
        <v>ND</v>
      </c>
      <c r="BC164" s="195" t="s">
        <v>324</v>
      </c>
      <c r="BD164" s="195" t="b">
        <f t="shared" si="2"/>
        <v>0</v>
      </c>
      <c r="BE164" s="195" t="b">
        <f t="shared" ref="BE164:BF164" si="174">IF(IFERROR(FIND("ND",AI164),0),FALSE,TRUE)</f>
        <v>0</v>
      </c>
      <c r="BF164" s="195" t="b">
        <f t="shared" si="174"/>
        <v>0</v>
      </c>
    </row>
    <row r="165" spans="1:58" ht="34.5" customHeight="1">
      <c r="A165" s="218" t="s">
        <v>1740</v>
      </c>
      <c r="B165" s="241">
        <v>2003</v>
      </c>
      <c r="C165" s="195" t="s">
        <v>441</v>
      </c>
      <c r="D165" s="4" t="s">
        <v>1747</v>
      </c>
      <c r="E165" s="239">
        <v>14533659</v>
      </c>
      <c r="F165" s="230" t="str">
        <f t="shared" si="137"/>
        <v>https://pubmed.ncbi.nlm.nih.gov/14533659</v>
      </c>
      <c r="G165" s="213" t="str">
        <f t="shared" si="89"/>
        <v>Gentile 2003</v>
      </c>
      <c r="H165" s="217">
        <v>2003</v>
      </c>
      <c r="I165" s="195"/>
      <c r="J165" s="197"/>
      <c r="K165" s="195">
        <v>16</v>
      </c>
      <c r="L165" s="4" t="s">
        <v>1748</v>
      </c>
      <c r="M165" s="195" t="s">
        <v>324</v>
      </c>
      <c r="N165" s="195" t="s">
        <v>324</v>
      </c>
      <c r="O165" s="195" t="s">
        <v>324</v>
      </c>
      <c r="P165" s="195" t="s">
        <v>324</v>
      </c>
      <c r="Q165" s="195" t="s">
        <v>324</v>
      </c>
      <c r="R165" s="195">
        <v>18</v>
      </c>
      <c r="S165" s="195">
        <v>50</v>
      </c>
      <c r="T165" s="195" t="s">
        <v>324</v>
      </c>
      <c r="U165" s="195" t="s">
        <v>324</v>
      </c>
      <c r="V165" s="195" t="s">
        <v>1743</v>
      </c>
      <c r="W165" s="199"/>
      <c r="X165" s="195">
        <v>16</v>
      </c>
      <c r="Y165" s="195"/>
      <c r="Z165" s="195">
        <v>16</v>
      </c>
      <c r="AA165" s="195"/>
      <c r="AB165" s="195">
        <v>0</v>
      </c>
      <c r="AC165" s="195"/>
      <c r="AD165" s="195" t="s">
        <v>322</v>
      </c>
      <c r="AE165" s="195" t="s">
        <v>332</v>
      </c>
      <c r="AF165" s="195" t="s">
        <v>1472</v>
      </c>
      <c r="AG165" s="195" t="s">
        <v>324</v>
      </c>
      <c r="AH165" s="195" t="s">
        <v>316</v>
      </c>
      <c r="AI165" s="195" t="s">
        <v>324</v>
      </c>
      <c r="AJ165" s="195" t="s">
        <v>324</v>
      </c>
      <c r="AK165" s="195"/>
      <c r="AL165" s="195" t="s">
        <v>322</v>
      </c>
      <c r="AM165" s="199"/>
      <c r="AN165" s="195" t="s">
        <v>332</v>
      </c>
      <c r="AO165" s="195" t="s">
        <v>1744</v>
      </c>
      <c r="AP165" s="195" t="s">
        <v>1745</v>
      </c>
      <c r="AQ165" s="195" t="s">
        <v>324</v>
      </c>
      <c r="AR165" s="220" t="s">
        <v>1431</v>
      </c>
      <c r="AS165" s="195" t="s">
        <v>308</v>
      </c>
      <c r="AT165" s="199"/>
      <c r="AU165" s="202" t="s">
        <v>1746</v>
      </c>
      <c r="AV165" s="195" t="s">
        <v>9</v>
      </c>
      <c r="AW165" s="195" t="str">
        <f ca="1">IFERROR(__xludf.DUMMYFUNCTION("IF(AND(IF(AS165=""Yes"",True,False),NOT(IFERROR(REGEXMATCH(AV165,ExclusionCategories),FALSE))),""Yes"", ""No"")"),"Yes")</f>
        <v>Yes</v>
      </c>
      <c r="AX165" s="195">
        <f ca="1">IFERROR(__xludf.DUMMYFUNCTION("IF(IFERROR(SEARCH(""Unclear"", Z165)) = 1, VALUE(REGEXEXTRACT(Z165,""\d+"")), Z165)"),16)</f>
        <v>16</v>
      </c>
      <c r="AY165" s="195">
        <v>16</v>
      </c>
      <c r="AZ165" s="195" t="str">
        <f ca="1">IFERROR(__xludf.DUMMYFUNCTION("IF(IFERROR(SEARCH(""Unclear"", AG165)) = 1, VALUE(REGEXEXTRACT(AG165,""\d+"")), AG165)"),"ND")</f>
        <v>ND</v>
      </c>
      <c r="BA165" s="195" t="s">
        <v>324</v>
      </c>
      <c r="BB165" s="195" t="str">
        <f ca="1">IFERROR(__xludf.DUMMYFUNCTION("IF(IFERROR(SEARCH(""Unclear"", AJ165)) = 1, VALUE(REGEXEXTRACT(AJ165,""\d+"")), AJ165)"),"ND")</f>
        <v>ND</v>
      </c>
      <c r="BC165" s="195" t="s">
        <v>324</v>
      </c>
      <c r="BD165" s="195" t="b">
        <f t="shared" si="2"/>
        <v>0</v>
      </c>
      <c r="BE165" s="195" t="b">
        <f t="shared" ref="BE165:BF165" si="175">IF(IFERROR(FIND("ND",AI165),0),FALSE,TRUE)</f>
        <v>0</v>
      </c>
      <c r="BF165" s="195" t="b">
        <f t="shared" si="175"/>
        <v>0</v>
      </c>
    </row>
    <row r="166" spans="1:58" ht="34.5" customHeight="1">
      <c r="A166" s="218" t="s">
        <v>1740</v>
      </c>
      <c r="B166" s="241">
        <v>2003</v>
      </c>
      <c r="C166" s="195" t="s">
        <v>359</v>
      </c>
      <c r="D166" s="4" t="s">
        <v>1505</v>
      </c>
      <c r="E166" s="239">
        <v>14533659</v>
      </c>
      <c r="F166" s="230" t="str">
        <f t="shared" si="137"/>
        <v>https://pubmed.ncbi.nlm.nih.gov/14533659</v>
      </c>
      <c r="G166" s="213" t="str">
        <f t="shared" si="89"/>
        <v>Gentile 2003</v>
      </c>
      <c r="H166" s="217">
        <v>2003</v>
      </c>
      <c r="I166" s="195"/>
      <c r="J166" s="197"/>
      <c r="K166" s="195">
        <v>21</v>
      </c>
      <c r="L166" s="4" t="s">
        <v>1749</v>
      </c>
      <c r="M166" s="195" t="s">
        <v>324</v>
      </c>
      <c r="N166" s="195" t="s">
        <v>324</v>
      </c>
      <c r="O166" s="195" t="s">
        <v>324</v>
      </c>
      <c r="P166" s="195" t="s">
        <v>324</v>
      </c>
      <c r="Q166" s="195" t="s">
        <v>324</v>
      </c>
      <c r="R166" s="195">
        <v>18</v>
      </c>
      <c r="S166" s="195">
        <v>50</v>
      </c>
      <c r="T166" s="195" t="s">
        <v>324</v>
      </c>
      <c r="U166" s="195" t="s">
        <v>324</v>
      </c>
      <c r="V166" s="195" t="s">
        <v>1743</v>
      </c>
      <c r="W166" s="199"/>
      <c r="X166" s="195">
        <v>21</v>
      </c>
      <c r="Y166" s="195"/>
      <c r="Z166" s="195">
        <v>21</v>
      </c>
      <c r="AA166" s="195"/>
      <c r="AB166" s="195">
        <v>0</v>
      </c>
      <c r="AC166" s="195"/>
      <c r="AD166" s="195" t="s">
        <v>322</v>
      </c>
      <c r="AE166" s="195" t="s">
        <v>332</v>
      </c>
      <c r="AF166" s="195" t="s">
        <v>1472</v>
      </c>
      <c r="AG166" s="195" t="s">
        <v>324</v>
      </c>
      <c r="AH166" s="195" t="s">
        <v>316</v>
      </c>
      <c r="AI166" s="195" t="s">
        <v>324</v>
      </c>
      <c r="AJ166" s="195" t="s">
        <v>324</v>
      </c>
      <c r="AK166" s="195"/>
      <c r="AL166" s="195" t="s">
        <v>322</v>
      </c>
      <c r="AM166" s="199"/>
      <c r="AN166" s="195" t="s">
        <v>332</v>
      </c>
      <c r="AO166" s="195" t="s">
        <v>1744</v>
      </c>
      <c r="AP166" s="195" t="s">
        <v>1745</v>
      </c>
      <c r="AQ166" s="195" t="s">
        <v>324</v>
      </c>
      <c r="AR166" s="220" t="s">
        <v>1431</v>
      </c>
      <c r="AS166" s="195" t="s">
        <v>308</v>
      </c>
      <c r="AT166" s="199"/>
      <c r="AU166" s="202" t="s">
        <v>1746</v>
      </c>
      <c r="AV166" s="195" t="s">
        <v>9</v>
      </c>
      <c r="AW166" s="195" t="str">
        <f ca="1">IFERROR(__xludf.DUMMYFUNCTION("IF(AND(IF(AS166=""Yes"",True,False),NOT(IFERROR(REGEXMATCH(AV166,ExclusionCategories),FALSE))),""Yes"", ""No"")"),"Yes")</f>
        <v>Yes</v>
      </c>
      <c r="AX166" s="195">
        <f ca="1">IFERROR(__xludf.DUMMYFUNCTION("IF(IFERROR(SEARCH(""Unclear"", Z166)) = 1, VALUE(REGEXEXTRACT(Z166,""\d+"")), Z166)"),21)</f>
        <v>21</v>
      </c>
      <c r="AY166" s="195">
        <v>21</v>
      </c>
      <c r="AZ166" s="195" t="str">
        <f ca="1">IFERROR(__xludf.DUMMYFUNCTION("IF(IFERROR(SEARCH(""Unclear"", AG166)) = 1, VALUE(REGEXEXTRACT(AG166,""\d+"")), AG166)"),"ND")</f>
        <v>ND</v>
      </c>
      <c r="BA166" s="195" t="s">
        <v>324</v>
      </c>
      <c r="BB166" s="195" t="str">
        <f ca="1">IFERROR(__xludf.DUMMYFUNCTION("IF(IFERROR(SEARCH(""Unclear"", AJ166)) = 1, VALUE(REGEXEXTRACT(AJ166,""\d+"")), AJ166)"),"ND")</f>
        <v>ND</v>
      </c>
      <c r="BC166" s="195" t="s">
        <v>324</v>
      </c>
      <c r="BD166" s="195" t="b">
        <f t="shared" si="2"/>
        <v>0</v>
      </c>
      <c r="BE166" s="195" t="b">
        <f t="shared" ref="BE166:BF166" si="176">IF(IFERROR(FIND("ND",AI166),0),FALSE,TRUE)</f>
        <v>0</v>
      </c>
      <c r="BF166" s="195" t="b">
        <f t="shared" si="176"/>
        <v>0</v>
      </c>
    </row>
    <row r="167" spans="1:58" ht="34.5" customHeight="1">
      <c r="A167" s="218" t="s">
        <v>1750</v>
      </c>
      <c r="B167" s="241">
        <v>2008</v>
      </c>
      <c r="C167" s="195" t="s">
        <v>441</v>
      </c>
      <c r="D167" s="4" t="s">
        <v>1529</v>
      </c>
      <c r="E167" s="239">
        <v>17625517</v>
      </c>
      <c r="F167" s="230" t="str">
        <f t="shared" si="137"/>
        <v>https://pubmed.ncbi.nlm.nih.gov/17625517</v>
      </c>
      <c r="G167" s="213" t="str">
        <f t="shared" si="89"/>
        <v>Gern 2008</v>
      </c>
      <c r="H167" s="217">
        <v>2008</v>
      </c>
      <c r="I167" s="199"/>
      <c r="J167" s="199"/>
      <c r="K167" s="195">
        <v>21</v>
      </c>
      <c r="L167" s="4" t="s">
        <v>1751</v>
      </c>
      <c r="M167" s="195" t="s">
        <v>324</v>
      </c>
      <c r="N167" s="195" t="s">
        <v>324</v>
      </c>
      <c r="O167" s="195" t="s">
        <v>324</v>
      </c>
      <c r="P167" s="195">
        <v>18</v>
      </c>
      <c r="Q167" s="195" t="s">
        <v>324</v>
      </c>
      <c r="R167" s="195">
        <v>18</v>
      </c>
      <c r="S167" s="195">
        <v>55</v>
      </c>
      <c r="T167" s="195">
        <v>20.3</v>
      </c>
      <c r="U167" s="195">
        <v>2.1</v>
      </c>
      <c r="V167" s="195" t="s">
        <v>1752</v>
      </c>
      <c r="W167" s="199"/>
      <c r="X167" s="195">
        <v>17</v>
      </c>
      <c r="Y167" s="199"/>
      <c r="Z167" s="195">
        <v>16</v>
      </c>
      <c r="AA167" s="199"/>
      <c r="AB167" s="195">
        <v>0</v>
      </c>
      <c r="AC167" s="199"/>
      <c r="AD167" s="195" t="s">
        <v>322</v>
      </c>
      <c r="AE167" s="195" t="s">
        <v>1753</v>
      </c>
      <c r="AF167" s="195" t="s">
        <v>1754</v>
      </c>
      <c r="AG167" s="195">
        <v>1</v>
      </c>
      <c r="AH167" s="195" t="s">
        <v>316</v>
      </c>
      <c r="AI167" s="195">
        <v>0</v>
      </c>
      <c r="AJ167" s="195">
        <v>0</v>
      </c>
      <c r="AK167" s="195" t="s">
        <v>1755</v>
      </c>
      <c r="AL167" s="195" t="s">
        <v>322</v>
      </c>
      <c r="AM167" s="199"/>
      <c r="AN167" s="195" t="s">
        <v>1756</v>
      </c>
      <c r="AO167" s="195" t="s">
        <v>1757</v>
      </c>
      <c r="AP167" s="195" t="s">
        <v>1758</v>
      </c>
      <c r="AQ167" s="195" t="s">
        <v>1759</v>
      </c>
      <c r="AR167" s="220" t="s">
        <v>1431</v>
      </c>
      <c r="AS167" s="195" t="s">
        <v>308</v>
      </c>
      <c r="AT167" s="199"/>
      <c r="AU167" s="202" t="s">
        <v>1760</v>
      </c>
      <c r="AV167" s="195" t="s">
        <v>9</v>
      </c>
      <c r="AW167" s="195" t="str">
        <f ca="1">IFERROR(__xludf.DUMMYFUNCTION("IF(AND(IF(AS167=""Yes"",True,False),NOT(IFERROR(REGEXMATCH(AV167,ExclusionCategories),FALSE))),""Yes"", ""No"")"),"Yes")</f>
        <v>Yes</v>
      </c>
      <c r="AX167" s="195">
        <f ca="1">IFERROR(__xludf.DUMMYFUNCTION("IF(IFERROR(SEARCH(""Unclear"", Z167)) = 1, VALUE(REGEXEXTRACT(Z167,""\d+"")), Z167)"),16)</f>
        <v>16</v>
      </c>
      <c r="AY167" s="195">
        <v>16</v>
      </c>
      <c r="AZ167" s="195">
        <f ca="1">IFERROR(__xludf.DUMMYFUNCTION("IF(IFERROR(SEARCH(""Unclear"", AG167)) = 1, VALUE(REGEXEXTRACT(AG167,""\d+"")), AG167)"),1)</f>
        <v>1</v>
      </c>
      <c r="BA167" s="195">
        <v>1</v>
      </c>
      <c r="BB167" s="195">
        <f ca="1">IFERROR(__xludf.DUMMYFUNCTION("IF(IFERROR(SEARCH(""Unclear"", AJ167)) = 1, VALUE(REGEXEXTRACT(AJ167,""\d+"")), AJ167)"),0)</f>
        <v>0</v>
      </c>
      <c r="BC167" s="195">
        <v>0</v>
      </c>
      <c r="BD167" s="195" t="b">
        <f t="shared" si="2"/>
        <v>1</v>
      </c>
      <c r="BE167" s="195" t="b">
        <f t="shared" ref="BE167:BF167" si="177">IF(IFERROR(FIND("ND",AI167),0),FALSE,TRUE)</f>
        <v>1</v>
      </c>
      <c r="BF167" s="195" t="b">
        <f t="shared" si="177"/>
        <v>1</v>
      </c>
    </row>
    <row r="168" spans="1:58" ht="39.75" customHeight="1">
      <c r="A168" s="195" t="s">
        <v>1761</v>
      </c>
      <c r="B168" s="195">
        <v>1962</v>
      </c>
      <c r="C168" s="195" t="s">
        <v>1762</v>
      </c>
      <c r="D168" s="4" t="s">
        <v>1763</v>
      </c>
      <c r="E168" s="239">
        <v>13901335</v>
      </c>
      <c r="F168" s="230" t="str">
        <f t="shared" si="137"/>
        <v>https://pubmed.ncbi.nlm.nih.gov/13901335</v>
      </c>
      <c r="G168" s="213" t="str">
        <f t="shared" si="89"/>
        <v>Grayston 1962</v>
      </c>
      <c r="H168" s="195">
        <v>1959</v>
      </c>
      <c r="I168" s="199"/>
      <c r="J168" s="199"/>
      <c r="K168" s="195">
        <v>7</v>
      </c>
      <c r="L168" s="10"/>
      <c r="M168" s="195">
        <v>5</v>
      </c>
      <c r="N168" s="195">
        <v>2</v>
      </c>
      <c r="O168" s="199">
        <f>MEDIAN(11,12,17,24,22,18,25)</f>
        <v>18</v>
      </c>
      <c r="P168" s="199">
        <f>MIN(11,12,17,24,22,18,25)</f>
        <v>11</v>
      </c>
      <c r="Q168" s="199">
        <f>MAX(11,12,17,24,22,18,25)</f>
        <v>25</v>
      </c>
      <c r="R168" s="195" t="s">
        <v>324</v>
      </c>
      <c r="S168" s="195" t="s">
        <v>324</v>
      </c>
      <c r="T168" s="195">
        <v>18.43</v>
      </c>
      <c r="U168" s="195" t="s">
        <v>324</v>
      </c>
      <c r="V168" s="195" t="s">
        <v>1764</v>
      </c>
      <c r="W168" s="195" t="s">
        <v>1765</v>
      </c>
      <c r="X168" s="195">
        <v>7</v>
      </c>
      <c r="Y168" s="195" t="s">
        <v>1766</v>
      </c>
      <c r="Z168" s="195">
        <v>6</v>
      </c>
      <c r="AA168" s="195" t="s">
        <v>1767</v>
      </c>
      <c r="AB168" s="195">
        <v>0</v>
      </c>
      <c r="AC168" s="199"/>
      <c r="AD168" s="195" t="s">
        <v>322</v>
      </c>
      <c r="AE168" s="195" t="s">
        <v>1768</v>
      </c>
      <c r="AF168" s="195" t="s">
        <v>1769</v>
      </c>
      <c r="AG168" s="195" t="s">
        <v>1770</v>
      </c>
      <c r="AH168" s="195" t="s">
        <v>511</v>
      </c>
      <c r="AI168" s="195" t="s">
        <v>1770</v>
      </c>
      <c r="AJ168" s="195" t="s">
        <v>1770</v>
      </c>
      <c r="AK168" s="195" t="s">
        <v>1771</v>
      </c>
      <c r="AL168" s="199"/>
      <c r="AM168" s="199"/>
      <c r="AN168" s="195" t="s">
        <v>1772</v>
      </c>
      <c r="AO168" s="195" t="s">
        <v>1773</v>
      </c>
      <c r="AP168" s="195" t="s">
        <v>324</v>
      </c>
      <c r="AQ168" s="195" t="s">
        <v>324</v>
      </c>
      <c r="AR168" s="220" t="s">
        <v>1431</v>
      </c>
      <c r="AS168" s="195" t="s">
        <v>316</v>
      </c>
      <c r="AT168" s="199"/>
      <c r="AU168" s="202" t="s">
        <v>1774</v>
      </c>
      <c r="AV168" s="195" t="s">
        <v>326</v>
      </c>
      <c r="AW168" s="195" t="str">
        <f ca="1">IFERROR(__xludf.DUMMYFUNCTION("IF(AND(IF(AS168=""Yes"",True,False),NOT(IFERROR(REGEXMATCH(AV168,ExclusionCategories),FALSE))),""Yes"", ""No"")"),"No")</f>
        <v>No</v>
      </c>
      <c r="AX168" s="195">
        <f ca="1">IFERROR(__xludf.DUMMYFUNCTION("IF(IFERROR(SEARCH(""Unclear"", Z168)) = 1, VALUE(REGEXEXTRACT(Z168,""\d+"")), Z168)"),6)</f>
        <v>6</v>
      </c>
      <c r="AY168" s="195">
        <v>6</v>
      </c>
      <c r="AZ168" s="195" t="str">
        <f ca="1">IFERROR(__xludf.DUMMYFUNCTION("IF(IFERROR(SEARCH(""Unclear"", AG168)) = 1, VALUE(REGEXEXTRACT(AG168,""\d+"")), AG168)"),"REVIEW")</f>
        <v>REVIEW</v>
      </c>
      <c r="BA168" s="195" t="s">
        <v>1770</v>
      </c>
      <c r="BB168" s="195" t="str">
        <f ca="1">IFERROR(__xludf.DUMMYFUNCTION("IF(IFERROR(SEARCH(""Unclear"", AJ168)) = 1, VALUE(REGEXEXTRACT(AJ168,""\d+"")), AJ168)"),"REVIEW")</f>
        <v>REVIEW</v>
      </c>
      <c r="BC168" s="195" t="s">
        <v>1770</v>
      </c>
      <c r="BD168" s="195" t="b">
        <f t="shared" si="2"/>
        <v>1</v>
      </c>
      <c r="BE168" s="195" t="b">
        <f t="shared" ref="BE168:BF168" si="178">IF(IFERROR(FIND("ND",AI168),0),FALSE,TRUE)</f>
        <v>1</v>
      </c>
      <c r="BF168" s="195" t="b">
        <f t="shared" si="178"/>
        <v>1</v>
      </c>
    </row>
    <row r="169" spans="1:58" ht="39.75" customHeight="1">
      <c r="A169" s="218" t="s">
        <v>1775</v>
      </c>
      <c r="B169" s="241">
        <v>1996</v>
      </c>
      <c r="C169" s="195" t="s">
        <v>441</v>
      </c>
      <c r="D169" s="4" t="s">
        <v>1776</v>
      </c>
      <c r="E169" s="239">
        <v>8655877</v>
      </c>
      <c r="F169" s="230" t="str">
        <f t="shared" si="137"/>
        <v>https://pubmed.ncbi.nlm.nih.gov/8655877</v>
      </c>
      <c r="G169" s="213" t="str">
        <f t="shared" si="89"/>
        <v>Gustafson 1996</v>
      </c>
      <c r="H169" s="217">
        <v>1996</v>
      </c>
      <c r="I169" s="199"/>
      <c r="J169" s="199"/>
      <c r="K169" s="195">
        <v>47</v>
      </c>
      <c r="L169" s="10"/>
      <c r="M169" s="195">
        <v>47</v>
      </c>
      <c r="N169" s="195">
        <v>0</v>
      </c>
      <c r="O169" s="195" t="s">
        <v>324</v>
      </c>
      <c r="P169" s="195" t="s">
        <v>324</v>
      </c>
      <c r="Q169" s="195" t="s">
        <v>324</v>
      </c>
      <c r="R169" s="195">
        <v>18</v>
      </c>
      <c r="S169" s="195" t="s">
        <v>324</v>
      </c>
      <c r="T169" s="195" t="s">
        <v>1777</v>
      </c>
      <c r="U169" s="195" t="s">
        <v>324</v>
      </c>
      <c r="V169" s="195" t="s">
        <v>1778</v>
      </c>
      <c r="W169" s="195"/>
      <c r="X169" s="195">
        <v>47</v>
      </c>
      <c r="Y169" s="195" t="s">
        <v>1779</v>
      </c>
      <c r="Z169" s="195">
        <v>38</v>
      </c>
      <c r="AA169" s="195" t="s">
        <v>1780</v>
      </c>
      <c r="AB169" s="195">
        <v>0</v>
      </c>
      <c r="AC169" s="199"/>
      <c r="AD169" s="195" t="s">
        <v>322</v>
      </c>
      <c r="AE169" s="195" t="s">
        <v>1781</v>
      </c>
      <c r="AF169" s="195" t="s">
        <v>1782</v>
      </c>
      <c r="AG169" s="195" t="s">
        <v>876</v>
      </c>
      <c r="AH169" s="195" t="s">
        <v>308</v>
      </c>
      <c r="AI169" s="195">
        <v>0</v>
      </c>
      <c r="AJ169" s="195" t="s">
        <v>324</v>
      </c>
      <c r="AK169" s="195" t="s">
        <v>499</v>
      </c>
      <c r="AL169" s="195" t="s">
        <v>322</v>
      </c>
      <c r="AM169" s="199"/>
      <c r="AN169" s="195" t="s">
        <v>1783</v>
      </c>
      <c r="AO169" s="195" t="s">
        <v>1784</v>
      </c>
      <c r="AP169" s="195" t="s">
        <v>1785</v>
      </c>
      <c r="AQ169" s="195" t="s">
        <v>1786</v>
      </c>
      <c r="AR169" s="220" t="s">
        <v>1431</v>
      </c>
      <c r="AS169" s="195" t="s">
        <v>308</v>
      </c>
      <c r="AT169" s="199"/>
      <c r="AU169" s="202" t="s">
        <v>1787</v>
      </c>
      <c r="AV169" s="195" t="s">
        <v>571</v>
      </c>
      <c r="AW169" s="195" t="str">
        <f ca="1">IFERROR(__xludf.DUMMYFUNCTION("IF(AND(IF(AS169=""Yes"",True,False),NOT(IFERROR(REGEXMATCH(AV169,ExclusionCategories),FALSE))),""Yes"", ""No"")"),"Yes")</f>
        <v>Yes</v>
      </c>
      <c r="AX169" s="195">
        <f ca="1">IFERROR(__xludf.DUMMYFUNCTION("IF(IFERROR(SEARCH(""Unclear"", Z169)) = 1, VALUE(REGEXEXTRACT(Z169,""\d+"")), Z169)"),38)</f>
        <v>38</v>
      </c>
      <c r="AY169" s="195">
        <v>38</v>
      </c>
      <c r="AZ169" s="195">
        <f ca="1">IFERROR(__xludf.DUMMYFUNCTION("IF(IFERROR(SEARCH(""Unclear"", AG169)) = 1, VALUE(REGEXEXTRACT(AG169,""\d+"")), AG169)"),27)</f>
        <v>27</v>
      </c>
      <c r="BA169" s="195">
        <v>47</v>
      </c>
      <c r="BB169" s="195" t="str">
        <f ca="1">IFERROR(__xludf.DUMMYFUNCTION("IF(IFERROR(SEARCH(""Unclear"", AJ169)) = 1, VALUE(REGEXEXTRACT(AJ169,""\d+"")), AJ169)"),"ND")</f>
        <v>ND</v>
      </c>
      <c r="BC169" s="195" t="s">
        <v>324</v>
      </c>
      <c r="BD169" s="195" t="b">
        <f t="shared" si="2"/>
        <v>1</v>
      </c>
      <c r="BE169" s="195" t="b">
        <f t="shared" ref="BE169:BF169" si="179">IF(IFERROR(FIND("ND",AI169),0),FALSE,TRUE)</f>
        <v>1</v>
      </c>
      <c r="BF169" s="195" t="b">
        <f t="shared" si="179"/>
        <v>0</v>
      </c>
    </row>
    <row r="170" spans="1:58" ht="39" customHeight="1">
      <c r="A170" s="227" t="s">
        <v>1788</v>
      </c>
      <c r="B170" s="195">
        <v>2001</v>
      </c>
      <c r="C170" s="195" t="s">
        <v>441</v>
      </c>
      <c r="D170" s="4" t="s">
        <v>1529</v>
      </c>
      <c r="E170" s="239">
        <v>11734429</v>
      </c>
      <c r="F170" s="230" t="str">
        <f t="shared" si="137"/>
        <v>https://pubmed.ncbi.nlm.nih.gov/11734429</v>
      </c>
      <c r="G170" s="213" t="str">
        <f t="shared" si="89"/>
        <v>Grunberg 2001</v>
      </c>
      <c r="H170" s="217">
        <v>2001</v>
      </c>
      <c r="I170" s="199"/>
      <c r="J170" s="199"/>
      <c r="K170" s="195">
        <v>25</v>
      </c>
      <c r="L170" s="10"/>
      <c r="M170" s="195">
        <v>12</v>
      </c>
      <c r="N170" s="199">
        <f>K170-M170</f>
        <v>13</v>
      </c>
      <c r="O170" s="199">
        <f>MEDIAN(24,21,23,24,23,24,23,23,24,25,24,25,22,19,19,20,19,23,20,23,24,20,23,20,22)</f>
        <v>23</v>
      </c>
      <c r="P170" s="199">
        <f>MIN(24,21,23,24,23,24,23,23,24,25,24,25,22,19,19,20,19,23,20,23,24,20,23,20,22)</f>
        <v>19</v>
      </c>
      <c r="Q170" s="199">
        <f>MAX(24,21,23,24,23,24,23,23,24,25,24,25,22,19,19,20,19,23,20,23,24,20,23,20,22)</f>
        <v>25</v>
      </c>
      <c r="R170" s="195" t="s">
        <v>324</v>
      </c>
      <c r="S170" s="195" t="s">
        <v>324</v>
      </c>
      <c r="T170" s="195">
        <v>22.28</v>
      </c>
      <c r="U170" s="195">
        <v>1.9</v>
      </c>
      <c r="V170" s="195" t="s">
        <v>1789</v>
      </c>
      <c r="W170" s="199"/>
      <c r="X170" s="195">
        <v>25</v>
      </c>
      <c r="Y170" s="195" t="s">
        <v>1790</v>
      </c>
      <c r="Z170" s="195">
        <v>21</v>
      </c>
      <c r="AA170" s="195" t="s">
        <v>1791</v>
      </c>
      <c r="AB170" s="195">
        <v>0</v>
      </c>
      <c r="AC170" s="199"/>
      <c r="AD170" s="195" t="s">
        <v>322</v>
      </c>
      <c r="AE170" s="195" t="s">
        <v>1792</v>
      </c>
      <c r="AF170" s="195" t="s">
        <v>1793</v>
      </c>
      <c r="AG170" s="195">
        <v>25</v>
      </c>
      <c r="AH170" s="195" t="s">
        <v>511</v>
      </c>
      <c r="AI170" s="195">
        <v>0</v>
      </c>
      <c r="AJ170" s="195">
        <v>3</v>
      </c>
      <c r="AK170" s="195" t="s">
        <v>1794</v>
      </c>
      <c r="AL170" s="195" t="s">
        <v>322</v>
      </c>
      <c r="AM170" s="199"/>
      <c r="AN170" s="195" t="s">
        <v>1795</v>
      </c>
      <c r="AO170" s="195" t="s">
        <v>1796</v>
      </c>
      <c r="AP170" s="195" t="s">
        <v>1797</v>
      </c>
      <c r="AQ170" s="195" t="s">
        <v>1798</v>
      </c>
      <c r="AR170" s="220" t="s">
        <v>1431</v>
      </c>
      <c r="AS170" s="195" t="s">
        <v>308</v>
      </c>
      <c r="AT170" s="199"/>
      <c r="AU170" s="202" t="s">
        <v>1799</v>
      </c>
      <c r="AV170" s="195" t="s">
        <v>571</v>
      </c>
      <c r="AW170" s="195" t="str">
        <f ca="1">IFERROR(__xludf.DUMMYFUNCTION("IF(AND(IF(AS170=""Yes"",True,False),NOT(IFERROR(REGEXMATCH(AV170,ExclusionCategories),FALSE))),""Yes"", ""No"")"),"Yes")</f>
        <v>Yes</v>
      </c>
      <c r="AX170" s="195">
        <f ca="1">IFERROR(__xludf.DUMMYFUNCTION("IF(IFERROR(SEARCH(""Unclear"", Z170)) = 1, VALUE(REGEXEXTRACT(Z170,""\d+"")), Z170)"),21)</f>
        <v>21</v>
      </c>
      <c r="AY170" s="195">
        <v>21</v>
      </c>
      <c r="AZ170" s="195">
        <f ca="1">IFERROR(__xludf.DUMMYFUNCTION("IF(IFERROR(SEARCH(""Unclear"", AG170)) = 1, VALUE(REGEXEXTRACT(AG170,""\d+"")), AG170)"),25)</f>
        <v>25</v>
      </c>
      <c r="BA170" s="195">
        <v>25</v>
      </c>
      <c r="BB170" s="195">
        <f ca="1">IFERROR(__xludf.DUMMYFUNCTION("IF(IFERROR(SEARCH(""Unclear"", AJ170)) = 1, VALUE(REGEXEXTRACT(AJ170,""\d+"")), AJ170)"),3)</f>
        <v>3</v>
      </c>
      <c r="BC170" s="195">
        <v>3</v>
      </c>
      <c r="BD170" s="195" t="b">
        <f t="shared" si="2"/>
        <v>1</v>
      </c>
      <c r="BE170" s="195" t="b">
        <f t="shared" ref="BE170:BF170" si="180">IF(IFERROR(FIND("ND",AI170),0),FALSE,TRUE)</f>
        <v>1</v>
      </c>
      <c r="BF170" s="195" t="b">
        <f t="shared" si="180"/>
        <v>1</v>
      </c>
    </row>
    <row r="171" spans="1:58" ht="37.5" customHeight="1">
      <c r="A171" s="218" t="s">
        <v>1800</v>
      </c>
      <c r="B171" s="241">
        <v>1996</v>
      </c>
      <c r="C171" s="195" t="s">
        <v>441</v>
      </c>
      <c r="D171" s="4" t="s">
        <v>1801</v>
      </c>
      <c r="E171" s="239">
        <v>8729205</v>
      </c>
      <c r="F171" s="230" t="str">
        <f t="shared" si="137"/>
        <v>https://pubmed.ncbi.nlm.nih.gov/8729205</v>
      </c>
      <c r="G171" s="213" t="str">
        <f t="shared" si="89"/>
        <v>Gwaltney 1996</v>
      </c>
      <c r="H171" s="195">
        <v>1993</v>
      </c>
      <c r="I171" s="199"/>
      <c r="J171" s="199"/>
      <c r="K171" s="195">
        <v>184</v>
      </c>
      <c r="L171" s="10"/>
      <c r="M171" s="195">
        <v>68</v>
      </c>
      <c r="N171" s="195">
        <v>116</v>
      </c>
      <c r="O171" s="195" t="s">
        <v>324</v>
      </c>
      <c r="P171" s="195">
        <v>18</v>
      </c>
      <c r="Q171" s="195">
        <v>56</v>
      </c>
      <c r="R171" s="195" t="s">
        <v>324</v>
      </c>
      <c r="S171" s="195" t="s">
        <v>324</v>
      </c>
      <c r="T171" s="195">
        <v>22.8</v>
      </c>
      <c r="U171" s="195">
        <v>6.9</v>
      </c>
      <c r="V171" s="195" t="s">
        <v>1802</v>
      </c>
      <c r="W171" s="199"/>
      <c r="X171" s="195">
        <v>184</v>
      </c>
      <c r="Y171" s="195" t="s">
        <v>1803</v>
      </c>
      <c r="Z171" s="195">
        <v>150</v>
      </c>
      <c r="AA171" s="195" t="s">
        <v>1804</v>
      </c>
      <c r="AB171" s="195">
        <v>0</v>
      </c>
      <c r="AC171" s="199"/>
      <c r="AD171" s="195" t="s">
        <v>322</v>
      </c>
      <c r="AE171" s="195" t="s">
        <v>1805</v>
      </c>
      <c r="AF171" s="195" t="s">
        <v>1806</v>
      </c>
      <c r="AG171" s="195" t="s">
        <v>1807</v>
      </c>
      <c r="AH171" s="195" t="s">
        <v>308</v>
      </c>
      <c r="AI171" s="195">
        <v>0</v>
      </c>
      <c r="AJ171" s="195" t="s">
        <v>324</v>
      </c>
      <c r="AK171" s="195" t="s">
        <v>499</v>
      </c>
      <c r="AL171" s="195" t="s">
        <v>322</v>
      </c>
      <c r="AM171" s="199"/>
      <c r="AN171" s="195" t="s">
        <v>1808</v>
      </c>
      <c r="AO171" s="195" t="s">
        <v>1809</v>
      </c>
      <c r="AP171" s="195" t="s">
        <v>1810</v>
      </c>
      <c r="AQ171" s="195" t="s">
        <v>1811</v>
      </c>
      <c r="AR171" s="220" t="s">
        <v>1431</v>
      </c>
      <c r="AS171" s="195" t="s">
        <v>308</v>
      </c>
      <c r="AT171" s="199"/>
      <c r="AU171" s="202" t="s">
        <v>1812</v>
      </c>
      <c r="AV171" s="195" t="s">
        <v>571</v>
      </c>
      <c r="AW171" s="195" t="str">
        <f ca="1">IFERROR(__xludf.DUMMYFUNCTION("IF(AND(IF(AS171=""Yes"",True,False),NOT(IFERROR(REGEXMATCH(AV171,ExclusionCategories),FALSE))),""Yes"", ""No"")"),"Yes")</f>
        <v>Yes</v>
      </c>
      <c r="AX171" s="195">
        <f ca="1">IFERROR(__xludf.DUMMYFUNCTION("IF(IFERROR(SEARCH(""Unclear"", Z171)) = 1, VALUE(REGEXEXTRACT(Z171,""\d+"")), Z171)"),150)</f>
        <v>150</v>
      </c>
      <c r="AY171" s="195">
        <v>150</v>
      </c>
      <c r="AZ171" s="195">
        <f ca="1">IFERROR(__xludf.DUMMYFUNCTION("IF(IFERROR(SEARCH(""Unclear"", AG171)) = 1, VALUE(REGEXEXTRACT(AG171,""\d+"")), AG171)"),129)</f>
        <v>129</v>
      </c>
      <c r="BA171" s="195">
        <v>184</v>
      </c>
      <c r="BB171" s="195" t="str">
        <f ca="1">IFERROR(__xludf.DUMMYFUNCTION("IF(IFERROR(SEARCH(""Unclear"", AJ171)) = 1, VALUE(REGEXEXTRACT(AJ171,""\d+"")), AJ171)"),"ND")</f>
        <v>ND</v>
      </c>
      <c r="BC171" s="195" t="s">
        <v>324</v>
      </c>
      <c r="BD171" s="195" t="b">
        <f t="shared" si="2"/>
        <v>1</v>
      </c>
      <c r="BE171" s="195" t="b">
        <f t="shared" ref="BE171:BF171" si="181">IF(IFERROR(FIND("ND",AI171),0),FALSE,TRUE)</f>
        <v>1</v>
      </c>
      <c r="BF171" s="195" t="b">
        <f t="shared" si="181"/>
        <v>0</v>
      </c>
    </row>
    <row r="172" spans="1:58" ht="37.5" customHeight="1">
      <c r="A172" s="218" t="s">
        <v>1800</v>
      </c>
      <c r="B172" s="195">
        <v>1997</v>
      </c>
      <c r="C172" s="195" t="s">
        <v>441</v>
      </c>
      <c r="D172" s="4" t="s">
        <v>1813</v>
      </c>
      <c r="E172" s="239">
        <v>9402380</v>
      </c>
      <c r="F172" s="230" t="str">
        <f t="shared" si="137"/>
        <v>https://pubmed.ncbi.nlm.nih.gov/9402380</v>
      </c>
      <c r="G172" s="213" t="str">
        <f t="shared" si="89"/>
        <v>Gwaltney 1997</v>
      </c>
      <c r="H172" s="195">
        <v>1996</v>
      </c>
      <c r="I172" s="199"/>
      <c r="J172" s="199"/>
      <c r="K172" s="195">
        <v>280</v>
      </c>
      <c r="L172" s="10"/>
      <c r="M172" s="195" t="s">
        <v>1814</v>
      </c>
      <c r="N172" s="195" t="s">
        <v>1815</v>
      </c>
      <c r="O172" s="195" t="s">
        <v>324</v>
      </c>
      <c r="P172" s="195">
        <v>18</v>
      </c>
      <c r="Q172" s="195" t="s">
        <v>1816</v>
      </c>
      <c r="R172" s="195">
        <v>18</v>
      </c>
      <c r="S172" s="195" t="s">
        <v>324</v>
      </c>
      <c r="T172" s="195" t="s">
        <v>1817</v>
      </c>
      <c r="U172" s="195" t="s">
        <v>324</v>
      </c>
      <c r="V172" s="195" t="s">
        <v>1818</v>
      </c>
      <c r="W172" s="199"/>
      <c r="X172" s="195">
        <v>280</v>
      </c>
      <c r="Y172" s="199"/>
      <c r="Z172" s="199">
        <f>107+107</f>
        <v>214</v>
      </c>
      <c r="AA172" s="195" t="s">
        <v>1819</v>
      </c>
      <c r="AB172" s="195">
        <v>0</v>
      </c>
      <c r="AC172" s="199"/>
      <c r="AD172" s="195" t="s">
        <v>322</v>
      </c>
      <c r="AE172" s="195" t="s">
        <v>1820</v>
      </c>
      <c r="AF172" s="199"/>
      <c r="AG172" s="195">
        <v>20</v>
      </c>
      <c r="AH172" s="195" t="s">
        <v>511</v>
      </c>
      <c r="AI172" s="195" t="s">
        <v>324</v>
      </c>
      <c r="AJ172" s="195">
        <v>3</v>
      </c>
      <c r="AK172" s="195" t="s">
        <v>1821</v>
      </c>
      <c r="AL172" s="195" t="s">
        <v>695</v>
      </c>
      <c r="AM172" s="199"/>
      <c r="AN172" s="195" t="s">
        <v>1822</v>
      </c>
      <c r="AO172" s="195" t="s">
        <v>1823</v>
      </c>
      <c r="AP172" s="195" t="s">
        <v>1824</v>
      </c>
      <c r="AQ172" s="195" t="s">
        <v>1825</v>
      </c>
      <c r="AR172" s="220" t="s">
        <v>1431</v>
      </c>
      <c r="AS172" s="195" t="s">
        <v>308</v>
      </c>
      <c r="AT172" s="199"/>
      <c r="AU172" s="202" t="s">
        <v>1826</v>
      </c>
      <c r="AV172" s="195" t="s">
        <v>9</v>
      </c>
      <c r="AW172" s="195" t="str">
        <f ca="1">IFERROR(__xludf.DUMMYFUNCTION("IF(AND(IF(AS172=""Yes"",True,False),NOT(IFERROR(REGEXMATCH(AV172,ExclusionCategories),FALSE))),""Yes"", ""No"")"),"Yes")</f>
        <v>Yes</v>
      </c>
      <c r="AX172" s="195">
        <f ca="1">IFERROR(__xludf.DUMMYFUNCTION("IF(IFERROR(SEARCH(""Unclear"", Z172)) = 1, VALUE(REGEXEXTRACT(Z172,""\d+"")), Z172)"),214)</f>
        <v>214</v>
      </c>
      <c r="AY172" s="195">
        <v>214</v>
      </c>
      <c r="AZ172" s="195">
        <f ca="1">IFERROR(__xludf.DUMMYFUNCTION("IF(IFERROR(SEARCH(""Unclear"", AG172)) = 1, VALUE(REGEXEXTRACT(AG172,""\d+"")), AG172)"),20)</f>
        <v>20</v>
      </c>
      <c r="BA172" s="195">
        <v>20</v>
      </c>
      <c r="BB172" s="195">
        <f ca="1">IFERROR(__xludf.DUMMYFUNCTION("IF(IFERROR(SEARCH(""Unclear"", AJ172)) = 1, VALUE(REGEXEXTRACT(AJ172,""\d+"")), AJ172)"),3)</f>
        <v>3</v>
      </c>
      <c r="BC172" s="195">
        <v>3</v>
      </c>
      <c r="BD172" s="195" t="b">
        <f t="shared" si="2"/>
        <v>1</v>
      </c>
      <c r="BE172" s="195" t="b">
        <f t="shared" ref="BE172:BF172" si="182">IF(IFERROR(FIND("ND",AI172),0),FALSE,TRUE)</f>
        <v>0</v>
      </c>
      <c r="BF172" s="195" t="b">
        <f t="shared" si="182"/>
        <v>1</v>
      </c>
    </row>
    <row r="173" spans="1:58" ht="37.5" customHeight="1">
      <c r="A173" s="218" t="s">
        <v>1827</v>
      </c>
      <c r="B173" s="241">
        <v>1996</v>
      </c>
      <c r="C173" s="195" t="s">
        <v>441</v>
      </c>
      <c r="D173" s="4" t="s">
        <v>1776</v>
      </c>
      <c r="E173" s="239">
        <v>8953073</v>
      </c>
      <c r="F173" s="230" t="str">
        <f t="shared" si="137"/>
        <v>https://pubmed.ncbi.nlm.nih.gov/8953073</v>
      </c>
      <c r="G173" s="213" t="str">
        <f t="shared" si="89"/>
        <v>Harris 1996</v>
      </c>
      <c r="H173" s="195">
        <v>1994</v>
      </c>
      <c r="I173" s="199"/>
      <c r="J173" s="199"/>
      <c r="K173" s="195">
        <v>17</v>
      </c>
      <c r="L173" s="4" t="s">
        <v>1828</v>
      </c>
      <c r="M173" s="195">
        <v>7</v>
      </c>
      <c r="N173" s="195">
        <v>10</v>
      </c>
      <c r="O173" s="195" t="s">
        <v>324</v>
      </c>
      <c r="P173" s="195" t="s">
        <v>324</v>
      </c>
      <c r="Q173" s="195" t="s">
        <v>324</v>
      </c>
      <c r="R173" s="195">
        <v>18</v>
      </c>
      <c r="S173" s="195" t="s">
        <v>324</v>
      </c>
      <c r="T173" s="195" t="s">
        <v>1777</v>
      </c>
      <c r="U173" s="195" t="s">
        <v>324</v>
      </c>
      <c r="V173" s="195" t="s">
        <v>1829</v>
      </c>
      <c r="W173" s="199"/>
      <c r="X173" s="195">
        <v>11</v>
      </c>
      <c r="Y173" s="199"/>
      <c r="Z173" s="195">
        <v>11</v>
      </c>
      <c r="AA173" s="195"/>
      <c r="AB173" s="195">
        <v>6</v>
      </c>
      <c r="AC173" s="199"/>
      <c r="AD173" s="195">
        <v>0</v>
      </c>
      <c r="AE173" s="195" t="s">
        <v>1830</v>
      </c>
      <c r="AF173" s="195" t="s">
        <v>1831</v>
      </c>
      <c r="AG173" s="195" t="s">
        <v>1309</v>
      </c>
      <c r="AH173" s="195" t="s">
        <v>308</v>
      </c>
      <c r="AI173" s="195">
        <v>0</v>
      </c>
      <c r="AJ173" s="195" t="s">
        <v>324</v>
      </c>
      <c r="AK173" s="195" t="s">
        <v>499</v>
      </c>
      <c r="AL173" s="195" t="s">
        <v>345</v>
      </c>
      <c r="AM173" s="199"/>
      <c r="AN173" s="195" t="s">
        <v>332</v>
      </c>
      <c r="AO173" s="195" t="s">
        <v>1832</v>
      </c>
      <c r="AP173" s="195" t="s">
        <v>1833</v>
      </c>
      <c r="AQ173" s="195" t="s">
        <v>324</v>
      </c>
      <c r="AR173" s="220" t="s">
        <v>1431</v>
      </c>
      <c r="AS173" s="195" t="s">
        <v>308</v>
      </c>
      <c r="AT173" s="199"/>
      <c r="AU173" s="202" t="s">
        <v>1834</v>
      </c>
      <c r="AV173" s="195" t="s">
        <v>571</v>
      </c>
      <c r="AW173" s="195" t="str">
        <f ca="1">IFERROR(__xludf.DUMMYFUNCTION("IF(AND(IF(AS173=""Yes"",True,False),NOT(IFERROR(REGEXMATCH(AV173,ExclusionCategories),FALSE))),""Yes"", ""No"")"),"Yes")</f>
        <v>Yes</v>
      </c>
      <c r="AX173" s="195">
        <f ca="1">IFERROR(__xludf.DUMMYFUNCTION("IF(IFERROR(SEARCH(""Unclear"", Z173)) = 1, VALUE(REGEXEXTRACT(Z173,""\d+"")), Z173)"),11)</f>
        <v>11</v>
      </c>
      <c r="AY173" s="195">
        <v>11</v>
      </c>
      <c r="AZ173" s="195">
        <f ca="1">IFERROR(__xludf.DUMMYFUNCTION("IF(IFERROR(SEARCH(""Unclear"", AG173)) = 1, VALUE(REGEXEXTRACT(AG173,""\d+"")), AG173)"),9)</f>
        <v>9</v>
      </c>
      <c r="BA173" s="195">
        <v>11</v>
      </c>
      <c r="BB173" s="195" t="str">
        <f ca="1">IFERROR(__xludf.DUMMYFUNCTION("IF(IFERROR(SEARCH(""Unclear"", AJ173)) = 1, VALUE(REGEXEXTRACT(AJ173,""\d+"")), AJ173)"),"ND")</f>
        <v>ND</v>
      </c>
      <c r="BC173" s="195" t="s">
        <v>324</v>
      </c>
      <c r="BD173" s="195" t="b">
        <f t="shared" si="2"/>
        <v>1</v>
      </c>
      <c r="BE173" s="195" t="b">
        <f t="shared" ref="BE173:BF173" si="183">IF(IFERROR(FIND("ND",AI173),0),FALSE,TRUE)</f>
        <v>1</v>
      </c>
      <c r="BF173" s="195" t="b">
        <f t="shared" si="183"/>
        <v>0</v>
      </c>
    </row>
    <row r="174" spans="1:58" ht="37.5" customHeight="1">
      <c r="A174" s="218" t="s">
        <v>1835</v>
      </c>
      <c r="B174" s="241">
        <v>1982</v>
      </c>
      <c r="C174" s="195" t="s">
        <v>457</v>
      </c>
      <c r="D174" s="4" t="s">
        <v>1836</v>
      </c>
      <c r="E174" s="239">
        <v>7137990</v>
      </c>
      <c r="F174" s="230" t="str">
        <f t="shared" si="137"/>
        <v>https://pubmed.ncbi.nlm.nih.gov/7137990</v>
      </c>
      <c r="G174" s="213" t="str">
        <f t="shared" si="89"/>
        <v>Hayden 1982</v>
      </c>
      <c r="H174" s="217">
        <v>1982</v>
      </c>
      <c r="I174" s="199"/>
      <c r="J174" s="199"/>
      <c r="K174" s="195">
        <v>36</v>
      </c>
      <c r="L174" s="4"/>
      <c r="M174" s="195" t="s">
        <v>324</v>
      </c>
      <c r="N174" s="195" t="s">
        <v>324</v>
      </c>
      <c r="O174" s="195" t="s">
        <v>324</v>
      </c>
      <c r="P174" s="195" t="s">
        <v>324</v>
      </c>
      <c r="Q174" s="195" t="s">
        <v>324</v>
      </c>
      <c r="R174" s="195" t="s">
        <v>324</v>
      </c>
      <c r="S174" s="195" t="s">
        <v>324</v>
      </c>
      <c r="T174" s="195" t="s">
        <v>324</v>
      </c>
      <c r="U174" s="195" t="s">
        <v>324</v>
      </c>
      <c r="V174" s="195" t="s">
        <v>1837</v>
      </c>
      <c r="W174" s="199"/>
      <c r="X174" s="195">
        <v>36</v>
      </c>
      <c r="Y174" s="195"/>
      <c r="Z174" s="195">
        <v>23</v>
      </c>
      <c r="AA174" s="195"/>
      <c r="AB174" s="195">
        <v>0</v>
      </c>
      <c r="AC174" s="199"/>
      <c r="AD174" s="195" t="s">
        <v>322</v>
      </c>
      <c r="AE174" s="195" t="s">
        <v>1838</v>
      </c>
      <c r="AF174" s="195" t="s">
        <v>1549</v>
      </c>
      <c r="AG174" s="195" t="s">
        <v>558</v>
      </c>
      <c r="AH174" s="195" t="s">
        <v>308</v>
      </c>
      <c r="AI174" s="195">
        <v>0</v>
      </c>
      <c r="AJ174" s="195" t="s">
        <v>324</v>
      </c>
      <c r="AK174" s="195" t="s">
        <v>499</v>
      </c>
      <c r="AL174" s="195" t="s">
        <v>322</v>
      </c>
      <c r="AM174" s="199"/>
      <c r="AN174" s="195" t="s">
        <v>1839</v>
      </c>
      <c r="AO174" s="195" t="s">
        <v>1840</v>
      </c>
      <c r="AP174" s="195" t="s">
        <v>324</v>
      </c>
      <c r="AQ174" s="195" t="s">
        <v>324</v>
      </c>
      <c r="AR174" s="220" t="s">
        <v>1431</v>
      </c>
      <c r="AS174" s="195" t="s">
        <v>308</v>
      </c>
      <c r="AT174" s="199"/>
      <c r="AU174" s="202" t="s">
        <v>1841</v>
      </c>
      <c r="AV174" s="195" t="s">
        <v>1842</v>
      </c>
      <c r="AW174" s="195" t="str">
        <f ca="1">IFERROR(__xludf.DUMMYFUNCTION("IF(AND(IF(AS174=""Yes"",True,False),NOT(IFERROR(REGEXMATCH(AV174,ExclusionCategories),FALSE))),""Yes"", ""No"")"),"Yes")</f>
        <v>Yes</v>
      </c>
      <c r="AX174" s="195">
        <f ca="1">IFERROR(__xludf.DUMMYFUNCTION("IF(IFERROR(SEARCH(""Unclear"", Z174)) = 1, VALUE(REGEXEXTRACT(Z174,""\d+"")), Z174)"),23)</f>
        <v>23</v>
      </c>
      <c r="AY174" s="195">
        <v>23</v>
      </c>
      <c r="AZ174" s="195">
        <f ca="1">IFERROR(__xludf.DUMMYFUNCTION("IF(IFERROR(SEARCH(""Unclear"", AG174)) = 1, VALUE(REGEXEXTRACT(AG174,""\d+"")), AG174)"),21)</f>
        <v>21</v>
      </c>
      <c r="BA174" s="195">
        <v>36</v>
      </c>
      <c r="BB174" s="195" t="str">
        <f ca="1">IFERROR(__xludf.DUMMYFUNCTION("IF(IFERROR(SEARCH(""Unclear"", AJ174)) = 1, VALUE(REGEXEXTRACT(AJ174,""\d+"")), AJ174)"),"ND")</f>
        <v>ND</v>
      </c>
      <c r="BC174" s="195" t="s">
        <v>324</v>
      </c>
      <c r="BD174" s="195" t="b">
        <f t="shared" si="2"/>
        <v>1</v>
      </c>
      <c r="BE174" s="195" t="b">
        <f t="shared" ref="BE174:BF174" si="184">IF(IFERROR(FIND("ND",AI174),0),FALSE,TRUE)</f>
        <v>1</v>
      </c>
      <c r="BF174" s="195" t="b">
        <f t="shared" si="184"/>
        <v>0</v>
      </c>
    </row>
    <row r="175" spans="1:58" ht="37.5" customHeight="1">
      <c r="A175" s="218" t="s">
        <v>1835</v>
      </c>
      <c r="B175" s="241">
        <v>1988</v>
      </c>
      <c r="C175" s="195" t="s">
        <v>441</v>
      </c>
      <c r="D175" s="4" t="s">
        <v>1843</v>
      </c>
      <c r="E175" s="239">
        <v>2849376</v>
      </c>
      <c r="F175" s="230" t="str">
        <f t="shared" si="137"/>
        <v>https://pubmed.ncbi.nlm.nih.gov/2849376</v>
      </c>
      <c r="G175" s="213" t="str">
        <f t="shared" si="89"/>
        <v>Hayden 1988</v>
      </c>
      <c r="H175" s="217">
        <v>1988</v>
      </c>
      <c r="I175" s="199"/>
      <c r="J175" s="199"/>
      <c r="K175" s="195">
        <v>30</v>
      </c>
      <c r="L175" s="4" t="s">
        <v>1844</v>
      </c>
      <c r="M175" s="195">
        <v>11</v>
      </c>
      <c r="N175" s="195">
        <v>19</v>
      </c>
      <c r="O175" s="195" t="s">
        <v>324</v>
      </c>
      <c r="P175" s="195" t="s">
        <v>324</v>
      </c>
      <c r="Q175" s="195" t="s">
        <v>324</v>
      </c>
      <c r="R175" s="195" t="s">
        <v>324</v>
      </c>
      <c r="S175" s="195" t="s">
        <v>324</v>
      </c>
      <c r="T175" s="195" t="s">
        <v>1777</v>
      </c>
      <c r="U175" s="195" t="s">
        <v>324</v>
      </c>
      <c r="V175" s="195" t="s">
        <v>1845</v>
      </c>
      <c r="W175" s="199"/>
      <c r="X175" s="195">
        <v>30</v>
      </c>
      <c r="Y175" s="195" t="s">
        <v>1846</v>
      </c>
      <c r="Z175" s="195">
        <v>25</v>
      </c>
      <c r="AA175" s="195" t="s">
        <v>1847</v>
      </c>
      <c r="AB175" s="195">
        <v>0</v>
      </c>
      <c r="AC175" s="199"/>
      <c r="AD175" s="195" t="s">
        <v>322</v>
      </c>
      <c r="AE175" s="195" t="s">
        <v>1848</v>
      </c>
      <c r="AF175" s="195" t="s">
        <v>1849</v>
      </c>
      <c r="AG175" s="195" t="s">
        <v>433</v>
      </c>
      <c r="AH175" s="195" t="s">
        <v>308</v>
      </c>
      <c r="AI175" s="195">
        <v>0</v>
      </c>
      <c r="AJ175" s="195" t="s">
        <v>324</v>
      </c>
      <c r="AK175" s="195" t="s">
        <v>499</v>
      </c>
      <c r="AL175" s="195" t="s">
        <v>322</v>
      </c>
      <c r="AM175" s="199"/>
      <c r="AN175" s="195" t="s">
        <v>1850</v>
      </c>
      <c r="AO175" s="195" t="s">
        <v>1851</v>
      </c>
      <c r="AP175" s="195" t="s">
        <v>324</v>
      </c>
      <c r="AQ175" s="195" t="s">
        <v>1852</v>
      </c>
      <c r="AR175" s="220" t="s">
        <v>1431</v>
      </c>
      <c r="AS175" s="195" t="s">
        <v>316</v>
      </c>
      <c r="AT175" s="199"/>
      <c r="AU175" s="202" t="s">
        <v>1853</v>
      </c>
      <c r="AV175" s="195" t="s">
        <v>1447</v>
      </c>
      <c r="AW175" s="195" t="str">
        <f ca="1">IFERROR(__xludf.DUMMYFUNCTION("IF(AND(IF(AS175=""Yes"",True,False),NOT(IFERROR(REGEXMATCH(AV175,ExclusionCategories),FALSE))),""Yes"", ""No"")"),"No")</f>
        <v>No</v>
      </c>
      <c r="AX175" s="195">
        <f ca="1">IFERROR(__xludf.DUMMYFUNCTION("IF(IFERROR(SEARCH(""Unclear"", Z175)) = 1, VALUE(REGEXEXTRACT(Z175,""\d+"")), Z175)"),25)</f>
        <v>25</v>
      </c>
      <c r="AY175" s="195">
        <v>25</v>
      </c>
      <c r="AZ175" s="195">
        <f ca="1">IFERROR(__xludf.DUMMYFUNCTION("IF(IFERROR(SEARCH(""Unclear"", AG175)) = 1, VALUE(REGEXEXTRACT(AG175,""\d+"")), AG175)"),16)</f>
        <v>16</v>
      </c>
      <c r="BA175" s="195">
        <v>30</v>
      </c>
      <c r="BB175" s="195" t="str">
        <f ca="1">IFERROR(__xludf.DUMMYFUNCTION("IF(IFERROR(SEARCH(""Unclear"", AJ175)) = 1, VALUE(REGEXEXTRACT(AJ175,""\d+"")), AJ175)"),"ND")</f>
        <v>ND</v>
      </c>
      <c r="BC175" s="195" t="s">
        <v>324</v>
      </c>
      <c r="BD175" s="195" t="b">
        <f t="shared" si="2"/>
        <v>1</v>
      </c>
      <c r="BE175" s="195" t="b">
        <f t="shared" ref="BE175:BF175" si="185">IF(IFERROR(FIND("ND",AI175),0),FALSE,TRUE)</f>
        <v>1</v>
      </c>
      <c r="BF175" s="195" t="b">
        <f t="shared" si="185"/>
        <v>0</v>
      </c>
    </row>
    <row r="176" spans="1:58" ht="37.5" customHeight="1">
      <c r="A176" s="218" t="s">
        <v>1835</v>
      </c>
      <c r="B176" s="241">
        <v>1988</v>
      </c>
      <c r="C176" s="195" t="s">
        <v>441</v>
      </c>
      <c r="D176" s="4" t="s">
        <v>1843</v>
      </c>
      <c r="E176" s="239">
        <v>2849376</v>
      </c>
      <c r="F176" s="230" t="str">
        <f t="shared" si="137"/>
        <v>https://pubmed.ncbi.nlm.nih.gov/2849376</v>
      </c>
      <c r="G176" s="213" t="str">
        <f t="shared" si="89"/>
        <v>Hayden 1988</v>
      </c>
      <c r="H176" s="217">
        <v>1988</v>
      </c>
      <c r="I176" s="199"/>
      <c r="J176" s="199"/>
      <c r="K176" s="195">
        <v>27</v>
      </c>
      <c r="L176" s="4" t="s">
        <v>1854</v>
      </c>
      <c r="M176" s="195">
        <v>12</v>
      </c>
      <c r="N176" s="195">
        <v>15</v>
      </c>
      <c r="O176" s="195" t="s">
        <v>324</v>
      </c>
      <c r="P176" s="195" t="s">
        <v>324</v>
      </c>
      <c r="Q176" s="195" t="s">
        <v>324</v>
      </c>
      <c r="R176" s="195" t="s">
        <v>324</v>
      </c>
      <c r="S176" s="195" t="s">
        <v>324</v>
      </c>
      <c r="T176" s="195" t="s">
        <v>1777</v>
      </c>
      <c r="U176" s="195" t="s">
        <v>324</v>
      </c>
      <c r="V176" s="195" t="s">
        <v>1845</v>
      </c>
      <c r="W176" s="199"/>
      <c r="X176" s="195">
        <v>26</v>
      </c>
      <c r="Y176" s="195" t="s">
        <v>1855</v>
      </c>
      <c r="Z176" s="195">
        <v>23</v>
      </c>
      <c r="AA176" s="195" t="s">
        <v>1856</v>
      </c>
      <c r="AB176" s="195">
        <v>0</v>
      </c>
      <c r="AC176" s="199"/>
      <c r="AD176" s="195" t="s">
        <v>322</v>
      </c>
      <c r="AE176" s="195" t="s">
        <v>1848</v>
      </c>
      <c r="AF176" s="195" t="s">
        <v>1849</v>
      </c>
      <c r="AG176" s="195" t="s">
        <v>433</v>
      </c>
      <c r="AH176" s="195" t="s">
        <v>308</v>
      </c>
      <c r="AI176" s="195">
        <v>0</v>
      </c>
      <c r="AJ176" s="195" t="s">
        <v>324</v>
      </c>
      <c r="AK176" s="195" t="s">
        <v>499</v>
      </c>
      <c r="AL176" s="195" t="s">
        <v>322</v>
      </c>
      <c r="AM176" s="199"/>
      <c r="AN176" s="195" t="s">
        <v>1857</v>
      </c>
      <c r="AO176" s="195" t="s">
        <v>1851</v>
      </c>
      <c r="AP176" s="195" t="s">
        <v>324</v>
      </c>
      <c r="AQ176" s="195" t="s">
        <v>1852</v>
      </c>
      <c r="AR176" s="220" t="s">
        <v>1431</v>
      </c>
      <c r="AS176" s="195" t="s">
        <v>316</v>
      </c>
      <c r="AT176" s="199"/>
      <c r="AU176" s="202" t="s">
        <v>1853</v>
      </c>
      <c r="AV176" s="195" t="s">
        <v>1447</v>
      </c>
      <c r="AW176" s="195" t="str">
        <f ca="1">IFERROR(__xludf.DUMMYFUNCTION("IF(AND(IF(AS176=""Yes"",True,False),NOT(IFERROR(REGEXMATCH(AV176,ExclusionCategories),FALSE))),""Yes"", ""No"")"),"No")</f>
        <v>No</v>
      </c>
      <c r="AX176" s="195">
        <f ca="1">IFERROR(__xludf.DUMMYFUNCTION("IF(IFERROR(SEARCH(""Unclear"", Z176)) = 1, VALUE(REGEXEXTRACT(Z176,""\d+"")), Z176)"),23)</f>
        <v>23</v>
      </c>
      <c r="AY176" s="195">
        <v>23</v>
      </c>
      <c r="AZ176" s="195">
        <f ca="1">IFERROR(__xludf.DUMMYFUNCTION("IF(IFERROR(SEARCH(""Unclear"", AG176)) = 1, VALUE(REGEXEXTRACT(AG176,""\d+"")), AG176)"),16)</f>
        <v>16</v>
      </c>
      <c r="BA176" s="195">
        <v>26</v>
      </c>
      <c r="BB176" s="195" t="str">
        <f ca="1">IFERROR(__xludf.DUMMYFUNCTION("IF(IFERROR(SEARCH(""Unclear"", AJ176)) = 1, VALUE(REGEXEXTRACT(AJ176,""\d+"")), AJ176)"),"ND")</f>
        <v>ND</v>
      </c>
      <c r="BC176" s="195" t="s">
        <v>324</v>
      </c>
      <c r="BD176" s="195" t="b">
        <f t="shared" si="2"/>
        <v>1</v>
      </c>
      <c r="BE176" s="195" t="b">
        <f t="shared" ref="BE176:BF176" si="186">IF(IFERROR(FIND("ND",AI176),0),FALSE,TRUE)</f>
        <v>1</v>
      </c>
      <c r="BF176" s="195" t="b">
        <f t="shared" si="186"/>
        <v>0</v>
      </c>
    </row>
    <row r="177" spans="1:58" ht="37.5" customHeight="1">
      <c r="A177" s="218" t="s">
        <v>1835</v>
      </c>
      <c r="B177" s="241">
        <v>1988</v>
      </c>
      <c r="C177" s="195" t="s">
        <v>441</v>
      </c>
      <c r="D177" s="4" t="s">
        <v>1843</v>
      </c>
      <c r="E177" s="239">
        <v>2849376</v>
      </c>
      <c r="F177" s="230" t="str">
        <f t="shared" si="137"/>
        <v>https://pubmed.ncbi.nlm.nih.gov/2849376</v>
      </c>
      <c r="G177" s="213" t="str">
        <f t="shared" si="89"/>
        <v>Hayden 1988</v>
      </c>
      <c r="H177" s="217">
        <v>1988</v>
      </c>
      <c r="I177" s="199"/>
      <c r="J177" s="199"/>
      <c r="K177" s="195">
        <v>57</v>
      </c>
      <c r="L177" s="4" t="s">
        <v>1858</v>
      </c>
      <c r="M177" s="195">
        <v>23</v>
      </c>
      <c r="N177" s="195">
        <v>34</v>
      </c>
      <c r="O177" s="195" t="s">
        <v>324</v>
      </c>
      <c r="P177" s="195" t="s">
        <v>324</v>
      </c>
      <c r="Q177" s="195" t="s">
        <v>324</v>
      </c>
      <c r="R177" s="195" t="s">
        <v>324</v>
      </c>
      <c r="S177" s="195" t="s">
        <v>324</v>
      </c>
      <c r="T177" s="195" t="s">
        <v>1859</v>
      </c>
      <c r="U177" s="195" t="s">
        <v>324</v>
      </c>
      <c r="V177" s="195" t="s">
        <v>1845</v>
      </c>
      <c r="W177" s="199"/>
      <c r="X177" s="195">
        <v>56</v>
      </c>
      <c r="Y177" s="195"/>
      <c r="Z177" s="195">
        <v>48</v>
      </c>
      <c r="AA177" s="195"/>
      <c r="AB177" s="195">
        <v>0</v>
      </c>
      <c r="AC177" s="199"/>
      <c r="AD177" s="195" t="s">
        <v>322</v>
      </c>
      <c r="AE177" s="195" t="s">
        <v>1848</v>
      </c>
      <c r="AF177" s="195" t="s">
        <v>1849</v>
      </c>
      <c r="AG177" s="195" t="s">
        <v>1860</v>
      </c>
      <c r="AH177" s="195" t="s">
        <v>308</v>
      </c>
      <c r="AI177" s="195">
        <v>0</v>
      </c>
      <c r="AJ177" s="195" t="s">
        <v>324</v>
      </c>
      <c r="AK177" s="195" t="s">
        <v>499</v>
      </c>
      <c r="AL177" s="195" t="s">
        <v>322</v>
      </c>
      <c r="AM177" s="199"/>
      <c r="AN177" s="195" t="s">
        <v>1850</v>
      </c>
      <c r="AO177" s="195" t="s">
        <v>1851</v>
      </c>
      <c r="AP177" s="195" t="s">
        <v>324</v>
      </c>
      <c r="AQ177" s="195" t="s">
        <v>1852</v>
      </c>
      <c r="AR177" s="220" t="s">
        <v>1431</v>
      </c>
      <c r="AS177" s="195" t="s">
        <v>308</v>
      </c>
      <c r="AT177" s="199"/>
      <c r="AU177" s="202" t="s">
        <v>1853</v>
      </c>
      <c r="AV177" s="195" t="s">
        <v>1556</v>
      </c>
      <c r="AW177" s="195" t="str">
        <f ca="1">IFERROR(__xludf.DUMMYFUNCTION("IF(AND(IF(AS177=""Yes"",True,False),NOT(IFERROR(REGEXMATCH(AV177,ExclusionCategories),FALSE))),""Yes"", ""No"")"),"Yes")</f>
        <v>Yes</v>
      </c>
      <c r="AX177" s="195">
        <f ca="1">IFERROR(__xludf.DUMMYFUNCTION("IF(IFERROR(SEARCH(""Unclear"", Z177)) = 1, VALUE(REGEXEXTRACT(Z177,""\d+"")), Z177)"),48)</f>
        <v>48</v>
      </c>
      <c r="AY177" s="195">
        <v>48</v>
      </c>
      <c r="AZ177" s="195">
        <f ca="1">IFERROR(__xludf.DUMMYFUNCTION("IF(IFERROR(SEARCH(""Unclear"", AG177)) = 1, VALUE(REGEXEXTRACT(AG177,""\d+"")), AG177)"),32)</f>
        <v>32</v>
      </c>
      <c r="BA177" s="195">
        <v>56</v>
      </c>
      <c r="BB177" s="195" t="str">
        <f ca="1">IFERROR(__xludf.DUMMYFUNCTION("IF(IFERROR(SEARCH(""Unclear"", AJ177)) = 1, VALUE(REGEXEXTRACT(AJ177,""\d+"")), AJ177)"),"ND")</f>
        <v>ND</v>
      </c>
      <c r="BC177" s="195" t="s">
        <v>324</v>
      </c>
      <c r="BD177" s="195" t="b">
        <f t="shared" si="2"/>
        <v>1</v>
      </c>
      <c r="BE177" s="195" t="b">
        <f t="shared" ref="BE177:BF177" si="187">IF(IFERROR(FIND("ND",AI177),0),FALSE,TRUE)</f>
        <v>1</v>
      </c>
      <c r="BF177" s="195" t="b">
        <f t="shared" si="187"/>
        <v>0</v>
      </c>
    </row>
    <row r="178" spans="1:58" ht="37.5" customHeight="1">
      <c r="A178" s="218" t="s">
        <v>1835</v>
      </c>
      <c r="B178" s="241">
        <v>1992</v>
      </c>
      <c r="C178" s="195" t="s">
        <v>441</v>
      </c>
      <c r="D178" s="4" t="s">
        <v>1861</v>
      </c>
      <c r="E178" s="239">
        <v>1503435</v>
      </c>
      <c r="F178" s="230" t="str">
        <f t="shared" si="137"/>
        <v>https://pubmed.ncbi.nlm.nih.gov/1503435</v>
      </c>
      <c r="G178" s="213" t="str">
        <f t="shared" si="89"/>
        <v>Hayden 1992</v>
      </c>
      <c r="H178" s="217">
        <v>1992</v>
      </c>
      <c r="I178" s="199"/>
      <c r="J178" s="199"/>
      <c r="K178" s="195">
        <v>25</v>
      </c>
      <c r="L178" s="4" t="s">
        <v>1862</v>
      </c>
      <c r="M178" s="195">
        <v>25</v>
      </c>
      <c r="N178" s="195">
        <v>0</v>
      </c>
      <c r="O178" s="195" t="s">
        <v>324</v>
      </c>
      <c r="P178" s="195" t="s">
        <v>324</v>
      </c>
      <c r="Q178" s="195" t="s">
        <v>324</v>
      </c>
      <c r="R178" s="195">
        <v>18</v>
      </c>
      <c r="S178" s="195">
        <v>50</v>
      </c>
      <c r="T178" s="195" t="s">
        <v>1863</v>
      </c>
      <c r="U178" s="195" t="s">
        <v>324</v>
      </c>
      <c r="V178" s="195" t="s">
        <v>1864</v>
      </c>
      <c r="W178" s="199"/>
      <c r="X178" s="195">
        <v>25</v>
      </c>
      <c r="Y178" s="195" t="s">
        <v>1865</v>
      </c>
      <c r="Z178" s="195">
        <v>20</v>
      </c>
      <c r="AA178" s="195" t="s">
        <v>1866</v>
      </c>
      <c r="AB178" s="195">
        <v>0</v>
      </c>
      <c r="AC178" s="199"/>
      <c r="AD178" s="195" t="s">
        <v>322</v>
      </c>
      <c r="AE178" s="195" t="s">
        <v>1867</v>
      </c>
      <c r="AF178" s="195" t="s">
        <v>1849</v>
      </c>
      <c r="AG178" s="195" t="s">
        <v>1030</v>
      </c>
      <c r="AH178" s="195" t="s">
        <v>308</v>
      </c>
      <c r="AI178" s="195">
        <v>0</v>
      </c>
      <c r="AJ178" s="195" t="s">
        <v>324</v>
      </c>
      <c r="AK178" s="195" t="s">
        <v>499</v>
      </c>
      <c r="AL178" s="195" t="s">
        <v>322</v>
      </c>
      <c r="AM178" s="199"/>
      <c r="AN178" s="195" t="s">
        <v>1868</v>
      </c>
      <c r="AO178" s="195" t="s">
        <v>1869</v>
      </c>
      <c r="AP178" s="195" t="s">
        <v>1870</v>
      </c>
      <c r="AQ178" s="195" t="s">
        <v>421</v>
      </c>
      <c r="AR178" s="220" t="s">
        <v>1431</v>
      </c>
      <c r="AS178" s="195" t="s">
        <v>316</v>
      </c>
      <c r="AT178" s="199"/>
      <c r="AU178" s="202" t="s">
        <v>1871</v>
      </c>
      <c r="AV178" s="195" t="s">
        <v>1447</v>
      </c>
      <c r="AW178" s="195" t="str">
        <f ca="1">IFERROR(__xludf.DUMMYFUNCTION("IF(AND(IF(AS178=""Yes"",True,False),NOT(IFERROR(REGEXMATCH(AV178,ExclusionCategories),FALSE))),""Yes"", ""No"")"),"No")</f>
        <v>No</v>
      </c>
      <c r="AX178" s="195">
        <f ca="1">IFERROR(__xludf.DUMMYFUNCTION("IF(IFERROR(SEARCH(""Unclear"", Z178)) = 1, VALUE(REGEXEXTRACT(Z178,""\d+"")), Z178)"),20)</f>
        <v>20</v>
      </c>
      <c r="AY178" s="195">
        <v>20</v>
      </c>
      <c r="AZ178" s="195">
        <f ca="1">IFERROR(__xludf.DUMMYFUNCTION("IF(IFERROR(SEARCH(""Unclear"", AG178)) = 1, VALUE(REGEXEXTRACT(AG178,""\d+"")), AG178)"),8)</f>
        <v>8</v>
      </c>
      <c r="BA178" s="195">
        <v>25</v>
      </c>
      <c r="BB178" s="195" t="str">
        <f ca="1">IFERROR(__xludf.DUMMYFUNCTION("IF(IFERROR(SEARCH(""Unclear"", AJ178)) = 1, VALUE(REGEXEXTRACT(AJ178,""\d+"")), AJ178)"),"ND")</f>
        <v>ND</v>
      </c>
      <c r="BC178" s="195" t="s">
        <v>324</v>
      </c>
      <c r="BD178" s="195" t="b">
        <f t="shared" si="2"/>
        <v>1</v>
      </c>
      <c r="BE178" s="195" t="b">
        <f t="shared" ref="BE178:BF178" si="188">IF(IFERROR(FIND("ND",AI178),0),FALSE,TRUE)</f>
        <v>1</v>
      </c>
      <c r="BF178" s="195" t="b">
        <f t="shared" si="188"/>
        <v>0</v>
      </c>
    </row>
    <row r="179" spans="1:58" ht="37.5" customHeight="1">
      <c r="A179" s="218" t="s">
        <v>1835</v>
      </c>
      <c r="B179" s="241">
        <v>1992</v>
      </c>
      <c r="C179" s="195" t="s">
        <v>441</v>
      </c>
      <c r="D179" s="4" t="s">
        <v>1801</v>
      </c>
      <c r="E179" s="239">
        <v>1503435</v>
      </c>
      <c r="F179" s="230" t="str">
        <f t="shared" si="137"/>
        <v>https://pubmed.ncbi.nlm.nih.gov/1503435</v>
      </c>
      <c r="G179" s="213" t="str">
        <f t="shared" si="89"/>
        <v>Hayden 1992</v>
      </c>
      <c r="H179" s="217">
        <v>1992</v>
      </c>
      <c r="I179" s="199"/>
      <c r="J179" s="199"/>
      <c r="K179" s="195">
        <v>38</v>
      </c>
      <c r="L179" s="4" t="s">
        <v>1872</v>
      </c>
      <c r="M179" s="195">
        <v>38</v>
      </c>
      <c r="N179" s="195">
        <v>0</v>
      </c>
      <c r="O179" s="195" t="s">
        <v>324</v>
      </c>
      <c r="P179" s="195" t="s">
        <v>324</v>
      </c>
      <c r="Q179" s="195" t="s">
        <v>324</v>
      </c>
      <c r="R179" s="195">
        <v>18</v>
      </c>
      <c r="S179" s="195">
        <v>50</v>
      </c>
      <c r="T179" s="195" t="s">
        <v>1863</v>
      </c>
      <c r="U179" s="195" t="s">
        <v>324</v>
      </c>
      <c r="V179" s="195" t="s">
        <v>1864</v>
      </c>
      <c r="W179" s="199"/>
      <c r="X179" s="195">
        <v>35</v>
      </c>
      <c r="Y179" s="195" t="s">
        <v>1873</v>
      </c>
      <c r="Z179" s="195">
        <v>26</v>
      </c>
      <c r="AA179" s="195" t="s">
        <v>1874</v>
      </c>
      <c r="AB179" s="195">
        <v>0</v>
      </c>
      <c r="AC179" s="199"/>
      <c r="AD179" s="195" t="s">
        <v>322</v>
      </c>
      <c r="AE179" s="195" t="s">
        <v>1867</v>
      </c>
      <c r="AF179" s="195" t="s">
        <v>1849</v>
      </c>
      <c r="AG179" s="195" t="s">
        <v>892</v>
      </c>
      <c r="AH179" s="195" t="s">
        <v>308</v>
      </c>
      <c r="AI179" s="195">
        <v>0</v>
      </c>
      <c r="AJ179" s="195" t="s">
        <v>324</v>
      </c>
      <c r="AK179" s="195" t="s">
        <v>499</v>
      </c>
      <c r="AL179" s="195" t="s">
        <v>322</v>
      </c>
      <c r="AM179" s="199"/>
      <c r="AN179" s="195" t="s">
        <v>1868</v>
      </c>
      <c r="AO179" s="195" t="s">
        <v>1869</v>
      </c>
      <c r="AP179" s="195" t="s">
        <v>1870</v>
      </c>
      <c r="AQ179" s="195" t="s">
        <v>421</v>
      </c>
      <c r="AR179" s="220" t="s">
        <v>1431</v>
      </c>
      <c r="AS179" s="195" t="s">
        <v>316</v>
      </c>
      <c r="AT179" s="199"/>
      <c r="AU179" s="202" t="s">
        <v>1871</v>
      </c>
      <c r="AV179" s="195" t="s">
        <v>1447</v>
      </c>
      <c r="AW179" s="195" t="str">
        <f ca="1">IFERROR(__xludf.DUMMYFUNCTION("IF(AND(IF(AS179=""Yes"",True,False),NOT(IFERROR(REGEXMATCH(AV179,ExclusionCategories),FALSE))),""Yes"", ""No"")"),"No")</f>
        <v>No</v>
      </c>
      <c r="AX179" s="195">
        <f ca="1">IFERROR(__xludf.DUMMYFUNCTION("IF(IFERROR(SEARCH(""Unclear"", Z179)) = 1, VALUE(REGEXEXTRACT(Z179,""\d+"")), Z179)"),26)</f>
        <v>26</v>
      </c>
      <c r="AY179" s="195">
        <v>26</v>
      </c>
      <c r="AZ179" s="195">
        <f ca="1">IFERROR(__xludf.DUMMYFUNCTION("IF(IFERROR(SEARCH(""Unclear"", AG179)) = 1, VALUE(REGEXEXTRACT(AG179,""\d+"")), AG179)"),17)</f>
        <v>17</v>
      </c>
      <c r="BA179" s="195">
        <v>35</v>
      </c>
      <c r="BB179" s="195" t="str">
        <f ca="1">IFERROR(__xludf.DUMMYFUNCTION("IF(IFERROR(SEARCH(""Unclear"", AJ179)) = 1, VALUE(REGEXEXTRACT(AJ179,""\d+"")), AJ179)"),"ND")</f>
        <v>ND</v>
      </c>
      <c r="BC179" s="195" t="s">
        <v>324</v>
      </c>
      <c r="BD179" s="195" t="b">
        <f t="shared" si="2"/>
        <v>1</v>
      </c>
      <c r="BE179" s="195" t="b">
        <f t="shared" ref="BE179:BF179" si="189">IF(IFERROR(FIND("ND",AI179),0),FALSE,TRUE)</f>
        <v>1</v>
      </c>
      <c r="BF179" s="195" t="b">
        <f t="shared" si="189"/>
        <v>0</v>
      </c>
    </row>
    <row r="180" spans="1:58" ht="37.5" customHeight="1">
      <c r="A180" s="218" t="s">
        <v>1835</v>
      </c>
      <c r="B180" s="241">
        <v>1992</v>
      </c>
      <c r="C180" s="195" t="s">
        <v>441</v>
      </c>
      <c r="D180" s="4" t="s">
        <v>1801</v>
      </c>
      <c r="E180" s="239">
        <v>1503435</v>
      </c>
      <c r="F180" s="230" t="str">
        <f t="shared" si="137"/>
        <v>https://pubmed.ncbi.nlm.nih.gov/1503435</v>
      </c>
      <c r="G180" s="213" t="str">
        <f t="shared" si="89"/>
        <v>Hayden 1992</v>
      </c>
      <c r="H180" s="217">
        <v>1992</v>
      </c>
      <c r="I180" s="199"/>
      <c r="J180" s="199"/>
      <c r="K180" s="195">
        <v>32</v>
      </c>
      <c r="L180" s="4" t="s">
        <v>1875</v>
      </c>
      <c r="M180" s="195">
        <v>18</v>
      </c>
      <c r="N180" s="195">
        <v>14</v>
      </c>
      <c r="O180" s="195" t="s">
        <v>324</v>
      </c>
      <c r="P180" s="195" t="s">
        <v>324</v>
      </c>
      <c r="Q180" s="195" t="s">
        <v>324</v>
      </c>
      <c r="R180" s="195">
        <v>18</v>
      </c>
      <c r="S180" s="195">
        <v>50</v>
      </c>
      <c r="T180" s="195" t="s">
        <v>1863</v>
      </c>
      <c r="U180" s="195" t="s">
        <v>324</v>
      </c>
      <c r="V180" s="195" t="s">
        <v>1864</v>
      </c>
      <c r="W180" s="199"/>
      <c r="X180" s="195">
        <v>28</v>
      </c>
      <c r="Y180" s="195" t="s">
        <v>1876</v>
      </c>
      <c r="Z180" s="195">
        <v>24</v>
      </c>
      <c r="AA180" s="195" t="s">
        <v>1877</v>
      </c>
      <c r="AB180" s="195">
        <v>0</v>
      </c>
      <c r="AC180" s="199"/>
      <c r="AD180" s="195" t="s">
        <v>322</v>
      </c>
      <c r="AE180" s="195" t="s">
        <v>1867</v>
      </c>
      <c r="AF180" s="195" t="s">
        <v>1849</v>
      </c>
      <c r="AG180" s="195" t="s">
        <v>1878</v>
      </c>
      <c r="AH180" s="195" t="s">
        <v>308</v>
      </c>
      <c r="AI180" s="195">
        <v>0</v>
      </c>
      <c r="AJ180" s="195" t="s">
        <v>324</v>
      </c>
      <c r="AK180" s="195" t="s">
        <v>499</v>
      </c>
      <c r="AL180" s="195" t="s">
        <v>322</v>
      </c>
      <c r="AM180" s="199"/>
      <c r="AN180" s="195" t="s">
        <v>1868</v>
      </c>
      <c r="AO180" s="195" t="s">
        <v>1869</v>
      </c>
      <c r="AP180" s="195" t="s">
        <v>1870</v>
      </c>
      <c r="AQ180" s="195" t="s">
        <v>421</v>
      </c>
      <c r="AR180" s="220" t="s">
        <v>1431</v>
      </c>
      <c r="AS180" s="195" t="s">
        <v>316</v>
      </c>
      <c r="AT180" s="199"/>
      <c r="AU180" s="202" t="s">
        <v>1871</v>
      </c>
      <c r="AV180" s="195" t="s">
        <v>1447</v>
      </c>
      <c r="AW180" s="195" t="str">
        <f ca="1">IFERROR(__xludf.DUMMYFUNCTION("IF(AND(IF(AS180=""Yes"",True,False),NOT(IFERROR(REGEXMATCH(AV180,ExclusionCategories),FALSE))),""Yes"", ""No"")"),"No")</f>
        <v>No</v>
      </c>
      <c r="AX180" s="195">
        <f ca="1">IFERROR(__xludf.DUMMYFUNCTION("IF(IFERROR(SEARCH(""Unclear"", Z180)) = 1, VALUE(REGEXEXTRACT(Z180,""\d+"")), Z180)"),24)</f>
        <v>24</v>
      </c>
      <c r="AY180" s="195">
        <v>24</v>
      </c>
      <c r="AZ180" s="195">
        <f ca="1">IFERROR(__xludf.DUMMYFUNCTION("IF(IFERROR(SEARCH(""Unclear"", AG180)) = 1, VALUE(REGEXEXTRACT(AG180,""\d+"")), AG180)"),19)</f>
        <v>19</v>
      </c>
      <c r="BA180" s="195">
        <v>28</v>
      </c>
      <c r="BB180" s="195" t="str">
        <f ca="1">IFERROR(__xludf.DUMMYFUNCTION("IF(IFERROR(SEARCH(""Unclear"", AJ180)) = 1, VALUE(REGEXEXTRACT(AJ180,""\d+"")), AJ180)"),"ND")</f>
        <v>ND</v>
      </c>
      <c r="BC180" s="195" t="s">
        <v>324</v>
      </c>
      <c r="BD180" s="195" t="b">
        <f t="shared" si="2"/>
        <v>1</v>
      </c>
      <c r="BE180" s="195" t="b">
        <f t="shared" ref="BE180:BF180" si="190">IF(IFERROR(FIND("ND",AI180),0),FALSE,TRUE)</f>
        <v>1</v>
      </c>
      <c r="BF180" s="195" t="b">
        <f t="shared" si="190"/>
        <v>0</v>
      </c>
    </row>
    <row r="181" spans="1:58" ht="37.5" customHeight="1">
      <c r="A181" s="218" t="s">
        <v>1835</v>
      </c>
      <c r="B181" s="241">
        <v>1992</v>
      </c>
      <c r="C181" s="195" t="s">
        <v>441</v>
      </c>
      <c r="D181" s="4" t="s">
        <v>1801</v>
      </c>
      <c r="E181" s="239">
        <v>1503435</v>
      </c>
      <c r="F181" s="230" t="str">
        <f t="shared" si="137"/>
        <v>https://pubmed.ncbi.nlm.nih.gov/1503435</v>
      </c>
      <c r="G181" s="213" t="str">
        <f t="shared" si="89"/>
        <v>Hayden 1992</v>
      </c>
      <c r="H181" s="217">
        <v>1992</v>
      </c>
      <c r="I181" s="199"/>
      <c r="J181" s="199"/>
      <c r="K181" s="195">
        <v>24</v>
      </c>
      <c r="L181" s="4" t="s">
        <v>1879</v>
      </c>
      <c r="M181" s="195">
        <v>24</v>
      </c>
      <c r="N181" s="195">
        <v>0</v>
      </c>
      <c r="O181" s="220" t="s">
        <v>324</v>
      </c>
      <c r="P181" s="220" t="s">
        <v>324</v>
      </c>
      <c r="Q181" s="220" t="s">
        <v>324</v>
      </c>
      <c r="R181" s="220">
        <v>18</v>
      </c>
      <c r="S181" s="220">
        <v>50</v>
      </c>
      <c r="T181" s="220">
        <v>21</v>
      </c>
      <c r="U181" s="220" t="s">
        <v>324</v>
      </c>
      <c r="V181" s="244" t="s">
        <v>1864</v>
      </c>
      <c r="W181" s="199"/>
      <c r="X181" s="195">
        <v>24</v>
      </c>
      <c r="Y181" s="195" t="s">
        <v>1880</v>
      </c>
      <c r="Z181" s="195">
        <v>23</v>
      </c>
      <c r="AA181" s="195" t="s">
        <v>1881</v>
      </c>
      <c r="AB181" s="195">
        <v>0</v>
      </c>
      <c r="AC181" s="199"/>
      <c r="AD181" s="195" t="s">
        <v>322</v>
      </c>
      <c r="AE181" s="195" t="s">
        <v>1867</v>
      </c>
      <c r="AF181" s="195" t="s">
        <v>1849</v>
      </c>
      <c r="AG181" s="195" t="s">
        <v>577</v>
      </c>
      <c r="AH181" s="195" t="s">
        <v>308</v>
      </c>
      <c r="AI181" s="195">
        <v>0</v>
      </c>
      <c r="AJ181" s="195" t="s">
        <v>324</v>
      </c>
      <c r="AK181" s="195" t="s">
        <v>499</v>
      </c>
      <c r="AL181" s="195" t="s">
        <v>322</v>
      </c>
      <c r="AM181" s="199"/>
      <c r="AN181" s="195" t="s">
        <v>1882</v>
      </c>
      <c r="AO181" s="195" t="s">
        <v>1869</v>
      </c>
      <c r="AP181" s="195" t="s">
        <v>1870</v>
      </c>
      <c r="AQ181" s="195" t="s">
        <v>421</v>
      </c>
      <c r="AR181" s="220" t="s">
        <v>1431</v>
      </c>
      <c r="AS181" s="195" t="s">
        <v>316</v>
      </c>
      <c r="AT181" s="199"/>
      <c r="AU181" s="202" t="s">
        <v>1871</v>
      </c>
      <c r="AV181" s="195" t="s">
        <v>1447</v>
      </c>
      <c r="AW181" s="195" t="str">
        <f ca="1">IFERROR(__xludf.DUMMYFUNCTION("IF(AND(IF(AS181=""Yes"",True,False),NOT(IFERROR(REGEXMATCH(AV181,ExclusionCategories),FALSE))),""Yes"", ""No"")"),"No")</f>
        <v>No</v>
      </c>
      <c r="AX181" s="195">
        <f ca="1">IFERROR(__xludf.DUMMYFUNCTION("IF(IFERROR(SEARCH(""Unclear"", Z181)) = 1, VALUE(REGEXEXTRACT(Z181,""\d+"")), Z181)"),23)</f>
        <v>23</v>
      </c>
      <c r="AY181" s="195">
        <v>23</v>
      </c>
      <c r="AZ181" s="195">
        <f ca="1">IFERROR(__xludf.DUMMYFUNCTION("IF(IFERROR(SEARCH(""Unclear"", AG181)) = 1, VALUE(REGEXEXTRACT(AG181,""\d+"")), AG181)"),14)</f>
        <v>14</v>
      </c>
      <c r="BA181" s="195">
        <v>24</v>
      </c>
      <c r="BB181" s="195" t="str">
        <f ca="1">IFERROR(__xludf.DUMMYFUNCTION("IF(IFERROR(SEARCH(""Unclear"", AJ181)) = 1, VALUE(REGEXEXTRACT(AJ181,""\d+"")), AJ181)"),"ND")</f>
        <v>ND</v>
      </c>
      <c r="BC181" s="195" t="s">
        <v>324</v>
      </c>
      <c r="BD181" s="195" t="b">
        <f t="shared" si="2"/>
        <v>1</v>
      </c>
      <c r="BE181" s="195" t="b">
        <f t="shared" ref="BE181:BF181" si="191">IF(IFERROR(FIND("ND",AI181),0),FALSE,TRUE)</f>
        <v>1</v>
      </c>
      <c r="BF181" s="195" t="b">
        <f t="shared" si="191"/>
        <v>0</v>
      </c>
    </row>
    <row r="182" spans="1:58" ht="37.5" customHeight="1">
      <c r="A182" s="218" t="s">
        <v>1835</v>
      </c>
      <c r="B182" s="241">
        <v>1992</v>
      </c>
      <c r="C182" s="195" t="s">
        <v>441</v>
      </c>
      <c r="D182" s="4" t="s">
        <v>1861</v>
      </c>
      <c r="E182" s="239">
        <v>1503435</v>
      </c>
      <c r="F182" s="230" t="str">
        <f t="shared" si="137"/>
        <v>https://pubmed.ncbi.nlm.nih.gov/1503435</v>
      </c>
      <c r="G182" s="213" t="str">
        <f t="shared" si="89"/>
        <v>Hayden 1992</v>
      </c>
      <c r="H182" s="217">
        <v>1992</v>
      </c>
      <c r="I182" s="199"/>
      <c r="J182" s="199"/>
      <c r="K182" s="195">
        <v>119</v>
      </c>
      <c r="L182" s="4" t="s">
        <v>1453</v>
      </c>
      <c r="M182" s="195">
        <v>105</v>
      </c>
      <c r="N182" s="195">
        <v>14</v>
      </c>
      <c r="O182" s="220" t="s">
        <v>324</v>
      </c>
      <c r="P182" s="220" t="s">
        <v>324</v>
      </c>
      <c r="Q182" s="220" t="s">
        <v>324</v>
      </c>
      <c r="R182" s="220">
        <v>18</v>
      </c>
      <c r="S182" s="220">
        <v>50</v>
      </c>
      <c r="T182" s="220" t="s">
        <v>324</v>
      </c>
      <c r="U182" s="220" t="s">
        <v>324</v>
      </c>
      <c r="V182" s="244" t="s">
        <v>1864</v>
      </c>
      <c r="W182" s="199"/>
      <c r="X182" s="195">
        <v>112</v>
      </c>
      <c r="Y182" s="195"/>
      <c r="Z182" s="195">
        <v>93</v>
      </c>
      <c r="AA182" s="195"/>
      <c r="AB182" s="195">
        <v>0</v>
      </c>
      <c r="AC182" s="199"/>
      <c r="AD182" s="195" t="s">
        <v>322</v>
      </c>
      <c r="AE182" s="195" t="s">
        <v>1867</v>
      </c>
      <c r="AF182" s="195" t="s">
        <v>1849</v>
      </c>
      <c r="AG182" s="195" t="s">
        <v>1883</v>
      </c>
      <c r="AH182" s="195" t="s">
        <v>308</v>
      </c>
      <c r="AI182" s="195">
        <v>0</v>
      </c>
      <c r="AJ182" s="195" t="s">
        <v>324</v>
      </c>
      <c r="AK182" s="195" t="s">
        <v>499</v>
      </c>
      <c r="AL182" s="195" t="s">
        <v>322</v>
      </c>
      <c r="AM182" s="199"/>
      <c r="AN182" s="195" t="s">
        <v>1882</v>
      </c>
      <c r="AO182" s="195" t="s">
        <v>1869</v>
      </c>
      <c r="AP182" s="195" t="s">
        <v>1870</v>
      </c>
      <c r="AQ182" s="195" t="s">
        <v>421</v>
      </c>
      <c r="AR182" s="220" t="s">
        <v>1431</v>
      </c>
      <c r="AS182" s="195" t="s">
        <v>308</v>
      </c>
      <c r="AT182" s="199"/>
      <c r="AU182" s="202" t="s">
        <v>1871</v>
      </c>
      <c r="AV182" s="195" t="s">
        <v>1556</v>
      </c>
      <c r="AW182" s="195" t="str">
        <f ca="1">IFERROR(__xludf.DUMMYFUNCTION("IF(AND(IF(AS182=""Yes"",True,False),NOT(IFERROR(REGEXMATCH(AV182,ExclusionCategories),FALSE))),""Yes"", ""No"")"),"Yes")</f>
        <v>Yes</v>
      </c>
      <c r="AX182" s="195">
        <f ca="1">IFERROR(__xludf.DUMMYFUNCTION("IF(IFERROR(SEARCH(""Unclear"", Z182)) = 1, VALUE(REGEXEXTRACT(Z182,""\d+"")), Z182)"),93)</f>
        <v>93</v>
      </c>
      <c r="AY182" s="195">
        <v>93</v>
      </c>
      <c r="AZ182" s="195">
        <f ca="1">IFERROR(__xludf.DUMMYFUNCTION("IF(IFERROR(SEARCH(""Unclear"", AG182)) = 1, VALUE(REGEXEXTRACT(AG182,""\d+"")), AG182)"),58)</f>
        <v>58</v>
      </c>
      <c r="BA182" s="195">
        <v>112</v>
      </c>
      <c r="BB182" s="195" t="str">
        <f ca="1">IFERROR(__xludf.DUMMYFUNCTION("IF(IFERROR(SEARCH(""Unclear"", AJ182)) = 1, VALUE(REGEXEXTRACT(AJ182,""\d+"")), AJ182)"),"ND")</f>
        <v>ND</v>
      </c>
      <c r="BC182" s="195" t="s">
        <v>324</v>
      </c>
      <c r="BD182" s="195" t="b">
        <f t="shared" si="2"/>
        <v>1</v>
      </c>
      <c r="BE182" s="195" t="b">
        <f t="shared" ref="BE182:BF182" si="192">IF(IFERROR(FIND("ND",AI182),0),FALSE,TRUE)</f>
        <v>1</v>
      </c>
      <c r="BF182" s="195" t="b">
        <f t="shared" si="192"/>
        <v>0</v>
      </c>
    </row>
    <row r="183" spans="1:58" ht="37.5" customHeight="1">
      <c r="A183" s="218" t="s">
        <v>1835</v>
      </c>
      <c r="B183" s="241">
        <v>1994</v>
      </c>
      <c r="C183" s="195" t="s">
        <v>457</v>
      </c>
      <c r="D183" s="4" t="s">
        <v>1884</v>
      </c>
      <c r="E183" s="239">
        <v>8067760</v>
      </c>
      <c r="F183" s="230" t="str">
        <f t="shared" si="137"/>
        <v>https://pubmed.ncbi.nlm.nih.gov/8067760</v>
      </c>
      <c r="G183" s="213" t="str">
        <f t="shared" si="89"/>
        <v>Hayden 1994</v>
      </c>
      <c r="H183" s="217">
        <v>1994</v>
      </c>
      <c r="I183" s="199"/>
      <c r="J183" s="199"/>
      <c r="K183" s="195">
        <v>34</v>
      </c>
      <c r="L183" s="4"/>
      <c r="M183" s="195">
        <v>34</v>
      </c>
      <c r="N183" s="195">
        <v>0</v>
      </c>
      <c r="O183" s="220" t="s">
        <v>324</v>
      </c>
      <c r="P183" s="220" t="s">
        <v>324</v>
      </c>
      <c r="Q183" s="220" t="s">
        <v>324</v>
      </c>
      <c r="R183" s="220">
        <v>18</v>
      </c>
      <c r="S183" s="220">
        <v>45</v>
      </c>
      <c r="T183" s="220" t="s">
        <v>1777</v>
      </c>
      <c r="U183" s="220" t="s">
        <v>324</v>
      </c>
      <c r="V183" s="220" t="s">
        <v>1885</v>
      </c>
      <c r="W183" s="199"/>
      <c r="X183" s="195">
        <v>34</v>
      </c>
      <c r="Y183" s="195" t="s">
        <v>1886</v>
      </c>
      <c r="Z183" s="195">
        <v>34</v>
      </c>
      <c r="AA183" s="195" t="s">
        <v>1887</v>
      </c>
      <c r="AB183" s="195">
        <v>0</v>
      </c>
      <c r="AC183" s="199"/>
      <c r="AD183" s="195" t="s">
        <v>322</v>
      </c>
      <c r="AE183" s="195" t="s">
        <v>1888</v>
      </c>
      <c r="AF183" s="195" t="s">
        <v>1889</v>
      </c>
      <c r="AG183" s="195" t="s">
        <v>1621</v>
      </c>
      <c r="AH183" s="195" t="s">
        <v>308</v>
      </c>
      <c r="AI183" s="195">
        <v>0</v>
      </c>
      <c r="AJ183" s="195" t="s">
        <v>324</v>
      </c>
      <c r="AK183" s="195" t="s">
        <v>499</v>
      </c>
      <c r="AL183" s="195" t="s">
        <v>322</v>
      </c>
      <c r="AM183" s="199"/>
      <c r="AN183" s="195" t="s">
        <v>1890</v>
      </c>
      <c r="AO183" s="195" t="s">
        <v>1891</v>
      </c>
      <c r="AP183" s="195" t="s">
        <v>1892</v>
      </c>
      <c r="AQ183" s="195" t="s">
        <v>324</v>
      </c>
      <c r="AR183" s="220" t="s">
        <v>1431</v>
      </c>
      <c r="AS183" s="195" t="s">
        <v>308</v>
      </c>
      <c r="AT183" s="199"/>
      <c r="AU183" s="202" t="s">
        <v>1893</v>
      </c>
      <c r="AV183" s="195" t="s">
        <v>571</v>
      </c>
      <c r="AW183" s="195" t="str">
        <f ca="1">IFERROR(__xludf.DUMMYFUNCTION("IF(AND(IF(AS183=""Yes"",True,False),NOT(IFERROR(REGEXMATCH(AV183,ExclusionCategories),FALSE))),""Yes"", ""No"")"),"Yes")</f>
        <v>Yes</v>
      </c>
      <c r="AX183" s="195">
        <f ca="1">IFERROR(__xludf.DUMMYFUNCTION("IF(IFERROR(SEARCH(""Unclear"", Z183)) = 1, VALUE(REGEXEXTRACT(Z183,""\d+"")), Z183)"),34)</f>
        <v>34</v>
      </c>
      <c r="AY183" s="195">
        <v>34</v>
      </c>
      <c r="AZ183" s="195">
        <f ca="1">IFERROR(__xludf.DUMMYFUNCTION("IF(IFERROR(SEARCH(""Unclear"", AG183)) = 1, VALUE(REGEXEXTRACT(AG183,""\d+"")), AG183)"),24)</f>
        <v>24</v>
      </c>
      <c r="BA183" s="195">
        <v>34</v>
      </c>
      <c r="BB183" s="195" t="str">
        <f ca="1">IFERROR(__xludf.DUMMYFUNCTION("IF(IFERROR(SEARCH(""Unclear"", AJ183)) = 1, VALUE(REGEXEXTRACT(AJ183,""\d+"")), AJ183)"),"ND")</f>
        <v>ND</v>
      </c>
      <c r="BC183" s="195" t="s">
        <v>324</v>
      </c>
      <c r="BD183" s="195" t="b">
        <f t="shared" si="2"/>
        <v>1</v>
      </c>
      <c r="BE183" s="195" t="b">
        <f t="shared" ref="BE183:BF183" si="193">IF(IFERROR(FIND("ND",AI183),0),FALSE,TRUE)</f>
        <v>1</v>
      </c>
      <c r="BF183" s="195" t="b">
        <f t="shared" si="193"/>
        <v>0</v>
      </c>
    </row>
    <row r="184" spans="1:58" ht="37.5" customHeight="1">
      <c r="A184" s="227" t="s">
        <v>1835</v>
      </c>
      <c r="B184" s="243">
        <v>1996</v>
      </c>
      <c r="C184" s="195" t="s">
        <v>457</v>
      </c>
      <c r="D184" s="4" t="s">
        <v>1894</v>
      </c>
      <c r="E184" s="243">
        <v>8544269</v>
      </c>
      <c r="F184" s="228" t="str">
        <f>"https://pubmed.ncbi.nlm.nih.gov/?term="&amp;E184</f>
        <v>https://pubmed.ncbi.nlm.nih.gov/?term=8544269</v>
      </c>
      <c r="G184" s="213" t="str">
        <f t="shared" si="89"/>
        <v>Hayden 1996</v>
      </c>
      <c r="H184" s="217">
        <v>1996</v>
      </c>
      <c r="I184" s="199"/>
      <c r="J184" s="199"/>
      <c r="K184" s="195">
        <v>166</v>
      </c>
      <c r="L184" s="4"/>
      <c r="M184" s="195">
        <v>125</v>
      </c>
      <c r="N184" s="195">
        <v>41</v>
      </c>
      <c r="O184" s="220">
        <v>21</v>
      </c>
      <c r="P184" s="220">
        <v>18</v>
      </c>
      <c r="Q184" s="220">
        <v>41</v>
      </c>
      <c r="R184" s="220" t="s">
        <v>324</v>
      </c>
      <c r="S184" s="220" t="s">
        <v>324</v>
      </c>
      <c r="T184" s="220" t="s">
        <v>324</v>
      </c>
      <c r="U184" s="220" t="s">
        <v>324</v>
      </c>
      <c r="V184" s="220" t="s">
        <v>1895</v>
      </c>
      <c r="W184" s="199"/>
      <c r="X184" s="195">
        <v>166</v>
      </c>
      <c r="Y184" s="195" t="s">
        <v>1896</v>
      </c>
      <c r="Z184" s="195">
        <v>101</v>
      </c>
      <c r="AA184" s="195" t="s">
        <v>1897</v>
      </c>
      <c r="AB184" s="195">
        <v>0</v>
      </c>
      <c r="AC184" s="199"/>
      <c r="AD184" s="195" t="s">
        <v>322</v>
      </c>
      <c r="AE184" s="195" t="s">
        <v>1888</v>
      </c>
      <c r="AF184" s="195" t="s">
        <v>1472</v>
      </c>
      <c r="AG184" s="195" t="s">
        <v>324</v>
      </c>
      <c r="AH184" s="195" t="s">
        <v>316</v>
      </c>
      <c r="AI184" s="195">
        <v>0</v>
      </c>
      <c r="AJ184" s="195" t="s">
        <v>324</v>
      </c>
      <c r="AK184" s="195" t="s">
        <v>499</v>
      </c>
      <c r="AL184" s="195" t="s">
        <v>322</v>
      </c>
      <c r="AM184" s="199"/>
      <c r="AN184" s="195" t="s">
        <v>1898</v>
      </c>
      <c r="AO184" s="195" t="s">
        <v>1899</v>
      </c>
      <c r="AP184" s="195" t="s">
        <v>1900</v>
      </c>
      <c r="AQ184" s="195" t="s">
        <v>1901</v>
      </c>
      <c r="AR184" s="220" t="s">
        <v>1431</v>
      </c>
      <c r="AS184" s="195" t="s">
        <v>308</v>
      </c>
      <c r="AT184" s="199"/>
      <c r="AU184" s="195" t="s">
        <v>1902</v>
      </c>
      <c r="AV184" s="195" t="s">
        <v>501</v>
      </c>
      <c r="AW184" s="195" t="str">
        <f ca="1">IFERROR(__xludf.DUMMYFUNCTION("IF(AND(IF(AS184=""Yes"",True,False),NOT(IFERROR(REGEXMATCH(AV184,ExclusionCategories),FALSE))),""Yes"", ""No"")"),"Yes")</f>
        <v>Yes</v>
      </c>
      <c r="AX184" s="195">
        <f ca="1">IFERROR(__xludf.DUMMYFUNCTION("IF(IFERROR(SEARCH(""Unclear"", Z184)) = 1, VALUE(REGEXEXTRACT(Z184,""\d+"")), Z184)"),101)</f>
        <v>101</v>
      </c>
      <c r="AY184" s="195">
        <v>101</v>
      </c>
      <c r="AZ184" s="195" t="str">
        <f ca="1">IFERROR(__xludf.DUMMYFUNCTION("IF(IFERROR(SEARCH(""Unclear"", AG184)) = 1, VALUE(REGEXEXTRACT(AG184,""\d+"")), AG184)"),"ND")</f>
        <v>ND</v>
      </c>
      <c r="BA184" s="195" t="s">
        <v>324</v>
      </c>
      <c r="BB184" s="195" t="str">
        <f ca="1">IFERROR(__xludf.DUMMYFUNCTION("IF(IFERROR(SEARCH(""Unclear"", AJ184)) = 1, VALUE(REGEXEXTRACT(AJ184,""\d+"")), AJ184)"),"ND")</f>
        <v>ND</v>
      </c>
      <c r="BC184" s="195" t="s">
        <v>324</v>
      </c>
      <c r="BD184" s="195" t="b">
        <f t="shared" si="2"/>
        <v>0</v>
      </c>
      <c r="BE184" s="195" t="b">
        <f t="shared" ref="BE184:BF184" si="194">IF(IFERROR(FIND("ND",AI184),0),FALSE,TRUE)</f>
        <v>1</v>
      </c>
      <c r="BF184" s="195" t="b">
        <f t="shared" si="194"/>
        <v>0</v>
      </c>
    </row>
    <row r="185" spans="1:58" ht="37.5" customHeight="1">
      <c r="A185" s="218" t="s">
        <v>1835</v>
      </c>
      <c r="B185" s="241">
        <v>1999</v>
      </c>
      <c r="C185" s="195" t="s">
        <v>457</v>
      </c>
      <c r="D185" s="4" t="s">
        <v>1516</v>
      </c>
      <c r="E185" s="239">
        <v>10517426</v>
      </c>
      <c r="F185" s="230" t="str">
        <f t="shared" ref="F185:F206" si="195">"https://pubmed.ncbi.nlm.nih.gov/"&amp;E185</f>
        <v>https://pubmed.ncbi.nlm.nih.gov/10517426</v>
      </c>
      <c r="G185" s="213" t="str">
        <f t="shared" si="89"/>
        <v>Hayden 1999</v>
      </c>
      <c r="H185" s="195">
        <v>1997</v>
      </c>
      <c r="I185" s="199"/>
      <c r="J185" s="199"/>
      <c r="K185" s="195">
        <v>37</v>
      </c>
      <c r="L185" s="4" t="s">
        <v>1903</v>
      </c>
      <c r="M185" s="195" t="s">
        <v>324</v>
      </c>
      <c r="N185" s="195" t="s">
        <v>324</v>
      </c>
      <c r="O185" s="220" t="s">
        <v>1904</v>
      </c>
      <c r="P185" s="220" t="s">
        <v>1905</v>
      </c>
      <c r="Q185" s="220" t="s">
        <v>1906</v>
      </c>
      <c r="R185" s="220">
        <v>18</v>
      </c>
      <c r="S185" s="220">
        <v>40</v>
      </c>
      <c r="T185" s="220" t="s">
        <v>324</v>
      </c>
      <c r="U185" s="220" t="s">
        <v>324</v>
      </c>
      <c r="V185" s="220" t="s">
        <v>1907</v>
      </c>
      <c r="W185" s="199"/>
      <c r="X185" s="195">
        <v>37</v>
      </c>
      <c r="Y185" s="195" t="s">
        <v>1908</v>
      </c>
      <c r="Z185" s="195">
        <v>16</v>
      </c>
      <c r="AA185" s="195" t="s">
        <v>1909</v>
      </c>
      <c r="AB185" s="195">
        <v>0</v>
      </c>
      <c r="AC185" s="199"/>
      <c r="AD185" s="195" t="s">
        <v>322</v>
      </c>
      <c r="AE185" s="195" t="s">
        <v>1910</v>
      </c>
      <c r="AF185" s="195" t="s">
        <v>1472</v>
      </c>
      <c r="AG185" s="195" t="s">
        <v>324</v>
      </c>
      <c r="AH185" s="195" t="s">
        <v>308</v>
      </c>
      <c r="AI185" s="195">
        <v>0</v>
      </c>
      <c r="AJ185" s="195" t="s">
        <v>324</v>
      </c>
      <c r="AK185" s="195" t="s">
        <v>499</v>
      </c>
      <c r="AL185" s="195" t="s">
        <v>322</v>
      </c>
      <c r="AM185" s="199"/>
      <c r="AN185" s="195" t="s">
        <v>1911</v>
      </c>
      <c r="AO185" s="195" t="s">
        <v>1912</v>
      </c>
      <c r="AP185" s="195" t="s">
        <v>1913</v>
      </c>
      <c r="AQ185" s="195" t="s">
        <v>1914</v>
      </c>
      <c r="AR185" s="220" t="s">
        <v>1431</v>
      </c>
      <c r="AS185" s="195" t="s">
        <v>316</v>
      </c>
      <c r="AT185" s="199"/>
      <c r="AU185" s="202" t="s">
        <v>1915</v>
      </c>
      <c r="AV185" s="195" t="s">
        <v>1916</v>
      </c>
      <c r="AW185" s="195" t="str">
        <f ca="1">IFERROR(__xludf.DUMMYFUNCTION("IF(AND(IF(AS185=""Yes"",True,False),NOT(IFERROR(REGEXMATCH(AV185,ExclusionCategories),FALSE))),""Yes"", ""No"")"),"No")</f>
        <v>No</v>
      </c>
      <c r="AX185" s="195">
        <f ca="1">IFERROR(__xludf.DUMMYFUNCTION("IF(IFERROR(SEARCH(""Unclear"", Z185)) = 1, VALUE(REGEXEXTRACT(Z185,""\d+"")), Z185)"),16)</f>
        <v>16</v>
      </c>
      <c r="AY185" s="195">
        <v>16</v>
      </c>
      <c r="AZ185" s="195" t="str">
        <f ca="1">IFERROR(__xludf.DUMMYFUNCTION("IF(IFERROR(SEARCH(""Unclear"", AG185)) = 1, VALUE(REGEXEXTRACT(AG185,""\d+"")), AG185)"),"ND")</f>
        <v>ND</v>
      </c>
      <c r="BA185" s="195" t="s">
        <v>324</v>
      </c>
      <c r="BB185" s="195" t="str">
        <f ca="1">IFERROR(__xludf.DUMMYFUNCTION("IF(IFERROR(SEARCH(""Unclear"", AJ185)) = 1, VALUE(REGEXEXTRACT(AJ185,""\d+"")), AJ185)"),"ND")</f>
        <v>ND</v>
      </c>
      <c r="BC185" s="195" t="s">
        <v>324</v>
      </c>
      <c r="BD185" s="195" t="b">
        <f t="shared" si="2"/>
        <v>0</v>
      </c>
      <c r="BE185" s="195" t="b">
        <f t="shared" ref="BE185:BF185" si="196">IF(IFERROR(FIND("ND",AI185),0),FALSE,TRUE)</f>
        <v>1</v>
      </c>
      <c r="BF185" s="195" t="b">
        <f t="shared" si="196"/>
        <v>0</v>
      </c>
    </row>
    <row r="186" spans="1:58" ht="37.5" customHeight="1">
      <c r="A186" s="218" t="s">
        <v>1835</v>
      </c>
      <c r="B186" s="241">
        <v>1999</v>
      </c>
      <c r="C186" s="195" t="s">
        <v>457</v>
      </c>
      <c r="D186" s="4" t="s">
        <v>1516</v>
      </c>
      <c r="E186" s="239">
        <v>10517426</v>
      </c>
      <c r="F186" s="230" t="str">
        <f t="shared" si="195"/>
        <v>https://pubmed.ncbi.nlm.nih.gov/10517426</v>
      </c>
      <c r="G186" s="213" t="str">
        <f t="shared" si="89"/>
        <v>Hayden 1999</v>
      </c>
      <c r="H186" s="195">
        <v>1997</v>
      </c>
      <c r="I186" s="199"/>
      <c r="J186" s="199"/>
      <c r="K186" s="195">
        <v>80</v>
      </c>
      <c r="L186" s="4" t="s">
        <v>1879</v>
      </c>
      <c r="M186" s="195" t="s">
        <v>324</v>
      </c>
      <c r="N186" s="195" t="s">
        <v>324</v>
      </c>
      <c r="O186" s="220" t="s">
        <v>1904</v>
      </c>
      <c r="P186" s="220" t="s">
        <v>1905</v>
      </c>
      <c r="Q186" s="220" t="s">
        <v>1906</v>
      </c>
      <c r="R186" s="220">
        <v>18</v>
      </c>
      <c r="S186" s="220">
        <v>40</v>
      </c>
      <c r="T186" s="220" t="s">
        <v>324</v>
      </c>
      <c r="U186" s="220" t="s">
        <v>324</v>
      </c>
      <c r="V186" s="220" t="s">
        <v>1907</v>
      </c>
      <c r="W186" s="199"/>
      <c r="X186" s="195">
        <v>80</v>
      </c>
      <c r="Y186" s="195" t="s">
        <v>1917</v>
      </c>
      <c r="Z186" s="195">
        <v>69</v>
      </c>
      <c r="AA186" s="195" t="s">
        <v>1918</v>
      </c>
      <c r="AB186" s="195">
        <v>0</v>
      </c>
      <c r="AC186" s="199"/>
      <c r="AD186" s="195" t="s">
        <v>322</v>
      </c>
      <c r="AE186" s="195" t="s">
        <v>1910</v>
      </c>
      <c r="AF186" s="195" t="s">
        <v>1472</v>
      </c>
      <c r="AG186" s="195" t="s">
        <v>324</v>
      </c>
      <c r="AH186" s="195" t="s">
        <v>308</v>
      </c>
      <c r="AI186" s="195">
        <v>0</v>
      </c>
      <c r="AJ186" s="195" t="s">
        <v>324</v>
      </c>
      <c r="AK186" s="195" t="s">
        <v>499</v>
      </c>
      <c r="AL186" s="195" t="s">
        <v>322</v>
      </c>
      <c r="AM186" s="199"/>
      <c r="AN186" s="195" t="s">
        <v>1919</v>
      </c>
      <c r="AO186" s="195" t="s">
        <v>1912</v>
      </c>
      <c r="AP186" s="195" t="s">
        <v>1913</v>
      </c>
      <c r="AQ186" s="195" t="s">
        <v>1914</v>
      </c>
      <c r="AR186" s="220" t="s">
        <v>1431</v>
      </c>
      <c r="AS186" s="195" t="s">
        <v>316</v>
      </c>
      <c r="AT186" s="199"/>
      <c r="AU186" s="202" t="s">
        <v>1915</v>
      </c>
      <c r="AV186" s="195" t="s">
        <v>1916</v>
      </c>
      <c r="AW186" s="195" t="str">
        <f ca="1">IFERROR(__xludf.DUMMYFUNCTION("IF(AND(IF(AS186=""Yes"",True,False),NOT(IFERROR(REGEXMATCH(AV186,ExclusionCategories),FALSE))),""Yes"", ""No"")"),"No")</f>
        <v>No</v>
      </c>
      <c r="AX186" s="195">
        <f ca="1">IFERROR(__xludf.DUMMYFUNCTION("IF(IFERROR(SEARCH(""Unclear"", Z186)) = 1, VALUE(REGEXEXTRACT(Z186,""\d+"")), Z186)"),69)</f>
        <v>69</v>
      </c>
      <c r="AY186" s="195">
        <v>69</v>
      </c>
      <c r="AZ186" s="195" t="str">
        <f ca="1">IFERROR(__xludf.DUMMYFUNCTION("IF(IFERROR(SEARCH(""Unclear"", AG186)) = 1, VALUE(REGEXEXTRACT(AG186,""\d+"")), AG186)"),"ND")</f>
        <v>ND</v>
      </c>
      <c r="BA186" s="195" t="s">
        <v>324</v>
      </c>
      <c r="BB186" s="195" t="str">
        <f ca="1">IFERROR(__xludf.DUMMYFUNCTION("IF(IFERROR(SEARCH(""Unclear"", AJ186)) = 1, VALUE(REGEXEXTRACT(AJ186,""\d+"")), AJ186)"),"ND")</f>
        <v>ND</v>
      </c>
      <c r="BC186" s="195" t="s">
        <v>324</v>
      </c>
      <c r="BD186" s="195" t="b">
        <f t="shared" si="2"/>
        <v>0</v>
      </c>
      <c r="BE186" s="195" t="b">
        <f t="shared" ref="BE186:BF186" si="197">IF(IFERROR(FIND("ND",AI186),0),FALSE,TRUE)</f>
        <v>1</v>
      </c>
      <c r="BF186" s="195" t="b">
        <f t="shared" si="197"/>
        <v>0</v>
      </c>
    </row>
    <row r="187" spans="1:58" ht="37.5" customHeight="1">
      <c r="A187" s="218" t="s">
        <v>1835</v>
      </c>
      <c r="B187" s="241">
        <v>1999</v>
      </c>
      <c r="C187" s="195" t="s">
        <v>457</v>
      </c>
      <c r="D187" s="4" t="s">
        <v>1516</v>
      </c>
      <c r="E187" s="239">
        <v>10517426</v>
      </c>
      <c r="F187" s="230" t="str">
        <f t="shared" si="195"/>
        <v>https://pubmed.ncbi.nlm.nih.gov/10517426</v>
      </c>
      <c r="G187" s="213" t="str">
        <f t="shared" si="89"/>
        <v>Hayden 1999</v>
      </c>
      <c r="H187" s="195">
        <v>1997</v>
      </c>
      <c r="I187" s="199"/>
      <c r="J187" s="199"/>
      <c r="K187" s="195">
        <v>117</v>
      </c>
      <c r="L187" s="4" t="s">
        <v>1858</v>
      </c>
      <c r="M187" s="195" t="s">
        <v>324</v>
      </c>
      <c r="N187" s="195" t="s">
        <v>324</v>
      </c>
      <c r="O187" s="220">
        <v>21</v>
      </c>
      <c r="P187" s="220">
        <v>18</v>
      </c>
      <c r="Q187" s="220">
        <v>40</v>
      </c>
      <c r="R187" s="220">
        <v>18</v>
      </c>
      <c r="S187" s="220">
        <v>40</v>
      </c>
      <c r="T187" s="220" t="s">
        <v>324</v>
      </c>
      <c r="U187" s="220" t="s">
        <v>324</v>
      </c>
      <c r="V187" s="220" t="s">
        <v>1907</v>
      </c>
      <c r="W187" s="199"/>
      <c r="X187" s="195">
        <v>117</v>
      </c>
      <c r="Y187" s="195"/>
      <c r="Z187" s="195">
        <v>85</v>
      </c>
      <c r="AA187" s="195"/>
      <c r="AB187" s="195">
        <v>0</v>
      </c>
      <c r="AC187" s="199"/>
      <c r="AD187" s="195" t="s">
        <v>322</v>
      </c>
      <c r="AE187" s="195" t="s">
        <v>1910</v>
      </c>
      <c r="AF187" s="195" t="s">
        <v>1472</v>
      </c>
      <c r="AG187" s="195" t="s">
        <v>324</v>
      </c>
      <c r="AH187" s="195" t="s">
        <v>308</v>
      </c>
      <c r="AI187" s="195">
        <v>0</v>
      </c>
      <c r="AJ187" s="195" t="s">
        <v>324</v>
      </c>
      <c r="AK187" s="195" t="s">
        <v>499</v>
      </c>
      <c r="AL187" s="195" t="s">
        <v>322</v>
      </c>
      <c r="AM187" s="199"/>
      <c r="AN187" s="195" t="s">
        <v>1920</v>
      </c>
      <c r="AO187" s="195" t="s">
        <v>1912</v>
      </c>
      <c r="AP187" s="195" t="s">
        <v>1913</v>
      </c>
      <c r="AQ187" s="195" t="s">
        <v>1914</v>
      </c>
      <c r="AR187" s="220" t="s">
        <v>1431</v>
      </c>
      <c r="AS187" s="195" t="s">
        <v>308</v>
      </c>
      <c r="AT187" s="199"/>
      <c r="AU187" s="202" t="s">
        <v>1915</v>
      </c>
      <c r="AV187" s="195" t="s">
        <v>1921</v>
      </c>
      <c r="AW187" s="195" t="str">
        <f ca="1">IFERROR(__xludf.DUMMYFUNCTION("IF(AND(IF(AS187=""Yes"",True,False),NOT(IFERROR(REGEXMATCH(AV187,ExclusionCategories),FALSE))),""Yes"", ""No"")"),"Yes")</f>
        <v>Yes</v>
      </c>
      <c r="AX187" s="195">
        <f ca="1">IFERROR(__xludf.DUMMYFUNCTION("IF(IFERROR(SEARCH(""Unclear"", Z187)) = 1, VALUE(REGEXEXTRACT(Z187,""\d+"")), Z187)"),85)</f>
        <v>85</v>
      </c>
      <c r="AY187" s="195">
        <v>85</v>
      </c>
      <c r="AZ187" s="195" t="str">
        <f ca="1">IFERROR(__xludf.DUMMYFUNCTION("IF(IFERROR(SEARCH(""Unclear"", AG187)) = 1, VALUE(REGEXEXTRACT(AG187,""\d+"")), AG187)"),"ND")</f>
        <v>ND</v>
      </c>
      <c r="BA187" s="195" t="s">
        <v>324</v>
      </c>
      <c r="BB187" s="195" t="str">
        <f ca="1">IFERROR(__xludf.DUMMYFUNCTION("IF(IFERROR(SEARCH(""Unclear"", AJ187)) = 1, VALUE(REGEXEXTRACT(AJ187,""\d+"")), AJ187)"),"ND")</f>
        <v>ND</v>
      </c>
      <c r="BC187" s="195" t="s">
        <v>324</v>
      </c>
      <c r="BD187" s="195" t="b">
        <f t="shared" si="2"/>
        <v>0</v>
      </c>
      <c r="BE187" s="195" t="b">
        <f t="shared" ref="BE187:BF187" si="198">IF(IFERROR(FIND("ND",AI187),0),FALSE,TRUE)</f>
        <v>1</v>
      </c>
      <c r="BF187" s="195" t="b">
        <f t="shared" si="198"/>
        <v>0</v>
      </c>
    </row>
    <row r="188" spans="1:58" ht="37.5" customHeight="1">
      <c r="A188" s="218" t="s">
        <v>1922</v>
      </c>
      <c r="B188" s="241">
        <v>1990</v>
      </c>
      <c r="C188" s="195" t="s">
        <v>605</v>
      </c>
      <c r="D188" s="4" t="s">
        <v>1923</v>
      </c>
      <c r="E188" s="239">
        <v>2204243</v>
      </c>
      <c r="F188" s="230" t="str">
        <f t="shared" si="195"/>
        <v>https://pubmed.ncbi.nlm.nih.gov/2204243</v>
      </c>
      <c r="G188" s="213" t="str">
        <f t="shared" si="89"/>
        <v>Herrington 1990b</v>
      </c>
      <c r="H188" s="217">
        <v>1990</v>
      </c>
      <c r="I188" s="199"/>
      <c r="J188" s="199"/>
      <c r="K188" s="195">
        <v>84</v>
      </c>
      <c r="L188" s="4" t="s">
        <v>1924</v>
      </c>
      <c r="M188" s="195" t="s">
        <v>324</v>
      </c>
      <c r="N188" s="195" t="s">
        <v>324</v>
      </c>
      <c r="O188" s="220" t="s">
        <v>324</v>
      </c>
      <c r="P188" s="220" t="s">
        <v>324</v>
      </c>
      <c r="Q188" s="220" t="s">
        <v>324</v>
      </c>
      <c r="R188" s="220">
        <v>18</v>
      </c>
      <c r="S188" s="220">
        <v>35</v>
      </c>
      <c r="T188" s="220" t="s">
        <v>324</v>
      </c>
      <c r="U188" s="220" t="s">
        <v>324</v>
      </c>
      <c r="V188" s="220" t="s">
        <v>1925</v>
      </c>
      <c r="W188" s="195" t="s">
        <v>1926</v>
      </c>
      <c r="X188" s="195">
        <v>84</v>
      </c>
      <c r="Y188" s="195" t="s">
        <v>1927</v>
      </c>
      <c r="Z188" s="195">
        <v>27</v>
      </c>
      <c r="AA188" s="195" t="s">
        <v>1928</v>
      </c>
      <c r="AB188" s="195">
        <v>0</v>
      </c>
      <c r="AC188" s="199"/>
      <c r="AD188" s="195" t="s">
        <v>322</v>
      </c>
      <c r="AE188" s="195" t="s">
        <v>1929</v>
      </c>
      <c r="AF188" s="195" t="s">
        <v>1472</v>
      </c>
      <c r="AG188" s="195" t="s">
        <v>324</v>
      </c>
      <c r="AH188" s="195" t="s">
        <v>316</v>
      </c>
      <c r="AI188" s="195" t="s">
        <v>324</v>
      </c>
      <c r="AJ188" s="195" t="s">
        <v>324</v>
      </c>
      <c r="AK188" s="195"/>
      <c r="AL188" s="195" t="s">
        <v>322</v>
      </c>
      <c r="AM188" s="199"/>
      <c r="AN188" s="195" t="s">
        <v>1930</v>
      </c>
      <c r="AO188" s="195" t="s">
        <v>1931</v>
      </c>
      <c r="AP188" s="195" t="s">
        <v>1932</v>
      </c>
      <c r="AQ188" s="195" t="s">
        <v>324</v>
      </c>
      <c r="AR188" s="220" t="s">
        <v>1431</v>
      </c>
      <c r="AS188" s="195" t="s">
        <v>316</v>
      </c>
      <c r="AT188" s="199"/>
      <c r="AU188" s="202" t="s">
        <v>1933</v>
      </c>
      <c r="AV188" s="195" t="s">
        <v>326</v>
      </c>
      <c r="AW188" s="195" t="str">
        <f ca="1">IFERROR(__xludf.DUMMYFUNCTION("IF(AND(IF(AS188=""Yes"",True,False),NOT(IFERROR(REGEXMATCH(AV188,ExclusionCategories),FALSE))),""Yes"", ""No"")"),"No")</f>
        <v>No</v>
      </c>
      <c r="AX188" s="195">
        <f ca="1">IFERROR(__xludf.DUMMYFUNCTION("IF(IFERROR(SEARCH(""Unclear"", Z188)) = 1, VALUE(REGEXEXTRACT(Z188,""\d+"")), Z188)"),27)</f>
        <v>27</v>
      </c>
      <c r="AY188" s="195">
        <v>27</v>
      </c>
      <c r="AZ188" s="195" t="str">
        <f ca="1">IFERROR(__xludf.DUMMYFUNCTION("IF(IFERROR(SEARCH(""Unclear"", AG188)) = 1, VALUE(REGEXEXTRACT(AG188,""\d+"")), AG188)"),"ND")</f>
        <v>ND</v>
      </c>
      <c r="BA188" s="195" t="s">
        <v>324</v>
      </c>
      <c r="BB188" s="195" t="str">
        <f ca="1">IFERROR(__xludf.DUMMYFUNCTION("IF(IFERROR(SEARCH(""Unclear"", AJ188)) = 1, VALUE(REGEXEXTRACT(AJ188,""\d+"")), AJ188)"),"ND")</f>
        <v>ND</v>
      </c>
      <c r="BC188" s="195" t="s">
        <v>324</v>
      </c>
      <c r="BD188" s="195" t="b">
        <f t="shared" si="2"/>
        <v>0</v>
      </c>
      <c r="BE188" s="195" t="b">
        <f t="shared" ref="BE188:BF188" si="199">IF(IFERROR(FIND("ND",AI188),0),FALSE,TRUE)</f>
        <v>0</v>
      </c>
      <c r="BF188" s="195" t="b">
        <f t="shared" si="199"/>
        <v>0</v>
      </c>
    </row>
    <row r="189" spans="1:58" ht="37.5" customHeight="1">
      <c r="A189" s="218" t="s">
        <v>1922</v>
      </c>
      <c r="B189" s="241">
        <v>1990</v>
      </c>
      <c r="C189" s="195" t="s">
        <v>605</v>
      </c>
      <c r="D189" s="4" t="s">
        <v>1923</v>
      </c>
      <c r="E189" s="239">
        <v>2204243</v>
      </c>
      <c r="F189" s="230" t="str">
        <f t="shared" si="195"/>
        <v>https://pubmed.ncbi.nlm.nih.gov/2204243</v>
      </c>
      <c r="G189" s="213" t="str">
        <f t="shared" si="89"/>
        <v>Herrington 1990b</v>
      </c>
      <c r="H189" s="217">
        <v>1990</v>
      </c>
      <c r="I189" s="199"/>
      <c r="J189" s="199"/>
      <c r="K189" s="195">
        <v>12</v>
      </c>
      <c r="L189" s="4" t="s">
        <v>1934</v>
      </c>
      <c r="M189" s="195" t="s">
        <v>324</v>
      </c>
      <c r="N189" s="195" t="s">
        <v>324</v>
      </c>
      <c r="O189" s="220" t="s">
        <v>324</v>
      </c>
      <c r="P189" s="220" t="s">
        <v>324</v>
      </c>
      <c r="Q189" s="220" t="s">
        <v>324</v>
      </c>
      <c r="R189" s="220">
        <v>18</v>
      </c>
      <c r="S189" s="220">
        <v>35</v>
      </c>
      <c r="T189" s="220" t="s">
        <v>324</v>
      </c>
      <c r="U189" s="220" t="s">
        <v>324</v>
      </c>
      <c r="V189" s="220" t="s">
        <v>1925</v>
      </c>
      <c r="W189" s="199"/>
      <c r="X189" s="195">
        <v>12</v>
      </c>
      <c r="Y189" s="195"/>
      <c r="Z189" s="195">
        <v>8</v>
      </c>
      <c r="AA189" s="195"/>
      <c r="AB189" s="195">
        <v>0</v>
      </c>
      <c r="AC189" s="199"/>
      <c r="AD189" s="195" t="s">
        <v>322</v>
      </c>
      <c r="AE189" s="195" t="s">
        <v>1929</v>
      </c>
      <c r="AF189" s="195" t="s">
        <v>1472</v>
      </c>
      <c r="AG189" s="195" t="s">
        <v>324</v>
      </c>
      <c r="AH189" s="195" t="s">
        <v>316</v>
      </c>
      <c r="AI189" s="195" t="s">
        <v>324</v>
      </c>
      <c r="AJ189" s="195" t="s">
        <v>324</v>
      </c>
      <c r="AK189" s="195"/>
      <c r="AL189" s="195" t="s">
        <v>322</v>
      </c>
      <c r="AM189" s="199"/>
      <c r="AN189" s="195" t="s">
        <v>1930</v>
      </c>
      <c r="AO189" s="195" t="s">
        <v>1931</v>
      </c>
      <c r="AP189" s="195" t="s">
        <v>1932</v>
      </c>
      <c r="AQ189" s="195" t="s">
        <v>324</v>
      </c>
      <c r="AR189" s="220" t="s">
        <v>1431</v>
      </c>
      <c r="AS189" s="195" t="s">
        <v>316</v>
      </c>
      <c r="AT189" s="199"/>
      <c r="AU189" s="202" t="s">
        <v>1933</v>
      </c>
      <c r="AV189" s="195" t="s">
        <v>326</v>
      </c>
      <c r="AW189" s="195" t="str">
        <f ca="1">IFERROR(__xludf.DUMMYFUNCTION("IF(AND(IF(AS189=""Yes"",True,False),NOT(IFERROR(REGEXMATCH(AV189,ExclusionCategories),FALSE))),""Yes"", ""No"")"),"No")</f>
        <v>No</v>
      </c>
      <c r="AX189" s="195">
        <f ca="1">IFERROR(__xludf.DUMMYFUNCTION("IF(IFERROR(SEARCH(""Unclear"", Z189)) = 1, VALUE(REGEXEXTRACT(Z189,""\d+"")), Z189)"),8)</f>
        <v>8</v>
      </c>
      <c r="AY189" s="195">
        <v>8</v>
      </c>
      <c r="AZ189" s="195" t="str">
        <f ca="1">IFERROR(__xludf.DUMMYFUNCTION("IF(IFERROR(SEARCH(""Unclear"", AG189)) = 1, VALUE(REGEXEXTRACT(AG189,""\d+"")), AG189)"),"ND")</f>
        <v>ND</v>
      </c>
      <c r="BA189" s="195" t="s">
        <v>324</v>
      </c>
      <c r="BB189" s="195" t="str">
        <f ca="1">IFERROR(__xludf.DUMMYFUNCTION("IF(IFERROR(SEARCH(""Unclear"", AJ189)) = 1, VALUE(REGEXEXTRACT(AJ189,""\d+"")), AJ189)"),"ND")</f>
        <v>ND</v>
      </c>
      <c r="BC189" s="195" t="s">
        <v>324</v>
      </c>
      <c r="BD189" s="195" t="b">
        <f t="shared" si="2"/>
        <v>0</v>
      </c>
      <c r="BE189" s="195" t="b">
        <f t="shared" ref="BE189:BF189" si="200">IF(IFERROR(FIND("ND",AI189),0),FALSE,TRUE)</f>
        <v>0</v>
      </c>
      <c r="BF189" s="195" t="b">
        <f t="shared" si="200"/>
        <v>0</v>
      </c>
    </row>
    <row r="190" spans="1:58" ht="37.5" customHeight="1">
      <c r="A190" s="209" t="s">
        <v>1922</v>
      </c>
      <c r="B190" s="245">
        <v>1990</v>
      </c>
      <c r="C190" s="195" t="s">
        <v>605</v>
      </c>
      <c r="D190" s="246" t="s">
        <v>1923</v>
      </c>
      <c r="E190" s="245">
        <v>2204243</v>
      </c>
      <c r="F190" s="247" t="str">
        <f t="shared" si="195"/>
        <v>https://pubmed.ncbi.nlm.nih.gov/2204243</v>
      </c>
      <c r="G190" s="248" t="str">
        <f t="shared" si="89"/>
        <v>Herrington 1990b</v>
      </c>
      <c r="H190" s="249">
        <v>1990</v>
      </c>
      <c r="I190" s="199"/>
      <c r="J190" s="199"/>
      <c r="K190" s="195">
        <v>96</v>
      </c>
      <c r="L190" s="4" t="s">
        <v>1935</v>
      </c>
      <c r="M190" s="195" t="s">
        <v>324</v>
      </c>
      <c r="N190" s="195" t="s">
        <v>324</v>
      </c>
      <c r="O190" s="220" t="s">
        <v>324</v>
      </c>
      <c r="P190" s="220" t="s">
        <v>324</v>
      </c>
      <c r="Q190" s="220" t="s">
        <v>324</v>
      </c>
      <c r="R190" s="220">
        <v>18</v>
      </c>
      <c r="S190" s="220">
        <v>35</v>
      </c>
      <c r="T190" s="220" t="s">
        <v>324</v>
      </c>
      <c r="U190" s="220" t="s">
        <v>324</v>
      </c>
      <c r="V190" s="220" t="s">
        <v>1925</v>
      </c>
      <c r="W190" s="199"/>
      <c r="X190" s="195">
        <v>96</v>
      </c>
      <c r="Y190" s="195"/>
      <c r="Z190" s="195">
        <v>35</v>
      </c>
      <c r="AA190" s="195"/>
      <c r="AB190" s="195">
        <v>0</v>
      </c>
      <c r="AC190" s="199"/>
      <c r="AD190" s="195" t="s">
        <v>322</v>
      </c>
      <c r="AE190" s="195" t="s">
        <v>1929</v>
      </c>
      <c r="AF190" s="195" t="s">
        <v>1472</v>
      </c>
      <c r="AG190" s="195" t="s">
        <v>324</v>
      </c>
      <c r="AH190" s="195" t="s">
        <v>316</v>
      </c>
      <c r="AI190" s="195" t="s">
        <v>324</v>
      </c>
      <c r="AJ190" s="195" t="s">
        <v>324</v>
      </c>
      <c r="AK190" s="195"/>
      <c r="AL190" s="195" t="s">
        <v>322</v>
      </c>
      <c r="AM190" s="199"/>
      <c r="AN190" s="195" t="s">
        <v>1930</v>
      </c>
      <c r="AO190" s="195" t="s">
        <v>1931</v>
      </c>
      <c r="AP190" s="195" t="s">
        <v>1932</v>
      </c>
      <c r="AQ190" s="195" t="s">
        <v>324</v>
      </c>
      <c r="AR190" s="220" t="s">
        <v>1431</v>
      </c>
      <c r="AS190" s="195" t="s">
        <v>308</v>
      </c>
      <c r="AT190" s="199"/>
      <c r="AU190" s="202" t="s">
        <v>1933</v>
      </c>
      <c r="AV190" s="195" t="s">
        <v>337</v>
      </c>
      <c r="AW190" s="195" t="str">
        <f ca="1">IFERROR(__xludf.DUMMYFUNCTION("IF(AND(IF(AS190=""Yes"",True,False),NOT(IFERROR(REGEXMATCH(AV190,ExclusionCategories),FALSE))),""Yes"", ""No"")"),"Yes")</f>
        <v>Yes</v>
      </c>
      <c r="AX190" s="195">
        <f ca="1">IFERROR(__xludf.DUMMYFUNCTION("IF(IFERROR(SEARCH(""Unclear"", Z190)) = 1, VALUE(REGEXEXTRACT(Z190,""\d+"")), Z190)"),35)</f>
        <v>35</v>
      </c>
      <c r="AY190" s="195">
        <v>35</v>
      </c>
      <c r="AZ190" s="195" t="str">
        <f ca="1">IFERROR(__xludf.DUMMYFUNCTION("IF(IFERROR(SEARCH(""Unclear"", AG190)) = 1, VALUE(REGEXEXTRACT(AG190,""\d+"")), AG190)"),"ND")</f>
        <v>ND</v>
      </c>
      <c r="BA190" s="195" t="s">
        <v>324</v>
      </c>
      <c r="BB190" s="195" t="str">
        <f ca="1">IFERROR(__xludf.DUMMYFUNCTION("IF(IFERROR(SEARCH(""Unclear"", AJ190)) = 1, VALUE(REGEXEXTRACT(AJ190,""\d+"")), AJ190)"),"ND")</f>
        <v>ND</v>
      </c>
      <c r="BC190" s="195" t="s">
        <v>324</v>
      </c>
      <c r="BD190" s="195" t="b">
        <f t="shared" si="2"/>
        <v>0</v>
      </c>
      <c r="BE190" s="195" t="b">
        <f t="shared" ref="BE190:BF190" si="201">IF(IFERROR(FIND("ND",AI190),0),FALSE,TRUE)</f>
        <v>0</v>
      </c>
      <c r="BF190" s="195" t="b">
        <f t="shared" si="201"/>
        <v>0</v>
      </c>
    </row>
    <row r="191" spans="1:58" ht="37.5" customHeight="1">
      <c r="A191" s="218" t="s">
        <v>1922</v>
      </c>
      <c r="B191" s="241">
        <v>1990</v>
      </c>
      <c r="C191" s="195" t="s">
        <v>605</v>
      </c>
      <c r="D191" s="4" t="s">
        <v>1923</v>
      </c>
      <c r="E191" s="239">
        <v>2204243</v>
      </c>
      <c r="F191" s="230" t="str">
        <f t="shared" si="195"/>
        <v>https://pubmed.ncbi.nlm.nih.gov/2204243</v>
      </c>
      <c r="G191" s="213" t="str">
        <f t="shared" si="89"/>
        <v>Herrington 1990b</v>
      </c>
      <c r="H191" s="217">
        <v>1990</v>
      </c>
      <c r="I191" s="199"/>
      <c r="J191" s="199"/>
      <c r="K191" s="195">
        <v>6</v>
      </c>
      <c r="L191" s="4" t="s">
        <v>1936</v>
      </c>
      <c r="M191" s="195" t="s">
        <v>324</v>
      </c>
      <c r="N191" s="195" t="s">
        <v>324</v>
      </c>
      <c r="O191" s="220" t="s">
        <v>324</v>
      </c>
      <c r="P191" s="220" t="s">
        <v>324</v>
      </c>
      <c r="Q191" s="220" t="s">
        <v>324</v>
      </c>
      <c r="R191" s="220">
        <v>18</v>
      </c>
      <c r="S191" s="220">
        <v>35</v>
      </c>
      <c r="T191" s="220" t="s">
        <v>324</v>
      </c>
      <c r="U191" s="220" t="s">
        <v>324</v>
      </c>
      <c r="V191" s="220" t="s">
        <v>1925</v>
      </c>
      <c r="W191" s="199"/>
      <c r="X191" s="195">
        <v>6</v>
      </c>
      <c r="Y191" s="195" t="s">
        <v>1937</v>
      </c>
      <c r="Z191" s="195">
        <v>1</v>
      </c>
      <c r="AA191" s="195"/>
      <c r="AB191" s="195">
        <v>0</v>
      </c>
      <c r="AC191" s="199"/>
      <c r="AD191" s="195" t="s">
        <v>322</v>
      </c>
      <c r="AE191" s="195" t="s">
        <v>1929</v>
      </c>
      <c r="AF191" s="195" t="s">
        <v>1472</v>
      </c>
      <c r="AG191" s="195" t="s">
        <v>324</v>
      </c>
      <c r="AH191" s="195" t="s">
        <v>316</v>
      </c>
      <c r="AI191" s="195" t="s">
        <v>324</v>
      </c>
      <c r="AJ191" s="195" t="s">
        <v>324</v>
      </c>
      <c r="AK191" s="195"/>
      <c r="AL191" s="195" t="s">
        <v>322</v>
      </c>
      <c r="AM191" s="199"/>
      <c r="AN191" s="195" t="s">
        <v>1930</v>
      </c>
      <c r="AO191" s="195" t="s">
        <v>1931</v>
      </c>
      <c r="AP191" s="195" t="s">
        <v>1932</v>
      </c>
      <c r="AQ191" s="195" t="s">
        <v>324</v>
      </c>
      <c r="AR191" s="220" t="s">
        <v>1431</v>
      </c>
      <c r="AS191" s="195" t="s">
        <v>308</v>
      </c>
      <c r="AT191" s="199"/>
      <c r="AU191" s="202" t="s">
        <v>1933</v>
      </c>
      <c r="AV191" s="195" t="s">
        <v>15</v>
      </c>
      <c r="AW191" s="195" t="str">
        <f ca="1">IFERROR(__xludf.DUMMYFUNCTION("IF(AND(IF(AS191=""Yes"",True,False),NOT(IFERROR(REGEXMATCH(AV191,ExclusionCategories),FALSE))),""Yes"", ""No"")"),"No")</f>
        <v>No</v>
      </c>
      <c r="AX191" s="195">
        <f ca="1">IFERROR(__xludf.DUMMYFUNCTION("IF(IFERROR(SEARCH(""Unclear"", Z191)) = 1, VALUE(REGEXEXTRACT(Z191,""\d+"")), Z191)"),1)</f>
        <v>1</v>
      </c>
      <c r="AY191" s="195">
        <v>1</v>
      </c>
      <c r="AZ191" s="195" t="str">
        <f ca="1">IFERROR(__xludf.DUMMYFUNCTION("IF(IFERROR(SEARCH(""Unclear"", AG191)) = 1, VALUE(REGEXEXTRACT(AG191,""\d+"")), AG191)"),"ND")</f>
        <v>ND</v>
      </c>
      <c r="BA191" s="195" t="s">
        <v>324</v>
      </c>
      <c r="BB191" s="195" t="str">
        <f ca="1">IFERROR(__xludf.DUMMYFUNCTION("IF(IFERROR(SEARCH(""Unclear"", AJ191)) = 1, VALUE(REGEXEXTRACT(AJ191,""\d+"")), AJ191)"),"ND")</f>
        <v>ND</v>
      </c>
      <c r="BC191" s="195" t="s">
        <v>324</v>
      </c>
      <c r="BD191" s="195" t="b">
        <f t="shared" si="2"/>
        <v>0</v>
      </c>
      <c r="BE191" s="195" t="b">
        <f t="shared" ref="BE191:BF191" si="202">IF(IFERROR(FIND("ND",AI191),0),FALSE,TRUE)</f>
        <v>0</v>
      </c>
      <c r="BF191" s="195" t="b">
        <f t="shared" si="202"/>
        <v>0</v>
      </c>
    </row>
    <row r="192" spans="1:58" ht="38.25" customHeight="1">
      <c r="A192" s="218" t="s">
        <v>1938</v>
      </c>
      <c r="B192" s="241">
        <v>1988</v>
      </c>
      <c r="C192" s="195" t="s">
        <v>441</v>
      </c>
      <c r="D192" s="4" t="s">
        <v>1939</v>
      </c>
      <c r="E192" s="239">
        <v>2853194</v>
      </c>
      <c r="F192" s="230" t="str">
        <f t="shared" si="195"/>
        <v>https://pubmed.ncbi.nlm.nih.gov/2853194</v>
      </c>
      <c r="G192" s="213" t="str">
        <f t="shared" si="89"/>
        <v>Higgins 1988</v>
      </c>
      <c r="H192" s="217">
        <v>1988</v>
      </c>
      <c r="I192" s="199"/>
      <c r="J192" s="199"/>
      <c r="K192" s="195">
        <v>43</v>
      </c>
      <c r="L192" s="4" t="s">
        <v>1940</v>
      </c>
      <c r="M192" s="195">
        <v>13</v>
      </c>
      <c r="N192" s="195">
        <v>21</v>
      </c>
      <c r="O192" s="195" t="s">
        <v>324</v>
      </c>
      <c r="P192" s="195" t="s">
        <v>324</v>
      </c>
      <c r="Q192" s="195" t="s">
        <v>324</v>
      </c>
      <c r="R192" s="195" t="s">
        <v>324</v>
      </c>
      <c r="S192" s="195" t="s">
        <v>324</v>
      </c>
      <c r="T192" s="195">
        <v>34.35</v>
      </c>
      <c r="U192" s="195" t="s">
        <v>507</v>
      </c>
      <c r="V192" s="195" t="s">
        <v>1941</v>
      </c>
      <c r="W192" s="195" t="s">
        <v>1942</v>
      </c>
      <c r="X192" s="195">
        <v>35</v>
      </c>
      <c r="Y192" s="195" t="s">
        <v>1943</v>
      </c>
      <c r="Z192" s="195">
        <v>29</v>
      </c>
      <c r="AA192" s="195" t="s">
        <v>1944</v>
      </c>
      <c r="AB192" s="195">
        <v>8</v>
      </c>
      <c r="AC192" s="195" t="s">
        <v>1945</v>
      </c>
      <c r="AD192" s="195">
        <v>0</v>
      </c>
      <c r="AE192" s="195" t="s">
        <v>1946</v>
      </c>
      <c r="AF192" s="195" t="s">
        <v>1440</v>
      </c>
      <c r="AG192" s="195">
        <v>16</v>
      </c>
      <c r="AH192" s="195" t="s">
        <v>308</v>
      </c>
      <c r="AI192" s="195">
        <v>0</v>
      </c>
      <c r="AJ192" s="195" t="s">
        <v>394</v>
      </c>
      <c r="AK192" s="195" t="s">
        <v>499</v>
      </c>
      <c r="AL192" s="195">
        <v>0</v>
      </c>
      <c r="AM192" s="195" t="s">
        <v>1947</v>
      </c>
      <c r="AN192" s="195" t="s">
        <v>1948</v>
      </c>
      <c r="AO192" s="195" t="s">
        <v>1949</v>
      </c>
      <c r="AP192" s="195" t="s">
        <v>1950</v>
      </c>
      <c r="AQ192" s="195" t="s">
        <v>1951</v>
      </c>
      <c r="AR192" s="220" t="s">
        <v>1431</v>
      </c>
      <c r="AS192" s="195" t="s">
        <v>308</v>
      </c>
      <c r="AT192" s="199"/>
      <c r="AU192" s="202" t="s">
        <v>1952</v>
      </c>
      <c r="AV192" s="195" t="s">
        <v>571</v>
      </c>
      <c r="AW192" s="195" t="str">
        <f ca="1">IFERROR(__xludf.DUMMYFUNCTION("IF(AND(IF(AS192=""Yes"",True,False),NOT(IFERROR(REGEXMATCH(AV192,ExclusionCategories),FALSE))),""Yes"", ""No"")"),"Yes")</f>
        <v>Yes</v>
      </c>
      <c r="AX192" s="195">
        <f ca="1">IFERROR(__xludf.DUMMYFUNCTION("IF(IFERROR(SEARCH(""Unclear"", Z192)) = 1, VALUE(REGEXEXTRACT(Z192,""\d+"")), Z192)"),29)</f>
        <v>29</v>
      </c>
      <c r="AY192" s="195">
        <v>29</v>
      </c>
      <c r="AZ192" s="195">
        <f ca="1">IFERROR(__xludf.DUMMYFUNCTION("IF(IFERROR(SEARCH(""Unclear"", AG192)) = 1, VALUE(REGEXEXTRACT(AG192,""\d+"")), AG192)"),16)</f>
        <v>16</v>
      </c>
      <c r="BA192" s="195">
        <v>16</v>
      </c>
      <c r="BB192" s="195">
        <f ca="1">IFERROR(__xludf.DUMMYFUNCTION("IF(IFERROR(SEARCH(""Unclear"", AJ192)) = 1, VALUE(REGEXEXTRACT(AJ192,""\d+"")), AJ192)"),0)</f>
        <v>0</v>
      </c>
      <c r="BC192" s="195">
        <v>16</v>
      </c>
      <c r="BD192" s="195" t="b">
        <f t="shared" si="2"/>
        <v>1</v>
      </c>
      <c r="BE192" s="195" t="b">
        <f t="shared" ref="BE192:BF192" si="203">IF(IFERROR(FIND("ND",AI192),0),FALSE,TRUE)</f>
        <v>1</v>
      </c>
      <c r="BF192" s="195" t="b">
        <f t="shared" si="203"/>
        <v>1</v>
      </c>
    </row>
    <row r="193" spans="1:58" ht="38.25" customHeight="1">
      <c r="A193" s="195" t="s">
        <v>1953</v>
      </c>
      <c r="B193" s="195">
        <v>1982</v>
      </c>
      <c r="C193" s="195" t="s">
        <v>457</v>
      </c>
      <c r="D193" s="4" t="s">
        <v>1954</v>
      </c>
      <c r="E193" s="239">
        <v>6750006</v>
      </c>
      <c r="F193" s="230" t="str">
        <f t="shared" si="195"/>
        <v>https://pubmed.ncbi.nlm.nih.gov/6750006</v>
      </c>
      <c r="G193" s="213" t="str">
        <f t="shared" si="89"/>
        <v>Hobbins 1982</v>
      </c>
      <c r="H193" s="217">
        <v>1982</v>
      </c>
      <c r="I193" s="199"/>
      <c r="J193" s="199"/>
      <c r="K193" s="195">
        <v>6</v>
      </c>
      <c r="L193" s="4" t="s">
        <v>1955</v>
      </c>
      <c r="M193" s="195" t="s">
        <v>324</v>
      </c>
      <c r="N193" s="195" t="s">
        <v>324</v>
      </c>
      <c r="O193" s="195" t="s">
        <v>324</v>
      </c>
      <c r="P193" s="195" t="s">
        <v>324</v>
      </c>
      <c r="Q193" s="195" t="s">
        <v>324</v>
      </c>
      <c r="R193" s="195" t="s">
        <v>324</v>
      </c>
      <c r="S193" s="195" t="s">
        <v>324</v>
      </c>
      <c r="T193" s="195" t="s">
        <v>324</v>
      </c>
      <c r="U193" s="195" t="s">
        <v>324</v>
      </c>
      <c r="V193" s="195" t="s">
        <v>1956</v>
      </c>
      <c r="W193" s="199"/>
      <c r="X193" s="195">
        <v>6</v>
      </c>
      <c r="Y193" s="199"/>
      <c r="Z193" s="195">
        <v>6</v>
      </c>
      <c r="AA193" s="199"/>
      <c r="AB193" s="195">
        <v>0</v>
      </c>
      <c r="AC193" s="199"/>
      <c r="AD193" s="195" t="s">
        <v>322</v>
      </c>
      <c r="AE193" s="195" t="s">
        <v>1957</v>
      </c>
      <c r="AF193" s="195" t="s">
        <v>1958</v>
      </c>
      <c r="AG193" s="195">
        <v>5</v>
      </c>
      <c r="AH193" s="195" t="s">
        <v>316</v>
      </c>
      <c r="AI193" s="195">
        <v>0</v>
      </c>
      <c r="AJ193" s="195" t="s">
        <v>324</v>
      </c>
      <c r="AK193" s="195" t="s">
        <v>499</v>
      </c>
      <c r="AL193" s="195" t="s">
        <v>322</v>
      </c>
      <c r="AM193" s="199"/>
      <c r="AN193" s="195" t="s">
        <v>1959</v>
      </c>
      <c r="AO193" s="195" t="s">
        <v>1960</v>
      </c>
      <c r="AP193" s="195" t="s">
        <v>1961</v>
      </c>
      <c r="AQ193" s="195" t="s">
        <v>324</v>
      </c>
      <c r="AR193" s="220" t="s">
        <v>1431</v>
      </c>
      <c r="AS193" s="195" t="s">
        <v>316</v>
      </c>
      <c r="AT193" s="199"/>
      <c r="AU193" s="202" t="s">
        <v>1962</v>
      </c>
      <c r="AV193" s="195" t="s">
        <v>1447</v>
      </c>
      <c r="AW193" s="195" t="str">
        <f ca="1">IFERROR(__xludf.DUMMYFUNCTION("IF(AND(IF(AS193=""Yes"",True,False),NOT(IFERROR(REGEXMATCH(AV193,ExclusionCategories),FALSE))),""Yes"", ""No"")"),"No")</f>
        <v>No</v>
      </c>
      <c r="AX193" s="195">
        <f ca="1">IFERROR(__xludf.DUMMYFUNCTION("IF(IFERROR(SEARCH(""Unclear"", Z193)) = 1, VALUE(REGEXEXTRACT(Z193,""\d+"")), Z193)"),6)</f>
        <v>6</v>
      </c>
      <c r="AY193" s="195">
        <v>6</v>
      </c>
      <c r="AZ193" s="195">
        <f ca="1">IFERROR(__xludf.DUMMYFUNCTION("IF(IFERROR(SEARCH(""Unclear"", AG193)) = 1, VALUE(REGEXEXTRACT(AG193,""\d+"")), AG193)"),5)</f>
        <v>5</v>
      </c>
      <c r="BA193" s="195">
        <v>5</v>
      </c>
      <c r="BB193" s="195" t="str">
        <f ca="1">IFERROR(__xludf.DUMMYFUNCTION("IF(IFERROR(SEARCH(""Unclear"", AJ193)) = 1, VALUE(REGEXEXTRACT(AJ193,""\d+"")), AJ193)"),"ND")</f>
        <v>ND</v>
      </c>
      <c r="BC193" s="195" t="s">
        <v>324</v>
      </c>
      <c r="BD193" s="195" t="b">
        <f t="shared" si="2"/>
        <v>1</v>
      </c>
      <c r="BE193" s="195" t="b">
        <f t="shared" ref="BE193:BF193" si="204">IF(IFERROR(FIND("ND",AI193),0),FALSE,TRUE)</f>
        <v>1</v>
      </c>
      <c r="BF193" s="195" t="b">
        <f t="shared" si="204"/>
        <v>0</v>
      </c>
    </row>
    <row r="194" spans="1:58" ht="38.25" customHeight="1">
      <c r="A194" s="195" t="s">
        <v>1953</v>
      </c>
      <c r="B194" s="195">
        <v>1982</v>
      </c>
      <c r="C194" s="195" t="s">
        <v>457</v>
      </c>
      <c r="D194" s="4" t="s">
        <v>1963</v>
      </c>
      <c r="E194" s="239">
        <v>6750006</v>
      </c>
      <c r="F194" s="230" t="str">
        <f t="shared" si="195"/>
        <v>https://pubmed.ncbi.nlm.nih.gov/6750006</v>
      </c>
      <c r="G194" s="213" t="str">
        <f t="shared" si="89"/>
        <v>Hobbins 1982</v>
      </c>
      <c r="H194" s="217">
        <v>1982</v>
      </c>
      <c r="I194" s="199"/>
      <c r="J194" s="199"/>
      <c r="K194" s="195">
        <v>30</v>
      </c>
      <c r="L194" s="4" t="s">
        <v>1964</v>
      </c>
      <c r="M194" s="195" t="s">
        <v>324</v>
      </c>
      <c r="N194" s="195" t="s">
        <v>324</v>
      </c>
      <c r="O194" s="195" t="s">
        <v>324</v>
      </c>
      <c r="P194" s="195" t="s">
        <v>324</v>
      </c>
      <c r="Q194" s="195" t="s">
        <v>324</v>
      </c>
      <c r="R194" s="195" t="s">
        <v>324</v>
      </c>
      <c r="S194" s="195" t="s">
        <v>324</v>
      </c>
      <c r="T194" s="195" t="s">
        <v>324</v>
      </c>
      <c r="U194" s="195" t="s">
        <v>324</v>
      </c>
      <c r="V194" s="195" t="s">
        <v>1956</v>
      </c>
      <c r="W194" s="199"/>
      <c r="X194" s="195">
        <v>30</v>
      </c>
      <c r="Y194" s="199"/>
      <c r="Z194" s="195">
        <v>19</v>
      </c>
      <c r="AA194" s="199"/>
      <c r="AB194" s="195">
        <v>0</v>
      </c>
      <c r="AC194" s="199"/>
      <c r="AD194" s="195" t="s">
        <v>322</v>
      </c>
      <c r="AE194" s="195" t="s">
        <v>1965</v>
      </c>
      <c r="AF194" s="195" t="s">
        <v>1958</v>
      </c>
      <c r="AG194" s="195">
        <v>0</v>
      </c>
      <c r="AH194" s="195" t="s">
        <v>316</v>
      </c>
      <c r="AI194" s="195">
        <v>0</v>
      </c>
      <c r="AJ194" s="195" t="s">
        <v>324</v>
      </c>
      <c r="AK194" s="195" t="s">
        <v>499</v>
      </c>
      <c r="AL194" s="195" t="s">
        <v>322</v>
      </c>
      <c r="AM194" s="199"/>
      <c r="AN194" s="195" t="s">
        <v>1959</v>
      </c>
      <c r="AO194" s="195" t="s">
        <v>1960</v>
      </c>
      <c r="AP194" s="195" t="s">
        <v>1961</v>
      </c>
      <c r="AQ194" s="195" t="s">
        <v>324</v>
      </c>
      <c r="AR194" s="220" t="s">
        <v>1431</v>
      </c>
      <c r="AS194" s="195" t="s">
        <v>316</v>
      </c>
      <c r="AT194" s="199"/>
      <c r="AU194" s="195" t="s">
        <v>1962</v>
      </c>
      <c r="AV194" s="195" t="s">
        <v>1567</v>
      </c>
      <c r="AW194" s="195" t="str">
        <f ca="1">IFERROR(__xludf.DUMMYFUNCTION("IF(AND(IF(AS194=""Yes"",True,False),NOT(IFERROR(REGEXMATCH(AV194,ExclusionCategories),FALSE))),""Yes"", ""No"")"),"No")</f>
        <v>No</v>
      </c>
      <c r="AX194" s="195">
        <f ca="1">IFERROR(__xludf.DUMMYFUNCTION("IF(IFERROR(SEARCH(""Unclear"", Z194)) = 1, VALUE(REGEXEXTRACT(Z194,""\d+"")), Z194)"),19)</f>
        <v>19</v>
      </c>
      <c r="AY194" s="195">
        <v>19</v>
      </c>
      <c r="AZ194" s="195">
        <f ca="1">IFERROR(__xludf.DUMMYFUNCTION("IF(IFERROR(SEARCH(""Unclear"", AG194)) = 1, VALUE(REGEXEXTRACT(AG194,""\d+"")), AG194)"),0)</f>
        <v>0</v>
      </c>
      <c r="BA194" s="195">
        <v>0</v>
      </c>
      <c r="BB194" s="195" t="str">
        <f ca="1">IFERROR(__xludf.DUMMYFUNCTION("IF(IFERROR(SEARCH(""Unclear"", AJ194)) = 1, VALUE(REGEXEXTRACT(AJ194,""\d+"")), AJ194)"),"ND")</f>
        <v>ND</v>
      </c>
      <c r="BC194" s="195" t="s">
        <v>324</v>
      </c>
      <c r="BD194" s="195" t="b">
        <f t="shared" si="2"/>
        <v>1</v>
      </c>
      <c r="BE194" s="195" t="b">
        <f t="shared" ref="BE194:BF194" si="205">IF(IFERROR(FIND("ND",AI194),0),FALSE,TRUE)</f>
        <v>1</v>
      </c>
      <c r="BF194" s="195" t="b">
        <f t="shared" si="205"/>
        <v>0</v>
      </c>
    </row>
    <row r="195" spans="1:58" ht="38.25" customHeight="1">
      <c r="A195" s="195" t="s">
        <v>1953</v>
      </c>
      <c r="B195" s="195">
        <v>1982</v>
      </c>
      <c r="C195" s="195" t="s">
        <v>457</v>
      </c>
      <c r="D195" s="4" t="s">
        <v>1966</v>
      </c>
      <c r="E195" s="239">
        <v>6750006</v>
      </c>
      <c r="F195" s="230" t="str">
        <f t="shared" si="195"/>
        <v>https://pubmed.ncbi.nlm.nih.gov/6750006</v>
      </c>
      <c r="G195" s="213" t="str">
        <f t="shared" si="89"/>
        <v>Hobbins 1982</v>
      </c>
      <c r="H195" s="217">
        <v>1982</v>
      </c>
      <c r="I195" s="199"/>
      <c r="J195" s="199"/>
      <c r="K195" s="195">
        <v>36</v>
      </c>
      <c r="L195" s="4" t="s">
        <v>1571</v>
      </c>
      <c r="M195" s="195" t="s">
        <v>324</v>
      </c>
      <c r="N195" s="195" t="s">
        <v>324</v>
      </c>
      <c r="O195" s="195" t="s">
        <v>324</v>
      </c>
      <c r="P195" s="195" t="s">
        <v>324</v>
      </c>
      <c r="Q195" s="195" t="s">
        <v>324</v>
      </c>
      <c r="R195" s="195" t="s">
        <v>324</v>
      </c>
      <c r="S195" s="195" t="s">
        <v>324</v>
      </c>
      <c r="T195" s="195" t="s">
        <v>324</v>
      </c>
      <c r="U195" s="195" t="s">
        <v>324</v>
      </c>
      <c r="V195" s="195" t="s">
        <v>1956</v>
      </c>
      <c r="W195" s="199"/>
      <c r="X195" s="195">
        <v>36</v>
      </c>
      <c r="Y195" s="199"/>
      <c r="Z195" s="195">
        <v>25</v>
      </c>
      <c r="AA195" s="199"/>
      <c r="AB195" s="195">
        <v>0</v>
      </c>
      <c r="AC195" s="199"/>
      <c r="AD195" s="195" t="s">
        <v>322</v>
      </c>
      <c r="AE195" s="195" t="s">
        <v>1957</v>
      </c>
      <c r="AF195" s="195" t="s">
        <v>1958</v>
      </c>
      <c r="AG195" s="195">
        <v>5</v>
      </c>
      <c r="AH195" s="195" t="s">
        <v>316</v>
      </c>
      <c r="AI195" s="195">
        <v>0</v>
      </c>
      <c r="AJ195" s="195" t="s">
        <v>324</v>
      </c>
      <c r="AK195" s="195" t="s">
        <v>499</v>
      </c>
      <c r="AL195" s="195" t="s">
        <v>322</v>
      </c>
      <c r="AM195" s="199"/>
      <c r="AN195" s="195" t="s">
        <v>1959</v>
      </c>
      <c r="AO195" s="195" t="s">
        <v>1960</v>
      </c>
      <c r="AP195" s="195" t="s">
        <v>1961</v>
      </c>
      <c r="AQ195" s="195" t="s">
        <v>324</v>
      </c>
      <c r="AR195" s="220" t="s">
        <v>1431</v>
      </c>
      <c r="AS195" s="195" t="s">
        <v>308</v>
      </c>
      <c r="AT195" s="199"/>
      <c r="AU195" s="195" t="s">
        <v>1962</v>
      </c>
      <c r="AV195" s="195" t="s">
        <v>1572</v>
      </c>
      <c r="AW195" s="195" t="str">
        <f ca="1">IFERROR(__xludf.DUMMYFUNCTION("IF(AND(IF(AS195=""Yes"",True,False),NOT(IFERROR(REGEXMATCH(AV195,ExclusionCategories),FALSE))),""Yes"", ""No"")"),"Yes")</f>
        <v>Yes</v>
      </c>
      <c r="AX195" s="195">
        <f ca="1">IFERROR(__xludf.DUMMYFUNCTION("IF(IFERROR(SEARCH(""Unclear"", Z195)) = 1, VALUE(REGEXEXTRACT(Z195,""\d+"")), Z195)"),25)</f>
        <v>25</v>
      </c>
      <c r="AY195" s="195">
        <v>25</v>
      </c>
      <c r="AZ195" s="195">
        <f ca="1">IFERROR(__xludf.DUMMYFUNCTION("IF(IFERROR(SEARCH(""Unclear"", AG195)) = 1, VALUE(REGEXEXTRACT(AG195,""\d+"")), AG195)"),5)</f>
        <v>5</v>
      </c>
      <c r="BA195" s="195">
        <v>5</v>
      </c>
      <c r="BB195" s="195" t="str">
        <f ca="1">IFERROR(__xludf.DUMMYFUNCTION("IF(IFERROR(SEARCH(""Unclear"", AJ195)) = 1, VALUE(REGEXEXTRACT(AJ195,""\d+"")), AJ195)"),"ND")</f>
        <v>ND</v>
      </c>
      <c r="BC195" s="195" t="s">
        <v>324</v>
      </c>
      <c r="BD195" s="195" t="b">
        <f t="shared" si="2"/>
        <v>1</v>
      </c>
      <c r="BE195" s="195" t="b">
        <f t="shared" ref="BE195:BF195" si="206">IF(IFERROR(FIND("ND",AI195),0),FALSE,TRUE)</f>
        <v>1</v>
      </c>
      <c r="BF195" s="195" t="b">
        <f t="shared" si="206"/>
        <v>0</v>
      </c>
    </row>
    <row r="196" spans="1:58" ht="38.25" customHeight="1">
      <c r="A196" s="218" t="s">
        <v>1967</v>
      </c>
      <c r="B196" s="241">
        <v>1969</v>
      </c>
      <c r="C196" s="195" t="s">
        <v>457</v>
      </c>
      <c r="D196" s="4" t="s">
        <v>1968</v>
      </c>
      <c r="E196" s="239">
        <v>5309454</v>
      </c>
      <c r="F196" s="230" t="str">
        <f t="shared" si="195"/>
        <v>https://pubmed.ncbi.nlm.nih.gov/5309454</v>
      </c>
      <c r="G196" s="213" t="str">
        <f t="shared" si="89"/>
        <v>Kasel 1969</v>
      </c>
      <c r="H196" s="217">
        <v>1969</v>
      </c>
      <c r="I196" s="199"/>
      <c r="J196" s="199"/>
      <c r="K196" s="195">
        <v>15</v>
      </c>
      <c r="L196" s="4" t="s">
        <v>1969</v>
      </c>
      <c r="M196" s="195">
        <v>15</v>
      </c>
      <c r="N196" s="195">
        <v>0</v>
      </c>
      <c r="O196" s="195" t="s">
        <v>324</v>
      </c>
      <c r="P196" s="195" t="s">
        <v>324</v>
      </c>
      <c r="Q196" s="195" t="s">
        <v>324</v>
      </c>
      <c r="R196" s="195">
        <v>21</v>
      </c>
      <c r="S196" s="195">
        <v>35</v>
      </c>
      <c r="T196" s="195" t="s">
        <v>324</v>
      </c>
      <c r="U196" s="195" t="s">
        <v>324</v>
      </c>
      <c r="V196" s="195" t="s">
        <v>1970</v>
      </c>
      <c r="W196" s="199"/>
      <c r="X196" s="195">
        <v>15</v>
      </c>
      <c r="Y196" s="199"/>
      <c r="Z196" s="195">
        <v>15</v>
      </c>
      <c r="AA196" s="199"/>
      <c r="AB196" s="195">
        <v>0</v>
      </c>
      <c r="AC196" s="199"/>
      <c r="AD196" s="195" t="s">
        <v>322</v>
      </c>
      <c r="AE196" s="195" t="s">
        <v>332</v>
      </c>
      <c r="AF196" s="195" t="s">
        <v>1958</v>
      </c>
      <c r="AG196" s="195">
        <v>13</v>
      </c>
      <c r="AH196" s="195" t="s">
        <v>316</v>
      </c>
      <c r="AI196" s="195">
        <v>0</v>
      </c>
      <c r="AJ196" s="195" t="s">
        <v>324</v>
      </c>
      <c r="AK196" s="195" t="s">
        <v>499</v>
      </c>
      <c r="AL196" s="195" t="s">
        <v>322</v>
      </c>
      <c r="AM196" s="199"/>
      <c r="AN196" s="195" t="s">
        <v>1971</v>
      </c>
      <c r="AO196" s="195" t="s">
        <v>1972</v>
      </c>
      <c r="AP196" s="195" t="s">
        <v>1973</v>
      </c>
      <c r="AQ196" s="195" t="s">
        <v>324</v>
      </c>
      <c r="AR196" s="220" t="s">
        <v>1431</v>
      </c>
      <c r="AS196" s="195" t="s">
        <v>316</v>
      </c>
      <c r="AT196" s="199"/>
      <c r="AU196" s="202" t="s">
        <v>1974</v>
      </c>
      <c r="AV196" s="195" t="s">
        <v>1447</v>
      </c>
      <c r="AW196" s="195" t="str">
        <f ca="1">IFERROR(__xludf.DUMMYFUNCTION("IF(AND(IF(AS196=""Yes"",True,False),NOT(IFERROR(REGEXMATCH(AV196,ExclusionCategories),FALSE))),""Yes"", ""No"")"),"No")</f>
        <v>No</v>
      </c>
      <c r="AX196" s="195">
        <f ca="1">IFERROR(__xludf.DUMMYFUNCTION("IF(IFERROR(SEARCH(""Unclear"", Z196)) = 1, VALUE(REGEXEXTRACT(Z196,""\d+"")), Z196)"),15)</f>
        <v>15</v>
      </c>
      <c r="AY196" s="195">
        <v>15</v>
      </c>
      <c r="AZ196" s="195">
        <f ca="1">IFERROR(__xludf.DUMMYFUNCTION("IF(IFERROR(SEARCH(""Unclear"", AG196)) = 1, VALUE(REGEXEXTRACT(AG196,""\d+"")), AG196)"),13)</f>
        <v>13</v>
      </c>
      <c r="BA196" s="195">
        <v>13</v>
      </c>
      <c r="BB196" s="195" t="str">
        <f ca="1">IFERROR(__xludf.DUMMYFUNCTION("IF(IFERROR(SEARCH(""Unclear"", AJ196)) = 1, VALUE(REGEXEXTRACT(AJ196,""\d+"")), AJ196)"),"ND")</f>
        <v>ND</v>
      </c>
      <c r="BC196" s="195" t="s">
        <v>324</v>
      </c>
      <c r="BD196" s="195" t="b">
        <f t="shared" si="2"/>
        <v>1</v>
      </c>
      <c r="BE196" s="195" t="b">
        <f t="shared" ref="BE196:BF196" si="207">IF(IFERROR(FIND("ND",AI196),0),FALSE,TRUE)</f>
        <v>1</v>
      </c>
      <c r="BF196" s="195" t="b">
        <f t="shared" si="207"/>
        <v>0</v>
      </c>
    </row>
    <row r="197" spans="1:58" ht="38.25" customHeight="1">
      <c r="A197" s="218" t="s">
        <v>1967</v>
      </c>
      <c r="B197" s="241">
        <v>1969</v>
      </c>
      <c r="C197" s="195" t="s">
        <v>457</v>
      </c>
      <c r="D197" s="4" t="s">
        <v>1975</v>
      </c>
      <c r="E197" s="239">
        <v>5309454</v>
      </c>
      <c r="F197" s="230" t="str">
        <f t="shared" si="195"/>
        <v>https://pubmed.ncbi.nlm.nih.gov/5309454</v>
      </c>
      <c r="G197" s="213" t="str">
        <f t="shared" si="89"/>
        <v>Kasel 1969</v>
      </c>
      <c r="H197" s="217">
        <v>1969</v>
      </c>
      <c r="I197" s="199"/>
      <c r="J197" s="199"/>
      <c r="K197" s="195">
        <v>34</v>
      </c>
      <c r="L197" s="4" t="s">
        <v>1976</v>
      </c>
      <c r="M197" s="195">
        <v>34</v>
      </c>
      <c r="N197" s="195">
        <v>0</v>
      </c>
      <c r="O197" s="195" t="s">
        <v>324</v>
      </c>
      <c r="P197" s="195">
        <v>21</v>
      </c>
      <c r="Q197" s="195">
        <v>35</v>
      </c>
      <c r="R197" s="195"/>
      <c r="S197" s="195"/>
      <c r="T197" s="195" t="s">
        <v>324</v>
      </c>
      <c r="U197" s="195" t="s">
        <v>324</v>
      </c>
      <c r="V197" s="195" t="s">
        <v>1970</v>
      </c>
      <c r="W197" s="199"/>
      <c r="X197" s="195">
        <v>34</v>
      </c>
      <c r="Y197" s="195" t="s">
        <v>1977</v>
      </c>
      <c r="Z197" s="195" t="s">
        <v>1978</v>
      </c>
      <c r="AA197" s="195" t="s">
        <v>1979</v>
      </c>
      <c r="AB197" s="195">
        <v>0</v>
      </c>
      <c r="AC197" s="199"/>
      <c r="AD197" s="195" t="s">
        <v>322</v>
      </c>
      <c r="AE197" s="195" t="s">
        <v>332</v>
      </c>
      <c r="AF197" s="195" t="s">
        <v>1958</v>
      </c>
      <c r="AG197" s="195">
        <v>10</v>
      </c>
      <c r="AH197" s="195" t="s">
        <v>316</v>
      </c>
      <c r="AI197" s="195">
        <v>0</v>
      </c>
      <c r="AJ197" s="195" t="s">
        <v>324</v>
      </c>
      <c r="AK197" s="195" t="s">
        <v>499</v>
      </c>
      <c r="AL197" s="195" t="s">
        <v>322</v>
      </c>
      <c r="AM197" s="199"/>
      <c r="AN197" s="195" t="s">
        <v>1971</v>
      </c>
      <c r="AO197" s="195" t="s">
        <v>1972</v>
      </c>
      <c r="AP197" s="195" t="s">
        <v>1973</v>
      </c>
      <c r="AQ197" s="195" t="s">
        <v>324</v>
      </c>
      <c r="AR197" s="220" t="s">
        <v>1431</v>
      </c>
      <c r="AS197" s="195" t="s">
        <v>316</v>
      </c>
      <c r="AT197" s="199"/>
      <c r="AU197" s="202" t="s">
        <v>1974</v>
      </c>
      <c r="AV197" s="195" t="s">
        <v>1447</v>
      </c>
      <c r="AW197" s="195" t="str">
        <f ca="1">IFERROR(__xludf.DUMMYFUNCTION("IF(AND(IF(AS197=""Yes"",True,False),NOT(IFERROR(REGEXMATCH(AV197,ExclusionCategories),FALSE))),""Yes"", ""No"")"),"No")</f>
        <v>No</v>
      </c>
      <c r="AX197" s="195">
        <f ca="1">IFERROR(__xludf.DUMMYFUNCTION("IF(IFERROR(SEARCH(""Unclear"", Z197)) = 1, VALUE(REGEXEXTRACT(Z197,""\d+"")), Z197)"),20)</f>
        <v>20</v>
      </c>
      <c r="AY197" s="195">
        <v>34</v>
      </c>
      <c r="AZ197" s="195">
        <f ca="1">IFERROR(__xludf.DUMMYFUNCTION("IF(IFERROR(SEARCH(""Unclear"", AG197)) = 1, VALUE(REGEXEXTRACT(AG197,""\d+"")), AG197)"),10)</f>
        <v>10</v>
      </c>
      <c r="BA197" s="195">
        <v>10</v>
      </c>
      <c r="BB197" s="195" t="str">
        <f ca="1">IFERROR(__xludf.DUMMYFUNCTION("IF(IFERROR(SEARCH(""Unclear"", AJ197)) = 1, VALUE(REGEXEXTRACT(AJ197,""\d+"")), AJ197)"),"ND")</f>
        <v>ND</v>
      </c>
      <c r="BC197" s="195" t="s">
        <v>324</v>
      </c>
      <c r="BD197" s="195" t="b">
        <f t="shared" si="2"/>
        <v>1</v>
      </c>
      <c r="BE197" s="195" t="b">
        <f t="shared" ref="BE197:BF197" si="208">IF(IFERROR(FIND("ND",AI197),0),FALSE,TRUE)</f>
        <v>1</v>
      </c>
      <c r="BF197" s="195" t="b">
        <f t="shared" si="208"/>
        <v>0</v>
      </c>
    </row>
    <row r="198" spans="1:58" ht="38.25" customHeight="1">
      <c r="A198" s="218" t="s">
        <v>1980</v>
      </c>
      <c r="B198" s="241">
        <v>1992</v>
      </c>
      <c r="C198" s="195" t="s">
        <v>605</v>
      </c>
      <c r="D198" s="4" t="s">
        <v>1981</v>
      </c>
      <c r="E198" s="239">
        <v>1587589</v>
      </c>
      <c r="F198" s="230" t="str">
        <f t="shared" si="195"/>
        <v>https://pubmed.ncbi.nlm.nih.gov/1587589</v>
      </c>
      <c r="G198" s="213" t="str">
        <f t="shared" si="89"/>
        <v>Kotloff 1992</v>
      </c>
      <c r="H198" s="217">
        <v>1992</v>
      </c>
      <c r="I198" s="199"/>
      <c r="J198" s="199"/>
      <c r="K198" s="195">
        <v>18</v>
      </c>
      <c r="L198" s="4" t="s">
        <v>1982</v>
      </c>
      <c r="M198" s="195" t="s">
        <v>324</v>
      </c>
      <c r="N198" s="195" t="s">
        <v>324</v>
      </c>
      <c r="O198" s="195" t="s">
        <v>324</v>
      </c>
      <c r="P198" s="195" t="s">
        <v>324</v>
      </c>
      <c r="Q198" s="195" t="s">
        <v>324</v>
      </c>
      <c r="R198" s="195">
        <v>18</v>
      </c>
      <c r="S198" s="195">
        <v>40</v>
      </c>
      <c r="T198" s="195" t="s">
        <v>324</v>
      </c>
      <c r="U198" s="195" t="s">
        <v>324</v>
      </c>
      <c r="V198" s="195" t="s">
        <v>1983</v>
      </c>
      <c r="W198" s="199"/>
      <c r="X198" s="195">
        <v>18</v>
      </c>
      <c r="Y198" s="195" t="s">
        <v>1984</v>
      </c>
      <c r="Z198" s="195">
        <v>8</v>
      </c>
      <c r="AA198" s="195" t="s">
        <v>1985</v>
      </c>
      <c r="AB198" s="195">
        <v>0</v>
      </c>
      <c r="AC198" s="199"/>
      <c r="AD198" s="195" t="s">
        <v>322</v>
      </c>
      <c r="AE198" s="195" t="s">
        <v>1929</v>
      </c>
      <c r="AF198" s="195" t="s">
        <v>1472</v>
      </c>
      <c r="AG198" s="195" t="s">
        <v>324</v>
      </c>
      <c r="AH198" s="195" t="s">
        <v>316</v>
      </c>
      <c r="AI198" s="195" t="s">
        <v>324</v>
      </c>
      <c r="AJ198" s="195" t="s">
        <v>324</v>
      </c>
      <c r="AK198" s="195"/>
      <c r="AL198" s="195" t="s">
        <v>322</v>
      </c>
      <c r="AM198" s="199"/>
      <c r="AN198" s="195" t="s">
        <v>1986</v>
      </c>
      <c r="AO198" s="195" t="s">
        <v>1987</v>
      </c>
      <c r="AP198" s="195" t="s">
        <v>1988</v>
      </c>
      <c r="AQ198" s="195" t="s">
        <v>324</v>
      </c>
      <c r="AR198" s="220" t="s">
        <v>1431</v>
      </c>
      <c r="AS198" s="195" t="s">
        <v>316</v>
      </c>
      <c r="AT198" s="199"/>
      <c r="AU198" s="202" t="s">
        <v>1989</v>
      </c>
      <c r="AV198" s="195" t="s">
        <v>326</v>
      </c>
      <c r="AW198" s="195" t="str">
        <f ca="1">IFERROR(__xludf.DUMMYFUNCTION("IF(AND(IF(AS198=""Yes"",True,False),NOT(IFERROR(REGEXMATCH(AV198,ExclusionCategories),FALSE))),""Yes"", ""No"")"),"No")</f>
        <v>No</v>
      </c>
      <c r="AX198" s="195">
        <f ca="1">IFERROR(__xludf.DUMMYFUNCTION("IF(IFERROR(SEARCH(""Unclear"", Z198)) = 1, VALUE(REGEXEXTRACT(Z198,""\d+"")), Z198)"),8)</f>
        <v>8</v>
      </c>
      <c r="AY198" s="195">
        <v>8</v>
      </c>
      <c r="AZ198" s="195" t="str">
        <f ca="1">IFERROR(__xludf.DUMMYFUNCTION("IF(IFERROR(SEARCH(""Unclear"", AG198)) = 1, VALUE(REGEXEXTRACT(AG198,""\d+"")), AG198)"),"ND")</f>
        <v>ND</v>
      </c>
      <c r="BA198" s="195" t="s">
        <v>324</v>
      </c>
      <c r="BB198" s="195" t="str">
        <f ca="1">IFERROR(__xludf.DUMMYFUNCTION("IF(IFERROR(SEARCH(""Unclear"", AJ198)) = 1, VALUE(REGEXEXTRACT(AJ198,""\d+"")), AJ198)"),"ND")</f>
        <v>ND</v>
      </c>
      <c r="BC198" s="195" t="s">
        <v>324</v>
      </c>
      <c r="BD198" s="195" t="b">
        <f t="shared" si="2"/>
        <v>0</v>
      </c>
      <c r="BE198" s="195" t="b">
        <f t="shared" ref="BE198:BF198" si="209">IF(IFERROR(FIND("ND",AI198),0),FALSE,TRUE)</f>
        <v>0</v>
      </c>
      <c r="BF198" s="195" t="b">
        <f t="shared" si="209"/>
        <v>0</v>
      </c>
    </row>
    <row r="199" spans="1:58" ht="38.25" customHeight="1">
      <c r="A199" s="218" t="s">
        <v>1980</v>
      </c>
      <c r="B199" s="241">
        <v>1992</v>
      </c>
      <c r="C199" s="195" t="s">
        <v>605</v>
      </c>
      <c r="D199" s="4" t="s">
        <v>1981</v>
      </c>
      <c r="E199" s="239">
        <v>1587589</v>
      </c>
      <c r="F199" s="230" t="str">
        <f t="shared" si="195"/>
        <v>https://pubmed.ncbi.nlm.nih.gov/1587589</v>
      </c>
      <c r="G199" s="213" t="str">
        <f t="shared" si="89"/>
        <v>Kotloff 1992</v>
      </c>
      <c r="H199" s="217">
        <v>1992</v>
      </c>
      <c r="I199" s="199"/>
      <c r="J199" s="199"/>
      <c r="K199" s="195">
        <v>51</v>
      </c>
      <c r="L199" s="4" t="s">
        <v>1990</v>
      </c>
      <c r="M199" s="195" t="s">
        <v>324</v>
      </c>
      <c r="N199" s="195" t="s">
        <v>324</v>
      </c>
      <c r="O199" s="195" t="s">
        <v>324</v>
      </c>
      <c r="P199" s="195" t="s">
        <v>324</v>
      </c>
      <c r="Q199" s="195" t="s">
        <v>324</v>
      </c>
      <c r="R199" s="195">
        <v>18</v>
      </c>
      <c r="S199" s="195">
        <v>40</v>
      </c>
      <c r="T199" s="195" t="s">
        <v>324</v>
      </c>
      <c r="U199" s="195" t="s">
        <v>324</v>
      </c>
      <c r="V199" s="195" t="s">
        <v>1983</v>
      </c>
      <c r="W199" s="199"/>
      <c r="X199" s="195">
        <v>51</v>
      </c>
      <c r="Y199" s="195" t="s">
        <v>1991</v>
      </c>
      <c r="Z199" s="195">
        <v>19</v>
      </c>
      <c r="AA199" s="195" t="s">
        <v>1992</v>
      </c>
      <c r="AB199" s="195">
        <v>0</v>
      </c>
      <c r="AC199" s="199"/>
      <c r="AD199" s="195" t="s">
        <v>322</v>
      </c>
      <c r="AE199" s="195" t="s">
        <v>1929</v>
      </c>
      <c r="AF199" s="195" t="s">
        <v>1472</v>
      </c>
      <c r="AG199" s="195" t="s">
        <v>324</v>
      </c>
      <c r="AH199" s="195" t="s">
        <v>316</v>
      </c>
      <c r="AI199" s="195" t="s">
        <v>324</v>
      </c>
      <c r="AJ199" s="195" t="s">
        <v>324</v>
      </c>
      <c r="AK199" s="195"/>
      <c r="AL199" s="195" t="s">
        <v>322</v>
      </c>
      <c r="AM199" s="199"/>
      <c r="AN199" s="195" t="s">
        <v>1993</v>
      </c>
      <c r="AO199" s="195" t="s">
        <v>1987</v>
      </c>
      <c r="AP199" s="195" t="s">
        <v>1988</v>
      </c>
      <c r="AQ199" s="195" t="s">
        <v>324</v>
      </c>
      <c r="AR199" s="220" t="s">
        <v>1431</v>
      </c>
      <c r="AS199" s="195" t="s">
        <v>316</v>
      </c>
      <c r="AT199" s="199"/>
      <c r="AU199" s="202" t="s">
        <v>1989</v>
      </c>
      <c r="AV199" s="195" t="s">
        <v>326</v>
      </c>
      <c r="AW199" s="195" t="str">
        <f ca="1">IFERROR(__xludf.DUMMYFUNCTION("IF(AND(IF(AS199=""Yes"",True,False),NOT(IFERROR(REGEXMATCH(AV199,ExclusionCategories),FALSE))),""Yes"", ""No"")"),"No")</f>
        <v>No</v>
      </c>
      <c r="AX199" s="195">
        <f ca="1">IFERROR(__xludf.DUMMYFUNCTION("IF(IFERROR(SEARCH(""Unclear"", Z199)) = 1, VALUE(REGEXEXTRACT(Z199,""\d+"")), Z199)"),19)</f>
        <v>19</v>
      </c>
      <c r="AY199" s="195">
        <v>19</v>
      </c>
      <c r="AZ199" s="195" t="str">
        <f ca="1">IFERROR(__xludf.DUMMYFUNCTION("IF(IFERROR(SEARCH(""Unclear"", AG199)) = 1, VALUE(REGEXEXTRACT(AG199,""\d+"")), AG199)"),"ND")</f>
        <v>ND</v>
      </c>
      <c r="BA199" s="195" t="s">
        <v>324</v>
      </c>
      <c r="BB199" s="195" t="str">
        <f ca="1">IFERROR(__xludf.DUMMYFUNCTION("IF(IFERROR(SEARCH(""Unclear"", AJ199)) = 1, VALUE(REGEXEXTRACT(AJ199,""\d+"")), AJ199)"),"ND")</f>
        <v>ND</v>
      </c>
      <c r="BC199" s="195" t="s">
        <v>324</v>
      </c>
      <c r="BD199" s="195" t="b">
        <f t="shared" si="2"/>
        <v>0</v>
      </c>
      <c r="BE199" s="195" t="b">
        <f t="shared" ref="BE199:BF199" si="210">IF(IFERROR(FIND("ND",AI199),0),FALSE,TRUE)</f>
        <v>0</v>
      </c>
      <c r="BF199" s="195" t="b">
        <f t="shared" si="210"/>
        <v>0</v>
      </c>
    </row>
    <row r="200" spans="1:58" ht="38.25" customHeight="1">
      <c r="A200" s="218" t="s">
        <v>1980</v>
      </c>
      <c r="B200" s="241">
        <v>1992</v>
      </c>
      <c r="C200" s="195" t="s">
        <v>605</v>
      </c>
      <c r="D200" s="4" t="s">
        <v>1981</v>
      </c>
      <c r="E200" s="239">
        <v>1587589</v>
      </c>
      <c r="F200" s="230" t="str">
        <f t="shared" si="195"/>
        <v>https://pubmed.ncbi.nlm.nih.gov/1587589</v>
      </c>
      <c r="G200" s="213" t="str">
        <f t="shared" si="89"/>
        <v>Kotloff 1992</v>
      </c>
      <c r="H200" s="217">
        <v>1992</v>
      </c>
      <c r="I200" s="199"/>
      <c r="J200" s="199"/>
      <c r="K200" s="195">
        <v>69</v>
      </c>
      <c r="L200" s="4" t="s">
        <v>1858</v>
      </c>
      <c r="M200" s="195" t="s">
        <v>324</v>
      </c>
      <c r="N200" s="195" t="s">
        <v>324</v>
      </c>
      <c r="O200" s="195" t="s">
        <v>324</v>
      </c>
      <c r="P200" s="195" t="s">
        <v>324</v>
      </c>
      <c r="Q200" s="195" t="s">
        <v>324</v>
      </c>
      <c r="R200" s="195">
        <v>18</v>
      </c>
      <c r="S200" s="195">
        <v>40</v>
      </c>
      <c r="T200" s="195" t="s">
        <v>324</v>
      </c>
      <c r="U200" s="195" t="s">
        <v>324</v>
      </c>
      <c r="V200" s="195" t="s">
        <v>1983</v>
      </c>
      <c r="W200" s="199"/>
      <c r="X200" s="195">
        <v>69</v>
      </c>
      <c r="Y200" s="195"/>
      <c r="Z200" s="195">
        <v>27</v>
      </c>
      <c r="AA200" s="195"/>
      <c r="AB200" s="195">
        <v>0</v>
      </c>
      <c r="AC200" s="199"/>
      <c r="AD200" s="195" t="s">
        <v>322</v>
      </c>
      <c r="AE200" s="195" t="s">
        <v>1929</v>
      </c>
      <c r="AF200" s="195" t="s">
        <v>1472</v>
      </c>
      <c r="AG200" s="195" t="s">
        <v>324</v>
      </c>
      <c r="AH200" s="195" t="s">
        <v>316</v>
      </c>
      <c r="AI200" s="195" t="s">
        <v>324</v>
      </c>
      <c r="AJ200" s="195" t="s">
        <v>324</v>
      </c>
      <c r="AK200" s="195"/>
      <c r="AL200" s="195" t="s">
        <v>322</v>
      </c>
      <c r="AM200" s="199"/>
      <c r="AN200" s="195" t="s">
        <v>1994</v>
      </c>
      <c r="AO200" s="195" t="s">
        <v>1987</v>
      </c>
      <c r="AP200" s="195" t="s">
        <v>1988</v>
      </c>
      <c r="AQ200" s="195" t="s">
        <v>324</v>
      </c>
      <c r="AR200" s="220" t="s">
        <v>1431</v>
      </c>
      <c r="AS200" s="195" t="s">
        <v>308</v>
      </c>
      <c r="AT200" s="199"/>
      <c r="AU200" s="202" t="s">
        <v>1989</v>
      </c>
      <c r="AV200" s="195" t="s">
        <v>337</v>
      </c>
      <c r="AW200" s="195" t="str">
        <f ca="1">IFERROR(__xludf.DUMMYFUNCTION("IF(AND(IF(AS200=""Yes"",True,False),NOT(IFERROR(REGEXMATCH(AV200,ExclusionCategories),FALSE))),""Yes"", ""No"")"),"Yes")</f>
        <v>Yes</v>
      </c>
      <c r="AX200" s="195">
        <f ca="1">IFERROR(__xludf.DUMMYFUNCTION("IF(IFERROR(SEARCH(""Unclear"", Z200)) = 1, VALUE(REGEXEXTRACT(Z200,""\d+"")), Z200)"),27)</f>
        <v>27</v>
      </c>
      <c r="AY200" s="195">
        <v>27</v>
      </c>
      <c r="AZ200" s="195" t="str">
        <f ca="1">IFERROR(__xludf.DUMMYFUNCTION("IF(IFERROR(SEARCH(""Unclear"", AG200)) = 1, VALUE(REGEXEXTRACT(AG200,""\d+"")), AG200)"),"ND")</f>
        <v>ND</v>
      </c>
      <c r="BA200" s="195" t="s">
        <v>324</v>
      </c>
      <c r="BB200" s="195" t="str">
        <f ca="1">IFERROR(__xludf.DUMMYFUNCTION("IF(IFERROR(SEARCH(""Unclear"", AJ200)) = 1, VALUE(REGEXEXTRACT(AJ200,""\d+"")), AJ200)"),"ND")</f>
        <v>ND</v>
      </c>
      <c r="BC200" s="195" t="s">
        <v>324</v>
      </c>
      <c r="BD200" s="195" t="b">
        <f t="shared" si="2"/>
        <v>0</v>
      </c>
      <c r="BE200" s="195" t="b">
        <f t="shared" ref="BE200:BF200" si="211">IF(IFERROR(FIND("ND",AI200),0),FALSE,TRUE)</f>
        <v>0</v>
      </c>
      <c r="BF200" s="195" t="b">
        <f t="shared" si="211"/>
        <v>0</v>
      </c>
    </row>
    <row r="201" spans="1:58" ht="35.25" customHeight="1">
      <c r="A201" s="195" t="s">
        <v>1980</v>
      </c>
      <c r="B201" s="195">
        <v>1995</v>
      </c>
      <c r="C201" s="195" t="s">
        <v>605</v>
      </c>
      <c r="D201" s="4" t="s">
        <v>1995</v>
      </c>
      <c r="E201" s="239">
        <v>8578831</v>
      </c>
      <c r="F201" s="230" t="str">
        <f t="shared" si="195"/>
        <v>https://pubmed.ncbi.nlm.nih.gov/8578831</v>
      </c>
      <c r="G201" s="213" t="str">
        <f t="shared" si="89"/>
        <v>Kotloff 1995b</v>
      </c>
      <c r="H201" s="217">
        <v>1995</v>
      </c>
      <c r="I201" s="199"/>
      <c r="J201" s="199"/>
      <c r="K201" s="195">
        <v>11</v>
      </c>
      <c r="L201" s="4" t="s">
        <v>882</v>
      </c>
      <c r="M201" s="195" t="s">
        <v>324</v>
      </c>
      <c r="N201" s="195" t="s">
        <v>324</v>
      </c>
      <c r="O201" s="195" t="s">
        <v>324</v>
      </c>
      <c r="P201" s="195" t="s">
        <v>324</v>
      </c>
      <c r="Q201" s="195" t="s">
        <v>324</v>
      </c>
      <c r="R201" s="195">
        <v>18</v>
      </c>
      <c r="S201" s="195">
        <v>40</v>
      </c>
      <c r="T201" s="195" t="s">
        <v>324</v>
      </c>
      <c r="U201" s="195" t="s">
        <v>324</v>
      </c>
      <c r="V201" s="195" t="s">
        <v>1996</v>
      </c>
      <c r="W201" s="199"/>
      <c r="X201" s="195">
        <v>11</v>
      </c>
      <c r="Y201" s="195" t="s">
        <v>1997</v>
      </c>
      <c r="Z201" s="195">
        <v>11</v>
      </c>
      <c r="AA201" s="199"/>
      <c r="AB201" s="195">
        <v>0</v>
      </c>
      <c r="AC201" s="199"/>
      <c r="AD201" s="195" t="s">
        <v>322</v>
      </c>
      <c r="AE201" s="195" t="s">
        <v>1998</v>
      </c>
      <c r="AF201" s="195" t="s">
        <v>1999</v>
      </c>
      <c r="AG201" s="195">
        <v>3</v>
      </c>
      <c r="AH201" s="195" t="s">
        <v>308</v>
      </c>
      <c r="AI201" s="195">
        <v>0</v>
      </c>
      <c r="AJ201" s="195">
        <v>0</v>
      </c>
      <c r="AK201" s="195" t="s">
        <v>499</v>
      </c>
      <c r="AL201" s="195" t="s">
        <v>322</v>
      </c>
      <c r="AM201" s="199"/>
      <c r="AN201" s="195" t="s">
        <v>1622</v>
      </c>
      <c r="AO201" s="195" t="s">
        <v>2000</v>
      </c>
      <c r="AP201" s="195" t="s">
        <v>2001</v>
      </c>
      <c r="AQ201" s="195" t="s">
        <v>2002</v>
      </c>
      <c r="AR201" s="220" t="s">
        <v>1431</v>
      </c>
      <c r="AS201" s="195" t="s">
        <v>316</v>
      </c>
      <c r="AT201" s="199"/>
      <c r="AU201" s="202" t="s">
        <v>2003</v>
      </c>
      <c r="AV201" s="195" t="s">
        <v>2004</v>
      </c>
      <c r="AW201" s="195" t="str">
        <f ca="1">IFERROR(__xludf.DUMMYFUNCTION("IF(AND(IF(AS201=""Yes"",True,False),NOT(IFERROR(REGEXMATCH(AV201,ExclusionCategories),FALSE))),""Yes"", ""No"")"),"No")</f>
        <v>No</v>
      </c>
      <c r="AX201" s="195">
        <f ca="1">IFERROR(__xludf.DUMMYFUNCTION("IF(IFERROR(SEARCH(""Unclear"", Z201)) = 1, VALUE(REGEXEXTRACT(Z201,""\d+"")), Z201)"),11)</f>
        <v>11</v>
      </c>
      <c r="AY201" s="195">
        <v>11</v>
      </c>
      <c r="AZ201" s="195">
        <f ca="1">IFERROR(__xludf.DUMMYFUNCTION("IF(IFERROR(SEARCH(""Unclear"", AG201)) = 1, VALUE(REGEXEXTRACT(AG201,""\d+"")), AG201)"),3)</f>
        <v>3</v>
      </c>
      <c r="BA201" s="195">
        <v>3</v>
      </c>
      <c r="BB201" s="195">
        <f ca="1">IFERROR(__xludf.DUMMYFUNCTION("IF(IFERROR(SEARCH(""Unclear"", AJ201)) = 1, VALUE(REGEXEXTRACT(AJ201,""\d+"")), AJ201)"),0)</f>
        <v>0</v>
      </c>
      <c r="BC201" s="195">
        <v>0</v>
      </c>
      <c r="BD201" s="195" t="b">
        <f t="shared" si="2"/>
        <v>1</v>
      </c>
      <c r="BE201" s="195" t="b">
        <f t="shared" ref="BE201:BF201" si="212">IF(IFERROR(FIND("ND",AI201),0),FALSE,TRUE)</f>
        <v>1</v>
      </c>
      <c r="BF201" s="195" t="b">
        <f t="shared" si="212"/>
        <v>1</v>
      </c>
    </row>
    <row r="202" spans="1:58" ht="35.25" customHeight="1">
      <c r="A202" s="195" t="s">
        <v>1980</v>
      </c>
      <c r="B202" s="195">
        <v>1995</v>
      </c>
      <c r="C202" s="195" t="s">
        <v>605</v>
      </c>
      <c r="D202" s="4" t="s">
        <v>1995</v>
      </c>
      <c r="E202" s="239">
        <v>8578831</v>
      </c>
      <c r="F202" s="230" t="str">
        <f t="shared" si="195"/>
        <v>https://pubmed.ncbi.nlm.nih.gov/8578831</v>
      </c>
      <c r="G202" s="213" t="str">
        <f t="shared" si="89"/>
        <v>Kotloff 1995b</v>
      </c>
      <c r="H202" s="217">
        <v>1995</v>
      </c>
      <c r="I202" s="199"/>
      <c r="J202" s="199"/>
      <c r="K202" s="195">
        <v>19</v>
      </c>
      <c r="L202" s="4" t="s">
        <v>788</v>
      </c>
      <c r="M202" s="195" t="s">
        <v>324</v>
      </c>
      <c r="N202" s="195" t="s">
        <v>324</v>
      </c>
      <c r="O202" s="195" t="s">
        <v>324</v>
      </c>
      <c r="P202" s="195" t="s">
        <v>324</v>
      </c>
      <c r="Q202" s="195" t="s">
        <v>324</v>
      </c>
      <c r="R202" s="195">
        <v>18</v>
      </c>
      <c r="S202" s="195">
        <v>40</v>
      </c>
      <c r="T202" s="195" t="s">
        <v>324</v>
      </c>
      <c r="U202" s="195" t="s">
        <v>324</v>
      </c>
      <c r="V202" s="195" t="s">
        <v>1996</v>
      </c>
      <c r="W202" s="199"/>
      <c r="X202" s="195">
        <v>19</v>
      </c>
      <c r="Y202" s="199"/>
      <c r="Z202" s="195">
        <v>16</v>
      </c>
      <c r="AA202" s="199"/>
      <c r="AB202" s="195">
        <v>0</v>
      </c>
      <c r="AC202" s="199"/>
      <c r="AD202" s="195" t="s">
        <v>322</v>
      </c>
      <c r="AE202" s="195" t="s">
        <v>1998</v>
      </c>
      <c r="AF202" s="195" t="s">
        <v>1999</v>
      </c>
      <c r="AG202" s="195">
        <v>14</v>
      </c>
      <c r="AH202" s="195" t="s">
        <v>308</v>
      </c>
      <c r="AI202" s="195">
        <v>0</v>
      </c>
      <c r="AJ202" s="195">
        <v>7</v>
      </c>
      <c r="AK202" s="195" t="s">
        <v>499</v>
      </c>
      <c r="AL202" s="195" t="s">
        <v>322</v>
      </c>
      <c r="AM202" s="199"/>
      <c r="AN202" s="195" t="s">
        <v>1622</v>
      </c>
      <c r="AO202" s="195" t="s">
        <v>2000</v>
      </c>
      <c r="AP202" s="195" t="s">
        <v>2001</v>
      </c>
      <c r="AQ202" s="195" t="s">
        <v>2002</v>
      </c>
      <c r="AR202" s="220" t="s">
        <v>1431</v>
      </c>
      <c r="AS202" s="195" t="s">
        <v>316</v>
      </c>
      <c r="AT202" s="199"/>
      <c r="AU202" s="202" t="s">
        <v>2003</v>
      </c>
      <c r="AV202" s="195" t="s">
        <v>1447</v>
      </c>
      <c r="AW202" s="195" t="str">
        <f ca="1">IFERROR(__xludf.DUMMYFUNCTION("IF(AND(IF(AS202=""Yes"",True,False),NOT(IFERROR(REGEXMATCH(AV202,ExclusionCategories),FALSE))),""Yes"", ""No"")"),"No")</f>
        <v>No</v>
      </c>
      <c r="AX202" s="195">
        <f ca="1">IFERROR(__xludf.DUMMYFUNCTION("IF(IFERROR(SEARCH(""Unclear"", Z202)) = 1, VALUE(REGEXEXTRACT(Z202,""\d+"")), Z202)"),16)</f>
        <v>16</v>
      </c>
      <c r="AY202" s="195">
        <v>16</v>
      </c>
      <c r="AZ202" s="195">
        <f ca="1">IFERROR(__xludf.DUMMYFUNCTION("IF(IFERROR(SEARCH(""Unclear"", AG202)) = 1, VALUE(REGEXEXTRACT(AG202,""\d+"")), AG202)"),14)</f>
        <v>14</v>
      </c>
      <c r="BA202" s="195">
        <v>14</v>
      </c>
      <c r="BB202" s="195">
        <f ca="1">IFERROR(__xludf.DUMMYFUNCTION("IF(IFERROR(SEARCH(""Unclear"", AJ202)) = 1, VALUE(REGEXEXTRACT(AJ202,""\d+"")), AJ202)"),7)</f>
        <v>7</v>
      </c>
      <c r="BC202" s="195">
        <v>7</v>
      </c>
      <c r="BD202" s="195" t="b">
        <f t="shared" si="2"/>
        <v>1</v>
      </c>
      <c r="BE202" s="195" t="b">
        <f t="shared" ref="BE202:BF202" si="213">IF(IFERROR(FIND("ND",AI202),0),FALSE,TRUE)</f>
        <v>1</v>
      </c>
      <c r="BF202" s="195" t="b">
        <f t="shared" si="213"/>
        <v>1</v>
      </c>
    </row>
    <row r="203" spans="1:58" ht="35.25" customHeight="1">
      <c r="A203" s="195" t="s">
        <v>1980</v>
      </c>
      <c r="B203" s="195">
        <v>1995</v>
      </c>
      <c r="C203" s="195" t="s">
        <v>605</v>
      </c>
      <c r="D203" s="4" t="s">
        <v>1981</v>
      </c>
      <c r="E203" s="239">
        <v>8578831</v>
      </c>
      <c r="F203" s="230" t="str">
        <f t="shared" si="195"/>
        <v>https://pubmed.ncbi.nlm.nih.gov/8578831</v>
      </c>
      <c r="G203" s="213" t="str">
        <f t="shared" si="89"/>
        <v>Kotloff 1995b</v>
      </c>
      <c r="H203" s="217">
        <v>1995</v>
      </c>
      <c r="I203" s="199"/>
      <c r="J203" s="199"/>
      <c r="K203" s="195">
        <v>30</v>
      </c>
      <c r="L203" s="4" t="s">
        <v>2005</v>
      </c>
      <c r="M203" s="195" t="s">
        <v>324</v>
      </c>
      <c r="N203" s="195" t="s">
        <v>324</v>
      </c>
      <c r="O203" s="195" t="s">
        <v>324</v>
      </c>
      <c r="P203" s="195" t="s">
        <v>324</v>
      </c>
      <c r="Q203" s="195" t="s">
        <v>324</v>
      </c>
      <c r="R203" s="195">
        <v>18</v>
      </c>
      <c r="S203" s="195">
        <v>40</v>
      </c>
      <c r="T203" s="195" t="s">
        <v>324</v>
      </c>
      <c r="U203" s="195" t="s">
        <v>324</v>
      </c>
      <c r="V203" s="195" t="s">
        <v>1996</v>
      </c>
      <c r="W203" s="199"/>
      <c r="X203" s="195">
        <v>30</v>
      </c>
      <c r="Y203" s="199"/>
      <c r="Z203" s="195">
        <v>27</v>
      </c>
      <c r="AA203" s="199"/>
      <c r="AB203" s="195">
        <v>0</v>
      </c>
      <c r="AC203" s="199"/>
      <c r="AD203" s="195" t="s">
        <v>322</v>
      </c>
      <c r="AE203" s="195" t="s">
        <v>1998</v>
      </c>
      <c r="AF203" s="195" t="s">
        <v>1999</v>
      </c>
      <c r="AG203" s="195">
        <v>17</v>
      </c>
      <c r="AH203" s="195" t="s">
        <v>308</v>
      </c>
      <c r="AI203" s="195">
        <v>0</v>
      </c>
      <c r="AJ203" s="195">
        <v>7</v>
      </c>
      <c r="AK203" s="195" t="s">
        <v>499</v>
      </c>
      <c r="AL203" s="195" t="s">
        <v>322</v>
      </c>
      <c r="AM203" s="199"/>
      <c r="AN203" s="195" t="s">
        <v>1622</v>
      </c>
      <c r="AO203" s="195" t="s">
        <v>2000</v>
      </c>
      <c r="AP203" s="195" t="s">
        <v>2001</v>
      </c>
      <c r="AQ203" s="195" t="s">
        <v>2002</v>
      </c>
      <c r="AR203" s="220" t="s">
        <v>1431</v>
      </c>
      <c r="AS203" s="195" t="s">
        <v>308</v>
      </c>
      <c r="AT203" s="199"/>
      <c r="AU203" s="202" t="s">
        <v>2003</v>
      </c>
      <c r="AV203" s="195" t="s">
        <v>1556</v>
      </c>
      <c r="AW203" s="195" t="str">
        <f ca="1">IFERROR(__xludf.DUMMYFUNCTION("IF(AND(IF(AS203=""Yes"",True,False),NOT(IFERROR(REGEXMATCH(AV203,ExclusionCategories),FALSE))),""Yes"", ""No"")"),"Yes")</f>
        <v>Yes</v>
      </c>
      <c r="AX203" s="195">
        <f ca="1">IFERROR(__xludf.DUMMYFUNCTION("IF(IFERROR(SEARCH(""Unclear"", Z203)) = 1, VALUE(REGEXEXTRACT(Z203,""\d+"")), Z203)"),27)</f>
        <v>27</v>
      </c>
      <c r="AY203" s="195">
        <v>27</v>
      </c>
      <c r="AZ203" s="195">
        <f ca="1">IFERROR(__xludf.DUMMYFUNCTION("IF(IFERROR(SEARCH(""Unclear"", AG203)) = 1, VALUE(REGEXEXTRACT(AG203,""\d+"")), AG203)"),17)</f>
        <v>17</v>
      </c>
      <c r="BA203" s="195">
        <v>17</v>
      </c>
      <c r="BB203" s="195">
        <f ca="1">IFERROR(__xludf.DUMMYFUNCTION("IF(IFERROR(SEARCH(""Unclear"", AJ203)) = 1, VALUE(REGEXEXTRACT(AJ203,""\d+"")), AJ203)"),7)</f>
        <v>7</v>
      </c>
      <c r="BC203" s="195">
        <v>7</v>
      </c>
      <c r="BD203" s="195" t="b">
        <f t="shared" si="2"/>
        <v>1</v>
      </c>
      <c r="BE203" s="195" t="b">
        <f t="shared" ref="BE203:BF203" si="214">IF(IFERROR(FIND("ND",AI203),0),FALSE,TRUE)</f>
        <v>1</v>
      </c>
      <c r="BF203" s="195" t="b">
        <f t="shared" si="214"/>
        <v>1</v>
      </c>
    </row>
    <row r="204" spans="1:58" ht="33" customHeight="1">
      <c r="A204" s="195" t="s">
        <v>2006</v>
      </c>
      <c r="B204" s="195">
        <v>1989</v>
      </c>
      <c r="C204" s="195" t="s">
        <v>441</v>
      </c>
      <c r="D204" s="4" t="s">
        <v>1529</v>
      </c>
      <c r="E204" s="239">
        <v>2536042</v>
      </c>
      <c r="F204" s="230" t="str">
        <f t="shared" si="195"/>
        <v>https://pubmed.ncbi.nlm.nih.gov/2536042</v>
      </c>
      <c r="G204" s="213" t="str">
        <f t="shared" si="89"/>
        <v>Lemanske 1989</v>
      </c>
      <c r="H204" s="217">
        <v>1989</v>
      </c>
      <c r="I204" s="199"/>
      <c r="J204" s="199"/>
      <c r="K204" s="195">
        <v>10</v>
      </c>
      <c r="L204" s="10"/>
      <c r="M204" s="195">
        <v>8</v>
      </c>
      <c r="N204" s="195">
        <v>2</v>
      </c>
      <c r="O204" s="199">
        <f>MEDIAN(26,25,24,32,33,40,32,44,24,26)</f>
        <v>29</v>
      </c>
      <c r="P204" s="199">
        <f>MIN(26,25,24,32,33,40,32,44,24,26)</f>
        <v>24</v>
      </c>
      <c r="Q204" s="199">
        <f>MAX(26,25,24,32,33,40,32,44,24,26)</f>
        <v>44</v>
      </c>
      <c r="R204" s="195" t="s">
        <v>324</v>
      </c>
      <c r="S204" s="195" t="s">
        <v>324</v>
      </c>
      <c r="T204" s="195">
        <v>30.6</v>
      </c>
      <c r="U204" s="195">
        <v>6.62</v>
      </c>
      <c r="V204" s="195" t="s">
        <v>2007</v>
      </c>
      <c r="W204" s="199"/>
      <c r="X204" s="195">
        <v>10</v>
      </c>
      <c r="Y204" s="199"/>
      <c r="Z204" s="195">
        <v>9</v>
      </c>
      <c r="AA204" s="195" t="s">
        <v>2008</v>
      </c>
      <c r="AB204" s="195">
        <v>0</v>
      </c>
      <c r="AC204" s="199"/>
      <c r="AD204" s="195" t="s">
        <v>322</v>
      </c>
      <c r="AE204" s="195" t="s">
        <v>2009</v>
      </c>
      <c r="AF204" s="195" t="s">
        <v>2010</v>
      </c>
      <c r="AG204" s="195">
        <v>10</v>
      </c>
      <c r="AH204" s="195" t="s">
        <v>511</v>
      </c>
      <c r="AI204" s="195">
        <v>0</v>
      </c>
      <c r="AJ204" s="195">
        <v>4</v>
      </c>
      <c r="AK204" s="195" t="s">
        <v>2011</v>
      </c>
      <c r="AL204" s="195" t="s">
        <v>322</v>
      </c>
      <c r="AM204" s="199"/>
      <c r="AN204" s="195" t="s">
        <v>699</v>
      </c>
      <c r="AO204" s="195" t="s">
        <v>2012</v>
      </c>
      <c r="AP204" s="195" t="s">
        <v>324</v>
      </c>
      <c r="AQ204" s="195" t="s">
        <v>324</v>
      </c>
      <c r="AR204" s="220" t="s">
        <v>1431</v>
      </c>
      <c r="AS204" s="195" t="s">
        <v>308</v>
      </c>
      <c r="AT204" s="199"/>
      <c r="AU204" s="202" t="s">
        <v>2013</v>
      </c>
      <c r="AV204" s="195" t="s">
        <v>571</v>
      </c>
      <c r="AW204" s="195" t="str">
        <f ca="1">IFERROR(__xludf.DUMMYFUNCTION("IF(AND(IF(AS204=""Yes"",True,False),NOT(IFERROR(REGEXMATCH(AV204,ExclusionCategories),FALSE))),""Yes"", ""No"")"),"Yes")</f>
        <v>Yes</v>
      </c>
      <c r="AX204" s="195">
        <f ca="1">IFERROR(__xludf.DUMMYFUNCTION("IF(IFERROR(SEARCH(""Unclear"", Z204)) = 1, VALUE(REGEXEXTRACT(Z204,""\d+"")), Z204)"),9)</f>
        <v>9</v>
      </c>
      <c r="AY204" s="195">
        <v>9</v>
      </c>
      <c r="AZ204" s="195">
        <f ca="1">IFERROR(__xludf.DUMMYFUNCTION("IF(IFERROR(SEARCH(""Unclear"", AG204)) = 1, VALUE(REGEXEXTRACT(AG204,""\d+"")), AG204)"),10)</f>
        <v>10</v>
      </c>
      <c r="BA204" s="195">
        <v>10</v>
      </c>
      <c r="BB204" s="195">
        <f ca="1">IFERROR(__xludf.DUMMYFUNCTION("IF(IFERROR(SEARCH(""Unclear"", AJ204)) = 1, VALUE(REGEXEXTRACT(AJ204,""\d+"")), AJ204)"),4)</f>
        <v>4</v>
      </c>
      <c r="BC204" s="195">
        <v>4</v>
      </c>
      <c r="BD204" s="195" t="b">
        <f t="shared" si="2"/>
        <v>1</v>
      </c>
      <c r="BE204" s="195" t="b">
        <f t="shared" ref="BE204:BF204" si="215">IF(IFERROR(FIND("ND",AI204),0),FALSE,TRUE)</f>
        <v>1</v>
      </c>
      <c r="BF204" s="195" t="b">
        <f t="shared" si="215"/>
        <v>1</v>
      </c>
    </row>
    <row r="205" spans="1:58" ht="33" customHeight="1">
      <c r="A205" s="218" t="s">
        <v>2014</v>
      </c>
      <c r="B205" s="241">
        <v>1979</v>
      </c>
      <c r="C205" s="195" t="s">
        <v>457</v>
      </c>
      <c r="D205" s="4" t="s">
        <v>2015</v>
      </c>
      <c r="E205" s="239">
        <v>479857</v>
      </c>
      <c r="F205" s="230" t="str">
        <f t="shared" si="195"/>
        <v>https://pubmed.ncbi.nlm.nih.gov/479857</v>
      </c>
      <c r="G205" s="213" t="str">
        <f t="shared" si="89"/>
        <v>Little 1979</v>
      </c>
      <c r="H205" s="217">
        <v>1979</v>
      </c>
      <c r="I205" s="199"/>
      <c r="J205" s="199"/>
      <c r="K205" s="195">
        <v>24</v>
      </c>
      <c r="L205" s="10"/>
      <c r="M205" s="195" t="s">
        <v>324</v>
      </c>
      <c r="N205" s="195" t="s">
        <v>324</v>
      </c>
      <c r="O205" s="195" t="s">
        <v>324</v>
      </c>
      <c r="P205" s="195" t="s">
        <v>324</v>
      </c>
      <c r="Q205" s="195" t="s">
        <v>324</v>
      </c>
      <c r="R205" s="195">
        <v>18</v>
      </c>
      <c r="S205" s="195">
        <v>25</v>
      </c>
      <c r="T205" s="195">
        <v>22.57</v>
      </c>
      <c r="U205" s="195" t="s">
        <v>324</v>
      </c>
      <c r="V205" s="195" t="s">
        <v>2016</v>
      </c>
      <c r="W205" s="199"/>
      <c r="X205" s="195">
        <v>24</v>
      </c>
      <c r="Y205" s="199"/>
      <c r="Z205" s="195">
        <v>24</v>
      </c>
      <c r="AA205" s="195"/>
      <c r="AB205" s="195">
        <v>0</v>
      </c>
      <c r="AC205" s="199"/>
      <c r="AD205" s="195" t="s">
        <v>322</v>
      </c>
      <c r="AE205" s="195" t="s">
        <v>2017</v>
      </c>
      <c r="AF205" s="195" t="s">
        <v>1549</v>
      </c>
      <c r="AG205" s="195">
        <v>22</v>
      </c>
      <c r="AH205" s="195" t="s">
        <v>308</v>
      </c>
      <c r="AI205" s="195">
        <v>0</v>
      </c>
      <c r="AJ205" s="195" t="s">
        <v>324</v>
      </c>
      <c r="AK205" s="195" t="s">
        <v>499</v>
      </c>
      <c r="AL205" s="195" t="s">
        <v>322</v>
      </c>
      <c r="AM205" s="199"/>
      <c r="AN205" s="195" t="s">
        <v>332</v>
      </c>
      <c r="AO205" s="195" t="s">
        <v>2018</v>
      </c>
      <c r="AP205" s="195" t="s">
        <v>2019</v>
      </c>
      <c r="AQ205" s="195" t="s">
        <v>324</v>
      </c>
      <c r="AR205" s="220" t="s">
        <v>1431</v>
      </c>
      <c r="AS205" s="195" t="s">
        <v>316</v>
      </c>
      <c r="AT205" s="199"/>
      <c r="AU205" s="202" t="s">
        <v>2020</v>
      </c>
      <c r="AV205" s="195" t="s">
        <v>1447</v>
      </c>
      <c r="AW205" s="195" t="str">
        <f ca="1">IFERROR(__xludf.DUMMYFUNCTION("IF(AND(IF(AS205=""Yes"",True,False),NOT(IFERROR(REGEXMATCH(AV205,ExclusionCategories),FALSE))),""Yes"", ""No"")"),"No")</f>
        <v>No</v>
      </c>
      <c r="AX205" s="195">
        <f ca="1">IFERROR(__xludf.DUMMYFUNCTION("IF(IFERROR(SEARCH(""Unclear"", Z205)) = 1, VALUE(REGEXEXTRACT(Z205,""\d+"")), Z205)"),24)</f>
        <v>24</v>
      </c>
      <c r="AY205" s="195">
        <v>24</v>
      </c>
      <c r="AZ205" s="195">
        <f ca="1">IFERROR(__xludf.DUMMYFUNCTION("IF(IFERROR(SEARCH(""Unclear"", AG205)) = 1, VALUE(REGEXEXTRACT(AG205,""\d+"")), AG205)"),22)</f>
        <v>22</v>
      </c>
      <c r="BA205" s="195">
        <v>22</v>
      </c>
      <c r="BB205" s="195" t="str">
        <f ca="1">IFERROR(__xludf.DUMMYFUNCTION("IF(IFERROR(SEARCH(""Unclear"", AJ205)) = 1, VALUE(REGEXEXTRACT(AJ205,""\d+"")), AJ205)"),"ND")</f>
        <v>ND</v>
      </c>
      <c r="BC205" s="195" t="s">
        <v>324</v>
      </c>
      <c r="BD205" s="195" t="b">
        <f t="shared" si="2"/>
        <v>1</v>
      </c>
      <c r="BE205" s="195" t="b">
        <f t="shared" ref="BE205:BF205" si="216">IF(IFERROR(FIND("ND",AI205),0),FALSE,TRUE)</f>
        <v>1</v>
      </c>
      <c r="BF205" s="195" t="b">
        <f t="shared" si="216"/>
        <v>0</v>
      </c>
    </row>
    <row r="206" spans="1:58" ht="33" customHeight="1">
      <c r="A206" s="218" t="s">
        <v>2021</v>
      </c>
      <c r="B206" s="241">
        <v>1992</v>
      </c>
      <c r="C206" s="195" t="s">
        <v>605</v>
      </c>
      <c r="D206" s="4" t="s">
        <v>2022</v>
      </c>
      <c r="E206" s="239">
        <v>1402032</v>
      </c>
      <c r="F206" s="230" t="str">
        <f t="shared" si="195"/>
        <v>https://pubmed.ncbi.nlm.nih.gov/1402032</v>
      </c>
      <c r="G206" s="213" t="str">
        <f t="shared" si="89"/>
        <v>Mackowiak 1992</v>
      </c>
      <c r="H206" s="195">
        <v>1987</v>
      </c>
      <c r="I206" s="199"/>
      <c r="J206" s="199"/>
      <c r="K206" s="195">
        <v>139</v>
      </c>
      <c r="L206" s="10"/>
      <c r="M206" s="195" t="s">
        <v>324</v>
      </c>
      <c r="N206" s="195" t="s">
        <v>324</v>
      </c>
      <c r="O206" s="195" t="s">
        <v>324</v>
      </c>
      <c r="P206" s="195" t="s">
        <v>324</v>
      </c>
      <c r="Q206" s="195" t="s">
        <v>324</v>
      </c>
      <c r="R206" s="195">
        <v>18</v>
      </c>
      <c r="S206" s="195">
        <v>40</v>
      </c>
      <c r="T206" s="195" t="s">
        <v>324</v>
      </c>
      <c r="U206" s="195" t="s">
        <v>324</v>
      </c>
      <c r="V206" s="195" t="s">
        <v>2023</v>
      </c>
      <c r="W206" s="199"/>
      <c r="X206" s="195">
        <v>139</v>
      </c>
      <c r="Y206" s="195" t="s">
        <v>2024</v>
      </c>
      <c r="Z206" s="195">
        <v>80</v>
      </c>
      <c r="AA206" s="195" t="s">
        <v>2025</v>
      </c>
      <c r="AB206" s="195">
        <v>0</v>
      </c>
      <c r="AC206" s="199"/>
      <c r="AD206" s="195" t="s">
        <v>322</v>
      </c>
      <c r="AE206" s="195" t="s">
        <v>332</v>
      </c>
      <c r="AF206" s="195" t="s">
        <v>2026</v>
      </c>
      <c r="AG206" s="195">
        <v>66</v>
      </c>
      <c r="AH206" s="195" t="s">
        <v>316</v>
      </c>
      <c r="AI206" s="195">
        <v>0</v>
      </c>
      <c r="AJ206" s="195" t="s">
        <v>324</v>
      </c>
      <c r="AK206" s="195" t="s">
        <v>499</v>
      </c>
      <c r="AL206" s="195" t="s">
        <v>322</v>
      </c>
      <c r="AM206" s="199"/>
      <c r="AN206" s="195" t="s">
        <v>2027</v>
      </c>
      <c r="AO206" s="195" t="s">
        <v>2028</v>
      </c>
      <c r="AP206" s="195" t="s">
        <v>2029</v>
      </c>
      <c r="AQ206" s="195" t="s">
        <v>324</v>
      </c>
      <c r="AR206" s="220" t="s">
        <v>1431</v>
      </c>
      <c r="AS206" s="195" t="s">
        <v>308</v>
      </c>
      <c r="AT206" s="199"/>
      <c r="AU206" s="202" t="s">
        <v>2030</v>
      </c>
      <c r="AV206" s="195" t="s">
        <v>571</v>
      </c>
      <c r="AW206" s="195" t="str">
        <f ca="1">IFERROR(__xludf.DUMMYFUNCTION("IF(AND(IF(AS206=""Yes"",True,False),NOT(IFERROR(REGEXMATCH(AV206,ExclusionCategories),FALSE))),""Yes"", ""No"")"),"Yes")</f>
        <v>Yes</v>
      </c>
      <c r="AX206" s="195">
        <f ca="1">IFERROR(__xludf.DUMMYFUNCTION("IF(IFERROR(SEARCH(""Unclear"", Z206)) = 1, VALUE(REGEXEXTRACT(Z206,""\d+"")), Z206)"),80)</f>
        <v>80</v>
      </c>
      <c r="AY206" s="195">
        <v>80</v>
      </c>
      <c r="AZ206" s="195">
        <f ca="1">IFERROR(__xludf.DUMMYFUNCTION("IF(IFERROR(SEARCH(""Unclear"", AG206)) = 1, VALUE(REGEXEXTRACT(AG206,""\d+"")), AG206)"),66)</f>
        <v>66</v>
      </c>
      <c r="BA206" s="195">
        <v>66</v>
      </c>
      <c r="BB206" s="195" t="str">
        <f ca="1">IFERROR(__xludf.DUMMYFUNCTION("IF(IFERROR(SEARCH(""Unclear"", AJ206)) = 1, VALUE(REGEXEXTRACT(AJ206,""\d+"")), AJ206)"),"ND")</f>
        <v>ND</v>
      </c>
      <c r="BC206" s="195" t="s">
        <v>324</v>
      </c>
      <c r="BD206" s="195" t="b">
        <f t="shared" si="2"/>
        <v>1</v>
      </c>
      <c r="BE206" s="195" t="b">
        <f t="shared" ref="BE206:BF206" si="217">IF(IFERROR(FIND("ND",AI206),0),FALSE,TRUE)</f>
        <v>1</v>
      </c>
      <c r="BF206" s="195" t="b">
        <f t="shared" si="217"/>
        <v>0</v>
      </c>
    </row>
    <row r="207" spans="1:58" ht="33" customHeight="1">
      <c r="A207" s="227" t="s">
        <v>2021</v>
      </c>
      <c r="B207" s="243">
        <v>1994</v>
      </c>
      <c r="C207" s="195" t="s">
        <v>2031</v>
      </c>
      <c r="D207" s="4" t="s">
        <v>2032</v>
      </c>
      <c r="E207" s="243">
        <v>7893886</v>
      </c>
      <c r="F207" s="228" t="str">
        <f>"https://pubmed.ncbi.nlm.nih.gov/?term="&amp;E207</f>
        <v>https://pubmed.ncbi.nlm.nih.gov/?term=7893886</v>
      </c>
      <c r="G207" s="213" t="str">
        <f t="shared" si="89"/>
        <v>Mackowiak 1994</v>
      </c>
      <c r="H207" s="217">
        <v>1994</v>
      </c>
      <c r="I207" s="199"/>
      <c r="J207" s="199"/>
      <c r="K207" s="195">
        <v>51</v>
      </c>
      <c r="L207" s="10"/>
      <c r="M207" s="195" t="s">
        <v>324</v>
      </c>
      <c r="N207" s="195" t="s">
        <v>324</v>
      </c>
      <c r="O207" s="195" t="s">
        <v>324</v>
      </c>
      <c r="P207" s="195" t="s">
        <v>324</v>
      </c>
      <c r="Q207" s="195" t="s">
        <v>324</v>
      </c>
      <c r="R207" s="195">
        <v>18</v>
      </c>
      <c r="S207" s="195">
        <v>40</v>
      </c>
      <c r="T207" s="195" t="s">
        <v>324</v>
      </c>
      <c r="U207" s="195" t="s">
        <v>324</v>
      </c>
      <c r="V207" s="195" t="s">
        <v>2033</v>
      </c>
      <c r="W207" s="199"/>
      <c r="X207" s="195">
        <v>51</v>
      </c>
      <c r="Y207" s="195"/>
      <c r="Z207" s="195">
        <v>45</v>
      </c>
      <c r="AA207" s="195"/>
      <c r="AB207" s="195">
        <v>0</v>
      </c>
      <c r="AC207" s="199"/>
      <c r="AD207" s="195" t="s">
        <v>322</v>
      </c>
      <c r="AE207" s="195" t="s">
        <v>2034</v>
      </c>
      <c r="AF207" s="195" t="s">
        <v>1549</v>
      </c>
      <c r="AG207" s="195">
        <v>36</v>
      </c>
      <c r="AH207" s="195" t="s">
        <v>316</v>
      </c>
      <c r="AI207" s="195">
        <v>0</v>
      </c>
      <c r="AJ207" s="195" t="s">
        <v>324</v>
      </c>
      <c r="AK207" s="195" t="s">
        <v>499</v>
      </c>
      <c r="AL207" s="195" t="s">
        <v>322</v>
      </c>
      <c r="AM207" s="199"/>
      <c r="AN207" s="195" t="s">
        <v>2035</v>
      </c>
      <c r="AO207" s="195" t="s">
        <v>2036</v>
      </c>
      <c r="AP207" s="195" t="s">
        <v>2037</v>
      </c>
      <c r="AQ207" s="195" t="s">
        <v>324</v>
      </c>
      <c r="AR207" s="220" t="s">
        <v>1431</v>
      </c>
      <c r="AS207" s="195" t="s">
        <v>308</v>
      </c>
      <c r="AT207" s="199"/>
      <c r="AU207" s="195" t="s">
        <v>2038</v>
      </c>
      <c r="AV207" s="195" t="s">
        <v>1842</v>
      </c>
      <c r="AW207" s="195" t="str">
        <f ca="1">IFERROR(__xludf.DUMMYFUNCTION("IF(AND(IF(AS207=""Yes"",True,False),NOT(IFERROR(REGEXMATCH(AV207,ExclusionCategories),FALSE))),""Yes"", ""No"")"),"Yes")</f>
        <v>Yes</v>
      </c>
      <c r="AX207" s="195">
        <f ca="1">IFERROR(__xludf.DUMMYFUNCTION("IF(IFERROR(SEARCH(""Unclear"", Z207)) = 1, VALUE(REGEXEXTRACT(Z207,""\d+"")), Z207)"),45)</f>
        <v>45</v>
      </c>
      <c r="AY207" s="195">
        <v>45</v>
      </c>
      <c r="AZ207" s="195">
        <f ca="1">IFERROR(__xludf.DUMMYFUNCTION("IF(IFERROR(SEARCH(""Unclear"", AG207)) = 1, VALUE(REGEXEXTRACT(AG207,""\d+"")), AG207)"),36)</f>
        <v>36</v>
      </c>
      <c r="BA207" s="195">
        <v>36</v>
      </c>
      <c r="BB207" s="195" t="str">
        <f ca="1">IFERROR(__xludf.DUMMYFUNCTION("IF(IFERROR(SEARCH(""Unclear"", AJ207)) = 1, VALUE(REGEXEXTRACT(AJ207,""\d+"")), AJ207)"),"ND")</f>
        <v>ND</v>
      </c>
      <c r="BC207" s="195" t="s">
        <v>324</v>
      </c>
      <c r="BD207" s="195" t="b">
        <f t="shared" si="2"/>
        <v>1</v>
      </c>
      <c r="BE207" s="195" t="b">
        <f t="shared" ref="BE207:BF207" si="218">IF(IFERROR(FIND("ND",AI207),0),FALSE,TRUE)</f>
        <v>1</v>
      </c>
      <c r="BF207" s="195" t="b">
        <f t="shared" si="218"/>
        <v>0</v>
      </c>
    </row>
    <row r="208" spans="1:58" ht="33" customHeight="1">
      <c r="A208" s="218" t="s">
        <v>2039</v>
      </c>
      <c r="B208" s="241">
        <v>1977</v>
      </c>
      <c r="C208" s="195" t="s">
        <v>457</v>
      </c>
      <c r="D208" s="4" t="s">
        <v>2040</v>
      </c>
      <c r="E208" s="239">
        <v>921245</v>
      </c>
      <c r="F208" s="230" t="str">
        <f t="shared" ref="F208:F237" si="219">"https://pubmed.ncbi.nlm.nih.gov/"&amp;E208</f>
        <v>https://pubmed.ncbi.nlm.nih.gov/921245</v>
      </c>
      <c r="G208" s="213" t="str">
        <f t="shared" si="89"/>
        <v>Magnussen 1977</v>
      </c>
      <c r="H208" s="217">
        <v>1977</v>
      </c>
      <c r="I208" s="199"/>
      <c r="J208" s="199"/>
      <c r="K208" s="195">
        <v>29</v>
      </c>
      <c r="L208" s="10"/>
      <c r="M208" s="195">
        <v>29</v>
      </c>
      <c r="N208" s="195">
        <v>0</v>
      </c>
      <c r="O208" s="195" t="s">
        <v>324</v>
      </c>
      <c r="P208" s="195" t="s">
        <v>324</v>
      </c>
      <c r="Q208" s="195" t="s">
        <v>324</v>
      </c>
      <c r="R208" s="195">
        <v>19</v>
      </c>
      <c r="S208" s="195">
        <v>30</v>
      </c>
      <c r="T208" s="195">
        <v>23</v>
      </c>
      <c r="U208" s="195" t="s">
        <v>324</v>
      </c>
      <c r="V208" s="195" t="s">
        <v>2041</v>
      </c>
      <c r="W208" s="199"/>
      <c r="X208" s="195">
        <v>29</v>
      </c>
      <c r="Y208" s="195" t="s">
        <v>2042</v>
      </c>
      <c r="Z208" s="195">
        <v>22</v>
      </c>
      <c r="AA208" s="195" t="s">
        <v>2043</v>
      </c>
      <c r="AB208" s="195">
        <v>0</v>
      </c>
      <c r="AC208" s="199"/>
      <c r="AD208" s="195" t="s">
        <v>322</v>
      </c>
      <c r="AE208" s="195" t="s">
        <v>2044</v>
      </c>
      <c r="AF208" s="195" t="s">
        <v>1549</v>
      </c>
      <c r="AG208" s="195">
        <v>24</v>
      </c>
      <c r="AH208" s="195" t="s">
        <v>308</v>
      </c>
      <c r="AI208" s="195">
        <v>0</v>
      </c>
      <c r="AJ208" s="195">
        <v>4</v>
      </c>
      <c r="AK208" s="195" t="s">
        <v>2045</v>
      </c>
      <c r="AL208" s="195" t="s">
        <v>322</v>
      </c>
      <c r="AM208" s="199"/>
      <c r="AN208" s="195" t="s">
        <v>2046</v>
      </c>
      <c r="AO208" s="195" t="s">
        <v>2047</v>
      </c>
      <c r="AP208" s="195" t="s">
        <v>2048</v>
      </c>
      <c r="AQ208" s="195" t="s">
        <v>2049</v>
      </c>
      <c r="AR208" s="220" t="s">
        <v>1431</v>
      </c>
      <c r="AS208" s="195" t="s">
        <v>316</v>
      </c>
      <c r="AT208" s="199"/>
      <c r="AU208" s="202" t="s">
        <v>2050</v>
      </c>
      <c r="AV208" s="195" t="s">
        <v>1447</v>
      </c>
      <c r="AW208" s="195" t="str">
        <f ca="1">IFERROR(__xludf.DUMMYFUNCTION("IF(AND(IF(AS208=""Yes"",True,False),NOT(IFERROR(REGEXMATCH(AV208,ExclusionCategories),FALSE))),""Yes"", ""No"")"),"No")</f>
        <v>No</v>
      </c>
      <c r="AX208" s="195">
        <f ca="1">IFERROR(__xludf.DUMMYFUNCTION("IF(IFERROR(SEARCH(""Unclear"", Z208)) = 1, VALUE(REGEXEXTRACT(Z208,""\d+"")), Z208)"),22)</f>
        <v>22</v>
      </c>
      <c r="AY208" s="195">
        <v>22</v>
      </c>
      <c r="AZ208" s="195">
        <f ca="1">IFERROR(__xludf.DUMMYFUNCTION("IF(IFERROR(SEARCH(""Unclear"", AG208)) = 1, VALUE(REGEXEXTRACT(AG208,""\d+"")), AG208)"),24)</f>
        <v>24</v>
      </c>
      <c r="BA208" s="195">
        <v>24</v>
      </c>
      <c r="BB208" s="195">
        <f ca="1">IFERROR(__xludf.DUMMYFUNCTION("IF(IFERROR(SEARCH(""Unclear"", AJ208)) = 1, VALUE(REGEXEXTRACT(AJ208,""\d+"")), AJ208)"),4)</f>
        <v>4</v>
      </c>
      <c r="BC208" s="195">
        <v>4</v>
      </c>
      <c r="BD208" s="195" t="b">
        <f t="shared" si="2"/>
        <v>1</v>
      </c>
      <c r="BE208" s="195" t="b">
        <f t="shared" ref="BE208:BF208" si="220">IF(IFERROR(FIND("ND",AI208),0),FALSE,TRUE)</f>
        <v>1</v>
      </c>
      <c r="BF208" s="195" t="b">
        <f t="shared" si="220"/>
        <v>1</v>
      </c>
    </row>
    <row r="209" spans="1:58" ht="36.75" customHeight="1">
      <c r="A209" s="227" t="s">
        <v>2051</v>
      </c>
      <c r="B209" s="195">
        <v>2006</v>
      </c>
      <c r="C209" s="195" t="s">
        <v>441</v>
      </c>
      <c r="D209" s="4" t="s">
        <v>1529</v>
      </c>
      <c r="E209" s="239">
        <v>16956406</v>
      </c>
      <c r="F209" s="230" t="str">
        <f t="shared" si="219"/>
        <v>https://pubmed.ncbi.nlm.nih.gov/16956406</v>
      </c>
      <c r="G209" s="213" t="str">
        <f t="shared" si="89"/>
        <v>Mallia 2006</v>
      </c>
      <c r="H209" s="217">
        <v>2006</v>
      </c>
      <c r="I209" s="199"/>
      <c r="J209" s="199"/>
      <c r="K209" s="195">
        <v>4</v>
      </c>
      <c r="L209" s="10"/>
      <c r="M209" s="195" t="s">
        <v>324</v>
      </c>
      <c r="N209" s="195" t="s">
        <v>324</v>
      </c>
      <c r="O209" s="195" t="s">
        <v>324</v>
      </c>
      <c r="P209" s="195" t="s">
        <v>324</v>
      </c>
      <c r="Q209" s="195" t="s">
        <v>324</v>
      </c>
      <c r="R209" s="195">
        <v>40</v>
      </c>
      <c r="S209" s="195">
        <v>75</v>
      </c>
      <c r="T209" s="195" t="s">
        <v>324</v>
      </c>
      <c r="U209" s="195" t="s">
        <v>324</v>
      </c>
      <c r="V209" s="195" t="s">
        <v>2052</v>
      </c>
      <c r="W209" s="195" t="s">
        <v>2053</v>
      </c>
      <c r="X209" s="195">
        <v>4</v>
      </c>
      <c r="Y209" s="199"/>
      <c r="Z209" s="195">
        <v>4</v>
      </c>
      <c r="AA209" s="199"/>
      <c r="AB209" s="195">
        <v>0</v>
      </c>
      <c r="AC209" s="199"/>
      <c r="AD209" s="195" t="s">
        <v>322</v>
      </c>
      <c r="AE209" s="195" t="s">
        <v>2054</v>
      </c>
      <c r="AF209" s="199"/>
      <c r="AG209" s="195">
        <v>0</v>
      </c>
      <c r="AH209" s="195" t="s">
        <v>511</v>
      </c>
      <c r="AI209" s="195">
        <v>0</v>
      </c>
      <c r="AJ209" s="195">
        <v>0</v>
      </c>
      <c r="AK209" s="195" t="s">
        <v>2055</v>
      </c>
      <c r="AL209" s="195" t="s">
        <v>322</v>
      </c>
      <c r="AM209" s="199"/>
      <c r="AN209" s="195" t="s">
        <v>699</v>
      </c>
      <c r="AO209" s="195" t="s">
        <v>2056</v>
      </c>
      <c r="AP209" s="195" t="s">
        <v>2057</v>
      </c>
      <c r="AQ209" s="195" t="s">
        <v>2058</v>
      </c>
      <c r="AR209" s="220" t="s">
        <v>1431</v>
      </c>
      <c r="AS209" s="195" t="s">
        <v>308</v>
      </c>
      <c r="AT209" s="199"/>
      <c r="AU209" s="202" t="s">
        <v>2059</v>
      </c>
      <c r="AV209" s="195" t="s">
        <v>9</v>
      </c>
      <c r="AW209" s="195" t="str">
        <f ca="1">IFERROR(__xludf.DUMMYFUNCTION("IF(AND(IF(AS209=""Yes"",True,False),NOT(IFERROR(REGEXMATCH(AV209,ExclusionCategories),FALSE))),""Yes"", ""No"")"),"Yes")</f>
        <v>Yes</v>
      </c>
      <c r="AX209" s="195">
        <f ca="1">IFERROR(__xludf.DUMMYFUNCTION("IF(IFERROR(SEARCH(""Unclear"", Z209)) = 1, VALUE(REGEXEXTRACT(Z209,""\d+"")), Z209)"),4)</f>
        <v>4</v>
      </c>
      <c r="AY209" s="195">
        <v>4</v>
      </c>
      <c r="AZ209" s="195">
        <f ca="1">IFERROR(__xludf.DUMMYFUNCTION("IF(IFERROR(SEARCH(""Unclear"", AG209)) = 1, VALUE(REGEXEXTRACT(AG209,""\d+"")), AG209)"),0)</f>
        <v>0</v>
      </c>
      <c r="BA209" s="195">
        <v>0</v>
      </c>
      <c r="BB209" s="195">
        <f ca="1">IFERROR(__xludf.DUMMYFUNCTION("IF(IFERROR(SEARCH(""Unclear"", AJ209)) = 1, VALUE(REGEXEXTRACT(AJ209,""\d+"")), AJ209)"),0)</f>
        <v>0</v>
      </c>
      <c r="BC209" s="195">
        <v>0</v>
      </c>
      <c r="BD209" s="195" t="b">
        <f t="shared" si="2"/>
        <v>1</v>
      </c>
      <c r="BE209" s="195" t="b">
        <f t="shared" ref="BE209:BF209" si="221">IF(IFERROR(FIND("ND",AI209),0),FALSE,TRUE)</f>
        <v>1</v>
      </c>
      <c r="BF209" s="195" t="b">
        <f t="shared" si="221"/>
        <v>1</v>
      </c>
    </row>
    <row r="210" spans="1:58" ht="36.75" customHeight="1">
      <c r="A210" s="218" t="s">
        <v>2060</v>
      </c>
      <c r="B210" s="241">
        <v>1998</v>
      </c>
      <c r="C210" s="195" t="s">
        <v>2061</v>
      </c>
      <c r="D210" s="4" t="s">
        <v>2062</v>
      </c>
      <c r="E210" s="239">
        <v>9728553</v>
      </c>
      <c r="F210" s="230" t="str">
        <f t="shared" si="219"/>
        <v>https://pubmed.ncbi.nlm.nih.gov/9728553</v>
      </c>
      <c r="G210" s="213" t="str">
        <f t="shared" si="89"/>
        <v>Moss 1998</v>
      </c>
      <c r="H210" s="217">
        <v>1998</v>
      </c>
      <c r="I210" s="199"/>
      <c r="J210" s="199"/>
      <c r="K210" s="195">
        <v>29</v>
      </c>
      <c r="L210" s="10"/>
      <c r="M210" s="195" t="s">
        <v>324</v>
      </c>
      <c r="N210" s="195" t="s">
        <v>324</v>
      </c>
      <c r="O210" s="195" t="s">
        <v>324</v>
      </c>
      <c r="P210" s="195" t="s">
        <v>324</v>
      </c>
      <c r="Q210" s="195" t="s">
        <v>324</v>
      </c>
      <c r="R210" s="195" t="s">
        <v>324</v>
      </c>
      <c r="S210" s="195" t="s">
        <v>324</v>
      </c>
      <c r="T210" s="195" t="s">
        <v>324</v>
      </c>
      <c r="U210" s="195" t="s">
        <v>324</v>
      </c>
      <c r="V210" s="195" t="s">
        <v>2063</v>
      </c>
      <c r="W210" s="195"/>
      <c r="X210" s="195">
        <v>29</v>
      </c>
      <c r="Y210" s="199"/>
      <c r="Z210" s="195">
        <v>18</v>
      </c>
      <c r="AA210" s="199"/>
      <c r="AB210" s="195">
        <v>0</v>
      </c>
      <c r="AC210" s="199"/>
      <c r="AD210" s="195" t="s">
        <v>322</v>
      </c>
      <c r="AE210" s="195" t="s">
        <v>2064</v>
      </c>
      <c r="AF210" s="195" t="s">
        <v>2065</v>
      </c>
      <c r="AG210" s="195">
        <v>11</v>
      </c>
      <c r="AH210" s="195" t="s">
        <v>316</v>
      </c>
      <c r="AI210" s="195">
        <v>0</v>
      </c>
      <c r="AJ210" s="195" t="s">
        <v>324</v>
      </c>
      <c r="AK210" s="195" t="s">
        <v>499</v>
      </c>
      <c r="AL210" s="195" t="s">
        <v>322</v>
      </c>
      <c r="AM210" s="199"/>
      <c r="AN210" s="195" t="s">
        <v>332</v>
      </c>
      <c r="AO210" s="195" t="s">
        <v>2066</v>
      </c>
      <c r="AP210" s="195" t="s">
        <v>2067</v>
      </c>
      <c r="AQ210" s="195" t="s">
        <v>324</v>
      </c>
      <c r="AR210" s="220" t="s">
        <v>1431</v>
      </c>
      <c r="AS210" s="195" t="s">
        <v>308</v>
      </c>
      <c r="AT210" s="199"/>
      <c r="AU210" s="202" t="s">
        <v>2068</v>
      </c>
      <c r="AV210" s="195" t="s">
        <v>571</v>
      </c>
      <c r="AW210" s="195" t="str">
        <f ca="1">IFERROR(__xludf.DUMMYFUNCTION("IF(AND(IF(AS210=""Yes"",True,False),NOT(IFERROR(REGEXMATCH(AV210,ExclusionCategories),FALSE))),""Yes"", ""No"")"),"Yes")</f>
        <v>Yes</v>
      </c>
      <c r="AX210" s="195">
        <f ca="1">IFERROR(__xludf.DUMMYFUNCTION("IF(IFERROR(SEARCH(""Unclear"", Z210)) = 1, VALUE(REGEXEXTRACT(Z210,""\d+"")), Z210)"),18)</f>
        <v>18</v>
      </c>
      <c r="AY210" s="195">
        <v>18</v>
      </c>
      <c r="AZ210" s="195">
        <f ca="1">IFERROR(__xludf.DUMMYFUNCTION("IF(IFERROR(SEARCH(""Unclear"", AG210)) = 1, VALUE(REGEXEXTRACT(AG210,""\d+"")), AG210)"),11)</f>
        <v>11</v>
      </c>
      <c r="BA210" s="195">
        <v>11</v>
      </c>
      <c r="BB210" s="195" t="str">
        <f ca="1">IFERROR(__xludf.DUMMYFUNCTION("IF(IFERROR(SEARCH(""Unclear"", AJ210)) = 1, VALUE(REGEXEXTRACT(AJ210,""\d+"")), AJ210)"),"ND")</f>
        <v>ND</v>
      </c>
      <c r="BC210" s="195" t="s">
        <v>324</v>
      </c>
      <c r="BD210" s="195" t="b">
        <f t="shared" si="2"/>
        <v>1</v>
      </c>
      <c r="BE210" s="195" t="b">
        <f t="shared" ref="BE210:BF210" si="222">IF(IFERROR(FIND("ND",AI210),0),FALSE,TRUE)</f>
        <v>1</v>
      </c>
      <c r="BF210" s="195" t="b">
        <f t="shared" si="222"/>
        <v>0</v>
      </c>
    </row>
    <row r="211" spans="1:58" ht="36.75" customHeight="1">
      <c r="A211" s="218" t="s">
        <v>2069</v>
      </c>
      <c r="B211" s="241">
        <v>1998</v>
      </c>
      <c r="C211" s="195" t="s">
        <v>457</v>
      </c>
      <c r="D211" s="4" t="s">
        <v>1516</v>
      </c>
      <c r="E211" s="239">
        <v>9726729</v>
      </c>
      <c r="F211" s="230" t="str">
        <f t="shared" si="219"/>
        <v>https://pubmed.ncbi.nlm.nih.gov/9726729</v>
      </c>
      <c r="G211" s="213" t="str">
        <f t="shared" si="89"/>
        <v>Murphy 1998</v>
      </c>
      <c r="H211" s="195">
        <v>1996</v>
      </c>
      <c r="I211" s="199"/>
      <c r="J211" s="199"/>
      <c r="K211" s="195">
        <v>14</v>
      </c>
      <c r="L211" s="10"/>
      <c r="M211" s="195">
        <v>10</v>
      </c>
      <c r="N211" s="195">
        <v>4</v>
      </c>
      <c r="O211" s="195" t="s">
        <v>324</v>
      </c>
      <c r="P211" s="195">
        <v>18</v>
      </c>
      <c r="Q211" s="195">
        <v>40</v>
      </c>
      <c r="R211" s="195">
        <v>18</v>
      </c>
      <c r="S211" s="195" t="s">
        <v>324</v>
      </c>
      <c r="T211" s="195">
        <v>25.4</v>
      </c>
      <c r="U211" s="195" t="s">
        <v>324</v>
      </c>
      <c r="V211" s="195" t="s">
        <v>2070</v>
      </c>
      <c r="W211" s="195"/>
      <c r="X211" s="195">
        <v>14</v>
      </c>
      <c r="Y211" s="199"/>
      <c r="Z211" s="195">
        <v>14</v>
      </c>
      <c r="AA211" s="199"/>
      <c r="AB211" s="195">
        <v>0</v>
      </c>
      <c r="AC211" s="199"/>
      <c r="AD211" s="195" t="s">
        <v>322</v>
      </c>
      <c r="AE211" s="195" t="s">
        <v>2071</v>
      </c>
      <c r="AF211" s="195" t="s">
        <v>2072</v>
      </c>
      <c r="AG211" s="195" t="s">
        <v>1059</v>
      </c>
      <c r="AH211" s="195" t="s">
        <v>308</v>
      </c>
      <c r="AI211" s="195">
        <v>0</v>
      </c>
      <c r="AJ211" s="195" t="s">
        <v>324</v>
      </c>
      <c r="AK211" s="195" t="s">
        <v>499</v>
      </c>
      <c r="AL211" s="195" t="s">
        <v>322</v>
      </c>
      <c r="AM211" s="199"/>
      <c r="AN211" s="195" t="s">
        <v>2073</v>
      </c>
      <c r="AO211" s="195" t="s">
        <v>2074</v>
      </c>
      <c r="AP211" s="195" t="s">
        <v>324</v>
      </c>
      <c r="AQ211" s="195" t="s">
        <v>2075</v>
      </c>
      <c r="AR211" s="220" t="s">
        <v>1431</v>
      </c>
      <c r="AS211" s="195" t="s">
        <v>308</v>
      </c>
      <c r="AT211" s="199"/>
      <c r="AU211" s="202" t="s">
        <v>2076</v>
      </c>
      <c r="AV211" s="195" t="s">
        <v>571</v>
      </c>
      <c r="AW211" s="195" t="str">
        <f ca="1">IFERROR(__xludf.DUMMYFUNCTION("IF(AND(IF(AS211=""Yes"",True,False),NOT(IFERROR(REGEXMATCH(AV211,ExclusionCategories),FALSE))),""Yes"", ""No"")"),"Yes")</f>
        <v>Yes</v>
      </c>
      <c r="AX211" s="195">
        <f ca="1">IFERROR(__xludf.DUMMYFUNCTION("IF(IFERROR(SEARCH(""Unclear"", Z211)) = 1, VALUE(REGEXEXTRACT(Z211,""\d+"")), Z211)"),14)</f>
        <v>14</v>
      </c>
      <c r="AY211" s="195">
        <v>14</v>
      </c>
      <c r="AZ211" s="195">
        <f ca="1">IFERROR(__xludf.DUMMYFUNCTION("IF(IFERROR(SEARCH(""Unclear"", AG211)) = 1, VALUE(REGEXEXTRACT(AG211,""\d+"")), AG211)"),10)</f>
        <v>10</v>
      </c>
      <c r="BA211" s="195">
        <v>14</v>
      </c>
      <c r="BB211" s="195" t="str">
        <f ca="1">IFERROR(__xludf.DUMMYFUNCTION("IF(IFERROR(SEARCH(""Unclear"", AJ211)) = 1, VALUE(REGEXEXTRACT(AJ211,""\d+"")), AJ211)"),"ND")</f>
        <v>ND</v>
      </c>
      <c r="BC211" s="195" t="s">
        <v>324</v>
      </c>
      <c r="BD211" s="195" t="b">
        <f t="shared" si="2"/>
        <v>1</v>
      </c>
      <c r="BE211" s="195" t="b">
        <f t="shared" ref="BE211:BF211" si="223">IF(IFERROR(FIND("ND",AI211),0),FALSE,TRUE)</f>
        <v>1</v>
      </c>
      <c r="BF211" s="195" t="b">
        <f t="shared" si="223"/>
        <v>0</v>
      </c>
    </row>
    <row r="212" spans="1:58" ht="36.75" customHeight="1">
      <c r="A212" s="218" t="s">
        <v>2077</v>
      </c>
      <c r="B212" s="241">
        <v>1978</v>
      </c>
      <c r="C212" s="195" t="s">
        <v>457</v>
      </c>
      <c r="D212" s="4" t="s">
        <v>2078</v>
      </c>
      <c r="E212" s="239">
        <v>669819</v>
      </c>
      <c r="F212" s="230" t="str">
        <f t="shared" si="219"/>
        <v>https://pubmed.ncbi.nlm.nih.gov/669819</v>
      </c>
      <c r="G212" s="213" t="str">
        <f t="shared" si="89"/>
        <v>Murphy 1978</v>
      </c>
      <c r="H212" s="217">
        <v>1978</v>
      </c>
      <c r="I212" s="199"/>
      <c r="J212" s="199"/>
      <c r="K212" s="195">
        <v>97</v>
      </c>
      <c r="L212" s="4" t="s">
        <v>2079</v>
      </c>
      <c r="M212" s="195" t="s">
        <v>324</v>
      </c>
      <c r="N212" s="195" t="s">
        <v>324</v>
      </c>
      <c r="O212" s="195" t="s">
        <v>324</v>
      </c>
      <c r="P212" s="195" t="s">
        <v>324</v>
      </c>
      <c r="Q212" s="195" t="s">
        <v>324</v>
      </c>
      <c r="R212" s="195" t="s">
        <v>324</v>
      </c>
      <c r="S212" s="195" t="s">
        <v>324</v>
      </c>
      <c r="T212" s="195" t="s">
        <v>324</v>
      </c>
      <c r="U212" s="195" t="s">
        <v>324</v>
      </c>
      <c r="V212" s="195" t="s">
        <v>2080</v>
      </c>
      <c r="W212" s="195"/>
      <c r="X212" s="195">
        <v>97</v>
      </c>
      <c r="Y212" s="195" t="s">
        <v>2081</v>
      </c>
      <c r="Z212" s="195">
        <v>81</v>
      </c>
      <c r="AA212" s="199"/>
      <c r="AB212" s="195">
        <v>0</v>
      </c>
      <c r="AC212" s="199"/>
      <c r="AD212" s="195" t="s">
        <v>322</v>
      </c>
      <c r="AE212" s="195" t="s">
        <v>2082</v>
      </c>
      <c r="AF212" s="195" t="s">
        <v>1958</v>
      </c>
      <c r="AG212" s="195">
        <v>24</v>
      </c>
      <c r="AH212" s="195" t="s">
        <v>316</v>
      </c>
      <c r="AI212" s="195">
        <v>0</v>
      </c>
      <c r="AJ212" s="195" t="s">
        <v>324</v>
      </c>
      <c r="AK212" s="195" t="s">
        <v>499</v>
      </c>
      <c r="AL212" s="195" t="s">
        <v>322</v>
      </c>
      <c r="AM212" s="199"/>
      <c r="AN212" s="195" t="s">
        <v>332</v>
      </c>
      <c r="AO212" s="195" t="s">
        <v>324</v>
      </c>
      <c r="AP212" s="195" t="s">
        <v>2083</v>
      </c>
      <c r="AQ212" s="195" t="s">
        <v>324</v>
      </c>
      <c r="AR212" s="220" t="s">
        <v>1431</v>
      </c>
      <c r="AS212" s="195" t="s">
        <v>316</v>
      </c>
      <c r="AT212" s="199"/>
      <c r="AU212" s="202" t="s">
        <v>2084</v>
      </c>
      <c r="AV212" s="195" t="s">
        <v>1567</v>
      </c>
      <c r="AW212" s="195" t="str">
        <f ca="1">IFERROR(__xludf.DUMMYFUNCTION("IF(AND(IF(AS212=""Yes"",True,False),NOT(IFERROR(REGEXMATCH(AV212,ExclusionCategories),FALSE))),""Yes"", ""No"")"),"No")</f>
        <v>No</v>
      </c>
      <c r="AX212" s="195">
        <f ca="1">IFERROR(__xludf.DUMMYFUNCTION("IF(IFERROR(SEARCH(""Unclear"", Z212)) = 1, VALUE(REGEXEXTRACT(Z212,""\d+"")), Z212)"),81)</f>
        <v>81</v>
      </c>
      <c r="AY212" s="195">
        <v>81</v>
      </c>
      <c r="AZ212" s="195">
        <f ca="1">IFERROR(__xludf.DUMMYFUNCTION("IF(IFERROR(SEARCH(""Unclear"", AG212)) = 1, VALUE(REGEXEXTRACT(AG212,""\d+"")), AG212)"),24)</f>
        <v>24</v>
      </c>
      <c r="BA212" s="195">
        <v>24</v>
      </c>
      <c r="BB212" s="195" t="str">
        <f ca="1">IFERROR(__xludf.DUMMYFUNCTION("IF(IFERROR(SEARCH(""Unclear"", AJ212)) = 1, VALUE(REGEXEXTRACT(AJ212,""\d+"")), AJ212)"),"ND")</f>
        <v>ND</v>
      </c>
      <c r="BC212" s="195" t="s">
        <v>324</v>
      </c>
      <c r="BD212" s="195" t="b">
        <f t="shared" si="2"/>
        <v>1</v>
      </c>
      <c r="BE212" s="195" t="b">
        <f t="shared" ref="BE212:BF212" si="224">IF(IFERROR(FIND("ND",AI212),0),FALSE,TRUE)</f>
        <v>1</v>
      </c>
      <c r="BF212" s="195" t="b">
        <f t="shared" si="224"/>
        <v>0</v>
      </c>
    </row>
    <row r="213" spans="1:58" ht="36.75" customHeight="1">
      <c r="A213" s="218" t="s">
        <v>2077</v>
      </c>
      <c r="B213" s="241">
        <v>1978</v>
      </c>
      <c r="C213" s="195" t="s">
        <v>457</v>
      </c>
      <c r="D213" s="4" t="s">
        <v>2085</v>
      </c>
      <c r="E213" s="239">
        <v>669819</v>
      </c>
      <c r="F213" s="230" t="str">
        <f t="shared" si="219"/>
        <v>https://pubmed.ncbi.nlm.nih.gov/669819</v>
      </c>
      <c r="G213" s="213" t="str">
        <f t="shared" si="89"/>
        <v>Murphy 1978</v>
      </c>
      <c r="H213" s="217">
        <v>1978</v>
      </c>
      <c r="I213" s="199"/>
      <c r="J213" s="199"/>
      <c r="K213" s="195">
        <v>18</v>
      </c>
      <c r="L213" s="4" t="s">
        <v>2086</v>
      </c>
      <c r="M213" s="195" t="s">
        <v>324</v>
      </c>
      <c r="N213" s="195" t="s">
        <v>324</v>
      </c>
      <c r="O213" s="195" t="s">
        <v>324</v>
      </c>
      <c r="P213" s="195" t="s">
        <v>324</v>
      </c>
      <c r="Q213" s="195" t="s">
        <v>324</v>
      </c>
      <c r="R213" s="195" t="s">
        <v>324</v>
      </c>
      <c r="S213" s="195" t="s">
        <v>324</v>
      </c>
      <c r="T213" s="195" t="s">
        <v>324</v>
      </c>
      <c r="U213" s="195" t="s">
        <v>324</v>
      </c>
      <c r="V213" s="195" t="s">
        <v>2080</v>
      </c>
      <c r="W213" s="195"/>
      <c r="X213" s="195">
        <v>18</v>
      </c>
      <c r="Y213" s="195" t="s">
        <v>2087</v>
      </c>
      <c r="Z213" s="195">
        <v>15</v>
      </c>
      <c r="AA213" s="199"/>
      <c r="AB213" s="195">
        <v>0</v>
      </c>
      <c r="AC213" s="199"/>
      <c r="AD213" s="195" t="s">
        <v>322</v>
      </c>
      <c r="AE213" s="195" t="s">
        <v>2082</v>
      </c>
      <c r="AF213" s="195" t="s">
        <v>1958</v>
      </c>
      <c r="AG213" s="195" t="s">
        <v>1030</v>
      </c>
      <c r="AH213" s="195" t="s">
        <v>316</v>
      </c>
      <c r="AI213" s="195">
        <v>0</v>
      </c>
      <c r="AJ213" s="195" t="s">
        <v>324</v>
      </c>
      <c r="AK213" s="195" t="s">
        <v>499</v>
      </c>
      <c r="AL213" s="195" t="s">
        <v>322</v>
      </c>
      <c r="AM213" s="199"/>
      <c r="AN213" s="195" t="s">
        <v>332</v>
      </c>
      <c r="AO213" s="195" t="s">
        <v>324</v>
      </c>
      <c r="AP213" s="195" t="s">
        <v>2083</v>
      </c>
      <c r="AQ213" s="195" t="s">
        <v>324</v>
      </c>
      <c r="AR213" s="220" t="s">
        <v>1431</v>
      </c>
      <c r="AS213" s="195" t="s">
        <v>316</v>
      </c>
      <c r="AT213" s="199"/>
      <c r="AU213" s="202" t="s">
        <v>2084</v>
      </c>
      <c r="AV213" s="195" t="s">
        <v>1447</v>
      </c>
      <c r="AW213" s="195" t="str">
        <f ca="1">IFERROR(__xludf.DUMMYFUNCTION("IF(AND(IF(AS213=""Yes"",True,False),NOT(IFERROR(REGEXMATCH(AV213,ExclusionCategories),FALSE))),""Yes"", ""No"")"),"No")</f>
        <v>No</v>
      </c>
      <c r="AX213" s="195">
        <f ca="1">IFERROR(__xludf.DUMMYFUNCTION("IF(IFERROR(SEARCH(""Unclear"", Z213)) = 1, VALUE(REGEXEXTRACT(Z213,""\d+"")), Z213)"),15)</f>
        <v>15</v>
      </c>
      <c r="AY213" s="195">
        <v>15</v>
      </c>
      <c r="AZ213" s="195">
        <f ca="1">IFERROR(__xludf.DUMMYFUNCTION("IF(IFERROR(SEARCH(""Unclear"", AG213)) = 1, VALUE(REGEXEXTRACT(AG213,""\d+"")), AG213)"),8)</f>
        <v>8</v>
      </c>
      <c r="BA213" s="195">
        <v>18</v>
      </c>
      <c r="BB213" s="195" t="str">
        <f ca="1">IFERROR(__xludf.DUMMYFUNCTION("IF(IFERROR(SEARCH(""Unclear"", AJ213)) = 1, VALUE(REGEXEXTRACT(AJ213,""\d+"")), AJ213)"),"ND")</f>
        <v>ND</v>
      </c>
      <c r="BC213" s="195" t="s">
        <v>324</v>
      </c>
      <c r="BD213" s="195" t="b">
        <f t="shared" si="2"/>
        <v>1</v>
      </c>
      <c r="BE213" s="195" t="b">
        <f t="shared" ref="BE213:BF213" si="225">IF(IFERROR(FIND("ND",AI213),0),FALSE,TRUE)</f>
        <v>1</v>
      </c>
      <c r="BF213" s="195" t="b">
        <f t="shared" si="225"/>
        <v>0</v>
      </c>
    </row>
    <row r="214" spans="1:58" ht="36.75" customHeight="1">
      <c r="A214" s="218" t="s">
        <v>2077</v>
      </c>
      <c r="B214" s="241">
        <v>1978</v>
      </c>
      <c r="C214" s="195" t="s">
        <v>457</v>
      </c>
      <c r="D214" s="4" t="s">
        <v>2085</v>
      </c>
      <c r="E214" s="239">
        <v>669819</v>
      </c>
      <c r="F214" s="230" t="str">
        <f t="shared" si="219"/>
        <v>https://pubmed.ncbi.nlm.nih.gov/669819</v>
      </c>
      <c r="G214" s="213" t="str">
        <f t="shared" si="89"/>
        <v>Murphy 1978</v>
      </c>
      <c r="H214" s="217">
        <v>1978</v>
      </c>
      <c r="I214" s="199"/>
      <c r="J214" s="199"/>
      <c r="K214" s="195">
        <v>21</v>
      </c>
      <c r="L214" s="4" t="s">
        <v>2088</v>
      </c>
      <c r="M214" s="195" t="s">
        <v>324</v>
      </c>
      <c r="N214" s="195" t="s">
        <v>324</v>
      </c>
      <c r="O214" s="195" t="s">
        <v>324</v>
      </c>
      <c r="P214" s="195" t="s">
        <v>324</v>
      </c>
      <c r="Q214" s="195" t="s">
        <v>324</v>
      </c>
      <c r="R214" s="195" t="s">
        <v>324</v>
      </c>
      <c r="S214" s="195" t="s">
        <v>324</v>
      </c>
      <c r="T214" s="195" t="s">
        <v>324</v>
      </c>
      <c r="U214" s="195" t="s">
        <v>324</v>
      </c>
      <c r="V214" s="195" t="s">
        <v>2080</v>
      </c>
      <c r="W214" s="195"/>
      <c r="X214" s="195">
        <v>21</v>
      </c>
      <c r="Y214" s="195" t="s">
        <v>2089</v>
      </c>
      <c r="Z214" s="195">
        <v>17</v>
      </c>
      <c r="AA214" s="195" t="s">
        <v>2090</v>
      </c>
      <c r="AB214" s="195">
        <v>0</v>
      </c>
      <c r="AC214" s="199"/>
      <c r="AD214" s="195" t="s">
        <v>322</v>
      </c>
      <c r="AE214" s="195" t="s">
        <v>2082</v>
      </c>
      <c r="AF214" s="195" t="s">
        <v>1958</v>
      </c>
      <c r="AG214" s="195">
        <v>10</v>
      </c>
      <c r="AH214" s="195" t="s">
        <v>316</v>
      </c>
      <c r="AI214" s="195">
        <v>0</v>
      </c>
      <c r="AJ214" s="195" t="s">
        <v>324</v>
      </c>
      <c r="AK214" s="195" t="s">
        <v>499</v>
      </c>
      <c r="AL214" s="195" t="s">
        <v>322</v>
      </c>
      <c r="AM214" s="199"/>
      <c r="AN214" s="195" t="s">
        <v>332</v>
      </c>
      <c r="AO214" s="195" t="s">
        <v>324</v>
      </c>
      <c r="AP214" s="195" t="s">
        <v>2083</v>
      </c>
      <c r="AQ214" s="195" t="s">
        <v>324</v>
      </c>
      <c r="AR214" s="220" t="s">
        <v>1431</v>
      </c>
      <c r="AS214" s="195" t="s">
        <v>316</v>
      </c>
      <c r="AT214" s="199"/>
      <c r="AU214" s="202" t="s">
        <v>2084</v>
      </c>
      <c r="AV214" s="195" t="s">
        <v>1447</v>
      </c>
      <c r="AW214" s="195" t="str">
        <f ca="1">IFERROR(__xludf.DUMMYFUNCTION("IF(AND(IF(AS214=""Yes"",True,False),NOT(IFERROR(REGEXMATCH(AV214,ExclusionCategories),FALSE))),""Yes"", ""No"")"),"No")</f>
        <v>No</v>
      </c>
      <c r="AX214" s="195">
        <f ca="1">IFERROR(__xludf.DUMMYFUNCTION("IF(IFERROR(SEARCH(""Unclear"", Z214)) = 1, VALUE(REGEXEXTRACT(Z214,""\d+"")), Z214)"),17)</f>
        <v>17</v>
      </c>
      <c r="AY214" s="195">
        <v>17</v>
      </c>
      <c r="AZ214" s="195">
        <f ca="1">IFERROR(__xludf.DUMMYFUNCTION("IF(IFERROR(SEARCH(""Unclear"", AG214)) = 1, VALUE(REGEXEXTRACT(AG214,""\d+"")), AG214)"),10)</f>
        <v>10</v>
      </c>
      <c r="BA214" s="195">
        <v>10</v>
      </c>
      <c r="BB214" s="195" t="str">
        <f ca="1">IFERROR(__xludf.DUMMYFUNCTION("IF(IFERROR(SEARCH(""Unclear"", AJ214)) = 1, VALUE(REGEXEXTRACT(AJ214,""\d+"")), AJ214)"),"ND")</f>
        <v>ND</v>
      </c>
      <c r="BC214" s="195" t="s">
        <v>324</v>
      </c>
      <c r="BD214" s="195" t="b">
        <f t="shared" si="2"/>
        <v>1</v>
      </c>
      <c r="BE214" s="195" t="b">
        <f t="shared" ref="BE214:BF214" si="226">IF(IFERROR(FIND("ND",AI214),0),FALSE,TRUE)</f>
        <v>1</v>
      </c>
      <c r="BF214" s="195" t="b">
        <f t="shared" si="226"/>
        <v>0</v>
      </c>
    </row>
    <row r="215" spans="1:58" ht="36.75" customHeight="1">
      <c r="A215" s="218" t="s">
        <v>2091</v>
      </c>
      <c r="B215" s="241">
        <v>2000</v>
      </c>
      <c r="C215" s="195" t="s">
        <v>359</v>
      </c>
      <c r="D215" s="4" t="s">
        <v>2092</v>
      </c>
      <c r="E215" s="239">
        <v>10998316</v>
      </c>
      <c r="F215" s="230" t="str">
        <f t="shared" si="219"/>
        <v>https://pubmed.ncbi.nlm.nih.gov/10998316</v>
      </c>
      <c r="G215" s="213" t="str">
        <f t="shared" si="89"/>
        <v>Noah 2000</v>
      </c>
      <c r="H215" s="217">
        <v>2000</v>
      </c>
      <c r="I215" s="199"/>
      <c r="J215" s="199"/>
      <c r="K215" s="195">
        <v>15</v>
      </c>
      <c r="L215" s="4"/>
      <c r="M215" s="195" t="s">
        <v>324</v>
      </c>
      <c r="N215" s="195" t="s">
        <v>324</v>
      </c>
      <c r="O215" s="195" t="s">
        <v>324</v>
      </c>
      <c r="P215" s="195" t="s">
        <v>324</v>
      </c>
      <c r="Q215" s="195" t="s">
        <v>324</v>
      </c>
      <c r="R215" s="195">
        <v>18</v>
      </c>
      <c r="S215" s="195">
        <v>35</v>
      </c>
      <c r="T215" s="195" t="s">
        <v>324</v>
      </c>
      <c r="U215" s="195" t="s">
        <v>324</v>
      </c>
      <c r="V215" s="195" t="s">
        <v>2093</v>
      </c>
      <c r="W215" s="195"/>
      <c r="X215" s="195">
        <v>10</v>
      </c>
      <c r="Y215" s="195" t="s">
        <v>2094</v>
      </c>
      <c r="Z215" s="195">
        <v>3</v>
      </c>
      <c r="AA215" s="195"/>
      <c r="AB215" s="195">
        <v>5</v>
      </c>
      <c r="AC215" s="199"/>
      <c r="AD215" s="195">
        <v>0</v>
      </c>
      <c r="AE215" s="195" t="s">
        <v>2095</v>
      </c>
      <c r="AF215" s="195" t="s">
        <v>1958</v>
      </c>
      <c r="AG215" s="195">
        <v>3</v>
      </c>
      <c r="AH215" s="195" t="s">
        <v>316</v>
      </c>
      <c r="AI215" s="195">
        <v>0</v>
      </c>
      <c r="AJ215" s="195" t="s">
        <v>324</v>
      </c>
      <c r="AK215" s="195" t="s">
        <v>2096</v>
      </c>
      <c r="AL215" s="195">
        <v>0</v>
      </c>
      <c r="AM215" s="199"/>
      <c r="AN215" s="195" t="s">
        <v>332</v>
      </c>
      <c r="AO215" s="195" t="s">
        <v>2097</v>
      </c>
      <c r="AP215" s="195" t="s">
        <v>2098</v>
      </c>
      <c r="AQ215" s="195" t="s">
        <v>324</v>
      </c>
      <c r="AR215" s="220" t="s">
        <v>1431</v>
      </c>
      <c r="AS215" s="195" t="s">
        <v>308</v>
      </c>
      <c r="AT215" s="199"/>
      <c r="AU215" s="202" t="s">
        <v>2099</v>
      </c>
      <c r="AV215" s="195" t="s">
        <v>571</v>
      </c>
      <c r="AW215" s="195" t="str">
        <f ca="1">IFERROR(__xludf.DUMMYFUNCTION("IF(AND(IF(AS215=""Yes"",True,False),NOT(IFERROR(REGEXMATCH(AV215,ExclusionCategories),FALSE))),""Yes"", ""No"")"),"Yes")</f>
        <v>Yes</v>
      </c>
      <c r="AX215" s="195">
        <f ca="1">IFERROR(__xludf.DUMMYFUNCTION("IF(IFERROR(SEARCH(""Unclear"", Z215)) = 1, VALUE(REGEXEXTRACT(Z215,""\d+"")), Z215)"),3)</f>
        <v>3</v>
      </c>
      <c r="AY215" s="195">
        <v>3</v>
      </c>
      <c r="AZ215" s="195">
        <f ca="1">IFERROR(__xludf.DUMMYFUNCTION("IF(IFERROR(SEARCH(""Unclear"", AG215)) = 1, VALUE(REGEXEXTRACT(AG215,""\d+"")), AG215)"),3)</f>
        <v>3</v>
      </c>
      <c r="BA215" s="195">
        <v>3</v>
      </c>
      <c r="BB215" s="195" t="str">
        <f ca="1">IFERROR(__xludf.DUMMYFUNCTION("IF(IFERROR(SEARCH(""Unclear"", AJ215)) = 1, VALUE(REGEXEXTRACT(AJ215,""\d+"")), AJ215)"),"ND")</f>
        <v>ND</v>
      </c>
      <c r="BC215" s="195" t="s">
        <v>324</v>
      </c>
      <c r="BD215" s="195" t="b">
        <f t="shared" si="2"/>
        <v>1</v>
      </c>
      <c r="BE215" s="195" t="b">
        <f t="shared" ref="BE215:BF215" si="227">IF(IFERROR(FIND("ND",AI215),0),FALSE,TRUE)</f>
        <v>1</v>
      </c>
      <c r="BF215" s="195" t="b">
        <f t="shared" si="227"/>
        <v>0</v>
      </c>
    </row>
    <row r="216" spans="1:58" ht="36.75" customHeight="1">
      <c r="A216" s="218" t="s">
        <v>2100</v>
      </c>
      <c r="B216" s="241">
        <v>1990</v>
      </c>
      <c r="C216" s="195" t="s">
        <v>457</v>
      </c>
      <c r="D216" s="4" t="s">
        <v>2101</v>
      </c>
      <c r="E216" s="239">
        <v>2310304</v>
      </c>
      <c r="F216" s="230" t="str">
        <f t="shared" si="219"/>
        <v>https://pubmed.ncbi.nlm.nih.gov/2310304</v>
      </c>
      <c r="G216" s="213" t="str">
        <f t="shared" si="89"/>
        <v>Oxford 1990</v>
      </c>
      <c r="H216" s="217">
        <v>1990</v>
      </c>
      <c r="I216" s="199"/>
      <c r="J216" s="199"/>
      <c r="K216" s="195">
        <v>28</v>
      </c>
      <c r="L216" s="4" t="s">
        <v>2102</v>
      </c>
      <c r="M216" s="195" t="s">
        <v>324</v>
      </c>
      <c r="N216" s="195" t="s">
        <v>324</v>
      </c>
      <c r="O216" s="195" t="s">
        <v>324</v>
      </c>
      <c r="P216" s="195" t="s">
        <v>324</v>
      </c>
      <c r="Q216" s="195" t="s">
        <v>324</v>
      </c>
      <c r="R216" s="195" t="s">
        <v>324</v>
      </c>
      <c r="S216" s="195" t="s">
        <v>324</v>
      </c>
      <c r="T216" s="195" t="s">
        <v>324</v>
      </c>
      <c r="U216" s="195" t="s">
        <v>324</v>
      </c>
      <c r="V216" s="195" t="s">
        <v>2103</v>
      </c>
      <c r="W216" s="195"/>
      <c r="X216" s="195">
        <v>28</v>
      </c>
      <c r="Y216" s="195"/>
      <c r="Z216" s="195">
        <v>10</v>
      </c>
      <c r="AA216" s="195"/>
      <c r="AB216" s="195">
        <v>0</v>
      </c>
      <c r="AC216" s="199"/>
      <c r="AD216" s="195" t="s">
        <v>322</v>
      </c>
      <c r="AE216" s="195" t="s">
        <v>2104</v>
      </c>
      <c r="AF216" s="195" t="s">
        <v>2105</v>
      </c>
      <c r="AG216" s="195">
        <v>8</v>
      </c>
      <c r="AH216" s="195" t="s">
        <v>316</v>
      </c>
      <c r="AI216" s="195">
        <v>0</v>
      </c>
      <c r="AJ216" s="195" t="s">
        <v>324</v>
      </c>
      <c r="AK216" s="195" t="s">
        <v>499</v>
      </c>
      <c r="AL216" s="195" t="s">
        <v>322</v>
      </c>
      <c r="AM216" s="199"/>
      <c r="AN216" s="195" t="s">
        <v>332</v>
      </c>
      <c r="AO216" s="195" t="s">
        <v>2106</v>
      </c>
      <c r="AP216" s="195" t="s">
        <v>2107</v>
      </c>
      <c r="AQ216" s="195" t="s">
        <v>324</v>
      </c>
      <c r="AR216" s="220" t="s">
        <v>1431</v>
      </c>
      <c r="AS216" s="195" t="s">
        <v>316</v>
      </c>
      <c r="AT216" s="199"/>
      <c r="AU216" s="202" t="s">
        <v>2108</v>
      </c>
      <c r="AV216" s="195" t="s">
        <v>1447</v>
      </c>
      <c r="AW216" s="195" t="str">
        <f ca="1">IFERROR(__xludf.DUMMYFUNCTION("IF(AND(IF(AS216=""Yes"",True,False),NOT(IFERROR(REGEXMATCH(AV216,ExclusionCategories),FALSE))),""Yes"", ""No"")"),"No")</f>
        <v>No</v>
      </c>
      <c r="AX216" s="195">
        <f ca="1">IFERROR(__xludf.DUMMYFUNCTION("IF(IFERROR(SEARCH(""Unclear"", Z216)) = 1, VALUE(REGEXEXTRACT(Z216,""\d+"")), Z216)"),10)</f>
        <v>10</v>
      </c>
      <c r="AY216" s="195">
        <v>10</v>
      </c>
      <c r="AZ216" s="195">
        <f ca="1">IFERROR(__xludf.DUMMYFUNCTION("IF(IFERROR(SEARCH(""Unclear"", AG216)) = 1, VALUE(REGEXEXTRACT(AG216,""\d+"")), AG216)"),8)</f>
        <v>8</v>
      </c>
      <c r="BA216" s="195">
        <v>8</v>
      </c>
      <c r="BB216" s="195" t="str">
        <f ca="1">IFERROR(__xludf.DUMMYFUNCTION("IF(IFERROR(SEARCH(""Unclear"", AJ216)) = 1, VALUE(REGEXEXTRACT(AJ216,""\d+"")), AJ216)"),"ND")</f>
        <v>ND</v>
      </c>
      <c r="BC216" s="195" t="s">
        <v>324</v>
      </c>
      <c r="BD216" s="195" t="b">
        <f t="shared" si="2"/>
        <v>1</v>
      </c>
      <c r="BE216" s="195" t="b">
        <f t="shared" ref="BE216:BF216" si="228">IF(IFERROR(FIND("ND",AI216),0),FALSE,TRUE)</f>
        <v>1</v>
      </c>
      <c r="BF216" s="195" t="b">
        <f t="shared" si="228"/>
        <v>0</v>
      </c>
    </row>
    <row r="217" spans="1:58" ht="36.75" customHeight="1">
      <c r="A217" s="218" t="s">
        <v>2100</v>
      </c>
      <c r="B217" s="241">
        <v>1990</v>
      </c>
      <c r="C217" s="195" t="s">
        <v>457</v>
      </c>
      <c r="D217" s="4" t="s">
        <v>2109</v>
      </c>
      <c r="E217" s="239">
        <v>2310304</v>
      </c>
      <c r="F217" s="230" t="str">
        <f t="shared" si="219"/>
        <v>https://pubmed.ncbi.nlm.nih.gov/2310304</v>
      </c>
      <c r="G217" s="213" t="str">
        <f t="shared" si="89"/>
        <v>Oxford 1990</v>
      </c>
      <c r="H217" s="217">
        <v>1990</v>
      </c>
      <c r="I217" s="199"/>
      <c r="J217" s="199"/>
      <c r="K217" s="195">
        <v>27</v>
      </c>
      <c r="L217" s="4" t="s">
        <v>2110</v>
      </c>
      <c r="M217" s="195" t="s">
        <v>324</v>
      </c>
      <c r="N217" s="195" t="s">
        <v>324</v>
      </c>
      <c r="O217" s="195" t="s">
        <v>324</v>
      </c>
      <c r="P217" s="195" t="s">
        <v>324</v>
      </c>
      <c r="Q217" s="195" t="s">
        <v>324</v>
      </c>
      <c r="R217" s="195" t="s">
        <v>324</v>
      </c>
      <c r="S217" s="195" t="s">
        <v>324</v>
      </c>
      <c r="T217" s="195" t="s">
        <v>324</v>
      </c>
      <c r="U217" s="195" t="s">
        <v>324</v>
      </c>
      <c r="V217" s="195" t="s">
        <v>2103</v>
      </c>
      <c r="W217" s="195"/>
      <c r="X217" s="195">
        <v>27</v>
      </c>
      <c r="Y217" s="195"/>
      <c r="Z217" s="195">
        <v>13</v>
      </c>
      <c r="AA217" s="195"/>
      <c r="AB217" s="195">
        <v>0</v>
      </c>
      <c r="AC217" s="199"/>
      <c r="AD217" s="195" t="s">
        <v>322</v>
      </c>
      <c r="AE217" s="195" t="s">
        <v>2104</v>
      </c>
      <c r="AF217" s="195" t="s">
        <v>2105</v>
      </c>
      <c r="AG217" s="195">
        <v>6</v>
      </c>
      <c r="AH217" s="195" t="s">
        <v>316</v>
      </c>
      <c r="AI217" s="195">
        <v>0</v>
      </c>
      <c r="AJ217" s="195" t="s">
        <v>324</v>
      </c>
      <c r="AK217" s="195" t="s">
        <v>499</v>
      </c>
      <c r="AL217" s="195" t="s">
        <v>322</v>
      </c>
      <c r="AM217" s="199"/>
      <c r="AN217" s="195" t="s">
        <v>332</v>
      </c>
      <c r="AO217" s="195" t="s">
        <v>2106</v>
      </c>
      <c r="AP217" s="195" t="s">
        <v>2107</v>
      </c>
      <c r="AQ217" s="195" t="s">
        <v>324</v>
      </c>
      <c r="AR217" s="220" t="s">
        <v>1431</v>
      </c>
      <c r="AS217" s="195" t="s">
        <v>316</v>
      </c>
      <c r="AT217" s="199"/>
      <c r="AU217" s="202" t="s">
        <v>2108</v>
      </c>
      <c r="AV217" s="195" t="s">
        <v>1567</v>
      </c>
      <c r="AW217" s="195" t="str">
        <f ca="1">IFERROR(__xludf.DUMMYFUNCTION("IF(AND(IF(AS217=""Yes"",True,False),NOT(IFERROR(REGEXMATCH(AV217,ExclusionCategories),FALSE))),""Yes"", ""No"")"),"No")</f>
        <v>No</v>
      </c>
      <c r="AX217" s="195">
        <f ca="1">IFERROR(__xludf.DUMMYFUNCTION("IF(IFERROR(SEARCH(""Unclear"", Z217)) = 1, VALUE(REGEXEXTRACT(Z217,""\d+"")), Z217)"),13)</f>
        <v>13</v>
      </c>
      <c r="AY217" s="195">
        <v>13</v>
      </c>
      <c r="AZ217" s="195">
        <f ca="1">IFERROR(__xludf.DUMMYFUNCTION("IF(IFERROR(SEARCH(""Unclear"", AG217)) = 1, VALUE(REGEXEXTRACT(AG217,""\d+"")), AG217)"),6)</f>
        <v>6</v>
      </c>
      <c r="BA217" s="195">
        <v>6</v>
      </c>
      <c r="BB217" s="195" t="str">
        <f ca="1">IFERROR(__xludf.DUMMYFUNCTION("IF(IFERROR(SEARCH(""Unclear"", AJ217)) = 1, VALUE(REGEXEXTRACT(AJ217,""\d+"")), AJ217)"),"ND")</f>
        <v>ND</v>
      </c>
      <c r="BC217" s="195" t="s">
        <v>324</v>
      </c>
      <c r="BD217" s="195" t="b">
        <f t="shared" si="2"/>
        <v>1</v>
      </c>
      <c r="BE217" s="195" t="b">
        <f t="shared" ref="BE217:BF217" si="229">IF(IFERROR(FIND("ND",AI217),0),FALSE,TRUE)</f>
        <v>1</v>
      </c>
      <c r="BF217" s="195" t="b">
        <f t="shared" si="229"/>
        <v>0</v>
      </c>
    </row>
    <row r="218" spans="1:58" ht="36.75" customHeight="1">
      <c r="A218" s="218" t="s">
        <v>2100</v>
      </c>
      <c r="B218" s="241">
        <v>1990</v>
      </c>
      <c r="C218" s="195" t="s">
        <v>457</v>
      </c>
      <c r="D218" s="4" t="s">
        <v>2111</v>
      </c>
      <c r="E218" s="239">
        <v>2310304</v>
      </c>
      <c r="F218" s="230" t="str">
        <f t="shared" si="219"/>
        <v>https://pubmed.ncbi.nlm.nih.gov/2310304</v>
      </c>
      <c r="G218" s="213" t="str">
        <f t="shared" si="89"/>
        <v>Oxford 1990</v>
      </c>
      <c r="H218" s="217">
        <v>1990</v>
      </c>
      <c r="I218" s="199"/>
      <c r="J218" s="199"/>
      <c r="K218" s="195">
        <v>27</v>
      </c>
      <c r="L218" s="4" t="s">
        <v>2112</v>
      </c>
      <c r="M218" s="195" t="s">
        <v>324</v>
      </c>
      <c r="N218" s="195" t="s">
        <v>324</v>
      </c>
      <c r="O218" s="195" t="s">
        <v>324</v>
      </c>
      <c r="P218" s="195" t="s">
        <v>324</v>
      </c>
      <c r="Q218" s="195" t="s">
        <v>324</v>
      </c>
      <c r="R218" s="195" t="s">
        <v>324</v>
      </c>
      <c r="S218" s="195" t="s">
        <v>324</v>
      </c>
      <c r="T218" s="195" t="s">
        <v>324</v>
      </c>
      <c r="U218" s="195" t="s">
        <v>324</v>
      </c>
      <c r="V218" s="195" t="s">
        <v>2103</v>
      </c>
      <c r="W218" s="195"/>
      <c r="X218" s="195">
        <v>27</v>
      </c>
      <c r="Y218" s="195"/>
      <c r="Z218" s="195">
        <v>14</v>
      </c>
      <c r="AA218" s="195"/>
      <c r="AB218" s="195">
        <v>0</v>
      </c>
      <c r="AC218" s="199"/>
      <c r="AD218" s="195" t="s">
        <v>322</v>
      </c>
      <c r="AE218" s="195" t="s">
        <v>2104</v>
      </c>
      <c r="AF218" s="195" t="s">
        <v>2105</v>
      </c>
      <c r="AG218" s="195">
        <v>7</v>
      </c>
      <c r="AH218" s="195" t="s">
        <v>316</v>
      </c>
      <c r="AI218" s="195">
        <v>0</v>
      </c>
      <c r="AJ218" s="195" t="s">
        <v>324</v>
      </c>
      <c r="AK218" s="195" t="s">
        <v>499</v>
      </c>
      <c r="AL218" s="195" t="s">
        <v>322</v>
      </c>
      <c r="AM218" s="199"/>
      <c r="AN218" s="195" t="s">
        <v>332</v>
      </c>
      <c r="AO218" s="195" t="s">
        <v>2106</v>
      </c>
      <c r="AP218" s="195" t="s">
        <v>2107</v>
      </c>
      <c r="AQ218" s="195" t="s">
        <v>324</v>
      </c>
      <c r="AR218" s="220" t="s">
        <v>1431</v>
      </c>
      <c r="AS218" s="195" t="s">
        <v>316</v>
      </c>
      <c r="AT218" s="199"/>
      <c r="AU218" s="202" t="s">
        <v>2108</v>
      </c>
      <c r="AV218" s="195" t="s">
        <v>1567</v>
      </c>
      <c r="AW218" s="195" t="str">
        <f ca="1">IFERROR(__xludf.DUMMYFUNCTION("IF(AND(IF(AS218=""Yes"",True,False),NOT(IFERROR(REGEXMATCH(AV218,ExclusionCategories),FALSE))),""Yes"", ""No"")"),"No")</f>
        <v>No</v>
      </c>
      <c r="AX218" s="195">
        <f ca="1">IFERROR(__xludf.DUMMYFUNCTION("IF(IFERROR(SEARCH(""Unclear"", Z218)) = 1, VALUE(REGEXEXTRACT(Z218,""\d+"")), Z218)"),14)</f>
        <v>14</v>
      </c>
      <c r="AY218" s="195">
        <v>14</v>
      </c>
      <c r="AZ218" s="195">
        <f ca="1">IFERROR(__xludf.DUMMYFUNCTION("IF(IFERROR(SEARCH(""Unclear"", AG218)) = 1, VALUE(REGEXEXTRACT(AG218,""\d+"")), AG218)"),7)</f>
        <v>7</v>
      </c>
      <c r="BA218" s="195">
        <v>7</v>
      </c>
      <c r="BB218" s="195" t="str">
        <f ca="1">IFERROR(__xludf.DUMMYFUNCTION("IF(IFERROR(SEARCH(""Unclear"", AJ218)) = 1, VALUE(REGEXEXTRACT(AJ218,""\d+"")), AJ218)"),"ND")</f>
        <v>ND</v>
      </c>
      <c r="BC218" s="195" t="s">
        <v>324</v>
      </c>
      <c r="BD218" s="195" t="b">
        <f t="shared" si="2"/>
        <v>1</v>
      </c>
      <c r="BE218" s="195" t="b">
        <f t="shared" ref="BE218:BF218" si="230">IF(IFERROR(FIND("ND",AI218),0),FALSE,TRUE)</f>
        <v>1</v>
      </c>
      <c r="BF218" s="195" t="b">
        <f t="shared" si="230"/>
        <v>0</v>
      </c>
    </row>
    <row r="219" spans="1:58" ht="36.75" customHeight="1">
      <c r="A219" s="218" t="s">
        <v>2100</v>
      </c>
      <c r="B219" s="241">
        <v>1990</v>
      </c>
      <c r="C219" s="195" t="s">
        <v>457</v>
      </c>
      <c r="D219" s="210" t="s">
        <v>2113</v>
      </c>
      <c r="E219" s="239">
        <v>2310304</v>
      </c>
      <c r="F219" s="230" t="str">
        <f t="shared" si="219"/>
        <v>https://pubmed.ncbi.nlm.nih.gov/2310304</v>
      </c>
      <c r="G219" s="213" t="str">
        <f t="shared" si="89"/>
        <v>Oxford 1990</v>
      </c>
      <c r="H219" s="217">
        <v>1990</v>
      </c>
      <c r="I219" s="199"/>
      <c r="J219" s="199"/>
      <c r="K219" s="195">
        <v>27</v>
      </c>
      <c r="L219" s="4" t="s">
        <v>2114</v>
      </c>
      <c r="M219" s="195" t="s">
        <v>324</v>
      </c>
      <c r="N219" s="195" t="s">
        <v>324</v>
      </c>
      <c r="O219" s="195" t="s">
        <v>324</v>
      </c>
      <c r="P219" s="195" t="s">
        <v>324</v>
      </c>
      <c r="Q219" s="195" t="s">
        <v>324</v>
      </c>
      <c r="R219" s="195" t="s">
        <v>324</v>
      </c>
      <c r="S219" s="195" t="s">
        <v>324</v>
      </c>
      <c r="T219" s="195" t="s">
        <v>324</v>
      </c>
      <c r="U219" s="195" t="s">
        <v>324</v>
      </c>
      <c r="V219" s="195" t="s">
        <v>2103</v>
      </c>
      <c r="W219" s="195"/>
      <c r="X219" s="195">
        <v>27</v>
      </c>
      <c r="Y219" s="195"/>
      <c r="Z219" s="195">
        <v>4</v>
      </c>
      <c r="AA219" s="195"/>
      <c r="AB219" s="195">
        <v>0</v>
      </c>
      <c r="AC219" s="199"/>
      <c r="AD219" s="195" t="s">
        <v>322</v>
      </c>
      <c r="AE219" s="195" t="s">
        <v>2104</v>
      </c>
      <c r="AF219" s="195" t="s">
        <v>2105</v>
      </c>
      <c r="AG219" s="195">
        <v>0</v>
      </c>
      <c r="AH219" s="195" t="s">
        <v>316</v>
      </c>
      <c r="AI219" s="195">
        <v>0</v>
      </c>
      <c r="AJ219" s="195" t="s">
        <v>324</v>
      </c>
      <c r="AK219" s="195" t="s">
        <v>499</v>
      </c>
      <c r="AL219" s="195" t="s">
        <v>322</v>
      </c>
      <c r="AM219" s="199"/>
      <c r="AN219" s="195" t="s">
        <v>332</v>
      </c>
      <c r="AO219" s="195" t="s">
        <v>2106</v>
      </c>
      <c r="AP219" s="195" t="s">
        <v>2107</v>
      </c>
      <c r="AQ219" s="195" t="s">
        <v>324</v>
      </c>
      <c r="AR219" s="220" t="s">
        <v>1431</v>
      </c>
      <c r="AS219" s="195" t="s">
        <v>316</v>
      </c>
      <c r="AT219" s="199"/>
      <c r="AU219" s="202" t="s">
        <v>2108</v>
      </c>
      <c r="AV219" s="195" t="s">
        <v>1567</v>
      </c>
      <c r="AW219" s="195" t="str">
        <f ca="1">IFERROR(__xludf.DUMMYFUNCTION("IF(AND(IF(AS219=""Yes"",True,False),NOT(IFERROR(REGEXMATCH(AV219,ExclusionCategories),FALSE))),""Yes"", ""No"")"),"No")</f>
        <v>No</v>
      </c>
      <c r="AX219" s="195">
        <f ca="1">IFERROR(__xludf.DUMMYFUNCTION("IF(IFERROR(SEARCH(""Unclear"", Z219)) = 1, VALUE(REGEXEXTRACT(Z219,""\d+"")), Z219)"),4)</f>
        <v>4</v>
      </c>
      <c r="AY219" s="195">
        <v>4</v>
      </c>
      <c r="AZ219" s="195">
        <f ca="1">IFERROR(__xludf.DUMMYFUNCTION("IF(IFERROR(SEARCH(""Unclear"", AG219)) = 1, VALUE(REGEXEXTRACT(AG219,""\d+"")), AG219)"),0)</f>
        <v>0</v>
      </c>
      <c r="BA219" s="195">
        <v>0</v>
      </c>
      <c r="BB219" s="195" t="str">
        <f ca="1">IFERROR(__xludf.DUMMYFUNCTION("IF(IFERROR(SEARCH(""Unclear"", AJ219)) = 1, VALUE(REGEXEXTRACT(AJ219,""\d+"")), AJ219)"),"ND")</f>
        <v>ND</v>
      </c>
      <c r="BC219" s="195" t="s">
        <v>324</v>
      </c>
      <c r="BD219" s="195" t="b">
        <f t="shared" si="2"/>
        <v>1</v>
      </c>
      <c r="BE219" s="195" t="b">
        <f t="shared" ref="BE219:BF219" si="231">IF(IFERROR(FIND("ND",AI219),0),FALSE,TRUE)</f>
        <v>1</v>
      </c>
      <c r="BF219" s="195" t="b">
        <f t="shared" si="231"/>
        <v>0</v>
      </c>
    </row>
    <row r="220" spans="1:58" ht="36.75" customHeight="1">
      <c r="A220" s="218" t="s">
        <v>2100</v>
      </c>
      <c r="B220" s="241">
        <v>1990</v>
      </c>
      <c r="C220" s="195" t="s">
        <v>457</v>
      </c>
      <c r="D220" s="4" t="s">
        <v>2115</v>
      </c>
      <c r="E220" s="239">
        <v>2310304</v>
      </c>
      <c r="F220" s="230" t="str">
        <f t="shared" si="219"/>
        <v>https://pubmed.ncbi.nlm.nih.gov/2310304</v>
      </c>
      <c r="G220" s="213" t="str">
        <f t="shared" si="89"/>
        <v>Oxford 1990</v>
      </c>
      <c r="H220" s="217">
        <v>1990</v>
      </c>
      <c r="I220" s="199"/>
      <c r="J220" s="199"/>
      <c r="K220" s="195">
        <v>109</v>
      </c>
      <c r="L220" s="4" t="s">
        <v>1050</v>
      </c>
      <c r="M220" s="195" t="s">
        <v>324</v>
      </c>
      <c r="N220" s="195" t="s">
        <v>324</v>
      </c>
      <c r="O220" s="195" t="s">
        <v>324</v>
      </c>
      <c r="P220" s="195" t="s">
        <v>324</v>
      </c>
      <c r="Q220" s="195" t="s">
        <v>324</v>
      </c>
      <c r="R220" s="195" t="s">
        <v>324</v>
      </c>
      <c r="S220" s="195" t="s">
        <v>324</v>
      </c>
      <c r="T220" s="195" t="s">
        <v>324</v>
      </c>
      <c r="U220" s="195" t="s">
        <v>324</v>
      </c>
      <c r="V220" s="195" t="s">
        <v>2103</v>
      </c>
      <c r="W220" s="195"/>
      <c r="X220" s="195">
        <v>109</v>
      </c>
      <c r="Y220" s="195"/>
      <c r="Z220" s="195">
        <v>41</v>
      </c>
      <c r="AA220" s="195"/>
      <c r="AB220" s="195">
        <v>0</v>
      </c>
      <c r="AC220" s="199"/>
      <c r="AD220" s="195" t="s">
        <v>322</v>
      </c>
      <c r="AE220" s="195" t="s">
        <v>2104</v>
      </c>
      <c r="AF220" s="195" t="s">
        <v>2105</v>
      </c>
      <c r="AG220" s="195">
        <v>21</v>
      </c>
      <c r="AH220" s="195" t="s">
        <v>316</v>
      </c>
      <c r="AI220" s="195">
        <v>0</v>
      </c>
      <c r="AJ220" s="195" t="s">
        <v>324</v>
      </c>
      <c r="AK220" s="195" t="s">
        <v>499</v>
      </c>
      <c r="AL220" s="195" t="s">
        <v>322</v>
      </c>
      <c r="AM220" s="199"/>
      <c r="AN220" s="195" t="s">
        <v>332</v>
      </c>
      <c r="AO220" s="195" t="s">
        <v>2106</v>
      </c>
      <c r="AP220" s="195" t="s">
        <v>2107</v>
      </c>
      <c r="AQ220" s="195" t="s">
        <v>324</v>
      </c>
      <c r="AR220" s="220" t="s">
        <v>1431</v>
      </c>
      <c r="AS220" s="195" t="s">
        <v>308</v>
      </c>
      <c r="AT220" s="199"/>
      <c r="AU220" s="202" t="s">
        <v>2108</v>
      </c>
      <c r="AV220" s="195" t="s">
        <v>1572</v>
      </c>
      <c r="AW220" s="195" t="str">
        <f ca="1">IFERROR(__xludf.DUMMYFUNCTION("IF(AND(IF(AS220=""Yes"",True,False),NOT(IFERROR(REGEXMATCH(AV220,ExclusionCategories),FALSE))),""Yes"", ""No"")"),"Yes")</f>
        <v>Yes</v>
      </c>
      <c r="AX220" s="195">
        <f ca="1">IFERROR(__xludf.DUMMYFUNCTION("IF(IFERROR(SEARCH(""Unclear"", Z220)) = 1, VALUE(REGEXEXTRACT(Z220,""\d+"")), Z220)"),41)</f>
        <v>41</v>
      </c>
      <c r="AY220" s="195">
        <v>41</v>
      </c>
      <c r="AZ220" s="195">
        <f ca="1">IFERROR(__xludf.DUMMYFUNCTION("IF(IFERROR(SEARCH(""Unclear"", AG220)) = 1, VALUE(REGEXEXTRACT(AG220,""\d+"")), AG220)"),21)</f>
        <v>21</v>
      </c>
      <c r="BA220" s="195">
        <v>21</v>
      </c>
      <c r="BB220" s="195" t="str">
        <f ca="1">IFERROR(__xludf.DUMMYFUNCTION("IF(IFERROR(SEARCH(""Unclear"", AJ220)) = 1, VALUE(REGEXEXTRACT(AJ220,""\d+"")), AJ220)"),"ND")</f>
        <v>ND</v>
      </c>
      <c r="BC220" s="195" t="s">
        <v>324</v>
      </c>
      <c r="BD220" s="195" t="b">
        <f t="shared" si="2"/>
        <v>1</v>
      </c>
      <c r="BE220" s="195" t="b">
        <f t="shared" ref="BE220:BF220" si="232">IF(IFERROR(FIND("ND",AI220),0),FALSE,TRUE)</f>
        <v>1</v>
      </c>
      <c r="BF220" s="195" t="b">
        <f t="shared" si="232"/>
        <v>0</v>
      </c>
    </row>
    <row r="221" spans="1:58" ht="37.5" customHeight="1">
      <c r="A221" s="218" t="s">
        <v>2116</v>
      </c>
      <c r="B221" s="241">
        <v>1974</v>
      </c>
      <c r="C221" s="195" t="s">
        <v>441</v>
      </c>
      <c r="D221" s="4" t="s">
        <v>2117</v>
      </c>
      <c r="E221" s="239">
        <v>15825396</v>
      </c>
      <c r="F221" s="230" t="str">
        <f t="shared" si="219"/>
        <v>https://pubmed.ncbi.nlm.nih.gov/15825396</v>
      </c>
      <c r="G221" s="213" t="str">
        <f t="shared" si="89"/>
        <v>Pachuta 1974</v>
      </c>
      <c r="H221" s="217">
        <v>1974</v>
      </c>
      <c r="I221" s="199"/>
      <c r="J221" s="199"/>
      <c r="K221" s="195">
        <v>37</v>
      </c>
      <c r="L221" s="4" t="s">
        <v>2118</v>
      </c>
      <c r="M221" s="195">
        <v>37</v>
      </c>
      <c r="N221" s="195">
        <v>0</v>
      </c>
      <c r="O221" s="195" t="s">
        <v>324</v>
      </c>
      <c r="P221" s="195" t="s">
        <v>324</v>
      </c>
      <c r="Q221" s="195" t="s">
        <v>324</v>
      </c>
      <c r="R221" s="195">
        <v>21</v>
      </c>
      <c r="S221" s="195">
        <v>48</v>
      </c>
      <c r="T221" s="195" t="s">
        <v>324</v>
      </c>
      <c r="U221" s="195" t="s">
        <v>324</v>
      </c>
      <c r="V221" s="195" t="s">
        <v>2119</v>
      </c>
      <c r="W221" s="199"/>
      <c r="X221" s="195">
        <v>37</v>
      </c>
      <c r="Y221" s="195" t="s">
        <v>1629</v>
      </c>
      <c r="Z221" s="195">
        <v>34</v>
      </c>
      <c r="AA221" s="195" t="s">
        <v>2120</v>
      </c>
      <c r="AB221" s="195">
        <v>0</v>
      </c>
      <c r="AC221" s="199"/>
      <c r="AD221" s="195" t="s">
        <v>322</v>
      </c>
      <c r="AE221" s="195" t="s">
        <v>2121</v>
      </c>
      <c r="AF221" s="195" t="s">
        <v>2122</v>
      </c>
      <c r="AG221" s="195">
        <v>18</v>
      </c>
      <c r="AH221" s="195" t="s">
        <v>308</v>
      </c>
      <c r="AI221" s="195">
        <v>0</v>
      </c>
      <c r="AJ221" s="195">
        <v>4</v>
      </c>
      <c r="AK221" s="195" t="s">
        <v>2123</v>
      </c>
      <c r="AL221" s="195" t="s">
        <v>322</v>
      </c>
      <c r="AM221" s="199"/>
      <c r="AN221" s="195" t="s">
        <v>2124</v>
      </c>
      <c r="AO221" s="195" t="s">
        <v>2125</v>
      </c>
      <c r="AP221" s="195" t="s">
        <v>2126</v>
      </c>
      <c r="AQ221" s="195" t="s">
        <v>324</v>
      </c>
      <c r="AR221" s="220" t="s">
        <v>1431</v>
      </c>
      <c r="AS221" s="195" t="s">
        <v>316</v>
      </c>
      <c r="AT221" s="199"/>
      <c r="AU221" s="202" t="s">
        <v>2127</v>
      </c>
      <c r="AV221" s="195" t="s">
        <v>1447</v>
      </c>
      <c r="AW221" s="195" t="str">
        <f ca="1">IFERROR(__xludf.DUMMYFUNCTION("IF(AND(IF(AS221=""Yes"",True,False),NOT(IFERROR(REGEXMATCH(AV221,ExclusionCategories),FALSE))),""Yes"", ""No"")"),"No")</f>
        <v>No</v>
      </c>
      <c r="AX221" s="195">
        <f ca="1">IFERROR(__xludf.DUMMYFUNCTION("IF(IFERROR(SEARCH(""Unclear"", Z221)) = 1, VALUE(REGEXEXTRACT(Z221,""\d+"")), Z221)"),34)</f>
        <v>34</v>
      </c>
      <c r="AY221" s="195">
        <v>34</v>
      </c>
      <c r="AZ221" s="195">
        <f ca="1">IFERROR(__xludf.DUMMYFUNCTION("IF(IFERROR(SEARCH(""Unclear"", AG221)) = 1, VALUE(REGEXEXTRACT(AG221,""\d+"")), AG221)"),18)</f>
        <v>18</v>
      </c>
      <c r="BA221" s="195">
        <v>18</v>
      </c>
      <c r="BB221" s="195">
        <f ca="1">IFERROR(__xludf.DUMMYFUNCTION("IF(IFERROR(SEARCH(""Unclear"", AJ221)) = 1, VALUE(REGEXEXTRACT(AJ221,""\d+"")), AJ221)"),4)</f>
        <v>4</v>
      </c>
      <c r="BC221" s="195">
        <v>4</v>
      </c>
      <c r="BD221" s="195" t="b">
        <f t="shared" si="2"/>
        <v>1</v>
      </c>
      <c r="BE221" s="195" t="b">
        <f t="shared" ref="BE221:BF221" si="233">IF(IFERROR(FIND("ND",AI221),0),FALSE,TRUE)</f>
        <v>1</v>
      </c>
      <c r="BF221" s="195" t="b">
        <f t="shared" si="233"/>
        <v>1</v>
      </c>
    </row>
    <row r="222" spans="1:58" ht="37.5" customHeight="1">
      <c r="A222" s="218" t="s">
        <v>2128</v>
      </c>
      <c r="B222" s="241">
        <v>2009</v>
      </c>
      <c r="C222" s="195" t="s">
        <v>441</v>
      </c>
      <c r="D222" s="4" t="s">
        <v>1843</v>
      </c>
      <c r="E222" s="239">
        <v>19320235</v>
      </c>
      <c r="F222" s="230" t="str">
        <f t="shared" si="219"/>
        <v>https://pubmed.ncbi.nlm.nih.gov/19320235</v>
      </c>
      <c r="G222" s="213" t="str">
        <f t="shared" si="89"/>
        <v>Peterson 2009</v>
      </c>
      <c r="H222" s="195">
        <v>2003</v>
      </c>
      <c r="I222" s="199"/>
      <c r="J222" s="199"/>
      <c r="K222" s="195">
        <v>60</v>
      </c>
      <c r="L222" s="4" t="s">
        <v>2129</v>
      </c>
      <c r="M222" s="195" t="s">
        <v>324</v>
      </c>
      <c r="N222" s="195" t="s">
        <v>324</v>
      </c>
      <c r="O222" s="195" t="s">
        <v>324</v>
      </c>
      <c r="P222" s="195" t="s">
        <v>324</v>
      </c>
      <c r="Q222" s="195" t="s">
        <v>324</v>
      </c>
      <c r="R222" s="195">
        <v>18</v>
      </c>
      <c r="S222" s="195">
        <v>45</v>
      </c>
      <c r="T222" s="195">
        <v>20</v>
      </c>
      <c r="U222" s="195" t="s">
        <v>324</v>
      </c>
      <c r="V222" s="195" t="s">
        <v>2130</v>
      </c>
      <c r="W222" s="199"/>
      <c r="X222" s="195">
        <v>50</v>
      </c>
      <c r="Y222" s="195" t="s">
        <v>2131</v>
      </c>
      <c r="Z222" s="195">
        <v>40</v>
      </c>
      <c r="AA222" s="199"/>
      <c r="AB222" s="195">
        <v>0</v>
      </c>
      <c r="AC222" s="199"/>
      <c r="AD222" s="195" t="s">
        <v>322</v>
      </c>
      <c r="AE222" s="195" t="s">
        <v>2132</v>
      </c>
      <c r="AF222" s="199"/>
      <c r="AG222" s="195" t="s">
        <v>345</v>
      </c>
      <c r="AH222" s="195" t="s">
        <v>308</v>
      </c>
      <c r="AI222" s="195">
        <v>0</v>
      </c>
      <c r="AJ222" s="195" t="s">
        <v>324</v>
      </c>
      <c r="AK222" s="195" t="s">
        <v>2133</v>
      </c>
      <c r="AL222" s="195" t="s">
        <v>322</v>
      </c>
      <c r="AM222" s="199"/>
      <c r="AN222" s="195" t="s">
        <v>2134</v>
      </c>
      <c r="AO222" s="195" t="s">
        <v>2135</v>
      </c>
      <c r="AP222" s="195" t="s">
        <v>2136</v>
      </c>
      <c r="AQ222" s="195" t="s">
        <v>2137</v>
      </c>
      <c r="AR222" s="220" t="s">
        <v>1431</v>
      </c>
      <c r="AS222" s="195" t="s">
        <v>308</v>
      </c>
      <c r="AT222" s="199"/>
      <c r="AU222" s="202" t="s">
        <v>2138</v>
      </c>
      <c r="AV222" s="195" t="s">
        <v>9</v>
      </c>
      <c r="AW222" s="195" t="str">
        <f ca="1">IFERROR(__xludf.DUMMYFUNCTION("IF(AND(IF(AS222=""Yes"",True,False),NOT(IFERROR(REGEXMATCH(AV222,ExclusionCategories),FALSE))),""Yes"", ""No"")"),"Yes")</f>
        <v>Yes</v>
      </c>
      <c r="AX222" s="195">
        <f ca="1">IFERROR(__xludf.DUMMYFUNCTION("IF(IFERROR(SEARCH(""Unclear"", Z222)) = 1, VALUE(REGEXEXTRACT(Z222,""\d+"")), Z222)"),40)</f>
        <v>40</v>
      </c>
      <c r="AY222" s="195">
        <v>40</v>
      </c>
      <c r="AZ222" s="195">
        <f ca="1">IFERROR(__xludf.DUMMYFUNCTION("IF(IFERROR(SEARCH(""Unclear"", AG222)) = 1, VALUE(REGEXEXTRACT(AG222,""\d+"")), AG222)"),1)</f>
        <v>1</v>
      </c>
      <c r="BA222" s="195">
        <v>50</v>
      </c>
      <c r="BB222" s="195" t="str">
        <f ca="1">IFERROR(__xludf.DUMMYFUNCTION("IF(IFERROR(SEARCH(""Unclear"", AJ222)) = 1, VALUE(REGEXEXTRACT(AJ222,""\d+"")), AJ222)"),"ND")</f>
        <v>ND</v>
      </c>
      <c r="BC222" s="195" t="s">
        <v>324</v>
      </c>
      <c r="BD222" s="195" t="b">
        <f t="shared" si="2"/>
        <v>1</v>
      </c>
      <c r="BE222" s="195" t="b">
        <f t="shared" ref="BE222:BF222" si="234">IF(IFERROR(FIND("ND",AI222),0),FALSE,TRUE)</f>
        <v>1</v>
      </c>
      <c r="BF222" s="195" t="b">
        <f t="shared" si="234"/>
        <v>0</v>
      </c>
    </row>
    <row r="223" spans="1:58" ht="37.5" customHeight="1">
      <c r="A223" s="218" t="s">
        <v>2128</v>
      </c>
      <c r="B223" s="241">
        <v>2009</v>
      </c>
      <c r="C223" s="195" t="s">
        <v>441</v>
      </c>
      <c r="D223" s="4" t="s">
        <v>2139</v>
      </c>
      <c r="E223" s="239">
        <v>19320235</v>
      </c>
      <c r="F223" s="230" t="str">
        <f t="shared" si="219"/>
        <v>https://pubmed.ncbi.nlm.nih.gov/19320235</v>
      </c>
      <c r="G223" s="213" t="str">
        <f t="shared" si="89"/>
        <v>Peterson 2009</v>
      </c>
      <c r="H223" s="195">
        <v>2004</v>
      </c>
      <c r="I223" s="199"/>
      <c r="J223" s="199"/>
      <c r="K223" s="195">
        <v>93</v>
      </c>
      <c r="L223" s="4" t="s">
        <v>2140</v>
      </c>
      <c r="M223" s="195" t="s">
        <v>324</v>
      </c>
      <c r="N223" s="195" t="s">
        <v>324</v>
      </c>
      <c r="O223" s="195" t="s">
        <v>324</v>
      </c>
      <c r="P223" s="195" t="s">
        <v>324</v>
      </c>
      <c r="Q223" s="195" t="s">
        <v>324</v>
      </c>
      <c r="R223" s="195">
        <v>18</v>
      </c>
      <c r="S223" s="195">
        <v>45</v>
      </c>
      <c r="T223" s="195">
        <v>20</v>
      </c>
      <c r="U223" s="195" t="s">
        <v>324</v>
      </c>
      <c r="V223" s="195" t="s">
        <v>2130</v>
      </c>
      <c r="W223" s="199"/>
      <c r="X223" s="195">
        <v>80</v>
      </c>
      <c r="Y223" s="195" t="s">
        <v>2141</v>
      </c>
      <c r="Z223" s="195">
        <v>68</v>
      </c>
      <c r="AA223" s="199"/>
      <c r="AB223" s="195">
        <v>0</v>
      </c>
      <c r="AC223" s="199"/>
      <c r="AD223" s="195" t="s">
        <v>322</v>
      </c>
      <c r="AE223" s="195" t="s">
        <v>2132</v>
      </c>
      <c r="AF223" s="199"/>
      <c r="AG223" s="195" t="s">
        <v>345</v>
      </c>
      <c r="AH223" s="195" t="s">
        <v>308</v>
      </c>
      <c r="AI223" s="195">
        <v>0</v>
      </c>
      <c r="AJ223" s="195" t="s">
        <v>324</v>
      </c>
      <c r="AK223" s="195" t="s">
        <v>2133</v>
      </c>
      <c r="AL223" s="195" t="s">
        <v>322</v>
      </c>
      <c r="AM223" s="199"/>
      <c r="AN223" s="195" t="s">
        <v>2134</v>
      </c>
      <c r="AO223" s="195" t="s">
        <v>2135</v>
      </c>
      <c r="AP223" s="195" t="s">
        <v>2136</v>
      </c>
      <c r="AQ223" s="195" t="s">
        <v>2137</v>
      </c>
      <c r="AR223" s="220" t="s">
        <v>1431</v>
      </c>
      <c r="AS223" s="195" t="s">
        <v>308</v>
      </c>
      <c r="AT223" s="199"/>
      <c r="AU223" s="202" t="s">
        <v>2138</v>
      </c>
      <c r="AV223" s="195" t="s">
        <v>9</v>
      </c>
      <c r="AW223" s="195" t="str">
        <f ca="1">IFERROR(__xludf.DUMMYFUNCTION("IF(AND(IF(AS223=""Yes"",True,False),NOT(IFERROR(REGEXMATCH(AV223,ExclusionCategories),FALSE))),""Yes"", ""No"")"),"Yes")</f>
        <v>Yes</v>
      </c>
      <c r="AX223" s="195">
        <f ca="1">IFERROR(__xludf.DUMMYFUNCTION("IF(IFERROR(SEARCH(""Unclear"", Z223)) = 1, VALUE(REGEXEXTRACT(Z223,""\d+"")), Z223)"),68)</f>
        <v>68</v>
      </c>
      <c r="AY223" s="195">
        <v>68</v>
      </c>
      <c r="AZ223" s="195">
        <f ca="1">IFERROR(__xludf.DUMMYFUNCTION("IF(IFERROR(SEARCH(""Unclear"", AG223)) = 1, VALUE(REGEXEXTRACT(AG223,""\d+"")), AG223)"),1)</f>
        <v>1</v>
      </c>
      <c r="BA223" s="195">
        <v>80</v>
      </c>
      <c r="BB223" s="195" t="str">
        <f ca="1">IFERROR(__xludf.DUMMYFUNCTION("IF(IFERROR(SEARCH(""Unclear"", AJ223)) = 1, VALUE(REGEXEXTRACT(AJ223,""\d+"")), AJ223)"),"ND")</f>
        <v>ND</v>
      </c>
      <c r="BC223" s="195" t="s">
        <v>324</v>
      </c>
      <c r="BD223" s="195" t="b">
        <f t="shared" si="2"/>
        <v>1</v>
      </c>
      <c r="BE223" s="195" t="b">
        <f t="shared" ref="BE223:BF223" si="235">IF(IFERROR(FIND("ND",AI223),0),FALSE,TRUE)</f>
        <v>1</v>
      </c>
      <c r="BF223" s="195" t="b">
        <f t="shared" si="235"/>
        <v>0</v>
      </c>
    </row>
    <row r="224" spans="1:58" ht="37.5" customHeight="1">
      <c r="A224" s="218" t="s">
        <v>2142</v>
      </c>
      <c r="B224" s="241">
        <v>2001</v>
      </c>
      <c r="C224" s="195" t="s">
        <v>668</v>
      </c>
      <c r="D224" s="4" t="s">
        <v>2143</v>
      </c>
      <c r="E224" s="239">
        <v>11343523</v>
      </c>
      <c r="F224" s="230" t="str">
        <f t="shared" si="219"/>
        <v>https://pubmed.ncbi.nlm.nih.gov/11343523</v>
      </c>
      <c r="G224" s="213" t="str">
        <f t="shared" si="89"/>
        <v>Reichenberg 2001</v>
      </c>
      <c r="H224" s="217">
        <v>2001</v>
      </c>
      <c r="I224" s="199"/>
      <c r="J224" s="199"/>
      <c r="K224" s="195">
        <v>20</v>
      </c>
      <c r="L224" s="250"/>
      <c r="M224" s="195">
        <v>20</v>
      </c>
      <c r="N224" s="195" t="s">
        <v>324</v>
      </c>
      <c r="O224" s="195" t="s">
        <v>324</v>
      </c>
      <c r="P224" s="195">
        <v>19</v>
      </c>
      <c r="Q224" s="195">
        <v>30</v>
      </c>
      <c r="R224" s="195" t="s">
        <v>324</v>
      </c>
      <c r="S224" s="195" t="s">
        <v>324</v>
      </c>
      <c r="T224" s="195">
        <v>23.7</v>
      </c>
      <c r="U224" s="195">
        <v>3.3</v>
      </c>
      <c r="V224" s="195" t="s">
        <v>2144</v>
      </c>
      <c r="W224" s="199"/>
      <c r="X224" s="195">
        <v>20</v>
      </c>
      <c r="Y224" s="195"/>
      <c r="Z224" s="195">
        <v>0</v>
      </c>
      <c r="AA224" s="199"/>
      <c r="AB224" s="195">
        <v>0</v>
      </c>
      <c r="AC224" s="199"/>
      <c r="AD224" s="195" t="s">
        <v>322</v>
      </c>
      <c r="AE224" s="195" t="s">
        <v>2145</v>
      </c>
      <c r="AF224" s="195" t="s">
        <v>2146</v>
      </c>
      <c r="AG224" s="195">
        <v>0</v>
      </c>
      <c r="AH224" s="195" t="s">
        <v>308</v>
      </c>
      <c r="AI224" s="195">
        <v>0</v>
      </c>
      <c r="AJ224" s="195">
        <v>0</v>
      </c>
      <c r="AK224" s="195" t="s">
        <v>2147</v>
      </c>
      <c r="AL224" s="195" t="s">
        <v>322</v>
      </c>
      <c r="AM224" s="199"/>
      <c r="AN224" s="195" t="s">
        <v>332</v>
      </c>
      <c r="AO224" s="195" t="s">
        <v>2148</v>
      </c>
      <c r="AP224" s="195" t="s">
        <v>2149</v>
      </c>
      <c r="AQ224" s="195" t="s">
        <v>2150</v>
      </c>
      <c r="AR224" s="220" t="s">
        <v>1431</v>
      </c>
      <c r="AS224" s="195" t="s">
        <v>308</v>
      </c>
      <c r="AT224" s="199"/>
      <c r="AU224" s="202" t="s">
        <v>2151</v>
      </c>
      <c r="AV224" s="195" t="s">
        <v>571</v>
      </c>
      <c r="AW224" s="195" t="str">
        <f ca="1">IFERROR(__xludf.DUMMYFUNCTION("IF(AND(IF(AS224=""Yes"",True,False),NOT(IFERROR(REGEXMATCH(AV224,ExclusionCategories),FALSE))),""Yes"", ""No"")"),"Yes")</f>
        <v>Yes</v>
      </c>
      <c r="AX224" s="195">
        <f ca="1">IFERROR(__xludf.DUMMYFUNCTION("IF(IFERROR(SEARCH(""Unclear"", Z224)) = 1, VALUE(REGEXEXTRACT(Z224,""\d+"")), Z224)"),0)</f>
        <v>0</v>
      </c>
      <c r="AY224" s="195">
        <v>0</v>
      </c>
      <c r="AZ224" s="195">
        <f ca="1">IFERROR(__xludf.DUMMYFUNCTION("IF(IFERROR(SEARCH(""Unclear"", AG224)) = 1, VALUE(REGEXEXTRACT(AG224,""\d+"")), AG224)"),0)</f>
        <v>0</v>
      </c>
      <c r="BA224" s="195">
        <v>0</v>
      </c>
      <c r="BB224" s="195">
        <f ca="1">IFERROR(__xludf.DUMMYFUNCTION("IF(IFERROR(SEARCH(""Unclear"", AJ224)) = 1, VALUE(REGEXEXTRACT(AJ224,""\d+"")), AJ224)"),0)</f>
        <v>0</v>
      </c>
      <c r="BC224" s="195">
        <v>0</v>
      </c>
      <c r="BD224" s="195" t="b">
        <f t="shared" si="2"/>
        <v>1</v>
      </c>
      <c r="BE224" s="195" t="b">
        <f t="shared" ref="BE224:BF224" si="236">IF(IFERROR(FIND("ND",AI224),0),FALSE,TRUE)</f>
        <v>1</v>
      </c>
      <c r="BF224" s="195" t="b">
        <f t="shared" si="236"/>
        <v>1</v>
      </c>
    </row>
    <row r="225" spans="1:58" ht="37.5" customHeight="1">
      <c r="A225" s="218" t="s">
        <v>2152</v>
      </c>
      <c r="B225" s="241">
        <v>1989</v>
      </c>
      <c r="C225" s="195" t="s">
        <v>457</v>
      </c>
      <c r="D225" s="4" t="s">
        <v>2153</v>
      </c>
      <c r="E225" s="239">
        <v>2712549</v>
      </c>
      <c r="F225" s="230" t="str">
        <f t="shared" si="219"/>
        <v>https://pubmed.ncbi.nlm.nih.gov/2712549</v>
      </c>
      <c r="G225" s="213" t="str">
        <f t="shared" si="89"/>
        <v>Reuman 1989</v>
      </c>
      <c r="H225" s="195">
        <v>1986</v>
      </c>
      <c r="I225" s="199"/>
      <c r="J225" s="199"/>
      <c r="K225" s="195">
        <v>81</v>
      </c>
      <c r="L225" s="10"/>
      <c r="M225" s="195" t="s">
        <v>324</v>
      </c>
      <c r="N225" s="195" t="s">
        <v>324</v>
      </c>
      <c r="O225" s="195" t="s">
        <v>324</v>
      </c>
      <c r="P225" s="195" t="s">
        <v>324</v>
      </c>
      <c r="Q225" s="195" t="s">
        <v>324</v>
      </c>
      <c r="R225" s="195">
        <v>18</v>
      </c>
      <c r="S225" s="195">
        <v>40</v>
      </c>
      <c r="T225" s="195" t="s">
        <v>324</v>
      </c>
      <c r="U225" s="195" t="s">
        <v>324</v>
      </c>
      <c r="V225" s="195" t="s">
        <v>2154</v>
      </c>
      <c r="W225" s="199"/>
      <c r="X225" s="195">
        <v>78</v>
      </c>
      <c r="Y225" s="199"/>
      <c r="Z225" s="195">
        <v>59</v>
      </c>
      <c r="AA225" s="199"/>
      <c r="AB225" s="195">
        <v>0</v>
      </c>
      <c r="AC225" s="199"/>
      <c r="AD225" s="195" t="s">
        <v>322</v>
      </c>
      <c r="AE225" s="195" t="s">
        <v>2155</v>
      </c>
      <c r="AF225" s="199"/>
      <c r="AG225" s="195" t="s">
        <v>324</v>
      </c>
      <c r="AH225" s="195" t="s">
        <v>308</v>
      </c>
      <c r="AI225" s="195" t="s">
        <v>324</v>
      </c>
      <c r="AJ225" s="195" t="s">
        <v>324</v>
      </c>
      <c r="AK225" s="195" t="s">
        <v>2156</v>
      </c>
      <c r="AL225" s="195" t="s">
        <v>322</v>
      </c>
      <c r="AM225" s="199"/>
      <c r="AN225" s="195" t="s">
        <v>2157</v>
      </c>
      <c r="AO225" s="195" t="s">
        <v>2158</v>
      </c>
      <c r="AP225" s="195" t="s">
        <v>2159</v>
      </c>
      <c r="AQ225" s="195" t="s">
        <v>2160</v>
      </c>
      <c r="AR225" s="220" t="s">
        <v>1431</v>
      </c>
      <c r="AS225" s="195" t="s">
        <v>308</v>
      </c>
      <c r="AT225" s="199"/>
      <c r="AU225" s="202" t="s">
        <v>2161</v>
      </c>
      <c r="AV225" s="195" t="s">
        <v>9</v>
      </c>
      <c r="AW225" s="195" t="str">
        <f ca="1">IFERROR(__xludf.DUMMYFUNCTION("IF(AND(IF(AS225=""Yes"",True,False),NOT(IFERROR(REGEXMATCH(AV225,ExclusionCategories),FALSE))),""Yes"", ""No"")"),"Yes")</f>
        <v>Yes</v>
      </c>
      <c r="AX225" s="195">
        <f ca="1">IFERROR(__xludf.DUMMYFUNCTION("IF(IFERROR(SEARCH(""Unclear"", Z225)) = 1, VALUE(REGEXEXTRACT(Z225,""\d+"")), Z225)"),59)</f>
        <v>59</v>
      </c>
      <c r="AY225" s="195">
        <v>59</v>
      </c>
      <c r="AZ225" s="195" t="str">
        <f ca="1">IFERROR(__xludf.DUMMYFUNCTION("IF(IFERROR(SEARCH(""Unclear"", AG225)) = 1, VALUE(REGEXEXTRACT(AG225,""\d+"")), AG225)"),"ND")</f>
        <v>ND</v>
      </c>
      <c r="BA225" s="195" t="s">
        <v>324</v>
      </c>
      <c r="BB225" s="195" t="str">
        <f ca="1">IFERROR(__xludf.DUMMYFUNCTION("IF(IFERROR(SEARCH(""Unclear"", AJ225)) = 1, VALUE(REGEXEXTRACT(AJ225,""\d+"")), AJ225)"),"ND")</f>
        <v>ND</v>
      </c>
      <c r="BC225" s="195" t="s">
        <v>324</v>
      </c>
      <c r="BD225" s="195" t="b">
        <f t="shared" si="2"/>
        <v>0</v>
      </c>
      <c r="BE225" s="195" t="b">
        <f t="shared" ref="BE225:BF225" si="237">IF(IFERROR(FIND("ND",AI225),0),FALSE,TRUE)</f>
        <v>0</v>
      </c>
      <c r="BF225" s="195" t="b">
        <f t="shared" si="237"/>
        <v>0</v>
      </c>
    </row>
    <row r="226" spans="1:58" ht="37.5" customHeight="1">
      <c r="A226" s="218" t="s">
        <v>2162</v>
      </c>
      <c r="B226" s="241">
        <v>1977</v>
      </c>
      <c r="C226" s="195" t="s">
        <v>457</v>
      </c>
      <c r="D226" s="4" t="s">
        <v>2163</v>
      </c>
      <c r="E226" s="239">
        <v>894078</v>
      </c>
      <c r="F226" s="230" t="str">
        <f t="shared" si="219"/>
        <v>https://pubmed.ncbi.nlm.nih.gov/894078</v>
      </c>
      <c r="G226" s="213" t="str">
        <f t="shared" si="89"/>
        <v>Richman 1977</v>
      </c>
      <c r="H226" s="217">
        <v>1977</v>
      </c>
      <c r="I226" s="199"/>
      <c r="J226" s="199"/>
      <c r="K226" s="195">
        <v>11</v>
      </c>
      <c r="L226" s="4" t="s">
        <v>2164</v>
      </c>
      <c r="M226" s="195" t="s">
        <v>324</v>
      </c>
      <c r="N226" s="195" t="s">
        <v>324</v>
      </c>
      <c r="O226" s="195" t="s">
        <v>324</v>
      </c>
      <c r="P226" s="195" t="s">
        <v>324</v>
      </c>
      <c r="Q226" s="195" t="s">
        <v>324</v>
      </c>
      <c r="R226" s="195" t="s">
        <v>324</v>
      </c>
      <c r="S226" s="195" t="s">
        <v>324</v>
      </c>
      <c r="T226" s="195" t="s">
        <v>324</v>
      </c>
      <c r="U226" s="195" t="s">
        <v>324</v>
      </c>
      <c r="V226" s="195" t="s">
        <v>2165</v>
      </c>
      <c r="W226" s="199"/>
      <c r="X226" s="195">
        <v>11</v>
      </c>
      <c r="Y226" s="195" t="s">
        <v>2166</v>
      </c>
      <c r="Z226" s="195">
        <v>6</v>
      </c>
      <c r="AA226" s="199"/>
      <c r="AB226" s="195">
        <v>0</v>
      </c>
      <c r="AC226" s="199"/>
      <c r="AD226" s="195" t="s">
        <v>322</v>
      </c>
      <c r="AE226" s="195" t="s">
        <v>332</v>
      </c>
      <c r="AF226" s="195" t="s">
        <v>1958</v>
      </c>
      <c r="AG226" s="195">
        <v>5</v>
      </c>
      <c r="AH226" s="195" t="s">
        <v>316</v>
      </c>
      <c r="AI226" s="195">
        <v>0</v>
      </c>
      <c r="AJ226" s="195" t="s">
        <v>324</v>
      </c>
      <c r="AK226" s="195" t="s">
        <v>499</v>
      </c>
      <c r="AL226" s="195" t="s">
        <v>322</v>
      </c>
      <c r="AM226" s="199"/>
      <c r="AN226" s="195" t="s">
        <v>332</v>
      </c>
      <c r="AO226" s="195" t="s">
        <v>2167</v>
      </c>
      <c r="AP226" s="195" t="s">
        <v>2168</v>
      </c>
      <c r="AQ226" s="195" t="s">
        <v>324</v>
      </c>
      <c r="AR226" s="220" t="s">
        <v>1431</v>
      </c>
      <c r="AS226" s="195" t="s">
        <v>316</v>
      </c>
      <c r="AT226" s="199"/>
      <c r="AU226" s="202" t="s">
        <v>2169</v>
      </c>
      <c r="AV226" s="195" t="s">
        <v>1447</v>
      </c>
      <c r="AW226" s="195" t="str">
        <f ca="1">IFERROR(__xludf.DUMMYFUNCTION("IF(AND(IF(AS226=""Yes"",True,False),NOT(IFERROR(REGEXMATCH(AV226,ExclusionCategories),FALSE))),""Yes"", ""No"")"),"No")</f>
        <v>No</v>
      </c>
      <c r="AX226" s="195">
        <f ca="1">IFERROR(__xludf.DUMMYFUNCTION("IF(IFERROR(SEARCH(""Unclear"", Z226)) = 1, VALUE(REGEXEXTRACT(Z226,""\d+"")), Z226)"),6)</f>
        <v>6</v>
      </c>
      <c r="AY226" s="195">
        <v>6</v>
      </c>
      <c r="AZ226" s="195">
        <f ca="1">IFERROR(__xludf.DUMMYFUNCTION("IF(IFERROR(SEARCH(""Unclear"", AG226)) = 1, VALUE(REGEXEXTRACT(AG226,""\d+"")), AG226)"),5)</f>
        <v>5</v>
      </c>
      <c r="BA226" s="195">
        <v>5</v>
      </c>
      <c r="BB226" s="195" t="str">
        <f ca="1">IFERROR(__xludf.DUMMYFUNCTION("IF(IFERROR(SEARCH(""Unclear"", AJ226)) = 1, VALUE(REGEXEXTRACT(AJ226,""\d+"")), AJ226)"),"ND")</f>
        <v>ND</v>
      </c>
      <c r="BC226" s="195" t="s">
        <v>324</v>
      </c>
      <c r="BD226" s="195" t="b">
        <f t="shared" si="2"/>
        <v>1</v>
      </c>
      <c r="BE226" s="195" t="b">
        <f t="shared" ref="BE226:BF226" si="238">IF(IFERROR(FIND("ND",AI226),0),FALSE,TRUE)</f>
        <v>1</v>
      </c>
      <c r="BF226" s="195" t="b">
        <f t="shared" si="238"/>
        <v>0</v>
      </c>
    </row>
    <row r="227" spans="1:58" ht="37.5" customHeight="1">
      <c r="A227" s="218" t="s">
        <v>2162</v>
      </c>
      <c r="B227" s="241">
        <v>1977</v>
      </c>
      <c r="C227" s="195" t="s">
        <v>457</v>
      </c>
      <c r="D227" s="4" t="s">
        <v>2170</v>
      </c>
      <c r="E227" s="239">
        <v>894078</v>
      </c>
      <c r="F227" s="230" t="str">
        <f t="shared" si="219"/>
        <v>https://pubmed.ncbi.nlm.nih.gov/894078</v>
      </c>
      <c r="G227" s="213" t="str">
        <f t="shared" si="89"/>
        <v>Richman 1977</v>
      </c>
      <c r="H227" s="217">
        <v>1977</v>
      </c>
      <c r="I227" s="199"/>
      <c r="J227" s="199"/>
      <c r="K227" s="195">
        <v>32</v>
      </c>
      <c r="L227" s="4" t="s">
        <v>2171</v>
      </c>
      <c r="M227" s="195" t="s">
        <v>324</v>
      </c>
      <c r="N227" s="195" t="s">
        <v>324</v>
      </c>
      <c r="O227" s="195" t="s">
        <v>324</v>
      </c>
      <c r="P227" s="195" t="s">
        <v>324</v>
      </c>
      <c r="Q227" s="195" t="s">
        <v>324</v>
      </c>
      <c r="R227" s="195" t="s">
        <v>324</v>
      </c>
      <c r="S227" s="195" t="s">
        <v>324</v>
      </c>
      <c r="T227" s="195" t="s">
        <v>324</v>
      </c>
      <c r="U227" s="195" t="s">
        <v>324</v>
      </c>
      <c r="V227" s="195" t="s">
        <v>2165</v>
      </c>
      <c r="W227" s="199"/>
      <c r="X227" s="195">
        <v>32</v>
      </c>
      <c r="Y227" s="199"/>
      <c r="Z227" s="195">
        <v>31</v>
      </c>
      <c r="AA227" s="199"/>
      <c r="AB227" s="195">
        <v>0</v>
      </c>
      <c r="AC227" s="199"/>
      <c r="AD227" s="195" t="s">
        <v>322</v>
      </c>
      <c r="AE227" s="195" t="s">
        <v>332</v>
      </c>
      <c r="AF227" s="195" t="s">
        <v>1958</v>
      </c>
      <c r="AG227" s="195">
        <v>5</v>
      </c>
      <c r="AH227" s="195" t="s">
        <v>316</v>
      </c>
      <c r="AI227" s="195">
        <v>0</v>
      </c>
      <c r="AJ227" s="195" t="s">
        <v>324</v>
      </c>
      <c r="AK227" s="195" t="s">
        <v>499</v>
      </c>
      <c r="AL227" s="195" t="s">
        <v>322</v>
      </c>
      <c r="AM227" s="199"/>
      <c r="AN227" s="195" t="s">
        <v>2172</v>
      </c>
      <c r="AO227" s="195" t="s">
        <v>2167</v>
      </c>
      <c r="AP227" s="195" t="s">
        <v>2168</v>
      </c>
      <c r="AQ227" s="195" t="s">
        <v>324</v>
      </c>
      <c r="AR227" s="220" t="s">
        <v>1431</v>
      </c>
      <c r="AS227" s="195" t="s">
        <v>316</v>
      </c>
      <c r="AT227" s="199"/>
      <c r="AU227" s="202" t="s">
        <v>2169</v>
      </c>
      <c r="AV227" s="195" t="s">
        <v>2173</v>
      </c>
      <c r="AW227" s="195" t="str">
        <f ca="1">IFERROR(__xludf.DUMMYFUNCTION("IF(AND(IF(AS227=""Yes"",True,False),NOT(IFERROR(REGEXMATCH(AV227,ExclusionCategories),FALSE))),""Yes"", ""No"")"),"No")</f>
        <v>No</v>
      </c>
      <c r="AX227" s="195">
        <f ca="1">IFERROR(__xludf.DUMMYFUNCTION("IF(IFERROR(SEARCH(""Unclear"", Z227)) = 1, VALUE(REGEXEXTRACT(Z227,""\d+"")), Z227)"),31)</f>
        <v>31</v>
      </c>
      <c r="AY227" s="195">
        <v>31</v>
      </c>
      <c r="AZ227" s="195">
        <f ca="1">IFERROR(__xludf.DUMMYFUNCTION("IF(IFERROR(SEARCH(""Unclear"", AG227)) = 1, VALUE(REGEXEXTRACT(AG227,""\d+"")), AG227)"),5)</f>
        <v>5</v>
      </c>
      <c r="BA227" s="195">
        <v>5</v>
      </c>
      <c r="BB227" s="195" t="str">
        <f ca="1">IFERROR(__xludf.DUMMYFUNCTION("IF(IFERROR(SEARCH(""Unclear"", AJ227)) = 1, VALUE(REGEXEXTRACT(AJ227,""\d+"")), AJ227)"),"ND")</f>
        <v>ND</v>
      </c>
      <c r="BC227" s="195" t="s">
        <v>324</v>
      </c>
      <c r="BD227" s="195" t="b">
        <f t="shared" si="2"/>
        <v>1</v>
      </c>
      <c r="BE227" s="195" t="b">
        <f t="shared" ref="BE227:BF227" si="239">IF(IFERROR(FIND("ND",AI227),0),FALSE,TRUE)</f>
        <v>1</v>
      </c>
      <c r="BF227" s="195" t="b">
        <f t="shared" si="239"/>
        <v>0</v>
      </c>
    </row>
    <row r="228" spans="1:58" ht="37.5" customHeight="1">
      <c r="A228" s="218" t="s">
        <v>1265</v>
      </c>
      <c r="B228" s="241">
        <v>2009</v>
      </c>
      <c r="C228" s="195" t="s">
        <v>339</v>
      </c>
      <c r="D228" s="4" t="s">
        <v>2174</v>
      </c>
      <c r="E228" s="239">
        <v>19641203</v>
      </c>
      <c r="F228" s="230" t="str">
        <f t="shared" si="219"/>
        <v>https://pubmed.ncbi.nlm.nih.gov/19641203</v>
      </c>
      <c r="G228" s="213" t="str">
        <f t="shared" si="89"/>
        <v>Roestenberg 2009</v>
      </c>
      <c r="H228" s="195">
        <v>2007</v>
      </c>
      <c r="I228" s="195" t="s">
        <v>2175</v>
      </c>
      <c r="J228" s="229" t="s">
        <v>2176</v>
      </c>
      <c r="K228" s="195">
        <v>15</v>
      </c>
      <c r="L228" s="4" t="s">
        <v>343</v>
      </c>
      <c r="M228" s="195">
        <v>4</v>
      </c>
      <c r="N228" s="195">
        <v>11</v>
      </c>
      <c r="O228" s="195" t="s">
        <v>324</v>
      </c>
      <c r="P228" s="195" t="s">
        <v>324</v>
      </c>
      <c r="Q228" s="195" t="s">
        <v>324</v>
      </c>
      <c r="R228" s="195">
        <v>18</v>
      </c>
      <c r="S228" s="195">
        <v>45</v>
      </c>
      <c r="T228" s="195">
        <v>22.7</v>
      </c>
      <c r="U228" s="195" t="s">
        <v>365</v>
      </c>
      <c r="V228" s="195" t="s">
        <v>2177</v>
      </c>
      <c r="W228" s="199"/>
      <c r="X228" s="195">
        <v>10</v>
      </c>
      <c r="Y228" s="199"/>
      <c r="Z228" s="195">
        <v>0</v>
      </c>
      <c r="AA228" s="199"/>
      <c r="AB228" s="195">
        <v>5</v>
      </c>
      <c r="AC228" s="195" t="s">
        <v>2178</v>
      </c>
      <c r="AD228" s="195">
        <v>0</v>
      </c>
      <c r="AE228" s="195" t="s">
        <v>2179</v>
      </c>
      <c r="AF228" s="199"/>
      <c r="AG228" s="195">
        <v>10</v>
      </c>
      <c r="AH228" s="195" t="s">
        <v>308</v>
      </c>
      <c r="AI228" s="195">
        <v>0</v>
      </c>
      <c r="AJ228" s="217" t="s">
        <v>2180</v>
      </c>
      <c r="AK228" s="195" t="s">
        <v>2181</v>
      </c>
      <c r="AL228" s="195">
        <v>5</v>
      </c>
      <c r="AM228" s="199"/>
      <c r="AN228" s="195" t="s">
        <v>1031</v>
      </c>
      <c r="AO228" s="195" t="s">
        <v>2182</v>
      </c>
      <c r="AP228" s="195" t="s">
        <v>2183</v>
      </c>
      <c r="AQ228" s="195" t="s">
        <v>324</v>
      </c>
      <c r="AR228" s="220" t="s">
        <v>1431</v>
      </c>
      <c r="AS228" s="195" t="s">
        <v>316</v>
      </c>
      <c r="AT228" s="199"/>
      <c r="AU228" s="202" t="s">
        <v>2184</v>
      </c>
      <c r="AV228" s="195" t="s">
        <v>318</v>
      </c>
      <c r="AW228" s="195" t="str">
        <f ca="1">IFERROR(__xludf.DUMMYFUNCTION("IF(AND(IF(AS228=""Yes"",True,False),NOT(IFERROR(REGEXMATCH(AV228,ExclusionCategories),FALSE))),""Yes"", ""No"")"),"No")</f>
        <v>No</v>
      </c>
      <c r="AX228" s="195">
        <f ca="1">IFERROR(__xludf.DUMMYFUNCTION("IF(IFERROR(SEARCH(""Unclear"", Z228)) = 1, VALUE(REGEXEXTRACT(Z228,""\d+"")), Z228)"),0)</f>
        <v>0</v>
      </c>
      <c r="AY228" s="195">
        <v>0</v>
      </c>
      <c r="AZ228" s="195">
        <f ca="1">IFERROR(__xludf.DUMMYFUNCTION("IF(IFERROR(SEARCH(""Unclear"", AG228)) = 1, VALUE(REGEXEXTRACT(AG228,""\d+"")), AG228)"),10)</f>
        <v>10</v>
      </c>
      <c r="BA228" s="195">
        <v>10</v>
      </c>
      <c r="BB228" s="195">
        <f ca="1">IFERROR(__xludf.DUMMYFUNCTION("IF(IFERROR(SEARCH(""Unclear"", AJ228)) = 1, VALUE(REGEXEXTRACT(AJ228,""\d+"")), AJ228)"),2)</f>
        <v>2</v>
      </c>
      <c r="BC228" s="217">
        <v>3</v>
      </c>
      <c r="BD228" s="195" t="b">
        <f t="shared" si="2"/>
        <v>1</v>
      </c>
      <c r="BE228" s="195" t="b">
        <f t="shared" ref="BE228:BF228" si="240">IF(IFERROR(FIND("ND",AI228),0),FALSE,TRUE)</f>
        <v>1</v>
      </c>
      <c r="BF228" s="195" t="b">
        <f t="shared" si="240"/>
        <v>1</v>
      </c>
    </row>
    <row r="229" spans="1:58" ht="37.5" customHeight="1">
      <c r="A229" s="218" t="s">
        <v>1265</v>
      </c>
      <c r="B229" s="241">
        <v>2009</v>
      </c>
      <c r="C229" s="195" t="s">
        <v>339</v>
      </c>
      <c r="D229" s="4" t="s">
        <v>403</v>
      </c>
      <c r="E229" s="239">
        <v>19641203</v>
      </c>
      <c r="F229" s="230" t="str">
        <f t="shared" si="219"/>
        <v>https://pubmed.ncbi.nlm.nih.gov/19641203</v>
      </c>
      <c r="G229" s="213" t="str">
        <f t="shared" si="89"/>
        <v>Roestenberg 2009</v>
      </c>
      <c r="H229" s="195">
        <v>2007</v>
      </c>
      <c r="I229" s="195" t="s">
        <v>2175</v>
      </c>
      <c r="J229" s="229" t="s">
        <v>2176</v>
      </c>
      <c r="K229" s="195">
        <v>15</v>
      </c>
      <c r="L229" s="4" t="s">
        <v>353</v>
      </c>
      <c r="M229" s="195">
        <v>4</v>
      </c>
      <c r="N229" s="195">
        <v>11</v>
      </c>
      <c r="O229" s="195" t="s">
        <v>324</v>
      </c>
      <c r="P229" s="195" t="s">
        <v>324</v>
      </c>
      <c r="Q229" s="195" t="s">
        <v>324</v>
      </c>
      <c r="R229" s="195">
        <v>18</v>
      </c>
      <c r="S229" s="195">
        <v>45</v>
      </c>
      <c r="T229" s="195">
        <v>22.7</v>
      </c>
      <c r="U229" s="195" t="s">
        <v>365</v>
      </c>
      <c r="V229" s="195" t="s">
        <v>2177</v>
      </c>
      <c r="W229" s="199"/>
      <c r="X229" s="195">
        <v>15</v>
      </c>
      <c r="Y229" s="195" t="s">
        <v>405</v>
      </c>
      <c r="Z229" s="195">
        <v>5</v>
      </c>
      <c r="AA229" s="195" t="s">
        <v>2185</v>
      </c>
      <c r="AB229" s="195">
        <v>0</v>
      </c>
      <c r="AC229" s="199"/>
      <c r="AD229" s="195" t="s">
        <v>322</v>
      </c>
      <c r="AE229" s="195" t="s">
        <v>2179</v>
      </c>
      <c r="AF229" s="199"/>
      <c r="AG229" s="195">
        <v>14</v>
      </c>
      <c r="AH229" s="195" t="s">
        <v>308</v>
      </c>
      <c r="AI229" s="195">
        <v>0</v>
      </c>
      <c r="AJ229" s="195">
        <v>5</v>
      </c>
      <c r="AK229" s="195" t="s">
        <v>2181</v>
      </c>
      <c r="AL229" s="195" t="s">
        <v>322</v>
      </c>
      <c r="AM229" s="199"/>
      <c r="AN229" s="195" t="s">
        <v>1031</v>
      </c>
      <c r="AO229" s="195" t="s">
        <v>2182</v>
      </c>
      <c r="AP229" s="195" t="s">
        <v>2183</v>
      </c>
      <c r="AQ229" s="195" t="s">
        <v>324</v>
      </c>
      <c r="AR229" s="220" t="s">
        <v>1431</v>
      </c>
      <c r="AS229" s="195" t="s">
        <v>308</v>
      </c>
      <c r="AT229" s="199"/>
      <c r="AU229" s="202" t="s">
        <v>2184</v>
      </c>
      <c r="AV229" s="195" t="s">
        <v>9</v>
      </c>
      <c r="AW229" s="195" t="str">
        <f ca="1">IFERROR(__xludf.DUMMYFUNCTION("IF(AND(IF(AS229=""Yes"",True,False),NOT(IFERROR(REGEXMATCH(AV229,ExclusionCategories),FALSE))),""Yes"", ""No"")"),"Yes")</f>
        <v>Yes</v>
      </c>
      <c r="AX229" s="195">
        <f ca="1">IFERROR(__xludf.DUMMYFUNCTION("IF(IFERROR(SEARCH(""Unclear"", Z229)) = 1, VALUE(REGEXEXTRACT(Z229,""\d+"")), Z229)"),5)</f>
        <v>5</v>
      </c>
      <c r="AY229" s="195">
        <v>5</v>
      </c>
      <c r="AZ229" s="195">
        <f ca="1">IFERROR(__xludf.DUMMYFUNCTION("IF(IFERROR(SEARCH(""Unclear"", AG229)) = 1, VALUE(REGEXEXTRACT(AG229,""\d+"")), AG229)"),14)</f>
        <v>14</v>
      </c>
      <c r="BA229" s="195">
        <v>14</v>
      </c>
      <c r="BB229" s="195">
        <f ca="1">IFERROR(__xludf.DUMMYFUNCTION("IF(IFERROR(SEARCH(""Unclear"", AJ229)) = 1, VALUE(REGEXEXTRACT(AJ229,""\d+"")), AJ229)"),5)</f>
        <v>5</v>
      </c>
      <c r="BC229" s="195">
        <v>5</v>
      </c>
      <c r="BD229" s="195" t="b">
        <f t="shared" si="2"/>
        <v>1</v>
      </c>
      <c r="BE229" s="195" t="b">
        <f t="shared" ref="BE229:BF229" si="241">IF(IFERROR(FIND("ND",AI229),0),FALSE,TRUE)</f>
        <v>1</v>
      </c>
      <c r="BF229" s="195" t="b">
        <f t="shared" si="241"/>
        <v>1</v>
      </c>
    </row>
    <row r="230" spans="1:58" ht="37.5" customHeight="1">
      <c r="A230" s="218" t="s">
        <v>2186</v>
      </c>
      <c r="B230" s="241">
        <v>1975</v>
      </c>
      <c r="C230" s="195" t="s">
        <v>457</v>
      </c>
      <c r="D230" s="4" t="s">
        <v>2187</v>
      </c>
      <c r="E230" s="239">
        <v>1202110</v>
      </c>
      <c r="F230" s="230" t="str">
        <f t="shared" si="219"/>
        <v>https://pubmed.ncbi.nlm.nih.gov/1202110</v>
      </c>
      <c r="G230" s="213" t="str">
        <f t="shared" si="89"/>
        <v>Rytel 1975</v>
      </c>
      <c r="H230" s="195">
        <v>1973</v>
      </c>
      <c r="I230" s="195"/>
      <c r="J230" s="195"/>
      <c r="K230" s="195">
        <v>133</v>
      </c>
      <c r="L230" s="4" t="s">
        <v>2188</v>
      </c>
      <c r="M230" s="195">
        <v>13</v>
      </c>
      <c r="N230" s="195">
        <v>120</v>
      </c>
      <c r="O230" s="195" t="s">
        <v>324</v>
      </c>
      <c r="P230" s="195">
        <v>18</v>
      </c>
      <c r="Q230" s="195">
        <v>28</v>
      </c>
      <c r="R230" s="195" t="s">
        <v>324</v>
      </c>
      <c r="S230" s="195" t="s">
        <v>324</v>
      </c>
      <c r="T230" s="195" t="s">
        <v>324</v>
      </c>
      <c r="U230" s="195" t="s">
        <v>324</v>
      </c>
      <c r="V230" s="195" t="s">
        <v>2189</v>
      </c>
      <c r="W230" s="199"/>
      <c r="X230" s="195">
        <v>133</v>
      </c>
      <c r="Y230" s="195"/>
      <c r="Z230" s="195">
        <v>86</v>
      </c>
      <c r="AA230" s="195"/>
      <c r="AB230" s="195">
        <v>32</v>
      </c>
      <c r="AC230" s="195" t="s">
        <v>2190</v>
      </c>
      <c r="AD230" s="195">
        <v>0</v>
      </c>
      <c r="AE230" s="195" t="s">
        <v>2191</v>
      </c>
      <c r="AF230" s="195" t="s">
        <v>2192</v>
      </c>
      <c r="AG230" s="195" t="s">
        <v>2193</v>
      </c>
      <c r="AH230" s="195" t="s">
        <v>316</v>
      </c>
      <c r="AI230" s="195">
        <v>0</v>
      </c>
      <c r="AJ230" s="195" t="s">
        <v>324</v>
      </c>
      <c r="AK230" s="195" t="s">
        <v>499</v>
      </c>
      <c r="AL230" s="195" t="s">
        <v>324</v>
      </c>
      <c r="AM230" s="199"/>
      <c r="AN230" s="195" t="s">
        <v>2187</v>
      </c>
      <c r="AO230" s="195" t="s">
        <v>2194</v>
      </c>
      <c r="AP230" s="195" t="s">
        <v>2195</v>
      </c>
      <c r="AQ230" s="195" t="s">
        <v>324</v>
      </c>
      <c r="AR230" s="220" t="s">
        <v>1431</v>
      </c>
      <c r="AS230" s="195" t="s">
        <v>316</v>
      </c>
      <c r="AT230" s="199"/>
      <c r="AU230" s="202" t="s">
        <v>2196</v>
      </c>
      <c r="AV230" s="195" t="s">
        <v>2197</v>
      </c>
      <c r="AW230" s="195" t="str">
        <f ca="1">IFERROR(__xludf.DUMMYFUNCTION("IF(AND(IF(AS230=""Yes"",True,False),NOT(IFERROR(REGEXMATCH(AV230,ExclusionCategories),FALSE))),""Yes"", ""No"")"),"No")</f>
        <v>No</v>
      </c>
      <c r="AX230" s="195">
        <f ca="1">IFERROR(__xludf.DUMMYFUNCTION("IF(IFERROR(SEARCH(""Unclear"", Z230)) = 1, VALUE(REGEXEXTRACT(Z230,""\d+"")), Z230)"),86)</f>
        <v>86</v>
      </c>
      <c r="AY230" s="195">
        <v>86</v>
      </c>
      <c r="AZ230" s="195">
        <f ca="1">IFERROR(__xludf.DUMMYFUNCTION("IF(IFERROR(SEARCH(""Unclear"", AG230)) = 1, VALUE(REGEXEXTRACT(AG230,""\d+"")), AG230)"),36)</f>
        <v>36</v>
      </c>
      <c r="BA230" s="195">
        <v>133</v>
      </c>
      <c r="BB230" s="195" t="str">
        <f ca="1">IFERROR(__xludf.DUMMYFUNCTION("IF(IFERROR(SEARCH(""Unclear"", AJ230)) = 1, VALUE(REGEXEXTRACT(AJ230,""\d+"")), AJ230)"),"ND")</f>
        <v>ND</v>
      </c>
      <c r="BC230" s="195" t="s">
        <v>324</v>
      </c>
      <c r="BD230" s="195" t="b">
        <f t="shared" si="2"/>
        <v>1</v>
      </c>
      <c r="BE230" s="195" t="b">
        <f t="shared" ref="BE230:BF230" si="242">IF(IFERROR(FIND("ND",AI230),0),FALSE,TRUE)</f>
        <v>1</v>
      </c>
      <c r="BF230" s="195" t="b">
        <f t="shared" si="242"/>
        <v>0</v>
      </c>
    </row>
    <row r="231" spans="1:58" ht="37.5" customHeight="1">
      <c r="A231" s="218" t="s">
        <v>2186</v>
      </c>
      <c r="B231" s="241">
        <v>1975</v>
      </c>
      <c r="C231" s="195" t="s">
        <v>457</v>
      </c>
      <c r="D231" s="4" t="s">
        <v>2198</v>
      </c>
      <c r="E231" s="239">
        <v>1202110</v>
      </c>
      <c r="F231" s="230" t="str">
        <f t="shared" si="219"/>
        <v>https://pubmed.ncbi.nlm.nih.gov/1202110</v>
      </c>
      <c r="G231" s="213" t="str">
        <f t="shared" si="89"/>
        <v>Rytel 1975</v>
      </c>
      <c r="H231" s="195">
        <v>1974</v>
      </c>
      <c r="I231" s="195"/>
      <c r="J231" s="195"/>
      <c r="K231" s="195">
        <v>22</v>
      </c>
      <c r="L231" s="4" t="s">
        <v>353</v>
      </c>
      <c r="M231" s="195" t="s">
        <v>324</v>
      </c>
      <c r="N231" s="195" t="s">
        <v>324</v>
      </c>
      <c r="O231" s="195" t="s">
        <v>324</v>
      </c>
      <c r="P231" s="195">
        <v>18</v>
      </c>
      <c r="Q231" s="195">
        <v>28</v>
      </c>
      <c r="R231" s="195" t="s">
        <v>324</v>
      </c>
      <c r="S231" s="195" t="s">
        <v>324</v>
      </c>
      <c r="T231" s="195" t="s">
        <v>324</v>
      </c>
      <c r="U231" s="195" t="s">
        <v>324</v>
      </c>
      <c r="V231" s="195" t="s">
        <v>2199</v>
      </c>
      <c r="W231" s="199"/>
      <c r="X231" s="195">
        <v>22</v>
      </c>
      <c r="Y231" s="195" t="s">
        <v>1213</v>
      </c>
      <c r="Z231" s="195">
        <v>10</v>
      </c>
      <c r="AA231" s="195" t="s">
        <v>2200</v>
      </c>
      <c r="AB231" s="195">
        <v>0</v>
      </c>
      <c r="AC231" s="199"/>
      <c r="AD231" s="195" t="s">
        <v>322</v>
      </c>
      <c r="AE231" s="195" t="s">
        <v>2201</v>
      </c>
      <c r="AF231" s="195" t="s">
        <v>1958</v>
      </c>
      <c r="AG231" s="195">
        <v>10</v>
      </c>
      <c r="AH231" s="195" t="s">
        <v>308</v>
      </c>
      <c r="AI231" s="195">
        <v>0</v>
      </c>
      <c r="AJ231" s="195" t="s">
        <v>324</v>
      </c>
      <c r="AK231" s="195" t="s">
        <v>499</v>
      </c>
      <c r="AL231" s="195" t="s">
        <v>324</v>
      </c>
      <c r="AM231" s="199"/>
      <c r="AN231" s="195" t="s">
        <v>2187</v>
      </c>
      <c r="AO231" s="195" t="s">
        <v>2194</v>
      </c>
      <c r="AP231" s="195" t="s">
        <v>2195</v>
      </c>
      <c r="AQ231" s="195" t="s">
        <v>324</v>
      </c>
      <c r="AR231" s="220" t="s">
        <v>1431</v>
      </c>
      <c r="AS231" s="195" t="s">
        <v>316</v>
      </c>
      <c r="AT231" s="199"/>
      <c r="AU231" s="202" t="s">
        <v>2196</v>
      </c>
      <c r="AV231" s="195" t="s">
        <v>1447</v>
      </c>
      <c r="AW231" s="195" t="str">
        <f ca="1">IFERROR(__xludf.DUMMYFUNCTION("IF(AND(IF(AS231=""Yes"",True,False),NOT(IFERROR(REGEXMATCH(AV231,ExclusionCategories),FALSE))),""Yes"", ""No"")"),"No")</f>
        <v>No</v>
      </c>
      <c r="AX231" s="195">
        <f ca="1">IFERROR(__xludf.DUMMYFUNCTION("IF(IFERROR(SEARCH(""Unclear"", Z231)) = 1, VALUE(REGEXEXTRACT(Z231,""\d+"")), Z231)"),10)</f>
        <v>10</v>
      </c>
      <c r="AY231" s="195">
        <v>10</v>
      </c>
      <c r="AZ231" s="195">
        <f ca="1">IFERROR(__xludf.DUMMYFUNCTION("IF(IFERROR(SEARCH(""Unclear"", AG231)) = 1, VALUE(REGEXEXTRACT(AG231,""\d+"")), AG231)"),10)</f>
        <v>10</v>
      </c>
      <c r="BA231" s="195">
        <v>10</v>
      </c>
      <c r="BB231" s="195" t="str">
        <f ca="1">IFERROR(__xludf.DUMMYFUNCTION("IF(IFERROR(SEARCH(""Unclear"", AJ231)) = 1, VALUE(REGEXEXTRACT(AJ231,""\d+"")), AJ231)"),"ND")</f>
        <v>ND</v>
      </c>
      <c r="BC231" s="195" t="s">
        <v>324</v>
      </c>
      <c r="BD231" s="195" t="b">
        <f t="shared" si="2"/>
        <v>1</v>
      </c>
      <c r="BE231" s="195" t="b">
        <f t="shared" ref="BE231:BF231" si="243">IF(IFERROR(FIND("ND",AI231),0),FALSE,TRUE)</f>
        <v>1</v>
      </c>
      <c r="BF231" s="195" t="b">
        <f t="shared" si="243"/>
        <v>0</v>
      </c>
    </row>
    <row r="232" spans="1:58" ht="37.5" customHeight="1">
      <c r="A232" s="218" t="s">
        <v>2202</v>
      </c>
      <c r="B232" s="241">
        <v>1976</v>
      </c>
      <c r="C232" s="195" t="s">
        <v>457</v>
      </c>
      <c r="D232" s="4" t="s">
        <v>2203</v>
      </c>
      <c r="E232" s="239">
        <v>1083484</v>
      </c>
      <c r="F232" s="230" t="str">
        <f t="shared" si="219"/>
        <v>https://pubmed.ncbi.nlm.nih.gov/1083484</v>
      </c>
      <c r="G232" s="213" t="str">
        <f t="shared" si="89"/>
        <v>Scheinberg 1976</v>
      </c>
      <c r="H232" s="217">
        <v>1976</v>
      </c>
      <c r="I232" s="195"/>
      <c r="J232" s="195"/>
      <c r="K232" s="195">
        <v>10</v>
      </c>
      <c r="L232" s="4" t="s">
        <v>2164</v>
      </c>
      <c r="M232" s="195" t="s">
        <v>324</v>
      </c>
      <c r="N232" s="195" t="s">
        <v>324</v>
      </c>
      <c r="O232" s="195" t="s">
        <v>324</v>
      </c>
      <c r="P232" s="195" t="s">
        <v>324</v>
      </c>
      <c r="Q232" s="195" t="s">
        <v>324</v>
      </c>
      <c r="R232" s="195" t="s">
        <v>324</v>
      </c>
      <c r="S232" s="195" t="s">
        <v>324</v>
      </c>
      <c r="T232" s="195" t="s">
        <v>324</v>
      </c>
      <c r="U232" s="195" t="s">
        <v>324</v>
      </c>
      <c r="V232" s="195" t="s">
        <v>2204</v>
      </c>
      <c r="W232" s="199"/>
      <c r="X232" s="195">
        <v>10</v>
      </c>
      <c r="Y232" s="195"/>
      <c r="Z232" s="195">
        <v>10</v>
      </c>
      <c r="AA232" s="195"/>
      <c r="AB232" s="195">
        <v>0</v>
      </c>
      <c r="AC232" s="199"/>
      <c r="AD232" s="195" t="s">
        <v>322</v>
      </c>
      <c r="AE232" s="195" t="s">
        <v>2205</v>
      </c>
      <c r="AF232" s="195" t="s">
        <v>2206</v>
      </c>
      <c r="AG232" s="195">
        <v>5</v>
      </c>
      <c r="AH232" s="195" t="s">
        <v>316</v>
      </c>
      <c r="AI232" s="195">
        <v>0</v>
      </c>
      <c r="AJ232" s="195" t="s">
        <v>324</v>
      </c>
      <c r="AK232" s="195" t="s">
        <v>499</v>
      </c>
      <c r="AL232" s="195" t="s">
        <v>322</v>
      </c>
      <c r="AM232" s="199"/>
      <c r="AN232" s="195" t="s">
        <v>332</v>
      </c>
      <c r="AO232" s="195" t="s">
        <v>2207</v>
      </c>
      <c r="AP232" s="195" t="s">
        <v>2208</v>
      </c>
      <c r="AQ232" s="195" t="s">
        <v>324</v>
      </c>
      <c r="AR232" s="220" t="s">
        <v>1431</v>
      </c>
      <c r="AS232" s="195" t="s">
        <v>316</v>
      </c>
      <c r="AT232" s="199"/>
      <c r="AU232" s="202" t="s">
        <v>2209</v>
      </c>
      <c r="AV232" s="195" t="s">
        <v>1447</v>
      </c>
      <c r="AW232" s="195" t="str">
        <f ca="1">IFERROR(__xludf.DUMMYFUNCTION("IF(AND(IF(AS232=""Yes"",True,False),NOT(IFERROR(REGEXMATCH(AV232,ExclusionCategories),FALSE))),""Yes"", ""No"")"),"No")</f>
        <v>No</v>
      </c>
      <c r="AX232" s="195">
        <f ca="1">IFERROR(__xludf.DUMMYFUNCTION("IF(IFERROR(SEARCH(""Unclear"", Z232)) = 1, VALUE(REGEXEXTRACT(Z232,""\d+"")), Z232)"),10)</f>
        <v>10</v>
      </c>
      <c r="AY232" s="195">
        <v>10</v>
      </c>
      <c r="AZ232" s="195">
        <f ca="1">IFERROR(__xludf.DUMMYFUNCTION("IF(IFERROR(SEARCH(""Unclear"", AG232)) = 1, VALUE(REGEXEXTRACT(AG232,""\d+"")), AG232)"),5)</f>
        <v>5</v>
      </c>
      <c r="BA232" s="195">
        <v>5</v>
      </c>
      <c r="BB232" s="195" t="str">
        <f ca="1">IFERROR(__xludf.DUMMYFUNCTION("IF(IFERROR(SEARCH(""Unclear"", AJ232)) = 1, VALUE(REGEXEXTRACT(AJ232,""\d+"")), AJ232)"),"ND")</f>
        <v>ND</v>
      </c>
      <c r="BC232" s="195" t="s">
        <v>324</v>
      </c>
      <c r="BD232" s="195" t="b">
        <f t="shared" si="2"/>
        <v>1</v>
      </c>
      <c r="BE232" s="195" t="b">
        <f t="shared" ref="BE232:BF232" si="244">IF(IFERROR(FIND("ND",AI232),0),FALSE,TRUE)</f>
        <v>1</v>
      </c>
      <c r="BF232" s="195" t="b">
        <f t="shared" si="244"/>
        <v>0</v>
      </c>
    </row>
    <row r="233" spans="1:58" ht="37.5" customHeight="1">
      <c r="A233" s="218" t="s">
        <v>2202</v>
      </c>
      <c r="B233" s="241">
        <v>1976</v>
      </c>
      <c r="C233" s="195" t="s">
        <v>457</v>
      </c>
      <c r="D233" s="4" t="s">
        <v>2210</v>
      </c>
      <c r="E233" s="239">
        <v>1083484</v>
      </c>
      <c r="F233" s="230" t="str">
        <f t="shared" si="219"/>
        <v>https://pubmed.ncbi.nlm.nih.gov/1083484</v>
      </c>
      <c r="G233" s="213" t="str">
        <f t="shared" si="89"/>
        <v>Scheinberg 1976</v>
      </c>
      <c r="H233" s="217">
        <v>1976</v>
      </c>
      <c r="I233" s="195"/>
      <c r="J233" s="195"/>
      <c r="K233" s="195">
        <v>8</v>
      </c>
      <c r="L233" s="4" t="s">
        <v>2211</v>
      </c>
      <c r="M233" s="195" t="s">
        <v>324</v>
      </c>
      <c r="N233" s="195" t="s">
        <v>324</v>
      </c>
      <c r="O233" s="195" t="s">
        <v>324</v>
      </c>
      <c r="P233" s="195" t="s">
        <v>324</v>
      </c>
      <c r="Q233" s="195" t="s">
        <v>324</v>
      </c>
      <c r="R233" s="195" t="s">
        <v>324</v>
      </c>
      <c r="S233" s="195" t="s">
        <v>324</v>
      </c>
      <c r="T233" s="195" t="s">
        <v>324</v>
      </c>
      <c r="U233" s="195" t="s">
        <v>324</v>
      </c>
      <c r="V233" s="195" t="s">
        <v>2204</v>
      </c>
      <c r="W233" s="199"/>
      <c r="X233" s="195">
        <v>8</v>
      </c>
      <c r="Y233" s="195"/>
      <c r="Z233" s="195">
        <v>8</v>
      </c>
      <c r="AA233" s="195"/>
      <c r="AB233" s="195">
        <v>0</v>
      </c>
      <c r="AC233" s="199"/>
      <c r="AD233" s="195" t="s">
        <v>322</v>
      </c>
      <c r="AE233" s="195" t="s">
        <v>2205</v>
      </c>
      <c r="AF233" s="195" t="s">
        <v>2206</v>
      </c>
      <c r="AG233" s="195">
        <v>0</v>
      </c>
      <c r="AH233" s="195" t="s">
        <v>316</v>
      </c>
      <c r="AI233" s="195">
        <v>0</v>
      </c>
      <c r="AJ233" s="195" t="s">
        <v>324</v>
      </c>
      <c r="AK233" s="195" t="s">
        <v>499</v>
      </c>
      <c r="AL233" s="195" t="s">
        <v>322</v>
      </c>
      <c r="AM233" s="199"/>
      <c r="AN233" s="195" t="s">
        <v>332</v>
      </c>
      <c r="AO233" s="195" t="s">
        <v>2207</v>
      </c>
      <c r="AP233" s="195" t="s">
        <v>2208</v>
      </c>
      <c r="AQ233" s="195" t="s">
        <v>324</v>
      </c>
      <c r="AR233" s="220" t="s">
        <v>1431</v>
      </c>
      <c r="AS233" s="195" t="s">
        <v>316</v>
      </c>
      <c r="AT233" s="199"/>
      <c r="AU233" s="202" t="s">
        <v>2209</v>
      </c>
      <c r="AV233" s="195" t="s">
        <v>2212</v>
      </c>
      <c r="AW233" s="195" t="str">
        <f ca="1">IFERROR(__xludf.DUMMYFUNCTION("IF(AND(IF(AS233=""Yes"",True,False),NOT(IFERROR(REGEXMATCH(AV233,ExclusionCategories),FALSE))),""Yes"", ""No"")"),"No")</f>
        <v>No</v>
      </c>
      <c r="AX233" s="195">
        <f ca="1">IFERROR(__xludf.DUMMYFUNCTION("IF(IFERROR(SEARCH(""Unclear"", Z233)) = 1, VALUE(REGEXEXTRACT(Z233,""\d+"")), Z233)"),8)</f>
        <v>8</v>
      </c>
      <c r="AY233" s="195">
        <v>8</v>
      </c>
      <c r="AZ233" s="195">
        <f ca="1">IFERROR(__xludf.DUMMYFUNCTION("IF(IFERROR(SEARCH(""Unclear"", AG233)) = 1, VALUE(REGEXEXTRACT(AG233,""\d+"")), AG233)"),0)</f>
        <v>0</v>
      </c>
      <c r="BA233" s="195">
        <v>0</v>
      </c>
      <c r="BB233" s="195" t="str">
        <f ca="1">IFERROR(__xludf.DUMMYFUNCTION("IF(IFERROR(SEARCH(""Unclear"", AJ233)) = 1, VALUE(REGEXEXTRACT(AJ233,""\d+"")), AJ233)"),"ND")</f>
        <v>ND</v>
      </c>
      <c r="BC233" s="195" t="s">
        <v>324</v>
      </c>
      <c r="BD233" s="195" t="b">
        <f t="shared" si="2"/>
        <v>1</v>
      </c>
      <c r="BE233" s="195" t="b">
        <f t="shared" ref="BE233:BF233" si="245">IF(IFERROR(FIND("ND",AI233),0),FALSE,TRUE)</f>
        <v>1</v>
      </c>
      <c r="BF233" s="195" t="b">
        <f t="shared" si="245"/>
        <v>0</v>
      </c>
    </row>
    <row r="234" spans="1:58" ht="37.5" customHeight="1">
      <c r="A234" s="218" t="s">
        <v>2213</v>
      </c>
      <c r="B234" s="241">
        <v>1985</v>
      </c>
      <c r="C234" s="195" t="s">
        <v>2214</v>
      </c>
      <c r="D234" s="4" t="s">
        <v>2215</v>
      </c>
      <c r="E234" s="239">
        <v>4001723</v>
      </c>
      <c r="F234" s="230" t="str">
        <f t="shared" si="219"/>
        <v>https://pubmed.ncbi.nlm.nih.gov/4001723</v>
      </c>
      <c r="G234" s="213" t="str">
        <f t="shared" si="89"/>
        <v>Schiff 1985</v>
      </c>
      <c r="H234" s="195">
        <v>1976</v>
      </c>
      <c r="I234" s="199"/>
      <c r="J234" s="199"/>
      <c r="K234" s="195">
        <v>32</v>
      </c>
      <c r="L234" s="4" t="s">
        <v>2216</v>
      </c>
      <c r="M234" s="195">
        <v>32</v>
      </c>
      <c r="N234" s="195">
        <v>0</v>
      </c>
      <c r="O234" s="195" t="s">
        <v>324</v>
      </c>
      <c r="P234" s="195" t="s">
        <v>324</v>
      </c>
      <c r="Q234" s="195" t="s">
        <v>324</v>
      </c>
      <c r="R234" s="195" t="s">
        <v>324</v>
      </c>
      <c r="S234" s="195" t="s">
        <v>324</v>
      </c>
      <c r="T234" s="195" t="s">
        <v>324</v>
      </c>
      <c r="U234" s="195" t="s">
        <v>324</v>
      </c>
      <c r="V234" s="195" t="s">
        <v>2217</v>
      </c>
      <c r="W234" s="199"/>
      <c r="X234" s="195">
        <v>32</v>
      </c>
      <c r="Y234" s="195" t="s">
        <v>2218</v>
      </c>
      <c r="Z234" s="195">
        <v>20</v>
      </c>
      <c r="AA234" s="195" t="s">
        <v>2219</v>
      </c>
      <c r="AB234" s="195">
        <v>0</v>
      </c>
      <c r="AC234" s="199"/>
      <c r="AD234" s="195" t="s">
        <v>322</v>
      </c>
      <c r="AE234" s="195" t="s">
        <v>332</v>
      </c>
      <c r="AF234" s="195" t="s">
        <v>2026</v>
      </c>
      <c r="AG234" s="195">
        <v>19</v>
      </c>
      <c r="AH234" s="195" t="s">
        <v>316</v>
      </c>
      <c r="AI234" s="195">
        <v>0</v>
      </c>
      <c r="AJ234" s="195" t="s">
        <v>324</v>
      </c>
      <c r="AK234" s="195" t="s">
        <v>499</v>
      </c>
      <c r="AL234" s="195" t="s">
        <v>322</v>
      </c>
      <c r="AM234" s="199"/>
      <c r="AN234" s="195" t="s">
        <v>332</v>
      </c>
      <c r="AO234" s="195" t="s">
        <v>2220</v>
      </c>
      <c r="AP234" s="195" t="s">
        <v>2221</v>
      </c>
      <c r="AQ234" s="195" t="s">
        <v>324</v>
      </c>
      <c r="AR234" s="220" t="s">
        <v>1431</v>
      </c>
      <c r="AS234" s="195" t="s">
        <v>308</v>
      </c>
      <c r="AT234" s="199"/>
      <c r="AU234" s="202" t="s">
        <v>2222</v>
      </c>
      <c r="AV234" s="195" t="s">
        <v>571</v>
      </c>
      <c r="AW234" s="195" t="str">
        <f ca="1">IFERROR(__xludf.DUMMYFUNCTION("IF(AND(IF(AS234=""Yes"",True,False),NOT(IFERROR(REGEXMATCH(AV234,ExclusionCategories),FALSE))),""Yes"", ""No"")"),"Yes")</f>
        <v>Yes</v>
      </c>
      <c r="AX234" s="195">
        <f ca="1">IFERROR(__xludf.DUMMYFUNCTION("IF(IFERROR(SEARCH(""Unclear"", Z234)) = 1, VALUE(REGEXEXTRACT(Z234,""\d+"")), Z234)"),20)</f>
        <v>20</v>
      </c>
      <c r="AY234" s="195">
        <v>20</v>
      </c>
      <c r="AZ234" s="195">
        <f ca="1">IFERROR(__xludf.DUMMYFUNCTION("IF(IFERROR(SEARCH(""Unclear"", AG234)) = 1, VALUE(REGEXEXTRACT(AG234,""\d+"")), AG234)"),19)</f>
        <v>19</v>
      </c>
      <c r="BA234" s="195">
        <v>19</v>
      </c>
      <c r="BB234" s="195" t="str">
        <f ca="1">IFERROR(__xludf.DUMMYFUNCTION("IF(IFERROR(SEARCH(""Unclear"", AJ234)) = 1, VALUE(REGEXEXTRACT(AJ234,""\d+"")), AJ234)"),"ND")</f>
        <v>ND</v>
      </c>
      <c r="BC234" s="195" t="s">
        <v>324</v>
      </c>
      <c r="BD234" s="195" t="b">
        <f t="shared" si="2"/>
        <v>1</v>
      </c>
      <c r="BE234" s="195" t="b">
        <f t="shared" ref="BE234:BF234" si="246">IF(IFERROR(FIND("ND",AI234),0),FALSE,TRUE)</f>
        <v>1</v>
      </c>
      <c r="BF234" s="195" t="b">
        <f t="shared" si="246"/>
        <v>0</v>
      </c>
    </row>
    <row r="235" spans="1:58" ht="37.5" customHeight="1">
      <c r="A235" s="218" t="s">
        <v>2213</v>
      </c>
      <c r="B235" s="241">
        <v>1985</v>
      </c>
      <c r="C235" s="195" t="s">
        <v>2214</v>
      </c>
      <c r="D235" s="4" t="s">
        <v>2215</v>
      </c>
      <c r="E235" s="239">
        <v>4001723</v>
      </c>
      <c r="F235" s="230" t="str">
        <f t="shared" si="219"/>
        <v>https://pubmed.ncbi.nlm.nih.gov/4001723</v>
      </c>
      <c r="G235" s="213" t="str">
        <f t="shared" si="89"/>
        <v>Schiff 1985</v>
      </c>
      <c r="H235" s="195">
        <v>1982</v>
      </c>
      <c r="I235" s="199"/>
      <c r="J235" s="199"/>
      <c r="K235" s="195">
        <v>8</v>
      </c>
      <c r="L235" s="4" t="s">
        <v>2223</v>
      </c>
      <c r="M235" s="195">
        <v>8</v>
      </c>
      <c r="N235" s="195">
        <v>0</v>
      </c>
      <c r="O235" s="195" t="s">
        <v>324</v>
      </c>
      <c r="P235" s="195" t="s">
        <v>324</v>
      </c>
      <c r="Q235" s="195" t="s">
        <v>324</v>
      </c>
      <c r="R235" s="195" t="s">
        <v>324</v>
      </c>
      <c r="S235" s="195" t="s">
        <v>324</v>
      </c>
      <c r="T235" s="195" t="s">
        <v>324</v>
      </c>
      <c r="U235" s="195" t="s">
        <v>324</v>
      </c>
      <c r="V235" s="195" t="s">
        <v>2217</v>
      </c>
      <c r="W235" s="199"/>
      <c r="X235" s="195">
        <v>8</v>
      </c>
      <c r="Y235" s="195"/>
      <c r="Z235" s="195">
        <v>8</v>
      </c>
      <c r="AA235" s="199"/>
      <c r="AB235" s="195">
        <v>0</v>
      </c>
      <c r="AC235" s="199"/>
      <c r="AD235" s="195" t="s">
        <v>322</v>
      </c>
      <c r="AE235" s="195" t="s">
        <v>332</v>
      </c>
      <c r="AF235" s="195" t="s">
        <v>2026</v>
      </c>
      <c r="AG235" s="195">
        <v>6</v>
      </c>
      <c r="AH235" s="195" t="s">
        <v>316</v>
      </c>
      <c r="AI235" s="195">
        <v>0</v>
      </c>
      <c r="AJ235" s="195" t="s">
        <v>324</v>
      </c>
      <c r="AK235" s="195" t="s">
        <v>499</v>
      </c>
      <c r="AL235" s="195" t="s">
        <v>322</v>
      </c>
      <c r="AM235" s="199"/>
      <c r="AN235" s="195" t="s">
        <v>332</v>
      </c>
      <c r="AO235" s="195" t="s">
        <v>2224</v>
      </c>
      <c r="AP235" s="195" t="s">
        <v>2221</v>
      </c>
      <c r="AQ235" s="195" t="s">
        <v>324</v>
      </c>
      <c r="AR235" s="220" t="s">
        <v>1431</v>
      </c>
      <c r="AS235" s="195" t="s">
        <v>308</v>
      </c>
      <c r="AT235" s="199"/>
      <c r="AU235" s="202" t="s">
        <v>2222</v>
      </c>
      <c r="AV235" s="195" t="s">
        <v>571</v>
      </c>
      <c r="AW235" s="195" t="str">
        <f ca="1">IFERROR(__xludf.DUMMYFUNCTION("IF(AND(IF(AS235=""Yes"",True,False),NOT(IFERROR(REGEXMATCH(AV235,ExclusionCategories),FALSE))),""Yes"", ""No"")"),"Yes")</f>
        <v>Yes</v>
      </c>
      <c r="AX235" s="195">
        <f ca="1">IFERROR(__xludf.DUMMYFUNCTION("IF(IFERROR(SEARCH(""Unclear"", Z235)) = 1, VALUE(REGEXEXTRACT(Z235,""\d+"")), Z235)"),8)</f>
        <v>8</v>
      </c>
      <c r="AY235" s="195">
        <v>8</v>
      </c>
      <c r="AZ235" s="195">
        <f ca="1">IFERROR(__xludf.DUMMYFUNCTION("IF(IFERROR(SEARCH(""Unclear"", AG235)) = 1, VALUE(REGEXEXTRACT(AG235,""\d+"")), AG235)"),6)</f>
        <v>6</v>
      </c>
      <c r="BA235" s="195">
        <v>6</v>
      </c>
      <c r="BB235" s="195" t="str">
        <f ca="1">IFERROR(__xludf.DUMMYFUNCTION("IF(IFERROR(SEARCH(""Unclear"", AJ235)) = 1, VALUE(REGEXEXTRACT(AJ235,""\d+"")), AJ235)"),"ND")</f>
        <v>ND</v>
      </c>
      <c r="BC235" s="195" t="s">
        <v>324</v>
      </c>
      <c r="BD235" s="195" t="b">
        <f t="shared" si="2"/>
        <v>1</v>
      </c>
      <c r="BE235" s="195" t="b">
        <f t="shared" ref="BE235:BF235" si="247">IF(IFERROR(FIND("ND",AI235),0),FALSE,TRUE)</f>
        <v>1</v>
      </c>
      <c r="BF235" s="195" t="b">
        <f t="shared" si="247"/>
        <v>0</v>
      </c>
    </row>
    <row r="236" spans="1:58" ht="37.5" customHeight="1">
      <c r="A236" s="218" t="s">
        <v>2213</v>
      </c>
      <c r="B236" s="241">
        <v>2000</v>
      </c>
      <c r="C236" s="195" t="s">
        <v>2225</v>
      </c>
      <c r="D236" s="4" t="s">
        <v>2226</v>
      </c>
      <c r="E236" s="239">
        <v>10608746</v>
      </c>
      <c r="F236" s="230" t="str">
        <f t="shared" si="219"/>
        <v>https://pubmed.ncbi.nlm.nih.gov/10608746</v>
      </c>
      <c r="G236" s="213" t="str">
        <f t="shared" si="89"/>
        <v>Schiff 2000</v>
      </c>
      <c r="H236" s="195">
        <v>1996</v>
      </c>
      <c r="I236" s="199"/>
      <c r="J236" s="199"/>
      <c r="K236" s="195">
        <v>33</v>
      </c>
      <c r="L236" s="4" t="s">
        <v>2227</v>
      </c>
      <c r="M236" s="195">
        <v>11</v>
      </c>
      <c r="N236" s="195">
        <v>22</v>
      </c>
      <c r="O236" s="195" t="s">
        <v>324</v>
      </c>
      <c r="P236" s="195">
        <v>18</v>
      </c>
      <c r="Q236" s="195">
        <v>37</v>
      </c>
      <c r="R236" s="195">
        <v>18</v>
      </c>
      <c r="S236" s="195">
        <v>55</v>
      </c>
      <c r="T236" s="195">
        <v>23</v>
      </c>
      <c r="U236" s="195">
        <v>5</v>
      </c>
      <c r="V236" s="195" t="s">
        <v>2228</v>
      </c>
      <c r="W236" s="199"/>
      <c r="X236" s="195">
        <v>31</v>
      </c>
      <c r="Y236" s="195"/>
      <c r="Z236" s="195">
        <v>29</v>
      </c>
      <c r="AA236" s="199"/>
      <c r="AB236" s="195">
        <v>0</v>
      </c>
      <c r="AC236" s="199"/>
      <c r="AD236" s="195" t="s">
        <v>322</v>
      </c>
      <c r="AE236" s="195" t="s">
        <v>2229</v>
      </c>
      <c r="AF236" s="195" t="s">
        <v>2230</v>
      </c>
      <c r="AG236" s="195">
        <v>16</v>
      </c>
      <c r="AH236" s="195" t="s">
        <v>308</v>
      </c>
      <c r="AI236" s="195">
        <v>0</v>
      </c>
      <c r="AJ236" s="195">
        <v>0</v>
      </c>
      <c r="AK236" s="195" t="s">
        <v>2231</v>
      </c>
      <c r="AL236" s="195" t="s">
        <v>322</v>
      </c>
      <c r="AM236" s="199"/>
      <c r="AN236" s="195" t="s">
        <v>2232</v>
      </c>
      <c r="AO236" s="195" t="s">
        <v>2233</v>
      </c>
      <c r="AP236" s="195" t="s">
        <v>2234</v>
      </c>
      <c r="AQ236" s="195" t="s">
        <v>2235</v>
      </c>
      <c r="AR236" s="220" t="s">
        <v>1431</v>
      </c>
      <c r="AS236" s="195" t="s">
        <v>308</v>
      </c>
      <c r="AT236" s="199"/>
      <c r="AU236" s="202" t="s">
        <v>2236</v>
      </c>
      <c r="AV236" s="195" t="s">
        <v>9</v>
      </c>
      <c r="AW236" s="195" t="str">
        <f ca="1">IFERROR(__xludf.DUMMYFUNCTION("IF(AND(IF(AS236=""Yes"",True,False),NOT(IFERROR(REGEXMATCH(AV236,ExclusionCategories),FALSE))),""Yes"", ""No"")"),"Yes")</f>
        <v>Yes</v>
      </c>
      <c r="AX236" s="195">
        <f ca="1">IFERROR(__xludf.DUMMYFUNCTION("IF(IFERROR(SEARCH(""Unclear"", Z236)) = 1, VALUE(REGEXEXTRACT(Z236,""\d+"")), Z236)"),29)</f>
        <v>29</v>
      </c>
      <c r="AY236" s="195">
        <v>29</v>
      </c>
      <c r="AZ236" s="195">
        <f ca="1">IFERROR(__xludf.DUMMYFUNCTION("IF(IFERROR(SEARCH(""Unclear"", AG236)) = 1, VALUE(REGEXEXTRACT(AG236,""\d+"")), AG236)"),16)</f>
        <v>16</v>
      </c>
      <c r="BA236" s="195">
        <v>16</v>
      </c>
      <c r="BB236" s="195">
        <f ca="1">IFERROR(__xludf.DUMMYFUNCTION("IF(IFERROR(SEARCH(""Unclear"", AJ236)) = 1, VALUE(REGEXEXTRACT(AJ236,""\d+"")), AJ236)"),0)</f>
        <v>0</v>
      </c>
      <c r="BC236" s="195">
        <v>0</v>
      </c>
      <c r="BD236" s="195" t="b">
        <f t="shared" si="2"/>
        <v>1</v>
      </c>
      <c r="BE236" s="195" t="b">
        <f t="shared" ref="BE236:BF236" si="248">IF(IFERROR(FIND("ND",AI236),0),FALSE,TRUE)</f>
        <v>1</v>
      </c>
      <c r="BF236" s="195" t="b">
        <f t="shared" si="248"/>
        <v>1</v>
      </c>
    </row>
    <row r="237" spans="1:58" ht="37.5" customHeight="1">
      <c r="A237" s="218" t="s">
        <v>2237</v>
      </c>
      <c r="B237" s="241">
        <v>1987</v>
      </c>
      <c r="C237" s="195" t="s">
        <v>457</v>
      </c>
      <c r="D237" s="4" t="s">
        <v>2238</v>
      </c>
      <c r="E237" s="239">
        <v>3435099</v>
      </c>
      <c r="F237" s="230" t="str">
        <f t="shared" si="219"/>
        <v>https://pubmed.ncbi.nlm.nih.gov/3435099</v>
      </c>
      <c r="G237" s="213" t="str">
        <f t="shared" si="89"/>
        <v>Sears 1987</v>
      </c>
      <c r="H237" s="195">
        <v>1986</v>
      </c>
      <c r="I237" s="199"/>
      <c r="J237" s="199"/>
      <c r="K237" s="195">
        <v>45</v>
      </c>
      <c r="L237" s="4"/>
      <c r="M237" s="195" t="s">
        <v>324</v>
      </c>
      <c r="N237" s="195" t="s">
        <v>324</v>
      </c>
      <c r="O237" s="195" t="s">
        <v>324</v>
      </c>
      <c r="P237" s="195" t="s">
        <v>324</v>
      </c>
      <c r="Q237" s="195" t="s">
        <v>324</v>
      </c>
      <c r="R237" s="195">
        <v>18</v>
      </c>
      <c r="S237" s="195">
        <v>40</v>
      </c>
      <c r="T237" s="195" t="s">
        <v>324</v>
      </c>
      <c r="U237" s="195" t="s">
        <v>324</v>
      </c>
      <c r="V237" s="195" t="s">
        <v>2239</v>
      </c>
      <c r="W237" s="199"/>
      <c r="X237" s="195">
        <v>45</v>
      </c>
      <c r="Y237" s="195" t="s">
        <v>2240</v>
      </c>
      <c r="Z237" s="195">
        <v>38</v>
      </c>
      <c r="AA237" s="195" t="s">
        <v>2241</v>
      </c>
      <c r="AB237" s="195">
        <v>0</v>
      </c>
      <c r="AC237" s="199"/>
      <c r="AD237" s="195" t="s">
        <v>322</v>
      </c>
      <c r="AE237" s="195" t="s">
        <v>2242</v>
      </c>
      <c r="AF237" s="195" t="s">
        <v>2243</v>
      </c>
      <c r="AG237" s="195">
        <v>11</v>
      </c>
      <c r="AH237" s="195" t="s">
        <v>316</v>
      </c>
      <c r="AI237" s="195">
        <v>0</v>
      </c>
      <c r="AJ237" s="195" t="s">
        <v>324</v>
      </c>
      <c r="AK237" s="195" t="s">
        <v>499</v>
      </c>
      <c r="AL237" s="195" t="s">
        <v>322</v>
      </c>
      <c r="AM237" s="199"/>
      <c r="AN237" s="195" t="s">
        <v>2244</v>
      </c>
      <c r="AO237" s="195" t="s">
        <v>2245</v>
      </c>
      <c r="AP237" s="195" t="s">
        <v>2246</v>
      </c>
      <c r="AQ237" s="195" t="s">
        <v>2247</v>
      </c>
      <c r="AR237" s="220" t="s">
        <v>1431</v>
      </c>
      <c r="AS237" s="195" t="s">
        <v>308</v>
      </c>
      <c r="AT237" s="199"/>
      <c r="AU237" s="202" t="s">
        <v>2248</v>
      </c>
      <c r="AV237" s="195" t="s">
        <v>571</v>
      </c>
      <c r="AW237" s="195" t="str">
        <f ca="1">IFERROR(__xludf.DUMMYFUNCTION("IF(AND(IF(AS237=""Yes"",True,False),NOT(IFERROR(REGEXMATCH(AV237,ExclusionCategories),FALSE))),""Yes"", ""No"")"),"Yes")</f>
        <v>Yes</v>
      </c>
      <c r="AX237" s="195">
        <f ca="1">IFERROR(__xludf.DUMMYFUNCTION("IF(IFERROR(SEARCH(""Unclear"", Z237)) = 1, VALUE(REGEXEXTRACT(Z237,""\d+"")), Z237)"),38)</f>
        <v>38</v>
      </c>
      <c r="AY237" s="195">
        <v>38</v>
      </c>
      <c r="AZ237" s="195">
        <f ca="1">IFERROR(__xludf.DUMMYFUNCTION("IF(IFERROR(SEARCH(""Unclear"", AG237)) = 1, VALUE(REGEXEXTRACT(AG237,""\d+"")), AG237)"),11)</f>
        <v>11</v>
      </c>
      <c r="BA237" s="195">
        <v>11</v>
      </c>
      <c r="BB237" s="195" t="str">
        <f ca="1">IFERROR(__xludf.DUMMYFUNCTION("IF(IFERROR(SEARCH(""Unclear"", AJ237)) = 1, VALUE(REGEXEXTRACT(AJ237,""\d+"")), AJ237)"),"ND")</f>
        <v>ND</v>
      </c>
      <c r="BC237" s="195" t="s">
        <v>324</v>
      </c>
      <c r="BD237" s="195" t="b">
        <f t="shared" si="2"/>
        <v>1</v>
      </c>
      <c r="BE237" s="195" t="b">
        <f t="shared" ref="BE237:BF237" si="249">IF(IFERROR(FIND("ND",AI237),0),FALSE,TRUE)</f>
        <v>1</v>
      </c>
      <c r="BF237" s="195" t="b">
        <f t="shared" si="249"/>
        <v>0</v>
      </c>
    </row>
    <row r="238" spans="1:58" ht="37.5" customHeight="1">
      <c r="A238" s="227" t="s">
        <v>2249</v>
      </c>
      <c r="B238" s="243">
        <v>1985</v>
      </c>
      <c r="C238" s="195" t="s">
        <v>457</v>
      </c>
      <c r="D238" s="4" t="s">
        <v>2250</v>
      </c>
      <c r="E238" s="243">
        <v>4056002</v>
      </c>
      <c r="F238" s="228" t="str">
        <f>"https://pubmed.ncbi.nlm.nih.gov/?term="&amp;E238</f>
        <v>https://pubmed.ncbi.nlm.nih.gov/?term=4056002</v>
      </c>
      <c r="G238" s="213" t="str">
        <f t="shared" si="89"/>
        <v>Sears 1987</v>
      </c>
      <c r="H238" s="217">
        <v>1985</v>
      </c>
      <c r="I238" s="199"/>
      <c r="J238" s="199"/>
      <c r="K238" s="195">
        <v>22</v>
      </c>
      <c r="L238" s="4"/>
      <c r="M238" s="195" t="s">
        <v>324</v>
      </c>
      <c r="N238" s="195" t="s">
        <v>324</v>
      </c>
      <c r="O238" s="195" t="s">
        <v>324</v>
      </c>
      <c r="P238" s="195" t="s">
        <v>324</v>
      </c>
      <c r="Q238" s="195" t="s">
        <v>324</v>
      </c>
      <c r="R238" s="195">
        <v>18</v>
      </c>
      <c r="S238" s="195">
        <v>35</v>
      </c>
      <c r="T238" s="195" t="s">
        <v>324</v>
      </c>
      <c r="U238" s="195" t="s">
        <v>324</v>
      </c>
      <c r="V238" s="195" t="s">
        <v>2251</v>
      </c>
      <c r="W238" s="195" t="s">
        <v>2252</v>
      </c>
      <c r="X238" s="195">
        <v>22</v>
      </c>
      <c r="Y238" s="195"/>
      <c r="Z238" s="195">
        <v>20</v>
      </c>
      <c r="AA238" s="195"/>
      <c r="AB238" s="195">
        <v>0</v>
      </c>
      <c r="AC238" s="199"/>
      <c r="AD238" s="195" t="s">
        <v>322</v>
      </c>
      <c r="AE238" s="195" t="s">
        <v>2253</v>
      </c>
      <c r="AF238" s="195" t="s">
        <v>1958</v>
      </c>
      <c r="AG238" s="195">
        <v>0</v>
      </c>
      <c r="AH238" s="195" t="s">
        <v>316</v>
      </c>
      <c r="AI238" s="195">
        <v>0</v>
      </c>
      <c r="AJ238" s="195" t="s">
        <v>324</v>
      </c>
      <c r="AK238" s="195" t="s">
        <v>499</v>
      </c>
      <c r="AL238" s="195" t="s">
        <v>322</v>
      </c>
      <c r="AM238" s="199"/>
      <c r="AN238" s="195" t="s">
        <v>332</v>
      </c>
      <c r="AO238" s="195" t="s">
        <v>2254</v>
      </c>
      <c r="AP238" s="195" t="s">
        <v>2255</v>
      </c>
      <c r="AQ238" s="195" t="s">
        <v>324</v>
      </c>
      <c r="AR238" s="220" t="s">
        <v>1431</v>
      </c>
      <c r="AS238" s="195" t="s">
        <v>308</v>
      </c>
      <c r="AT238" s="199"/>
      <c r="AU238" s="202" t="s">
        <v>2248</v>
      </c>
      <c r="AV238" s="195" t="s">
        <v>1842</v>
      </c>
      <c r="AW238" s="195" t="str">
        <f ca="1">IFERROR(__xludf.DUMMYFUNCTION("IF(AND(IF(AS238=""Yes"",True,False),NOT(IFERROR(REGEXMATCH(AV238,ExclusionCategories),FALSE))),""Yes"", ""No"")"),"Yes")</f>
        <v>Yes</v>
      </c>
      <c r="AX238" s="195">
        <f ca="1">IFERROR(__xludf.DUMMYFUNCTION("IF(IFERROR(SEARCH(""Unclear"", Z238)) = 1, VALUE(REGEXEXTRACT(Z238,""\d+"")), Z238)"),20)</f>
        <v>20</v>
      </c>
      <c r="AY238" s="195">
        <v>20</v>
      </c>
      <c r="AZ238" s="195">
        <f ca="1">IFERROR(__xludf.DUMMYFUNCTION("IF(IFERROR(SEARCH(""Unclear"", AG238)) = 1, VALUE(REGEXEXTRACT(AG238,""\d+"")), AG238)"),0)</f>
        <v>0</v>
      </c>
      <c r="BA238" s="195">
        <v>0</v>
      </c>
      <c r="BB238" s="195" t="str">
        <f ca="1">IFERROR(__xludf.DUMMYFUNCTION("IF(IFERROR(SEARCH(""Unclear"", AJ238)) = 1, VALUE(REGEXEXTRACT(AJ238,""\d+"")), AJ238)"),"ND")</f>
        <v>ND</v>
      </c>
      <c r="BC238" s="195" t="s">
        <v>324</v>
      </c>
      <c r="BD238" s="195" t="b">
        <f t="shared" si="2"/>
        <v>1</v>
      </c>
      <c r="BE238" s="195" t="b">
        <f t="shared" ref="BE238:BF238" si="250">IF(IFERROR(FIND("ND",AI238),0),FALSE,TRUE)</f>
        <v>1</v>
      </c>
      <c r="BF238" s="195" t="b">
        <f t="shared" si="250"/>
        <v>0</v>
      </c>
    </row>
    <row r="239" spans="1:58" ht="37.5" customHeight="1">
      <c r="A239" s="218" t="s">
        <v>2249</v>
      </c>
      <c r="B239" s="241">
        <v>1986</v>
      </c>
      <c r="C239" s="195" t="s">
        <v>457</v>
      </c>
      <c r="D239" s="4" t="s">
        <v>2256</v>
      </c>
      <c r="E239" s="239">
        <v>3711273</v>
      </c>
      <c r="F239" s="230" t="str">
        <f t="shared" ref="F239:F244" si="251">"https://pubmed.ncbi.nlm.nih.gov/"&amp;E239</f>
        <v>https://pubmed.ncbi.nlm.nih.gov/3711273</v>
      </c>
      <c r="G239" s="213" t="str">
        <f t="shared" si="89"/>
        <v>Snyder 1986</v>
      </c>
      <c r="H239" s="195">
        <v>1984</v>
      </c>
      <c r="I239" s="199"/>
      <c r="J239" s="199"/>
      <c r="K239" s="195">
        <v>86</v>
      </c>
      <c r="L239" s="4" t="s">
        <v>2257</v>
      </c>
      <c r="M239" s="195" t="s">
        <v>324</v>
      </c>
      <c r="N239" s="195" t="s">
        <v>324</v>
      </c>
      <c r="O239" s="195" t="s">
        <v>324</v>
      </c>
      <c r="P239" s="195" t="s">
        <v>324</v>
      </c>
      <c r="Q239" s="195" t="s">
        <v>324</v>
      </c>
      <c r="R239" s="195">
        <v>18</v>
      </c>
      <c r="S239" s="195">
        <v>35</v>
      </c>
      <c r="T239" s="195" t="s">
        <v>324</v>
      </c>
      <c r="U239" s="195" t="s">
        <v>324</v>
      </c>
      <c r="V239" s="195" t="s">
        <v>2258</v>
      </c>
      <c r="W239" s="195" t="s">
        <v>2252</v>
      </c>
      <c r="X239" s="195">
        <v>86</v>
      </c>
      <c r="Y239" s="195"/>
      <c r="Z239" s="195">
        <v>72</v>
      </c>
      <c r="AA239" s="199"/>
      <c r="AB239" s="195">
        <v>0</v>
      </c>
      <c r="AC239" s="195"/>
      <c r="AD239" s="195" t="s">
        <v>322</v>
      </c>
      <c r="AE239" s="195" t="s">
        <v>2259</v>
      </c>
      <c r="AF239" s="195" t="s">
        <v>1958</v>
      </c>
      <c r="AG239" s="195">
        <v>7</v>
      </c>
      <c r="AH239" s="195" t="s">
        <v>316</v>
      </c>
      <c r="AI239" s="195">
        <v>0</v>
      </c>
      <c r="AJ239" s="195" t="s">
        <v>324</v>
      </c>
      <c r="AK239" s="195" t="s">
        <v>499</v>
      </c>
      <c r="AL239" s="195" t="s">
        <v>322</v>
      </c>
      <c r="AM239" s="199"/>
      <c r="AN239" s="195" t="s">
        <v>2260</v>
      </c>
      <c r="AO239" s="195" t="s">
        <v>2261</v>
      </c>
      <c r="AP239" s="195" t="s">
        <v>2262</v>
      </c>
      <c r="AQ239" s="195" t="s">
        <v>324</v>
      </c>
      <c r="AR239" s="220" t="s">
        <v>1431</v>
      </c>
      <c r="AS239" s="195" t="s">
        <v>316</v>
      </c>
      <c r="AT239" s="199"/>
      <c r="AU239" s="202" t="s">
        <v>2263</v>
      </c>
      <c r="AV239" s="195" t="s">
        <v>1567</v>
      </c>
      <c r="AW239" s="195" t="str">
        <f ca="1">IFERROR(__xludf.DUMMYFUNCTION("IF(AND(IF(AS239=""Yes"",True,False),NOT(IFERROR(REGEXMATCH(AV239,ExclusionCategories),FALSE))),""Yes"", ""No"")"),"No")</f>
        <v>No</v>
      </c>
      <c r="AX239" s="195">
        <f ca="1">IFERROR(__xludf.DUMMYFUNCTION("IF(IFERROR(SEARCH(""Unclear"", Z239)) = 1, VALUE(REGEXEXTRACT(Z239,""\d+"")), Z239)"),72)</f>
        <v>72</v>
      </c>
      <c r="AY239" s="195">
        <v>72</v>
      </c>
      <c r="AZ239" s="195">
        <f ca="1">IFERROR(__xludf.DUMMYFUNCTION("IF(IFERROR(SEARCH(""Unclear"", AG239)) = 1, VALUE(REGEXEXTRACT(AG239,""\d+"")), AG239)"),7)</f>
        <v>7</v>
      </c>
      <c r="BA239" s="195">
        <v>7</v>
      </c>
      <c r="BB239" s="195" t="str">
        <f ca="1">IFERROR(__xludf.DUMMYFUNCTION("IF(IFERROR(SEARCH(""Unclear"", AJ239)) = 1, VALUE(REGEXEXTRACT(AJ239,""\d+"")), AJ239)"),"ND")</f>
        <v>ND</v>
      </c>
      <c r="BC239" s="195" t="s">
        <v>324</v>
      </c>
      <c r="BD239" s="195" t="b">
        <f t="shared" si="2"/>
        <v>1</v>
      </c>
      <c r="BE239" s="195" t="b">
        <f t="shared" ref="BE239:BF239" si="252">IF(IFERROR(FIND("ND",AI239),0),FALSE,TRUE)</f>
        <v>1</v>
      </c>
      <c r="BF239" s="195" t="b">
        <f t="shared" si="252"/>
        <v>0</v>
      </c>
    </row>
    <row r="240" spans="1:58" ht="37.5" customHeight="1">
      <c r="A240" s="218" t="s">
        <v>2249</v>
      </c>
      <c r="B240" s="241">
        <v>1986</v>
      </c>
      <c r="C240" s="195" t="s">
        <v>457</v>
      </c>
      <c r="D240" s="4" t="s">
        <v>2264</v>
      </c>
      <c r="E240" s="239">
        <v>3711273</v>
      </c>
      <c r="F240" s="230" t="str">
        <f t="shared" si="251"/>
        <v>https://pubmed.ncbi.nlm.nih.gov/3711273</v>
      </c>
      <c r="G240" s="213" t="str">
        <f t="shared" si="89"/>
        <v>Snyder 1986</v>
      </c>
      <c r="H240" s="195">
        <v>1984</v>
      </c>
      <c r="I240" s="199"/>
      <c r="J240" s="199"/>
      <c r="K240" s="195">
        <v>14</v>
      </c>
      <c r="L240" s="4" t="s">
        <v>2265</v>
      </c>
      <c r="M240" s="195" t="s">
        <v>324</v>
      </c>
      <c r="N240" s="195" t="s">
        <v>324</v>
      </c>
      <c r="O240" s="195" t="s">
        <v>324</v>
      </c>
      <c r="P240" s="195" t="s">
        <v>324</v>
      </c>
      <c r="Q240" s="195" t="s">
        <v>324</v>
      </c>
      <c r="R240" s="195">
        <v>18</v>
      </c>
      <c r="S240" s="195">
        <v>35</v>
      </c>
      <c r="T240" s="195" t="s">
        <v>324</v>
      </c>
      <c r="U240" s="195" t="s">
        <v>324</v>
      </c>
      <c r="V240" s="195" t="s">
        <v>2258</v>
      </c>
      <c r="W240" s="199"/>
      <c r="X240" s="195">
        <v>14</v>
      </c>
      <c r="Y240" s="195"/>
      <c r="Z240" s="195">
        <v>13</v>
      </c>
      <c r="AA240" s="195"/>
      <c r="AB240" s="195">
        <v>0</v>
      </c>
      <c r="AC240" s="195"/>
      <c r="AD240" s="195" t="s">
        <v>322</v>
      </c>
      <c r="AE240" s="195" t="s">
        <v>2259</v>
      </c>
      <c r="AF240" s="195" t="s">
        <v>1958</v>
      </c>
      <c r="AG240" s="195">
        <v>6</v>
      </c>
      <c r="AH240" s="195" t="s">
        <v>316</v>
      </c>
      <c r="AI240" s="195">
        <v>0</v>
      </c>
      <c r="AJ240" s="195" t="s">
        <v>324</v>
      </c>
      <c r="AK240" s="195" t="s">
        <v>499</v>
      </c>
      <c r="AL240" s="195" t="s">
        <v>322</v>
      </c>
      <c r="AM240" s="199"/>
      <c r="AN240" s="195"/>
      <c r="AO240" s="195" t="s">
        <v>2261</v>
      </c>
      <c r="AP240" s="195" t="s">
        <v>2262</v>
      </c>
      <c r="AQ240" s="195" t="s">
        <v>324</v>
      </c>
      <c r="AR240" s="220" t="s">
        <v>1431</v>
      </c>
      <c r="AS240" s="195" t="s">
        <v>316</v>
      </c>
      <c r="AT240" s="199"/>
      <c r="AU240" s="202" t="s">
        <v>2263</v>
      </c>
      <c r="AV240" s="195" t="s">
        <v>1447</v>
      </c>
      <c r="AW240" s="195" t="str">
        <f ca="1">IFERROR(__xludf.DUMMYFUNCTION("IF(AND(IF(AS240=""Yes"",True,False),NOT(IFERROR(REGEXMATCH(AV240,ExclusionCategories),FALSE))),""Yes"", ""No"")"),"No")</f>
        <v>No</v>
      </c>
      <c r="AX240" s="195">
        <f ca="1">IFERROR(__xludf.DUMMYFUNCTION("IF(IFERROR(SEARCH(""Unclear"", Z240)) = 1, VALUE(REGEXEXTRACT(Z240,""\d+"")), Z240)"),13)</f>
        <v>13</v>
      </c>
      <c r="AY240" s="195">
        <v>13</v>
      </c>
      <c r="AZ240" s="195">
        <f ca="1">IFERROR(__xludf.DUMMYFUNCTION("IF(IFERROR(SEARCH(""Unclear"", AG240)) = 1, VALUE(REGEXEXTRACT(AG240,""\d+"")), AG240)"),6)</f>
        <v>6</v>
      </c>
      <c r="BA240" s="195">
        <v>6</v>
      </c>
      <c r="BB240" s="195" t="str">
        <f ca="1">IFERROR(__xludf.DUMMYFUNCTION("IF(IFERROR(SEARCH(""Unclear"", AJ240)) = 1, VALUE(REGEXEXTRACT(AJ240,""\d+"")), AJ240)"),"ND")</f>
        <v>ND</v>
      </c>
      <c r="BC240" s="195" t="s">
        <v>324</v>
      </c>
      <c r="BD240" s="195" t="b">
        <f t="shared" si="2"/>
        <v>1</v>
      </c>
      <c r="BE240" s="195" t="b">
        <f t="shared" ref="BE240:BF240" si="253">IF(IFERROR(FIND("ND",AI240),0),FALSE,TRUE)</f>
        <v>1</v>
      </c>
      <c r="BF240" s="195" t="b">
        <f t="shared" si="253"/>
        <v>0</v>
      </c>
    </row>
    <row r="241" spans="1:58" ht="37.5" customHeight="1">
      <c r="A241" s="218" t="s">
        <v>2249</v>
      </c>
      <c r="B241" s="241">
        <v>1986</v>
      </c>
      <c r="C241" s="195" t="s">
        <v>457</v>
      </c>
      <c r="D241" s="4" t="s">
        <v>2266</v>
      </c>
      <c r="E241" s="239">
        <v>3711273</v>
      </c>
      <c r="F241" s="230" t="str">
        <f t="shared" si="251"/>
        <v>https://pubmed.ncbi.nlm.nih.gov/3711273</v>
      </c>
      <c r="G241" s="213" t="str">
        <f t="shared" si="89"/>
        <v>Snyder 1986</v>
      </c>
      <c r="H241" s="195">
        <v>1984</v>
      </c>
      <c r="I241" s="199"/>
      <c r="J241" s="199"/>
      <c r="K241" s="195">
        <v>70</v>
      </c>
      <c r="L241" s="4" t="s">
        <v>2267</v>
      </c>
      <c r="M241" s="195" t="s">
        <v>324</v>
      </c>
      <c r="N241" s="195" t="s">
        <v>324</v>
      </c>
      <c r="O241" s="195" t="s">
        <v>324</v>
      </c>
      <c r="P241" s="195" t="s">
        <v>324</v>
      </c>
      <c r="Q241" s="195" t="s">
        <v>324</v>
      </c>
      <c r="R241" s="195">
        <v>18</v>
      </c>
      <c r="S241" s="195">
        <v>35</v>
      </c>
      <c r="T241" s="195" t="s">
        <v>324</v>
      </c>
      <c r="U241" s="195" t="s">
        <v>324</v>
      </c>
      <c r="V241" s="195" t="s">
        <v>2258</v>
      </c>
      <c r="W241" s="195" t="s">
        <v>2252</v>
      </c>
      <c r="X241" s="195">
        <v>70</v>
      </c>
      <c r="Y241" s="195"/>
      <c r="Z241" s="195">
        <v>52</v>
      </c>
      <c r="AA241" s="195"/>
      <c r="AB241" s="195">
        <v>0</v>
      </c>
      <c r="AC241" s="195"/>
      <c r="AD241" s="195" t="s">
        <v>322</v>
      </c>
      <c r="AE241" s="195" t="s">
        <v>2259</v>
      </c>
      <c r="AF241" s="195" t="s">
        <v>1958</v>
      </c>
      <c r="AG241" s="195">
        <v>1</v>
      </c>
      <c r="AH241" s="195" t="s">
        <v>316</v>
      </c>
      <c r="AI241" s="195">
        <v>0</v>
      </c>
      <c r="AJ241" s="195" t="s">
        <v>324</v>
      </c>
      <c r="AK241" s="195" t="s">
        <v>499</v>
      </c>
      <c r="AL241" s="195" t="s">
        <v>322</v>
      </c>
      <c r="AM241" s="199"/>
      <c r="AN241" s="195" t="s">
        <v>2268</v>
      </c>
      <c r="AO241" s="195" t="s">
        <v>2261</v>
      </c>
      <c r="AP241" s="195" t="s">
        <v>2262</v>
      </c>
      <c r="AQ241" s="195" t="s">
        <v>324</v>
      </c>
      <c r="AR241" s="220" t="s">
        <v>1431</v>
      </c>
      <c r="AS241" s="195" t="s">
        <v>316</v>
      </c>
      <c r="AT241" s="199"/>
      <c r="AU241" s="202" t="s">
        <v>2263</v>
      </c>
      <c r="AV241" s="195" t="s">
        <v>1567</v>
      </c>
      <c r="AW241" s="195" t="str">
        <f ca="1">IFERROR(__xludf.DUMMYFUNCTION("IF(AND(IF(AS241=""Yes"",True,False),NOT(IFERROR(REGEXMATCH(AV241,ExclusionCategories),FALSE))),""Yes"", ""No"")"),"No")</f>
        <v>No</v>
      </c>
      <c r="AX241" s="195">
        <f ca="1">IFERROR(__xludf.DUMMYFUNCTION("IF(IFERROR(SEARCH(""Unclear"", Z241)) = 1, VALUE(REGEXEXTRACT(Z241,""\d+"")), Z241)"),52)</f>
        <v>52</v>
      </c>
      <c r="AY241" s="195">
        <v>52</v>
      </c>
      <c r="AZ241" s="195">
        <f ca="1">IFERROR(__xludf.DUMMYFUNCTION("IF(IFERROR(SEARCH(""Unclear"", AG241)) = 1, VALUE(REGEXEXTRACT(AG241,""\d+"")), AG241)"),1)</f>
        <v>1</v>
      </c>
      <c r="BA241" s="195">
        <v>1</v>
      </c>
      <c r="BB241" s="195" t="str">
        <f ca="1">IFERROR(__xludf.DUMMYFUNCTION("IF(IFERROR(SEARCH(""Unclear"", AJ241)) = 1, VALUE(REGEXEXTRACT(AJ241,""\d+"")), AJ241)"),"ND")</f>
        <v>ND</v>
      </c>
      <c r="BC241" s="195" t="s">
        <v>324</v>
      </c>
      <c r="BD241" s="195" t="b">
        <f t="shared" si="2"/>
        <v>1</v>
      </c>
      <c r="BE241" s="195" t="b">
        <f t="shared" ref="BE241:BF241" si="254">IF(IFERROR(FIND("ND",AI241),0),FALSE,TRUE)</f>
        <v>1</v>
      </c>
      <c r="BF241" s="195" t="b">
        <f t="shared" si="254"/>
        <v>0</v>
      </c>
    </row>
    <row r="242" spans="1:58" ht="37.5" customHeight="1">
      <c r="A242" s="218" t="s">
        <v>2249</v>
      </c>
      <c r="B242" s="241">
        <v>1986</v>
      </c>
      <c r="C242" s="195" t="s">
        <v>457</v>
      </c>
      <c r="D242" s="4" t="s">
        <v>2269</v>
      </c>
      <c r="E242" s="239">
        <v>3711273</v>
      </c>
      <c r="F242" s="230" t="str">
        <f t="shared" si="251"/>
        <v>https://pubmed.ncbi.nlm.nih.gov/3711273</v>
      </c>
      <c r="G242" s="213" t="str">
        <f t="shared" si="89"/>
        <v>Snyder 1986</v>
      </c>
      <c r="H242" s="195">
        <v>1984</v>
      </c>
      <c r="I242" s="199"/>
      <c r="J242" s="199"/>
      <c r="K242" s="195">
        <v>14</v>
      </c>
      <c r="L242" s="4" t="s">
        <v>2270</v>
      </c>
      <c r="M242" s="195" t="s">
        <v>324</v>
      </c>
      <c r="N242" s="195" t="s">
        <v>324</v>
      </c>
      <c r="O242" s="195" t="s">
        <v>324</v>
      </c>
      <c r="P242" s="195" t="s">
        <v>324</v>
      </c>
      <c r="Q242" s="195" t="s">
        <v>324</v>
      </c>
      <c r="R242" s="195">
        <v>18</v>
      </c>
      <c r="S242" s="195">
        <v>35</v>
      </c>
      <c r="T242" s="195" t="s">
        <v>324</v>
      </c>
      <c r="U242" s="195" t="s">
        <v>324</v>
      </c>
      <c r="V242" s="195" t="s">
        <v>2258</v>
      </c>
      <c r="W242" s="199"/>
      <c r="X242" s="195">
        <v>14</v>
      </c>
      <c r="Y242" s="195"/>
      <c r="Z242" s="195">
        <v>14</v>
      </c>
      <c r="AA242" s="195"/>
      <c r="AB242" s="195">
        <v>0</v>
      </c>
      <c r="AC242" s="195"/>
      <c r="AD242" s="195" t="s">
        <v>322</v>
      </c>
      <c r="AE242" s="195" t="s">
        <v>2259</v>
      </c>
      <c r="AF242" s="195" t="s">
        <v>1958</v>
      </c>
      <c r="AG242" s="195">
        <v>7</v>
      </c>
      <c r="AH242" s="195" t="s">
        <v>316</v>
      </c>
      <c r="AI242" s="195">
        <v>0</v>
      </c>
      <c r="AJ242" s="195" t="s">
        <v>324</v>
      </c>
      <c r="AK242" s="195" t="s">
        <v>499</v>
      </c>
      <c r="AL242" s="195" t="s">
        <v>322</v>
      </c>
      <c r="AM242" s="199"/>
      <c r="AN242" s="195"/>
      <c r="AO242" s="195" t="s">
        <v>2261</v>
      </c>
      <c r="AP242" s="195" t="s">
        <v>2262</v>
      </c>
      <c r="AQ242" s="195" t="s">
        <v>324</v>
      </c>
      <c r="AR242" s="220" t="s">
        <v>1431</v>
      </c>
      <c r="AS242" s="195" t="s">
        <v>316</v>
      </c>
      <c r="AT242" s="199"/>
      <c r="AU242" s="202" t="s">
        <v>2263</v>
      </c>
      <c r="AV242" s="195" t="s">
        <v>1447</v>
      </c>
      <c r="AW242" s="195" t="str">
        <f ca="1">IFERROR(__xludf.DUMMYFUNCTION("IF(AND(IF(AS242=""Yes"",True,False),NOT(IFERROR(REGEXMATCH(AV242,ExclusionCategories),FALSE))),""Yes"", ""No"")"),"No")</f>
        <v>No</v>
      </c>
      <c r="AX242" s="195">
        <f ca="1">IFERROR(__xludf.DUMMYFUNCTION("IF(IFERROR(SEARCH(""Unclear"", Z242)) = 1, VALUE(REGEXEXTRACT(Z242,""\d+"")), Z242)"),14)</f>
        <v>14</v>
      </c>
      <c r="AY242" s="195">
        <v>14</v>
      </c>
      <c r="AZ242" s="195">
        <f ca="1">IFERROR(__xludf.DUMMYFUNCTION("IF(IFERROR(SEARCH(""Unclear"", AG242)) = 1, VALUE(REGEXEXTRACT(AG242,""\d+"")), AG242)"),7)</f>
        <v>7</v>
      </c>
      <c r="BA242" s="195">
        <v>7</v>
      </c>
      <c r="BB242" s="195" t="str">
        <f ca="1">IFERROR(__xludf.DUMMYFUNCTION("IF(IFERROR(SEARCH(""Unclear"", AJ242)) = 1, VALUE(REGEXEXTRACT(AJ242,""\d+"")), AJ242)"),"ND")</f>
        <v>ND</v>
      </c>
      <c r="BC242" s="195" t="s">
        <v>324</v>
      </c>
      <c r="BD242" s="195" t="b">
        <f t="shared" si="2"/>
        <v>1</v>
      </c>
      <c r="BE242" s="195" t="b">
        <f t="shared" ref="BE242:BF242" si="255">IF(IFERROR(FIND("ND",AI242),0),FALSE,TRUE)</f>
        <v>1</v>
      </c>
      <c r="BF242" s="195" t="b">
        <f t="shared" si="255"/>
        <v>0</v>
      </c>
    </row>
    <row r="243" spans="1:58" ht="37.5" customHeight="1">
      <c r="A243" s="218" t="s">
        <v>2249</v>
      </c>
      <c r="B243" s="241">
        <v>1986</v>
      </c>
      <c r="C243" s="195" t="s">
        <v>457</v>
      </c>
      <c r="D243" s="4" t="s">
        <v>2271</v>
      </c>
      <c r="E243" s="239">
        <v>3711273</v>
      </c>
      <c r="F243" s="230" t="str">
        <f t="shared" si="251"/>
        <v>https://pubmed.ncbi.nlm.nih.gov/3711273</v>
      </c>
      <c r="G243" s="213" t="str">
        <f t="shared" si="89"/>
        <v>Snyder 1986</v>
      </c>
      <c r="H243" s="195">
        <v>1984</v>
      </c>
      <c r="I243" s="199"/>
      <c r="J243" s="199"/>
      <c r="K243" s="195">
        <v>184</v>
      </c>
      <c r="L243" s="4" t="s">
        <v>2272</v>
      </c>
      <c r="M243" s="195" t="s">
        <v>324</v>
      </c>
      <c r="N243" s="195" t="s">
        <v>324</v>
      </c>
      <c r="O243" s="195" t="s">
        <v>324</v>
      </c>
      <c r="P243" s="195" t="s">
        <v>324</v>
      </c>
      <c r="Q243" s="195" t="s">
        <v>324</v>
      </c>
      <c r="R243" s="195">
        <v>18</v>
      </c>
      <c r="S243" s="195">
        <v>35</v>
      </c>
      <c r="T243" s="195" t="s">
        <v>324</v>
      </c>
      <c r="U243" s="195" t="s">
        <v>324</v>
      </c>
      <c r="V243" s="195" t="s">
        <v>2258</v>
      </c>
      <c r="W243" s="199"/>
      <c r="X243" s="195">
        <v>184</v>
      </c>
      <c r="Y243" s="195"/>
      <c r="Z243" s="195">
        <v>151</v>
      </c>
      <c r="AA243" s="195"/>
      <c r="AB243" s="195">
        <v>0</v>
      </c>
      <c r="AC243" s="195"/>
      <c r="AD243" s="195" t="s">
        <v>322</v>
      </c>
      <c r="AE243" s="195" t="s">
        <v>2259</v>
      </c>
      <c r="AF243" s="195" t="s">
        <v>1958</v>
      </c>
      <c r="AG243" s="195">
        <v>21</v>
      </c>
      <c r="AH243" s="195" t="s">
        <v>316</v>
      </c>
      <c r="AI243" s="195">
        <v>0</v>
      </c>
      <c r="AJ243" s="195" t="s">
        <v>324</v>
      </c>
      <c r="AK243" s="195" t="s">
        <v>499</v>
      </c>
      <c r="AL243" s="195" t="s">
        <v>322</v>
      </c>
      <c r="AM243" s="199"/>
      <c r="AN243" s="195"/>
      <c r="AO243" s="195" t="s">
        <v>2261</v>
      </c>
      <c r="AP243" s="195" t="s">
        <v>2262</v>
      </c>
      <c r="AQ243" s="195" t="s">
        <v>324</v>
      </c>
      <c r="AR243" s="220" t="s">
        <v>1431</v>
      </c>
      <c r="AS243" s="195" t="s">
        <v>308</v>
      </c>
      <c r="AT243" s="199"/>
      <c r="AU243" s="202" t="s">
        <v>2263</v>
      </c>
      <c r="AV243" s="195" t="s">
        <v>1572</v>
      </c>
      <c r="AW243" s="195" t="str">
        <f ca="1">IFERROR(__xludf.DUMMYFUNCTION("IF(AND(IF(AS243=""Yes"",True,False),NOT(IFERROR(REGEXMATCH(AV243,ExclusionCategories),FALSE))),""Yes"", ""No"")"),"Yes")</f>
        <v>Yes</v>
      </c>
      <c r="AX243" s="195">
        <f ca="1">IFERROR(__xludf.DUMMYFUNCTION("IF(IFERROR(SEARCH(""Unclear"", Z243)) = 1, VALUE(REGEXEXTRACT(Z243,""\d+"")), Z243)"),151)</f>
        <v>151</v>
      </c>
      <c r="AY243" s="195">
        <v>151</v>
      </c>
      <c r="AZ243" s="195">
        <f ca="1">IFERROR(__xludf.DUMMYFUNCTION("IF(IFERROR(SEARCH(""Unclear"", AG243)) = 1, VALUE(REGEXEXTRACT(AG243,""\d+"")), AG243)"),21)</f>
        <v>21</v>
      </c>
      <c r="BA243" s="195">
        <v>21</v>
      </c>
      <c r="BB243" s="195" t="str">
        <f ca="1">IFERROR(__xludf.DUMMYFUNCTION("IF(IFERROR(SEARCH(""Unclear"", AJ243)) = 1, VALUE(REGEXEXTRACT(AJ243,""\d+"")), AJ243)"),"ND")</f>
        <v>ND</v>
      </c>
      <c r="BC243" s="195" t="s">
        <v>324</v>
      </c>
      <c r="BD243" s="195" t="b">
        <f t="shared" si="2"/>
        <v>1</v>
      </c>
      <c r="BE243" s="195" t="b">
        <f t="shared" ref="BE243:BF243" si="256">IF(IFERROR(FIND("ND",AI243),0),FALSE,TRUE)</f>
        <v>1</v>
      </c>
      <c r="BF243" s="195" t="b">
        <f t="shared" si="256"/>
        <v>0</v>
      </c>
    </row>
    <row r="244" spans="1:58" ht="37.5" customHeight="1">
      <c r="A244" s="218" t="s">
        <v>2249</v>
      </c>
      <c r="B244" s="241">
        <v>1986</v>
      </c>
      <c r="C244" s="195" t="s">
        <v>457</v>
      </c>
      <c r="D244" s="4" t="s">
        <v>2273</v>
      </c>
      <c r="E244" s="239">
        <v>3711273</v>
      </c>
      <c r="F244" s="230" t="str">
        <f t="shared" si="251"/>
        <v>https://pubmed.ncbi.nlm.nih.gov/3711273</v>
      </c>
      <c r="G244" s="213" t="str">
        <f t="shared" si="89"/>
        <v>Snyder 1986</v>
      </c>
      <c r="H244" s="195">
        <v>1984</v>
      </c>
      <c r="I244" s="199"/>
      <c r="J244" s="199"/>
      <c r="K244" s="195">
        <v>19</v>
      </c>
      <c r="L244" s="4" t="s">
        <v>2274</v>
      </c>
      <c r="M244" s="195" t="s">
        <v>324</v>
      </c>
      <c r="N244" s="195" t="s">
        <v>324</v>
      </c>
      <c r="O244" s="195" t="s">
        <v>324</v>
      </c>
      <c r="P244" s="195" t="s">
        <v>324</v>
      </c>
      <c r="Q244" s="195" t="s">
        <v>324</v>
      </c>
      <c r="R244" s="195">
        <v>18</v>
      </c>
      <c r="S244" s="195">
        <v>35</v>
      </c>
      <c r="T244" s="195" t="s">
        <v>324</v>
      </c>
      <c r="U244" s="195" t="s">
        <v>324</v>
      </c>
      <c r="V244" s="195" t="s">
        <v>2258</v>
      </c>
      <c r="W244" s="199"/>
      <c r="X244" s="195">
        <v>19</v>
      </c>
      <c r="Y244" s="195" t="s">
        <v>2275</v>
      </c>
      <c r="Z244" s="195">
        <v>10</v>
      </c>
      <c r="AA244" s="195"/>
      <c r="AB244" s="195">
        <v>0</v>
      </c>
      <c r="AC244" s="195"/>
      <c r="AD244" s="195" t="s">
        <v>322</v>
      </c>
      <c r="AE244" s="195" t="s">
        <v>2259</v>
      </c>
      <c r="AF244" s="195" t="s">
        <v>1958</v>
      </c>
      <c r="AG244" s="195">
        <v>2</v>
      </c>
      <c r="AH244" s="195" t="s">
        <v>316</v>
      </c>
      <c r="AI244" s="195">
        <v>0</v>
      </c>
      <c r="AJ244" s="195" t="s">
        <v>324</v>
      </c>
      <c r="AK244" s="195" t="s">
        <v>499</v>
      </c>
      <c r="AL244" s="195" t="s">
        <v>322</v>
      </c>
      <c r="AM244" s="199"/>
      <c r="AN244" s="195" t="s">
        <v>2276</v>
      </c>
      <c r="AO244" s="195" t="s">
        <v>2261</v>
      </c>
      <c r="AP244" s="195" t="s">
        <v>2262</v>
      </c>
      <c r="AQ244" s="195" t="s">
        <v>324</v>
      </c>
      <c r="AR244" s="220" t="s">
        <v>1431</v>
      </c>
      <c r="AS244" s="195" t="s">
        <v>308</v>
      </c>
      <c r="AT244" s="199"/>
      <c r="AU244" s="202" t="s">
        <v>2263</v>
      </c>
      <c r="AV244" s="195" t="s">
        <v>2277</v>
      </c>
      <c r="AW244" s="195" t="str">
        <f ca="1">IFERROR(__xludf.DUMMYFUNCTION("IF(AND(IF(AS244=""Yes"",True,False),NOT(IFERROR(REGEXMATCH(AV244,ExclusionCategories),FALSE))),""Yes"", ""No"")"),"No")</f>
        <v>No</v>
      </c>
      <c r="AX244" s="195">
        <f ca="1">IFERROR(__xludf.DUMMYFUNCTION("IF(IFERROR(SEARCH(""Unclear"", Z244)) = 1, VALUE(REGEXEXTRACT(Z244,""\d+"")), Z244)"),10)</f>
        <v>10</v>
      </c>
      <c r="AY244" s="195">
        <v>10</v>
      </c>
      <c r="AZ244" s="195">
        <f ca="1">IFERROR(__xludf.DUMMYFUNCTION("IF(IFERROR(SEARCH(""Unclear"", AG244)) = 1, VALUE(REGEXEXTRACT(AG244,""\d+"")), AG244)"),2)</f>
        <v>2</v>
      </c>
      <c r="BA244" s="195">
        <v>2</v>
      </c>
      <c r="BB244" s="195" t="str">
        <f ca="1">IFERROR(__xludf.DUMMYFUNCTION("IF(IFERROR(SEARCH(""Unclear"", AJ244)) = 1, VALUE(REGEXEXTRACT(AJ244,""\d+"")), AJ244)"),"ND")</f>
        <v>ND</v>
      </c>
      <c r="BC244" s="195" t="s">
        <v>324</v>
      </c>
      <c r="BD244" s="195" t="b">
        <f t="shared" si="2"/>
        <v>1</v>
      </c>
      <c r="BE244" s="195" t="b">
        <f t="shared" ref="BE244:BF244" si="257">IF(IFERROR(FIND("ND",AI244),0),FALSE,TRUE)</f>
        <v>1</v>
      </c>
      <c r="BF244" s="195" t="b">
        <f t="shared" si="257"/>
        <v>0</v>
      </c>
    </row>
    <row r="245" spans="1:58" ht="37.5" customHeight="1">
      <c r="A245" s="227" t="s">
        <v>2249</v>
      </c>
      <c r="B245" s="243">
        <v>1988</v>
      </c>
      <c r="C245" s="195" t="s">
        <v>457</v>
      </c>
      <c r="D245" s="4" t="s">
        <v>2278</v>
      </c>
      <c r="E245" s="243">
        <v>3336068</v>
      </c>
      <c r="F245" s="228" t="str">
        <f t="shared" ref="F245:F247" si="258">"https://pubmed.ncbi.nlm.nih.gov/?term="&amp;E245</f>
        <v>https://pubmed.ncbi.nlm.nih.gov/?term=3336068</v>
      </c>
      <c r="G245" s="213" t="str">
        <f t="shared" si="89"/>
        <v>Snyder 1988</v>
      </c>
      <c r="H245" s="195">
        <v>1986</v>
      </c>
      <c r="I245" s="199"/>
      <c r="J245" s="199"/>
      <c r="K245" s="195">
        <v>127</v>
      </c>
      <c r="L245" s="4" t="s">
        <v>2279</v>
      </c>
      <c r="M245" s="195" t="s">
        <v>324</v>
      </c>
      <c r="N245" s="195" t="s">
        <v>324</v>
      </c>
      <c r="O245" s="195" t="s">
        <v>324</v>
      </c>
      <c r="P245" s="195" t="s">
        <v>324</v>
      </c>
      <c r="Q245" s="195" t="s">
        <v>324</v>
      </c>
      <c r="R245" s="195">
        <v>18</v>
      </c>
      <c r="S245" s="195">
        <v>40</v>
      </c>
      <c r="T245" s="195" t="s">
        <v>324</v>
      </c>
      <c r="U245" s="195" t="s">
        <v>324</v>
      </c>
      <c r="V245" s="195" t="s">
        <v>2280</v>
      </c>
      <c r="W245" s="199"/>
      <c r="X245" s="195">
        <v>127</v>
      </c>
      <c r="Y245" s="195"/>
      <c r="Z245" s="195">
        <v>100</v>
      </c>
      <c r="AA245" s="195"/>
      <c r="AB245" s="195">
        <v>0</v>
      </c>
      <c r="AC245" s="195"/>
      <c r="AD245" s="195" t="s">
        <v>322</v>
      </c>
      <c r="AE245" s="195" t="s">
        <v>2281</v>
      </c>
      <c r="AF245" s="195" t="s">
        <v>1958</v>
      </c>
      <c r="AG245" s="195">
        <v>7</v>
      </c>
      <c r="AH245" s="195" t="s">
        <v>316</v>
      </c>
      <c r="AI245" s="195">
        <v>0</v>
      </c>
      <c r="AJ245" s="195" t="s">
        <v>324</v>
      </c>
      <c r="AK245" s="195" t="s">
        <v>499</v>
      </c>
      <c r="AL245" s="195" t="s">
        <v>322</v>
      </c>
      <c r="AM245" s="199"/>
      <c r="AN245" s="195" t="s">
        <v>332</v>
      </c>
      <c r="AO245" s="195" t="s">
        <v>2282</v>
      </c>
      <c r="AP245" s="195" t="s">
        <v>2283</v>
      </c>
      <c r="AQ245" s="195" t="s">
        <v>324</v>
      </c>
      <c r="AR245" s="220" t="s">
        <v>1431</v>
      </c>
      <c r="AS245" s="195" t="s">
        <v>316</v>
      </c>
      <c r="AT245" s="199"/>
      <c r="AU245" s="195" t="s">
        <v>2284</v>
      </c>
      <c r="AV245" s="195" t="s">
        <v>1567</v>
      </c>
      <c r="AW245" s="195" t="str">
        <f ca="1">IFERROR(__xludf.DUMMYFUNCTION("IF(AND(IF(AS245=""Yes"",True,False),NOT(IFERROR(REGEXMATCH(AV245,ExclusionCategories),FALSE))),""Yes"", ""No"")"),"No")</f>
        <v>No</v>
      </c>
      <c r="AX245" s="195">
        <f ca="1">IFERROR(__xludf.DUMMYFUNCTION("IF(IFERROR(SEARCH(""Unclear"", Z245)) = 1, VALUE(REGEXEXTRACT(Z245,""\d+"")), Z245)"),100)</f>
        <v>100</v>
      </c>
      <c r="AY245" s="195">
        <v>100</v>
      </c>
      <c r="AZ245" s="195">
        <f ca="1">IFERROR(__xludf.DUMMYFUNCTION("IF(IFERROR(SEARCH(""Unclear"", AG245)) = 1, VALUE(REGEXEXTRACT(AG245,""\d+"")), AG245)"),7)</f>
        <v>7</v>
      </c>
      <c r="BA245" s="195">
        <v>7</v>
      </c>
      <c r="BB245" s="195" t="str">
        <f ca="1">IFERROR(__xludf.DUMMYFUNCTION("IF(IFERROR(SEARCH(""Unclear"", AJ245)) = 1, VALUE(REGEXEXTRACT(AJ245,""\d+"")), AJ245)"),"ND")</f>
        <v>ND</v>
      </c>
      <c r="BC245" s="195" t="s">
        <v>324</v>
      </c>
      <c r="BD245" s="195" t="b">
        <f t="shared" si="2"/>
        <v>1</v>
      </c>
      <c r="BE245" s="195" t="b">
        <f t="shared" ref="BE245:BF245" si="259">IF(IFERROR(FIND("ND",AI245),0),FALSE,TRUE)</f>
        <v>1</v>
      </c>
      <c r="BF245" s="195" t="b">
        <f t="shared" si="259"/>
        <v>0</v>
      </c>
    </row>
    <row r="246" spans="1:58" ht="37.5" customHeight="1">
      <c r="A246" s="227" t="s">
        <v>2249</v>
      </c>
      <c r="B246" s="243">
        <v>1988</v>
      </c>
      <c r="C246" s="195" t="s">
        <v>457</v>
      </c>
      <c r="D246" s="4" t="s">
        <v>2285</v>
      </c>
      <c r="E246" s="243">
        <v>3336068</v>
      </c>
      <c r="F246" s="228" t="str">
        <f t="shared" si="258"/>
        <v>https://pubmed.ncbi.nlm.nih.gov/?term=3336068</v>
      </c>
      <c r="G246" s="213" t="str">
        <f t="shared" si="89"/>
        <v>Snyder 1988</v>
      </c>
      <c r="H246" s="195">
        <v>1986</v>
      </c>
      <c r="I246" s="199"/>
      <c r="J246" s="199"/>
      <c r="K246" s="195">
        <v>14</v>
      </c>
      <c r="L246" s="4" t="s">
        <v>2286</v>
      </c>
      <c r="M246" s="195" t="s">
        <v>324</v>
      </c>
      <c r="N246" s="195" t="s">
        <v>324</v>
      </c>
      <c r="O246" s="195" t="s">
        <v>324</v>
      </c>
      <c r="P246" s="195" t="s">
        <v>324</v>
      </c>
      <c r="Q246" s="195" t="s">
        <v>324</v>
      </c>
      <c r="R246" s="195">
        <v>18</v>
      </c>
      <c r="S246" s="195">
        <v>40</v>
      </c>
      <c r="T246" s="195" t="s">
        <v>324</v>
      </c>
      <c r="U246" s="195" t="s">
        <v>324</v>
      </c>
      <c r="V246" s="195" t="s">
        <v>2280</v>
      </c>
      <c r="W246" s="199"/>
      <c r="X246" s="195">
        <v>14</v>
      </c>
      <c r="Y246" s="195"/>
      <c r="Z246" s="195">
        <v>12</v>
      </c>
      <c r="AA246" s="195"/>
      <c r="AB246" s="195">
        <v>0</v>
      </c>
      <c r="AC246" s="195"/>
      <c r="AD246" s="195" t="s">
        <v>322</v>
      </c>
      <c r="AE246" s="195" t="s">
        <v>2281</v>
      </c>
      <c r="AF246" s="195" t="s">
        <v>1958</v>
      </c>
      <c r="AG246" s="195">
        <v>5</v>
      </c>
      <c r="AH246" s="195" t="s">
        <v>316</v>
      </c>
      <c r="AI246" s="195">
        <v>0</v>
      </c>
      <c r="AJ246" s="195" t="s">
        <v>324</v>
      </c>
      <c r="AK246" s="195" t="s">
        <v>499</v>
      </c>
      <c r="AL246" s="195" t="s">
        <v>322</v>
      </c>
      <c r="AM246" s="199"/>
      <c r="AN246" s="195" t="s">
        <v>2287</v>
      </c>
      <c r="AO246" s="195" t="s">
        <v>2282</v>
      </c>
      <c r="AP246" s="195" t="s">
        <v>2283</v>
      </c>
      <c r="AQ246" s="195" t="s">
        <v>324</v>
      </c>
      <c r="AR246" s="220" t="s">
        <v>1431</v>
      </c>
      <c r="AS246" s="195" t="s">
        <v>316</v>
      </c>
      <c r="AT246" s="199"/>
      <c r="AU246" s="195" t="s">
        <v>2284</v>
      </c>
      <c r="AV246" s="195" t="s">
        <v>1447</v>
      </c>
      <c r="AW246" s="195" t="str">
        <f ca="1">IFERROR(__xludf.DUMMYFUNCTION("IF(AND(IF(AS246=""Yes"",True,False),NOT(IFERROR(REGEXMATCH(AV246,ExclusionCategories),FALSE))),""Yes"", ""No"")"),"No")</f>
        <v>No</v>
      </c>
      <c r="AX246" s="195">
        <f ca="1">IFERROR(__xludf.DUMMYFUNCTION("IF(IFERROR(SEARCH(""Unclear"", Z246)) = 1, VALUE(REGEXEXTRACT(Z246,""\d+"")), Z246)"),12)</f>
        <v>12</v>
      </c>
      <c r="AY246" s="195">
        <v>12</v>
      </c>
      <c r="AZ246" s="195">
        <f ca="1">IFERROR(__xludf.DUMMYFUNCTION("IF(IFERROR(SEARCH(""Unclear"", AG246)) = 1, VALUE(REGEXEXTRACT(AG246,""\d+"")), AG246)"),5)</f>
        <v>5</v>
      </c>
      <c r="BA246" s="195">
        <v>5</v>
      </c>
      <c r="BB246" s="195" t="str">
        <f ca="1">IFERROR(__xludf.DUMMYFUNCTION("IF(IFERROR(SEARCH(""Unclear"", AJ246)) = 1, VALUE(REGEXEXTRACT(AJ246,""\d+"")), AJ246)"),"ND")</f>
        <v>ND</v>
      </c>
      <c r="BC246" s="195" t="s">
        <v>324</v>
      </c>
      <c r="BD246" s="195" t="b">
        <f t="shared" si="2"/>
        <v>1</v>
      </c>
      <c r="BE246" s="195" t="b">
        <f t="shared" ref="BE246:BF246" si="260">IF(IFERROR(FIND("ND",AI246),0),FALSE,TRUE)</f>
        <v>1</v>
      </c>
      <c r="BF246" s="195" t="b">
        <f t="shared" si="260"/>
        <v>0</v>
      </c>
    </row>
    <row r="247" spans="1:58" ht="37.5" customHeight="1">
      <c r="A247" s="227" t="s">
        <v>2249</v>
      </c>
      <c r="B247" s="243">
        <v>1988</v>
      </c>
      <c r="C247" s="195" t="s">
        <v>457</v>
      </c>
      <c r="D247" s="4" t="s">
        <v>2288</v>
      </c>
      <c r="E247" s="243">
        <v>3336068</v>
      </c>
      <c r="F247" s="228" t="str">
        <f t="shared" si="258"/>
        <v>https://pubmed.ncbi.nlm.nih.gov/?term=3336068</v>
      </c>
      <c r="G247" s="213" t="str">
        <f t="shared" si="89"/>
        <v>Snyder 1988</v>
      </c>
      <c r="H247" s="195">
        <v>1986</v>
      </c>
      <c r="I247" s="199"/>
      <c r="J247" s="199"/>
      <c r="K247" s="195">
        <v>141</v>
      </c>
      <c r="L247" s="4" t="s">
        <v>1571</v>
      </c>
      <c r="M247" s="195" t="s">
        <v>324</v>
      </c>
      <c r="N247" s="195" t="s">
        <v>324</v>
      </c>
      <c r="O247" s="195" t="s">
        <v>324</v>
      </c>
      <c r="P247" s="195" t="s">
        <v>324</v>
      </c>
      <c r="Q247" s="195" t="s">
        <v>324</v>
      </c>
      <c r="R247" s="195">
        <v>18</v>
      </c>
      <c r="S247" s="195">
        <v>40</v>
      </c>
      <c r="T247" s="195" t="s">
        <v>324</v>
      </c>
      <c r="U247" s="195" t="s">
        <v>324</v>
      </c>
      <c r="V247" s="195" t="s">
        <v>2280</v>
      </c>
      <c r="W247" s="199"/>
      <c r="X247" s="195">
        <v>141</v>
      </c>
      <c r="Y247" s="195"/>
      <c r="Z247" s="195">
        <v>112</v>
      </c>
      <c r="AA247" s="195"/>
      <c r="AB247" s="195">
        <v>0</v>
      </c>
      <c r="AC247" s="195"/>
      <c r="AD247" s="195" t="s">
        <v>322</v>
      </c>
      <c r="AE247" s="195" t="s">
        <v>2281</v>
      </c>
      <c r="AF247" s="195" t="s">
        <v>1958</v>
      </c>
      <c r="AG247" s="195">
        <v>12</v>
      </c>
      <c r="AH247" s="195" t="s">
        <v>316</v>
      </c>
      <c r="AI247" s="195">
        <v>0</v>
      </c>
      <c r="AJ247" s="195" t="s">
        <v>324</v>
      </c>
      <c r="AK247" s="195" t="s">
        <v>499</v>
      </c>
      <c r="AL247" s="195" t="s">
        <v>322</v>
      </c>
      <c r="AM247" s="199"/>
      <c r="AN247" s="195" t="s">
        <v>2287</v>
      </c>
      <c r="AO247" s="195" t="s">
        <v>2282</v>
      </c>
      <c r="AP247" s="195" t="s">
        <v>2283</v>
      </c>
      <c r="AQ247" s="195" t="s">
        <v>324</v>
      </c>
      <c r="AR247" s="220" t="s">
        <v>1431</v>
      </c>
      <c r="AS247" s="195" t="s">
        <v>308</v>
      </c>
      <c r="AT247" s="199"/>
      <c r="AU247" s="195" t="s">
        <v>2284</v>
      </c>
      <c r="AV247" s="195" t="s">
        <v>1572</v>
      </c>
      <c r="AW247" s="195" t="str">
        <f ca="1">IFERROR(__xludf.DUMMYFUNCTION("IF(AND(IF(AS247=""Yes"",True,False),NOT(IFERROR(REGEXMATCH(AV247,ExclusionCategories),FALSE))),""Yes"", ""No"")"),"Yes")</f>
        <v>Yes</v>
      </c>
      <c r="AX247" s="195">
        <f ca="1">IFERROR(__xludf.DUMMYFUNCTION("IF(IFERROR(SEARCH(""Unclear"", Z247)) = 1, VALUE(REGEXEXTRACT(Z247,""\d+"")), Z247)"),112)</f>
        <v>112</v>
      </c>
      <c r="AY247" s="195">
        <v>112</v>
      </c>
      <c r="AZ247" s="195">
        <f ca="1">IFERROR(__xludf.DUMMYFUNCTION("IF(IFERROR(SEARCH(""Unclear"", AG247)) = 1, VALUE(REGEXEXTRACT(AG247,""\d+"")), AG247)"),12)</f>
        <v>12</v>
      </c>
      <c r="BA247" s="195">
        <v>12</v>
      </c>
      <c r="BB247" s="195" t="str">
        <f ca="1">IFERROR(__xludf.DUMMYFUNCTION("IF(IFERROR(SEARCH(""Unclear"", AJ247)) = 1, VALUE(REGEXEXTRACT(AJ247,""\d+"")), AJ247)"),"ND")</f>
        <v>ND</v>
      </c>
      <c r="BC247" s="195" t="s">
        <v>324</v>
      </c>
      <c r="BD247" s="195" t="b">
        <f t="shared" si="2"/>
        <v>1</v>
      </c>
      <c r="BE247" s="195" t="b">
        <f t="shared" ref="BE247:BF247" si="261">IF(IFERROR(FIND("ND",AI247),0),FALSE,TRUE)</f>
        <v>1</v>
      </c>
      <c r="BF247" s="195" t="b">
        <f t="shared" si="261"/>
        <v>0</v>
      </c>
    </row>
    <row r="248" spans="1:58" ht="37.5" customHeight="1">
      <c r="A248" s="218" t="s">
        <v>2289</v>
      </c>
      <c r="B248" s="241">
        <v>1992</v>
      </c>
      <c r="C248" s="195" t="s">
        <v>441</v>
      </c>
      <c r="D248" s="4" t="s">
        <v>2290</v>
      </c>
      <c r="E248" s="239">
        <v>1317694</v>
      </c>
      <c r="F248" s="230" t="str">
        <f>"https://pubmed.ncbi.nlm.nih.gov/"&amp;E248</f>
        <v>https://pubmed.ncbi.nlm.nih.gov/1317694</v>
      </c>
      <c r="G248" s="213" t="str">
        <f t="shared" si="89"/>
        <v>Sperber 1992a</v>
      </c>
      <c r="H248" s="195">
        <v>1990</v>
      </c>
      <c r="I248" s="199"/>
      <c r="J248" s="199"/>
      <c r="K248" s="195">
        <v>87</v>
      </c>
      <c r="L248" s="4" t="s">
        <v>2291</v>
      </c>
      <c r="M248" s="195">
        <v>38</v>
      </c>
      <c r="N248" s="195">
        <v>41</v>
      </c>
      <c r="O248" s="195" t="s">
        <v>324</v>
      </c>
      <c r="P248" s="195" t="s">
        <v>324</v>
      </c>
      <c r="Q248" s="195" t="s">
        <v>324</v>
      </c>
      <c r="R248" s="195" t="s">
        <v>324</v>
      </c>
      <c r="S248" s="195" t="s">
        <v>324</v>
      </c>
      <c r="T248" s="195">
        <v>21.4</v>
      </c>
      <c r="U248" s="195" t="s">
        <v>324</v>
      </c>
      <c r="V248" s="195" t="s">
        <v>2292</v>
      </c>
      <c r="W248" s="199"/>
      <c r="X248" s="195">
        <v>87</v>
      </c>
      <c r="Y248" s="195" t="s">
        <v>2293</v>
      </c>
      <c r="Z248" s="195">
        <v>79</v>
      </c>
      <c r="AA248" s="199"/>
      <c r="AB248" s="195">
        <v>0</v>
      </c>
      <c r="AC248" s="199"/>
      <c r="AD248" s="195" t="s">
        <v>322</v>
      </c>
      <c r="AE248" s="195" t="s">
        <v>2294</v>
      </c>
      <c r="AF248" s="195" t="s">
        <v>1849</v>
      </c>
      <c r="AG248" s="195">
        <v>56</v>
      </c>
      <c r="AH248" s="195" t="s">
        <v>308</v>
      </c>
      <c r="AI248" s="195">
        <v>0</v>
      </c>
      <c r="AJ248" s="195" t="s">
        <v>324</v>
      </c>
      <c r="AK248" s="195" t="s">
        <v>499</v>
      </c>
      <c r="AL248" s="195" t="s">
        <v>322</v>
      </c>
      <c r="AM248" s="199"/>
      <c r="AN248" s="195" t="s">
        <v>2295</v>
      </c>
      <c r="AO248" s="195" t="s">
        <v>2296</v>
      </c>
      <c r="AP248" s="195" t="s">
        <v>2297</v>
      </c>
      <c r="AQ248" s="195" t="s">
        <v>2298</v>
      </c>
      <c r="AR248" s="220" t="s">
        <v>1431</v>
      </c>
      <c r="AS248" s="195" t="s">
        <v>308</v>
      </c>
      <c r="AT248" s="199"/>
      <c r="AU248" s="202" t="s">
        <v>2299</v>
      </c>
      <c r="AV248" s="195" t="s">
        <v>571</v>
      </c>
      <c r="AW248" s="195" t="str">
        <f ca="1">IFERROR(__xludf.DUMMYFUNCTION("IF(AND(IF(AS248=""Yes"",True,False),NOT(IFERROR(REGEXMATCH(AV248,ExclusionCategories),FALSE))),""Yes"", ""No"")"),"Yes")</f>
        <v>Yes</v>
      </c>
      <c r="AX248" s="195">
        <f ca="1">IFERROR(__xludf.DUMMYFUNCTION("IF(IFERROR(SEARCH(""Unclear"", Z248)) = 1, VALUE(REGEXEXTRACT(Z248,""\d+"")), Z248)"),79)</f>
        <v>79</v>
      </c>
      <c r="AY248" s="195">
        <v>79</v>
      </c>
      <c r="AZ248" s="195">
        <f ca="1">IFERROR(__xludf.DUMMYFUNCTION("IF(IFERROR(SEARCH(""Unclear"", AG248)) = 1, VALUE(REGEXEXTRACT(AG248,""\d+"")), AG248)"),56)</f>
        <v>56</v>
      </c>
      <c r="BA248" s="195">
        <v>56</v>
      </c>
      <c r="BB248" s="195" t="str">
        <f ca="1">IFERROR(__xludf.DUMMYFUNCTION("IF(IFERROR(SEARCH(""Unclear"", AJ248)) = 1, VALUE(REGEXEXTRACT(AJ248,""\d+"")), AJ248)"),"ND")</f>
        <v>ND</v>
      </c>
      <c r="BC248" s="195" t="s">
        <v>324</v>
      </c>
      <c r="BD248" s="195" t="b">
        <f t="shared" si="2"/>
        <v>1</v>
      </c>
      <c r="BE248" s="195" t="b">
        <f t="shared" ref="BE248:BF248" si="262">IF(IFERROR(FIND("ND",AI248),0),FALSE,TRUE)</f>
        <v>1</v>
      </c>
      <c r="BF248" s="195" t="b">
        <f t="shared" si="262"/>
        <v>0</v>
      </c>
    </row>
    <row r="249" spans="1:58" ht="37.5" customHeight="1">
      <c r="A249" s="218" t="s">
        <v>2289</v>
      </c>
      <c r="B249" s="241">
        <v>1992</v>
      </c>
      <c r="C249" s="195" t="s">
        <v>441</v>
      </c>
      <c r="D249" s="4" t="s">
        <v>2300</v>
      </c>
      <c r="E249" s="241">
        <v>1323974</v>
      </c>
      <c r="F249" s="219" t="str">
        <f>"https://pubmed.ncbi.nlm.nih.gov/?term="&amp;E249</f>
        <v>https://pubmed.ncbi.nlm.nih.gov/?term=1323974</v>
      </c>
      <c r="G249" s="213" t="str">
        <f t="shared" si="89"/>
        <v>Sperber 1992b</v>
      </c>
      <c r="H249" s="217">
        <v>1992</v>
      </c>
      <c r="I249" s="199"/>
      <c r="J249" s="199"/>
      <c r="K249" s="195">
        <v>40</v>
      </c>
      <c r="L249" s="4"/>
      <c r="M249" s="195">
        <v>15</v>
      </c>
      <c r="N249" s="195">
        <v>25</v>
      </c>
      <c r="O249" s="195" t="s">
        <v>324</v>
      </c>
      <c r="P249" s="195" t="s">
        <v>324</v>
      </c>
      <c r="Q249" s="195" t="s">
        <v>324</v>
      </c>
      <c r="R249" s="195" t="s">
        <v>324</v>
      </c>
      <c r="S249" s="195" t="s">
        <v>324</v>
      </c>
      <c r="T249" s="195">
        <v>21</v>
      </c>
      <c r="U249" s="195" t="s">
        <v>324</v>
      </c>
      <c r="V249" s="195" t="s">
        <v>2301</v>
      </c>
      <c r="W249" s="199"/>
      <c r="X249" s="195">
        <v>40</v>
      </c>
      <c r="Y249" s="195"/>
      <c r="Z249" s="195">
        <v>38</v>
      </c>
      <c r="AA249" s="199"/>
      <c r="AB249" s="195">
        <v>0</v>
      </c>
      <c r="AC249" s="199"/>
      <c r="AD249" s="195" t="s">
        <v>322</v>
      </c>
      <c r="AE249" s="195" t="s">
        <v>2302</v>
      </c>
      <c r="AF249" s="195" t="s">
        <v>2303</v>
      </c>
      <c r="AG249" s="195" t="s">
        <v>1059</v>
      </c>
      <c r="AH249" s="195" t="s">
        <v>316</v>
      </c>
      <c r="AI249" s="195">
        <v>0</v>
      </c>
      <c r="AJ249" s="195" t="s">
        <v>324</v>
      </c>
      <c r="AK249" s="195" t="s">
        <v>2304</v>
      </c>
      <c r="AL249" s="195" t="s">
        <v>322</v>
      </c>
      <c r="AM249" s="199"/>
      <c r="AN249" s="195" t="s">
        <v>2305</v>
      </c>
      <c r="AO249" s="195" t="s">
        <v>2306</v>
      </c>
      <c r="AP249" s="195" t="s">
        <v>2307</v>
      </c>
      <c r="AQ249" s="195" t="s">
        <v>2308</v>
      </c>
      <c r="AR249" s="220" t="s">
        <v>1431</v>
      </c>
      <c r="AS249" s="195" t="s">
        <v>308</v>
      </c>
      <c r="AT249" s="199"/>
      <c r="AU249" s="202" t="s">
        <v>2309</v>
      </c>
      <c r="AV249" s="195" t="s">
        <v>571</v>
      </c>
      <c r="AW249" s="195" t="str">
        <f ca="1">IFERROR(__xludf.DUMMYFUNCTION("IF(AND(IF(AS249=""Yes"",True,False),NOT(IFERROR(REGEXMATCH(AV249,ExclusionCategories),FALSE))),""Yes"", ""No"")"),"Yes")</f>
        <v>Yes</v>
      </c>
      <c r="AX249" s="195">
        <f ca="1">IFERROR(__xludf.DUMMYFUNCTION("IF(IFERROR(SEARCH(""Unclear"", Z249)) = 1, VALUE(REGEXEXTRACT(Z249,""\d+"")), Z249)"),38)</f>
        <v>38</v>
      </c>
      <c r="AY249" s="195">
        <v>38</v>
      </c>
      <c r="AZ249" s="195">
        <f ca="1">IFERROR(__xludf.DUMMYFUNCTION("IF(IFERROR(SEARCH(""Unclear"", AG249)) = 1, VALUE(REGEXEXTRACT(AG249,""\d+"")), AG249)"),10)</f>
        <v>10</v>
      </c>
      <c r="BA249" s="195">
        <v>40</v>
      </c>
      <c r="BB249" s="195" t="str">
        <f ca="1">IFERROR(__xludf.DUMMYFUNCTION("IF(IFERROR(SEARCH(""Unclear"", AJ249)) = 1, VALUE(REGEXEXTRACT(AJ249,""\d+"")), AJ249)"),"ND")</f>
        <v>ND</v>
      </c>
      <c r="BC249" s="195" t="s">
        <v>324</v>
      </c>
      <c r="BD249" s="195" t="b">
        <f t="shared" si="2"/>
        <v>1</v>
      </c>
      <c r="BE249" s="195" t="b">
        <f t="shared" ref="BE249:BF249" si="263">IF(IFERROR(FIND("ND",AI249),0),FALSE,TRUE)</f>
        <v>1</v>
      </c>
      <c r="BF249" s="195" t="b">
        <f t="shared" si="263"/>
        <v>0</v>
      </c>
    </row>
    <row r="250" spans="1:58" ht="37.5" customHeight="1">
      <c r="A250" s="218" t="s">
        <v>2289</v>
      </c>
      <c r="B250" s="241">
        <v>2004</v>
      </c>
      <c r="C250" s="195" t="s">
        <v>441</v>
      </c>
      <c r="D250" s="4" t="s">
        <v>1468</v>
      </c>
      <c r="E250" s="239">
        <v>15156472</v>
      </c>
      <c r="F250" s="230" t="str">
        <f>"https://pubmed.ncbi.nlm.nih.gov/"&amp;E250</f>
        <v>https://pubmed.ncbi.nlm.nih.gov/15156472</v>
      </c>
      <c r="G250" s="213" t="str">
        <f t="shared" si="89"/>
        <v>Sperber 2004</v>
      </c>
      <c r="H250" s="217">
        <v>2004</v>
      </c>
      <c r="I250" s="199"/>
      <c r="J250" s="199"/>
      <c r="K250" s="195">
        <v>48</v>
      </c>
      <c r="L250" s="4" t="s">
        <v>2310</v>
      </c>
      <c r="M250" s="195">
        <v>22</v>
      </c>
      <c r="N250" s="195">
        <v>26</v>
      </c>
      <c r="O250" s="195" t="s">
        <v>324</v>
      </c>
      <c r="P250" s="195" t="s">
        <v>324</v>
      </c>
      <c r="Q250" s="195" t="s">
        <v>324</v>
      </c>
      <c r="R250" s="195">
        <v>18</v>
      </c>
      <c r="S250" s="195">
        <v>65</v>
      </c>
      <c r="T250" s="195">
        <v>33</v>
      </c>
      <c r="U250" s="195" t="s">
        <v>365</v>
      </c>
      <c r="V250" s="195" t="s">
        <v>2311</v>
      </c>
      <c r="W250" s="199"/>
      <c r="X250" s="195">
        <v>46</v>
      </c>
      <c r="Y250" s="199"/>
      <c r="Z250" s="195">
        <v>43</v>
      </c>
      <c r="AA250" s="199"/>
      <c r="AB250" s="195">
        <v>0</v>
      </c>
      <c r="AC250" s="199"/>
      <c r="AD250" s="195" t="s">
        <v>322</v>
      </c>
      <c r="AE250" s="195" t="s">
        <v>2312</v>
      </c>
      <c r="AF250" s="199"/>
      <c r="AG250" s="195">
        <v>6</v>
      </c>
      <c r="AH250" s="195" t="s">
        <v>316</v>
      </c>
      <c r="AI250" s="195">
        <v>0</v>
      </c>
      <c r="AJ250" s="195" t="s">
        <v>324</v>
      </c>
      <c r="AK250" s="195" t="s">
        <v>2313</v>
      </c>
      <c r="AL250" s="195" t="s">
        <v>322</v>
      </c>
      <c r="AM250" s="199"/>
      <c r="AN250" s="195" t="s">
        <v>2314</v>
      </c>
      <c r="AO250" s="195" t="s">
        <v>2315</v>
      </c>
      <c r="AP250" s="195" t="s">
        <v>2316</v>
      </c>
      <c r="AQ250" s="195" t="s">
        <v>2317</v>
      </c>
      <c r="AR250" s="220" t="s">
        <v>1431</v>
      </c>
      <c r="AS250" s="195" t="s">
        <v>308</v>
      </c>
      <c r="AT250" s="199"/>
      <c r="AU250" s="202" t="s">
        <v>2318</v>
      </c>
      <c r="AV250" s="195" t="s">
        <v>9</v>
      </c>
      <c r="AW250" s="195" t="str">
        <f ca="1">IFERROR(__xludf.DUMMYFUNCTION("IF(AND(IF(AS250=""Yes"",True,False),NOT(IFERROR(REGEXMATCH(AV250,ExclusionCategories),FALSE))),""Yes"", ""No"")"),"Yes")</f>
        <v>Yes</v>
      </c>
      <c r="AX250" s="195">
        <f ca="1">IFERROR(__xludf.DUMMYFUNCTION("IF(IFERROR(SEARCH(""Unclear"", Z250)) = 1, VALUE(REGEXEXTRACT(Z250,""\d+"")), Z250)"),43)</f>
        <v>43</v>
      </c>
      <c r="AY250" s="195">
        <v>43</v>
      </c>
      <c r="AZ250" s="195">
        <f ca="1">IFERROR(__xludf.DUMMYFUNCTION("IF(IFERROR(SEARCH(""Unclear"", AG250)) = 1, VALUE(REGEXEXTRACT(AG250,""\d+"")), AG250)"),6)</f>
        <v>6</v>
      </c>
      <c r="BA250" s="195">
        <v>6</v>
      </c>
      <c r="BB250" s="195" t="str">
        <f ca="1">IFERROR(__xludf.DUMMYFUNCTION("IF(IFERROR(SEARCH(""Unclear"", AJ250)) = 1, VALUE(REGEXEXTRACT(AJ250,""\d+"")), AJ250)"),"ND")</f>
        <v>ND</v>
      </c>
      <c r="BC250" s="195" t="s">
        <v>324</v>
      </c>
      <c r="BD250" s="195" t="b">
        <f t="shared" si="2"/>
        <v>1</v>
      </c>
      <c r="BE250" s="195" t="b">
        <f t="shared" ref="BE250:BF250" si="264">IF(IFERROR(FIND("ND",AI250),0),FALSE,TRUE)</f>
        <v>1</v>
      </c>
      <c r="BF250" s="195" t="b">
        <f t="shared" si="264"/>
        <v>0</v>
      </c>
    </row>
    <row r="251" spans="1:58" ht="37.5" customHeight="1">
      <c r="A251" s="218" t="s">
        <v>2319</v>
      </c>
      <c r="B251" s="241">
        <v>1990</v>
      </c>
      <c r="C251" s="195" t="s">
        <v>668</v>
      </c>
      <c r="D251" s="4" t="s">
        <v>2320</v>
      </c>
      <c r="E251" s="241">
        <v>1692807</v>
      </c>
      <c r="F251" s="219" t="str">
        <f t="shared" ref="F251:F255" si="265">"https://pubmed.ncbi.nlm.nih.gov/?term="&amp;E251</f>
        <v>https://pubmed.ncbi.nlm.nih.gov/?term=1692807</v>
      </c>
      <c r="G251" s="213" t="str">
        <f t="shared" si="89"/>
        <v>Tacket 1990</v>
      </c>
      <c r="H251" s="217">
        <v>1990</v>
      </c>
      <c r="I251" s="199"/>
      <c r="J251" s="199"/>
      <c r="K251" s="195">
        <v>14</v>
      </c>
      <c r="L251" s="4" t="s">
        <v>301</v>
      </c>
      <c r="M251" s="195" t="s">
        <v>324</v>
      </c>
      <c r="N251" s="195" t="s">
        <v>324</v>
      </c>
      <c r="O251" s="195" t="s">
        <v>324</v>
      </c>
      <c r="P251" s="195" t="s">
        <v>324</v>
      </c>
      <c r="Q251" s="195" t="s">
        <v>324</v>
      </c>
      <c r="R251" s="195" t="s">
        <v>324</v>
      </c>
      <c r="S251" s="195" t="s">
        <v>324</v>
      </c>
      <c r="T251" s="195" t="s">
        <v>324</v>
      </c>
      <c r="U251" s="195" t="s">
        <v>324</v>
      </c>
      <c r="V251" s="195" t="s">
        <v>2321</v>
      </c>
      <c r="W251" s="199"/>
      <c r="X251" s="195">
        <v>14</v>
      </c>
      <c r="Y251" s="199"/>
      <c r="Z251" s="195">
        <v>14</v>
      </c>
      <c r="AA251" s="199"/>
      <c r="AB251" s="195">
        <v>0</v>
      </c>
      <c r="AC251" s="199"/>
      <c r="AD251" s="195" t="s">
        <v>322</v>
      </c>
      <c r="AE251" s="195" t="s">
        <v>2322</v>
      </c>
      <c r="AF251" s="195" t="s">
        <v>2323</v>
      </c>
      <c r="AG251" s="195">
        <v>4</v>
      </c>
      <c r="AH251" s="195" t="s">
        <v>308</v>
      </c>
      <c r="AI251" s="195">
        <v>0</v>
      </c>
      <c r="AJ251" s="195" t="s">
        <v>324</v>
      </c>
      <c r="AK251" s="195" t="s">
        <v>2324</v>
      </c>
      <c r="AL251" s="195" t="s">
        <v>322</v>
      </c>
      <c r="AM251" s="199"/>
      <c r="AN251" s="195" t="s">
        <v>2325</v>
      </c>
      <c r="AO251" s="195" t="s">
        <v>2326</v>
      </c>
      <c r="AP251" s="195" t="s">
        <v>2327</v>
      </c>
      <c r="AQ251" s="195" t="s">
        <v>324</v>
      </c>
      <c r="AR251" s="220" t="s">
        <v>1431</v>
      </c>
      <c r="AS251" s="195" t="s">
        <v>316</v>
      </c>
      <c r="AT251" s="199"/>
      <c r="AU251" s="202" t="s">
        <v>2328</v>
      </c>
      <c r="AV251" s="195" t="s">
        <v>2329</v>
      </c>
      <c r="AW251" s="195" t="str">
        <f ca="1">IFERROR(__xludf.DUMMYFUNCTION("IF(AND(IF(AS251=""Yes"",True,False),NOT(IFERROR(REGEXMATCH(AV251,ExclusionCategories),FALSE))),""Yes"", ""No"")"),"No")</f>
        <v>No</v>
      </c>
      <c r="AX251" s="195">
        <f ca="1">IFERROR(__xludf.DUMMYFUNCTION("IF(IFERROR(SEARCH(""Unclear"", Z251)) = 1, VALUE(REGEXEXTRACT(Z251,""\d+"")), Z251)"),14)</f>
        <v>14</v>
      </c>
      <c r="AY251" s="195">
        <v>14</v>
      </c>
      <c r="AZ251" s="195">
        <f ca="1">IFERROR(__xludf.DUMMYFUNCTION("IF(IFERROR(SEARCH(""Unclear"", AG251)) = 1, VALUE(REGEXEXTRACT(AG251,""\d+"")), AG251)"),4)</f>
        <v>4</v>
      </c>
      <c r="BA251" s="195">
        <v>4</v>
      </c>
      <c r="BB251" s="195" t="str">
        <f ca="1">IFERROR(__xludf.DUMMYFUNCTION("IF(IFERROR(SEARCH(""Unclear"", AJ251)) = 1, VALUE(REGEXEXTRACT(AJ251,""\d+"")), AJ251)"),"ND")</f>
        <v>ND</v>
      </c>
      <c r="BC251" s="195" t="s">
        <v>324</v>
      </c>
      <c r="BD251" s="195" t="b">
        <f t="shared" si="2"/>
        <v>1</v>
      </c>
      <c r="BE251" s="195" t="b">
        <f t="shared" ref="BE251:BF251" si="266">IF(IFERROR(FIND("ND",AI251),0),FALSE,TRUE)</f>
        <v>1</v>
      </c>
      <c r="BF251" s="195" t="b">
        <f t="shared" si="266"/>
        <v>0</v>
      </c>
    </row>
    <row r="252" spans="1:58" ht="37.5" customHeight="1">
      <c r="A252" s="218" t="s">
        <v>2319</v>
      </c>
      <c r="B252" s="241">
        <v>1990</v>
      </c>
      <c r="C252" s="195" t="s">
        <v>297</v>
      </c>
      <c r="D252" s="4" t="s">
        <v>319</v>
      </c>
      <c r="E252" s="241">
        <v>1692807</v>
      </c>
      <c r="F252" s="219" t="str">
        <f t="shared" si="265"/>
        <v>https://pubmed.ncbi.nlm.nih.gov/?term=1692807</v>
      </c>
      <c r="G252" s="213" t="str">
        <f t="shared" si="89"/>
        <v>Tacket 1990</v>
      </c>
      <c r="H252" s="217">
        <v>1990</v>
      </c>
      <c r="I252" s="199"/>
      <c r="J252" s="199"/>
      <c r="K252" s="195">
        <v>21</v>
      </c>
      <c r="L252" s="4" t="s">
        <v>353</v>
      </c>
      <c r="M252" s="195" t="s">
        <v>324</v>
      </c>
      <c r="N252" s="195" t="s">
        <v>324</v>
      </c>
      <c r="O252" s="195" t="s">
        <v>324</v>
      </c>
      <c r="P252" s="195" t="s">
        <v>324</v>
      </c>
      <c r="Q252" s="195" t="s">
        <v>324</v>
      </c>
      <c r="R252" s="195" t="s">
        <v>324</v>
      </c>
      <c r="S252" s="195" t="s">
        <v>324</v>
      </c>
      <c r="T252" s="195" t="s">
        <v>324</v>
      </c>
      <c r="U252" s="195" t="s">
        <v>324</v>
      </c>
      <c r="V252" s="195" t="s">
        <v>1278</v>
      </c>
      <c r="W252" s="199"/>
      <c r="X252" s="195">
        <v>21</v>
      </c>
      <c r="Y252" s="195" t="s">
        <v>2330</v>
      </c>
      <c r="Z252" s="195">
        <v>19</v>
      </c>
      <c r="AA252" s="195" t="s">
        <v>2331</v>
      </c>
      <c r="AB252" s="195">
        <v>0</v>
      </c>
      <c r="AC252" s="199"/>
      <c r="AD252" s="195" t="s">
        <v>322</v>
      </c>
      <c r="AE252" s="195" t="s">
        <v>332</v>
      </c>
      <c r="AF252" s="195" t="s">
        <v>1472</v>
      </c>
      <c r="AG252" s="195" t="s">
        <v>324</v>
      </c>
      <c r="AH252" s="195" t="s">
        <v>316</v>
      </c>
      <c r="AI252" s="195" t="s">
        <v>324</v>
      </c>
      <c r="AJ252" s="195" t="s">
        <v>324</v>
      </c>
      <c r="AK252" s="195"/>
      <c r="AL252" s="195" t="s">
        <v>322</v>
      </c>
      <c r="AM252" s="199"/>
      <c r="AN252" s="195" t="s">
        <v>2332</v>
      </c>
      <c r="AO252" s="195" t="s">
        <v>2326</v>
      </c>
      <c r="AP252" s="195" t="s">
        <v>2327</v>
      </c>
      <c r="AQ252" s="195" t="s">
        <v>324</v>
      </c>
      <c r="AR252" s="220" t="s">
        <v>1431</v>
      </c>
      <c r="AS252" s="195" t="s">
        <v>308</v>
      </c>
      <c r="AT252" s="199"/>
      <c r="AU252" s="202" t="s">
        <v>2328</v>
      </c>
      <c r="AV252" s="195" t="s">
        <v>9</v>
      </c>
      <c r="AW252" s="195" t="str">
        <f ca="1">IFERROR(__xludf.DUMMYFUNCTION("IF(AND(IF(AS252=""Yes"",True,False),NOT(IFERROR(REGEXMATCH(AV252,ExclusionCategories),FALSE))),""Yes"", ""No"")"),"Yes")</f>
        <v>Yes</v>
      </c>
      <c r="AX252" s="195">
        <f ca="1">IFERROR(__xludf.DUMMYFUNCTION("IF(IFERROR(SEARCH(""Unclear"", Z252)) = 1, VALUE(REGEXEXTRACT(Z252,""\d+"")), Z252)"),19)</f>
        <v>19</v>
      </c>
      <c r="AY252" s="195">
        <v>19</v>
      </c>
      <c r="AZ252" s="195" t="str">
        <f ca="1">IFERROR(__xludf.DUMMYFUNCTION("IF(IFERROR(SEARCH(""Unclear"", AG252)) = 1, VALUE(REGEXEXTRACT(AG252,""\d+"")), AG252)"),"ND")</f>
        <v>ND</v>
      </c>
      <c r="BA252" s="195" t="s">
        <v>324</v>
      </c>
      <c r="BB252" s="195" t="str">
        <f ca="1">IFERROR(__xludf.DUMMYFUNCTION("IF(IFERROR(SEARCH(""Unclear"", AJ252)) = 1, VALUE(REGEXEXTRACT(AJ252,""\d+"")), AJ252)"),"ND")</f>
        <v>ND</v>
      </c>
      <c r="BC252" s="195" t="s">
        <v>324</v>
      </c>
      <c r="BD252" s="195" t="b">
        <f t="shared" si="2"/>
        <v>0</v>
      </c>
      <c r="BE252" s="195" t="b">
        <f t="shared" ref="BE252:BF252" si="267">IF(IFERROR(FIND("ND",AI252),0),FALSE,TRUE)</f>
        <v>0</v>
      </c>
      <c r="BF252" s="195" t="b">
        <f t="shared" si="267"/>
        <v>0</v>
      </c>
    </row>
    <row r="253" spans="1:58" ht="37.5" customHeight="1">
      <c r="A253" s="218" t="s">
        <v>2333</v>
      </c>
      <c r="B253" s="241">
        <v>1984</v>
      </c>
      <c r="C253" s="195" t="s">
        <v>457</v>
      </c>
      <c r="D253" s="4" t="s">
        <v>2334</v>
      </c>
      <c r="E253" s="241">
        <v>6531960</v>
      </c>
      <c r="F253" s="219" t="str">
        <f t="shared" si="265"/>
        <v>https://pubmed.ncbi.nlm.nih.gov/?term=6531960</v>
      </c>
      <c r="G253" s="213" t="str">
        <f t="shared" si="89"/>
        <v>Tian 1984</v>
      </c>
      <c r="H253" s="195">
        <v>1980</v>
      </c>
      <c r="I253" s="199"/>
      <c r="J253" s="199"/>
      <c r="K253" s="195">
        <v>33</v>
      </c>
      <c r="L253" s="4" t="s">
        <v>2335</v>
      </c>
      <c r="M253" s="195" t="s">
        <v>324</v>
      </c>
      <c r="N253" s="195" t="s">
        <v>324</v>
      </c>
      <c r="O253" s="195" t="s">
        <v>324</v>
      </c>
      <c r="P253" s="195" t="s">
        <v>324</v>
      </c>
      <c r="Q253" s="195" t="s">
        <v>324</v>
      </c>
      <c r="R253" s="195">
        <v>18</v>
      </c>
      <c r="S253" s="195">
        <v>20</v>
      </c>
      <c r="T253" s="195" t="s">
        <v>324</v>
      </c>
      <c r="U253" s="195" t="s">
        <v>324</v>
      </c>
      <c r="V253" s="195" t="s">
        <v>2336</v>
      </c>
      <c r="W253" s="199"/>
      <c r="X253" s="195">
        <v>33</v>
      </c>
      <c r="Y253" s="195"/>
      <c r="Z253" s="195">
        <v>27</v>
      </c>
      <c r="AA253" s="195"/>
      <c r="AB253" s="195">
        <v>0</v>
      </c>
      <c r="AC253" s="199"/>
      <c r="AD253" s="195" t="s">
        <v>322</v>
      </c>
      <c r="AE253" s="195" t="s">
        <v>332</v>
      </c>
      <c r="AF253" s="195" t="s">
        <v>1472</v>
      </c>
      <c r="AG253" s="195" t="s">
        <v>324</v>
      </c>
      <c r="AH253" s="195" t="s">
        <v>316</v>
      </c>
      <c r="AI253" s="195" t="s">
        <v>324</v>
      </c>
      <c r="AJ253" s="195" t="s">
        <v>324</v>
      </c>
      <c r="AK253" s="195"/>
      <c r="AL253" s="195" t="s">
        <v>322</v>
      </c>
      <c r="AM253" s="199"/>
      <c r="AN253" s="195" t="s">
        <v>332</v>
      </c>
      <c r="AO253" s="195" t="s">
        <v>2337</v>
      </c>
      <c r="AP253" s="195" t="s">
        <v>324</v>
      </c>
      <c r="AQ253" s="195" t="s">
        <v>324</v>
      </c>
      <c r="AR253" s="220" t="s">
        <v>1431</v>
      </c>
      <c r="AS253" s="195" t="s">
        <v>316</v>
      </c>
      <c r="AT253" s="199"/>
      <c r="AU253" s="202" t="s">
        <v>2338</v>
      </c>
      <c r="AV253" s="195" t="s">
        <v>2339</v>
      </c>
      <c r="AW253" s="195" t="str">
        <f ca="1">IFERROR(__xludf.DUMMYFUNCTION("IF(AND(IF(AS253=""Yes"",True,False),NOT(IFERROR(REGEXMATCH(AV253,ExclusionCategories),FALSE))),""Yes"", ""No"")"),"No")</f>
        <v>No</v>
      </c>
      <c r="AX253" s="195">
        <f ca="1">IFERROR(__xludf.DUMMYFUNCTION("IF(IFERROR(SEARCH(""Unclear"", Z253)) = 1, VALUE(REGEXEXTRACT(Z253,""\d+"")), Z253)"),27)</f>
        <v>27</v>
      </c>
      <c r="AY253" s="195">
        <v>27</v>
      </c>
      <c r="AZ253" s="195" t="str">
        <f ca="1">IFERROR(__xludf.DUMMYFUNCTION("IF(IFERROR(SEARCH(""Unclear"", AG253)) = 1, VALUE(REGEXEXTRACT(AG253,""\d+"")), AG253)"),"ND")</f>
        <v>ND</v>
      </c>
      <c r="BA253" s="195" t="s">
        <v>324</v>
      </c>
      <c r="BB253" s="195" t="str">
        <f ca="1">IFERROR(__xludf.DUMMYFUNCTION("IF(IFERROR(SEARCH(""Unclear"", AJ253)) = 1, VALUE(REGEXEXTRACT(AJ253,""\d+"")), AJ253)"),"ND")</f>
        <v>ND</v>
      </c>
      <c r="BC253" s="195" t="s">
        <v>324</v>
      </c>
      <c r="BD253" s="195" t="b">
        <f t="shared" si="2"/>
        <v>0</v>
      </c>
      <c r="BE253" s="195" t="b">
        <f t="shared" ref="BE253:BF253" si="268">IF(IFERROR(FIND("ND",AI253),0),FALSE,TRUE)</f>
        <v>0</v>
      </c>
      <c r="BF253" s="195" t="b">
        <f t="shared" si="268"/>
        <v>0</v>
      </c>
    </row>
    <row r="254" spans="1:58" ht="37.5" customHeight="1">
      <c r="A254" s="218" t="s">
        <v>2333</v>
      </c>
      <c r="B254" s="241">
        <v>1984</v>
      </c>
      <c r="C254" s="195" t="s">
        <v>457</v>
      </c>
      <c r="D254" s="4" t="s">
        <v>2340</v>
      </c>
      <c r="E254" s="241">
        <v>6531960</v>
      </c>
      <c r="F254" s="219" t="str">
        <f t="shared" si="265"/>
        <v>https://pubmed.ncbi.nlm.nih.gov/?term=6531960</v>
      </c>
      <c r="G254" s="213" t="str">
        <f t="shared" si="89"/>
        <v>Tian 1984</v>
      </c>
      <c r="H254" s="195">
        <v>1980</v>
      </c>
      <c r="I254" s="199"/>
      <c r="J254" s="199"/>
      <c r="K254" s="195">
        <v>26</v>
      </c>
      <c r="L254" s="4" t="s">
        <v>2341</v>
      </c>
      <c r="M254" s="195" t="s">
        <v>324</v>
      </c>
      <c r="N254" s="195" t="s">
        <v>324</v>
      </c>
      <c r="O254" s="195" t="s">
        <v>324</v>
      </c>
      <c r="P254" s="195" t="s">
        <v>324</v>
      </c>
      <c r="Q254" s="195" t="s">
        <v>324</v>
      </c>
      <c r="R254" s="195">
        <v>18</v>
      </c>
      <c r="S254" s="195">
        <v>20</v>
      </c>
      <c r="T254" s="195" t="s">
        <v>324</v>
      </c>
      <c r="U254" s="195" t="s">
        <v>324</v>
      </c>
      <c r="V254" s="195" t="s">
        <v>2336</v>
      </c>
      <c r="W254" s="199"/>
      <c r="X254" s="195">
        <v>26</v>
      </c>
      <c r="Y254" s="195"/>
      <c r="Z254" s="195">
        <v>26</v>
      </c>
      <c r="AA254" s="195"/>
      <c r="AB254" s="195">
        <v>0</v>
      </c>
      <c r="AC254" s="199"/>
      <c r="AD254" s="195" t="s">
        <v>322</v>
      </c>
      <c r="AE254" s="195" t="s">
        <v>332</v>
      </c>
      <c r="AF254" s="195" t="s">
        <v>1472</v>
      </c>
      <c r="AG254" s="195" t="s">
        <v>324</v>
      </c>
      <c r="AH254" s="195" t="s">
        <v>316</v>
      </c>
      <c r="AI254" s="195" t="s">
        <v>324</v>
      </c>
      <c r="AJ254" s="195" t="s">
        <v>324</v>
      </c>
      <c r="AK254" s="195"/>
      <c r="AL254" s="195" t="s">
        <v>322</v>
      </c>
      <c r="AM254" s="199"/>
      <c r="AN254" s="195" t="s">
        <v>332</v>
      </c>
      <c r="AO254" s="195" t="s">
        <v>2337</v>
      </c>
      <c r="AP254" s="195" t="s">
        <v>324</v>
      </c>
      <c r="AQ254" s="195" t="s">
        <v>324</v>
      </c>
      <c r="AR254" s="220" t="s">
        <v>1431</v>
      </c>
      <c r="AS254" s="195" t="s">
        <v>316</v>
      </c>
      <c r="AT254" s="199"/>
      <c r="AU254" s="202" t="s">
        <v>2338</v>
      </c>
      <c r="AV254" s="195" t="s">
        <v>2339</v>
      </c>
      <c r="AW254" s="195" t="str">
        <f ca="1">IFERROR(__xludf.DUMMYFUNCTION("IF(AND(IF(AS254=""Yes"",True,False),NOT(IFERROR(REGEXMATCH(AV254,ExclusionCategories),FALSE))),""Yes"", ""No"")"),"No")</f>
        <v>No</v>
      </c>
      <c r="AX254" s="195">
        <f ca="1">IFERROR(__xludf.DUMMYFUNCTION("IF(IFERROR(SEARCH(""Unclear"", Z254)) = 1, VALUE(REGEXEXTRACT(Z254,""\d+"")), Z254)"),26)</f>
        <v>26</v>
      </c>
      <c r="AY254" s="195">
        <v>26</v>
      </c>
      <c r="AZ254" s="195" t="str">
        <f ca="1">IFERROR(__xludf.DUMMYFUNCTION("IF(IFERROR(SEARCH(""Unclear"", AG254)) = 1, VALUE(REGEXEXTRACT(AG254,""\d+"")), AG254)"),"ND")</f>
        <v>ND</v>
      </c>
      <c r="BA254" s="195" t="s">
        <v>324</v>
      </c>
      <c r="BB254" s="195" t="str">
        <f ca="1">IFERROR(__xludf.DUMMYFUNCTION("IF(IFERROR(SEARCH(""Unclear"", AJ254)) = 1, VALUE(REGEXEXTRACT(AJ254,""\d+"")), AJ254)"),"ND")</f>
        <v>ND</v>
      </c>
      <c r="BC254" s="195" t="s">
        <v>324</v>
      </c>
      <c r="BD254" s="195" t="b">
        <f t="shared" si="2"/>
        <v>0</v>
      </c>
      <c r="BE254" s="195" t="b">
        <f t="shared" ref="BE254:BF254" si="269">IF(IFERROR(FIND("ND",AI254),0),FALSE,TRUE)</f>
        <v>0</v>
      </c>
      <c r="BF254" s="195" t="b">
        <f t="shared" si="269"/>
        <v>0</v>
      </c>
    </row>
    <row r="255" spans="1:58" ht="37.5" customHeight="1">
      <c r="A255" s="218" t="s">
        <v>2333</v>
      </c>
      <c r="B255" s="241">
        <v>1984</v>
      </c>
      <c r="C255" s="195" t="s">
        <v>457</v>
      </c>
      <c r="D255" s="4" t="s">
        <v>2342</v>
      </c>
      <c r="E255" s="241">
        <v>6531960</v>
      </c>
      <c r="F255" s="219" t="str">
        <f t="shared" si="265"/>
        <v>https://pubmed.ncbi.nlm.nih.gov/?term=6531960</v>
      </c>
      <c r="G255" s="213" t="str">
        <f t="shared" si="89"/>
        <v>Tian 1984</v>
      </c>
      <c r="H255" s="195">
        <v>1980</v>
      </c>
      <c r="I255" s="199"/>
      <c r="J255" s="199"/>
      <c r="K255" s="195">
        <v>59</v>
      </c>
      <c r="L255" s="4" t="s">
        <v>1858</v>
      </c>
      <c r="M255" s="195" t="s">
        <v>324</v>
      </c>
      <c r="N255" s="195" t="s">
        <v>324</v>
      </c>
      <c r="O255" s="195" t="s">
        <v>324</v>
      </c>
      <c r="P255" s="195" t="s">
        <v>324</v>
      </c>
      <c r="Q255" s="195" t="s">
        <v>324</v>
      </c>
      <c r="R255" s="195">
        <v>18</v>
      </c>
      <c r="S255" s="195">
        <v>20</v>
      </c>
      <c r="T255" s="195" t="s">
        <v>324</v>
      </c>
      <c r="U255" s="195" t="s">
        <v>324</v>
      </c>
      <c r="V255" s="195" t="s">
        <v>2336</v>
      </c>
      <c r="W255" s="199"/>
      <c r="X255" s="195">
        <v>59</v>
      </c>
      <c r="Y255" s="195"/>
      <c r="Z255" s="195">
        <v>53</v>
      </c>
      <c r="AA255" s="195"/>
      <c r="AB255" s="195">
        <v>0</v>
      </c>
      <c r="AC255" s="199"/>
      <c r="AD255" s="195" t="s">
        <v>322</v>
      </c>
      <c r="AE255" s="195" t="s">
        <v>332</v>
      </c>
      <c r="AF255" s="195" t="s">
        <v>1472</v>
      </c>
      <c r="AG255" s="195" t="s">
        <v>324</v>
      </c>
      <c r="AH255" s="195" t="s">
        <v>316</v>
      </c>
      <c r="AI255" s="195" t="s">
        <v>324</v>
      </c>
      <c r="AJ255" s="195" t="s">
        <v>324</v>
      </c>
      <c r="AK255" s="195"/>
      <c r="AL255" s="195" t="s">
        <v>322</v>
      </c>
      <c r="AM255" s="199"/>
      <c r="AN255" s="195" t="s">
        <v>332</v>
      </c>
      <c r="AO255" s="195" t="s">
        <v>2337</v>
      </c>
      <c r="AP255" s="195" t="s">
        <v>324</v>
      </c>
      <c r="AQ255" s="195" t="s">
        <v>324</v>
      </c>
      <c r="AR255" s="220" t="s">
        <v>1431</v>
      </c>
      <c r="AS255" s="195" t="s">
        <v>308</v>
      </c>
      <c r="AT255" s="199"/>
      <c r="AU255" s="202" t="s">
        <v>2338</v>
      </c>
      <c r="AV255" s="195" t="s">
        <v>2343</v>
      </c>
      <c r="AW255" s="195" t="str">
        <f ca="1">IFERROR(__xludf.DUMMYFUNCTION("IF(AND(IF(AS255=""Yes"",True,False),NOT(IFERROR(REGEXMATCH(AV255,ExclusionCategories),FALSE))),""Yes"", ""No"")"),"Yes")</f>
        <v>Yes</v>
      </c>
      <c r="AX255" s="195">
        <f ca="1">IFERROR(__xludf.DUMMYFUNCTION("IF(IFERROR(SEARCH(""Unclear"", Z255)) = 1, VALUE(REGEXEXTRACT(Z255,""\d+"")), Z255)"),53)</f>
        <v>53</v>
      </c>
      <c r="AY255" s="195">
        <v>53</v>
      </c>
      <c r="AZ255" s="195" t="str">
        <f ca="1">IFERROR(__xludf.DUMMYFUNCTION("IF(IFERROR(SEARCH(""Unclear"", AG255)) = 1, VALUE(REGEXEXTRACT(AG255,""\d+"")), AG255)"),"ND")</f>
        <v>ND</v>
      </c>
      <c r="BA255" s="195" t="s">
        <v>324</v>
      </c>
      <c r="BB255" s="195" t="str">
        <f ca="1">IFERROR(__xludf.DUMMYFUNCTION("IF(IFERROR(SEARCH(""Unclear"", AJ255)) = 1, VALUE(REGEXEXTRACT(AJ255,""\d+"")), AJ255)"),"ND")</f>
        <v>ND</v>
      </c>
      <c r="BC255" s="195" t="s">
        <v>324</v>
      </c>
      <c r="BD255" s="195" t="b">
        <f t="shared" si="2"/>
        <v>0</v>
      </c>
      <c r="BE255" s="195" t="b">
        <f t="shared" ref="BE255:BF255" si="270">IF(IFERROR(FIND("ND",AI255),0),FALSE,TRUE)</f>
        <v>0</v>
      </c>
      <c r="BF255" s="195" t="b">
        <f t="shared" si="270"/>
        <v>0</v>
      </c>
    </row>
    <row r="256" spans="1:58" ht="37.5" customHeight="1">
      <c r="A256" s="218" t="s">
        <v>2344</v>
      </c>
      <c r="B256" s="241">
        <v>1973</v>
      </c>
      <c r="C256" s="195" t="s">
        <v>441</v>
      </c>
      <c r="D256" s="4" t="s">
        <v>2345</v>
      </c>
      <c r="E256" s="239">
        <v>4367686</v>
      </c>
      <c r="F256" s="230" t="str">
        <f t="shared" ref="F256:F259" si="271">"https://pubmed.ncbi.nlm.nih.gov/"&amp;E256</f>
        <v>https://pubmed.ncbi.nlm.nih.gov/4367686</v>
      </c>
      <c r="G256" s="213" t="str">
        <f t="shared" si="89"/>
        <v>Togo 1973</v>
      </c>
      <c r="H256" s="195">
        <v>1973</v>
      </c>
      <c r="I256" s="199"/>
      <c r="J256" s="199"/>
      <c r="K256" s="195">
        <v>21</v>
      </c>
      <c r="L256" s="4" t="s">
        <v>2118</v>
      </c>
      <c r="M256" s="195">
        <v>21</v>
      </c>
      <c r="N256" s="195">
        <v>0</v>
      </c>
      <c r="O256" s="195" t="s">
        <v>324</v>
      </c>
      <c r="P256" s="195" t="s">
        <v>324</v>
      </c>
      <c r="Q256" s="195" t="s">
        <v>324</v>
      </c>
      <c r="R256" s="195">
        <v>21</v>
      </c>
      <c r="S256" s="195">
        <v>42</v>
      </c>
      <c r="T256" s="195" t="s">
        <v>324</v>
      </c>
      <c r="U256" s="195" t="s">
        <v>324</v>
      </c>
      <c r="V256" s="195" t="s">
        <v>2119</v>
      </c>
      <c r="W256" s="199"/>
      <c r="X256" s="195">
        <v>21</v>
      </c>
      <c r="Y256" s="199"/>
      <c r="Z256" s="195">
        <v>17</v>
      </c>
      <c r="AA256" s="199"/>
      <c r="AB256" s="195">
        <v>0</v>
      </c>
      <c r="AC256" s="199"/>
      <c r="AD256" s="195" t="s">
        <v>322</v>
      </c>
      <c r="AE256" s="195" t="s">
        <v>2346</v>
      </c>
      <c r="AF256" s="195" t="s">
        <v>2347</v>
      </c>
      <c r="AG256" s="195">
        <v>19</v>
      </c>
      <c r="AH256" s="195" t="s">
        <v>308</v>
      </c>
      <c r="AI256" s="199"/>
      <c r="AJ256" s="195">
        <v>2</v>
      </c>
      <c r="AK256" s="195" t="s">
        <v>2348</v>
      </c>
      <c r="AL256" s="195" t="s">
        <v>322</v>
      </c>
      <c r="AM256" s="199"/>
      <c r="AN256" s="195" t="s">
        <v>2349</v>
      </c>
      <c r="AO256" s="195" t="s">
        <v>2350</v>
      </c>
      <c r="AP256" s="195" t="s">
        <v>2351</v>
      </c>
      <c r="AQ256" s="195" t="s">
        <v>1445</v>
      </c>
      <c r="AR256" s="220" t="s">
        <v>1431</v>
      </c>
      <c r="AS256" s="195" t="s">
        <v>316</v>
      </c>
      <c r="AT256" s="199"/>
      <c r="AU256" s="202" t="s">
        <v>2352</v>
      </c>
      <c r="AV256" s="195" t="s">
        <v>2353</v>
      </c>
      <c r="AW256" s="195" t="str">
        <f ca="1">IFERROR(__xludf.DUMMYFUNCTION("IF(AND(IF(AS256=""Yes"",True,False),NOT(IFERROR(REGEXMATCH(AV256,ExclusionCategories),FALSE))),""Yes"", ""No"")"),"No")</f>
        <v>No</v>
      </c>
      <c r="AX256" s="195">
        <f ca="1">IFERROR(__xludf.DUMMYFUNCTION("IF(IFERROR(SEARCH(""Unclear"", Z256)) = 1, VALUE(REGEXEXTRACT(Z256,""\d+"")), Z256)"),17)</f>
        <v>17</v>
      </c>
      <c r="AY256" s="195">
        <v>17</v>
      </c>
      <c r="AZ256" s="195">
        <f ca="1">IFERROR(__xludf.DUMMYFUNCTION("IF(IFERROR(SEARCH(""Unclear"", AG256)) = 1, VALUE(REGEXEXTRACT(AG256,""\d+"")), AG256)"),19)</f>
        <v>19</v>
      </c>
      <c r="BA256" s="195">
        <v>19</v>
      </c>
      <c r="BB256" s="195">
        <f ca="1">IFERROR(__xludf.DUMMYFUNCTION("IF(IFERROR(SEARCH(""Unclear"", AJ256)) = 1, VALUE(REGEXEXTRACT(AJ256,""\d+"")), AJ256)"),2)</f>
        <v>2</v>
      </c>
      <c r="BC256" s="195">
        <v>2</v>
      </c>
      <c r="BD256" s="195" t="b">
        <f t="shared" si="2"/>
        <v>1</v>
      </c>
      <c r="BE256" s="195" t="b">
        <f t="shared" ref="BE256:BF256" si="272">IF(IFERROR(FIND("ND",AI256),0),FALSE,TRUE)</f>
        <v>1</v>
      </c>
      <c r="BF256" s="195" t="b">
        <f t="shared" si="272"/>
        <v>1</v>
      </c>
    </row>
    <row r="257" spans="1:58" ht="37.5" customHeight="1">
      <c r="A257" s="218" t="s">
        <v>2354</v>
      </c>
      <c r="B257" s="241">
        <v>2010</v>
      </c>
      <c r="C257" s="195" t="s">
        <v>2355</v>
      </c>
      <c r="D257" s="4" t="s">
        <v>2356</v>
      </c>
      <c r="E257" s="239">
        <v>20086085</v>
      </c>
      <c r="F257" s="230" t="str">
        <f t="shared" si="271"/>
        <v>https://pubmed.ncbi.nlm.nih.gov/20086085</v>
      </c>
      <c r="G257" s="213" t="str">
        <f t="shared" si="89"/>
        <v>Tribble 2010</v>
      </c>
      <c r="H257" s="217">
        <v>2010</v>
      </c>
      <c r="I257" s="199"/>
      <c r="J257" s="199"/>
      <c r="K257" s="195">
        <v>46</v>
      </c>
      <c r="L257" s="4" t="s">
        <v>788</v>
      </c>
      <c r="M257" s="195">
        <v>32</v>
      </c>
      <c r="N257" s="195">
        <v>14</v>
      </c>
      <c r="O257" s="195">
        <v>30</v>
      </c>
      <c r="P257" s="195" t="s">
        <v>2357</v>
      </c>
      <c r="Q257" s="195" t="s">
        <v>2358</v>
      </c>
      <c r="R257" s="195">
        <v>18</v>
      </c>
      <c r="S257" s="195">
        <v>55</v>
      </c>
      <c r="T257" s="195" t="s">
        <v>324</v>
      </c>
      <c r="U257" s="195" t="s">
        <v>324</v>
      </c>
      <c r="V257" s="195" t="s">
        <v>2359</v>
      </c>
      <c r="W257" s="199"/>
      <c r="X257" s="195">
        <v>46</v>
      </c>
      <c r="Y257" s="199"/>
      <c r="Z257" s="195">
        <v>46</v>
      </c>
      <c r="AA257" s="199"/>
      <c r="AB257" s="195">
        <v>0</v>
      </c>
      <c r="AC257" s="199"/>
      <c r="AD257" s="195" t="s">
        <v>322</v>
      </c>
      <c r="AE257" s="195" t="s">
        <v>2360</v>
      </c>
      <c r="AF257" s="195" t="s">
        <v>2347</v>
      </c>
      <c r="AG257" s="195">
        <v>38</v>
      </c>
      <c r="AH257" s="195" t="s">
        <v>308</v>
      </c>
      <c r="AI257" s="195">
        <v>0</v>
      </c>
      <c r="AJ257" s="195">
        <v>19</v>
      </c>
      <c r="AK257" s="195" t="s">
        <v>2361</v>
      </c>
      <c r="AL257" s="195" t="s">
        <v>322</v>
      </c>
      <c r="AM257" s="199"/>
      <c r="AN257" s="195" t="s">
        <v>2362</v>
      </c>
      <c r="AO257" s="195" t="s">
        <v>2363</v>
      </c>
      <c r="AP257" s="195" t="s">
        <v>2364</v>
      </c>
      <c r="AQ257" s="195" t="s">
        <v>324</v>
      </c>
      <c r="AR257" s="220" t="s">
        <v>1431</v>
      </c>
      <c r="AS257" s="195" t="s">
        <v>308</v>
      </c>
      <c r="AT257" s="199"/>
      <c r="AU257" s="202" t="s">
        <v>2365</v>
      </c>
      <c r="AV257" s="195" t="s">
        <v>571</v>
      </c>
      <c r="AW257" s="195" t="str">
        <f ca="1">IFERROR(__xludf.DUMMYFUNCTION("IF(AND(IF(AS257=""Yes"",True,False),NOT(IFERROR(REGEXMATCH(AV257,ExclusionCategories),FALSE))),""Yes"", ""No"")"),"Yes")</f>
        <v>Yes</v>
      </c>
      <c r="AX257" s="195">
        <f ca="1">IFERROR(__xludf.DUMMYFUNCTION("IF(IFERROR(SEARCH(""Unclear"", Z257)) = 1, VALUE(REGEXEXTRACT(Z257,""\d+"")), Z257)"),46)</f>
        <v>46</v>
      </c>
      <c r="AY257" s="195">
        <v>46</v>
      </c>
      <c r="AZ257" s="195">
        <f ca="1">IFERROR(__xludf.DUMMYFUNCTION("IF(IFERROR(SEARCH(""Unclear"", AG257)) = 1, VALUE(REGEXEXTRACT(AG257,""\d+"")), AG257)"),38)</f>
        <v>38</v>
      </c>
      <c r="BA257" s="195">
        <v>38</v>
      </c>
      <c r="BB257" s="195">
        <f ca="1">IFERROR(__xludf.DUMMYFUNCTION("IF(IFERROR(SEARCH(""Unclear"", AJ257)) = 1, VALUE(REGEXEXTRACT(AJ257,""\d+"")), AJ257)"),19)</f>
        <v>19</v>
      </c>
      <c r="BC257" s="195">
        <v>19</v>
      </c>
      <c r="BD257" s="195" t="b">
        <f t="shared" si="2"/>
        <v>1</v>
      </c>
      <c r="BE257" s="195" t="b">
        <f t="shared" ref="BE257:BF257" si="273">IF(IFERROR(FIND("ND",AI257),0),FALSE,TRUE)</f>
        <v>1</v>
      </c>
      <c r="BF257" s="195" t="b">
        <f t="shared" si="273"/>
        <v>1</v>
      </c>
    </row>
    <row r="258" spans="1:58" ht="37.5" customHeight="1">
      <c r="A258" s="218" t="s">
        <v>2354</v>
      </c>
      <c r="B258" s="241">
        <v>2010</v>
      </c>
      <c r="C258" s="195" t="s">
        <v>2355</v>
      </c>
      <c r="D258" s="4" t="s">
        <v>2356</v>
      </c>
      <c r="E258" s="239">
        <v>20086085</v>
      </c>
      <c r="F258" s="230" t="str">
        <f t="shared" si="271"/>
        <v>https://pubmed.ncbi.nlm.nih.gov/20086085</v>
      </c>
      <c r="G258" s="213" t="str">
        <f t="shared" si="89"/>
        <v>Tribble 2010</v>
      </c>
      <c r="H258" s="217">
        <v>2010</v>
      </c>
      <c r="I258" s="199"/>
      <c r="J258" s="199"/>
      <c r="K258" s="195">
        <v>15</v>
      </c>
      <c r="L258" s="4" t="s">
        <v>882</v>
      </c>
      <c r="M258" s="195">
        <v>12</v>
      </c>
      <c r="N258" s="195">
        <v>3</v>
      </c>
      <c r="O258" s="195">
        <v>32</v>
      </c>
      <c r="P258" s="195" t="s">
        <v>2357</v>
      </c>
      <c r="Q258" s="195" t="s">
        <v>2366</v>
      </c>
      <c r="R258" s="195">
        <v>18</v>
      </c>
      <c r="S258" s="195">
        <v>55</v>
      </c>
      <c r="T258" s="195" t="s">
        <v>324</v>
      </c>
      <c r="U258" s="195" t="s">
        <v>324</v>
      </c>
      <c r="V258" s="195" t="s">
        <v>2359</v>
      </c>
      <c r="W258" s="199"/>
      <c r="X258" s="195">
        <v>15</v>
      </c>
      <c r="Y258" s="199"/>
      <c r="Z258" s="195">
        <v>13</v>
      </c>
      <c r="AA258" s="199"/>
      <c r="AB258" s="195">
        <v>0</v>
      </c>
      <c r="AC258" s="199"/>
      <c r="AD258" s="195" t="s">
        <v>322</v>
      </c>
      <c r="AE258" s="195" t="s">
        <v>2360</v>
      </c>
      <c r="AF258" s="195" t="s">
        <v>2347</v>
      </c>
      <c r="AG258" s="195">
        <v>4</v>
      </c>
      <c r="AH258" s="195" t="s">
        <v>308</v>
      </c>
      <c r="AI258" s="195">
        <v>0</v>
      </c>
      <c r="AJ258" s="195">
        <v>1</v>
      </c>
      <c r="AK258" s="195" t="s">
        <v>2367</v>
      </c>
      <c r="AL258" s="195" t="s">
        <v>322</v>
      </c>
      <c r="AM258" s="199"/>
      <c r="AN258" s="195" t="s">
        <v>2362</v>
      </c>
      <c r="AO258" s="195" t="s">
        <v>2363</v>
      </c>
      <c r="AP258" s="195" t="s">
        <v>2364</v>
      </c>
      <c r="AQ258" s="195" t="s">
        <v>324</v>
      </c>
      <c r="AR258" s="220" t="s">
        <v>1431</v>
      </c>
      <c r="AS258" s="195" t="s">
        <v>308</v>
      </c>
      <c r="AT258" s="199"/>
      <c r="AU258" s="202" t="s">
        <v>2365</v>
      </c>
      <c r="AV258" s="195" t="s">
        <v>2277</v>
      </c>
      <c r="AW258" s="195" t="str">
        <f ca="1">IFERROR(__xludf.DUMMYFUNCTION("IF(AND(IF(AS258=""Yes"",True,False),NOT(IFERROR(REGEXMATCH(AV258,ExclusionCategories),FALSE))),""Yes"", ""No"")"),"No")</f>
        <v>No</v>
      </c>
      <c r="AX258" s="195">
        <f ca="1">IFERROR(__xludf.DUMMYFUNCTION("IF(IFERROR(SEARCH(""Unclear"", Z258)) = 1, VALUE(REGEXEXTRACT(Z258,""\d+"")), Z258)"),13)</f>
        <v>13</v>
      </c>
      <c r="AY258" s="195">
        <v>13</v>
      </c>
      <c r="AZ258" s="195">
        <f ca="1">IFERROR(__xludf.DUMMYFUNCTION("IF(IFERROR(SEARCH(""Unclear"", AG258)) = 1, VALUE(REGEXEXTRACT(AG258,""\d+"")), AG258)"),4)</f>
        <v>4</v>
      </c>
      <c r="BA258" s="195">
        <v>4</v>
      </c>
      <c r="BB258" s="195">
        <f ca="1">IFERROR(__xludf.DUMMYFUNCTION("IF(IFERROR(SEARCH(""Unclear"", AJ258)) = 1, VALUE(REGEXEXTRACT(AJ258,""\d+"")), AJ258)"),1)</f>
        <v>1</v>
      </c>
      <c r="BC258" s="195">
        <v>1</v>
      </c>
      <c r="BD258" s="195" t="b">
        <f t="shared" si="2"/>
        <v>1</v>
      </c>
      <c r="BE258" s="195" t="b">
        <f t="shared" ref="BE258:BF258" si="274">IF(IFERROR(FIND("ND",AI258),0),FALSE,TRUE)</f>
        <v>1</v>
      </c>
      <c r="BF258" s="195" t="b">
        <f t="shared" si="274"/>
        <v>1</v>
      </c>
    </row>
    <row r="259" spans="1:58" ht="37.5" customHeight="1">
      <c r="A259" s="218" t="s">
        <v>2354</v>
      </c>
      <c r="B259" s="241">
        <v>2010</v>
      </c>
      <c r="C259" s="195" t="s">
        <v>2355</v>
      </c>
      <c r="D259" s="4" t="s">
        <v>2356</v>
      </c>
      <c r="E259" s="239">
        <v>20086085</v>
      </c>
      <c r="F259" s="230" t="str">
        <f t="shared" si="271"/>
        <v>https://pubmed.ncbi.nlm.nih.gov/20086085</v>
      </c>
      <c r="G259" s="213" t="str">
        <f t="shared" si="89"/>
        <v>Tribble 2010</v>
      </c>
      <c r="H259" s="217">
        <v>2010</v>
      </c>
      <c r="I259" s="199"/>
      <c r="J259" s="199"/>
      <c r="K259" s="195">
        <v>61</v>
      </c>
      <c r="L259" s="4" t="s">
        <v>846</v>
      </c>
      <c r="M259" s="195">
        <v>44</v>
      </c>
      <c r="N259" s="195">
        <v>17</v>
      </c>
      <c r="O259" s="195" t="s">
        <v>2368</v>
      </c>
      <c r="P259" s="195" t="s">
        <v>324</v>
      </c>
      <c r="Q259" s="195" t="s">
        <v>324</v>
      </c>
      <c r="R259" s="195">
        <v>18</v>
      </c>
      <c r="S259" s="195">
        <v>55</v>
      </c>
      <c r="T259" s="195" t="s">
        <v>324</v>
      </c>
      <c r="U259" s="195" t="s">
        <v>324</v>
      </c>
      <c r="V259" s="195" t="s">
        <v>2359</v>
      </c>
      <c r="W259" s="199"/>
      <c r="X259" s="195">
        <v>61</v>
      </c>
      <c r="Y259" s="199"/>
      <c r="Z259" s="195">
        <v>59</v>
      </c>
      <c r="AA259" s="199"/>
      <c r="AB259" s="195">
        <v>0</v>
      </c>
      <c r="AC259" s="199"/>
      <c r="AD259" s="195" t="s">
        <v>322</v>
      </c>
      <c r="AE259" s="195" t="s">
        <v>2360</v>
      </c>
      <c r="AF259" s="195" t="s">
        <v>2347</v>
      </c>
      <c r="AG259" s="195">
        <v>42</v>
      </c>
      <c r="AH259" s="195" t="s">
        <v>308</v>
      </c>
      <c r="AI259" s="195">
        <v>0</v>
      </c>
      <c r="AJ259" s="195">
        <v>20</v>
      </c>
      <c r="AK259" s="195" t="s">
        <v>2369</v>
      </c>
      <c r="AL259" s="195" t="s">
        <v>322</v>
      </c>
      <c r="AM259" s="199"/>
      <c r="AN259" s="195" t="s">
        <v>2362</v>
      </c>
      <c r="AO259" s="195" t="s">
        <v>2363</v>
      </c>
      <c r="AP259" s="195" t="s">
        <v>2364</v>
      </c>
      <c r="AQ259" s="195" t="s">
        <v>324</v>
      </c>
      <c r="AR259" s="220" t="s">
        <v>1431</v>
      </c>
      <c r="AS259" s="195" t="s">
        <v>316</v>
      </c>
      <c r="AT259" s="199"/>
      <c r="AU259" s="202" t="s">
        <v>2365</v>
      </c>
      <c r="AV259" s="195" t="s">
        <v>2370</v>
      </c>
      <c r="AW259" s="195" t="str">
        <f ca="1">IFERROR(__xludf.DUMMYFUNCTION("IF(AND(IF(AS259=""Yes"",True,False),NOT(IFERROR(REGEXMATCH(AV259,ExclusionCategories),FALSE))),""Yes"", ""No"")"),"No")</f>
        <v>No</v>
      </c>
      <c r="AX259" s="195">
        <f ca="1">IFERROR(__xludf.DUMMYFUNCTION("IF(IFERROR(SEARCH(""Unclear"", Z259)) = 1, VALUE(REGEXEXTRACT(Z259,""\d+"")), Z259)"),59)</f>
        <v>59</v>
      </c>
      <c r="AY259" s="195">
        <v>59</v>
      </c>
      <c r="AZ259" s="195">
        <f ca="1">IFERROR(__xludf.DUMMYFUNCTION("IF(IFERROR(SEARCH(""Unclear"", AG259)) = 1, VALUE(REGEXEXTRACT(AG259,""\d+"")), AG259)"),42)</f>
        <v>42</v>
      </c>
      <c r="BA259" s="195">
        <v>42</v>
      </c>
      <c r="BB259" s="195">
        <f ca="1">IFERROR(__xludf.DUMMYFUNCTION("IF(IFERROR(SEARCH(""Unclear"", AJ259)) = 1, VALUE(REGEXEXTRACT(AJ259,""\d+"")), AJ259)"),20)</f>
        <v>20</v>
      </c>
      <c r="BC259" s="195">
        <v>20</v>
      </c>
      <c r="BD259" s="195" t="b">
        <f t="shared" si="2"/>
        <v>1</v>
      </c>
      <c r="BE259" s="195" t="b">
        <f t="shared" ref="BE259:BF259" si="275">IF(IFERROR(FIND("ND",AI259),0),FALSE,TRUE)</f>
        <v>1</v>
      </c>
      <c r="BF259" s="195" t="b">
        <f t="shared" si="275"/>
        <v>1</v>
      </c>
    </row>
    <row r="260" spans="1:58" ht="37.5" customHeight="1">
      <c r="A260" s="218" t="s">
        <v>2371</v>
      </c>
      <c r="B260" s="241">
        <v>1984</v>
      </c>
      <c r="C260" s="195" t="s">
        <v>441</v>
      </c>
      <c r="D260" s="4" t="s">
        <v>2372</v>
      </c>
      <c r="E260" s="241">
        <v>6099954</v>
      </c>
      <c r="F260" s="219" t="str">
        <f t="shared" ref="F260:F264" si="276">"https://pubmed.ncbi.nlm.nih.gov/?term="&amp;E260</f>
        <v>https://pubmed.ncbi.nlm.nih.gov/?term=6099954</v>
      </c>
      <c r="G260" s="213" t="str">
        <f t="shared" si="89"/>
        <v>Turner 1984</v>
      </c>
      <c r="H260" s="195">
        <v>1983</v>
      </c>
      <c r="I260" s="199"/>
      <c r="J260" s="199"/>
      <c r="K260" s="195">
        <v>30</v>
      </c>
      <c r="L260" s="10"/>
      <c r="M260" s="195" t="s">
        <v>324</v>
      </c>
      <c r="N260" s="195" t="s">
        <v>324</v>
      </c>
      <c r="O260" s="195" t="s">
        <v>324</v>
      </c>
      <c r="P260" s="195" t="s">
        <v>324</v>
      </c>
      <c r="Q260" s="195" t="s">
        <v>324</v>
      </c>
      <c r="R260" s="195">
        <v>18</v>
      </c>
      <c r="S260" s="195" t="s">
        <v>324</v>
      </c>
      <c r="T260" s="195" t="s">
        <v>324</v>
      </c>
      <c r="U260" s="195" t="s">
        <v>324</v>
      </c>
      <c r="V260" s="195" t="s">
        <v>2373</v>
      </c>
      <c r="W260" s="199"/>
      <c r="X260" s="195">
        <v>20</v>
      </c>
      <c r="Y260" s="199"/>
      <c r="Z260" s="195">
        <v>20</v>
      </c>
      <c r="AA260" s="195"/>
      <c r="AB260" s="195">
        <v>10</v>
      </c>
      <c r="AC260" s="195" t="s">
        <v>2374</v>
      </c>
      <c r="AD260" s="195">
        <v>0</v>
      </c>
      <c r="AE260" s="195" t="s">
        <v>2375</v>
      </c>
      <c r="AF260" s="195" t="s">
        <v>1472</v>
      </c>
      <c r="AG260" s="195" t="s">
        <v>324</v>
      </c>
      <c r="AH260" s="195" t="s">
        <v>324</v>
      </c>
      <c r="AI260" s="195" t="s">
        <v>324</v>
      </c>
      <c r="AJ260" s="195" t="s">
        <v>324</v>
      </c>
      <c r="AK260" s="199"/>
      <c r="AL260" s="195" t="s">
        <v>324</v>
      </c>
      <c r="AM260" s="199"/>
      <c r="AN260" s="195" t="s">
        <v>332</v>
      </c>
      <c r="AO260" s="195" t="s">
        <v>2376</v>
      </c>
      <c r="AP260" s="195" t="s">
        <v>324</v>
      </c>
      <c r="AQ260" s="195" t="s">
        <v>1445</v>
      </c>
      <c r="AR260" s="220" t="s">
        <v>1431</v>
      </c>
      <c r="AS260" s="195" t="s">
        <v>308</v>
      </c>
      <c r="AT260" s="199"/>
      <c r="AU260" s="202" t="s">
        <v>2377</v>
      </c>
      <c r="AV260" s="195" t="s">
        <v>9</v>
      </c>
      <c r="AW260" s="195" t="str">
        <f ca="1">IFERROR(__xludf.DUMMYFUNCTION("IF(AND(IF(AS260=""Yes"",True,False),NOT(IFERROR(REGEXMATCH(AV260,ExclusionCategories),FALSE))),""Yes"", ""No"")"),"Yes")</f>
        <v>Yes</v>
      </c>
      <c r="AX260" s="195">
        <f ca="1">IFERROR(__xludf.DUMMYFUNCTION("IF(IFERROR(SEARCH(""Unclear"", Z260)) = 1, VALUE(REGEXEXTRACT(Z260,""\d+"")), Z260)"),20)</f>
        <v>20</v>
      </c>
      <c r="AY260" s="195">
        <v>20</v>
      </c>
      <c r="AZ260" s="195" t="str">
        <f ca="1">IFERROR(__xludf.DUMMYFUNCTION("IF(IFERROR(SEARCH(""Unclear"", AG260)) = 1, VALUE(REGEXEXTRACT(AG260,""\d+"")), AG260)"),"ND")</f>
        <v>ND</v>
      </c>
      <c r="BA260" s="195" t="s">
        <v>324</v>
      </c>
      <c r="BB260" s="195" t="str">
        <f ca="1">IFERROR(__xludf.DUMMYFUNCTION("IF(IFERROR(SEARCH(""Unclear"", AJ260)) = 1, VALUE(REGEXEXTRACT(AJ260,""\d+"")), AJ260)"),"ND")</f>
        <v>ND</v>
      </c>
      <c r="BC260" s="195" t="s">
        <v>324</v>
      </c>
      <c r="BD260" s="195" t="b">
        <f t="shared" si="2"/>
        <v>0</v>
      </c>
      <c r="BE260" s="195" t="b">
        <f t="shared" ref="BE260:BF260" si="277">IF(IFERROR(FIND("ND",AI260),0),FALSE,TRUE)</f>
        <v>0</v>
      </c>
      <c r="BF260" s="195" t="b">
        <f t="shared" si="277"/>
        <v>0</v>
      </c>
    </row>
    <row r="261" spans="1:58" ht="37.5" customHeight="1">
      <c r="A261" s="218" t="s">
        <v>2371</v>
      </c>
      <c r="B261" s="241">
        <v>1993</v>
      </c>
      <c r="C261" s="195" t="s">
        <v>441</v>
      </c>
      <c r="D261" s="4" t="s">
        <v>2378</v>
      </c>
      <c r="E261" s="241">
        <v>8383943</v>
      </c>
      <c r="F261" s="219" t="str">
        <f t="shared" si="276"/>
        <v>https://pubmed.ncbi.nlm.nih.gov/?term=8383943</v>
      </c>
      <c r="G261" s="213" t="str">
        <f t="shared" si="89"/>
        <v>Turner 1993</v>
      </c>
      <c r="H261" s="195">
        <v>1990</v>
      </c>
      <c r="I261" s="199"/>
      <c r="J261" s="199"/>
      <c r="K261" s="195">
        <v>27</v>
      </c>
      <c r="L261" s="4" t="s">
        <v>2379</v>
      </c>
      <c r="M261" s="195" t="s">
        <v>324</v>
      </c>
      <c r="N261" s="195" t="s">
        <v>324</v>
      </c>
      <c r="O261" s="195" t="s">
        <v>324</v>
      </c>
      <c r="P261" s="195" t="s">
        <v>324</v>
      </c>
      <c r="Q261" s="195" t="s">
        <v>324</v>
      </c>
      <c r="R261" s="195">
        <v>18</v>
      </c>
      <c r="S261" s="195">
        <v>55</v>
      </c>
      <c r="T261" s="195" t="s">
        <v>324</v>
      </c>
      <c r="U261" s="195" t="s">
        <v>324</v>
      </c>
      <c r="V261" s="195" t="s">
        <v>2380</v>
      </c>
      <c r="W261" s="199"/>
      <c r="X261" s="195">
        <v>25</v>
      </c>
      <c r="Y261" s="195" t="s">
        <v>2381</v>
      </c>
      <c r="Z261" s="195">
        <v>25</v>
      </c>
      <c r="AA261" s="195" t="s">
        <v>2382</v>
      </c>
      <c r="AB261" s="195">
        <v>0</v>
      </c>
      <c r="AC261" s="195"/>
      <c r="AD261" s="195" t="s">
        <v>322</v>
      </c>
      <c r="AE261" s="195" t="s">
        <v>2383</v>
      </c>
      <c r="AF261" s="195" t="s">
        <v>1549</v>
      </c>
      <c r="AG261" s="195">
        <v>16</v>
      </c>
      <c r="AH261" s="195" t="s">
        <v>308</v>
      </c>
      <c r="AI261" s="195">
        <v>0</v>
      </c>
      <c r="AJ261" s="195" t="s">
        <v>324</v>
      </c>
      <c r="AK261" s="195" t="s">
        <v>499</v>
      </c>
      <c r="AL261" s="195" t="s">
        <v>322</v>
      </c>
      <c r="AM261" s="199"/>
      <c r="AN261" s="195" t="s">
        <v>2384</v>
      </c>
      <c r="AO261" s="195" t="s">
        <v>2385</v>
      </c>
      <c r="AP261" s="195" t="s">
        <v>2386</v>
      </c>
      <c r="AQ261" s="195" t="s">
        <v>2387</v>
      </c>
      <c r="AR261" s="220" t="s">
        <v>1431</v>
      </c>
      <c r="AS261" s="195" t="s">
        <v>316</v>
      </c>
      <c r="AT261" s="199"/>
      <c r="AU261" s="202" t="s">
        <v>2388</v>
      </c>
      <c r="AV261" s="195" t="s">
        <v>1447</v>
      </c>
      <c r="AW261" s="195" t="str">
        <f ca="1">IFERROR(__xludf.DUMMYFUNCTION("IF(AND(IF(AS261=""Yes"",True,False),NOT(IFERROR(REGEXMATCH(AV261,ExclusionCategories),FALSE))),""Yes"", ""No"")"),"No")</f>
        <v>No</v>
      </c>
      <c r="AX261" s="195">
        <f ca="1">IFERROR(__xludf.DUMMYFUNCTION("IF(IFERROR(SEARCH(""Unclear"", Z261)) = 1, VALUE(REGEXEXTRACT(Z261,""\d+"")), Z261)"),25)</f>
        <v>25</v>
      </c>
      <c r="AY261" s="195">
        <v>25</v>
      </c>
      <c r="AZ261" s="195">
        <f ca="1">IFERROR(__xludf.DUMMYFUNCTION("IF(IFERROR(SEARCH(""Unclear"", AG261)) = 1, VALUE(REGEXEXTRACT(AG261,""\d+"")), AG261)"),16)</f>
        <v>16</v>
      </c>
      <c r="BA261" s="195">
        <v>16</v>
      </c>
      <c r="BB261" s="195" t="str">
        <f ca="1">IFERROR(__xludf.DUMMYFUNCTION("IF(IFERROR(SEARCH(""Unclear"", AJ261)) = 1, VALUE(REGEXEXTRACT(AJ261,""\d+"")), AJ261)"),"ND")</f>
        <v>ND</v>
      </c>
      <c r="BC261" s="195" t="s">
        <v>324</v>
      </c>
      <c r="BD261" s="195" t="b">
        <f t="shared" si="2"/>
        <v>1</v>
      </c>
      <c r="BE261" s="195" t="b">
        <f t="shared" ref="BE261:BF261" si="278">IF(IFERROR(FIND("ND",AI261),0),FALSE,TRUE)</f>
        <v>1</v>
      </c>
      <c r="BF261" s="195" t="b">
        <f t="shared" si="278"/>
        <v>0</v>
      </c>
    </row>
    <row r="262" spans="1:58" ht="37.5" customHeight="1">
      <c r="A262" s="218" t="s">
        <v>2371</v>
      </c>
      <c r="B262" s="241">
        <v>1993</v>
      </c>
      <c r="C262" s="195" t="s">
        <v>441</v>
      </c>
      <c r="D262" s="4" t="s">
        <v>2389</v>
      </c>
      <c r="E262" s="241">
        <v>8383943</v>
      </c>
      <c r="F262" s="219" t="str">
        <f t="shared" si="276"/>
        <v>https://pubmed.ncbi.nlm.nih.gov/?term=8383943</v>
      </c>
      <c r="G262" s="213" t="str">
        <f t="shared" si="89"/>
        <v>Turner 1993</v>
      </c>
      <c r="H262" s="195">
        <v>1990</v>
      </c>
      <c r="I262" s="199"/>
      <c r="J262" s="199"/>
      <c r="K262" s="195">
        <v>53</v>
      </c>
      <c r="L262" s="4" t="s">
        <v>2390</v>
      </c>
      <c r="M262" s="195" t="s">
        <v>324</v>
      </c>
      <c r="N262" s="195" t="s">
        <v>324</v>
      </c>
      <c r="O262" s="195" t="s">
        <v>324</v>
      </c>
      <c r="P262" s="195" t="s">
        <v>324</v>
      </c>
      <c r="Q262" s="195" t="s">
        <v>324</v>
      </c>
      <c r="R262" s="195">
        <v>18</v>
      </c>
      <c r="S262" s="195">
        <v>55</v>
      </c>
      <c r="T262" s="195" t="s">
        <v>324</v>
      </c>
      <c r="U262" s="195" t="s">
        <v>324</v>
      </c>
      <c r="V262" s="195" t="s">
        <v>2380</v>
      </c>
      <c r="W262" s="199"/>
      <c r="X262" s="195">
        <v>45</v>
      </c>
      <c r="Y262" s="195" t="s">
        <v>2391</v>
      </c>
      <c r="Z262" s="195">
        <v>40</v>
      </c>
      <c r="AA262" s="195" t="s">
        <v>2392</v>
      </c>
      <c r="AB262" s="195">
        <v>0</v>
      </c>
      <c r="AC262" s="195"/>
      <c r="AD262" s="195" t="s">
        <v>322</v>
      </c>
      <c r="AE262" s="195" t="s">
        <v>2383</v>
      </c>
      <c r="AF262" s="195" t="s">
        <v>1549</v>
      </c>
      <c r="AG262" s="195">
        <v>11</v>
      </c>
      <c r="AH262" s="195" t="s">
        <v>308</v>
      </c>
      <c r="AI262" s="195">
        <v>0</v>
      </c>
      <c r="AJ262" s="195" t="s">
        <v>324</v>
      </c>
      <c r="AK262" s="195" t="s">
        <v>499</v>
      </c>
      <c r="AL262" s="195" t="s">
        <v>322</v>
      </c>
      <c r="AM262" s="199"/>
      <c r="AN262" s="195" t="s">
        <v>2384</v>
      </c>
      <c r="AO262" s="195" t="s">
        <v>2385</v>
      </c>
      <c r="AP262" s="195" t="s">
        <v>2386</v>
      </c>
      <c r="AQ262" s="195" t="s">
        <v>2387</v>
      </c>
      <c r="AR262" s="220" t="s">
        <v>1431</v>
      </c>
      <c r="AS262" s="195" t="s">
        <v>316</v>
      </c>
      <c r="AT262" s="199"/>
      <c r="AU262" s="202" t="s">
        <v>2388</v>
      </c>
      <c r="AV262" s="195" t="s">
        <v>1447</v>
      </c>
      <c r="AW262" s="195" t="str">
        <f ca="1">IFERROR(__xludf.DUMMYFUNCTION("IF(AND(IF(AS262=""Yes"",True,False),NOT(IFERROR(REGEXMATCH(AV262,ExclusionCategories),FALSE))),""Yes"", ""No"")"),"No")</f>
        <v>No</v>
      </c>
      <c r="AX262" s="195">
        <f ca="1">IFERROR(__xludf.DUMMYFUNCTION("IF(IFERROR(SEARCH(""Unclear"", Z262)) = 1, VALUE(REGEXEXTRACT(Z262,""\d+"")), Z262)"),40)</f>
        <v>40</v>
      </c>
      <c r="AY262" s="195">
        <v>40</v>
      </c>
      <c r="AZ262" s="195">
        <f ca="1">IFERROR(__xludf.DUMMYFUNCTION("IF(IFERROR(SEARCH(""Unclear"", AG262)) = 1, VALUE(REGEXEXTRACT(AG262,""\d+"")), AG262)"),11)</f>
        <v>11</v>
      </c>
      <c r="BA262" s="195">
        <v>11</v>
      </c>
      <c r="BB262" s="195" t="str">
        <f ca="1">IFERROR(__xludf.DUMMYFUNCTION("IF(IFERROR(SEARCH(""Unclear"", AJ262)) = 1, VALUE(REGEXEXTRACT(AJ262,""\d+"")), AJ262)"),"ND")</f>
        <v>ND</v>
      </c>
      <c r="BC262" s="195" t="s">
        <v>324</v>
      </c>
      <c r="BD262" s="195" t="b">
        <f t="shared" si="2"/>
        <v>1</v>
      </c>
      <c r="BE262" s="195" t="b">
        <f t="shared" ref="BE262:BF262" si="279">IF(IFERROR(FIND("ND",AI262),0),FALSE,TRUE)</f>
        <v>1</v>
      </c>
      <c r="BF262" s="195" t="b">
        <f t="shared" si="279"/>
        <v>0</v>
      </c>
    </row>
    <row r="263" spans="1:58" ht="37.5" customHeight="1">
      <c r="A263" s="218" t="s">
        <v>2371</v>
      </c>
      <c r="B263" s="241">
        <v>1993</v>
      </c>
      <c r="C263" s="195" t="s">
        <v>441</v>
      </c>
      <c r="D263" s="4" t="s">
        <v>2393</v>
      </c>
      <c r="E263" s="241">
        <v>8383943</v>
      </c>
      <c r="F263" s="219" t="str">
        <f t="shared" si="276"/>
        <v>https://pubmed.ncbi.nlm.nih.gov/?term=8383943</v>
      </c>
      <c r="G263" s="213" t="str">
        <f t="shared" si="89"/>
        <v>Turner 1993</v>
      </c>
      <c r="H263" s="195">
        <v>1990</v>
      </c>
      <c r="I263" s="199"/>
      <c r="J263" s="199"/>
      <c r="K263" s="195">
        <v>80</v>
      </c>
      <c r="L263" s="4" t="s">
        <v>2394</v>
      </c>
      <c r="M263" s="195" t="s">
        <v>324</v>
      </c>
      <c r="N263" s="195" t="s">
        <v>324</v>
      </c>
      <c r="O263" s="195" t="s">
        <v>324</v>
      </c>
      <c r="P263" s="195" t="s">
        <v>324</v>
      </c>
      <c r="Q263" s="195" t="s">
        <v>324</v>
      </c>
      <c r="R263" s="195">
        <v>18</v>
      </c>
      <c r="S263" s="195">
        <v>55</v>
      </c>
      <c r="T263" s="195" t="s">
        <v>324</v>
      </c>
      <c r="U263" s="195" t="s">
        <v>324</v>
      </c>
      <c r="V263" s="195" t="s">
        <v>2380</v>
      </c>
      <c r="W263" s="199"/>
      <c r="X263" s="195">
        <v>70</v>
      </c>
      <c r="Y263" s="195"/>
      <c r="Z263" s="195">
        <v>65</v>
      </c>
      <c r="AA263" s="195"/>
      <c r="AB263" s="195">
        <v>0</v>
      </c>
      <c r="AC263" s="195"/>
      <c r="AD263" s="195" t="s">
        <v>322</v>
      </c>
      <c r="AE263" s="195" t="s">
        <v>2383</v>
      </c>
      <c r="AF263" s="195" t="s">
        <v>1549</v>
      </c>
      <c r="AG263" s="195">
        <v>27</v>
      </c>
      <c r="AH263" s="195" t="s">
        <v>308</v>
      </c>
      <c r="AI263" s="195">
        <v>0</v>
      </c>
      <c r="AJ263" s="195" t="s">
        <v>324</v>
      </c>
      <c r="AK263" s="195" t="s">
        <v>499</v>
      </c>
      <c r="AL263" s="195" t="s">
        <v>322</v>
      </c>
      <c r="AM263" s="199"/>
      <c r="AN263" s="195" t="s">
        <v>2384</v>
      </c>
      <c r="AO263" s="195" t="s">
        <v>2385</v>
      </c>
      <c r="AP263" s="195" t="s">
        <v>2386</v>
      </c>
      <c r="AQ263" s="195" t="s">
        <v>2387</v>
      </c>
      <c r="AR263" s="220" t="s">
        <v>1431</v>
      </c>
      <c r="AS263" s="195" t="s">
        <v>308</v>
      </c>
      <c r="AT263" s="199"/>
      <c r="AU263" s="202" t="s">
        <v>2388</v>
      </c>
      <c r="AV263" s="195" t="s">
        <v>1556</v>
      </c>
      <c r="AW263" s="195" t="str">
        <f ca="1">IFERROR(__xludf.DUMMYFUNCTION("IF(AND(IF(AS263=""Yes"",True,False),NOT(IFERROR(REGEXMATCH(AV263,ExclusionCategories),FALSE))),""Yes"", ""No"")"),"Yes")</f>
        <v>Yes</v>
      </c>
      <c r="AX263" s="195">
        <f ca="1">IFERROR(__xludf.DUMMYFUNCTION("IF(IFERROR(SEARCH(""Unclear"", Z263)) = 1, VALUE(REGEXEXTRACT(Z263,""\d+"")), Z263)"),65)</f>
        <v>65</v>
      </c>
      <c r="AY263" s="195">
        <v>65</v>
      </c>
      <c r="AZ263" s="195">
        <f ca="1">IFERROR(__xludf.DUMMYFUNCTION("IF(IFERROR(SEARCH(""Unclear"", AG263)) = 1, VALUE(REGEXEXTRACT(AG263,""\d+"")), AG263)"),27)</f>
        <v>27</v>
      </c>
      <c r="BA263" s="195">
        <v>27</v>
      </c>
      <c r="BB263" s="195" t="str">
        <f ca="1">IFERROR(__xludf.DUMMYFUNCTION("IF(IFERROR(SEARCH(""Unclear"", AJ263)) = 1, VALUE(REGEXEXTRACT(AJ263,""\d+"")), AJ263)"),"ND")</f>
        <v>ND</v>
      </c>
      <c r="BC263" s="195" t="s">
        <v>324</v>
      </c>
      <c r="BD263" s="195" t="b">
        <f t="shared" si="2"/>
        <v>1</v>
      </c>
      <c r="BE263" s="195" t="b">
        <f t="shared" ref="BE263:BF263" si="280">IF(IFERROR(FIND("ND",AI263),0),FALSE,TRUE)</f>
        <v>1</v>
      </c>
      <c r="BF263" s="195" t="b">
        <f t="shared" si="280"/>
        <v>0</v>
      </c>
    </row>
    <row r="264" spans="1:58" ht="37.5" customHeight="1">
      <c r="A264" s="218" t="s">
        <v>2371</v>
      </c>
      <c r="B264" s="241">
        <v>1999</v>
      </c>
      <c r="C264" s="195" t="s">
        <v>441</v>
      </c>
      <c r="D264" s="4" t="s">
        <v>2395</v>
      </c>
      <c r="E264" s="241">
        <v>10340366</v>
      </c>
      <c r="F264" s="219" t="str">
        <f t="shared" si="276"/>
        <v>https://pubmed.ncbi.nlm.nih.gov/?term=10340366</v>
      </c>
      <c r="G264" s="213" t="str">
        <f t="shared" si="89"/>
        <v>Turner 1999</v>
      </c>
      <c r="H264" s="195">
        <v>1996</v>
      </c>
      <c r="I264" s="199"/>
      <c r="J264" s="199"/>
      <c r="K264" s="195">
        <v>198</v>
      </c>
      <c r="L264" s="10"/>
      <c r="M264" s="195">
        <v>105</v>
      </c>
      <c r="N264" s="195">
        <v>93</v>
      </c>
      <c r="O264" s="195" t="s">
        <v>324</v>
      </c>
      <c r="P264" s="195" t="s">
        <v>324</v>
      </c>
      <c r="Q264" s="195" t="s">
        <v>324</v>
      </c>
      <c r="R264" s="195">
        <v>18</v>
      </c>
      <c r="S264" s="195">
        <v>60</v>
      </c>
      <c r="T264" s="195">
        <v>27</v>
      </c>
      <c r="U264" s="195">
        <v>9</v>
      </c>
      <c r="V264" s="195" t="s">
        <v>2396</v>
      </c>
      <c r="W264" s="199"/>
      <c r="X264" s="195">
        <v>195</v>
      </c>
      <c r="Y264" s="195" t="s">
        <v>2397</v>
      </c>
      <c r="Z264" s="195">
        <v>157</v>
      </c>
      <c r="AA264" s="195" t="s">
        <v>2398</v>
      </c>
      <c r="AB264" s="195">
        <v>0</v>
      </c>
      <c r="AC264" s="195"/>
      <c r="AD264" s="195" t="s">
        <v>322</v>
      </c>
      <c r="AE264" s="195" t="s">
        <v>2399</v>
      </c>
      <c r="AF264" s="195" t="s">
        <v>2230</v>
      </c>
      <c r="AG264" s="195">
        <v>90</v>
      </c>
      <c r="AH264" s="195" t="s">
        <v>308</v>
      </c>
      <c r="AI264" s="195">
        <v>0</v>
      </c>
      <c r="AJ264" s="195" t="s">
        <v>324</v>
      </c>
      <c r="AK264" s="195" t="s">
        <v>499</v>
      </c>
      <c r="AL264" s="195" t="s">
        <v>322</v>
      </c>
      <c r="AM264" s="199"/>
      <c r="AN264" s="195" t="s">
        <v>2400</v>
      </c>
      <c r="AO264" s="195" t="s">
        <v>2401</v>
      </c>
      <c r="AP264" s="195" t="s">
        <v>2402</v>
      </c>
      <c r="AQ264" s="195" t="s">
        <v>1901</v>
      </c>
      <c r="AR264" s="220" t="s">
        <v>1431</v>
      </c>
      <c r="AS264" s="195" t="s">
        <v>308</v>
      </c>
      <c r="AT264" s="199"/>
      <c r="AU264" s="202" t="s">
        <v>2403</v>
      </c>
      <c r="AV264" s="195" t="s">
        <v>501</v>
      </c>
      <c r="AW264" s="195" t="str">
        <f ca="1">IFERROR(__xludf.DUMMYFUNCTION("IF(AND(IF(AS264=""Yes"",True,False),NOT(IFERROR(REGEXMATCH(AV264,ExclusionCategories),FALSE))),""Yes"", ""No"")"),"Yes")</f>
        <v>Yes</v>
      </c>
      <c r="AX264" s="195">
        <f ca="1">IFERROR(__xludf.DUMMYFUNCTION("IF(IFERROR(SEARCH(""Unclear"", Z264)) = 1, VALUE(REGEXEXTRACT(Z264,""\d+"")), Z264)"),157)</f>
        <v>157</v>
      </c>
      <c r="AY264" s="195">
        <v>157</v>
      </c>
      <c r="AZ264" s="195">
        <f ca="1">IFERROR(__xludf.DUMMYFUNCTION("IF(IFERROR(SEARCH(""Unclear"", AG264)) = 1, VALUE(REGEXEXTRACT(AG264,""\d+"")), AG264)"),90)</f>
        <v>90</v>
      </c>
      <c r="BA264" s="195">
        <v>90</v>
      </c>
      <c r="BB264" s="195" t="str">
        <f ca="1">IFERROR(__xludf.DUMMYFUNCTION("IF(IFERROR(SEARCH(""Unclear"", AJ264)) = 1, VALUE(REGEXEXTRACT(AJ264,""\d+"")), AJ264)"),"ND")</f>
        <v>ND</v>
      </c>
      <c r="BC264" s="195" t="s">
        <v>324</v>
      </c>
      <c r="BD264" s="195" t="b">
        <f t="shared" si="2"/>
        <v>1</v>
      </c>
      <c r="BE264" s="195" t="b">
        <f t="shared" ref="BE264:BF264" si="281">IF(IFERROR(FIND("ND",AI264),0),FALSE,TRUE)</f>
        <v>1</v>
      </c>
      <c r="BF264" s="195" t="b">
        <f t="shared" si="281"/>
        <v>0</v>
      </c>
    </row>
    <row r="265" spans="1:58" ht="37.5" customHeight="1">
      <c r="A265" s="218" t="s">
        <v>2371</v>
      </c>
      <c r="B265" s="241">
        <v>2000</v>
      </c>
      <c r="C265" s="195" t="s">
        <v>441</v>
      </c>
      <c r="D265" s="4" t="s">
        <v>1776</v>
      </c>
      <c r="E265" s="239">
        <v>11073753</v>
      </c>
      <c r="F265" s="230" t="str">
        <f t="shared" ref="F265:F267" si="282">"https://pubmed.ncbi.nlm.nih.gov/"&amp;E265</f>
        <v>https://pubmed.ncbi.nlm.nih.gov/11073753</v>
      </c>
      <c r="G265" s="213" t="str">
        <f t="shared" si="89"/>
        <v>Turner 2000a</v>
      </c>
      <c r="H265" s="217">
        <v>2000</v>
      </c>
      <c r="I265" s="199"/>
      <c r="J265" s="199"/>
      <c r="K265" s="195">
        <v>413</v>
      </c>
      <c r="L265" s="10"/>
      <c r="M265" s="195" t="s">
        <v>324</v>
      </c>
      <c r="N265" s="195" t="s">
        <v>324</v>
      </c>
      <c r="O265" s="195" t="s">
        <v>324</v>
      </c>
      <c r="P265" s="195" t="s">
        <v>324</v>
      </c>
      <c r="Q265" s="195" t="s">
        <v>324</v>
      </c>
      <c r="R265" s="195">
        <v>18</v>
      </c>
      <c r="S265" s="195">
        <v>65</v>
      </c>
      <c r="T265" s="195" t="s">
        <v>324</v>
      </c>
      <c r="U265" s="195" t="s">
        <v>324</v>
      </c>
      <c r="V265" s="195" t="s">
        <v>2404</v>
      </c>
      <c r="W265" s="199"/>
      <c r="X265" s="195">
        <v>413</v>
      </c>
      <c r="Y265" s="199"/>
      <c r="Z265" s="195">
        <v>273</v>
      </c>
      <c r="AA265" s="195" t="s">
        <v>2405</v>
      </c>
      <c r="AB265" s="195">
        <v>0</v>
      </c>
      <c r="AC265" s="199"/>
      <c r="AD265" s="195" t="s">
        <v>322</v>
      </c>
      <c r="AE265" s="195" t="s">
        <v>2312</v>
      </c>
      <c r="AF265" s="199"/>
      <c r="AG265" s="195">
        <v>273</v>
      </c>
      <c r="AH265" s="195" t="s">
        <v>316</v>
      </c>
      <c r="AI265" s="195" t="s">
        <v>324</v>
      </c>
      <c r="AJ265" s="195" t="s">
        <v>324</v>
      </c>
      <c r="AK265" s="199"/>
      <c r="AL265" s="195" t="s">
        <v>322</v>
      </c>
      <c r="AM265" s="199"/>
      <c r="AN265" s="195" t="s">
        <v>2406</v>
      </c>
      <c r="AO265" s="195" t="s">
        <v>2407</v>
      </c>
      <c r="AP265" s="195" t="s">
        <v>2408</v>
      </c>
      <c r="AQ265" s="195" t="s">
        <v>324</v>
      </c>
      <c r="AR265" s="220" t="s">
        <v>1431</v>
      </c>
      <c r="AS265" s="195" t="s">
        <v>308</v>
      </c>
      <c r="AT265" s="199"/>
      <c r="AU265" s="202" t="s">
        <v>2409</v>
      </c>
      <c r="AV265" s="195" t="s">
        <v>9</v>
      </c>
      <c r="AW265" s="195" t="str">
        <f ca="1">IFERROR(__xludf.DUMMYFUNCTION("IF(AND(IF(AS265=""Yes"",True,False),NOT(IFERROR(REGEXMATCH(AV265,ExclusionCategories),FALSE))),""Yes"", ""No"")"),"Yes")</f>
        <v>Yes</v>
      </c>
      <c r="AX265" s="195">
        <f ca="1">IFERROR(__xludf.DUMMYFUNCTION("IF(IFERROR(SEARCH(""Unclear"", Z265)) = 1, VALUE(REGEXEXTRACT(Z265,""\d+"")), Z265)"),273)</f>
        <v>273</v>
      </c>
      <c r="AY265" s="195">
        <v>273</v>
      </c>
      <c r="AZ265" s="195">
        <f ca="1">IFERROR(__xludf.DUMMYFUNCTION("IF(IFERROR(SEARCH(""Unclear"", AG265)) = 1, VALUE(REGEXEXTRACT(AG265,""\d+"")), AG265)"),273)</f>
        <v>273</v>
      </c>
      <c r="BA265" s="195">
        <v>273</v>
      </c>
      <c r="BB265" s="195" t="str">
        <f ca="1">IFERROR(__xludf.DUMMYFUNCTION("IF(IFERROR(SEARCH(""Unclear"", AJ265)) = 1, VALUE(REGEXEXTRACT(AJ265,""\d+"")), AJ265)"),"ND")</f>
        <v>ND</v>
      </c>
      <c r="BC265" s="195" t="s">
        <v>324</v>
      </c>
      <c r="BD265" s="195" t="b">
        <f t="shared" si="2"/>
        <v>1</v>
      </c>
      <c r="BE265" s="195" t="b">
        <f t="shared" ref="BE265:BF265" si="283">IF(IFERROR(FIND("ND",AI265),0),FALSE,TRUE)</f>
        <v>0</v>
      </c>
      <c r="BF265" s="195" t="b">
        <f t="shared" si="283"/>
        <v>0</v>
      </c>
    </row>
    <row r="266" spans="1:58" ht="37.5" customHeight="1">
      <c r="A266" s="218" t="s">
        <v>2371</v>
      </c>
      <c r="B266" s="241">
        <v>2000</v>
      </c>
      <c r="C266" s="195" t="s">
        <v>441</v>
      </c>
      <c r="D266" s="4" t="s">
        <v>1725</v>
      </c>
      <c r="E266" s="239">
        <v>10817735</v>
      </c>
      <c r="F266" s="230" t="str">
        <f t="shared" si="282"/>
        <v>https://pubmed.ncbi.nlm.nih.gov/10817735</v>
      </c>
      <c r="G266" s="213" t="str">
        <f t="shared" si="89"/>
        <v>Turner 2000b</v>
      </c>
      <c r="H266" s="217">
        <v>2000</v>
      </c>
      <c r="I266" s="199"/>
      <c r="J266" s="199"/>
      <c r="K266" s="195">
        <v>117</v>
      </c>
      <c r="L266" s="10"/>
      <c r="M266" s="195" t="s">
        <v>324</v>
      </c>
      <c r="N266" s="195" t="s">
        <v>324</v>
      </c>
      <c r="O266" s="195" t="s">
        <v>324</v>
      </c>
      <c r="P266" s="195" t="s">
        <v>324</v>
      </c>
      <c r="Q266" s="195" t="s">
        <v>324</v>
      </c>
      <c r="R266" s="195">
        <v>18</v>
      </c>
      <c r="S266" s="195" t="s">
        <v>324</v>
      </c>
      <c r="T266" s="195" t="s">
        <v>324</v>
      </c>
      <c r="U266" s="195" t="s">
        <v>324</v>
      </c>
      <c r="V266" s="195" t="s">
        <v>2410</v>
      </c>
      <c r="W266" s="199"/>
      <c r="X266" s="195">
        <v>92</v>
      </c>
      <c r="Y266" s="199"/>
      <c r="Z266" s="195">
        <v>46</v>
      </c>
      <c r="AA266" s="199"/>
      <c r="AB266" s="195">
        <v>0</v>
      </c>
      <c r="AC266" s="199"/>
      <c r="AD266" s="195" t="s">
        <v>322</v>
      </c>
      <c r="AE266" s="195" t="s">
        <v>332</v>
      </c>
      <c r="AF266" s="199"/>
      <c r="AG266" s="195" t="s">
        <v>324</v>
      </c>
      <c r="AH266" s="195" t="s">
        <v>316</v>
      </c>
      <c r="AI266" s="195" t="s">
        <v>324</v>
      </c>
      <c r="AJ266" s="195" t="s">
        <v>324</v>
      </c>
      <c r="AK266" s="195" t="s">
        <v>2411</v>
      </c>
      <c r="AL266" s="195" t="s">
        <v>322</v>
      </c>
      <c r="AM266" s="199"/>
      <c r="AN266" s="195" t="s">
        <v>2412</v>
      </c>
      <c r="AO266" s="195" t="s">
        <v>324</v>
      </c>
      <c r="AP266" s="195" t="s">
        <v>2413</v>
      </c>
      <c r="AQ266" s="195" t="s">
        <v>324</v>
      </c>
      <c r="AR266" s="220" t="s">
        <v>1431</v>
      </c>
      <c r="AS266" s="195" t="s">
        <v>308</v>
      </c>
      <c r="AT266" s="199"/>
      <c r="AU266" s="202" t="s">
        <v>2414</v>
      </c>
      <c r="AV266" s="195" t="s">
        <v>9</v>
      </c>
      <c r="AW266" s="195" t="str">
        <f ca="1">IFERROR(__xludf.DUMMYFUNCTION("IF(AND(IF(AS266=""Yes"",True,False),NOT(IFERROR(REGEXMATCH(AV266,ExclusionCategories),FALSE))),""Yes"", ""No"")"),"Yes")</f>
        <v>Yes</v>
      </c>
      <c r="AX266" s="195">
        <f ca="1">IFERROR(__xludf.DUMMYFUNCTION("IF(IFERROR(SEARCH(""Unclear"", Z266)) = 1, VALUE(REGEXEXTRACT(Z266,""\d+"")), Z266)"),46)</f>
        <v>46</v>
      </c>
      <c r="AY266" s="195">
        <v>46</v>
      </c>
      <c r="AZ266" s="195" t="str">
        <f ca="1">IFERROR(__xludf.DUMMYFUNCTION("IF(IFERROR(SEARCH(""Unclear"", AG266)) = 1, VALUE(REGEXEXTRACT(AG266,""\d+"")), AG266)"),"ND")</f>
        <v>ND</v>
      </c>
      <c r="BA266" s="195" t="s">
        <v>324</v>
      </c>
      <c r="BB266" s="195" t="str">
        <f ca="1">IFERROR(__xludf.DUMMYFUNCTION("IF(IFERROR(SEARCH(""Unclear"", AJ266)) = 1, VALUE(REGEXEXTRACT(AJ266,""\d+"")), AJ266)"),"ND")</f>
        <v>ND</v>
      </c>
      <c r="BC266" s="195" t="s">
        <v>324</v>
      </c>
      <c r="BD266" s="195" t="b">
        <f t="shared" si="2"/>
        <v>0</v>
      </c>
      <c r="BE266" s="195" t="b">
        <f t="shared" ref="BE266:BF266" si="284">IF(IFERROR(FIND("ND",AI266),0),FALSE,TRUE)</f>
        <v>0</v>
      </c>
      <c r="BF266" s="195" t="b">
        <f t="shared" si="284"/>
        <v>0</v>
      </c>
    </row>
    <row r="267" spans="1:58" ht="37.5" customHeight="1">
      <c r="A267" s="218" t="s">
        <v>2371</v>
      </c>
      <c r="B267" s="241">
        <v>2001</v>
      </c>
      <c r="C267" s="195" t="s">
        <v>441</v>
      </c>
      <c r="D267" s="4" t="s">
        <v>2415</v>
      </c>
      <c r="E267" s="239">
        <v>11692298</v>
      </c>
      <c r="F267" s="230" t="str">
        <f t="shared" si="282"/>
        <v>https://pubmed.ncbi.nlm.nih.gov/11692298</v>
      </c>
      <c r="G267" s="213" t="str">
        <f t="shared" si="89"/>
        <v>Turner 2001</v>
      </c>
      <c r="H267" s="217">
        <v>2001</v>
      </c>
      <c r="I267" s="199"/>
      <c r="J267" s="199"/>
      <c r="K267" s="195">
        <v>105</v>
      </c>
      <c r="L267" s="10"/>
      <c r="M267" s="195" t="s">
        <v>324</v>
      </c>
      <c r="N267" s="195" t="s">
        <v>324</v>
      </c>
      <c r="O267" s="195" t="s">
        <v>324</v>
      </c>
      <c r="P267" s="195" t="s">
        <v>324</v>
      </c>
      <c r="Q267" s="195" t="s">
        <v>324</v>
      </c>
      <c r="R267" s="195">
        <v>18</v>
      </c>
      <c r="S267" s="195" t="s">
        <v>324</v>
      </c>
      <c r="T267" s="195" t="s">
        <v>324</v>
      </c>
      <c r="U267" s="195" t="s">
        <v>324</v>
      </c>
      <c r="V267" s="195" t="s">
        <v>2416</v>
      </c>
      <c r="W267" s="199"/>
      <c r="X267" s="195">
        <v>91</v>
      </c>
      <c r="Y267" s="195" t="s">
        <v>1629</v>
      </c>
      <c r="Z267" s="195">
        <v>66</v>
      </c>
      <c r="AA267" s="199"/>
      <c r="AB267" s="195">
        <v>0</v>
      </c>
      <c r="AC267" s="199"/>
      <c r="AD267" s="195" t="s">
        <v>322</v>
      </c>
      <c r="AE267" s="195" t="s">
        <v>2417</v>
      </c>
      <c r="AF267" s="195" t="s">
        <v>2230</v>
      </c>
      <c r="AG267" s="195">
        <v>42</v>
      </c>
      <c r="AH267" s="195" t="s">
        <v>316</v>
      </c>
      <c r="AI267" s="195">
        <v>0</v>
      </c>
      <c r="AJ267" s="195" t="s">
        <v>324</v>
      </c>
      <c r="AK267" s="195" t="s">
        <v>2418</v>
      </c>
      <c r="AL267" s="195" t="s">
        <v>322</v>
      </c>
      <c r="AM267" s="199"/>
      <c r="AN267" s="195" t="s">
        <v>2419</v>
      </c>
      <c r="AO267" s="195" t="s">
        <v>2420</v>
      </c>
      <c r="AP267" s="195" t="s">
        <v>2421</v>
      </c>
      <c r="AQ267" s="195" t="s">
        <v>324</v>
      </c>
      <c r="AR267" s="220" t="s">
        <v>1431</v>
      </c>
      <c r="AS267" s="195" t="s">
        <v>308</v>
      </c>
      <c r="AT267" s="199"/>
      <c r="AU267" s="202" t="s">
        <v>2422</v>
      </c>
      <c r="AV267" s="195" t="s">
        <v>9</v>
      </c>
      <c r="AW267" s="195" t="str">
        <f ca="1">IFERROR(__xludf.DUMMYFUNCTION("IF(AND(IF(AS267=""Yes"",True,False),NOT(IFERROR(REGEXMATCH(AV267,ExclusionCategories),FALSE))),""Yes"", ""No"")"),"Yes")</f>
        <v>Yes</v>
      </c>
      <c r="AX267" s="195">
        <f ca="1">IFERROR(__xludf.DUMMYFUNCTION("IF(IFERROR(SEARCH(""Unclear"", Z267)) = 1, VALUE(REGEXEXTRACT(Z267,""\d+"")), Z267)"),66)</f>
        <v>66</v>
      </c>
      <c r="AY267" s="195">
        <v>66</v>
      </c>
      <c r="AZ267" s="195">
        <f ca="1">IFERROR(__xludf.DUMMYFUNCTION("IF(IFERROR(SEARCH(""Unclear"", AG267)) = 1, VALUE(REGEXEXTRACT(AG267,""\d+"")), AG267)"),42)</f>
        <v>42</v>
      </c>
      <c r="BA267" s="195">
        <v>42</v>
      </c>
      <c r="BB267" s="195" t="str">
        <f ca="1">IFERROR(__xludf.DUMMYFUNCTION("IF(IFERROR(SEARCH(""Unclear"", AJ267)) = 1, VALUE(REGEXEXTRACT(AJ267,""\d+"")), AJ267)"),"ND")</f>
        <v>ND</v>
      </c>
      <c r="BC267" s="195" t="s">
        <v>324</v>
      </c>
      <c r="BD267" s="195" t="b">
        <f t="shared" si="2"/>
        <v>1</v>
      </c>
      <c r="BE267" s="195" t="b">
        <f t="shared" ref="BE267:BF267" si="285">IF(IFERROR(FIND("ND",AI267),0),FALSE,TRUE)</f>
        <v>1</v>
      </c>
      <c r="BF267" s="195" t="b">
        <f t="shared" si="285"/>
        <v>0</v>
      </c>
    </row>
    <row r="268" spans="1:58" ht="37.5" customHeight="1">
      <c r="A268" s="218" t="s">
        <v>2371</v>
      </c>
      <c r="B268" s="241">
        <v>2005</v>
      </c>
      <c r="C268" s="195" t="s">
        <v>441</v>
      </c>
      <c r="D268" s="4" t="s">
        <v>2300</v>
      </c>
      <c r="E268" s="241">
        <v>16049208</v>
      </c>
      <c r="F268" s="219" t="str">
        <f t="shared" ref="F268:F275" si="286">"https://pubmed.ncbi.nlm.nih.gov/?term="&amp;E268</f>
        <v>https://pubmed.ncbi.nlm.nih.gov/?term=16049208</v>
      </c>
      <c r="G268" s="213" t="str">
        <f t="shared" si="89"/>
        <v>Turner 2005</v>
      </c>
      <c r="H268" s="195">
        <v>2004</v>
      </c>
      <c r="I268" s="199"/>
      <c r="J268" s="199"/>
      <c r="K268" s="195">
        <v>437</v>
      </c>
      <c r="L268" s="4" t="s">
        <v>2423</v>
      </c>
      <c r="M268" s="195">
        <v>159</v>
      </c>
      <c r="N268" s="195">
        <v>240</v>
      </c>
      <c r="O268" s="195" t="s">
        <v>324</v>
      </c>
      <c r="P268" s="195" t="s">
        <v>324</v>
      </c>
      <c r="Q268" s="195" t="s">
        <v>324</v>
      </c>
      <c r="R268" s="195" t="s">
        <v>324</v>
      </c>
      <c r="S268" s="195" t="s">
        <v>324</v>
      </c>
      <c r="T268" s="195">
        <v>20.8</v>
      </c>
      <c r="U268" s="195">
        <v>3.3</v>
      </c>
      <c r="V268" s="195" t="s">
        <v>2424</v>
      </c>
      <c r="W268" s="199"/>
      <c r="X268" s="195">
        <v>419</v>
      </c>
      <c r="Y268" s="195" t="s">
        <v>2425</v>
      </c>
      <c r="Z268" s="195">
        <v>349</v>
      </c>
      <c r="AA268" s="195" t="s">
        <v>2426</v>
      </c>
      <c r="AB268" s="195">
        <v>0</v>
      </c>
      <c r="AC268" s="199"/>
      <c r="AD268" s="195" t="s">
        <v>322</v>
      </c>
      <c r="AE268" s="195" t="s">
        <v>2427</v>
      </c>
      <c r="AF268" s="195" t="s">
        <v>2230</v>
      </c>
      <c r="AG268" s="195">
        <v>19</v>
      </c>
      <c r="AH268" s="195" t="s">
        <v>316</v>
      </c>
      <c r="AI268" s="195">
        <v>0</v>
      </c>
      <c r="AJ268" s="195" t="s">
        <v>324</v>
      </c>
      <c r="AK268" s="195" t="s">
        <v>499</v>
      </c>
      <c r="AL268" s="195" t="s">
        <v>322</v>
      </c>
      <c r="AM268" s="199"/>
      <c r="AN268" s="195" t="s">
        <v>2428</v>
      </c>
      <c r="AO268" s="195" t="s">
        <v>2429</v>
      </c>
      <c r="AP268" s="195" t="s">
        <v>2430</v>
      </c>
      <c r="AQ268" s="195" t="s">
        <v>324</v>
      </c>
      <c r="AR268" s="220" t="s">
        <v>1431</v>
      </c>
      <c r="AS268" s="195" t="s">
        <v>308</v>
      </c>
      <c r="AT268" s="199"/>
      <c r="AU268" s="202" t="s">
        <v>2431</v>
      </c>
      <c r="AV268" s="195" t="s">
        <v>501</v>
      </c>
      <c r="AW268" s="195" t="str">
        <f ca="1">IFERROR(__xludf.DUMMYFUNCTION("IF(AND(IF(AS268=""Yes"",True,False),NOT(IFERROR(REGEXMATCH(AV268,ExclusionCategories),FALSE))),""Yes"", ""No"")"),"Yes")</f>
        <v>Yes</v>
      </c>
      <c r="AX268" s="195">
        <f ca="1">IFERROR(__xludf.DUMMYFUNCTION("IF(IFERROR(SEARCH(""Unclear"", Z268)) = 1, VALUE(REGEXEXTRACT(Z268,""\d+"")), Z268)"),349)</f>
        <v>349</v>
      </c>
      <c r="AY268" s="195">
        <v>349</v>
      </c>
      <c r="AZ268" s="195">
        <f ca="1">IFERROR(__xludf.DUMMYFUNCTION("IF(IFERROR(SEARCH(""Unclear"", AG268)) = 1, VALUE(REGEXEXTRACT(AG268,""\d+"")), AG268)"),19)</f>
        <v>19</v>
      </c>
      <c r="BA268" s="195">
        <v>19</v>
      </c>
      <c r="BB268" s="195" t="str">
        <f ca="1">IFERROR(__xludf.DUMMYFUNCTION("IF(IFERROR(SEARCH(""Unclear"", AJ268)) = 1, VALUE(REGEXEXTRACT(AJ268,""\d+"")), AJ268)"),"ND")</f>
        <v>ND</v>
      </c>
      <c r="BC268" s="195" t="s">
        <v>324</v>
      </c>
      <c r="BD268" s="195" t="b">
        <f t="shared" si="2"/>
        <v>1</v>
      </c>
      <c r="BE268" s="195" t="b">
        <f t="shared" ref="BE268:BF268" si="287">IF(IFERROR(FIND("ND",AI268),0),FALSE,TRUE)</f>
        <v>1</v>
      </c>
      <c r="BF268" s="195" t="b">
        <f t="shared" si="287"/>
        <v>0</v>
      </c>
    </row>
    <row r="269" spans="1:58" ht="37.5" customHeight="1">
      <c r="A269" s="218" t="s">
        <v>2432</v>
      </c>
      <c r="B269" s="241">
        <v>1993</v>
      </c>
      <c r="C269" s="195" t="s">
        <v>441</v>
      </c>
      <c r="D269" s="4" t="s">
        <v>2433</v>
      </c>
      <c r="E269" s="241">
        <v>8394240</v>
      </c>
      <c r="F269" s="219" t="str">
        <f t="shared" si="286"/>
        <v>https://pubmed.ncbi.nlm.nih.gov/?term=8394240</v>
      </c>
      <c r="G269" s="213" t="str">
        <f t="shared" si="89"/>
        <v>Tyrrell 1993</v>
      </c>
      <c r="H269" s="195">
        <v>1989</v>
      </c>
      <c r="I269" s="199"/>
      <c r="J269" s="199"/>
      <c r="K269" s="195">
        <v>273</v>
      </c>
      <c r="L269" s="4" t="s">
        <v>2434</v>
      </c>
      <c r="M269" s="195" t="s">
        <v>324</v>
      </c>
      <c r="N269" s="195" t="s">
        <v>324</v>
      </c>
      <c r="O269" s="195" t="s">
        <v>324</v>
      </c>
      <c r="P269" s="195">
        <v>18</v>
      </c>
      <c r="Q269" s="195">
        <v>53</v>
      </c>
      <c r="R269" s="195" t="s">
        <v>324</v>
      </c>
      <c r="S269" s="195" t="s">
        <v>324</v>
      </c>
      <c r="T269" s="195" t="s">
        <v>324</v>
      </c>
      <c r="U269" s="195" t="s">
        <v>324</v>
      </c>
      <c r="V269" s="195" t="s">
        <v>2435</v>
      </c>
      <c r="W269" s="199"/>
      <c r="X269" s="195">
        <v>273</v>
      </c>
      <c r="Y269" s="195"/>
      <c r="Z269" s="195">
        <v>218</v>
      </c>
      <c r="AA269" s="195"/>
      <c r="AB269" s="195">
        <v>0</v>
      </c>
      <c r="AC269" s="199"/>
      <c r="AD269" s="195" t="s">
        <v>322</v>
      </c>
      <c r="AE269" s="195" t="s">
        <v>2436</v>
      </c>
      <c r="AF269" s="195" t="s">
        <v>2437</v>
      </c>
      <c r="AG269" s="195">
        <v>71</v>
      </c>
      <c r="AH269" s="195" t="s">
        <v>308</v>
      </c>
      <c r="AI269" s="195">
        <v>0</v>
      </c>
      <c r="AJ269" s="195" t="s">
        <v>324</v>
      </c>
      <c r="AK269" s="195" t="s">
        <v>499</v>
      </c>
      <c r="AL269" s="195" t="s">
        <v>322</v>
      </c>
      <c r="AM269" s="199"/>
      <c r="AN269" s="195" t="s">
        <v>332</v>
      </c>
      <c r="AO269" s="195" t="s">
        <v>2438</v>
      </c>
      <c r="AP269" s="195" t="s">
        <v>2439</v>
      </c>
      <c r="AQ269" s="195" t="s">
        <v>324</v>
      </c>
      <c r="AR269" s="220" t="s">
        <v>1431</v>
      </c>
      <c r="AS269" s="195" t="s">
        <v>308</v>
      </c>
      <c r="AT269" s="199"/>
      <c r="AU269" s="202" t="s">
        <v>2440</v>
      </c>
      <c r="AV269" s="195" t="s">
        <v>571</v>
      </c>
      <c r="AW269" s="195" t="str">
        <f ca="1">IFERROR(__xludf.DUMMYFUNCTION("IF(AND(IF(AS269=""Yes"",True,False),NOT(IFERROR(REGEXMATCH(AV269,ExclusionCategories),FALSE))),""Yes"", ""No"")"),"Yes")</f>
        <v>Yes</v>
      </c>
      <c r="AX269" s="195">
        <f ca="1">IFERROR(__xludf.DUMMYFUNCTION("IF(IFERROR(SEARCH(""Unclear"", Z269)) = 1, VALUE(REGEXEXTRACT(Z269,""\d+"")), Z269)"),218)</f>
        <v>218</v>
      </c>
      <c r="AY269" s="195">
        <v>218</v>
      </c>
      <c r="AZ269" s="195">
        <f ca="1">IFERROR(__xludf.DUMMYFUNCTION("IF(IFERROR(SEARCH(""Unclear"", AG269)) = 1, VALUE(REGEXEXTRACT(AG269,""\d+"")), AG269)"),71)</f>
        <v>71</v>
      </c>
      <c r="BA269" s="195">
        <v>71</v>
      </c>
      <c r="BB269" s="195" t="str">
        <f ca="1">IFERROR(__xludf.DUMMYFUNCTION("IF(IFERROR(SEARCH(""Unclear"", AJ269)) = 1, VALUE(REGEXEXTRACT(AJ269,""\d+"")), AJ269)"),"ND")</f>
        <v>ND</v>
      </c>
      <c r="BC269" s="195" t="s">
        <v>324</v>
      </c>
      <c r="BD269" s="195" t="b">
        <f t="shared" si="2"/>
        <v>1</v>
      </c>
      <c r="BE269" s="195" t="b">
        <f t="shared" ref="BE269:BF269" si="288">IF(IFERROR(FIND("ND",AI269),0),FALSE,TRUE)</f>
        <v>1</v>
      </c>
      <c r="BF269" s="195" t="b">
        <f t="shared" si="288"/>
        <v>0</v>
      </c>
    </row>
    <row r="270" spans="1:58" ht="37.5" customHeight="1">
      <c r="A270" s="218" t="s">
        <v>2432</v>
      </c>
      <c r="B270" s="241">
        <v>1993</v>
      </c>
      <c r="C270" s="195" t="s">
        <v>359</v>
      </c>
      <c r="D270" s="4" t="s">
        <v>2441</v>
      </c>
      <c r="E270" s="241">
        <v>8394240</v>
      </c>
      <c r="F270" s="219" t="str">
        <f t="shared" si="286"/>
        <v>https://pubmed.ncbi.nlm.nih.gov/?term=8394240</v>
      </c>
      <c r="G270" s="213" t="str">
        <f t="shared" si="89"/>
        <v>Tyrrell 1993</v>
      </c>
      <c r="H270" s="195">
        <v>1989</v>
      </c>
      <c r="I270" s="199"/>
      <c r="J270" s="199"/>
      <c r="K270" s="195">
        <v>36</v>
      </c>
      <c r="L270" s="4" t="s">
        <v>2442</v>
      </c>
      <c r="M270" s="195" t="s">
        <v>324</v>
      </c>
      <c r="N270" s="195" t="s">
        <v>324</v>
      </c>
      <c r="O270" s="195" t="s">
        <v>324</v>
      </c>
      <c r="P270" s="195">
        <v>18</v>
      </c>
      <c r="Q270" s="195">
        <v>53</v>
      </c>
      <c r="R270" s="195" t="s">
        <v>324</v>
      </c>
      <c r="S270" s="195" t="s">
        <v>324</v>
      </c>
      <c r="T270" s="195" t="s">
        <v>324</v>
      </c>
      <c r="U270" s="195" t="s">
        <v>324</v>
      </c>
      <c r="V270" s="195" t="s">
        <v>2435</v>
      </c>
      <c r="W270" s="199"/>
      <c r="X270" s="195">
        <v>36</v>
      </c>
      <c r="Y270" s="195"/>
      <c r="Z270" s="195">
        <v>26</v>
      </c>
      <c r="AA270" s="195"/>
      <c r="AB270" s="195">
        <v>0</v>
      </c>
      <c r="AC270" s="199"/>
      <c r="AD270" s="195" t="s">
        <v>322</v>
      </c>
      <c r="AE270" s="195" t="s">
        <v>2436</v>
      </c>
      <c r="AF270" s="195" t="s">
        <v>2437</v>
      </c>
      <c r="AG270" s="195">
        <v>11</v>
      </c>
      <c r="AH270" s="195" t="s">
        <v>308</v>
      </c>
      <c r="AI270" s="195">
        <v>0</v>
      </c>
      <c r="AJ270" s="195" t="s">
        <v>324</v>
      </c>
      <c r="AK270" s="195" t="s">
        <v>499</v>
      </c>
      <c r="AL270" s="195" t="s">
        <v>322</v>
      </c>
      <c r="AM270" s="199"/>
      <c r="AN270" s="195" t="s">
        <v>332</v>
      </c>
      <c r="AO270" s="195" t="s">
        <v>2438</v>
      </c>
      <c r="AP270" s="195" t="s">
        <v>2439</v>
      </c>
      <c r="AQ270" s="195" t="s">
        <v>324</v>
      </c>
      <c r="AR270" s="220" t="s">
        <v>1431</v>
      </c>
      <c r="AS270" s="195" t="s">
        <v>308</v>
      </c>
      <c r="AT270" s="199"/>
      <c r="AU270" s="202" t="s">
        <v>2440</v>
      </c>
      <c r="AV270" s="195" t="s">
        <v>571</v>
      </c>
      <c r="AW270" s="195" t="str">
        <f ca="1">IFERROR(__xludf.DUMMYFUNCTION("IF(AND(IF(AS270=""Yes"",True,False),NOT(IFERROR(REGEXMATCH(AV270,ExclusionCategories),FALSE))),""Yes"", ""No"")"),"Yes")</f>
        <v>Yes</v>
      </c>
      <c r="AX270" s="195">
        <f ca="1">IFERROR(__xludf.DUMMYFUNCTION("IF(IFERROR(SEARCH(""Unclear"", Z270)) = 1, VALUE(REGEXEXTRACT(Z270,""\d+"")), Z270)"),26)</f>
        <v>26</v>
      </c>
      <c r="AY270" s="195">
        <v>26</v>
      </c>
      <c r="AZ270" s="195">
        <f ca="1">IFERROR(__xludf.DUMMYFUNCTION("IF(IFERROR(SEARCH(""Unclear"", AG270)) = 1, VALUE(REGEXEXTRACT(AG270,""\d+"")), AG270)"),11)</f>
        <v>11</v>
      </c>
      <c r="BA270" s="195">
        <v>11</v>
      </c>
      <c r="BB270" s="195" t="str">
        <f ca="1">IFERROR(__xludf.DUMMYFUNCTION("IF(IFERROR(SEARCH(""Unclear"", AJ270)) = 1, VALUE(REGEXEXTRACT(AJ270,""\d+"")), AJ270)"),"ND")</f>
        <v>ND</v>
      </c>
      <c r="BC270" s="195" t="s">
        <v>324</v>
      </c>
      <c r="BD270" s="195" t="b">
        <f t="shared" si="2"/>
        <v>1</v>
      </c>
      <c r="BE270" s="195" t="b">
        <f t="shared" ref="BE270:BF270" si="289">IF(IFERROR(FIND("ND",AI270),0),FALSE,TRUE)</f>
        <v>1</v>
      </c>
      <c r="BF270" s="195" t="b">
        <f t="shared" si="289"/>
        <v>0</v>
      </c>
    </row>
    <row r="271" spans="1:58" ht="37.5" customHeight="1">
      <c r="A271" s="218" t="s">
        <v>2432</v>
      </c>
      <c r="B271" s="241">
        <v>1993</v>
      </c>
      <c r="C271" s="195" t="s">
        <v>2443</v>
      </c>
      <c r="D271" s="4" t="s">
        <v>2444</v>
      </c>
      <c r="E271" s="241">
        <v>8394240</v>
      </c>
      <c r="F271" s="219" t="str">
        <f t="shared" si="286"/>
        <v>https://pubmed.ncbi.nlm.nih.gov/?term=8394240</v>
      </c>
      <c r="G271" s="213" t="str">
        <f t="shared" si="89"/>
        <v>Tyrrell 1993</v>
      </c>
      <c r="H271" s="195">
        <v>1989</v>
      </c>
      <c r="I271" s="199"/>
      <c r="J271" s="199"/>
      <c r="K271" s="195">
        <v>55</v>
      </c>
      <c r="L271" s="4" t="s">
        <v>2445</v>
      </c>
      <c r="M271" s="195" t="s">
        <v>324</v>
      </c>
      <c r="N271" s="195" t="s">
        <v>324</v>
      </c>
      <c r="O271" s="195" t="s">
        <v>324</v>
      </c>
      <c r="P271" s="195">
        <v>18</v>
      </c>
      <c r="Q271" s="195">
        <v>53</v>
      </c>
      <c r="R271" s="195" t="s">
        <v>324</v>
      </c>
      <c r="S271" s="195" t="s">
        <v>324</v>
      </c>
      <c r="T271" s="195" t="s">
        <v>324</v>
      </c>
      <c r="U271" s="195" t="s">
        <v>324</v>
      </c>
      <c r="V271" s="195" t="s">
        <v>2435</v>
      </c>
      <c r="W271" s="199"/>
      <c r="X271" s="195">
        <v>55</v>
      </c>
      <c r="Y271" s="195"/>
      <c r="Z271" s="195">
        <v>50</v>
      </c>
      <c r="AA271" s="195"/>
      <c r="AB271" s="195">
        <v>0</v>
      </c>
      <c r="AC271" s="199"/>
      <c r="AD271" s="195" t="s">
        <v>322</v>
      </c>
      <c r="AE271" s="195" t="s">
        <v>2436</v>
      </c>
      <c r="AF271" s="195" t="s">
        <v>2437</v>
      </c>
      <c r="AG271" s="195">
        <v>34</v>
      </c>
      <c r="AH271" s="195" t="s">
        <v>308</v>
      </c>
      <c r="AI271" s="195">
        <v>0</v>
      </c>
      <c r="AJ271" s="195" t="s">
        <v>324</v>
      </c>
      <c r="AK271" s="195" t="s">
        <v>499</v>
      </c>
      <c r="AL271" s="195" t="s">
        <v>322</v>
      </c>
      <c r="AM271" s="199"/>
      <c r="AN271" s="195" t="s">
        <v>332</v>
      </c>
      <c r="AO271" s="195" t="s">
        <v>2438</v>
      </c>
      <c r="AP271" s="195" t="s">
        <v>2439</v>
      </c>
      <c r="AQ271" s="195" t="s">
        <v>324</v>
      </c>
      <c r="AR271" s="220" t="s">
        <v>1431</v>
      </c>
      <c r="AS271" s="195" t="s">
        <v>308</v>
      </c>
      <c r="AT271" s="199"/>
      <c r="AU271" s="202" t="s">
        <v>2440</v>
      </c>
      <c r="AV271" s="195" t="s">
        <v>571</v>
      </c>
      <c r="AW271" s="195" t="str">
        <f ca="1">IFERROR(__xludf.DUMMYFUNCTION("IF(AND(IF(AS271=""Yes"",True,False),NOT(IFERROR(REGEXMATCH(AV271,ExclusionCategories),FALSE))),""Yes"", ""No"")"),"Yes")</f>
        <v>Yes</v>
      </c>
      <c r="AX271" s="195">
        <f ca="1">IFERROR(__xludf.DUMMYFUNCTION("IF(IFERROR(SEARCH(""Unclear"", Z271)) = 1, VALUE(REGEXEXTRACT(Z271,""\d+"")), Z271)"),50)</f>
        <v>50</v>
      </c>
      <c r="AY271" s="195">
        <v>50</v>
      </c>
      <c r="AZ271" s="195">
        <f ca="1">IFERROR(__xludf.DUMMYFUNCTION("IF(IFERROR(SEARCH(""Unclear"", AG271)) = 1, VALUE(REGEXEXTRACT(AG271,""\d+"")), AG271)"),34)</f>
        <v>34</v>
      </c>
      <c r="BA271" s="195">
        <v>34</v>
      </c>
      <c r="BB271" s="195" t="str">
        <f ca="1">IFERROR(__xludf.DUMMYFUNCTION("IF(IFERROR(SEARCH(""Unclear"", AJ271)) = 1, VALUE(REGEXEXTRACT(AJ271,""\d+"")), AJ271)"),"ND")</f>
        <v>ND</v>
      </c>
      <c r="BC271" s="195" t="s">
        <v>324</v>
      </c>
      <c r="BD271" s="195" t="b">
        <f t="shared" si="2"/>
        <v>1</v>
      </c>
      <c r="BE271" s="195" t="b">
        <f t="shared" ref="BE271:BF271" si="290">IF(IFERROR(FIND("ND",AI271),0),FALSE,TRUE)</f>
        <v>1</v>
      </c>
      <c r="BF271" s="195" t="b">
        <f t="shared" si="290"/>
        <v>0</v>
      </c>
    </row>
    <row r="272" spans="1:58" ht="37.5" customHeight="1">
      <c r="A272" s="218" t="s">
        <v>2446</v>
      </c>
      <c r="B272" s="241">
        <v>1997</v>
      </c>
      <c r="C272" s="195" t="s">
        <v>457</v>
      </c>
      <c r="D272" s="4" t="s">
        <v>2447</v>
      </c>
      <c r="E272" s="241">
        <v>9395349</v>
      </c>
      <c r="F272" s="219" t="str">
        <f t="shared" si="286"/>
        <v>https://pubmed.ncbi.nlm.nih.gov/?term=9395349</v>
      </c>
      <c r="G272" s="213" t="str">
        <f t="shared" si="89"/>
        <v>Walker 1997</v>
      </c>
      <c r="H272" s="217">
        <v>1997</v>
      </c>
      <c r="I272" s="199"/>
      <c r="J272" s="199"/>
      <c r="K272" s="195">
        <v>151</v>
      </c>
      <c r="L272" s="4" t="s">
        <v>2448</v>
      </c>
      <c r="M272" s="195" t="s">
        <v>324</v>
      </c>
      <c r="N272" s="195" t="s">
        <v>324</v>
      </c>
      <c r="O272" s="195" t="s">
        <v>324</v>
      </c>
      <c r="P272" s="195" t="s">
        <v>324</v>
      </c>
      <c r="Q272" s="195" t="s">
        <v>324</v>
      </c>
      <c r="R272" s="195" t="s">
        <v>324</v>
      </c>
      <c r="S272" s="195" t="s">
        <v>324</v>
      </c>
      <c r="T272" s="195" t="s">
        <v>324</v>
      </c>
      <c r="U272" s="195" t="s">
        <v>324</v>
      </c>
      <c r="V272" s="195" t="s">
        <v>2449</v>
      </c>
      <c r="W272" s="199"/>
      <c r="X272" s="195">
        <v>151</v>
      </c>
      <c r="Y272" s="195" t="s">
        <v>2450</v>
      </c>
      <c r="Z272" s="195">
        <v>89</v>
      </c>
      <c r="AA272" s="195" t="s">
        <v>2451</v>
      </c>
      <c r="AB272" s="195">
        <v>0</v>
      </c>
      <c r="AC272" s="199"/>
      <c r="AD272" s="195" t="s">
        <v>322</v>
      </c>
      <c r="AE272" s="195" t="s">
        <v>2452</v>
      </c>
      <c r="AF272" s="195" t="s">
        <v>2453</v>
      </c>
      <c r="AG272" s="195">
        <v>73</v>
      </c>
      <c r="AH272" s="195" t="s">
        <v>316</v>
      </c>
      <c r="AI272" s="195" t="s">
        <v>324</v>
      </c>
      <c r="AJ272" s="195" t="s">
        <v>324</v>
      </c>
      <c r="AK272" s="195"/>
      <c r="AL272" s="195" t="s">
        <v>322</v>
      </c>
      <c r="AM272" s="199"/>
      <c r="AN272" s="195" t="s">
        <v>2454</v>
      </c>
      <c r="AO272" s="195" t="s">
        <v>2455</v>
      </c>
      <c r="AP272" s="195" t="s">
        <v>2456</v>
      </c>
      <c r="AQ272" s="195" t="s">
        <v>1901</v>
      </c>
      <c r="AR272" s="220" t="s">
        <v>1431</v>
      </c>
      <c r="AS272" s="195" t="s">
        <v>316</v>
      </c>
      <c r="AT272" s="199"/>
      <c r="AU272" s="202" t="s">
        <v>2457</v>
      </c>
      <c r="AV272" s="195" t="s">
        <v>2353</v>
      </c>
      <c r="AW272" s="195" t="str">
        <f ca="1">IFERROR(__xludf.DUMMYFUNCTION("IF(AND(IF(AS272=""Yes"",True,False),NOT(IFERROR(REGEXMATCH(AV272,ExclusionCategories),FALSE))),""Yes"", ""No"")"),"No")</f>
        <v>No</v>
      </c>
      <c r="AX272" s="195">
        <f ca="1">IFERROR(__xludf.DUMMYFUNCTION("IF(IFERROR(SEARCH(""Unclear"", Z272)) = 1, VALUE(REGEXEXTRACT(Z272,""\d+"")), Z272)"),89)</f>
        <v>89</v>
      </c>
      <c r="AY272" s="195">
        <v>89</v>
      </c>
      <c r="AZ272" s="195">
        <f ca="1">IFERROR(__xludf.DUMMYFUNCTION("IF(IFERROR(SEARCH(""Unclear"", AG272)) = 1, VALUE(REGEXEXTRACT(AG272,""\d+"")), AG272)"),73)</f>
        <v>73</v>
      </c>
      <c r="BA272" s="195">
        <v>73</v>
      </c>
      <c r="BB272" s="195" t="str">
        <f ca="1">IFERROR(__xludf.DUMMYFUNCTION("IF(IFERROR(SEARCH(""Unclear"", AJ272)) = 1, VALUE(REGEXEXTRACT(AJ272,""\d+"")), AJ272)"),"ND")</f>
        <v>ND</v>
      </c>
      <c r="BC272" s="195" t="s">
        <v>324</v>
      </c>
      <c r="BD272" s="195" t="b">
        <f t="shared" si="2"/>
        <v>1</v>
      </c>
      <c r="BE272" s="195" t="b">
        <f t="shared" ref="BE272:BF272" si="291">IF(IFERROR(FIND("ND",AI272),0),FALSE,TRUE)</f>
        <v>0</v>
      </c>
      <c r="BF272" s="195" t="b">
        <f t="shared" si="291"/>
        <v>0</v>
      </c>
    </row>
    <row r="273" spans="1:58" ht="37.5" customHeight="1">
      <c r="A273" s="218" t="s">
        <v>2446</v>
      </c>
      <c r="B273" s="241">
        <v>1997</v>
      </c>
      <c r="C273" s="195" t="s">
        <v>457</v>
      </c>
      <c r="D273" s="4" t="s">
        <v>2458</v>
      </c>
      <c r="E273" s="241">
        <v>9395349</v>
      </c>
      <c r="F273" s="219" t="str">
        <f t="shared" si="286"/>
        <v>https://pubmed.ncbi.nlm.nih.gov/?term=9395349</v>
      </c>
      <c r="G273" s="213" t="str">
        <f t="shared" si="89"/>
        <v>Walker 1997</v>
      </c>
      <c r="H273" s="217">
        <v>1997</v>
      </c>
      <c r="I273" s="199"/>
      <c r="J273" s="199"/>
      <c r="K273" s="195">
        <v>34</v>
      </c>
      <c r="L273" s="4" t="s">
        <v>2459</v>
      </c>
      <c r="M273" s="195" t="s">
        <v>324</v>
      </c>
      <c r="N273" s="195" t="s">
        <v>324</v>
      </c>
      <c r="O273" s="195" t="s">
        <v>324</v>
      </c>
      <c r="P273" s="195" t="s">
        <v>324</v>
      </c>
      <c r="Q273" s="195" t="s">
        <v>324</v>
      </c>
      <c r="R273" s="195" t="s">
        <v>324</v>
      </c>
      <c r="S273" s="195" t="s">
        <v>324</v>
      </c>
      <c r="T273" s="195" t="s">
        <v>324</v>
      </c>
      <c r="U273" s="195" t="s">
        <v>324</v>
      </c>
      <c r="V273" s="195" t="s">
        <v>2449</v>
      </c>
      <c r="W273" s="199"/>
      <c r="X273" s="195">
        <v>34</v>
      </c>
      <c r="Y273" s="195" t="s">
        <v>2460</v>
      </c>
      <c r="Z273" s="195">
        <v>26</v>
      </c>
      <c r="AA273" s="195" t="s">
        <v>2461</v>
      </c>
      <c r="AB273" s="195">
        <v>0</v>
      </c>
      <c r="AC273" s="199"/>
      <c r="AD273" s="195" t="s">
        <v>322</v>
      </c>
      <c r="AE273" s="195" t="s">
        <v>2452</v>
      </c>
      <c r="AF273" s="195" t="s">
        <v>2453</v>
      </c>
      <c r="AG273" s="195">
        <v>22</v>
      </c>
      <c r="AH273" s="195" t="s">
        <v>316</v>
      </c>
      <c r="AI273" s="195" t="s">
        <v>324</v>
      </c>
      <c r="AJ273" s="195" t="s">
        <v>324</v>
      </c>
      <c r="AK273" s="195"/>
      <c r="AL273" s="195" t="s">
        <v>322</v>
      </c>
      <c r="AM273" s="199"/>
      <c r="AN273" s="195" t="s">
        <v>2454</v>
      </c>
      <c r="AO273" s="195" t="s">
        <v>2455</v>
      </c>
      <c r="AP273" s="195" t="s">
        <v>2456</v>
      </c>
      <c r="AQ273" s="195" t="s">
        <v>1901</v>
      </c>
      <c r="AR273" s="220" t="s">
        <v>1431</v>
      </c>
      <c r="AS273" s="195" t="s">
        <v>316</v>
      </c>
      <c r="AT273" s="199"/>
      <c r="AU273" s="202" t="s">
        <v>2457</v>
      </c>
      <c r="AV273" s="195" t="s">
        <v>2353</v>
      </c>
      <c r="AW273" s="195" t="str">
        <f ca="1">IFERROR(__xludf.DUMMYFUNCTION("IF(AND(IF(AS273=""Yes"",True,False),NOT(IFERROR(REGEXMATCH(AV273,ExclusionCategories),FALSE))),""Yes"", ""No"")"),"No")</f>
        <v>No</v>
      </c>
      <c r="AX273" s="195">
        <f ca="1">IFERROR(__xludf.DUMMYFUNCTION("IF(IFERROR(SEARCH(""Unclear"", Z273)) = 1, VALUE(REGEXEXTRACT(Z273,""\d+"")), Z273)"),26)</f>
        <v>26</v>
      </c>
      <c r="AY273" s="195">
        <v>26</v>
      </c>
      <c r="AZ273" s="195">
        <f ca="1">IFERROR(__xludf.DUMMYFUNCTION("IF(IFERROR(SEARCH(""Unclear"", AG273)) = 1, VALUE(REGEXEXTRACT(AG273,""\d+"")), AG273)"),22)</f>
        <v>22</v>
      </c>
      <c r="BA273" s="195">
        <v>22</v>
      </c>
      <c r="BB273" s="195" t="str">
        <f ca="1">IFERROR(__xludf.DUMMYFUNCTION("IF(IFERROR(SEARCH(""Unclear"", AJ273)) = 1, VALUE(REGEXEXTRACT(AJ273,""\d+"")), AJ273)"),"ND")</f>
        <v>ND</v>
      </c>
      <c r="BC273" s="195" t="s">
        <v>324</v>
      </c>
      <c r="BD273" s="195" t="b">
        <f t="shared" si="2"/>
        <v>1</v>
      </c>
      <c r="BE273" s="195" t="b">
        <f t="shared" ref="BE273:BF273" si="292">IF(IFERROR(FIND("ND",AI273),0),FALSE,TRUE)</f>
        <v>0</v>
      </c>
      <c r="BF273" s="195" t="b">
        <f t="shared" si="292"/>
        <v>0</v>
      </c>
    </row>
    <row r="274" spans="1:58" ht="37.5" customHeight="1">
      <c r="A274" s="218" t="s">
        <v>2446</v>
      </c>
      <c r="B274" s="241">
        <v>1997</v>
      </c>
      <c r="C274" s="195" t="s">
        <v>457</v>
      </c>
      <c r="D274" s="4" t="s">
        <v>2462</v>
      </c>
      <c r="E274" s="241">
        <v>9395349</v>
      </c>
      <c r="F274" s="219" t="str">
        <f t="shared" si="286"/>
        <v>https://pubmed.ncbi.nlm.nih.gov/?term=9395349</v>
      </c>
      <c r="G274" s="213" t="str">
        <f t="shared" si="89"/>
        <v>Walker 1997</v>
      </c>
      <c r="H274" s="217">
        <v>1997</v>
      </c>
      <c r="I274" s="199"/>
      <c r="J274" s="199"/>
      <c r="K274" s="195">
        <v>185</v>
      </c>
      <c r="L274" s="4" t="s">
        <v>1858</v>
      </c>
      <c r="M274" s="195" t="s">
        <v>324</v>
      </c>
      <c r="N274" s="195" t="s">
        <v>324</v>
      </c>
      <c r="O274" s="195" t="s">
        <v>324</v>
      </c>
      <c r="P274" s="195" t="s">
        <v>324</v>
      </c>
      <c r="Q274" s="195" t="s">
        <v>324</v>
      </c>
      <c r="R274" s="195" t="s">
        <v>324</v>
      </c>
      <c r="S274" s="195" t="s">
        <v>324</v>
      </c>
      <c r="T274" s="195" t="s">
        <v>324</v>
      </c>
      <c r="U274" s="195" t="s">
        <v>324</v>
      </c>
      <c r="V274" s="195" t="s">
        <v>2449</v>
      </c>
      <c r="W274" s="199"/>
      <c r="X274" s="195">
        <v>185</v>
      </c>
      <c r="Y274" s="195"/>
      <c r="Z274" s="195">
        <v>115</v>
      </c>
      <c r="AA274" s="195"/>
      <c r="AB274" s="195">
        <v>0</v>
      </c>
      <c r="AC274" s="199"/>
      <c r="AD274" s="195" t="s">
        <v>322</v>
      </c>
      <c r="AE274" s="195" t="s">
        <v>2452</v>
      </c>
      <c r="AF274" s="195" t="s">
        <v>2453</v>
      </c>
      <c r="AG274" s="195">
        <v>95</v>
      </c>
      <c r="AH274" s="195" t="s">
        <v>316</v>
      </c>
      <c r="AI274" s="195">
        <v>0</v>
      </c>
      <c r="AJ274" s="195" t="s">
        <v>324</v>
      </c>
      <c r="AK274" s="195" t="s">
        <v>499</v>
      </c>
      <c r="AL274" s="195" t="s">
        <v>322</v>
      </c>
      <c r="AM274" s="199"/>
      <c r="AN274" s="195" t="s">
        <v>2454</v>
      </c>
      <c r="AO274" s="195" t="s">
        <v>2455</v>
      </c>
      <c r="AP274" s="195" t="s">
        <v>2456</v>
      </c>
      <c r="AQ274" s="195" t="s">
        <v>1901</v>
      </c>
      <c r="AR274" s="220" t="s">
        <v>1431</v>
      </c>
      <c r="AS274" s="195" t="s">
        <v>308</v>
      </c>
      <c r="AT274" s="199"/>
      <c r="AU274" s="202" t="s">
        <v>2457</v>
      </c>
      <c r="AV274" s="195" t="s">
        <v>1556</v>
      </c>
      <c r="AW274" s="195" t="str">
        <f ca="1">IFERROR(__xludf.DUMMYFUNCTION("IF(AND(IF(AS274=""Yes"",True,False),NOT(IFERROR(REGEXMATCH(AV274,ExclusionCategories),FALSE))),""Yes"", ""No"")"),"Yes")</f>
        <v>Yes</v>
      </c>
      <c r="AX274" s="195">
        <f ca="1">IFERROR(__xludf.DUMMYFUNCTION("IF(IFERROR(SEARCH(""Unclear"", Z274)) = 1, VALUE(REGEXEXTRACT(Z274,""\d+"")), Z274)"),115)</f>
        <v>115</v>
      </c>
      <c r="AY274" s="195">
        <v>115</v>
      </c>
      <c r="AZ274" s="195">
        <f ca="1">IFERROR(__xludf.DUMMYFUNCTION("IF(IFERROR(SEARCH(""Unclear"", AG274)) = 1, VALUE(REGEXEXTRACT(AG274,""\d+"")), AG274)"),95)</f>
        <v>95</v>
      </c>
      <c r="BA274" s="195">
        <v>95</v>
      </c>
      <c r="BB274" s="195" t="str">
        <f ca="1">IFERROR(__xludf.DUMMYFUNCTION("IF(IFERROR(SEARCH(""Unclear"", AJ274)) = 1, VALUE(REGEXEXTRACT(AJ274,""\d+"")), AJ274)"),"ND")</f>
        <v>ND</v>
      </c>
      <c r="BC274" s="195" t="s">
        <v>324</v>
      </c>
      <c r="BD274" s="195" t="b">
        <f t="shared" si="2"/>
        <v>1</v>
      </c>
      <c r="BE274" s="195" t="b">
        <f t="shared" ref="BE274:BF274" si="293">IF(IFERROR(FIND("ND",AI274),0),FALSE,TRUE)</f>
        <v>1</v>
      </c>
      <c r="BF274" s="195" t="b">
        <f t="shared" si="293"/>
        <v>0</v>
      </c>
    </row>
    <row r="275" spans="1:58" ht="37.5" customHeight="1">
      <c r="A275" s="218" t="s">
        <v>2463</v>
      </c>
      <c r="B275" s="241">
        <v>1997</v>
      </c>
      <c r="C275" s="195" t="s">
        <v>441</v>
      </c>
      <c r="D275" s="4" t="s">
        <v>2464</v>
      </c>
      <c r="E275" s="241">
        <v>9140895</v>
      </c>
      <c r="F275" s="219" t="str">
        <f t="shared" si="286"/>
        <v>https://pubmed.ncbi.nlm.nih.gov/?term=9140895</v>
      </c>
      <c r="G275" s="213" t="str">
        <f t="shared" si="89"/>
        <v>Weidner 1997</v>
      </c>
      <c r="H275" s="217">
        <v>1997</v>
      </c>
      <c r="I275" s="199"/>
      <c r="J275" s="199"/>
      <c r="K275" s="195">
        <v>55</v>
      </c>
      <c r="L275" s="4"/>
      <c r="M275" s="195">
        <v>30</v>
      </c>
      <c r="N275" s="195">
        <v>25</v>
      </c>
      <c r="O275" s="195" t="s">
        <v>324</v>
      </c>
      <c r="P275" s="195" t="s">
        <v>324</v>
      </c>
      <c r="Q275" s="195" t="s">
        <v>324</v>
      </c>
      <c r="R275" s="195">
        <v>18</v>
      </c>
      <c r="S275" s="195">
        <v>29</v>
      </c>
      <c r="T275" s="195">
        <v>19.7</v>
      </c>
      <c r="U275" s="195" t="s">
        <v>2465</v>
      </c>
      <c r="V275" s="195" t="s">
        <v>2466</v>
      </c>
      <c r="W275" s="199"/>
      <c r="X275" s="195">
        <v>45</v>
      </c>
      <c r="Y275" s="195"/>
      <c r="Z275" s="195" t="s">
        <v>394</v>
      </c>
      <c r="AA275" s="195" t="s">
        <v>324</v>
      </c>
      <c r="AB275" s="195">
        <v>10</v>
      </c>
      <c r="AC275" s="199"/>
      <c r="AD275" s="195" t="s">
        <v>324</v>
      </c>
      <c r="AE275" s="195" t="s">
        <v>2467</v>
      </c>
      <c r="AF275" s="195" t="s">
        <v>2468</v>
      </c>
      <c r="AG275" s="195">
        <v>28</v>
      </c>
      <c r="AH275" s="195" t="s">
        <v>308</v>
      </c>
      <c r="AI275" s="195">
        <v>0</v>
      </c>
      <c r="AJ275" s="195" t="s">
        <v>324</v>
      </c>
      <c r="AK275" s="195" t="s">
        <v>499</v>
      </c>
      <c r="AL275" s="195" t="s">
        <v>322</v>
      </c>
      <c r="AM275" s="199"/>
      <c r="AN275" s="195" t="s">
        <v>332</v>
      </c>
      <c r="AO275" s="195" t="s">
        <v>2469</v>
      </c>
      <c r="AP275" s="195" t="s">
        <v>2470</v>
      </c>
      <c r="AQ275" s="195" t="s">
        <v>324</v>
      </c>
      <c r="AR275" s="220" t="s">
        <v>1431</v>
      </c>
      <c r="AS275" s="195" t="s">
        <v>308</v>
      </c>
      <c r="AT275" s="199"/>
      <c r="AU275" s="202" t="s">
        <v>2471</v>
      </c>
      <c r="AV275" s="195" t="s">
        <v>571</v>
      </c>
      <c r="AW275" s="195" t="str">
        <f ca="1">IFERROR(__xludf.DUMMYFUNCTION("IF(AND(IF(AS275=""Yes"",True,False),NOT(IFERROR(REGEXMATCH(AV275,ExclusionCategories),FALSE))),""Yes"", ""No"")"),"Yes")</f>
        <v>Yes</v>
      </c>
      <c r="AX275" s="195">
        <f ca="1">IFERROR(__xludf.DUMMYFUNCTION("IF(IFERROR(SEARCH(""Unclear"", Z275)) = 1, VALUE(REGEXEXTRACT(Z275,""\d+"")), Z275)"),0)</f>
        <v>0</v>
      </c>
      <c r="AY275" s="195">
        <v>45</v>
      </c>
      <c r="AZ275" s="195">
        <f ca="1">IFERROR(__xludf.DUMMYFUNCTION("IF(IFERROR(SEARCH(""Unclear"", AG275)) = 1, VALUE(REGEXEXTRACT(AG275,""\d+"")), AG275)"),28)</f>
        <v>28</v>
      </c>
      <c r="BA275" s="195">
        <v>28</v>
      </c>
      <c r="BB275" s="195" t="str">
        <f ca="1">IFERROR(__xludf.DUMMYFUNCTION("IF(IFERROR(SEARCH(""Unclear"", AJ275)) = 1, VALUE(REGEXEXTRACT(AJ275,""\d+"")), AJ275)"),"ND")</f>
        <v>ND</v>
      </c>
      <c r="BC275" s="195" t="s">
        <v>324</v>
      </c>
      <c r="BD275" s="195" t="b">
        <f t="shared" si="2"/>
        <v>1</v>
      </c>
      <c r="BE275" s="195" t="b">
        <f t="shared" ref="BE275:BF275" si="294">IF(IFERROR(FIND("ND",AI275),0),FALSE,TRUE)</f>
        <v>1</v>
      </c>
      <c r="BF275" s="195" t="b">
        <f t="shared" si="294"/>
        <v>0</v>
      </c>
    </row>
    <row r="276" spans="1:58" ht="37.5" customHeight="1">
      <c r="A276" s="218" t="s">
        <v>2472</v>
      </c>
      <c r="B276" s="241">
        <v>2010</v>
      </c>
      <c r="C276" s="195" t="s">
        <v>441</v>
      </c>
      <c r="D276" s="4" t="s">
        <v>2473</v>
      </c>
      <c r="E276" s="239">
        <v>21244738</v>
      </c>
      <c r="F276" s="230" t="str">
        <f>"https://pubmed.ncbi.nlm.nih.gov/"&amp;E276</f>
        <v>https://pubmed.ncbi.nlm.nih.gov/21244738</v>
      </c>
      <c r="G276" s="213" t="str">
        <f t="shared" si="89"/>
        <v>Winther 2010</v>
      </c>
      <c r="H276" s="195">
        <v>2007</v>
      </c>
      <c r="I276" s="199"/>
      <c r="J276" s="199"/>
      <c r="K276" s="195">
        <v>94</v>
      </c>
      <c r="L276" s="10"/>
      <c r="M276" s="195">
        <v>45</v>
      </c>
      <c r="N276" s="195">
        <v>49</v>
      </c>
      <c r="O276" s="195" t="s">
        <v>324</v>
      </c>
      <c r="P276" s="195" t="s">
        <v>324</v>
      </c>
      <c r="Q276" s="195" t="s">
        <v>324</v>
      </c>
      <c r="R276" s="195">
        <v>18</v>
      </c>
      <c r="S276" s="195">
        <v>65</v>
      </c>
      <c r="T276" s="195">
        <v>21.3</v>
      </c>
      <c r="U276" s="195" t="s">
        <v>365</v>
      </c>
      <c r="V276" s="195" t="s">
        <v>2474</v>
      </c>
      <c r="W276" s="199"/>
      <c r="X276" s="195">
        <v>94</v>
      </c>
      <c r="Y276" s="199"/>
      <c r="Z276" s="195">
        <v>72</v>
      </c>
      <c r="AA276" s="199"/>
      <c r="AB276" s="195">
        <v>0</v>
      </c>
      <c r="AC276" s="199"/>
      <c r="AD276" s="195" t="s">
        <v>322</v>
      </c>
      <c r="AE276" s="195" t="s">
        <v>332</v>
      </c>
      <c r="AF276" s="199"/>
      <c r="AG276" s="195">
        <v>38</v>
      </c>
      <c r="AH276" s="195" t="s">
        <v>316</v>
      </c>
      <c r="AI276" s="195">
        <v>0</v>
      </c>
      <c r="AJ276" s="195" t="s">
        <v>324</v>
      </c>
      <c r="AK276" s="195" t="s">
        <v>2475</v>
      </c>
      <c r="AL276" s="195" t="s">
        <v>322</v>
      </c>
      <c r="AM276" s="199"/>
      <c r="AN276" s="195" t="s">
        <v>2476</v>
      </c>
      <c r="AO276" s="195" t="s">
        <v>2477</v>
      </c>
      <c r="AP276" s="195" t="s">
        <v>2478</v>
      </c>
      <c r="AQ276" s="195" t="s">
        <v>2479</v>
      </c>
      <c r="AR276" s="220" t="s">
        <v>1431</v>
      </c>
      <c r="AS276" s="195" t="s">
        <v>308</v>
      </c>
      <c r="AT276" s="199"/>
      <c r="AU276" s="202" t="s">
        <v>2480</v>
      </c>
      <c r="AV276" s="195" t="s">
        <v>9</v>
      </c>
      <c r="AW276" s="195" t="str">
        <f ca="1">IFERROR(__xludf.DUMMYFUNCTION("IF(AND(IF(AS276=""Yes"",True,False),NOT(IFERROR(REGEXMATCH(AV276,ExclusionCategories),FALSE))),""Yes"", ""No"")"),"Yes")</f>
        <v>Yes</v>
      </c>
      <c r="AX276" s="195">
        <f ca="1">IFERROR(__xludf.DUMMYFUNCTION("IF(IFERROR(SEARCH(""Unclear"", Z276)) = 1, VALUE(REGEXEXTRACT(Z276,""\d+"")), Z276)"),72)</f>
        <v>72</v>
      </c>
      <c r="AY276" s="195">
        <v>72</v>
      </c>
      <c r="AZ276" s="195">
        <f ca="1">IFERROR(__xludf.DUMMYFUNCTION("IF(IFERROR(SEARCH(""Unclear"", AG276)) = 1, VALUE(REGEXEXTRACT(AG276,""\d+"")), AG276)"),38)</f>
        <v>38</v>
      </c>
      <c r="BA276" s="195">
        <v>38</v>
      </c>
      <c r="BB276" s="195" t="str">
        <f ca="1">IFERROR(__xludf.DUMMYFUNCTION("IF(IFERROR(SEARCH(""Unclear"", AJ276)) = 1, VALUE(REGEXEXTRACT(AJ276,""\d+"")), AJ276)"),"ND")</f>
        <v>ND</v>
      </c>
      <c r="BC276" s="195" t="s">
        <v>324</v>
      </c>
      <c r="BD276" s="195" t="b">
        <f t="shared" si="2"/>
        <v>1</v>
      </c>
      <c r="BE276" s="195" t="b">
        <f t="shared" ref="BE276:BF276" si="295">IF(IFERROR(FIND("ND",AI276),0),FALSE,TRUE)</f>
        <v>1</v>
      </c>
      <c r="BF276" s="195" t="b">
        <f t="shared" si="295"/>
        <v>0</v>
      </c>
    </row>
    <row r="277" spans="1:58" ht="37.5" customHeight="1">
      <c r="A277" s="218" t="s">
        <v>2481</v>
      </c>
      <c r="B277" s="241">
        <v>1994</v>
      </c>
      <c r="C277" s="195" t="s">
        <v>457</v>
      </c>
      <c r="D277" s="4" t="s">
        <v>2482</v>
      </c>
      <c r="E277" s="241">
        <v>8163832</v>
      </c>
      <c r="F277" s="219" t="str">
        <f t="shared" ref="F277:F287" si="296">"https://pubmed.ncbi.nlm.nih.gov/?term="&amp;E277</f>
        <v>https://pubmed.ncbi.nlm.nih.gov/?term=8163832</v>
      </c>
      <c r="G277" s="213" t="str">
        <f t="shared" si="89"/>
        <v>Zuckerman 1994</v>
      </c>
      <c r="H277" s="217">
        <v>1994</v>
      </c>
      <c r="I277" s="199"/>
      <c r="J277" s="199"/>
      <c r="K277" s="195">
        <v>36</v>
      </c>
      <c r="L277" s="4" t="s">
        <v>2483</v>
      </c>
      <c r="M277" s="195" t="s">
        <v>324</v>
      </c>
      <c r="N277" s="195" t="s">
        <v>324</v>
      </c>
      <c r="O277" s="195" t="s">
        <v>324</v>
      </c>
      <c r="P277" s="195" t="s">
        <v>324</v>
      </c>
      <c r="Q277" s="195" t="s">
        <v>324</v>
      </c>
      <c r="R277" s="195" t="s">
        <v>324</v>
      </c>
      <c r="S277" s="195" t="s">
        <v>324</v>
      </c>
      <c r="T277" s="195" t="s">
        <v>324</v>
      </c>
      <c r="U277" s="195" t="s">
        <v>324</v>
      </c>
      <c r="V277" s="195" t="s">
        <v>2484</v>
      </c>
      <c r="W277" s="199"/>
      <c r="X277" s="195">
        <v>26</v>
      </c>
      <c r="Y277" s="199"/>
      <c r="Z277" s="195">
        <v>6</v>
      </c>
      <c r="AA277" s="199"/>
      <c r="AB277" s="195">
        <v>10</v>
      </c>
      <c r="AC277" s="199"/>
      <c r="AD277" s="195">
        <v>0</v>
      </c>
      <c r="AE277" s="195" t="s">
        <v>2485</v>
      </c>
      <c r="AF277" s="195" t="s">
        <v>2192</v>
      </c>
      <c r="AG277" s="195">
        <v>9</v>
      </c>
      <c r="AH277" s="195" t="s">
        <v>308</v>
      </c>
      <c r="AI277" s="195">
        <v>0</v>
      </c>
      <c r="AJ277" s="195">
        <v>1</v>
      </c>
      <c r="AK277" s="195" t="s">
        <v>499</v>
      </c>
      <c r="AL277" s="195" t="s">
        <v>324</v>
      </c>
      <c r="AM277" s="199"/>
      <c r="AN277" s="195" t="s">
        <v>332</v>
      </c>
      <c r="AO277" s="195" t="s">
        <v>324</v>
      </c>
      <c r="AP277" s="195" t="s">
        <v>2486</v>
      </c>
      <c r="AQ277" s="195" t="s">
        <v>324</v>
      </c>
      <c r="AR277" s="220" t="s">
        <v>1431</v>
      </c>
      <c r="AS277" s="195" t="s">
        <v>316</v>
      </c>
      <c r="AT277" s="199"/>
      <c r="AU277" s="202" t="s">
        <v>2487</v>
      </c>
      <c r="AV277" s="195" t="s">
        <v>1447</v>
      </c>
      <c r="AW277" s="195" t="str">
        <f ca="1">IFERROR(__xludf.DUMMYFUNCTION("IF(AND(IF(AS277=""Yes"",True,False),NOT(IFERROR(REGEXMATCH(AV277,ExclusionCategories),FALSE))),""Yes"", ""No"")"),"No")</f>
        <v>No</v>
      </c>
      <c r="AX277" s="195">
        <f ca="1">IFERROR(__xludf.DUMMYFUNCTION("IF(IFERROR(SEARCH(""Unclear"", Z277)) = 1, VALUE(REGEXEXTRACT(Z277,""\d+"")), Z277)"),6)</f>
        <v>6</v>
      </c>
      <c r="AY277" s="195">
        <v>6</v>
      </c>
      <c r="AZ277" s="195">
        <f ca="1">IFERROR(__xludf.DUMMYFUNCTION("IF(IFERROR(SEARCH(""Unclear"", AG277)) = 1, VALUE(REGEXEXTRACT(AG277,""\d+"")), AG277)"),9)</f>
        <v>9</v>
      </c>
      <c r="BA277" s="195">
        <v>9</v>
      </c>
      <c r="BB277" s="195">
        <f ca="1">IFERROR(__xludf.DUMMYFUNCTION("IF(IFERROR(SEARCH(""Unclear"", AJ277)) = 1, VALUE(REGEXEXTRACT(AJ277,""\d+"")), AJ277)"),1)</f>
        <v>1</v>
      </c>
      <c r="BC277" s="195">
        <v>1</v>
      </c>
      <c r="BD277" s="195" t="b">
        <f t="shared" si="2"/>
        <v>1</v>
      </c>
      <c r="BE277" s="195" t="b">
        <f t="shared" ref="BE277:BF277" si="297">IF(IFERROR(FIND("ND",AI277),0),FALSE,TRUE)</f>
        <v>1</v>
      </c>
      <c r="BF277" s="195" t="b">
        <f t="shared" si="297"/>
        <v>1</v>
      </c>
    </row>
    <row r="278" spans="1:58" ht="37.5" customHeight="1">
      <c r="A278" s="218" t="s">
        <v>2481</v>
      </c>
      <c r="B278" s="241">
        <v>1994</v>
      </c>
      <c r="C278" s="195" t="s">
        <v>457</v>
      </c>
      <c r="D278" s="4" t="s">
        <v>2488</v>
      </c>
      <c r="E278" s="241">
        <v>8163832</v>
      </c>
      <c r="F278" s="219" t="str">
        <f t="shared" si="296"/>
        <v>https://pubmed.ncbi.nlm.nih.gov/?term=8163832</v>
      </c>
      <c r="G278" s="213" t="str">
        <f t="shared" si="89"/>
        <v>Zuckerman 1994</v>
      </c>
      <c r="H278" s="217">
        <v>1994</v>
      </c>
      <c r="I278" s="199"/>
      <c r="J278" s="199"/>
      <c r="K278" s="195">
        <v>26</v>
      </c>
      <c r="L278" s="4" t="s">
        <v>2489</v>
      </c>
      <c r="M278" s="195" t="s">
        <v>324</v>
      </c>
      <c r="N278" s="195" t="s">
        <v>324</v>
      </c>
      <c r="O278" s="195" t="s">
        <v>324</v>
      </c>
      <c r="P278" s="195" t="s">
        <v>324</v>
      </c>
      <c r="Q278" s="195" t="s">
        <v>324</v>
      </c>
      <c r="R278" s="195" t="s">
        <v>324</v>
      </c>
      <c r="S278" s="195" t="s">
        <v>324</v>
      </c>
      <c r="T278" s="195" t="s">
        <v>324</v>
      </c>
      <c r="U278" s="195" t="s">
        <v>324</v>
      </c>
      <c r="V278" s="195" t="s">
        <v>2484</v>
      </c>
      <c r="W278" s="199"/>
      <c r="X278" s="195">
        <v>26</v>
      </c>
      <c r="Y278" s="199"/>
      <c r="Z278" s="195">
        <v>3</v>
      </c>
      <c r="AA278" s="199"/>
      <c r="AB278" s="195">
        <v>0</v>
      </c>
      <c r="AC278" s="199"/>
      <c r="AD278" s="195" t="s">
        <v>322</v>
      </c>
      <c r="AE278" s="195" t="s">
        <v>2485</v>
      </c>
      <c r="AF278" s="195" t="s">
        <v>2192</v>
      </c>
      <c r="AG278" s="195">
        <v>7</v>
      </c>
      <c r="AH278" s="195" t="s">
        <v>308</v>
      </c>
      <c r="AI278" s="195">
        <v>0</v>
      </c>
      <c r="AJ278" s="195">
        <v>0</v>
      </c>
      <c r="AK278" s="195" t="s">
        <v>499</v>
      </c>
      <c r="AL278" s="195" t="s">
        <v>322</v>
      </c>
      <c r="AM278" s="199"/>
      <c r="AN278" s="195" t="s">
        <v>332</v>
      </c>
      <c r="AO278" s="195" t="s">
        <v>324</v>
      </c>
      <c r="AP278" s="195" t="s">
        <v>2486</v>
      </c>
      <c r="AQ278" s="195" t="s">
        <v>324</v>
      </c>
      <c r="AR278" s="220" t="s">
        <v>1431</v>
      </c>
      <c r="AS278" s="195" t="s">
        <v>316</v>
      </c>
      <c r="AT278" s="199"/>
      <c r="AU278" s="202" t="s">
        <v>2487</v>
      </c>
      <c r="AV278" s="195" t="s">
        <v>1567</v>
      </c>
      <c r="AW278" s="195" t="str">
        <f ca="1">IFERROR(__xludf.DUMMYFUNCTION("IF(AND(IF(AS278=""Yes"",True,False),NOT(IFERROR(REGEXMATCH(AV278,ExclusionCategories),FALSE))),""Yes"", ""No"")"),"No")</f>
        <v>No</v>
      </c>
      <c r="AX278" s="195">
        <f ca="1">IFERROR(__xludf.DUMMYFUNCTION("IF(IFERROR(SEARCH(""Unclear"", Z278)) = 1, VALUE(REGEXEXTRACT(Z278,""\d+"")), Z278)"),3)</f>
        <v>3</v>
      </c>
      <c r="AY278" s="195">
        <v>3</v>
      </c>
      <c r="AZ278" s="195">
        <f ca="1">IFERROR(__xludf.DUMMYFUNCTION("IF(IFERROR(SEARCH(""Unclear"", AG278)) = 1, VALUE(REGEXEXTRACT(AG278,""\d+"")), AG278)"),7)</f>
        <v>7</v>
      </c>
      <c r="BA278" s="195">
        <v>7</v>
      </c>
      <c r="BB278" s="195">
        <f ca="1">IFERROR(__xludf.DUMMYFUNCTION("IF(IFERROR(SEARCH(""Unclear"", AJ278)) = 1, VALUE(REGEXEXTRACT(AJ278,""\d+"")), AJ278)"),0)</f>
        <v>0</v>
      </c>
      <c r="BC278" s="195">
        <v>0</v>
      </c>
      <c r="BD278" s="195" t="b">
        <f t="shared" si="2"/>
        <v>1</v>
      </c>
      <c r="BE278" s="195" t="b">
        <f t="shared" ref="BE278:BF278" si="298">IF(IFERROR(FIND("ND",AI278),0),FALSE,TRUE)</f>
        <v>1</v>
      </c>
      <c r="BF278" s="195" t="b">
        <f t="shared" si="298"/>
        <v>1</v>
      </c>
    </row>
    <row r="279" spans="1:58" ht="37.5" customHeight="1">
      <c r="A279" s="218" t="s">
        <v>2481</v>
      </c>
      <c r="B279" s="241">
        <v>1994</v>
      </c>
      <c r="C279" s="195" t="s">
        <v>457</v>
      </c>
      <c r="D279" s="4" t="s">
        <v>2490</v>
      </c>
      <c r="E279" s="241">
        <v>8163832</v>
      </c>
      <c r="F279" s="219" t="str">
        <f t="shared" si="296"/>
        <v>https://pubmed.ncbi.nlm.nih.gov/?term=8163832</v>
      </c>
      <c r="G279" s="213" t="str">
        <f t="shared" si="89"/>
        <v>Zuckerman 1994</v>
      </c>
      <c r="H279" s="217">
        <v>1994</v>
      </c>
      <c r="I279" s="199"/>
      <c r="J279" s="199"/>
      <c r="K279" s="195">
        <v>62</v>
      </c>
      <c r="L279" s="4" t="s">
        <v>1571</v>
      </c>
      <c r="M279" s="195" t="s">
        <v>324</v>
      </c>
      <c r="N279" s="195" t="s">
        <v>324</v>
      </c>
      <c r="O279" s="195" t="s">
        <v>324</v>
      </c>
      <c r="P279" s="195" t="s">
        <v>324</v>
      </c>
      <c r="Q279" s="195" t="s">
        <v>324</v>
      </c>
      <c r="R279" s="195" t="s">
        <v>324</v>
      </c>
      <c r="S279" s="195" t="s">
        <v>324</v>
      </c>
      <c r="T279" s="195" t="s">
        <v>324</v>
      </c>
      <c r="U279" s="195" t="s">
        <v>324</v>
      </c>
      <c r="V279" s="195" t="s">
        <v>2484</v>
      </c>
      <c r="W279" s="199"/>
      <c r="X279" s="195">
        <v>52</v>
      </c>
      <c r="Y279" s="199"/>
      <c r="Z279" s="195">
        <v>9</v>
      </c>
      <c r="AA279" s="199"/>
      <c r="AB279" s="195">
        <v>10</v>
      </c>
      <c r="AC279" s="199"/>
      <c r="AD279" s="195">
        <v>0</v>
      </c>
      <c r="AE279" s="195" t="s">
        <v>2485</v>
      </c>
      <c r="AF279" s="195" t="s">
        <v>2192</v>
      </c>
      <c r="AG279" s="195">
        <v>16</v>
      </c>
      <c r="AH279" s="195" t="s">
        <v>308</v>
      </c>
      <c r="AI279" s="195">
        <v>0</v>
      </c>
      <c r="AJ279" s="195">
        <v>1</v>
      </c>
      <c r="AK279" s="195" t="s">
        <v>499</v>
      </c>
      <c r="AL279" s="195" t="s">
        <v>324</v>
      </c>
      <c r="AM279" s="199"/>
      <c r="AN279" s="195" t="s">
        <v>332</v>
      </c>
      <c r="AO279" s="195" t="s">
        <v>324</v>
      </c>
      <c r="AP279" s="195" t="s">
        <v>2486</v>
      </c>
      <c r="AQ279" s="195" t="s">
        <v>324</v>
      </c>
      <c r="AR279" s="220" t="s">
        <v>1431</v>
      </c>
      <c r="AS279" s="195" t="s">
        <v>308</v>
      </c>
      <c r="AT279" s="199"/>
      <c r="AU279" s="202" t="s">
        <v>2487</v>
      </c>
      <c r="AV279" s="195" t="s">
        <v>1572</v>
      </c>
      <c r="AW279" s="195" t="str">
        <f ca="1">IFERROR(__xludf.DUMMYFUNCTION("IF(AND(IF(AS279=""Yes"",True,False),NOT(IFERROR(REGEXMATCH(AV279,ExclusionCategories),FALSE))),""Yes"", ""No"")"),"Yes")</f>
        <v>Yes</v>
      </c>
      <c r="AX279" s="195">
        <f ca="1">IFERROR(__xludf.DUMMYFUNCTION("IF(IFERROR(SEARCH(""Unclear"", Z279)) = 1, VALUE(REGEXEXTRACT(Z279,""\d+"")), Z279)"),9)</f>
        <v>9</v>
      </c>
      <c r="AY279" s="195">
        <v>9</v>
      </c>
      <c r="AZ279" s="195">
        <f ca="1">IFERROR(__xludf.DUMMYFUNCTION("IF(IFERROR(SEARCH(""Unclear"", AG279)) = 1, VALUE(REGEXEXTRACT(AG279,""\d+"")), AG279)"),16)</f>
        <v>16</v>
      </c>
      <c r="BA279" s="195">
        <v>16</v>
      </c>
      <c r="BB279" s="195">
        <f ca="1">IFERROR(__xludf.DUMMYFUNCTION("IF(IFERROR(SEARCH(""Unclear"", AJ279)) = 1, VALUE(REGEXEXTRACT(AJ279,""\d+"")), AJ279)"),1)</f>
        <v>1</v>
      </c>
      <c r="BC279" s="195">
        <v>1</v>
      </c>
      <c r="BD279" s="195" t="b">
        <f t="shared" si="2"/>
        <v>1</v>
      </c>
      <c r="BE279" s="195" t="b">
        <f t="shared" ref="BE279:BF279" si="299">IF(IFERROR(FIND("ND",AI279),0),FALSE,TRUE)</f>
        <v>1</v>
      </c>
      <c r="BF279" s="195" t="b">
        <f t="shared" si="299"/>
        <v>1</v>
      </c>
    </row>
    <row r="280" spans="1:58" ht="37.5" customHeight="1">
      <c r="A280" s="251" t="s">
        <v>1130</v>
      </c>
      <c r="B280" s="252">
        <v>2020</v>
      </c>
      <c r="C280" s="195" t="s">
        <v>339</v>
      </c>
      <c r="D280" s="4" t="s">
        <v>1150</v>
      </c>
      <c r="E280" s="252">
        <v>32239164</v>
      </c>
      <c r="F280" s="219" t="str">
        <f t="shared" si="296"/>
        <v>https://pubmed.ncbi.nlm.nih.gov/?term=32239164</v>
      </c>
      <c r="G280" s="213" t="str">
        <f t="shared" si="89"/>
        <v>McCarthy 2020</v>
      </c>
      <c r="H280" s="195">
        <v>2017</v>
      </c>
      <c r="I280" s="195" t="s">
        <v>2491</v>
      </c>
      <c r="J280" s="229" t="s">
        <v>2492</v>
      </c>
      <c r="K280" s="195">
        <v>15</v>
      </c>
      <c r="L280" s="4"/>
      <c r="M280" s="195">
        <v>15</v>
      </c>
      <c r="N280" s="195">
        <v>0</v>
      </c>
      <c r="O280" s="195" t="s">
        <v>324</v>
      </c>
      <c r="P280" s="195">
        <v>20</v>
      </c>
      <c r="Q280" s="195">
        <v>48</v>
      </c>
      <c r="R280" s="195">
        <v>18</v>
      </c>
      <c r="S280" s="195">
        <v>55</v>
      </c>
      <c r="T280" s="195" t="s">
        <v>847</v>
      </c>
      <c r="U280" s="195" t="s">
        <v>365</v>
      </c>
      <c r="V280" s="195" t="s">
        <v>2493</v>
      </c>
      <c r="W280" s="199"/>
      <c r="X280" s="195">
        <v>15</v>
      </c>
      <c r="Y280" s="195" t="s">
        <v>2494</v>
      </c>
      <c r="Z280" s="195">
        <v>14</v>
      </c>
      <c r="AA280" s="199"/>
      <c r="AB280" s="195">
        <v>0</v>
      </c>
      <c r="AC280" s="199"/>
      <c r="AD280" s="195" t="s">
        <v>322</v>
      </c>
      <c r="AE280" s="195" t="s">
        <v>2495</v>
      </c>
      <c r="AF280" s="195"/>
      <c r="AG280" s="195">
        <v>15</v>
      </c>
      <c r="AH280" s="195" t="s">
        <v>308</v>
      </c>
      <c r="AI280" s="195">
        <v>0</v>
      </c>
      <c r="AJ280" s="195">
        <v>3</v>
      </c>
      <c r="AK280" s="195" t="s">
        <v>2496</v>
      </c>
      <c r="AL280" s="195" t="s">
        <v>322</v>
      </c>
      <c r="AM280" s="199"/>
      <c r="AN280" s="195" t="s">
        <v>2497</v>
      </c>
      <c r="AO280" s="195" t="s">
        <v>2498</v>
      </c>
      <c r="AP280" s="195" t="s">
        <v>2499</v>
      </c>
      <c r="AQ280" s="195" t="s">
        <v>2500</v>
      </c>
      <c r="AR280" s="220" t="s">
        <v>2501</v>
      </c>
      <c r="AS280" s="195" t="s">
        <v>308</v>
      </c>
      <c r="AT280" s="199"/>
      <c r="AU280" s="195" t="s">
        <v>2502</v>
      </c>
      <c r="AV280" s="195" t="s">
        <v>9</v>
      </c>
      <c r="AW280" s="195" t="str">
        <f ca="1">IFERROR(__xludf.DUMMYFUNCTION("IF(AND(IF(AS280=""Yes"",True,False),NOT(IFERROR(REGEXMATCH(AV280,ExclusionCategories),FALSE))),""Yes"", ""No"")"),"Yes")</f>
        <v>Yes</v>
      </c>
      <c r="AX280" s="195">
        <f ca="1">IFERROR(__xludf.DUMMYFUNCTION("IF(IFERROR(SEARCH(""Unclear"", Z280)) = 1, VALUE(REGEXEXTRACT(Z280,""\d+"")), Z280)"),14)</f>
        <v>14</v>
      </c>
      <c r="AY280" s="195">
        <v>14</v>
      </c>
      <c r="AZ280" s="195">
        <f ca="1">IFERROR(__xludf.DUMMYFUNCTION("IF(IFERROR(SEARCH(""Unclear"", AG280)) = 1, VALUE(REGEXEXTRACT(AG280,""\d+"")), AG280)"),15)</f>
        <v>15</v>
      </c>
      <c r="BA280" s="195">
        <v>15</v>
      </c>
      <c r="BB280" s="195">
        <f ca="1">IFERROR(__xludf.DUMMYFUNCTION("IF(IFERROR(SEARCH(""Unclear"", AJ280)) = 1, VALUE(REGEXEXTRACT(AJ280,""\d+"")), AJ280)"),3)</f>
        <v>3</v>
      </c>
      <c r="BC280" s="195">
        <v>3</v>
      </c>
      <c r="BD280" s="195" t="b">
        <f t="shared" si="2"/>
        <v>1</v>
      </c>
      <c r="BE280" s="195" t="b">
        <f t="shared" ref="BE280:BF280" si="300">IF(IFERROR(FIND("ND",AI280),0),FALSE,TRUE)</f>
        <v>1</v>
      </c>
      <c r="BF280" s="195" t="b">
        <f t="shared" si="300"/>
        <v>1</v>
      </c>
    </row>
    <row r="281" spans="1:58" ht="37.5" customHeight="1">
      <c r="A281" s="251" t="s">
        <v>1331</v>
      </c>
      <c r="B281" s="252">
        <v>2021</v>
      </c>
      <c r="C281" s="195" t="s">
        <v>605</v>
      </c>
      <c r="D281" s="4" t="s">
        <v>2503</v>
      </c>
      <c r="E281" s="252">
        <v>33862589</v>
      </c>
      <c r="F281" s="219" t="str">
        <f t="shared" si="296"/>
        <v>https://pubmed.ncbi.nlm.nih.gov/?term=33862589</v>
      </c>
      <c r="G281" s="213" t="str">
        <f t="shared" si="89"/>
        <v>Talaat 2021</v>
      </c>
      <c r="H281" s="195">
        <v>2017</v>
      </c>
      <c r="I281" s="195" t="s">
        <v>2504</v>
      </c>
      <c r="J281" s="229" t="s">
        <v>2505</v>
      </c>
      <c r="K281" s="195">
        <v>59</v>
      </c>
      <c r="L281" s="4"/>
      <c r="M281" s="195">
        <v>42</v>
      </c>
      <c r="N281" s="195">
        <v>17</v>
      </c>
      <c r="O281" s="195">
        <v>34.799999999999997</v>
      </c>
      <c r="P281" s="195">
        <v>22.3</v>
      </c>
      <c r="Q281" s="195">
        <v>50.3</v>
      </c>
      <c r="R281" s="195">
        <v>18</v>
      </c>
      <c r="S281" s="195">
        <v>50</v>
      </c>
      <c r="T281" s="195">
        <v>35.4</v>
      </c>
      <c r="U281" s="195" t="s">
        <v>324</v>
      </c>
      <c r="V281" s="195" t="s">
        <v>2506</v>
      </c>
      <c r="W281" s="199"/>
      <c r="X281" s="195">
        <v>59</v>
      </c>
      <c r="Y281" s="195" t="s">
        <v>2507</v>
      </c>
      <c r="Z281" s="195">
        <v>31</v>
      </c>
      <c r="AA281" s="195" t="s">
        <v>2508</v>
      </c>
      <c r="AB281" s="195">
        <v>0</v>
      </c>
      <c r="AC281" s="199"/>
      <c r="AD281" s="195" t="s">
        <v>322</v>
      </c>
      <c r="AE281" s="195" t="s">
        <v>2509</v>
      </c>
      <c r="AF281" s="195" t="s">
        <v>2510</v>
      </c>
      <c r="AG281" s="195" t="s">
        <v>324</v>
      </c>
      <c r="AH281" s="195" t="s">
        <v>308</v>
      </c>
      <c r="AI281" s="195">
        <v>0</v>
      </c>
      <c r="AJ281" s="195" t="s">
        <v>324</v>
      </c>
      <c r="AK281" s="195" t="s">
        <v>2511</v>
      </c>
      <c r="AL281" s="195" t="s">
        <v>322</v>
      </c>
      <c r="AM281" s="199"/>
      <c r="AN281" s="195" t="s">
        <v>2512</v>
      </c>
      <c r="AO281" s="195" t="s">
        <v>2513</v>
      </c>
      <c r="AP281" s="195" t="s">
        <v>2514</v>
      </c>
      <c r="AQ281" s="195" t="s">
        <v>2515</v>
      </c>
      <c r="AR281" s="220" t="s">
        <v>2501</v>
      </c>
      <c r="AS281" s="195" t="s">
        <v>308</v>
      </c>
      <c r="AT281" s="199"/>
      <c r="AU281" s="195" t="s">
        <v>2516</v>
      </c>
      <c r="AV281" s="195" t="s">
        <v>9</v>
      </c>
      <c r="AW281" s="195" t="str">
        <f ca="1">IFERROR(__xludf.DUMMYFUNCTION("IF(AND(IF(AS281=""Yes"",True,False),NOT(IFERROR(REGEXMATCH(AV281,ExclusionCategories),FALSE))),""Yes"", ""No"")"),"Yes")</f>
        <v>Yes</v>
      </c>
      <c r="AX281" s="195">
        <f ca="1">IFERROR(__xludf.DUMMYFUNCTION("IF(IFERROR(SEARCH(""Unclear"", Z281)) = 1, VALUE(REGEXEXTRACT(Z281,""\d+"")), Z281)"),31)</f>
        <v>31</v>
      </c>
      <c r="AY281" s="195">
        <v>31</v>
      </c>
      <c r="AZ281" s="195" t="str">
        <f ca="1">IFERROR(__xludf.DUMMYFUNCTION("IF(IFERROR(SEARCH(""Unclear"", AG281)) = 1, VALUE(REGEXEXTRACT(AG281,""\d+"")), AG281)"),"ND")</f>
        <v>ND</v>
      </c>
      <c r="BA281" s="195" t="s">
        <v>324</v>
      </c>
      <c r="BB281" s="195" t="str">
        <f ca="1">IFERROR(__xludf.DUMMYFUNCTION("IF(IFERROR(SEARCH(""Unclear"", AJ281)) = 1, VALUE(REGEXEXTRACT(AJ281,""\d+"")), AJ281)"),"ND")</f>
        <v>ND</v>
      </c>
      <c r="BC281" s="195" t="s">
        <v>324</v>
      </c>
      <c r="BD281" s="195" t="b">
        <f t="shared" si="2"/>
        <v>0</v>
      </c>
      <c r="BE281" s="195" t="b">
        <f t="shared" ref="BE281:BF281" si="301">IF(IFERROR(FIND("ND",AI281),0),FALSE,TRUE)</f>
        <v>1</v>
      </c>
      <c r="BF281" s="195" t="b">
        <f t="shared" si="301"/>
        <v>0</v>
      </c>
    </row>
    <row r="282" spans="1:58" ht="37.5" customHeight="1">
      <c r="A282" s="251" t="s">
        <v>2517</v>
      </c>
      <c r="B282" s="252">
        <v>2021</v>
      </c>
      <c r="C282" s="195" t="s">
        <v>409</v>
      </c>
      <c r="D282" s="4" t="s">
        <v>2518</v>
      </c>
      <c r="E282" s="252">
        <v>34419209</v>
      </c>
      <c r="F282" s="219" t="str">
        <f t="shared" si="296"/>
        <v>https://pubmed.ncbi.nlm.nih.gov/?term=34419209</v>
      </c>
      <c r="G282" s="213" t="str">
        <f t="shared" si="89"/>
        <v>Chapman 2021</v>
      </c>
      <c r="H282" s="195">
        <v>2018</v>
      </c>
      <c r="I282" s="195" t="s">
        <v>2519</v>
      </c>
      <c r="J282" s="195"/>
      <c r="K282" s="195">
        <v>7</v>
      </c>
      <c r="L282" s="4" t="s">
        <v>2520</v>
      </c>
      <c r="M282" s="195">
        <v>1</v>
      </c>
      <c r="N282" s="195">
        <v>6</v>
      </c>
      <c r="O282" s="195">
        <v>34</v>
      </c>
      <c r="P282" s="195" t="s">
        <v>2357</v>
      </c>
      <c r="Q282" s="195" t="s">
        <v>2521</v>
      </c>
      <c r="R282" s="195">
        <v>18</v>
      </c>
      <c r="S282" s="195">
        <v>65</v>
      </c>
      <c r="T282" s="195" t="s">
        <v>324</v>
      </c>
      <c r="U282" s="195" t="s">
        <v>324</v>
      </c>
      <c r="V282" s="195" t="s">
        <v>2522</v>
      </c>
      <c r="W282" s="199"/>
      <c r="X282" s="195">
        <v>7</v>
      </c>
      <c r="Y282" s="195"/>
      <c r="Z282" s="195" t="s">
        <v>324</v>
      </c>
      <c r="AA282" s="195"/>
      <c r="AB282" s="195">
        <v>0</v>
      </c>
      <c r="AC282" s="199"/>
      <c r="AD282" s="195" t="s">
        <v>322</v>
      </c>
      <c r="AE282" s="195" t="s">
        <v>2523</v>
      </c>
      <c r="AF282" s="195"/>
      <c r="AG282" s="195">
        <v>7</v>
      </c>
      <c r="AH282" s="195" t="s">
        <v>308</v>
      </c>
      <c r="AI282" s="195">
        <v>0</v>
      </c>
      <c r="AJ282" s="195">
        <v>0</v>
      </c>
      <c r="AK282" s="195" t="s">
        <v>2524</v>
      </c>
      <c r="AL282" s="195" t="s">
        <v>322</v>
      </c>
      <c r="AM282" s="199"/>
      <c r="AN282" s="195" t="s">
        <v>2525</v>
      </c>
      <c r="AO282" s="195" t="s">
        <v>2526</v>
      </c>
      <c r="AP282" s="195" t="s">
        <v>2527</v>
      </c>
      <c r="AQ282" s="195" t="s">
        <v>2528</v>
      </c>
      <c r="AR282" s="220" t="s">
        <v>2501</v>
      </c>
      <c r="AS282" s="195" t="s">
        <v>316</v>
      </c>
      <c r="AT282" s="199"/>
      <c r="AU282" s="195" t="s">
        <v>2529</v>
      </c>
      <c r="AV282" s="195" t="s">
        <v>2339</v>
      </c>
      <c r="AW282" s="195" t="str">
        <f ca="1">IFERROR(__xludf.DUMMYFUNCTION("IF(AND(IF(AS282=""Yes"",True,False),NOT(IFERROR(REGEXMATCH(AV282,ExclusionCategories),FALSE))),""Yes"", ""No"")"),"No")</f>
        <v>No</v>
      </c>
      <c r="AX282" s="195" t="str">
        <f ca="1">IFERROR(__xludf.DUMMYFUNCTION("IF(IFERROR(SEARCH(""Unclear"", Z282)) = 1, VALUE(REGEXEXTRACT(Z282,""\d+"")), Z282)"),"ND")</f>
        <v>ND</v>
      </c>
      <c r="AY282" s="195" t="s">
        <v>324</v>
      </c>
      <c r="AZ282" s="195">
        <f ca="1">IFERROR(__xludf.DUMMYFUNCTION("IF(IFERROR(SEARCH(""Unclear"", AG282)) = 1, VALUE(REGEXEXTRACT(AG282,""\d+"")), AG282)"),7)</f>
        <v>7</v>
      </c>
      <c r="BA282" s="195">
        <v>7</v>
      </c>
      <c r="BB282" s="195">
        <f ca="1">IFERROR(__xludf.DUMMYFUNCTION("IF(IFERROR(SEARCH(""Unclear"", AJ282)) = 1, VALUE(REGEXEXTRACT(AJ282,""\d+"")), AJ282)"),0)</f>
        <v>0</v>
      </c>
      <c r="BC282" s="195">
        <v>0</v>
      </c>
      <c r="BD282" s="195" t="b">
        <f t="shared" si="2"/>
        <v>1</v>
      </c>
      <c r="BE282" s="195" t="b">
        <f t="shared" ref="BE282:BF282" si="302">IF(IFERROR(FIND("ND",AI282),0),FALSE,TRUE)</f>
        <v>1</v>
      </c>
      <c r="BF282" s="195" t="b">
        <f t="shared" si="302"/>
        <v>1</v>
      </c>
    </row>
    <row r="283" spans="1:58" ht="37.5" customHeight="1">
      <c r="A283" s="251" t="s">
        <v>2517</v>
      </c>
      <c r="B283" s="252">
        <v>2021</v>
      </c>
      <c r="C283" s="195" t="s">
        <v>409</v>
      </c>
      <c r="D283" s="4" t="s">
        <v>2518</v>
      </c>
      <c r="E283" s="252">
        <v>34419209</v>
      </c>
      <c r="F283" s="219" t="str">
        <f t="shared" si="296"/>
        <v>https://pubmed.ncbi.nlm.nih.gov/?term=34419209</v>
      </c>
      <c r="G283" s="213" t="str">
        <f t="shared" si="89"/>
        <v>Chapman 2021</v>
      </c>
      <c r="H283" s="195">
        <v>2018</v>
      </c>
      <c r="I283" s="195" t="s">
        <v>2519</v>
      </c>
      <c r="J283" s="195"/>
      <c r="K283" s="195">
        <v>15</v>
      </c>
      <c r="L283" s="4" t="s">
        <v>301</v>
      </c>
      <c r="M283" s="195">
        <v>11</v>
      </c>
      <c r="N283" s="195">
        <v>4</v>
      </c>
      <c r="O283" s="195" t="s">
        <v>2530</v>
      </c>
      <c r="P283" s="195" t="s">
        <v>324</v>
      </c>
      <c r="Q283" s="195" t="s">
        <v>324</v>
      </c>
      <c r="R283" s="195">
        <v>18</v>
      </c>
      <c r="S283" s="195">
        <v>65</v>
      </c>
      <c r="T283" s="195" t="s">
        <v>324</v>
      </c>
      <c r="U283" s="195" t="s">
        <v>324</v>
      </c>
      <c r="V283" s="195" t="s">
        <v>2522</v>
      </c>
      <c r="W283" s="199"/>
      <c r="X283" s="195">
        <v>10</v>
      </c>
      <c r="Y283" s="195"/>
      <c r="Z283" s="195" t="s">
        <v>324</v>
      </c>
      <c r="AA283" s="195"/>
      <c r="AB283" s="195">
        <v>5</v>
      </c>
      <c r="AC283" s="199"/>
      <c r="AD283" s="195" t="s">
        <v>324</v>
      </c>
      <c r="AE283" s="195" t="s">
        <v>2523</v>
      </c>
      <c r="AF283" s="195"/>
      <c r="AG283" s="195" t="s">
        <v>394</v>
      </c>
      <c r="AH283" s="195" t="s">
        <v>308</v>
      </c>
      <c r="AI283" s="195">
        <v>0</v>
      </c>
      <c r="AJ283" s="195">
        <v>0</v>
      </c>
      <c r="AK283" s="195" t="s">
        <v>2531</v>
      </c>
      <c r="AL283" s="195" t="s">
        <v>2532</v>
      </c>
      <c r="AM283" s="199"/>
      <c r="AN283" s="195" t="s">
        <v>2525</v>
      </c>
      <c r="AO283" s="195" t="s">
        <v>2526</v>
      </c>
      <c r="AP283" s="195" t="s">
        <v>2527</v>
      </c>
      <c r="AQ283" s="195" t="s">
        <v>2533</v>
      </c>
      <c r="AR283" s="220" t="s">
        <v>2501</v>
      </c>
      <c r="AS283" s="195" t="s">
        <v>316</v>
      </c>
      <c r="AT283" s="199"/>
      <c r="AU283" s="195" t="s">
        <v>2529</v>
      </c>
      <c r="AV283" s="195" t="s">
        <v>6</v>
      </c>
      <c r="AW283" s="195" t="str">
        <f ca="1">IFERROR(__xludf.DUMMYFUNCTION("IF(AND(IF(AS283=""Yes"",True,False),NOT(IFERROR(REGEXMATCH(AV283,ExclusionCategories),FALSE))),""Yes"", ""No"")"),"No")</f>
        <v>No</v>
      </c>
      <c r="AX283" s="195" t="str">
        <f ca="1">IFERROR(__xludf.DUMMYFUNCTION("IF(IFERROR(SEARCH(""Unclear"", Z283)) = 1, VALUE(REGEXEXTRACT(Z283,""\d+"")), Z283)"),"ND")</f>
        <v>ND</v>
      </c>
      <c r="AY283" s="195" t="s">
        <v>324</v>
      </c>
      <c r="AZ283" s="195">
        <f ca="1">IFERROR(__xludf.DUMMYFUNCTION("IF(IFERROR(SEARCH(""Unclear"", AG283)) = 1, VALUE(REGEXEXTRACT(AG283,""\d+"")), AG283)"),0)</f>
        <v>0</v>
      </c>
      <c r="BA283" s="195">
        <v>10</v>
      </c>
      <c r="BB283" s="195">
        <f ca="1">IFERROR(__xludf.DUMMYFUNCTION("IF(IFERROR(SEARCH(""Unclear"", AJ283)) = 1, VALUE(REGEXEXTRACT(AJ283,""\d+"")), AJ283)"),0)</f>
        <v>0</v>
      </c>
      <c r="BC283" s="195">
        <v>0</v>
      </c>
      <c r="BD283" s="195" t="b">
        <f t="shared" si="2"/>
        <v>1</v>
      </c>
      <c r="BE283" s="195" t="b">
        <f t="shared" ref="BE283:BF283" si="303">IF(IFERROR(FIND("ND",AI283),0),FALSE,TRUE)</f>
        <v>1</v>
      </c>
      <c r="BF283" s="195" t="b">
        <f t="shared" si="303"/>
        <v>1</v>
      </c>
    </row>
    <row r="284" spans="1:58" ht="37.5" customHeight="1">
      <c r="A284" s="251" t="s">
        <v>2517</v>
      </c>
      <c r="B284" s="252">
        <v>2021</v>
      </c>
      <c r="C284" s="195" t="s">
        <v>409</v>
      </c>
      <c r="D284" s="4" t="s">
        <v>2534</v>
      </c>
      <c r="E284" s="252">
        <v>34419209</v>
      </c>
      <c r="F284" s="219" t="str">
        <f t="shared" si="296"/>
        <v>https://pubmed.ncbi.nlm.nih.gov/?term=34419209</v>
      </c>
      <c r="G284" s="213" t="str">
        <f t="shared" si="89"/>
        <v>Chapman 2021</v>
      </c>
      <c r="H284" s="195">
        <v>2018</v>
      </c>
      <c r="I284" s="195" t="s">
        <v>2519</v>
      </c>
      <c r="J284" s="195"/>
      <c r="K284" s="195">
        <v>15</v>
      </c>
      <c r="L284" s="4" t="s">
        <v>353</v>
      </c>
      <c r="M284" s="195">
        <v>11</v>
      </c>
      <c r="N284" s="195">
        <v>4</v>
      </c>
      <c r="O284" s="195" t="s">
        <v>2530</v>
      </c>
      <c r="P284" s="195" t="s">
        <v>324</v>
      </c>
      <c r="Q284" s="195" t="s">
        <v>324</v>
      </c>
      <c r="R284" s="195">
        <v>18</v>
      </c>
      <c r="S284" s="195">
        <v>65</v>
      </c>
      <c r="T284" s="195" t="s">
        <v>324</v>
      </c>
      <c r="U284" s="195" t="s">
        <v>324</v>
      </c>
      <c r="V284" s="195" t="s">
        <v>2535</v>
      </c>
      <c r="W284" s="199"/>
      <c r="X284" s="195">
        <v>15</v>
      </c>
      <c r="Y284" s="195" t="s">
        <v>2536</v>
      </c>
      <c r="Z284" s="195" t="s">
        <v>309</v>
      </c>
      <c r="AA284" s="195"/>
      <c r="AB284" s="195">
        <v>0</v>
      </c>
      <c r="AC284" s="199"/>
      <c r="AD284" s="195" t="s">
        <v>322</v>
      </c>
      <c r="AE284" s="195" t="s">
        <v>2523</v>
      </c>
      <c r="AF284" s="195"/>
      <c r="AG284" s="195" t="s">
        <v>345</v>
      </c>
      <c r="AH284" s="195" t="s">
        <v>308</v>
      </c>
      <c r="AI284" s="195">
        <v>0</v>
      </c>
      <c r="AJ284" s="195">
        <v>1</v>
      </c>
      <c r="AK284" s="195" t="s">
        <v>2537</v>
      </c>
      <c r="AL284" s="195" t="s">
        <v>322</v>
      </c>
      <c r="AM284" s="199"/>
      <c r="AN284" s="195" t="s">
        <v>2525</v>
      </c>
      <c r="AO284" s="195" t="s">
        <v>2526</v>
      </c>
      <c r="AP284" s="195" t="s">
        <v>2527</v>
      </c>
      <c r="AQ284" s="195" t="s">
        <v>2533</v>
      </c>
      <c r="AR284" s="220" t="s">
        <v>2501</v>
      </c>
      <c r="AS284" s="195" t="s">
        <v>316</v>
      </c>
      <c r="AT284" s="199"/>
      <c r="AU284" s="195" t="s">
        <v>2529</v>
      </c>
      <c r="AV284" s="195" t="s">
        <v>326</v>
      </c>
      <c r="AW284" s="195" t="str">
        <f ca="1">IFERROR(__xludf.DUMMYFUNCTION("IF(AND(IF(AS284=""Yes"",True,False),NOT(IFERROR(REGEXMATCH(AV284,ExclusionCategories),FALSE))),""Yes"", ""No"")"),"No")</f>
        <v>No</v>
      </c>
      <c r="AX284" s="195" t="str">
        <f ca="1">IFERROR(__xludf.DUMMYFUNCTION("IF(IFERROR(SEARCH(""Unclear"", Z284)) = 1, VALUE(REGEXEXTRACT(Z284,""\d+"")), Z284)"),"#N/A")</f>
        <v>#N/A</v>
      </c>
      <c r="AY284" s="195">
        <v>15</v>
      </c>
      <c r="AZ284" s="195">
        <f ca="1">IFERROR(__xludf.DUMMYFUNCTION("IF(IFERROR(SEARCH(""Unclear"", AG284)) = 1, VALUE(REGEXEXTRACT(AG284,""\d+"")), AG284)"),1)</f>
        <v>1</v>
      </c>
      <c r="BA284" s="195">
        <v>15</v>
      </c>
      <c r="BB284" s="195">
        <f ca="1">IFERROR(__xludf.DUMMYFUNCTION("IF(IFERROR(SEARCH(""Unclear"", AJ284)) = 1, VALUE(REGEXEXTRACT(AJ284,""\d+"")), AJ284)"),1)</f>
        <v>1</v>
      </c>
      <c r="BC284" s="195">
        <v>1</v>
      </c>
      <c r="BD284" s="195" t="b">
        <f t="shared" si="2"/>
        <v>1</v>
      </c>
      <c r="BE284" s="195" t="b">
        <f t="shared" ref="BE284:BF284" si="304">IF(IFERROR(FIND("ND",AI284),0),FALSE,TRUE)</f>
        <v>1</v>
      </c>
      <c r="BF284" s="195" t="b">
        <f t="shared" si="304"/>
        <v>1</v>
      </c>
    </row>
    <row r="285" spans="1:58" ht="37.5" customHeight="1">
      <c r="A285" s="251" t="s">
        <v>2517</v>
      </c>
      <c r="B285" s="252">
        <v>2021</v>
      </c>
      <c r="C285" s="195" t="s">
        <v>409</v>
      </c>
      <c r="D285" s="4" t="s">
        <v>2538</v>
      </c>
      <c r="E285" s="252">
        <v>34419209</v>
      </c>
      <c r="F285" s="219" t="str">
        <f t="shared" si="296"/>
        <v>https://pubmed.ncbi.nlm.nih.gov/?term=34419209</v>
      </c>
      <c r="G285" s="213" t="str">
        <f t="shared" si="89"/>
        <v>Chapman 2021</v>
      </c>
      <c r="H285" s="195">
        <v>2018</v>
      </c>
      <c r="I285" s="195" t="s">
        <v>2519</v>
      </c>
      <c r="J285" s="195"/>
      <c r="K285" s="195">
        <v>22</v>
      </c>
      <c r="L285" s="4" t="s">
        <v>2539</v>
      </c>
      <c r="M285" s="195">
        <v>12</v>
      </c>
      <c r="N285" s="195">
        <v>10</v>
      </c>
      <c r="O285" s="195" t="s">
        <v>2540</v>
      </c>
      <c r="P285" s="195" t="s">
        <v>324</v>
      </c>
      <c r="Q285" s="195" t="s">
        <v>324</v>
      </c>
      <c r="R285" s="195">
        <v>18</v>
      </c>
      <c r="S285" s="195">
        <v>65</v>
      </c>
      <c r="T285" s="195" t="s">
        <v>324</v>
      </c>
      <c r="U285" s="195" t="s">
        <v>324</v>
      </c>
      <c r="V285" s="195" t="s">
        <v>2535</v>
      </c>
      <c r="W285" s="199"/>
      <c r="X285" s="195">
        <v>22</v>
      </c>
      <c r="Y285" s="195"/>
      <c r="Z285" s="195" t="s">
        <v>394</v>
      </c>
      <c r="AA285" s="195" t="s">
        <v>324</v>
      </c>
      <c r="AB285" s="195">
        <v>0</v>
      </c>
      <c r="AC285" s="199"/>
      <c r="AD285" s="195" t="s">
        <v>322</v>
      </c>
      <c r="AE285" s="195" t="s">
        <v>2523</v>
      </c>
      <c r="AF285" s="195"/>
      <c r="AG285" s="195" t="s">
        <v>1030</v>
      </c>
      <c r="AH285" s="195" t="s">
        <v>308</v>
      </c>
      <c r="AI285" s="195">
        <v>0</v>
      </c>
      <c r="AJ285" s="195">
        <v>1</v>
      </c>
      <c r="AK285" s="195" t="s">
        <v>2541</v>
      </c>
      <c r="AL285" s="195" t="s">
        <v>322</v>
      </c>
      <c r="AM285" s="199"/>
      <c r="AN285" s="195" t="s">
        <v>2525</v>
      </c>
      <c r="AO285" s="195" t="s">
        <v>2526</v>
      </c>
      <c r="AP285" s="195" t="s">
        <v>2527</v>
      </c>
      <c r="AQ285" s="195" t="s">
        <v>2533</v>
      </c>
      <c r="AR285" s="220" t="s">
        <v>2501</v>
      </c>
      <c r="AS285" s="195" t="s">
        <v>308</v>
      </c>
      <c r="AT285" s="199"/>
      <c r="AU285" s="195" t="s">
        <v>2529</v>
      </c>
      <c r="AV285" s="195" t="s">
        <v>2343</v>
      </c>
      <c r="AW285" s="195" t="str">
        <f ca="1">IFERROR(__xludf.DUMMYFUNCTION("IF(AND(IF(AS285=""Yes"",True,False),NOT(IFERROR(REGEXMATCH(AV285,ExclusionCategories),FALSE))),""Yes"", ""No"")"),"Yes")</f>
        <v>Yes</v>
      </c>
      <c r="AX285" s="195">
        <f ca="1">IFERROR(__xludf.DUMMYFUNCTION("IF(IFERROR(SEARCH(""Unclear"", Z285)) = 1, VALUE(REGEXEXTRACT(Z285,""\d+"")), Z285)"),0)</f>
        <v>0</v>
      </c>
      <c r="AY285" s="195">
        <v>22</v>
      </c>
      <c r="AZ285" s="195">
        <f ca="1">IFERROR(__xludf.DUMMYFUNCTION("IF(IFERROR(SEARCH(""Unclear"", AG285)) = 1, VALUE(REGEXEXTRACT(AG285,""\d+"")), AG285)"),8)</f>
        <v>8</v>
      </c>
      <c r="BA285" s="195">
        <v>22</v>
      </c>
      <c r="BB285" s="195">
        <f ca="1">IFERROR(__xludf.DUMMYFUNCTION("IF(IFERROR(SEARCH(""Unclear"", AJ285)) = 1, VALUE(REGEXEXTRACT(AJ285,""\d+"")), AJ285)"),1)</f>
        <v>1</v>
      </c>
      <c r="BC285" s="195">
        <v>1</v>
      </c>
      <c r="BD285" s="195" t="b">
        <f t="shared" si="2"/>
        <v>1</v>
      </c>
      <c r="BE285" s="195" t="b">
        <f t="shared" ref="BE285:BF285" si="305">IF(IFERROR(FIND("ND",AI285),0),FALSE,TRUE)</f>
        <v>1</v>
      </c>
      <c r="BF285" s="195" t="b">
        <f t="shared" si="305"/>
        <v>1</v>
      </c>
    </row>
    <row r="286" spans="1:58" ht="37.5" customHeight="1">
      <c r="A286" s="251" t="s">
        <v>2542</v>
      </c>
      <c r="B286" s="252">
        <v>2021</v>
      </c>
      <c r="C286" s="195" t="s">
        <v>605</v>
      </c>
      <c r="D286" s="4" t="s">
        <v>2543</v>
      </c>
      <c r="E286" s="252">
        <v>34430837</v>
      </c>
      <c r="F286" s="219" t="str">
        <f t="shared" si="296"/>
        <v>https://pubmed.ncbi.nlm.nih.gov/?term=34430837</v>
      </c>
      <c r="G286" s="213" t="str">
        <f t="shared" si="89"/>
        <v>Frenck 2021</v>
      </c>
      <c r="H286" s="195">
        <v>2019</v>
      </c>
      <c r="I286" s="195" t="s">
        <v>2544</v>
      </c>
      <c r="J286" s="229" t="s">
        <v>2545</v>
      </c>
      <c r="K286" s="195">
        <v>71</v>
      </c>
      <c r="L286" s="4"/>
      <c r="M286" s="195">
        <v>40</v>
      </c>
      <c r="N286" s="195">
        <v>31</v>
      </c>
      <c r="O286" s="195" t="s">
        <v>324</v>
      </c>
      <c r="P286" s="195" t="s">
        <v>324</v>
      </c>
      <c r="Q286" s="195" t="s">
        <v>324</v>
      </c>
      <c r="R286" s="195">
        <v>18</v>
      </c>
      <c r="S286" s="195">
        <v>50</v>
      </c>
      <c r="T286" s="195">
        <v>35.700000000000003</v>
      </c>
      <c r="U286" s="195">
        <v>9.1999999999999993</v>
      </c>
      <c r="V286" s="195" t="s">
        <v>2546</v>
      </c>
      <c r="W286" s="199"/>
      <c r="X286" s="195">
        <v>62</v>
      </c>
      <c r="Y286" s="195" t="s">
        <v>2547</v>
      </c>
      <c r="Z286" s="195">
        <v>59</v>
      </c>
      <c r="AA286" s="195" t="s">
        <v>2548</v>
      </c>
      <c r="AB286" s="195">
        <v>0</v>
      </c>
      <c r="AC286" s="199"/>
      <c r="AD286" s="195" t="s">
        <v>322</v>
      </c>
      <c r="AE286" s="195" t="s">
        <v>2549</v>
      </c>
      <c r="AF286" s="195" t="s">
        <v>2550</v>
      </c>
      <c r="AG286" s="195" t="s">
        <v>2551</v>
      </c>
      <c r="AH286" s="195" t="s">
        <v>308</v>
      </c>
      <c r="AI286" s="195">
        <v>0</v>
      </c>
      <c r="AJ286" s="195" t="s">
        <v>394</v>
      </c>
      <c r="AK286" s="195" t="s">
        <v>2552</v>
      </c>
      <c r="AL286" s="195" t="s">
        <v>322</v>
      </c>
      <c r="AM286" s="199"/>
      <c r="AN286" s="195" t="s">
        <v>2553</v>
      </c>
      <c r="AO286" s="195" t="s">
        <v>2554</v>
      </c>
      <c r="AP286" s="195" t="s">
        <v>2555</v>
      </c>
      <c r="AQ286" s="195" t="s">
        <v>2556</v>
      </c>
      <c r="AR286" s="220" t="s">
        <v>2501</v>
      </c>
      <c r="AS286" s="195" t="s">
        <v>308</v>
      </c>
      <c r="AT286" s="199"/>
      <c r="AU286" s="195" t="s">
        <v>2557</v>
      </c>
      <c r="AV286" s="195" t="s">
        <v>9</v>
      </c>
      <c r="AW286" s="195" t="str">
        <f ca="1">IFERROR(__xludf.DUMMYFUNCTION("IF(AND(IF(AS286=""Yes"",True,False),NOT(IFERROR(REGEXMATCH(AV286,ExclusionCategories),FALSE))),""Yes"", ""No"")"),"Yes")</f>
        <v>Yes</v>
      </c>
      <c r="AX286" s="195">
        <f ca="1">IFERROR(__xludf.DUMMYFUNCTION("IF(IFERROR(SEARCH(""Unclear"", Z286)) = 1, VALUE(REGEXEXTRACT(Z286,""\d+"")), Z286)"),59)</f>
        <v>59</v>
      </c>
      <c r="AY286" s="195">
        <v>59</v>
      </c>
      <c r="AZ286" s="195">
        <f ca="1">IFERROR(__xludf.DUMMYFUNCTION("IF(IFERROR(SEARCH(""Unclear"", AG286)) = 1, VALUE(REGEXEXTRACT(AG286,""\d+"")), AG286)"),44)</f>
        <v>44</v>
      </c>
      <c r="BA286" s="195">
        <v>62</v>
      </c>
      <c r="BB286" s="195">
        <f ca="1">IFERROR(__xludf.DUMMYFUNCTION("IF(IFERROR(SEARCH(""Unclear"", AJ286)) = 1, VALUE(REGEXEXTRACT(AJ286,""\d+"")), AJ286)"),0)</f>
        <v>0</v>
      </c>
      <c r="BC286" s="195">
        <v>62</v>
      </c>
      <c r="BD286" s="195" t="b">
        <f t="shared" si="2"/>
        <v>1</v>
      </c>
      <c r="BE286" s="195" t="b">
        <f t="shared" ref="BE286:BF286" si="306">IF(IFERROR(FIND("ND",AI286),0),FALSE,TRUE)</f>
        <v>1</v>
      </c>
      <c r="BF286" s="195" t="b">
        <f t="shared" si="306"/>
        <v>1</v>
      </c>
    </row>
    <row r="287" spans="1:58" ht="37.5" customHeight="1">
      <c r="A287" s="251" t="s">
        <v>2558</v>
      </c>
      <c r="B287" s="252">
        <v>2021</v>
      </c>
      <c r="C287" s="195" t="s">
        <v>339</v>
      </c>
      <c r="D287" s="4" t="s">
        <v>2559</v>
      </c>
      <c r="E287" s="252">
        <v>34264864</v>
      </c>
      <c r="F287" s="219" t="str">
        <f t="shared" si="296"/>
        <v>https://pubmed.ncbi.nlm.nih.gov/?term=34264864</v>
      </c>
      <c r="G287" s="213" t="str">
        <f t="shared" si="89"/>
        <v>Kapulu 2021</v>
      </c>
      <c r="H287" s="195">
        <v>2018</v>
      </c>
      <c r="I287" s="195" t="s">
        <v>2560</v>
      </c>
      <c r="J287" s="229" t="s">
        <v>2561</v>
      </c>
      <c r="K287" s="195">
        <v>161</v>
      </c>
      <c r="L287" s="4"/>
      <c r="M287" s="195">
        <v>113</v>
      </c>
      <c r="N287" s="195">
        <v>48</v>
      </c>
      <c r="O287" s="195" t="s">
        <v>324</v>
      </c>
      <c r="P287" s="195" t="s">
        <v>324</v>
      </c>
      <c r="Q287" s="195" t="s">
        <v>324</v>
      </c>
      <c r="R287" s="195" t="s">
        <v>324</v>
      </c>
      <c r="S287" s="195" t="s">
        <v>324</v>
      </c>
      <c r="T287" s="195">
        <v>29.5</v>
      </c>
      <c r="U287" s="195">
        <v>7.1</v>
      </c>
      <c r="V287" s="195" t="s">
        <v>2562</v>
      </c>
      <c r="W287" s="199"/>
      <c r="X287" s="195">
        <v>161</v>
      </c>
      <c r="Y287" s="195" t="s">
        <v>2563</v>
      </c>
      <c r="Z287" s="195">
        <v>109</v>
      </c>
      <c r="AA287" s="195"/>
      <c r="AB287" s="195">
        <v>0</v>
      </c>
      <c r="AC287" s="199"/>
      <c r="AD287" s="195" t="s">
        <v>322</v>
      </c>
      <c r="AE287" s="195" t="s">
        <v>2564</v>
      </c>
      <c r="AF287" s="195"/>
      <c r="AG287" s="195" t="s">
        <v>2565</v>
      </c>
      <c r="AH287" s="195" t="s">
        <v>308</v>
      </c>
      <c r="AI287" s="195">
        <v>0</v>
      </c>
      <c r="AJ287" s="195">
        <v>0</v>
      </c>
      <c r="AK287" s="195" t="s">
        <v>2566</v>
      </c>
      <c r="AL287" s="195" t="s">
        <v>322</v>
      </c>
      <c r="AM287" s="199"/>
      <c r="AN287" s="195" t="s">
        <v>2567</v>
      </c>
      <c r="AO287" s="195" t="s">
        <v>2568</v>
      </c>
      <c r="AP287" s="195" t="s">
        <v>2569</v>
      </c>
      <c r="AQ287" s="195" t="s">
        <v>2570</v>
      </c>
      <c r="AR287" s="220" t="s">
        <v>2501</v>
      </c>
      <c r="AS287" s="195" t="s">
        <v>308</v>
      </c>
      <c r="AT287" s="199"/>
      <c r="AU287" s="195" t="s">
        <v>2571</v>
      </c>
      <c r="AV287" s="195" t="s">
        <v>9</v>
      </c>
      <c r="AW287" s="195" t="str">
        <f ca="1">IFERROR(__xludf.DUMMYFUNCTION("IF(AND(IF(AS287=""Yes"",True,False),NOT(IFERROR(REGEXMATCH(AV287,ExclusionCategories),FALSE))),""Yes"", ""No"")"),"Yes")</f>
        <v>Yes</v>
      </c>
      <c r="AX287" s="195">
        <f ca="1">IFERROR(__xludf.DUMMYFUNCTION("IF(IFERROR(SEARCH(""Unclear"", Z287)) = 1, VALUE(REGEXEXTRACT(Z287,""\d+"")), Z287)"),109)</f>
        <v>109</v>
      </c>
      <c r="AY287" s="195">
        <v>109</v>
      </c>
      <c r="AZ287" s="195">
        <f ca="1">IFERROR(__xludf.DUMMYFUNCTION("IF(IFERROR(SEARCH(""Unclear"", AG287)) = 1, VALUE(REGEXEXTRACT(AG287,""\d+"")), AG287)"),66)</f>
        <v>66</v>
      </c>
      <c r="BA287" s="195">
        <v>161</v>
      </c>
      <c r="BB287" s="195">
        <f ca="1">IFERROR(__xludf.DUMMYFUNCTION("IF(IFERROR(SEARCH(""Unclear"", AJ287)) = 1, VALUE(REGEXEXTRACT(AJ287,""\d+"")), AJ287)"),0)</f>
        <v>0</v>
      </c>
      <c r="BC287" s="195">
        <v>0</v>
      </c>
      <c r="BD287" s="195" t="b">
        <f t="shared" si="2"/>
        <v>1</v>
      </c>
      <c r="BE287" s="195" t="b">
        <f t="shared" ref="BE287:BF287" si="307">IF(IFERROR(FIND("ND",AI287),0),FALSE,TRUE)</f>
        <v>1</v>
      </c>
      <c r="BF287" s="195" t="b">
        <f t="shared" si="307"/>
        <v>1</v>
      </c>
    </row>
    <row r="288" spans="1:58" ht="37.5" customHeight="1">
      <c r="A288" s="203" t="s">
        <v>2572</v>
      </c>
      <c r="B288" s="204">
        <v>1973</v>
      </c>
      <c r="C288" s="195" t="s">
        <v>339</v>
      </c>
      <c r="D288" s="4" t="s">
        <v>2573</v>
      </c>
      <c r="E288" s="204">
        <v>4583408</v>
      </c>
      <c r="F288" s="198" t="s">
        <v>2574</v>
      </c>
      <c r="G288" s="195" t="str">
        <f t="shared" si="89"/>
        <v>Clyde 1973a</v>
      </c>
      <c r="H288" s="217">
        <v>1973</v>
      </c>
      <c r="I288" s="199"/>
      <c r="J288" s="199"/>
      <c r="K288" s="195">
        <v>10</v>
      </c>
      <c r="L288" s="4" t="s">
        <v>2575</v>
      </c>
      <c r="M288" s="195">
        <v>10</v>
      </c>
      <c r="N288" s="195">
        <v>0</v>
      </c>
      <c r="O288" s="195" t="s">
        <v>324</v>
      </c>
      <c r="P288" s="195">
        <v>24</v>
      </c>
      <c r="Q288" s="195">
        <v>37</v>
      </c>
      <c r="R288" s="195" t="s">
        <v>324</v>
      </c>
      <c r="S288" s="195" t="s">
        <v>324</v>
      </c>
      <c r="T288" s="195" t="s">
        <v>324</v>
      </c>
      <c r="U288" s="195" t="s">
        <v>324</v>
      </c>
      <c r="V288" s="195" t="s">
        <v>2576</v>
      </c>
      <c r="W288" s="199"/>
      <c r="X288" s="195">
        <v>10</v>
      </c>
      <c r="Y288" s="195" t="s">
        <v>2577</v>
      </c>
      <c r="Z288" s="195">
        <v>7</v>
      </c>
      <c r="AA288" s="195" t="s">
        <v>2578</v>
      </c>
      <c r="AB288" s="195">
        <v>0</v>
      </c>
      <c r="AC288" s="199"/>
      <c r="AD288" s="195" t="s">
        <v>322</v>
      </c>
      <c r="AE288" s="195" t="s">
        <v>2579</v>
      </c>
      <c r="AF288" s="195"/>
      <c r="AG288" s="195">
        <v>0</v>
      </c>
      <c r="AH288" s="195" t="s">
        <v>316</v>
      </c>
      <c r="AI288" s="195">
        <v>0</v>
      </c>
      <c r="AJ288" s="195">
        <v>0</v>
      </c>
      <c r="AK288" s="195"/>
      <c r="AL288" s="195" t="s">
        <v>322</v>
      </c>
      <c r="AM288" s="199"/>
      <c r="AN288" s="195" t="s">
        <v>332</v>
      </c>
      <c r="AO288" s="195" t="s">
        <v>2580</v>
      </c>
      <c r="AP288" s="195" t="s">
        <v>2581</v>
      </c>
      <c r="AQ288" s="195" t="s">
        <v>324</v>
      </c>
      <c r="AR288" s="203" t="s">
        <v>2582</v>
      </c>
      <c r="AS288" s="195" t="s">
        <v>316</v>
      </c>
      <c r="AT288" s="199"/>
      <c r="AU288" s="202" t="s">
        <v>2583</v>
      </c>
      <c r="AV288" s="195" t="s">
        <v>318</v>
      </c>
      <c r="AW288" s="195" t="str">
        <f ca="1">IFERROR(__xludf.DUMMYFUNCTION("IF(AND(IF(AS288=""Yes"",True,False),NOT(IFERROR(REGEXMATCH(AV288,ExclusionCategories),FALSE))),""Yes"", ""No"")"),"No")</f>
        <v>No</v>
      </c>
      <c r="AX288" s="195">
        <f ca="1">IFERROR(__xludf.DUMMYFUNCTION("IF(IFERROR(SEARCH(""Unclear"", Z288)) = 1, VALUE(REGEXEXTRACT(Z288,""\d+"")), Z288)"),7)</f>
        <v>7</v>
      </c>
      <c r="AY288" s="195">
        <v>7</v>
      </c>
      <c r="AZ288" s="195">
        <f ca="1">IFERROR(__xludf.DUMMYFUNCTION("IF(IFERROR(SEARCH(""Unclear"", AG288)) = 1, VALUE(REGEXEXTRACT(AG288,""\d+"")), AG288)"),0)</f>
        <v>0</v>
      </c>
      <c r="BA288" s="195">
        <v>0</v>
      </c>
      <c r="BB288" s="195">
        <f ca="1">IFERROR(__xludf.DUMMYFUNCTION("IF(IFERROR(SEARCH(""Unclear"", AJ288)) = 1, VALUE(REGEXEXTRACT(AJ288,""\d+"")), AJ288)"),0)</f>
        <v>0</v>
      </c>
      <c r="BC288" s="195">
        <v>0</v>
      </c>
      <c r="BD288" s="195" t="b">
        <f t="shared" si="2"/>
        <v>1</v>
      </c>
      <c r="BE288" s="195" t="b">
        <f t="shared" ref="BE288:BF288" si="308">IF(IFERROR(FIND("ND",AI288),0),FALSE,TRUE)</f>
        <v>1</v>
      </c>
      <c r="BF288" s="195" t="b">
        <f t="shared" si="308"/>
        <v>1</v>
      </c>
    </row>
    <row r="289" spans="1:58" ht="37.5" customHeight="1">
      <c r="A289" s="203" t="s">
        <v>2572</v>
      </c>
      <c r="B289" s="204">
        <v>1973</v>
      </c>
      <c r="C289" s="195" t="s">
        <v>339</v>
      </c>
      <c r="D289" s="4" t="s">
        <v>2573</v>
      </c>
      <c r="E289" s="204">
        <v>4583408</v>
      </c>
      <c r="F289" s="198" t="s">
        <v>2574</v>
      </c>
      <c r="G289" s="195" t="str">
        <f t="shared" si="89"/>
        <v>Clyde 1973a</v>
      </c>
      <c r="H289" s="217">
        <v>1973</v>
      </c>
      <c r="I289" s="199"/>
      <c r="J289" s="199"/>
      <c r="K289" s="195">
        <v>8</v>
      </c>
      <c r="L289" s="4" t="s">
        <v>2584</v>
      </c>
      <c r="M289" s="195">
        <v>8</v>
      </c>
      <c r="N289" s="195">
        <v>0</v>
      </c>
      <c r="O289" s="195" t="s">
        <v>324</v>
      </c>
      <c r="P289" s="195">
        <v>24</v>
      </c>
      <c r="Q289" s="195">
        <v>42</v>
      </c>
      <c r="R289" s="195" t="s">
        <v>324</v>
      </c>
      <c r="S289" s="195" t="s">
        <v>324</v>
      </c>
      <c r="T289" s="195" t="s">
        <v>324</v>
      </c>
      <c r="U289" s="195" t="s">
        <v>324</v>
      </c>
      <c r="V289" s="195" t="s">
        <v>2576</v>
      </c>
      <c r="W289" s="195" t="s">
        <v>2585</v>
      </c>
      <c r="X289" s="195">
        <v>8</v>
      </c>
      <c r="Y289" s="195" t="s">
        <v>2586</v>
      </c>
      <c r="Z289" s="195">
        <v>4</v>
      </c>
      <c r="AA289" s="195" t="s">
        <v>2587</v>
      </c>
      <c r="AB289" s="195">
        <v>0</v>
      </c>
      <c r="AC289" s="199"/>
      <c r="AD289" s="195" t="s">
        <v>322</v>
      </c>
      <c r="AE289" s="195" t="s">
        <v>2579</v>
      </c>
      <c r="AF289" s="195"/>
      <c r="AG289" s="195">
        <v>0</v>
      </c>
      <c r="AH289" s="195" t="s">
        <v>316</v>
      </c>
      <c r="AI289" s="195">
        <v>0</v>
      </c>
      <c r="AJ289" s="195">
        <v>0</v>
      </c>
      <c r="AK289" s="195"/>
      <c r="AL289" s="195" t="s">
        <v>322</v>
      </c>
      <c r="AM289" s="199"/>
      <c r="AN289" s="195" t="s">
        <v>332</v>
      </c>
      <c r="AO289" s="195" t="s">
        <v>2580</v>
      </c>
      <c r="AP289" s="195" t="s">
        <v>2581</v>
      </c>
      <c r="AQ289" s="195" t="s">
        <v>324</v>
      </c>
      <c r="AR289" s="203" t="s">
        <v>2582</v>
      </c>
      <c r="AS289" s="195" t="s">
        <v>316</v>
      </c>
      <c r="AT289" s="199"/>
      <c r="AU289" s="202" t="s">
        <v>2583</v>
      </c>
      <c r="AV289" s="195" t="s">
        <v>318</v>
      </c>
      <c r="AW289" s="195" t="str">
        <f ca="1">IFERROR(__xludf.DUMMYFUNCTION("IF(AND(IF(AS289=""Yes"",True,False),NOT(IFERROR(REGEXMATCH(AV289,ExclusionCategories),FALSE))),""Yes"", ""No"")"),"No")</f>
        <v>No</v>
      </c>
      <c r="AX289" s="195">
        <f ca="1">IFERROR(__xludf.DUMMYFUNCTION("IF(IFERROR(SEARCH(""Unclear"", Z289)) = 1, VALUE(REGEXEXTRACT(Z289,""\d+"")), Z289)"),4)</f>
        <v>4</v>
      </c>
      <c r="AY289" s="195">
        <v>4</v>
      </c>
      <c r="AZ289" s="195">
        <f ca="1">IFERROR(__xludf.DUMMYFUNCTION("IF(IFERROR(SEARCH(""Unclear"", AG289)) = 1, VALUE(REGEXEXTRACT(AG289,""\d+"")), AG289)"),0)</f>
        <v>0</v>
      </c>
      <c r="BA289" s="195">
        <v>0</v>
      </c>
      <c r="BB289" s="195">
        <f ca="1">IFERROR(__xludf.DUMMYFUNCTION("IF(IFERROR(SEARCH(""Unclear"", AJ289)) = 1, VALUE(REGEXEXTRACT(AJ289,""\d+"")), AJ289)"),0)</f>
        <v>0</v>
      </c>
      <c r="BC289" s="195">
        <v>0</v>
      </c>
      <c r="BD289" s="195" t="b">
        <f t="shared" si="2"/>
        <v>1</v>
      </c>
      <c r="BE289" s="195" t="b">
        <f t="shared" ref="BE289:BF289" si="309">IF(IFERROR(FIND("ND",AI289),0),FALSE,TRUE)</f>
        <v>1</v>
      </c>
      <c r="BF289" s="195" t="b">
        <f t="shared" si="309"/>
        <v>1</v>
      </c>
    </row>
    <row r="290" spans="1:58" ht="37.5" customHeight="1">
      <c r="A290" s="203" t="s">
        <v>2572</v>
      </c>
      <c r="B290" s="204">
        <v>1973</v>
      </c>
      <c r="C290" s="195" t="s">
        <v>339</v>
      </c>
      <c r="D290" s="4" t="s">
        <v>2573</v>
      </c>
      <c r="E290" s="204">
        <v>4583408</v>
      </c>
      <c r="F290" s="198" t="s">
        <v>2574</v>
      </c>
      <c r="G290" s="195" t="str">
        <f t="shared" si="89"/>
        <v>Clyde 1973a</v>
      </c>
      <c r="H290" s="217">
        <v>1973</v>
      </c>
      <c r="I290" s="199"/>
      <c r="J290" s="199"/>
      <c r="K290" s="195">
        <v>6</v>
      </c>
      <c r="L290" s="4" t="s">
        <v>353</v>
      </c>
      <c r="M290" s="195">
        <v>6</v>
      </c>
      <c r="N290" s="195">
        <v>0</v>
      </c>
      <c r="O290" s="195" t="s">
        <v>324</v>
      </c>
      <c r="P290" s="195">
        <v>24</v>
      </c>
      <c r="Q290" s="195">
        <v>37</v>
      </c>
      <c r="R290" s="195" t="s">
        <v>324</v>
      </c>
      <c r="S290" s="195" t="s">
        <v>324</v>
      </c>
      <c r="T290" s="195" t="s">
        <v>324</v>
      </c>
      <c r="U290" s="195" t="s">
        <v>324</v>
      </c>
      <c r="V290" s="195" t="s">
        <v>2576</v>
      </c>
      <c r="W290" s="199"/>
      <c r="X290" s="195">
        <v>6</v>
      </c>
      <c r="Y290" s="195" t="s">
        <v>2588</v>
      </c>
      <c r="Z290" s="195">
        <v>5</v>
      </c>
      <c r="AA290" s="195" t="s">
        <v>2589</v>
      </c>
      <c r="AB290" s="195">
        <v>0</v>
      </c>
      <c r="AC290" s="199"/>
      <c r="AD290" s="195" t="s">
        <v>322</v>
      </c>
      <c r="AE290" s="195" t="s">
        <v>2579</v>
      </c>
      <c r="AF290" s="195"/>
      <c r="AG290" s="195">
        <v>0</v>
      </c>
      <c r="AH290" s="195" t="s">
        <v>316</v>
      </c>
      <c r="AI290" s="195">
        <v>0</v>
      </c>
      <c r="AJ290" s="195">
        <v>0</v>
      </c>
      <c r="AK290" s="195"/>
      <c r="AL290" s="195" t="s">
        <v>322</v>
      </c>
      <c r="AM290" s="199"/>
      <c r="AN290" s="195" t="s">
        <v>332</v>
      </c>
      <c r="AO290" s="195" t="s">
        <v>2580</v>
      </c>
      <c r="AP290" s="195" t="s">
        <v>2581</v>
      </c>
      <c r="AQ290" s="195" t="s">
        <v>324</v>
      </c>
      <c r="AR290" s="203" t="s">
        <v>2582</v>
      </c>
      <c r="AS290" s="195" t="s">
        <v>316</v>
      </c>
      <c r="AT290" s="199"/>
      <c r="AU290" s="202" t="s">
        <v>2583</v>
      </c>
      <c r="AV290" s="195" t="s">
        <v>326</v>
      </c>
      <c r="AW290" s="195" t="str">
        <f ca="1">IFERROR(__xludf.DUMMYFUNCTION("IF(AND(IF(AS290=""Yes"",True,False),NOT(IFERROR(REGEXMATCH(AV290,ExclusionCategories),FALSE))),""Yes"", ""No"")"),"No")</f>
        <v>No</v>
      </c>
      <c r="AX290" s="195">
        <f ca="1">IFERROR(__xludf.DUMMYFUNCTION("IF(IFERROR(SEARCH(""Unclear"", Z290)) = 1, VALUE(REGEXEXTRACT(Z290,""\d+"")), Z290)"),5)</f>
        <v>5</v>
      </c>
      <c r="AY290" s="195">
        <v>5</v>
      </c>
      <c r="AZ290" s="195">
        <f ca="1">IFERROR(__xludf.DUMMYFUNCTION("IF(IFERROR(SEARCH(""Unclear"", AG290)) = 1, VALUE(REGEXEXTRACT(AG290,""\d+"")), AG290)"),0)</f>
        <v>0</v>
      </c>
      <c r="BA290" s="195">
        <v>0</v>
      </c>
      <c r="BB290" s="195">
        <f ca="1">IFERROR(__xludf.DUMMYFUNCTION("IF(IFERROR(SEARCH(""Unclear"", AJ290)) = 1, VALUE(REGEXEXTRACT(AJ290,""\d+"")), AJ290)"),0)</f>
        <v>0</v>
      </c>
      <c r="BC290" s="195">
        <v>0</v>
      </c>
      <c r="BD290" s="195" t="b">
        <f t="shared" si="2"/>
        <v>1</v>
      </c>
      <c r="BE290" s="195" t="b">
        <f t="shared" ref="BE290:BF290" si="310">IF(IFERROR(FIND("ND",AI290),0),FALSE,TRUE)</f>
        <v>1</v>
      </c>
      <c r="BF290" s="195" t="b">
        <f t="shared" si="310"/>
        <v>1</v>
      </c>
    </row>
    <row r="291" spans="1:58" ht="37.5" customHeight="1">
      <c r="A291" s="203" t="s">
        <v>2572</v>
      </c>
      <c r="B291" s="204">
        <v>1973</v>
      </c>
      <c r="C291" s="195" t="s">
        <v>339</v>
      </c>
      <c r="D291" s="4" t="s">
        <v>2573</v>
      </c>
      <c r="E291" s="204">
        <v>4583408</v>
      </c>
      <c r="F291" s="198" t="s">
        <v>2574</v>
      </c>
      <c r="G291" s="195" t="str">
        <f t="shared" si="89"/>
        <v>Clyde 1973a</v>
      </c>
      <c r="H291" s="217">
        <v>1973</v>
      </c>
      <c r="I291" s="199"/>
      <c r="J291" s="199"/>
      <c r="K291" s="195">
        <v>2</v>
      </c>
      <c r="L291" s="4" t="s">
        <v>2590</v>
      </c>
      <c r="M291" s="195">
        <v>2</v>
      </c>
      <c r="N291" s="195">
        <v>0</v>
      </c>
      <c r="O291" s="195" t="s">
        <v>324</v>
      </c>
      <c r="P291" s="195">
        <v>37</v>
      </c>
      <c r="Q291" s="195">
        <v>40</v>
      </c>
      <c r="R291" s="195" t="s">
        <v>324</v>
      </c>
      <c r="S291" s="195" t="s">
        <v>324</v>
      </c>
      <c r="T291" s="195" t="s">
        <v>324</v>
      </c>
      <c r="U291" s="195" t="s">
        <v>324</v>
      </c>
      <c r="V291" s="195" t="s">
        <v>2576</v>
      </c>
      <c r="W291" s="199"/>
      <c r="X291" s="195">
        <v>2</v>
      </c>
      <c r="Y291" s="195" t="s">
        <v>2591</v>
      </c>
      <c r="Z291" s="195">
        <v>1</v>
      </c>
      <c r="AA291" s="195" t="s">
        <v>2592</v>
      </c>
      <c r="AB291" s="195">
        <v>0</v>
      </c>
      <c r="AC291" s="199"/>
      <c r="AD291" s="195" t="s">
        <v>322</v>
      </c>
      <c r="AE291" s="195" t="s">
        <v>2579</v>
      </c>
      <c r="AF291" s="195"/>
      <c r="AG291" s="195">
        <v>0</v>
      </c>
      <c r="AH291" s="195" t="s">
        <v>316</v>
      </c>
      <c r="AI291" s="195">
        <v>0</v>
      </c>
      <c r="AJ291" s="195">
        <v>0</v>
      </c>
      <c r="AK291" s="195"/>
      <c r="AL291" s="195" t="s">
        <v>322</v>
      </c>
      <c r="AM291" s="199"/>
      <c r="AN291" s="195" t="s">
        <v>332</v>
      </c>
      <c r="AO291" s="195" t="s">
        <v>2580</v>
      </c>
      <c r="AP291" s="195" t="s">
        <v>2581</v>
      </c>
      <c r="AQ291" s="195" t="s">
        <v>324</v>
      </c>
      <c r="AR291" s="203" t="s">
        <v>2582</v>
      </c>
      <c r="AS291" s="195" t="s">
        <v>316</v>
      </c>
      <c r="AT291" s="199"/>
      <c r="AU291" s="202" t="s">
        <v>2583</v>
      </c>
      <c r="AV291" s="195" t="s">
        <v>2593</v>
      </c>
      <c r="AW291" s="195" t="str">
        <f ca="1">IFERROR(__xludf.DUMMYFUNCTION("IF(AND(IF(AS291=""Yes"",True,False),NOT(IFERROR(REGEXMATCH(AV291,ExclusionCategories),FALSE))),""Yes"", ""No"")"),"No")</f>
        <v>No</v>
      </c>
      <c r="AX291" s="195">
        <f ca="1">IFERROR(__xludf.DUMMYFUNCTION("IF(IFERROR(SEARCH(""Unclear"", Z291)) = 1, VALUE(REGEXEXTRACT(Z291,""\d+"")), Z291)"),1)</f>
        <v>1</v>
      </c>
      <c r="AY291" s="195">
        <v>1</v>
      </c>
      <c r="AZ291" s="195">
        <f ca="1">IFERROR(__xludf.DUMMYFUNCTION("IF(IFERROR(SEARCH(""Unclear"", AG291)) = 1, VALUE(REGEXEXTRACT(AG291,""\d+"")), AG291)"),0)</f>
        <v>0</v>
      </c>
      <c r="BA291" s="195">
        <v>0</v>
      </c>
      <c r="BB291" s="195">
        <f ca="1">IFERROR(__xludf.DUMMYFUNCTION("IF(IFERROR(SEARCH(""Unclear"", AJ291)) = 1, VALUE(REGEXEXTRACT(AJ291,""\d+"")), AJ291)"),0)</f>
        <v>0</v>
      </c>
      <c r="BC291" s="195">
        <v>0</v>
      </c>
      <c r="BD291" s="195" t="b">
        <f t="shared" si="2"/>
        <v>1</v>
      </c>
      <c r="BE291" s="195" t="b">
        <f t="shared" ref="BE291:BF291" si="311">IF(IFERROR(FIND("ND",AI291),0),FALSE,TRUE)</f>
        <v>1</v>
      </c>
      <c r="BF291" s="195" t="b">
        <f t="shared" si="311"/>
        <v>1</v>
      </c>
    </row>
    <row r="292" spans="1:58" ht="37.5" customHeight="1">
      <c r="A292" s="203" t="s">
        <v>2594</v>
      </c>
      <c r="B292" s="204">
        <v>1992</v>
      </c>
      <c r="C292" s="195" t="s">
        <v>339</v>
      </c>
      <c r="D292" s="4" t="s">
        <v>2595</v>
      </c>
      <c r="E292" s="204">
        <v>1346766</v>
      </c>
      <c r="F292" s="198" t="s">
        <v>2596</v>
      </c>
      <c r="G292" s="195" t="str">
        <f t="shared" si="89"/>
        <v>Davis 1992</v>
      </c>
      <c r="H292" s="217">
        <v>1992</v>
      </c>
      <c r="I292" s="199"/>
      <c r="J292" s="199"/>
      <c r="K292" s="195">
        <v>4</v>
      </c>
      <c r="L292" s="4"/>
      <c r="M292" s="195">
        <v>4</v>
      </c>
      <c r="N292" s="195">
        <v>0</v>
      </c>
      <c r="O292" s="195" t="s">
        <v>324</v>
      </c>
      <c r="P292" s="195" t="s">
        <v>324</v>
      </c>
      <c r="Q292" s="195" t="s">
        <v>324</v>
      </c>
      <c r="R292" s="195" t="s">
        <v>324</v>
      </c>
      <c r="S292" s="195" t="s">
        <v>324</v>
      </c>
      <c r="T292" s="195" t="s">
        <v>324</v>
      </c>
      <c r="U292" s="195" t="s">
        <v>324</v>
      </c>
      <c r="V292" s="195" t="s">
        <v>2597</v>
      </c>
      <c r="W292" s="199"/>
      <c r="X292" s="195">
        <v>4</v>
      </c>
      <c r="Y292" s="195"/>
      <c r="Z292" s="195">
        <v>4</v>
      </c>
      <c r="AA292" s="195"/>
      <c r="AB292" s="195">
        <v>0</v>
      </c>
      <c r="AC292" s="199"/>
      <c r="AD292" s="195" t="s">
        <v>322</v>
      </c>
      <c r="AE292" s="195" t="s">
        <v>2598</v>
      </c>
      <c r="AF292" s="195" t="s">
        <v>2192</v>
      </c>
      <c r="AG292" s="195">
        <v>3</v>
      </c>
      <c r="AH292" s="195" t="s">
        <v>308</v>
      </c>
      <c r="AI292" s="195">
        <v>0</v>
      </c>
      <c r="AJ292" s="195">
        <v>0</v>
      </c>
      <c r="AK292" s="195" t="s">
        <v>499</v>
      </c>
      <c r="AL292" s="195" t="s">
        <v>322</v>
      </c>
      <c r="AM292" s="199"/>
      <c r="AN292" s="195" t="s">
        <v>1031</v>
      </c>
      <c r="AO292" s="195" t="s">
        <v>2599</v>
      </c>
      <c r="AP292" s="195" t="s">
        <v>324</v>
      </c>
      <c r="AQ292" s="195" t="s">
        <v>324</v>
      </c>
      <c r="AR292" s="203" t="s">
        <v>2582</v>
      </c>
      <c r="AS292" s="195" t="s">
        <v>308</v>
      </c>
      <c r="AT292" s="199"/>
      <c r="AU292" s="202" t="s">
        <v>2600</v>
      </c>
      <c r="AV292" s="195" t="s">
        <v>571</v>
      </c>
      <c r="AW292" s="195" t="str">
        <f ca="1">IFERROR(__xludf.DUMMYFUNCTION("IF(AND(IF(AS292=""Yes"",True,False),NOT(IFERROR(REGEXMATCH(AV292,ExclusionCategories),FALSE))),""Yes"", ""No"")"),"Yes")</f>
        <v>Yes</v>
      </c>
      <c r="AX292" s="195">
        <f ca="1">IFERROR(__xludf.DUMMYFUNCTION("IF(IFERROR(SEARCH(""Unclear"", Z292)) = 1, VALUE(REGEXEXTRACT(Z292,""\d+"")), Z292)"),4)</f>
        <v>4</v>
      </c>
      <c r="AY292" s="195">
        <v>4</v>
      </c>
      <c r="AZ292" s="195">
        <f ca="1">IFERROR(__xludf.DUMMYFUNCTION("IF(IFERROR(SEARCH(""Unclear"", AG292)) = 1, VALUE(REGEXEXTRACT(AG292,""\d+"")), AG292)"),3)</f>
        <v>3</v>
      </c>
      <c r="BA292" s="195">
        <v>3</v>
      </c>
      <c r="BB292" s="195">
        <f ca="1">IFERROR(__xludf.DUMMYFUNCTION("IF(IFERROR(SEARCH(""Unclear"", AJ292)) = 1, VALUE(REGEXEXTRACT(AJ292,""\d+"")), AJ292)"),0)</f>
        <v>0</v>
      </c>
      <c r="BC292" s="195">
        <v>0</v>
      </c>
      <c r="BD292" s="195" t="b">
        <f t="shared" si="2"/>
        <v>1</v>
      </c>
      <c r="BE292" s="195" t="b">
        <f t="shared" ref="BE292:BF292" si="312">IF(IFERROR(FIND("ND",AI292),0),FALSE,TRUE)</f>
        <v>1</v>
      </c>
      <c r="BF292" s="195" t="b">
        <f t="shared" si="312"/>
        <v>1</v>
      </c>
    </row>
    <row r="293" spans="1:58" ht="37.5" customHeight="1">
      <c r="A293" s="203" t="s">
        <v>2601</v>
      </c>
      <c r="B293" s="204">
        <v>1993</v>
      </c>
      <c r="C293" s="195" t="s">
        <v>339</v>
      </c>
      <c r="D293" s="4" t="s">
        <v>2602</v>
      </c>
      <c r="E293" s="204">
        <v>8376823</v>
      </c>
      <c r="F293" s="198" t="s">
        <v>2603</v>
      </c>
      <c r="G293" s="195" t="str">
        <f t="shared" si="89"/>
        <v>Edelman 1993</v>
      </c>
      <c r="H293" s="217">
        <v>1993</v>
      </c>
      <c r="I293" s="199"/>
      <c r="J293" s="199"/>
      <c r="K293" s="195">
        <v>3</v>
      </c>
      <c r="L293" s="4" t="s">
        <v>2604</v>
      </c>
      <c r="M293" s="195">
        <v>3</v>
      </c>
      <c r="N293" s="195">
        <v>0</v>
      </c>
      <c r="O293" s="195" t="s">
        <v>324</v>
      </c>
      <c r="P293" s="195" t="s">
        <v>324</v>
      </c>
      <c r="Q293" s="195" t="s">
        <v>324</v>
      </c>
      <c r="R293" s="195" t="s">
        <v>324</v>
      </c>
      <c r="S293" s="195" t="s">
        <v>324</v>
      </c>
      <c r="T293" s="195" t="s">
        <v>324</v>
      </c>
      <c r="U293" s="195" t="s">
        <v>324</v>
      </c>
      <c r="V293" s="195" t="s">
        <v>2605</v>
      </c>
      <c r="W293" s="199"/>
      <c r="X293" s="195">
        <v>3</v>
      </c>
      <c r="Y293" s="195" t="s">
        <v>2606</v>
      </c>
      <c r="Z293" s="195">
        <v>0</v>
      </c>
      <c r="AA293" s="195"/>
      <c r="AB293" s="195">
        <v>0</v>
      </c>
      <c r="AC293" s="199"/>
      <c r="AD293" s="195" t="s">
        <v>322</v>
      </c>
      <c r="AE293" s="195" t="s">
        <v>2607</v>
      </c>
      <c r="AF293" s="195" t="s">
        <v>1472</v>
      </c>
      <c r="AG293" s="195" t="s">
        <v>324</v>
      </c>
      <c r="AH293" s="195" t="s">
        <v>316</v>
      </c>
      <c r="AI293" s="195">
        <v>0</v>
      </c>
      <c r="AJ293" s="195" t="s">
        <v>324</v>
      </c>
      <c r="AK293" s="195" t="s">
        <v>499</v>
      </c>
      <c r="AL293" s="195" t="s">
        <v>322</v>
      </c>
      <c r="AM293" s="199"/>
      <c r="AN293" s="195" t="s">
        <v>332</v>
      </c>
      <c r="AO293" s="195" t="s">
        <v>324</v>
      </c>
      <c r="AP293" s="195" t="s">
        <v>2608</v>
      </c>
      <c r="AQ293" s="195" t="s">
        <v>324</v>
      </c>
      <c r="AR293" s="203" t="s">
        <v>2582</v>
      </c>
      <c r="AS293" s="195" t="s">
        <v>316</v>
      </c>
      <c r="AT293" s="199"/>
      <c r="AU293" s="202" t="s">
        <v>2609</v>
      </c>
      <c r="AV293" s="195" t="s">
        <v>2610</v>
      </c>
      <c r="AW293" s="195" t="str">
        <f ca="1">IFERROR(__xludf.DUMMYFUNCTION("IF(AND(IF(AS293=""Yes"",True,False),NOT(IFERROR(REGEXMATCH(AV293,ExclusionCategories),FALSE))),""Yes"", ""No"")"),"No")</f>
        <v>No</v>
      </c>
      <c r="AX293" s="195">
        <f ca="1">IFERROR(__xludf.DUMMYFUNCTION("IF(IFERROR(SEARCH(""Unclear"", Z293)) = 1, VALUE(REGEXEXTRACT(Z293,""\d+"")), Z293)"),0)</f>
        <v>0</v>
      </c>
      <c r="AY293" s="195">
        <v>0</v>
      </c>
      <c r="AZ293" s="195" t="str">
        <f ca="1">IFERROR(__xludf.DUMMYFUNCTION("IF(IFERROR(SEARCH(""Unclear"", AG293)) = 1, VALUE(REGEXEXTRACT(AG293,""\d+"")), AG293)"),"ND")</f>
        <v>ND</v>
      </c>
      <c r="BA293" s="195" t="s">
        <v>324</v>
      </c>
      <c r="BB293" s="195" t="str">
        <f ca="1">IFERROR(__xludf.DUMMYFUNCTION("IF(IFERROR(SEARCH(""Unclear"", AJ293)) = 1, VALUE(REGEXEXTRACT(AJ293,""\d+"")), AJ293)"),"ND")</f>
        <v>ND</v>
      </c>
      <c r="BC293" s="195" t="s">
        <v>324</v>
      </c>
      <c r="BD293" s="195" t="b">
        <f t="shared" si="2"/>
        <v>0</v>
      </c>
      <c r="BE293" s="195" t="b">
        <f t="shared" ref="BE293:BF293" si="313">IF(IFERROR(FIND("ND",AI293),0),FALSE,TRUE)</f>
        <v>1</v>
      </c>
      <c r="BF293" s="195" t="b">
        <f t="shared" si="313"/>
        <v>0</v>
      </c>
    </row>
    <row r="294" spans="1:58" ht="37.5" customHeight="1">
      <c r="A294" s="203" t="s">
        <v>2601</v>
      </c>
      <c r="B294" s="204">
        <v>1993</v>
      </c>
      <c r="C294" s="195" t="s">
        <v>339</v>
      </c>
      <c r="D294" s="4" t="s">
        <v>2611</v>
      </c>
      <c r="E294" s="204">
        <v>8376823</v>
      </c>
      <c r="F294" s="198" t="s">
        <v>2603</v>
      </c>
      <c r="G294" s="195" t="str">
        <f t="shared" si="89"/>
        <v>Edelman 1993</v>
      </c>
      <c r="H294" s="217">
        <v>1993</v>
      </c>
      <c r="I294" s="199"/>
      <c r="J294" s="199"/>
      <c r="K294" s="195">
        <v>6</v>
      </c>
      <c r="L294" s="4" t="s">
        <v>353</v>
      </c>
      <c r="M294" s="195">
        <v>6</v>
      </c>
      <c r="N294" s="195">
        <v>0</v>
      </c>
      <c r="O294" s="195" t="s">
        <v>324</v>
      </c>
      <c r="P294" s="195" t="s">
        <v>324</v>
      </c>
      <c r="Q294" s="195" t="s">
        <v>324</v>
      </c>
      <c r="R294" s="195" t="s">
        <v>324</v>
      </c>
      <c r="S294" s="195" t="s">
        <v>324</v>
      </c>
      <c r="T294" s="195" t="s">
        <v>324</v>
      </c>
      <c r="U294" s="195" t="s">
        <v>324</v>
      </c>
      <c r="V294" s="195" t="s">
        <v>2605</v>
      </c>
      <c r="W294" s="199"/>
      <c r="X294" s="195">
        <v>6</v>
      </c>
      <c r="Y294" s="195" t="s">
        <v>2612</v>
      </c>
      <c r="Z294" s="195">
        <v>5</v>
      </c>
      <c r="AA294" s="195" t="s">
        <v>2613</v>
      </c>
      <c r="AB294" s="195">
        <v>0</v>
      </c>
      <c r="AC294" s="199"/>
      <c r="AD294" s="195" t="s">
        <v>322</v>
      </c>
      <c r="AE294" s="195" t="s">
        <v>2614</v>
      </c>
      <c r="AF294" s="195" t="s">
        <v>2615</v>
      </c>
      <c r="AG294" s="195">
        <v>5</v>
      </c>
      <c r="AH294" s="195" t="s">
        <v>316</v>
      </c>
      <c r="AI294" s="195">
        <v>0</v>
      </c>
      <c r="AJ294" s="195" t="s">
        <v>324</v>
      </c>
      <c r="AK294" s="195" t="s">
        <v>499</v>
      </c>
      <c r="AL294" s="195" t="s">
        <v>322</v>
      </c>
      <c r="AM294" s="199"/>
      <c r="AN294" s="195" t="s">
        <v>1031</v>
      </c>
      <c r="AO294" s="195" t="s">
        <v>324</v>
      </c>
      <c r="AP294" s="195" t="s">
        <v>2608</v>
      </c>
      <c r="AQ294" s="195" t="s">
        <v>324</v>
      </c>
      <c r="AR294" s="203" t="s">
        <v>2582</v>
      </c>
      <c r="AS294" s="195" t="s">
        <v>308</v>
      </c>
      <c r="AT294" s="199"/>
      <c r="AU294" s="202" t="s">
        <v>2609</v>
      </c>
      <c r="AV294" s="195" t="s">
        <v>571</v>
      </c>
      <c r="AW294" s="195" t="str">
        <f ca="1">IFERROR(__xludf.DUMMYFUNCTION("IF(AND(IF(AS294=""Yes"",True,False),NOT(IFERROR(REGEXMATCH(AV294,ExclusionCategories),FALSE))),""Yes"", ""No"")"),"Yes")</f>
        <v>Yes</v>
      </c>
      <c r="AX294" s="195">
        <f ca="1">IFERROR(__xludf.DUMMYFUNCTION("IF(IFERROR(SEARCH(""Unclear"", Z294)) = 1, VALUE(REGEXEXTRACT(Z294,""\d+"")), Z294)"),5)</f>
        <v>5</v>
      </c>
      <c r="AY294" s="195">
        <v>5</v>
      </c>
      <c r="AZ294" s="195">
        <f ca="1">IFERROR(__xludf.DUMMYFUNCTION("IF(IFERROR(SEARCH(""Unclear"", AG294)) = 1, VALUE(REGEXEXTRACT(AG294,""\d+"")), AG294)"),5)</f>
        <v>5</v>
      </c>
      <c r="BA294" s="195">
        <v>5</v>
      </c>
      <c r="BB294" s="195" t="str">
        <f ca="1">IFERROR(__xludf.DUMMYFUNCTION("IF(IFERROR(SEARCH(""Unclear"", AJ294)) = 1, VALUE(REGEXEXTRACT(AJ294,""\d+"")), AJ294)"),"ND")</f>
        <v>ND</v>
      </c>
      <c r="BC294" s="195" t="s">
        <v>324</v>
      </c>
      <c r="BD294" s="195" t="b">
        <f t="shared" si="2"/>
        <v>1</v>
      </c>
      <c r="BE294" s="195" t="b">
        <f t="shared" ref="BE294:BF294" si="314">IF(IFERROR(FIND("ND",AI294),0),FALSE,TRUE)</f>
        <v>1</v>
      </c>
      <c r="BF294" s="195" t="b">
        <f t="shared" si="314"/>
        <v>0</v>
      </c>
    </row>
    <row r="295" spans="1:58" ht="37.5" customHeight="1">
      <c r="A295" s="203" t="s">
        <v>2616</v>
      </c>
      <c r="B295" s="204">
        <v>2011</v>
      </c>
      <c r="C295" s="195" t="s">
        <v>339</v>
      </c>
      <c r="D295" s="4" t="s">
        <v>2617</v>
      </c>
      <c r="E295" s="204">
        <v>21903775</v>
      </c>
      <c r="F295" s="198" t="s">
        <v>2618</v>
      </c>
      <c r="G295" s="195" t="str">
        <f t="shared" si="89"/>
        <v>Epstein 2011</v>
      </c>
      <c r="H295" s="217">
        <v>2011</v>
      </c>
      <c r="I295" s="199"/>
      <c r="J295" s="199"/>
      <c r="K295" s="195">
        <v>80</v>
      </c>
      <c r="L295" s="4" t="s">
        <v>343</v>
      </c>
      <c r="M295" s="195" t="s">
        <v>324</v>
      </c>
      <c r="N295" s="195" t="s">
        <v>324</v>
      </c>
      <c r="O295" s="195" t="s">
        <v>324</v>
      </c>
      <c r="P295" s="195" t="s">
        <v>324</v>
      </c>
      <c r="Q295" s="195" t="s">
        <v>324</v>
      </c>
      <c r="R295" s="195">
        <v>18</v>
      </c>
      <c r="S295" s="195">
        <v>50</v>
      </c>
      <c r="T295" s="195" t="s">
        <v>324</v>
      </c>
      <c r="U295" s="195" t="s">
        <v>324</v>
      </c>
      <c r="V295" s="195" t="s">
        <v>2619</v>
      </c>
      <c r="W295" s="199"/>
      <c r="X295" s="195">
        <v>80</v>
      </c>
      <c r="Y295" s="195"/>
      <c r="Z295" s="195" t="s">
        <v>322</v>
      </c>
      <c r="AA295" s="195"/>
      <c r="AB295" s="195">
        <v>0</v>
      </c>
      <c r="AC295" s="199"/>
      <c r="AD295" s="195" t="s">
        <v>322</v>
      </c>
      <c r="AE295" s="195" t="s">
        <v>2620</v>
      </c>
      <c r="AF295" s="195"/>
      <c r="AG295" s="195">
        <v>42</v>
      </c>
      <c r="AH295" s="195" t="s">
        <v>308</v>
      </c>
      <c r="AI295" s="195">
        <v>0</v>
      </c>
      <c r="AJ295" s="195">
        <v>1</v>
      </c>
      <c r="AK295" s="195"/>
      <c r="AL295" s="195" t="s">
        <v>322</v>
      </c>
      <c r="AM295" s="199"/>
      <c r="AN295" s="195" t="s">
        <v>332</v>
      </c>
      <c r="AO295" s="195" t="s">
        <v>2621</v>
      </c>
      <c r="AP295" s="195" t="s">
        <v>324</v>
      </c>
      <c r="AQ295" s="195" t="s">
        <v>2622</v>
      </c>
      <c r="AR295" s="203" t="s">
        <v>2582</v>
      </c>
      <c r="AS295" s="195" t="s">
        <v>316</v>
      </c>
      <c r="AT295" s="199"/>
      <c r="AU295" s="202" t="s">
        <v>2623</v>
      </c>
      <c r="AV295" s="195" t="s">
        <v>318</v>
      </c>
      <c r="AW295" s="195" t="str">
        <f ca="1">IFERROR(__xludf.DUMMYFUNCTION("IF(AND(IF(AS295=""Yes"",True,False),NOT(IFERROR(REGEXMATCH(AV295,ExclusionCategories),FALSE))),""Yes"", ""No"")"),"No")</f>
        <v>No</v>
      </c>
      <c r="AX295" s="195" t="str">
        <f ca="1">IFERROR(__xludf.DUMMYFUNCTION("IF(IFERROR(SEARCH(""Unclear"", Z295)) = 1, VALUE(REGEXEXTRACT(Z295,""\d+"")), Z295)"),"N/A")</f>
        <v>N/A</v>
      </c>
      <c r="AY295" s="195" t="s">
        <v>322</v>
      </c>
      <c r="AZ295" s="195">
        <f ca="1">IFERROR(__xludf.DUMMYFUNCTION("IF(IFERROR(SEARCH(""Unclear"", AG295)) = 1, VALUE(REGEXEXTRACT(AG295,""\d+"")), AG295)"),42)</f>
        <v>42</v>
      </c>
      <c r="BA295" s="195">
        <v>42</v>
      </c>
      <c r="BB295" s="195">
        <f ca="1">IFERROR(__xludf.DUMMYFUNCTION("IF(IFERROR(SEARCH(""Unclear"", AJ295)) = 1, VALUE(REGEXEXTRACT(AJ295,""\d+"")), AJ295)"),1)</f>
        <v>1</v>
      </c>
      <c r="BC295" s="195">
        <v>1</v>
      </c>
      <c r="BD295" s="195" t="b">
        <f t="shared" si="2"/>
        <v>1</v>
      </c>
      <c r="BE295" s="195" t="b">
        <f t="shared" ref="BE295:BF295" si="315">IF(IFERROR(FIND("ND",AI295),0),FALSE,TRUE)</f>
        <v>1</v>
      </c>
      <c r="BF295" s="195" t="b">
        <f t="shared" si="315"/>
        <v>1</v>
      </c>
    </row>
    <row r="296" spans="1:58" ht="37.5" customHeight="1">
      <c r="A296" s="203" t="s">
        <v>2616</v>
      </c>
      <c r="B296" s="204">
        <v>2011</v>
      </c>
      <c r="C296" s="195" t="s">
        <v>339</v>
      </c>
      <c r="D296" s="4" t="s">
        <v>2624</v>
      </c>
      <c r="E296" s="204">
        <v>21903775</v>
      </c>
      <c r="F296" s="198" t="s">
        <v>2618</v>
      </c>
      <c r="G296" s="195" t="str">
        <f t="shared" si="89"/>
        <v>Epstein 2011</v>
      </c>
      <c r="H296" s="217">
        <v>2011</v>
      </c>
      <c r="I296" s="199"/>
      <c r="J296" s="199"/>
      <c r="K296" s="195">
        <v>62</v>
      </c>
      <c r="L296" s="4" t="s">
        <v>353</v>
      </c>
      <c r="M296" s="195" t="s">
        <v>324</v>
      </c>
      <c r="N296" s="195" t="s">
        <v>324</v>
      </c>
      <c r="O296" s="195" t="s">
        <v>324</v>
      </c>
      <c r="P296" s="195" t="s">
        <v>324</v>
      </c>
      <c r="Q296" s="195" t="s">
        <v>324</v>
      </c>
      <c r="R296" s="195" t="s">
        <v>324</v>
      </c>
      <c r="S296" s="195" t="s">
        <v>324</v>
      </c>
      <c r="T296" s="195" t="s">
        <v>324</v>
      </c>
      <c r="U296" s="195" t="s">
        <v>324</v>
      </c>
      <c r="V296" s="195" t="s">
        <v>2625</v>
      </c>
      <c r="W296" s="199"/>
      <c r="X296" s="195">
        <v>62</v>
      </c>
      <c r="Y296" s="195" t="s">
        <v>2626</v>
      </c>
      <c r="Z296" s="195">
        <v>60</v>
      </c>
      <c r="AA296" s="195" t="s">
        <v>2627</v>
      </c>
      <c r="AB296" s="195">
        <v>0</v>
      </c>
      <c r="AC296" s="199"/>
      <c r="AD296" s="195" t="s">
        <v>322</v>
      </c>
      <c r="AE296" s="195" t="s">
        <v>2628</v>
      </c>
      <c r="AF296" s="195" t="s">
        <v>1472</v>
      </c>
      <c r="AG296" s="195" t="s">
        <v>324</v>
      </c>
      <c r="AH296" s="195" t="s">
        <v>308</v>
      </c>
      <c r="AI296" s="195" t="s">
        <v>324</v>
      </c>
      <c r="AJ296" s="195" t="s">
        <v>324</v>
      </c>
      <c r="AK296" s="195"/>
      <c r="AL296" s="195" t="s">
        <v>322</v>
      </c>
      <c r="AM296" s="199"/>
      <c r="AN296" s="195" t="s">
        <v>332</v>
      </c>
      <c r="AO296" s="195" t="s">
        <v>2621</v>
      </c>
      <c r="AP296" s="195" t="s">
        <v>324</v>
      </c>
      <c r="AQ296" s="195" t="s">
        <v>2622</v>
      </c>
      <c r="AR296" s="203" t="s">
        <v>2582</v>
      </c>
      <c r="AS296" s="195" t="s">
        <v>308</v>
      </c>
      <c r="AT296" s="199"/>
      <c r="AU296" s="202" t="s">
        <v>2623</v>
      </c>
      <c r="AV296" s="195" t="s">
        <v>9</v>
      </c>
      <c r="AW296" s="195" t="str">
        <f ca="1">IFERROR(__xludf.DUMMYFUNCTION("IF(AND(IF(AS296=""Yes"",True,False),NOT(IFERROR(REGEXMATCH(AV296,ExclusionCategories),FALSE))),""Yes"", ""No"")"),"Yes")</f>
        <v>Yes</v>
      </c>
      <c r="AX296" s="195">
        <f ca="1">IFERROR(__xludf.DUMMYFUNCTION("IF(IFERROR(SEARCH(""Unclear"", Z296)) = 1, VALUE(REGEXEXTRACT(Z296,""\d+"")), Z296)"),60)</f>
        <v>60</v>
      </c>
      <c r="AY296" s="195">
        <v>60</v>
      </c>
      <c r="AZ296" s="195" t="str">
        <f ca="1">IFERROR(__xludf.DUMMYFUNCTION("IF(IFERROR(SEARCH(""Unclear"", AG296)) = 1, VALUE(REGEXEXTRACT(AG296,""\d+"")), AG296)"),"ND")</f>
        <v>ND</v>
      </c>
      <c r="BA296" s="195" t="s">
        <v>324</v>
      </c>
      <c r="BB296" s="195" t="str">
        <f ca="1">IFERROR(__xludf.DUMMYFUNCTION("IF(IFERROR(SEARCH(""Unclear"", AJ296)) = 1, VALUE(REGEXEXTRACT(AJ296,""\d+"")), AJ296)"),"ND")</f>
        <v>ND</v>
      </c>
      <c r="BC296" s="195" t="s">
        <v>324</v>
      </c>
      <c r="BD296" s="195" t="b">
        <f t="shared" si="2"/>
        <v>0</v>
      </c>
      <c r="BE296" s="195" t="b">
        <f t="shared" ref="BE296:BF296" si="316">IF(IFERROR(FIND("ND",AI296),0),FALSE,TRUE)</f>
        <v>0</v>
      </c>
      <c r="BF296" s="195" t="b">
        <f t="shared" si="316"/>
        <v>0</v>
      </c>
    </row>
    <row r="297" spans="1:58" ht="37.5" customHeight="1">
      <c r="A297" s="203" t="s">
        <v>1922</v>
      </c>
      <c r="B297" s="204">
        <v>1987</v>
      </c>
      <c r="C297" s="195" t="s">
        <v>339</v>
      </c>
      <c r="D297" s="4" t="s">
        <v>2629</v>
      </c>
      <c r="E297" s="204">
        <v>2439920</v>
      </c>
      <c r="F297" s="198" t="s">
        <v>2630</v>
      </c>
      <c r="G297" s="195" t="str">
        <f t="shared" si="89"/>
        <v>Herrington 1987</v>
      </c>
      <c r="H297" s="217">
        <v>1987</v>
      </c>
      <c r="I297" s="199"/>
      <c r="J297" s="199"/>
      <c r="K297" s="195">
        <v>45</v>
      </c>
      <c r="L297" s="4" t="s">
        <v>301</v>
      </c>
      <c r="M297" s="195">
        <v>45</v>
      </c>
      <c r="N297" s="195" t="s">
        <v>324</v>
      </c>
      <c r="O297" s="195" t="s">
        <v>324</v>
      </c>
      <c r="P297" s="195" t="s">
        <v>324</v>
      </c>
      <c r="Q297" s="195" t="s">
        <v>324</v>
      </c>
      <c r="R297" s="195" t="s">
        <v>324</v>
      </c>
      <c r="S297" s="195" t="s">
        <v>324</v>
      </c>
      <c r="T297" s="195" t="s">
        <v>324</v>
      </c>
      <c r="U297" s="195" t="s">
        <v>324</v>
      </c>
      <c r="V297" s="195" t="s">
        <v>2619</v>
      </c>
      <c r="W297" s="199"/>
      <c r="X297" s="195">
        <v>35</v>
      </c>
      <c r="Y297" s="195"/>
      <c r="Z297" s="195" t="s">
        <v>322</v>
      </c>
      <c r="AA297" s="195"/>
      <c r="AB297" s="195">
        <v>10</v>
      </c>
      <c r="AC297" s="199"/>
      <c r="AD297" s="195" t="s">
        <v>324</v>
      </c>
      <c r="AE297" s="195" t="s">
        <v>2631</v>
      </c>
      <c r="AF297" s="195"/>
      <c r="AG297" s="195" t="s">
        <v>1978</v>
      </c>
      <c r="AH297" s="195" t="s">
        <v>316</v>
      </c>
      <c r="AI297" s="195">
        <v>0</v>
      </c>
      <c r="AJ297" s="195">
        <v>0</v>
      </c>
      <c r="AK297" s="195"/>
      <c r="AL297" s="195" t="s">
        <v>324</v>
      </c>
      <c r="AM297" s="199"/>
      <c r="AN297" s="195" t="s">
        <v>332</v>
      </c>
      <c r="AO297" s="195" t="s">
        <v>2632</v>
      </c>
      <c r="AP297" s="195" t="s">
        <v>2633</v>
      </c>
      <c r="AQ297" s="195" t="s">
        <v>2634</v>
      </c>
      <c r="AR297" s="203" t="s">
        <v>2582</v>
      </c>
      <c r="AS297" s="195" t="s">
        <v>316</v>
      </c>
      <c r="AT297" s="199"/>
      <c r="AU297" s="202" t="s">
        <v>2635</v>
      </c>
      <c r="AV297" s="195" t="s">
        <v>318</v>
      </c>
      <c r="AW297" s="195" t="str">
        <f ca="1">IFERROR(__xludf.DUMMYFUNCTION("IF(AND(IF(AS297=""Yes"",True,False),NOT(IFERROR(REGEXMATCH(AV297,ExclusionCategories),FALSE))),""Yes"", ""No"")"),"No")</f>
        <v>No</v>
      </c>
      <c r="AX297" s="195" t="str">
        <f ca="1">IFERROR(__xludf.DUMMYFUNCTION("IF(IFERROR(SEARCH(""Unclear"", Z297)) = 1, VALUE(REGEXEXTRACT(Z297,""\d+"")), Z297)"),"N/A")</f>
        <v>N/A</v>
      </c>
      <c r="AY297" s="195" t="s">
        <v>322</v>
      </c>
      <c r="AZ297" s="195">
        <f ca="1">IFERROR(__xludf.DUMMYFUNCTION("IF(IFERROR(SEARCH(""Unclear"", AG297)) = 1, VALUE(REGEXEXTRACT(AG297,""\d+"")), AG297)"),20)</f>
        <v>20</v>
      </c>
      <c r="BA297" s="195">
        <v>35</v>
      </c>
      <c r="BB297" s="195">
        <f ca="1">IFERROR(__xludf.DUMMYFUNCTION("IF(IFERROR(SEARCH(""Unclear"", AJ297)) = 1, VALUE(REGEXEXTRACT(AJ297,""\d+"")), AJ297)"),0)</f>
        <v>0</v>
      </c>
      <c r="BC297" s="195">
        <v>0</v>
      </c>
      <c r="BD297" s="195" t="b">
        <f t="shared" si="2"/>
        <v>1</v>
      </c>
      <c r="BE297" s="195" t="b">
        <f t="shared" ref="BE297:BF297" si="317">IF(IFERROR(FIND("ND",AI297),0),FALSE,TRUE)</f>
        <v>1</v>
      </c>
      <c r="BF297" s="195" t="b">
        <f t="shared" si="317"/>
        <v>1</v>
      </c>
    </row>
    <row r="298" spans="1:58" ht="37.5" customHeight="1">
      <c r="A298" s="203" t="s">
        <v>1922</v>
      </c>
      <c r="B298" s="204">
        <v>1987</v>
      </c>
      <c r="C298" s="195" t="s">
        <v>339</v>
      </c>
      <c r="D298" s="4" t="s">
        <v>2174</v>
      </c>
      <c r="E298" s="204">
        <v>2439920</v>
      </c>
      <c r="F298" s="198" t="s">
        <v>2630</v>
      </c>
      <c r="G298" s="195" t="str">
        <f t="shared" si="89"/>
        <v>Herrington 1987</v>
      </c>
      <c r="H298" s="217">
        <v>1987</v>
      </c>
      <c r="I298" s="199"/>
      <c r="J298" s="199"/>
      <c r="K298" s="195">
        <v>7</v>
      </c>
      <c r="L298" s="4" t="s">
        <v>353</v>
      </c>
      <c r="M298" s="195">
        <v>7</v>
      </c>
      <c r="N298" s="195" t="s">
        <v>324</v>
      </c>
      <c r="O298" s="195" t="s">
        <v>324</v>
      </c>
      <c r="P298" s="195" t="s">
        <v>324</v>
      </c>
      <c r="Q298" s="195" t="s">
        <v>324</v>
      </c>
      <c r="R298" s="195" t="s">
        <v>324</v>
      </c>
      <c r="S298" s="195" t="s">
        <v>324</v>
      </c>
      <c r="T298" s="195" t="s">
        <v>324</v>
      </c>
      <c r="U298" s="195" t="s">
        <v>324</v>
      </c>
      <c r="V298" s="195" t="s">
        <v>2636</v>
      </c>
      <c r="W298" s="199"/>
      <c r="X298" s="195">
        <v>7</v>
      </c>
      <c r="Y298" s="195" t="s">
        <v>2637</v>
      </c>
      <c r="Z298" s="195">
        <v>6</v>
      </c>
      <c r="AA298" s="195" t="s">
        <v>2638</v>
      </c>
      <c r="AB298" s="195">
        <v>0</v>
      </c>
      <c r="AC298" s="199"/>
      <c r="AD298" s="195" t="s">
        <v>322</v>
      </c>
      <c r="AE298" s="195" t="s">
        <v>2628</v>
      </c>
      <c r="AF298" s="195" t="s">
        <v>1472</v>
      </c>
      <c r="AG298" s="195" t="s">
        <v>324</v>
      </c>
      <c r="AH298" s="195" t="s">
        <v>316</v>
      </c>
      <c r="AI298" s="195" t="s">
        <v>324</v>
      </c>
      <c r="AJ298" s="195" t="s">
        <v>324</v>
      </c>
      <c r="AK298" s="195"/>
      <c r="AL298" s="195" t="s">
        <v>322</v>
      </c>
      <c r="AM298" s="199"/>
      <c r="AN298" s="195" t="s">
        <v>1031</v>
      </c>
      <c r="AO298" s="195" t="s">
        <v>2632</v>
      </c>
      <c r="AP298" s="195" t="s">
        <v>2633</v>
      </c>
      <c r="AQ298" s="195" t="s">
        <v>324</v>
      </c>
      <c r="AR298" s="203" t="s">
        <v>2582</v>
      </c>
      <c r="AS298" s="195" t="s">
        <v>308</v>
      </c>
      <c r="AT298" s="199"/>
      <c r="AU298" s="202" t="s">
        <v>2635</v>
      </c>
      <c r="AV298" s="195" t="s">
        <v>9</v>
      </c>
      <c r="AW298" s="195" t="str">
        <f ca="1">IFERROR(__xludf.DUMMYFUNCTION("IF(AND(IF(AS298=""Yes"",True,False),NOT(IFERROR(REGEXMATCH(AV298,ExclusionCategories),FALSE))),""Yes"", ""No"")"),"Yes")</f>
        <v>Yes</v>
      </c>
      <c r="AX298" s="195">
        <f ca="1">IFERROR(__xludf.DUMMYFUNCTION("IF(IFERROR(SEARCH(""Unclear"", Z298)) = 1, VALUE(REGEXEXTRACT(Z298,""\d+"")), Z298)"),6)</f>
        <v>6</v>
      </c>
      <c r="AY298" s="195">
        <v>6</v>
      </c>
      <c r="AZ298" s="195" t="str">
        <f ca="1">IFERROR(__xludf.DUMMYFUNCTION("IF(IFERROR(SEARCH(""Unclear"", AG298)) = 1, VALUE(REGEXEXTRACT(AG298,""\d+"")), AG298)"),"ND")</f>
        <v>ND</v>
      </c>
      <c r="BA298" s="195" t="s">
        <v>324</v>
      </c>
      <c r="BB298" s="195" t="str">
        <f ca="1">IFERROR(__xludf.DUMMYFUNCTION("IF(IFERROR(SEARCH(""Unclear"", AJ298)) = 1, VALUE(REGEXEXTRACT(AJ298,""\d+"")), AJ298)"),"ND")</f>
        <v>ND</v>
      </c>
      <c r="BC298" s="195" t="s">
        <v>324</v>
      </c>
      <c r="BD298" s="195" t="b">
        <f t="shared" si="2"/>
        <v>0</v>
      </c>
      <c r="BE298" s="195" t="b">
        <f t="shared" ref="BE298:BF298" si="318">IF(IFERROR(FIND("ND",AI298),0),FALSE,TRUE)</f>
        <v>0</v>
      </c>
      <c r="BF298" s="195" t="b">
        <f t="shared" si="318"/>
        <v>0</v>
      </c>
    </row>
    <row r="299" spans="1:58" ht="37.5" customHeight="1">
      <c r="A299" s="203" t="s">
        <v>1922</v>
      </c>
      <c r="B299" s="204">
        <v>1990</v>
      </c>
      <c r="C299" s="195" t="s">
        <v>339</v>
      </c>
      <c r="D299" s="4" t="s">
        <v>2639</v>
      </c>
      <c r="E299" s="204">
        <v>2094588</v>
      </c>
      <c r="F299" s="198" t="s">
        <v>2640</v>
      </c>
      <c r="G299" s="195" t="str">
        <f t="shared" si="89"/>
        <v>Herrington 1990a</v>
      </c>
      <c r="H299" s="217">
        <v>1990</v>
      </c>
      <c r="I299" s="199"/>
      <c r="J299" s="199"/>
      <c r="K299" s="195">
        <v>4</v>
      </c>
      <c r="L299" s="4" t="s">
        <v>2641</v>
      </c>
      <c r="M299" s="195" t="s">
        <v>324</v>
      </c>
      <c r="N299" s="195" t="s">
        <v>324</v>
      </c>
      <c r="O299" s="195" t="s">
        <v>324</v>
      </c>
      <c r="P299" s="195" t="s">
        <v>324</v>
      </c>
      <c r="Q299" s="195" t="s">
        <v>324</v>
      </c>
      <c r="R299" s="195" t="s">
        <v>324</v>
      </c>
      <c r="S299" s="195" t="s">
        <v>324</v>
      </c>
      <c r="T299" s="195" t="s">
        <v>324</v>
      </c>
      <c r="U299" s="195" t="s">
        <v>324</v>
      </c>
      <c r="V299" s="195" t="s">
        <v>2636</v>
      </c>
      <c r="W299" s="199"/>
      <c r="X299" s="195">
        <v>4</v>
      </c>
      <c r="Y299" s="195" t="s">
        <v>2642</v>
      </c>
      <c r="Z299" s="195">
        <v>4</v>
      </c>
      <c r="AA299" s="195" t="s">
        <v>2643</v>
      </c>
      <c r="AB299" s="195">
        <v>0</v>
      </c>
      <c r="AC299" s="199"/>
      <c r="AD299" s="195" t="s">
        <v>322</v>
      </c>
      <c r="AE299" s="195" t="s">
        <v>332</v>
      </c>
      <c r="AF299" s="195" t="s">
        <v>1472</v>
      </c>
      <c r="AG299" s="195" t="s">
        <v>324</v>
      </c>
      <c r="AH299" s="195" t="s">
        <v>316</v>
      </c>
      <c r="AI299" s="195" t="s">
        <v>324</v>
      </c>
      <c r="AJ299" s="195" t="s">
        <v>324</v>
      </c>
      <c r="AK299" s="195"/>
      <c r="AL299" s="195" t="s">
        <v>322</v>
      </c>
      <c r="AM299" s="199"/>
      <c r="AN299" s="195" t="s">
        <v>2644</v>
      </c>
      <c r="AO299" s="195" t="s">
        <v>324</v>
      </c>
      <c r="AP299" s="195" t="s">
        <v>324</v>
      </c>
      <c r="AQ299" s="195" t="s">
        <v>324</v>
      </c>
      <c r="AR299" s="203" t="s">
        <v>2582</v>
      </c>
      <c r="AS299" s="195" t="s">
        <v>308</v>
      </c>
      <c r="AT299" s="199"/>
      <c r="AU299" s="202" t="s">
        <v>2645</v>
      </c>
      <c r="AV299" s="195" t="s">
        <v>9</v>
      </c>
      <c r="AW299" s="195" t="str">
        <f ca="1">IFERROR(__xludf.DUMMYFUNCTION("IF(AND(IF(AS299=""Yes"",True,False),NOT(IFERROR(REGEXMATCH(AV299,ExclusionCategories),FALSE))),""Yes"", ""No"")"),"Yes")</f>
        <v>Yes</v>
      </c>
      <c r="AX299" s="195">
        <f ca="1">IFERROR(__xludf.DUMMYFUNCTION("IF(IFERROR(SEARCH(""Unclear"", Z299)) = 1, VALUE(REGEXEXTRACT(Z299,""\d+"")), Z299)"),4)</f>
        <v>4</v>
      </c>
      <c r="AY299" s="195">
        <v>4</v>
      </c>
      <c r="AZ299" s="195" t="str">
        <f ca="1">IFERROR(__xludf.DUMMYFUNCTION("IF(IFERROR(SEARCH(""Unclear"", AG299)) = 1, VALUE(REGEXEXTRACT(AG299,""\d+"")), AG299)"),"ND")</f>
        <v>ND</v>
      </c>
      <c r="BA299" s="195" t="s">
        <v>324</v>
      </c>
      <c r="BB299" s="195" t="str">
        <f ca="1">IFERROR(__xludf.DUMMYFUNCTION("IF(IFERROR(SEARCH(""Unclear"", AJ299)) = 1, VALUE(REGEXEXTRACT(AJ299,""\d+"")), AJ299)"),"ND")</f>
        <v>ND</v>
      </c>
      <c r="BC299" s="195" t="s">
        <v>324</v>
      </c>
      <c r="BD299" s="195" t="b">
        <f t="shared" si="2"/>
        <v>0</v>
      </c>
      <c r="BE299" s="195" t="b">
        <f t="shared" ref="BE299:BF299" si="319">IF(IFERROR(FIND("ND",AI299),0),FALSE,TRUE)</f>
        <v>0</v>
      </c>
      <c r="BF299" s="195" t="b">
        <f t="shared" si="319"/>
        <v>0</v>
      </c>
    </row>
    <row r="300" spans="1:58" ht="37.5" customHeight="1">
      <c r="A300" s="203" t="s">
        <v>1922</v>
      </c>
      <c r="B300" s="204">
        <v>1991</v>
      </c>
      <c r="C300" s="195" t="s">
        <v>339</v>
      </c>
      <c r="D300" s="4" t="s">
        <v>2646</v>
      </c>
      <c r="E300" s="204">
        <v>1951863</v>
      </c>
      <c r="F300" s="198" t="s">
        <v>2647</v>
      </c>
      <c r="G300" s="195" t="str">
        <f t="shared" si="89"/>
        <v>Herrington 1991</v>
      </c>
      <c r="H300" s="217">
        <v>1991</v>
      </c>
      <c r="I300" s="199"/>
      <c r="J300" s="199"/>
      <c r="K300" s="195">
        <v>7</v>
      </c>
      <c r="L300" s="4" t="s">
        <v>2641</v>
      </c>
      <c r="M300" s="195" t="s">
        <v>324</v>
      </c>
      <c r="N300" s="195" t="s">
        <v>324</v>
      </c>
      <c r="O300" s="195" t="s">
        <v>324</v>
      </c>
      <c r="P300" s="195" t="s">
        <v>324</v>
      </c>
      <c r="Q300" s="195" t="s">
        <v>324</v>
      </c>
      <c r="R300" s="195">
        <v>23</v>
      </c>
      <c r="S300" s="195">
        <v>33</v>
      </c>
      <c r="T300" s="195" t="s">
        <v>324</v>
      </c>
      <c r="U300" s="195" t="s">
        <v>324</v>
      </c>
      <c r="V300" s="195" t="s">
        <v>2648</v>
      </c>
      <c r="W300" s="199"/>
      <c r="X300" s="195">
        <v>7</v>
      </c>
      <c r="Y300" s="195" t="s">
        <v>2649</v>
      </c>
      <c r="Z300" s="195">
        <v>4</v>
      </c>
      <c r="AA300" s="195" t="s">
        <v>2650</v>
      </c>
      <c r="AB300" s="195">
        <v>0</v>
      </c>
      <c r="AC300" s="199"/>
      <c r="AD300" s="195" t="s">
        <v>322</v>
      </c>
      <c r="AE300" s="195" t="s">
        <v>2651</v>
      </c>
      <c r="AF300" s="195" t="s">
        <v>2652</v>
      </c>
      <c r="AG300" s="195">
        <v>4</v>
      </c>
      <c r="AH300" s="195" t="s">
        <v>316</v>
      </c>
      <c r="AI300" s="195">
        <v>0</v>
      </c>
      <c r="AJ300" s="195" t="s">
        <v>324</v>
      </c>
      <c r="AK300" s="195" t="s">
        <v>499</v>
      </c>
      <c r="AL300" s="195" t="s">
        <v>322</v>
      </c>
      <c r="AM300" s="199"/>
      <c r="AN300" s="195" t="s">
        <v>332</v>
      </c>
      <c r="AO300" s="195" t="s">
        <v>2653</v>
      </c>
      <c r="AP300" s="195" t="s">
        <v>2654</v>
      </c>
      <c r="AQ300" s="195" t="s">
        <v>324</v>
      </c>
      <c r="AR300" s="203" t="s">
        <v>2582</v>
      </c>
      <c r="AS300" s="195" t="s">
        <v>308</v>
      </c>
      <c r="AT300" s="199"/>
      <c r="AU300" s="195" t="s">
        <v>2655</v>
      </c>
      <c r="AV300" s="195" t="s">
        <v>571</v>
      </c>
      <c r="AW300" s="195" t="str">
        <f ca="1">IFERROR(__xludf.DUMMYFUNCTION("IF(AND(IF(AS300=""Yes"",True,False),NOT(IFERROR(REGEXMATCH(AV300,ExclusionCategories),FALSE))),""Yes"", ""No"")"),"Yes")</f>
        <v>Yes</v>
      </c>
      <c r="AX300" s="195">
        <f ca="1">IFERROR(__xludf.DUMMYFUNCTION("IF(IFERROR(SEARCH(""Unclear"", Z300)) = 1, VALUE(REGEXEXTRACT(Z300,""\d+"")), Z300)"),4)</f>
        <v>4</v>
      </c>
      <c r="AY300" s="195">
        <v>4</v>
      </c>
      <c r="AZ300" s="195">
        <f ca="1">IFERROR(__xludf.DUMMYFUNCTION("IF(IFERROR(SEARCH(""Unclear"", AG300)) = 1, VALUE(REGEXEXTRACT(AG300,""\d+"")), AG300)"),4)</f>
        <v>4</v>
      </c>
      <c r="BA300" s="195">
        <v>4</v>
      </c>
      <c r="BB300" s="195" t="str">
        <f ca="1">IFERROR(__xludf.DUMMYFUNCTION("IF(IFERROR(SEARCH(""Unclear"", AJ300)) = 1, VALUE(REGEXEXTRACT(AJ300,""\d+"")), AJ300)"),"ND")</f>
        <v>ND</v>
      </c>
      <c r="BC300" s="195" t="s">
        <v>324</v>
      </c>
      <c r="BD300" s="195" t="b">
        <f t="shared" si="2"/>
        <v>1</v>
      </c>
      <c r="BE300" s="195" t="b">
        <f t="shared" ref="BE300:BF300" si="320">IF(IFERROR(FIND("ND",AI300),0),FALSE,TRUE)</f>
        <v>1</v>
      </c>
      <c r="BF300" s="195" t="b">
        <f t="shared" si="320"/>
        <v>0</v>
      </c>
    </row>
    <row r="301" spans="1:58" ht="37.5" customHeight="1">
      <c r="A301" s="203" t="s">
        <v>2656</v>
      </c>
      <c r="B301" s="204">
        <v>1994</v>
      </c>
      <c r="C301" s="195" t="s">
        <v>339</v>
      </c>
      <c r="D301" s="4" t="s">
        <v>2657</v>
      </c>
      <c r="E301" s="204">
        <v>7985753</v>
      </c>
      <c r="F301" s="198" t="s">
        <v>2658</v>
      </c>
      <c r="G301" s="195" t="str">
        <f t="shared" si="89"/>
        <v>Hoffman 1994</v>
      </c>
      <c r="H301" s="217">
        <v>1994</v>
      </c>
      <c r="I301" s="199"/>
      <c r="J301" s="199"/>
      <c r="K301" s="195">
        <v>22</v>
      </c>
      <c r="L301" s="4" t="s">
        <v>2659</v>
      </c>
      <c r="M301" s="195" t="s">
        <v>324</v>
      </c>
      <c r="N301" s="195" t="s">
        <v>324</v>
      </c>
      <c r="O301" s="195" t="s">
        <v>324</v>
      </c>
      <c r="P301" s="195" t="s">
        <v>324</v>
      </c>
      <c r="Q301" s="195" t="s">
        <v>324</v>
      </c>
      <c r="R301" s="195">
        <v>20</v>
      </c>
      <c r="S301" s="195">
        <v>50</v>
      </c>
      <c r="T301" s="195" t="s">
        <v>324</v>
      </c>
      <c r="U301" s="195" t="s">
        <v>324</v>
      </c>
      <c r="V301" s="195" t="s">
        <v>2660</v>
      </c>
      <c r="W301" s="199"/>
      <c r="X301" s="195">
        <v>22</v>
      </c>
      <c r="Y301" s="195" t="s">
        <v>2661</v>
      </c>
      <c r="Z301" s="195">
        <v>19</v>
      </c>
      <c r="AA301" s="195" t="s">
        <v>2662</v>
      </c>
      <c r="AB301" s="195">
        <v>0</v>
      </c>
      <c r="AC301" s="199"/>
      <c r="AD301" s="195" t="s">
        <v>322</v>
      </c>
      <c r="AE301" s="195" t="s">
        <v>2663</v>
      </c>
      <c r="AF301" s="195" t="s">
        <v>1472</v>
      </c>
      <c r="AG301" s="195" t="s">
        <v>324</v>
      </c>
      <c r="AH301" s="195" t="s">
        <v>316</v>
      </c>
      <c r="AI301" s="195" t="s">
        <v>324</v>
      </c>
      <c r="AJ301" s="195" t="s">
        <v>324</v>
      </c>
      <c r="AK301" s="195"/>
      <c r="AL301" s="195" t="s">
        <v>322</v>
      </c>
      <c r="AM301" s="199"/>
      <c r="AN301" s="195" t="s">
        <v>2664</v>
      </c>
      <c r="AO301" s="195" t="s">
        <v>2665</v>
      </c>
      <c r="AP301" s="195" t="s">
        <v>2666</v>
      </c>
      <c r="AQ301" s="195" t="s">
        <v>2667</v>
      </c>
      <c r="AR301" s="203" t="s">
        <v>2582</v>
      </c>
      <c r="AS301" s="195" t="s">
        <v>308</v>
      </c>
      <c r="AT301" s="199"/>
      <c r="AU301" s="195" t="s">
        <v>2668</v>
      </c>
      <c r="AV301" s="195" t="s">
        <v>9</v>
      </c>
      <c r="AW301" s="195" t="str">
        <f ca="1">IFERROR(__xludf.DUMMYFUNCTION("IF(AND(IF(AS301=""Yes"",True,False),NOT(IFERROR(REGEXMATCH(AV301,ExclusionCategories),FALSE))),""Yes"", ""No"")"),"Yes")</f>
        <v>Yes</v>
      </c>
      <c r="AX301" s="195">
        <f ca="1">IFERROR(__xludf.DUMMYFUNCTION("IF(IFERROR(SEARCH(""Unclear"", Z301)) = 1, VALUE(REGEXEXTRACT(Z301,""\d+"")), Z301)"),19)</f>
        <v>19</v>
      </c>
      <c r="AY301" s="195">
        <v>19</v>
      </c>
      <c r="AZ301" s="195" t="str">
        <f ca="1">IFERROR(__xludf.DUMMYFUNCTION("IF(IFERROR(SEARCH(""Unclear"", AG301)) = 1, VALUE(REGEXEXTRACT(AG301,""\d+"")), AG301)"),"ND")</f>
        <v>ND</v>
      </c>
      <c r="BA301" s="195" t="s">
        <v>324</v>
      </c>
      <c r="BB301" s="195" t="str">
        <f ca="1">IFERROR(__xludf.DUMMYFUNCTION("IF(IFERROR(SEARCH(""Unclear"", AJ301)) = 1, VALUE(REGEXEXTRACT(AJ301,""\d+"")), AJ301)"),"ND")</f>
        <v>ND</v>
      </c>
      <c r="BC301" s="195" t="s">
        <v>324</v>
      </c>
      <c r="BD301" s="195" t="b">
        <f t="shared" si="2"/>
        <v>0</v>
      </c>
      <c r="BE301" s="195" t="b">
        <f t="shared" ref="BE301:BF301" si="321">IF(IFERROR(FIND("ND",AI301),0),FALSE,TRUE)</f>
        <v>0</v>
      </c>
      <c r="BF301" s="195" t="b">
        <f t="shared" si="321"/>
        <v>0</v>
      </c>
    </row>
    <row r="302" spans="1:58" ht="37.5" customHeight="1">
      <c r="A302" s="203" t="s">
        <v>2669</v>
      </c>
      <c r="B302" s="204">
        <v>2016</v>
      </c>
      <c r="C302" s="195" t="s">
        <v>339</v>
      </c>
      <c r="D302" s="4" t="s">
        <v>2670</v>
      </c>
      <c r="E302" s="204">
        <v>27158907</v>
      </c>
      <c r="F302" s="198" t="s">
        <v>2671</v>
      </c>
      <c r="G302" s="195" t="str">
        <f t="shared" si="89"/>
        <v>Ishizuka 2016</v>
      </c>
      <c r="H302" s="195">
        <v>2016</v>
      </c>
      <c r="I302" s="195" t="s">
        <v>2672</v>
      </c>
      <c r="J302" s="229" t="s">
        <v>2673</v>
      </c>
      <c r="K302" s="195">
        <v>12</v>
      </c>
      <c r="L302" s="4" t="s">
        <v>2674</v>
      </c>
      <c r="M302" s="195">
        <v>7</v>
      </c>
      <c r="N302" s="195">
        <v>5</v>
      </c>
      <c r="O302" s="195" t="s">
        <v>324</v>
      </c>
      <c r="P302" s="195">
        <v>22</v>
      </c>
      <c r="Q302" s="195">
        <v>38</v>
      </c>
      <c r="R302" s="195">
        <v>18</v>
      </c>
      <c r="S302" s="195">
        <v>45</v>
      </c>
      <c r="T302" s="195">
        <v>28.5</v>
      </c>
      <c r="U302" s="195" t="s">
        <v>324</v>
      </c>
      <c r="V302" s="195" t="s">
        <v>2675</v>
      </c>
      <c r="W302" s="199"/>
      <c r="X302" s="195">
        <v>11</v>
      </c>
      <c r="Y302" s="195" t="s">
        <v>2676</v>
      </c>
      <c r="Z302" s="195">
        <v>8</v>
      </c>
      <c r="AA302" s="195" t="s">
        <v>2677</v>
      </c>
      <c r="AB302" s="195">
        <v>0</v>
      </c>
      <c r="AC302" s="199"/>
      <c r="AD302" s="195" t="s">
        <v>322</v>
      </c>
      <c r="AE302" s="195" t="s">
        <v>2678</v>
      </c>
      <c r="AF302" s="195" t="s">
        <v>899</v>
      </c>
      <c r="AG302" s="195" t="s">
        <v>324</v>
      </c>
      <c r="AH302" s="195" t="s">
        <v>308</v>
      </c>
      <c r="AI302" s="195" t="s">
        <v>324</v>
      </c>
      <c r="AJ302" s="195" t="s">
        <v>324</v>
      </c>
      <c r="AK302" s="195"/>
      <c r="AL302" s="195" t="s">
        <v>322</v>
      </c>
      <c r="AM302" s="199"/>
      <c r="AN302" s="195" t="s">
        <v>2679</v>
      </c>
      <c r="AO302" s="195" t="s">
        <v>2680</v>
      </c>
      <c r="AP302" s="195" t="s">
        <v>2681</v>
      </c>
      <c r="AQ302" s="195" t="s">
        <v>2682</v>
      </c>
      <c r="AR302" s="195" t="s">
        <v>2582</v>
      </c>
      <c r="AS302" s="195" t="s">
        <v>316</v>
      </c>
      <c r="AT302" s="199"/>
      <c r="AU302" s="202" t="s">
        <v>2683</v>
      </c>
      <c r="AV302" s="195" t="s">
        <v>326</v>
      </c>
      <c r="AW302" s="195" t="str">
        <f ca="1">IFERROR(__xludf.DUMMYFUNCTION("IF(AND(IF(AS302=""Yes"",True,False),NOT(IFERROR(REGEXMATCH(AV302,ExclusionCategories),FALSE))),""Yes"", ""No"")"),"No")</f>
        <v>No</v>
      </c>
      <c r="AX302" s="195">
        <f ca="1">IFERROR(__xludf.DUMMYFUNCTION("IF(IFERROR(SEARCH(""Unclear"", Z302)) = 1, VALUE(REGEXEXTRACT(Z302,""\d+"")), Z302)"),8)</f>
        <v>8</v>
      </c>
      <c r="AY302" s="195">
        <v>8</v>
      </c>
      <c r="AZ302" s="195" t="str">
        <f ca="1">IFERROR(__xludf.DUMMYFUNCTION("IF(IFERROR(SEARCH(""Unclear"", AG302)) = 1, VALUE(REGEXEXTRACT(AG302,""\d+"")), AG302)"),"ND")</f>
        <v>ND</v>
      </c>
      <c r="BA302" s="195" t="s">
        <v>324</v>
      </c>
      <c r="BB302" s="195" t="str">
        <f ca="1">IFERROR(__xludf.DUMMYFUNCTION("IF(IFERROR(SEARCH(""Unclear"", AJ302)) = 1, VALUE(REGEXEXTRACT(AJ302,""\d+"")), AJ302)"),"ND")</f>
        <v>ND</v>
      </c>
      <c r="BC302" s="195" t="s">
        <v>324</v>
      </c>
      <c r="BD302" s="195" t="b">
        <f t="shared" si="2"/>
        <v>0</v>
      </c>
      <c r="BE302" s="195" t="b">
        <f t="shared" ref="BE302:BF302" si="322">IF(IFERROR(FIND("ND",AI302),0),FALSE,TRUE)</f>
        <v>0</v>
      </c>
      <c r="BF302" s="195" t="b">
        <f t="shared" si="322"/>
        <v>0</v>
      </c>
    </row>
    <row r="303" spans="1:58" ht="37.5" customHeight="1">
      <c r="A303" s="203" t="s">
        <v>2669</v>
      </c>
      <c r="B303" s="204">
        <v>2016</v>
      </c>
      <c r="C303" s="195" t="s">
        <v>339</v>
      </c>
      <c r="D303" s="4" t="s">
        <v>2670</v>
      </c>
      <c r="E303" s="204">
        <v>27158907</v>
      </c>
      <c r="F303" s="198" t="s">
        <v>2671</v>
      </c>
      <c r="G303" s="195" t="str">
        <f t="shared" si="89"/>
        <v>Ishizuka 2016</v>
      </c>
      <c r="H303" s="195">
        <v>2016</v>
      </c>
      <c r="I303" s="195" t="s">
        <v>2672</v>
      </c>
      <c r="J303" s="229" t="s">
        <v>2673</v>
      </c>
      <c r="K303" s="195">
        <v>9</v>
      </c>
      <c r="L303" s="4" t="s">
        <v>2684</v>
      </c>
      <c r="M303" s="195">
        <v>4</v>
      </c>
      <c r="N303" s="195">
        <v>5</v>
      </c>
      <c r="O303" s="195" t="s">
        <v>324</v>
      </c>
      <c r="P303" s="195">
        <v>23</v>
      </c>
      <c r="Q303" s="195">
        <v>45</v>
      </c>
      <c r="R303" s="195">
        <v>18</v>
      </c>
      <c r="S303" s="195">
        <v>45</v>
      </c>
      <c r="T303" s="195">
        <v>28.9</v>
      </c>
      <c r="U303" s="195" t="s">
        <v>324</v>
      </c>
      <c r="V303" s="195" t="s">
        <v>2675</v>
      </c>
      <c r="W303" s="199"/>
      <c r="X303" s="195">
        <v>9</v>
      </c>
      <c r="Y303" s="195" t="s">
        <v>2685</v>
      </c>
      <c r="Z303" s="195">
        <v>8</v>
      </c>
      <c r="AA303" s="195" t="s">
        <v>2686</v>
      </c>
      <c r="AB303" s="195">
        <v>0</v>
      </c>
      <c r="AC303" s="199"/>
      <c r="AD303" s="195" t="s">
        <v>322</v>
      </c>
      <c r="AE303" s="195" t="s">
        <v>2678</v>
      </c>
      <c r="AF303" s="195" t="s">
        <v>899</v>
      </c>
      <c r="AG303" s="195" t="s">
        <v>324</v>
      </c>
      <c r="AH303" s="195" t="s">
        <v>308</v>
      </c>
      <c r="AI303" s="195" t="s">
        <v>324</v>
      </c>
      <c r="AJ303" s="195" t="s">
        <v>324</v>
      </c>
      <c r="AK303" s="195"/>
      <c r="AL303" s="195" t="s">
        <v>322</v>
      </c>
      <c r="AM303" s="199"/>
      <c r="AN303" s="195" t="s">
        <v>2679</v>
      </c>
      <c r="AO303" s="195" t="s">
        <v>2680</v>
      </c>
      <c r="AP303" s="195" t="s">
        <v>2681</v>
      </c>
      <c r="AQ303" s="195" t="s">
        <v>2682</v>
      </c>
      <c r="AR303" s="195" t="s">
        <v>2582</v>
      </c>
      <c r="AS303" s="195" t="s">
        <v>316</v>
      </c>
      <c r="AT303" s="199"/>
      <c r="AU303" s="202" t="s">
        <v>2683</v>
      </c>
      <c r="AV303" s="195" t="s">
        <v>326</v>
      </c>
      <c r="AW303" s="195" t="str">
        <f ca="1">IFERROR(__xludf.DUMMYFUNCTION("IF(AND(IF(AS303=""Yes"",True,False),NOT(IFERROR(REGEXMATCH(AV303,ExclusionCategories),FALSE))),""Yes"", ""No"")"),"No")</f>
        <v>No</v>
      </c>
      <c r="AX303" s="195">
        <f ca="1">IFERROR(__xludf.DUMMYFUNCTION("IF(IFERROR(SEARCH(""Unclear"", Z303)) = 1, VALUE(REGEXEXTRACT(Z303,""\d+"")), Z303)"),8)</f>
        <v>8</v>
      </c>
      <c r="AY303" s="195">
        <v>8</v>
      </c>
      <c r="AZ303" s="195" t="str">
        <f ca="1">IFERROR(__xludf.DUMMYFUNCTION("IF(IFERROR(SEARCH(""Unclear"", AG303)) = 1, VALUE(REGEXEXTRACT(AG303,""\d+"")), AG303)"),"ND")</f>
        <v>ND</v>
      </c>
      <c r="BA303" s="195" t="s">
        <v>324</v>
      </c>
      <c r="BB303" s="195" t="str">
        <f ca="1">IFERROR(__xludf.DUMMYFUNCTION("IF(IFERROR(SEARCH(""Unclear"", AJ303)) = 1, VALUE(REGEXEXTRACT(AJ303,""\d+"")), AJ303)"),"ND")</f>
        <v>ND</v>
      </c>
      <c r="BC303" s="195" t="s">
        <v>324</v>
      </c>
      <c r="BD303" s="195" t="b">
        <f t="shared" si="2"/>
        <v>0</v>
      </c>
      <c r="BE303" s="195" t="b">
        <f t="shared" ref="BE303:BF303" si="323">IF(IFERROR(FIND("ND",AI303),0),FALSE,TRUE)</f>
        <v>0</v>
      </c>
      <c r="BF303" s="195" t="b">
        <f t="shared" si="323"/>
        <v>0</v>
      </c>
    </row>
    <row r="304" spans="1:58" ht="37.5" customHeight="1">
      <c r="A304" s="203" t="s">
        <v>2669</v>
      </c>
      <c r="B304" s="204">
        <v>2016</v>
      </c>
      <c r="C304" s="195" t="s">
        <v>339</v>
      </c>
      <c r="D304" s="4" t="s">
        <v>2670</v>
      </c>
      <c r="E304" s="204">
        <v>27158907</v>
      </c>
      <c r="F304" s="198" t="s">
        <v>2671</v>
      </c>
      <c r="G304" s="195" t="str">
        <f t="shared" si="89"/>
        <v>Ishizuka 2016</v>
      </c>
      <c r="H304" s="195">
        <v>2016</v>
      </c>
      <c r="I304" s="195" t="s">
        <v>2672</v>
      </c>
      <c r="J304" s="229" t="s">
        <v>2673</v>
      </c>
      <c r="K304" s="195">
        <v>12</v>
      </c>
      <c r="L304" s="4" t="s">
        <v>2687</v>
      </c>
      <c r="M304" s="195">
        <v>10</v>
      </c>
      <c r="N304" s="195">
        <v>2</v>
      </c>
      <c r="O304" s="195" t="s">
        <v>324</v>
      </c>
      <c r="P304" s="195">
        <v>22</v>
      </c>
      <c r="Q304" s="195">
        <v>45</v>
      </c>
      <c r="R304" s="195">
        <v>18</v>
      </c>
      <c r="S304" s="195">
        <v>45</v>
      </c>
      <c r="T304" s="195">
        <v>34.200000000000003</v>
      </c>
      <c r="U304" s="195" t="s">
        <v>324</v>
      </c>
      <c r="V304" s="195" t="s">
        <v>2675</v>
      </c>
      <c r="W304" s="199"/>
      <c r="X304" s="195">
        <v>12</v>
      </c>
      <c r="Y304" s="195" t="s">
        <v>2688</v>
      </c>
      <c r="Z304" s="195">
        <v>7</v>
      </c>
      <c r="AA304" s="195" t="s">
        <v>2689</v>
      </c>
      <c r="AB304" s="195">
        <v>0</v>
      </c>
      <c r="AC304" s="199"/>
      <c r="AD304" s="195" t="s">
        <v>322</v>
      </c>
      <c r="AE304" s="195" t="s">
        <v>2678</v>
      </c>
      <c r="AF304" s="195" t="s">
        <v>899</v>
      </c>
      <c r="AG304" s="195" t="s">
        <v>324</v>
      </c>
      <c r="AH304" s="195" t="s">
        <v>308</v>
      </c>
      <c r="AI304" s="195" t="s">
        <v>324</v>
      </c>
      <c r="AJ304" s="195" t="s">
        <v>324</v>
      </c>
      <c r="AK304" s="195"/>
      <c r="AL304" s="195" t="s">
        <v>322</v>
      </c>
      <c r="AM304" s="199"/>
      <c r="AN304" s="195" t="s">
        <v>2679</v>
      </c>
      <c r="AO304" s="195" t="s">
        <v>2680</v>
      </c>
      <c r="AP304" s="195" t="s">
        <v>2681</v>
      </c>
      <c r="AQ304" s="195" t="s">
        <v>2682</v>
      </c>
      <c r="AR304" s="195" t="s">
        <v>2582</v>
      </c>
      <c r="AS304" s="195" t="s">
        <v>316</v>
      </c>
      <c r="AT304" s="199"/>
      <c r="AU304" s="202" t="s">
        <v>2683</v>
      </c>
      <c r="AV304" s="195" t="s">
        <v>326</v>
      </c>
      <c r="AW304" s="195" t="str">
        <f ca="1">IFERROR(__xludf.DUMMYFUNCTION("IF(AND(IF(AS304=""Yes"",True,False),NOT(IFERROR(REGEXMATCH(AV304,ExclusionCategories),FALSE))),""Yes"", ""No"")"),"No")</f>
        <v>No</v>
      </c>
      <c r="AX304" s="195">
        <f ca="1">IFERROR(__xludf.DUMMYFUNCTION("IF(IFERROR(SEARCH(""Unclear"", Z304)) = 1, VALUE(REGEXEXTRACT(Z304,""\d+"")), Z304)"),7)</f>
        <v>7</v>
      </c>
      <c r="AY304" s="195">
        <v>7</v>
      </c>
      <c r="AZ304" s="195" t="str">
        <f ca="1">IFERROR(__xludf.DUMMYFUNCTION("IF(IFERROR(SEARCH(""Unclear"", AG304)) = 1, VALUE(REGEXEXTRACT(AG304,""\d+"")), AG304)"),"ND")</f>
        <v>ND</v>
      </c>
      <c r="BA304" s="195" t="s">
        <v>324</v>
      </c>
      <c r="BB304" s="195" t="str">
        <f ca="1">IFERROR(__xludf.DUMMYFUNCTION("IF(IFERROR(SEARCH(""Unclear"", AJ304)) = 1, VALUE(REGEXEXTRACT(AJ304,""\d+"")), AJ304)"),"ND")</f>
        <v>ND</v>
      </c>
      <c r="BC304" s="195" t="s">
        <v>324</v>
      </c>
      <c r="BD304" s="195" t="b">
        <f t="shared" si="2"/>
        <v>0</v>
      </c>
      <c r="BE304" s="195" t="b">
        <f t="shared" ref="BE304:BF304" si="324">IF(IFERROR(FIND("ND",AI304),0),FALSE,TRUE)</f>
        <v>0</v>
      </c>
      <c r="BF304" s="195" t="b">
        <f t="shared" si="324"/>
        <v>0</v>
      </c>
    </row>
    <row r="305" spans="1:58" ht="37.5" customHeight="1">
      <c r="A305" s="203" t="s">
        <v>2669</v>
      </c>
      <c r="B305" s="204">
        <v>2016</v>
      </c>
      <c r="C305" s="195" t="s">
        <v>339</v>
      </c>
      <c r="D305" s="4" t="s">
        <v>2670</v>
      </c>
      <c r="E305" s="204">
        <v>27158907</v>
      </c>
      <c r="F305" s="198" t="s">
        <v>2671</v>
      </c>
      <c r="G305" s="195" t="str">
        <f t="shared" si="89"/>
        <v>Ishizuka 2016</v>
      </c>
      <c r="H305" s="195">
        <v>2016</v>
      </c>
      <c r="I305" s="195" t="s">
        <v>2672</v>
      </c>
      <c r="J305" s="229" t="s">
        <v>2673</v>
      </c>
      <c r="K305" s="195">
        <v>12</v>
      </c>
      <c r="L305" s="4" t="s">
        <v>2690</v>
      </c>
      <c r="M305" s="195">
        <v>6</v>
      </c>
      <c r="N305" s="195">
        <v>6</v>
      </c>
      <c r="O305" s="195" t="s">
        <v>324</v>
      </c>
      <c r="P305" s="195">
        <v>22</v>
      </c>
      <c r="Q305" s="195">
        <v>42</v>
      </c>
      <c r="R305" s="195">
        <v>18</v>
      </c>
      <c r="S305" s="195">
        <v>45</v>
      </c>
      <c r="T305" s="195">
        <v>30.6</v>
      </c>
      <c r="U305" s="195" t="s">
        <v>324</v>
      </c>
      <c r="V305" s="195" t="s">
        <v>2675</v>
      </c>
      <c r="W305" s="199"/>
      <c r="X305" s="195">
        <v>9</v>
      </c>
      <c r="Y305" s="195" t="s">
        <v>2691</v>
      </c>
      <c r="Z305" s="195">
        <v>3</v>
      </c>
      <c r="AA305" s="195" t="s">
        <v>2692</v>
      </c>
      <c r="AB305" s="195">
        <v>0</v>
      </c>
      <c r="AC305" s="199"/>
      <c r="AD305" s="195" t="s">
        <v>322</v>
      </c>
      <c r="AE305" s="195" t="s">
        <v>2678</v>
      </c>
      <c r="AF305" s="195" t="s">
        <v>899</v>
      </c>
      <c r="AG305" s="195" t="s">
        <v>324</v>
      </c>
      <c r="AH305" s="195" t="s">
        <v>308</v>
      </c>
      <c r="AI305" s="195" t="s">
        <v>324</v>
      </c>
      <c r="AJ305" s="195" t="s">
        <v>324</v>
      </c>
      <c r="AK305" s="195"/>
      <c r="AL305" s="195" t="s">
        <v>322</v>
      </c>
      <c r="AM305" s="199"/>
      <c r="AN305" s="195" t="s">
        <v>2679</v>
      </c>
      <c r="AO305" s="195" t="s">
        <v>2680</v>
      </c>
      <c r="AP305" s="195" t="s">
        <v>2681</v>
      </c>
      <c r="AQ305" s="195" t="s">
        <v>2682</v>
      </c>
      <c r="AR305" s="195" t="s">
        <v>2582</v>
      </c>
      <c r="AS305" s="195" t="s">
        <v>316</v>
      </c>
      <c r="AT305" s="199"/>
      <c r="AU305" s="202" t="s">
        <v>2683</v>
      </c>
      <c r="AV305" s="195" t="s">
        <v>326</v>
      </c>
      <c r="AW305" s="195" t="str">
        <f ca="1">IFERROR(__xludf.DUMMYFUNCTION("IF(AND(IF(AS305=""Yes"",True,False),NOT(IFERROR(REGEXMATCH(AV305,ExclusionCategories),FALSE))),""Yes"", ""No"")"),"No")</f>
        <v>No</v>
      </c>
      <c r="AX305" s="195">
        <f ca="1">IFERROR(__xludf.DUMMYFUNCTION("IF(IFERROR(SEARCH(""Unclear"", Z305)) = 1, VALUE(REGEXEXTRACT(Z305,""\d+"")), Z305)"),3)</f>
        <v>3</v>
      </c>
      <c r="AY305" s="195">
        <v>3</v>
      </c>
      <c r="AZ305" s="195" t="str">
        <f ca="1">IFERROR(__xludf.DUMMYFUNCTION("IF(IFERROR(SEARCH(""Unclear"", AG305)) = 1, VALUE(REGEXEXTRACT(AG305,""\d+"")), AG305)"),"ND")</f>
        <v>ND</v>
      </c>
      <c r="BA305" s="195" t="s">
        <v>324</v>
      </c>
      <c r="BB305" s="195" t="str">
        <f ca="1">IFERROR(__xludf.DUMMYFUNCTION("IF(IFERROR(SEARCH(""Unclear"", AJ305)) = 1, VALUE(REGEXEXTRACT(AJ305,""\d+"")), AJ305)"),"ND")</f>
        <v>ND</v>
      </c>
      <c r="BC305" s="195" t="s">
        <v>324</v>
      </c>
      <c r="BD305" s="195" t="b">
        <f t="shared" si="2"/>
        <v>0</v>
      </c>
      <c r="BE305" s="195" t="b">
        <f t="shared" ref="BE305:BF305" si="325">IF(IFERROR(FIND("ND",AI305),0),FALSE,TRUE)</f>
        <v>0</v>
      </c>
      <c r="BF305" s="195" t="b">
        <f t="shared" si="325"/>
        <v>0</v>
      </c>
    </row>
    <row r="306" spans="1:58" ht="37.5" customHeight="1">
      <c r="A306" s="203" t="s">
        <v>2669</v>
      </c>
      <c r="B306" s="204">
        <v>2016</v>
      </c>
      <c r="C306" s="195" t="s">
        <v>339</v>
      </c>
      <c r="D306" s="4" t="s">
        <v>2670</v>
      </c>
      <c r="E306" s="204">
        <v>27158907</v>
      </c>
      <c r="F306" s="198" t="s">
        <v>2671</v>
      </c>
      <c r="G306" s="195" t="str">
        <f t="shared" si="89"/>
        <v>Ishizuka 2016</v>
      </c>
      <c r="H306" s="195">
        <v>2016</v>
      </c>
      <c r="I306" s="195" t="s">
        <v>2672</v>
      </c>
      <c r="J306" s="229" t="s">
        <v>2673</v>
      </c>
      <c r="K306" s="195">
        <v>12</v>
      </c>
      <c r="L306" s="4" t="s">
        <v>2693</v>
      </c>
      <c r="M306" s="195">
        <v>10</v>
      </c>
      <c r="N306" s="195">
        <v>2</v>
      </c>
      <c r="O306" s="195" t="s">
        <v>324</v>
      </c>
      <c r="P306" s="195">
        <v>23</v>
      </c>
      <c r="Q306" s="195">
        <v>45</v>
      </c>
      <c r="R306" s="195">
        <v>18</v>
      </c>
      <c r="S306" s="195">
        <v>45</v>
      </c>
      <c r="T306" s="195">
        <v>32.299999999999997</v>
      </c>
      <c r="U306" s="195" t="s">
        <v>324</v>
      </c>
      <c r="V306" s="195" t="s">
        <v>2675</v>
      </c>
      <c r="W306" s="199"/>
      <c r="X306" s="195">
        <v>11</v>
      </c>
      <c r="Y306" s="195" t="s">
        <v>2694</v>
      </c>
      <c r="Z306" s="195">
        <v>5</v>
      </c>
      <c r="AA306" s="195" t="s">
        <v>2695</v>
      </c>
      <c r="AB306" s="195">
        <v>0</v>
      </c>
      <c r="AC306" s="199"/>
      <c r="AD306" s="195" t="s">
        <v>322</v>
      </c>
      <c r="AE306" s="195" t="s">
        <v>2678</v>
      </c>
      <c r="AF306" s="195" t="s">
        <v>899</v>
      </c>
      <c r="AG306" s="195" t="s">
        <v>324</v>
      </c>
      <c r="AH306" s="195" t="s">
        <v>308</v>
      </c>
      <c r="AI306" s="195" t="s">
        <v>324</v>
      </c>
      <c r="AJ306" s="195" t="s">
        <v>324</v>
      </c>
      <c r="AK306" s="195"/>
      <c r="AL306" s="195" t="s">
        <v>322</v>
      </c>
      <c r="AM306" s="199"/>
      <c r="AN306" s="195" t="s">
        <v>2679</v>
      </c>
      <c r="AO306" s="195" t="s">
        <v>2680</v>
      </c>
      <c r="AP306" s="195" t="s">
        <v>2681</v>
      </c>
      <c r="AQ306" s="195" t="s">
        <v>2682</v>
      </c>
      <c r="AR306" s="195" t="s">
        <v>2582</v>
      </c>
      <c r="AS306" s="195" t="s">
        <v>316</v>
      </c>
      <c r="AT306" s="199"/>
      <c r="AU306" s="202" t="s">
        <v>2683</v>
      </c>
      <c r="AV306" s="195" t="s">
        <v>326</v>
      </c>
      <c r="AW306" s="195" t="str">
        <f ca="1">IFERROR(__xludf.DUMMYFUNCTION("IF(AND(IF(AS306=""Yes"",True,False),NOT(IFERROR(REGEXMATCH(AV306,ExclusionCategories),FALSE))),""Yes"", ""No"")"),"No")</f>
        <v>No</v>
      </c>
      <c r="AX306" s="195">
        <f ca="1">IFERROR(__xludf.DUMMYFUNCTION("IF(IFERROR(SEARCH(""Unclear"", Z306)) = 1, VALUE(REGEXEXTRACT(Z306,""\d+"")), Z306)"),5)</f>
        <v>5</v>
      </c>
      <c r="AY306" s="195">
        <v>5</v>
      </c>
      <c r="AZ306" s="195" t="str">
        <f ca="1">IFERROR(__xludf.DUMMYFUNCTION("IF(IFERROR(SEARCH(""Unclear"", AG306)) = 1, VALUE(REGEXEXTRACT(AG306,""\d+"")), AG306)"),"ND")</f>
        <v>ND</v>
      </c>
      <c r="BA306" s="195" t="s">
        <v>324</v>
      </c>
      <c r="BB306" s="195" t="str">
        <f ca="1">IFERROR(__xludf.DUMMYFUNCTION("IF(IFERROR(SEARCH(""Unclear"", AJ306)) = 1, VALUE(REGEXEXTRACT(AJ306,""\d+"")), AJ306)"),"ND")</f>
        <v>ND</v>
      </c>
      <c r="BC306" s="195" t="s">
        <v>324</v>
      </c>
      <c r="BD306" s="195" t="b">
        <f t="shared" si="2"/>
        <v>0</v>
      </c>
      <c r="BE306" s="195" t="b">
        <f t="shared" ref="BE306:BF306" si="326">IF(IFERROR(FIND("ND",AI306),0),FALSE,TRUE)</f>
        <v>0</v>
      </c>
      <c r="BF306" s="195" t="b">
        <f t="shared" si="326"/>
        <v>0</v>
      </c>
    </row>
    <row r="307" spans="1:58" ht="37.5" customHeight="1">
      <c r="A307" s="203" t="s">
        <v>2669</v>
      </c>
      <c r="B307" s="204">
        <v>2016</v>
      </c>
      <c r="C307" s="195" t="s">
        <v>339</v>
      </c>
      <c r="D307" s="4" t="s">
        <v>2670</v>
      </c>
      <c r="E307" s="204">
        <v>27158907</v>
      </c>
      <c r="F307" s="198" t="s">
        <v>2671</v>
      </c>
      <c r="G307" s="195" t="str">
        <f t="shared" si="89"/>
        <v>Ishizuka 2016</v>
      </c>
      <c r="H307" s="195">
        <v>2016</v>
      </c>
      <c r="I307" s="195" t="s">
        <v>2672</v>
      </c>
      <c r="J307" s="229" t="s">
        <v>2673</v>
      </c>
      <c r="K307" s="195">
        <v>36</v>
      </c>
      <c r="L307" s="4" t="s">
        <v>2696</v>
      </c>
      <c r="M307" s="195">
        <v>21</v>
      </c>
      <c r="N307" s="195">
        <v>15</v>
      </c>
      <c r="O307" s="195" t="s">
        <v>324</v>
      </c>
      <c r="P307" s="195">
        <v>21</v>
      </c>
      <c r="Q307" s="195">
        <v>45</v>
      </c>
      <c r="R307" s="195">
        <v>18</v>
      </c>
      <c r="S307" s="195">
        <v>45</v>
      </c>
      <c r="T307" s="195" t="s">
        <v>847</v>
      </c>
      <c r="U307" s="195" t="s">
        <v>324</v>
      </c>
      <c r="V307" s="195" t="s">
        <v>2675</v>
      </c>
      <c r="W307" s="195" t="s">
        <v>2697</v>
      </c>
      <c r="X307" s="195">
        <v>32</v>
      </c>
      <c r="Y307" s="195"/>
      <c r="Z307" s="195">
        <v>29</v>
      </c>
      <c r="AA307" s="195"/>
      <c r="AB307" s="195">
        <v>0</v>
      </c>
      <c r="AC307" s="199"/>
      <c r="AD307" s="195" t="s">
        <v>322</v>
      </c>
      <c r="AE307" s="195" t="s">
        <v>2678</v>
      </c>
      <c r="AF307" s="195" t="s">
        <v>899</v>
      </c>
      <c r="AG307" s="195" t="s">
        <v>324</v>
      </c>
      <c r="AH307" s="195" t="s">
        <v>308</v>
      </c>
      <c r="AI307" s="195" t="s">
        <v>324</v>
      </c>
      <c r="AJ307" s="195" t="s">
        <v>324</v>
      </c>
      <c r="AK307" s="195"/>
      <c r="AL307" s="195" t="s">
        <v>322</v>
      </c>
      <c r="AM307" s="199"/>
      <c r="AN307" s="195" t="s">
        <v>2698</v>
      </c>
      <c r="AO307" s="195" t="s">
        <v>2680</v>
      </c>
      <c r="AP307" s="195" t="s">
        <v>2681</v>
      </c>
      <c r="AQ307" s="195" t="s">
        <v>2682</v>
      </c>
      <c r="AR307" s="195" t="s">
        <v>2582</v>
      </c>
      <c r="AS307" s="195" t="s">
        <v>316</v>
      </c>
      <c r="AT307" s="199"/>
      <c r="AU307" s="202" t="s">
        <v>2683</v>
      </c>
      <c r="AV307" s="195" t="s">
        <v>326</v>
      </c>
      <c r="AW307" s="195" t="str">
        <f ca="1">IFERROR(__xludf.DUMMYFUNCTION("IF(AND(IF(AS307=""Yes"",True,False),NOT(IFERROR(REGEXMATCH(AV307,ExclusionCategories),FALSE))),""Yes"", ""No"")"),"No")</f>
        <v>No</v>
      </c>
      <c r="AX307" s="195">
        <f ca="1">IFERROR(__xludf.DUMMYFUNCTION("IF(IFERROR(SEARCH(""Unclear"", Z307)) = 1, VALUE(REGEXEXTRACT(Z307,""\d+"")), Z307)"),29)</f>
        <v>29</v>
      </c>
      <c r="AY307" s="195">
        <v>29</v>
      </c>
      <c r="AZ307" s="195" t="str">
        <f ca="1">IFERROR(__xludf.DUMMYFUNCTION("IF(IFERROR(SEARCH(""Unclear"", AG307)) = 1, VALUE(REGEXEXTRACT(AG307,""\d+"")), AG307)"),"ND")</f>
        <v>ND</v>
      </c>
      <c r="BA307" s="195" t="s">
        <v>324</v>
      </c>
      <c r="BB307" s="195" t="str">
        <f ca="1">IFERROR(__xludf.DUMMYFUNCTION("IF(IFERROR(SEARCH(""Unclear"", AJ307)) = 1, VALUE(REGEXEXTRACT(AJ307,""\d+"")), AJ307)"),"ND")</f>
        <v>ND</v>
      </c>
      <c r="BC307" s="195" t="s">
        <v>324</v>
      </c>
      <c r="BD307" s="195" t="b">
        <f t="shared" si="2"/>
        <v>0</v>
      </c>
      <c r="BE307" s="195" t="b">
        <f t="shared" ref="BE307:BF307" si="327">IF(IFERROR(FIND("ND",AI307),0),FALSE,TRUE)</f>
        <v>0</v>
      </c>
      <c r="BF307" s="195" t="b">
        <f t="shared" si="327"/>
        <v>0</v>
      </c>
    </row>
    <row r="308" spans="1:58" ht="37.5" customHeight="1">
      <c r="A308" s="203" t="s">
        <v>2669</v>
      </c>
      <c r="B308" s="204">
        <v>2016</v>
      </c>
      <c r="C308" s="195" t="s">
        <v>339</v>
      </c>
      <c r="D308" s="4" t="s">
        <v>2670</v>
      </c>
      <c r="E308" s="204">
        <v>27158907</v>
      </c>
      <c r="F308" s="198" t="s">
        <v>2671</v>
      </c>
      <c r="G308" s="195" t="str">
        <f t="shared" si="89"/>
        <v>Ishizuka 2016</v>
      </c>
      <c r="H308" s="195">
        <v>2016</v>
      </c>
      <c r="I308" s="195" t="s">
        <v>2672</v>
      </c>
      <c r="J308" s="229" t="s">
        <v>2673</v>
      </c>
      <c r="K308" s="195">
        <v>93</v>
      </c>
      <c r="L308" s="4" t="s">
        <v>2699</v>
      </c>
      <c r="M308" s="195">
        <v>58</v>
      </c>
      <c r="N308" s="195">
        <v>35</v>
      </c>
      <c r="O308" s="195" t="s">
        <v>324</v>
      </c>
      <c r="P308" s="195">
        <v>21</v>
      </c>
      <c r="Q308" s="195">
        <v>45</v>
      </c>
      <c r="R308" s="195">
        <v>18</v>
      </c>
      <c r="S308" s="195">
        <v>45</v>
      </c>
      <c r="T308" s="195" t="s">
        <v>2700</v>
      </c>
      <c r="U308" s="195" t="s">
        <v>324</v>
      </c>
      <c r="V308" s="195" t="s">
        <v>2675</v>
      </c>
      <c r="W308" s="199"/>
      <c r="X308" s="195">
        <v>84</v>
      </c>
      <c r="Y308" s="195"/>
      <c r="Z308" s="195">
        <v>52</v>
      </c>
      <c r="AA308" s="195"/>
      <c r="AB308" s="195">
        <v>0</v>
      </c>
      <c r="AC308" s="199"/>
      <c r="AD308" s="195" t="s">
        <v>322</v>
      </c>
      <c r="AE308" s="195" t="s">
        <v>2678</v>
      </c>
      <c r="AF308" s="195" t="s">
        <v>899</v>
      </c>
      <c r="AG308" s="195" t="s">
        <v>324</v>
      </c>
      <c r="AH308" s="195" t="s">
        <v>308</v>
      </c>
      <c r="AI308" s="195" t="s">
        <v>324</v>
      </c>
      <c r="AJ308" s="195" t="s">
        <v>324</v>
      </c>
      <c r="AK308" s="195"/>
      <c r="AL308" s="195" t="s">
        <v>322</v>
      </c>
      <c r="AM308" s="199"/>
      <c r="AN308" s="195" t="s">
        <v>2679</v>
      </c>
      <c r="AO308" s="195" t="s">
        <v>2680</v>
      </c>
      <c r="AP308" s="195" t="s">
        <v>2681</v>
      </c>
      <c r="AQ308" s="195" t="s">
        <v>2682</v>
      </c>
      <c r="AR308" s="195" t="s">
        <v>2582</v>
      </c>
      <c r="AS308" s="195" t="s">
        <v>308</v>
      </c>
      <c r="AT308" s="199"/>
      <c r="AU308" s="202" t="s">
        <v>2683</v>
      </c>
      <c r="AV308" s="195" t="s">
        <v>337</v>
      </c>
      <c r="AW308" s="195" t="str">
        <f ca="1">IFERROR(__xludf.DUMMYFUNCTION("IF(AND(IF(AS308=""Yes"",True,False),NOT(IFERROR(REGEXMATCH(AV308,ExclusionCategories),FALSE))),""Yes"", ""No"")"),"Yes")</f>
        <v>Yes</v>
      </c>
      <c r="AX308" s="195">
        <f ca="1">IFERROR(__xludf.DUMMYFUNCTION("IF(IFERROR(SEARCH(""Unclear"", Z308)) = 1, VALUE(REGEXEXTRACT(Z308,""\d+"")), Z308)"),52)</f>
        <v>52</v>
      </c>
      <c r="AY308" s="195">
        <v>52</v>
      </c>
      <c r="AZ308" s="195" t="str">
        <f ca="1">IFERROR(__xludf.DUMMYFUNCTION("IF(IFERROR(SEARCH(""Unclear"", AG308)) = 1, VALUE(REGEXEXTRACT(AG308,""\d+"")), AG308)"),"ND")</f>
        <v>ND</v>
      </c>
      <c r="BA308" s="195" t="s">
        <v>324</v>
      </c>
      <c r="BB308" s="195" t="str">
        <f ca="1">IFERROR(__xludf.DUMMYFUNCTION("IF(IFERROR(SEARCH(""Unclear"", AJ308)) = 1, VALUE(REGEXEXTRACT(AJ308,""\d+"")), AJ308)"),"ND")</f>
        <v>ND</v>
      </c>
      <c r="BC308" s="195" t="s">
        <v>324</v>
      </c>
      <c r="BD308" s="195" t="b">
        <f t="shared" si="2"/>
        <v>0</v>
      </c>
      <c r="BE308" s="195" t="b">
        <f t="shared" ref="BE308:BF308" si="328">IF(IFERROR(FIND("ND",AI308),0),FALSE,TRUE)</f>
        <v>0</v>
      </c>
      <c r="BF308" s="195" t="b">
        <f t="shared" si="328"/>
        <v>0</v>
      </c>
    </row>
    <row r="309" spans="1:58" ht="37.5" customHeight="1">
      <c r="A309" s="203" t="s">
        <v>2669</v>
      </c>
      <c r="B309" s="204">
        <v>2016</v>
      </c>
      <c r="C309" s="195" t="s">
        <v>339</v>
      </c>
      <c r="D309" s="4" t="s">
        <v>2670</v>
      </c>
      <c r="E309" s="204">
        <v>27158907</v>
      </c>
      <c r="F309" s="198" t="s">
        <v>2671</v>
      </c>
      <c r="G309" s="195" t="str">
        <f t="shared" si="89"/>
        <v>Ishizuka 2016</v>
      </c>
      <c r="H309" s="195">
        <v>2016</v>
      </c>
      <c r="I309" s="195" t="s">
        <v>2672</v>
      </c>
      <c r="J309" s="229" t="s">
        <v>2673</v>
      </c>
      <c r="K309" s="195">
        <v>23</v>
      </c>
      <c r="L309" s="4" t="s">
        <v>2701</v>
      </c>
      <c r="M309" s="195" t="s">
        <v>324</v>
      </c>
      <c r="N309" s="195" t="s">
        <v>324</v>
      </c>
      <c r="O309" s="195" t="s">
        <v>324</v>
      </c>
      <c r="P309" s="195" t="s">
        <v>324</v>
      </c>
      <c r="Q309" s="195" t="s">
        <v>324</v>
      </c>
      <c r="R309" s="195">
        <v>18</v>
      </c>
      <c r="S309" s="195">
        <v>45</v>
      </c>
      <c r="T309" s="195" t="s">
        <v>324</v>
      </c>
      <c r="U309" s="195" t="s">
        <v>324</v>
      </c>
      <c r="V309" s="195" t="s">
        <v>2675</v>
      </c>
      <c r="W309" s="195" t="s">
        <v>2702</v>
      </c>
      <c r="X309" s="195">
        <v>23</v>
      </c>
      <c r="Y309" s="195" t="s">
        <v>2703</v>
      </c>
      <c r="Z309" s="195">
        <v>8</v>
      </c>
      <c r="AA309" s="195" t="s">
        <v>2704</v>
      </c>
      <c r="AB309" s="195">
        <v>0</v>
      </c>
      <c r="AC309" s="199"/>
      <c r="AD309" s="195" t="s">
        <v>322</v>
      </c>
      <c r="AE309" s="195" t="s">
        <v>2678</v>
      </c>
      <c r="AF309" s="195" t="s">
        <v>899</v>
      </c>
      <c r="AG309" s="195" t="s">
        <v>324</v>
      </c>
      <c r="AH309" s="195" t="s">
        <v>308</v>
      </c>
      <c r="AI309" s="195" t="s">
        <v>324</v>
      </c>
      <c r="AJ309" s="195" t="s">
        <v>324</v>
      </c>
      <c r="AK309" s="195"/>
      <c r="AL309" s="195" t="s">
        <v>322</v>
      </c>
      <c r="AM309" s="199"/>
      <c r="AN309" s="195" t="s">
        <v>2679</v>
      </c>
      <c r="AO309" s="195" t="s">
        <v>2680</v>
      </c>
      <c r="AP309" s="195" t="s">
        <v>2681</v>
      </c>
      <c r="AQ309" s="195" t="s">
        <v>2682</v>
      </c>
      <c r="AR309" s="195" t="s">
        <v>2582</v>
      </c>
      <c r="AS309" s="195" t="s">
        <v>308</v>
      </c>
      <c r="AT309" s="199"/>
      <c r="AU309" s="202" t="s">
        <v>2683</v>
      </c>
      <c r="AV309" s="195" t="s">
        <v>15</v>
      </c>
      <c r="AW309" s="195" t="str">
        <f ca="1">IFERROR(__xludf.DUMMYFUNCTION("IF(AND(IF(AS309=""Yes"",True,False),NOT(IFERROR(REGEXMATCH(AV309,ExclusionCategories),FALSE))),""Yes"", ""No"")"),"No")</f>
        <v>No</v>
      </c>
      <c r="AX309" s="195">
        <f ca="1">IFERROR(__xludf.DUMMYFUNCTION("IF(IFERROR(SEARCH(""Unclear"", Z309)) = 1, VALUE(REGEXEXTRACT(Z309,""\d+"")), Z309)"),8)</f>
        <v>8</v>
      </c>
      <c r="AY309" s="195">
        <v>8</v>
      </c>
      <c r="AZ309" s="195" t="str">
        <f ca="1">IFERROR(__xludf.DUMMYFUNCTION("IF(IFERROR(SEARCH(""Unclear"", AG309)) = 1, VALUE(REGEXEXTRACT(AG309,""\d+"")), AG309)"),"ND")</f>
        <v>ND</v>
      </c>
      <c r="BA309" s="195" t="s">
        <v>324</v>
      </c>
      <c r="BB309" s="195" t="str">
        <f ca="1">IFERROR(__xludf.DUMMYFUNCTION("IF(IFERROR(SEARCH(""Unclear"", AJ309)) = 1, VALUE(REGEXEXTRACT(AJ309,""\d+"")), AJ309)"),"ND")</f>
        <v>ND</v>
      </c>
      <c r="BC309" s="195" t="s">
        <v>324</v>
      </c>
      <c r="BD309" s="195" t="b">
        <f t="shared" si="2"/>
        <v>0</v>
      </c>
      <c r="BE309" s="195" t="b">
        <f t="shared" ref="BE309:BF309" si="329">IF(IFERROR(FIND("ND",AI309),0),FALSE,TRUE)</f>
        <v>0</v>
      </c>
      <c r="BF309" s="195" t="b">
        <f t="shared" si="329"/>
        <v>0</v>
      </c>
    </row>
    <row r="310" spans="1:58" ht="37.5" customHeight="1">
      <c r="A310" s="203" t="s">
        <v>1084</v>
      </c>
      <c r="B310" s="204">
        <v>2015</v>
      </c>
      <c r="C310" s="195" t="s">
        <v>339</v>
      </c>
      <c r="D310" s="4" t="s">
        <v>2705</v>
      </c>
      <c r="E310" s="204">
        <v>26416102</v>
      </c>
      <c r="F310" s="198" t="s">
        <v>2706</v>
      </c>
      <c r="G310" s="195" t="str">
        <f t="shared" si="89"/>
        <v>Lyke 2015</v>
      </c>
      <c r="H310" s="195">
        <v>2012</v>
      </c>
      <c r="I310" s="195" t="s">
        <v>2707</v>
      </c>
      <c r="J310" s="229" t="s">
        <v>2708</v>
      </c>
      <c r="K310" s="195">
        <v>30</v>
      </c>
      <c r="L310" s="4"/>
      <c r="M310" s="195">
        <v>19</v>
      </c>
      <c r="N310" s="195">
        <v>11</v>
      </c>
      <c r="O310" s="195" t="s">
        <v>324</v>
      </c>
      <c r="P310" s="195">
        <v>21</v>
      </c>
      <c r="Q310" s="195">
        <v>44</v>
      </c>
      <c r="R310" s="195">
        <v>18</v>
      </c>
      <c r="S310" s="195">
        <v>45</v>
      </c>
      <c r="T310" s="195">
        <v>33</v>
      </c>
      <c r="U310" s="195" t="s">
        <v>324</v>
      </c>
      <c r="V310" s="195" t="s">
        <v>2709</v>
      </c>
      <c r="W310" s="199"/>
      <c r="X310" s="195">
        <v>30</v>
      </c>
      <c r="Y310" s="195" t="s">
        <v>2710</v>
      </c>
      <c r="Z310" s="195">
        <v>23</v>
      </c>
      <c r="AA310" s="195"/>
      <c r="AB310" s="195">
        <v>0</v>
      </c>
      <c r="AC310" s="199"/>
      <c r="AD310" s="195" t="s">
        <v>322</v>
      </c>
      <c r="AE310" s="195" t="s">
        <v>2711</v>
      </c>
      <c r="AF310" s="195"/>
      <c r="AG310" s="195">
        <v>23</v>
      </c>
      <c r="AH310" s="195" t="s">
        <v>308</v>
      </c>
      <c r="AI310" s="195">
        <v>1</v>
      </c>
      <c r="AJ310" s="195">
        <v>3</v>
      </c>
      <c r="AK310" s="195" t="s">
        <v>2712</v>
      </c>
      <c r="AL310" s="195" t="s">
        <v>322</v>
      </c>
      <c r="AM310" s="199"/>
      <c r="AN310" s="195" t="s">
        <v>2713</v>
      </c>
      <c r="AO310" s="195" t="s">
        <v>2714</v>
      </c>
      <c r="AP310" s="195" t="s">
        <v>2715</v>
      </c>
      <c r="AQ310" s="195" t="s">
        <v>2716</v>
      </c>
      <c r="AR310" s="195" t="s">
        <v>2582</v>
      </c>
      <c r="AS310" s="195" t="s">
        <v>308</v>
      </c>
      <c r="AT310" s="199"/>
      <c r="AU310" s="202" t="s">
        <v>2717</v>
      </c>
      <c r="AV310" s="195" t="s">
        <v>9</v>
      </c>
      <c r="AW310" s="195" t="str">
        <f ca="1">IFERROR(__xludf.DUMMYFUNCTION("IF(AND(IF(AS310=""Yes"",True,False),NOT(IFERROR(REGEXMATCH(AV310,ExclusionCategories),FALSE))),""Yes"", ""No"")"),"Yes")</f>
        <v>Yes</v>
      </c>
      <c r="AX310" s="195">
        <f ca="1">IFERROR(__xludf.DUMMYFUNCTION("IF(IFERROR(SEARCH(""Unclear"", Z310)) = 1, VALUE(REGEXEXTRACT(Z310,""\d+"")), Z310)"),23)</f>
        <v>23</v>
      </c>
      <c r="AY310" s="195">
        <v>23</v>
      </c>
      <c r="AZ310" s="195">
        <f ca="1">IFERROR(__xludf.DUMMYFUNCTION("IF(IFERROR(SEARCH(""Unclear"", AG310)) = 1, VALUE(REGEXEXTRACT(AG310,""\d+"")), AG310)"),23)</f>
        <v>23</v>
      </c>
      <c r="BA310" s="195">
        <v>23</v>
      </c>
      <c r="BB310" s="195">
        <f ca="1">IFERROR(__xludf.DUMMYFUNCTION("IF(IFERROR(SEARCH(""Unclear"", AJ310)) = 1, VALUE(REGEXEXTRACT(AJ310,""\d+"")), AJ310)"),3)</f>
        <v>3</v>
      </c>
      <c r="BC310" s="195">
        <v>3</v>
      </c>
      <c r="BD310" s="195" t="b">
        <f t="shared" si="2"/>
        <v>1</v>
      </c>
      <c r="BE310" s="195" t="b">
        <f t="shared" ref="BE310:BF310" si="330">IF(IFERROR(FIND("ND",AI310),0),FALSE,TRUE)</f>
        <v>1</v>
      </c>
      <c r="BF310" s="195" t="b">
        <f t="shared" si="330"/>
        <v>1</v>
      </c>
    </row>
    <row r="311" spans="1:58" ht="37.5" customHeight="1">
      <c r="A311" s="203" t="s">
        <v>1084</v>
      </c>
      <c r="B311" s="204">
        <v>2017</v>
      </c>
      <c r="C311" s="195" t="s">
        <v>339</v>
      </c>
      <c r="D311" s="4" t="s">
        <v>2670</v>
      </c>
      <c r="E311" s="204">
        <v>28223498</v>
      </c>
      <c r="F311" s="198" t="s">
        <v>2718</v>
      </c>
      <c r="G311" s="195" t="str">
        <f t="shared" si="89"/>
        <v>Lyke 2017</v>
      </c>
      <c r="H311" s="195">
        <v>2016</v>
      </c>
      <c r="I311" s="195" t="s">
        <v>2672</v>
      </c>
      <c r="J311" s="229" t="s">
        <v>2673</v>
      </c>
      <c r="K311" s="195">
        <v>15</v>
      </c>
      <c r="L311" s="4" t="s">
        <v>2719</v>
      </c>
      <c r="M311" s="195">
        <v>4</v>
      </c>
      <c r="N311" s="195">
        <v>11</v>
      </c>
      <c r="O311" s="195" t="s">
        <v>324</v>
      </c>
      <c r="P311" s="195">
        <v>23</v>
      </c>
      <c r="Q311" s="195">
        <v>40</v>
      </c>
      <c r="R311" s="195">
        <v>18</v>
      </c>
      <c r="S311" s="195">
        <v>45</v>
      </c>
      <c r="T311" s="195">
        <v>27.4</v>
      </c>
      <c r="U311" s="195">
        <v>4.4000000000000004</v>
      </c>
      <c r="V311" s="195" t="s">
        <v>2675</v>
      </c>
      <c r="W311" s="199"/>
      <c r="X311" s="195">
        <v>14</v>
      </c>
      <c r="Y311" s="195"/>
      <c r="Z311" s="195">
        <v>5</v>
      </c>
      <c r="AA311" s="195"/>
      <c r="AB311" s="195">
        <v>0</v>
      </c>
      <c r="AC311" s="199"/>
      <c r="AD311" s="195" t="s">
        <v>322</v>
      </c>
      <c r="AE311" s="195" t="s">
        <v>2720</v>
      </c>
      <c r="AF311" s="195" t="s">
        <v>899</v>
      </c>
      <c r="AG311" s="195" t="s">
        <v>324</v>
      </c>
      <c r="AH311" s="195" t="s">
        <v>308</v>
      </c>
      <c r="AI311" s="195" t="s">
        <v>324</v>
      </c>
      <c r="AJ311" s="195" t="s">
        <v>324</v>
      </c>
      <c r="AK311" s="195"/>
      <c r="AL311" s="195" t="s">
        <v>322</v>
      </c>
      <c r="AM311" s="199"/>
      <c r="AN311" s="195" t="s">
        <v>2721</v>
      </c>
      <c r="AO311" s="195" t="s">
        <v>2722</v>
      </c>
      <c r="AP311" s="195" t="s">
        <v>2723</v>
      </c>
      <c r="AQ311" s="195" t="s">
        <v>2724</v>
      </c>
      <c r="AR311" s="195" t="s">
        <v>2582</v>
      </c>
      <c r="AS311" s="195" t="s">
        <v>316</v>
      </c>
      <c r="AT311" s="199"/>
      <c r="AU311" s="202" t="s">
        <v>2725</v>
      </c>
      <c r="AV311" s="195" t="s">
        <v>326</v>
      </c>
      <c r="AW311" s="195" t="str">
        <f ca="1">IFERROR(__xludf.DUMMYFUNCTION("IF(AND(IF(AS311=""Yes"",True,False),NOT(IFERROR(REGEXMATCH(AV311,ExclusionCategories),FALSE))),""Yes"", ""No"")"),"No")</f>
        <v>No</v>
      </c>
      <c r="AX311" s="195">
        <f ca="1">IFERROR(__xludf.DUMMYFUNCTION("IF(IFERROR(SEARCH(""Unclear"", Z311)) = 1, VALUE(REGEXEXTRACT(Z311,""\d+"")), Z311)"),5)</f>
        <v>5</v>
      </c>
      <c r="AY311" s="195">
        <v>5</v>
      </c>
      <c r="AZ311" s="195" t="str">
        <f ca="1">IFERROR(__xludf.DUMMYFUNCTION("IF(IFERROR(SEARCH(""Unclear"", AG311)) = 1, VALUE(REGEXEXTRACT(AG311,""\d+"")), AG311)"),"ND")</f>
        <v>ND</v>
      </c>
      <c r="BA311" s="195" t="s">
        <v>324</v>
      </c>
      <c r="BB311" s="195" t="str">
        <f ca="1">IFERROR(__xludf.DUMMYFUNCTION("IF(IFERROR(SEARCH(""Unclear"", AJ311)) = 1, VALUE(REGEXEXTRACT(AJ311,""\d+"")), AJ311)"),"ND")</f>
        <v>ND</v>
      </c>
      <c r="BC311" s="195" t="s">
        <v>324</v>
      </c>
      <c r="BD311" s="195" t="b">
        <f t="shared" si="2"/>
        <v>0</v>
      </c>
      <c r="BE311" s="195" t="b">
        <f t="shared" ref="BE311:BF311" si="331">IF(IFERROR(FIND("ND",AI311),0),FALSE,TRUE)</f>
        <v>0</v>
      </c>
      <c r="BF311" s="195" t="b">
        <f t="shared" si="331"/>
        <v>0</v>
      </c>
    </row>
    <row r="312" spans="1:58" ht="37.5" customHeight="1">
      <c r="A312" s="203" t="s">
        <v>1084</v>
      </c>
      <c r="B312" s="204">
        <v>2017</v>
      </c>
      <c r="C312" s="195" t="s">
        <v>339</v>
      </c>
      <c r="D312" s="4" t="s">
        <v>2670</v>
      </c>
      <c r="E312" s="204">
        <v>28223498</v>
      </c>
      <c r="F312" s="198" t="s">
        <v>2718</v>
      </c>
      <c r="G312" s="195" t="str">
        <f t="shared" si="89"/>
        <v>Lyke 2017</v>
      </c>
      <c r="H312" s="195">
        <v>2016</v>
      </c>
      <c r="I312" s="195" t="s">
        <v>2672</v>
      </c>
      <c r="J312" s="229" t="s">
        <v>2673</v>
      </c>
      <c r="K312" s="195">
        <v>6</v>
      </c>
      <c r="L312" s="4" t="s">
        <v>2726</v>
      </c>
      <c r="M312" s="195">
        <v>4</v>
      </c>
      <c r="N312" s="195">
        <v>2</v>
      </c>
      <c r="O312" s="195" t="s">
        <v>324</v>
      </c>
      <c r="P312" s="195">
        <v>21</v>
      </c>
      <c r="Q312" s="195">
        <v>38</v>
      </c>
      <c r="R312" s="195">
        <v>18</v>
      </c>
      <c r="S312" s="195">
        <v>45</v>
      </c>
      <c r="T312" s="195">
        <v>29.5</v>
      </c>
      <c r="U312" s="195">
        <v>6.4</v>
      </c>
      <c r="V312" s="195" t="s">
        <v>2675</v>
      </c>
      <c r="W312" s="199"/>
      <c r="X312" s="195">
        <v>6</v>
      </c>
      <c r="Y312" s="195"/>
      <c r="Z312" s="195">
        <v>6</v>
      </c>
      <c r="AA312" s="195"/>
      <c r="AB312" s="195">
        <v>0</v>
      </c>
      <c r="AC312" s="199"/>
      <c r="AD312" s="195" t="s">
        <v>322</v>
      </c>
      <c r="AE312" s="195" t="s">
        <v>2720</v>
      </c>
      <c r="AF312" s="195" t="s">
        <v>899</v>
      </c>
      <c r="AG312" s="195" t="s">
        <v>324</v>
      </c>
      <c r="AH312" s="195" t="s">
        <v>308</v>
      </c>
      <c r="AI312" s="195" t="s">
        <v>324</v>
      </c>
      <c r="AJ312" s="195" t="s">
        <v>324</v>
      </c>
      <c r="AK312" s="195"/>
      <c r="AL312" s="195" t="s">
        <v>322</v>
      </c>
      <c r="AM312" s="199"/>
      <c r="AN312" s="195" t="s">
        <v>2727</v>
      </c>
      <c r="AO312" s="195" t="s">
        <v>2722</v>
      </c>
      <c r="AP312" s="195" t="s">
        <v>2723</v>
      </c>
      <c r="AQ312" s="195" t="s">
        <v>2724</v>
      </c>
      <c r="AR312" s="195" t="s">
        <v>2582</v>
      </c>
      <c r="AS312" s="195" t="s">
        <v>316</v>
      </c>
      <c r="AT312" s="199"/>
      <c r="AU312" s="202" t="s">
        <v>2725</v>
      </c>
      <c r="AV312" s="195" t="s">
        <v>326</v>
      </c>
      <c r="AW312" s="195" t="str">
        <f ca="1">IFERROR(__xludf.DUMMYFUNCTION("IF(AND(IF(AS312=""Yes"",True,False),NOT(IFERROR(REGEXMATCH(AV312,ExclusionCategories),FALSE))),""Yes"", ""No"")"),"No")</f>
        <v>No</v>
      </c>
      <c r="AX312" s="195">
        <f ca="1">IFERROR(__xludf.DUMMYFUNCTION("IF(IFERROR(SEARCH(""Unclear"", Z312)) = 1, VALUE(REGEXEXTRACT(Z312,""\d+"")), Z312)"),6)</f>
        <v>6</v>
      </c>
      <c r="AY312" s="195">
        <v>6</v>
      </c>
      <c r="AZ312" s="195" t="str">
        <f ca="1">IFERROR(__xludf.DUMMYFUNCTION("IF(IFERROR(SEARCH(""Unclear"", AG312)) = 1, VALUE(REGEXEXTRACT(AG312,""\d+"")), AG312)"),"ND")</f>
        <v>ND</v>
      </c>
      <c r="BA312" s="195" t="s">
        <v>324</v>
      </c>
      <c r="BB312" s="195" t="str">
        <f ca="1">IFERROR(__xludf.DUMMYFUNCTION("IF(IFERROR(SEARCH(""Unclear"", AJ312)) = 1, VALUE(REGEXEXTRACT(AJ312,""\d+"")), AJ312)"),"ND")</f>
        <v>ND</v>
      </c>
      <c r="BC312" s="195" t="s">
        <v>324</v>
      </c>
      <c r="BD312" s="195" t="b">
        <f t="shared" si="2"/>
        <v>0</v>
      </c>
      <c r="BE312" s="195" t="b">
        <f t="shared" ref="BE312:BF312" si="332">IF(IFERROR(FIND("ND",AI312),0),FALSE,TRUE)</f>
        <v>0</v>
      </c>
      <c r="BF312" s="195" t="b">
        <f t="shared" si="332"/>
        <v>0</v>
      </c>
    </row>
    <row r="313" spans="1:58" ht="37.5" customHeight="1">
      <c r="A313" s="203" t="s">
        <v>1084</v>
      </c>
      <c r="B313" s="204">
        <v>2017</v>
      </c>
      <c r="C313" s="195" t="s">
        <v>339</v>
      </c>
      <c r="D313" s="4" t="s">
        <v>2728</v>
      </c>
      <c r="E313" s="204">
        <v>28223498</v>
      </c>
      <c r="F313" s="198" t="s">
        <v>2718</v>
      </c>
      <c r="G313" s="195" t="str">
        <f t="shared" si="89"/>
        <v>Lyke 2017</v>
      </c>
      <c r="H313" s="195">
        <v>2016</v>
      </c>
      <c r="I313" s="195" t="s">
        <v>2672</v>
      </c>
      <c r="J313" s="229" t="s">
        <v>2673</v>
      </c>
      <c r="K313" s="195">
        <v>6</v>
      </c>
      <c r="L313" s="4" t="s">
        <v>2729</v>
      </c>
      <c r="M313" s="195">
        <v>3</v>
      </c>
      <c r="N313" s="195">
        <v>3</v>
      </c>
      <c r="O313" s="195" t="s">
        <v>324</v>
      </c>
      <c r="P313" s="195">
        <v>20</v>
      </c>
      <c r="Q313" s="195">
        <v>29</v>
      </c>
      <c r="R313" s="195">
        <v>18</v>
      </c>
      <c r="S313" s="195">
        <v>45</v>
      </c>
      <c r="T313" s="195">
        <v>26</v>
      </c>
      <c r="U313" s="195">
        <v>3.1</v>
      </c>
      <c r="V313" s="195" t="s">
        <v>2675</v>
      </c>
      <c r="W313" s="199"/>
      <c r="X313" s="195">
        <v>6</v>
      </c>
      <c r="Y313" s="195"/>
      <c r="Z313" s="195">
        <v>6</v>
      </c>
      <c r="AA313" s="195"/>
      <c r="AB313" s="195">
        <v>0</v>
      </c>
      <c r="AC313" s="199"/>
      <c r="AD313" s="195" t="s">
        <v>322</v>
      </c>
      <c r="AE313" s="195" t="s">
        <v>2720</v>
      </c>
      <c r="AF313" s="195" t="s">
        <v>899</v>
      </c>
      <c r="AG313" s="195" t="s">
        <v>324</v>
      </c>
      <c r="AH313" s="195" t="s">
        <v>308</v>
      </c>
      <c r="AI313" s="195" t="s">
        <v>324</v>
      </c>
      <c r="AJ313" s="195" t="s">
        <v>324</v>
      </c>
      <c r="AK313" s="195"/>
      <c r="AL313" s="195" t="s">
        <v>322</v>
      </c>
      <c r="AM313" s="199"/>
      <c r="AN313" s="195" t="s">
        <v>2727</v>
      </c>
      <c r="AO313" s="195" t="s">
        <v>2722</v>
      </c>
      <c r="AP313" s="195" t="s">
        <v>2723</v>
      </c>
      <c r="AQ313" s="195" t="s">
        <v>2724</v>
      </c>
      <c r="AR313" s="195" t="s">
        <v>2582</v>
      </c>
      <c r="AS313" s="195" t="s">
        <v>316</v>
      </c>
      <c r="AT313" s="199"/>
      <c r="AU313" s="202" t="s">
        <v>2725</v>
      </c>
      <c r="AV313" s="195" t="s">
        <v>326</v>
      </c>
      <c r="AW313" s="195" t="str">
        <f ca="1">IFERROR(__xludf.DUMMYFUNCTION("IF(AND(IF(AS313=""Yes"",True,False),NOT(IFERROR(REGEXMATCH(AV313,ExclusionCategories),FALSE))),""Yes"", ""No"")"),"No")</f>
        <v>No</v>
      </c>
      <c r="AX313" s="195">
        <f ca="1">IFERROR(__xludf.DUMMYFUNCTION("IF(IFERROR(SEARCH(""Unclear"", Z313)) = 1, VALUE(REGEXEXTRACT(Z313,""\d+"")), Z313)"),6)</f>
        <v>6</v>
      </c>
      <c r="AY313" s="195">
        <v>6</v>
      </c>
      <c r="AZ313" s="195" t="str">
        <f ca="1">IFERROR(__xludf.DUMMYFUNCTION("IF(IFERROR(SEARCH(""Unclear"", AG313)) = 1, VALUE(REGEXEXTRACT(AG313,""\d+"")), AG313)"),"ND")</f>
        <v>ND</v>
      </c>
      <c r="BA313" s="195" t="s">
        <v>324</v>
      </c>
      <c r="BB313" s="195" t="str">
        <f ca="1">IFERROR(__xludf.DUMMYFUNCTION("IF(IFERROR(SEARCH(""Unclear"", AJ313)) = 1, VALUE(REGEXEXTRACT(AJ313,""\d+"")), AJ313)"),"ND")</f>
        <v>ND</v>
      </c>
      <c r="BC313" s="195" t="s">
        <v>324</v>
      </c>
      <c r="BD313" s="195" t="b">
        <f t="shared" si="2"/>
        <v>0</v>
      </c>
      <c r="BE313" s="195" t="b">
        <f t="shared" ref="BE313:BF313" si="333">IF(IFERROR(FIND("ND",AI313),0),FALSE,TRUE)</f>
        <v>0</v>
      </c>
      <c r="BF313" s="195" t="b">
        <f t="shared" si="333"/>
        <v>0</v>
      </c>
    </row>
    <row r="314" spans="1:58" ht="37.5" customHeight="1">
      <c r="A314" s="203" t="s">
        <v>1084</v>
      </c>
      <c r="B314" s="204">
        <v>2017</v>
      </c>
      <c r="C314" s="195" t="s">
        <v>339</v>
      </c>
      <c r="D314" s="4" t="s">
        <v>2728</v>
      </c>
      <c r="E314" s="204">
        <v>28223498</v>
      </c>
      <c r="F314" s="198" t="s">
        <v>2718</v>
      </c>
      <c r="G314" s="195" t="str">
        <f t="shared" si="89"/>
        <v>Lyke 2017</v>
      </c>
      <c r="H314" s="195">
        <v>2016</v>
      </c>
      <c r="I314" s="195" t="s">
        <v>2672</v>
      </c>
      <c r="J314" s="229" t="s">
        <v>2673</v>
      </c>
      <c r="K314" s="195">
        <v>27</v>
      </c>
      <c r="L314" s="4" t="s">
        <v>2699</v>
      </c>
      <c r="M314" s="195">
        <v>11</v>
      </c>
      <c r="N314" s="195">
        <v>16</v>
      </c>
      <c r="O314" s="195" t="s">
        <v>324</v>
      </c>
      <c r="P314" s="195">
        <v>20</v>
      </c>
      <c r="Q314" s="195">
        <v>40</v>
      </c>
      <c r="R314" s="195">
        <v>18</v>
      </c>
      <c r="S314" s="195">
        <v>45</v>
      </c>
      <c r="T314" s="195" t="s">
        <v>2730</v>
      </c>
      <c r="U314" s="195" t="s">
        <v>2731</v>
      </c>
      <c r="V314" s="195" t="s">
        <v>2675</v>
      </c>
      <c r="W314" s="199"/>
      <c r="X314" s="195">
        <v>26</v>
      </c>
      <c r="Y314" s="195"/>
      <c r="Z314" s="195">
        <v>17</v>
      </c>
      <c r="AA314" s="195"/>
      <c r="AB314" s="195">
        <v>0</v>
      </c>
      <c r="AC314" s="199"/>
      <c r="AD314" s="195" t="s">
        <v>322</v>
      </c>
      <c r="AE314" s="195" t="s">
        <v>2720</v>
      </c>
      <c r="AF314" s="195" t="s">
        <v>899</v>
      </c>
      <c r="AG314" s="195" t="s">
        <v>324</v>
      </c>
      <c r="AH314" s="195" t="s">
        <v>308</v>
      </c>
      <c r="AI314" s="195" t="s">
        <v>324</v>
      </c>
      <c r="AJ314" s="195" t="s">
        <v>324</v>
      </c>
      <c r="AK314" s="195"/>
      <c r="AL314" s="195" t="s">
        <v>322</v>
      </c>
      <c r="AM314" s="199"/>
      <c r="AN314" s="195" t="s">
        <v>2721</v>
      </c>
      <c r="AO314" s="195" t="s">
        <v>2722</v>
      </c>
      <c r="AP314" s="195" t="s">
        <v>2723</v>
      </c>
      <c r="AQ314" s="195" t="s">
        <v>2724</v>
      </c>
      <c r="AR314" s="195" t="s">
        <v>2582</v>
      </c>
      <c r="AS314" s="195" t="s">
        <v>308</v>
      </c>
      <c r="AT314" s="199"/>
      <c r="AU314" s="202" t="s">
        <v>2725</v>
      </c>
      <c r="AV314" s="195" t="s">
        <v>337</v>
      </c>
      <c r="AW314" s="195" t="str">
        <f ca="1">IFERROR(__xludf.DUMMYFUNCTION("IF(AND(IF(AS314=""Yes"",True,False),NOT(IFERROR(REGEXMATCH(AV314,ExclusionCategories),FALSE))),""Yes"", ""No"")"),"Yes")</f>
        <v>Yes</v>
      </c>
      <c r="AX314" s="195">
        <f ca="1">IFERROR(__xludf.DUMMYFUNCTION("IF(IFERROR(SEARCH(""Unclear"", Z314)) = 1, VALUE(REGEXEXTRACT(Z314,""\d+"")), Z314)"),17)</f>
        <v>17</v>
      </c>
      <c r="AY314" s="195">
        <v>17</v>
      </c>
      <c r="AZ314" s="195" t="str">
        <f ca="1">IFERROR(__xludf.DUMMYFUNCTION("IF(IFERROR(SEARCH(""Unclear"", AG314)) = 1, VALUE(REGEXEXTRACT(AG314,""\d+"")), AG314)"),"ND")</f>
        <v>ND</v>
      </c>
      <c r="BA314" s="195" t="s">
        <v>324</v>
      </c>
      <c r="BB314" s="195" t="str">
        <f ca="1">IFERROR(__xludf.DUMMYFUNCTION("IF(IFERROR(SEARCH(""Unclear"", AJ314)) = 1, VALUE(REGEXEXTRACT(AJ314,""\d+"")), AJ314)"),"ND")</f>
        <v>ND</v>
      </c>
      <c r="BC314" s="195" t="s">
        <v>324</v>
      </c>
      <c r="BD314" s="195" t="b">
        <f t="shared" si="2"/>
        <v>0</v>
      </c>
      <c r="BE314" s="195" t="b">
        <f t="shared" ref="BE314:BF314" si="334">IF(IFERROR(FIND("ND",AI314),0),FALSE,TRUE)</f>
        <v>0</v>
      </c>
      <c r="BF314" s="195" t="b">
        <f t="shared" si="334"/>
        <v>0</v>
      </c>
    </row>
    <row r="315" spans="1:58" ht="37.5" customHeight="1">
      <c r="A315" s="203" t="s">
        <v>1084</v>
      </c>
      <c r="B315" s="204">
        <v>2017</v>
      </c>
      <c r="C315" s="195" t="s">
        <v>339</v>
      </c>
      <c r="D315" s="4" t="s">
        <v>2728</v>
      </c>
      <c r="E315" s="204">
        <v>28223498</v>
      </c>
      <c r="F315" s="198" t="s">
        <v>2718</v>
      </c>
      <c r="G315" s="195" t="str">
        <f t="shared" si="89"/>
        <v>Lyke 2017</v>
      </c>
      <c r="H315" s="195">
        <v>2016</v>
      </c>
      <c r="I315" s="195" t="s">
        <v>2672</v>
      </c>
      <c r="J315" s="229" t="s">
        <v>2673</v>
      </c>
      <c r="K315" s="195">
        <v>6</v>
      </c>
      <c r="L315" s="4" t="s">
        <v>2732</v>
      </c>
      <c r="M315" s="195" t="s">
        <v>324</v>
      </c>
      <c r="N315" s="195" t="s">
        <v>324</v>
      </c>
      <c r="O315" s="195" t="s">
        <v>324</v>
      </c>
      <c r="P315" s="195" t="s">
        <v>324</v>
      </c>
      <c r="Q315" s="195" t="s">
        <v>324</v>
      </c>
      <c r="R315" s="195">
        <v>18</v>
      </c>
      <c r="S315" s="195">
        <v>45</v>
      </c>
      <c r="T315" s="195" t="s">
        <v>324</v>
      </c>
      <c r="U315" s="195" t="s">
        <v>324</v>
      </c>
      <c r="V315" s="195" t="s">
        <v>2675</v>
      </c>
      <c r="W315" s="199"/>
      <c r="X315" s="195">
        <v>6</v>
      </c>
      <c r="Y315" s="195"/>
      <c r="Z315" s="195">
        <v>1</v>
      </c>
      <c r="AA315" s="195"/>
      <c r="AB315" s="195">
        <v>0</v>
      </c>
      <c r="AC315" s="199"/>
      <c r="AD315" s="195" t="s">
        <v>322</v>
      </c>
      <c r="AE315" s="195" t="s">
        <v>2720</v>
      </c>
      <c r="AF315" s="195" t="s">
        <v>899</v>
      </c>
      <c r="AG315" s="195" t="s">
        <v>324</v>
      </c>
      <c r="AH315" s="195" t="s">
        <v>308</v>
      </c>
      <c r="AI315" s="195" t="s">
        <v>324</v>
      </c>
      <c r="AJ315" s="195" t="s">
        <v>324</v>
      </c>
      <c r="AK315" s="195"/>
      <c r="AL315" s="195" t="s">
        <v>322</v>
      </c>
      <c r="AM315" s="199"/>
      <c r="AN315" s="195" t="s">
        <v>2721</v>
      </c>
      <c r="AO315" s="195" t="s">
        <v>2722</v>
      </c>
      <c r="AP315" s="195" t="s">
        <v>2723</v>
      </c>
      <c r="AQ315" s="195" t="s">
        <v>2724</v>
      </c>
      <c r="AR315" s="195" t="s">
        <v>2582</v>
      </c>
      <c r="AS315" s="195" t="s">
        <v>308</v>
      </c>
      <c r="AT315" s="199"/>
      <c r="AU315" s="202" t="s">
        <v>2725</v>
      </c>
      <c r="AV315" s="195" t="s">
        <v>15</v>
      </c>
      <c r="AW315" s="195" t="str">
        <f ca="1">IFERROR(__xludf.DUMMYFUNCTION("IF(AND(IF(AS315=""Yes"",True,False),NOT(IFERROR(REGEXMATCH(AV315,ExclusionCategories),FALSE))),""Yes"", ""No"")"),"No")</f>
        <v>No</v>
      </c>
      <c r="AX315" s="195">
        <f ca="1">IFERROR(__xludf.DUMMYFUNCTION("IF(IFERROR(SEARCH(""Unclear"", Z315)) = 1, VALUE(REGEXEXTRACT(Z315,""\d+"")), Z315)"),1)</f>
        <v>1</v>
      </c>
      <c r="AY315" s="195">
        <v>1</v>
      </c>
      <c r="AZ315" s="195" t="str">
        <f ca="1">IFERROR(__xludf.DUMMYFUNCTION("IF(IFERROR(SEARCH(""Unclear"", AG315)) = 1, VALUE(REGEXEXTRACT(AG315,""\d+"")), AG315)"),"ND")</f>
        <v>ND</v>
      </c>
      <c r="BA315" s="195" t="s">
        <v>324</v>
      </c>
      <c r="BB315" s="195" t="str">
        <f ca="1">IFERROR(__xludf.DUMMYFUNCTION("IF(IFERROR(SEARCH(""Unclear"", AJ315)) = 1, VALUE(REGEXEXTRACT(AJ315,""\d+"")), AJ315)"),"ND")</f>
        <v>ND</v>
      </c>
      <c r="BC315" s="195" t="s">
        <v>324</v>
      </c>
      <c r="BD315" s="195" t="b">
        <f t="shared" si="2"/>
        <v>0</v>
      </c>
      <c r="BE315" s="195" t="b">
        <f t="shared" ref="BE315:BF315" si="335">IF(IFERROR(FIND("ND",AI315),0),FALSE,TRUE)</f>
        <v>0</v>
      </c>
      <c r="BF315" s="195" t="b">
        <f t="shared" si="335"/>
        <v>0</v>
      </c>
    </row>
    <row r="316" spans="1:58" ht="37.5" customHeight="1">
      <c r="A316" s="203" t="s">
        <v>1616</v>
      </c>
      <c r="B316" s="204">
        <v>1999</v>
      </c>
      <c r="C316" s="195" t="s">
        <v>605</v>
      </c>
      <c r="D316" s="4" t="s">
        <v>2733</v>
      </c>
      <c r="E316" s="204">
        <v>10377124</v>
      </c>
      <c r="F316" s="229" t="s">
        <v>2734</v>
      </c>
      <c r="G316" s="195" t="str">
        <f t="shared" si="89"/>
        <v>Coster 1999</v>
      </c>
      <c r="H316" s="217">
        <v>1999</v>
      </c>
      <c r="I316" s="195"/>
      <c r="J316" s="195"/>
      <c r="K316" s="195">
        <v>14</v>
      </c>
      <c r="L316" s="4"/>
      <c r="M316" s="195" t="s">
        <v>324</v>
      </c>
      <c r="N316" s="195" t="s">
        <v>324</v>
      </c>
      <c r="O316" s="195" t="s">
        <v>324</v>
      </c>
      <c r="P316" s="195">
        <v>19</v>
      </c>
      <c r="Q316" s="195">
        <v>46</v>
      </c>
      <c r="R316" s="195" t="s">
        <v>324</v>
      </c>
      <c r="S316" s="195" t="s">
        <v>324</v>
      </c>
      <c r="T316" s="195" t="s">
        <v>324</v>
      </c>
      <c r="U316" s="195" t="s">
        <v>324</v>
      </c>
      <c r="V316" s="195" t="s">
        <v>2735</v>
      </c>
      <c r="W316" s="199"/>
      <c r="X316" s="195">
        <v>14</v>
      </c>
      <c r="Y316" s="195" t="s">
        <v>2736</v>
      </c>
      <c r="Z316" s="195">
        <v>12</v>
      </c>
      <c r="AA316" s="195" t="s">
        <v>2737</v>
      </c>
      <c r="AB316" s="195">
        <v>0</v>
      </c>
      <c r="AC316" s="199"/>
      <c r="AD316" s="195" t="s">
        <v>322</v>
      </c>
      <c r="AE316" s="195" t="s">
        <v>2738</v>
      </c>
      <c r="AF316" s="195" t="s">
        <v>2739</v>
      </c>
      <c r="AG316" s="195">
        <v>9</v>
      </c>
      <c r="AH316" s="195" t="s">
        <v>308</v>
      </c>
      <c r="AI316" s="195">
        <v>0</v>
      </c>
      <c r="AJ316" s="195">
        <v>6</v>
      </c>
      <c r="AK316" s="195" t="s">
        <v>499</v>
      </c>
      <c r="AL316" s="195" t="s">
        <v>322</v>
      </c>
      <c r="AM316" s="199"/>
      <c r="AN316" s="195" t="s">
        <v>2740</v>
      </c>
      <c r="AO316" s="195" t="s">
        <v>2741</v>
      </c>
      <c r="AP316" s="195" t="s">
        <v>2742</v>
      </c>
      <c r="AQ316" s="195" t="s">
        <v>324</v>
      </c>
      <c r="AR316" s="195" t="s">
        <v>2743</v>
      </c>
      <c r="AS316" s="195" t="s">
        <v>308</v>
      </c>
      <c r="AT316" s="199"/>
      <c r="AU316" s="202" t="s">
        <v>2744</v>
      </c>
      <c r="AV316" s="195" t="s">
        <v>571</v>
      </c>
      <c r="AW316" s="195" t="str">
        <f ca="1">IFERROR(__xludf.DUMMYFUNCTION("IF(AND(IF(AS316=""Yes"",True,False),NOT(IFERROR(REGEXMATCH(AV316,ExclusionCategories),FALSE))),""Yes"", ""No"")"),"Yes")</f>
        <v>Yes</v>
      </c>
      <c r="AX316" s="195">
        <f ca="1">IFERROR(__xludf.DUMMYFUNCTION("IF(IFERROR(SEARCH(""Unclear"", Z316)) = 1, VALUE(REGEXEXTRACT(Z316,""\d+"")), Z316)"),12)</f>
        <v>12</v>
      </c>
      <c r="AY316" s="195">
        <v>12</v>
      </c>
      <c r="AZ316" s="195">
        <f ca="1">IFERROR(__xludf.DUMMYFUNCTION("IF(IFERROR(SEARCH(""Unclear"", AG316)) = 1, VALUE(REGEXEXTRACT(AG316,""\d+"")), AG316)"),9)</f>
        <v>9</v>
      </c>
      <c r="BA316" s="195">
        <v>9</v>
      </c>
      <c r="BB316" s="195">
        <f ca="1">IFERROR(__xludf.DUMMYFUNCTION("IF(IFERROR(SEARCH(""Unclear"", AJ316)) = 1, VALUE(REGEXEXTRACT(AJ316,""\d+"")), AJ316)"),6)</f>
        <v>6</v>
      </c>
      <c r="BC316" s="195">
        <v>6</v>
      </c>
      <c r="BD316" s="195" t="b">
        <f t="shared" si="2"/>
        <v>1</v>
      </c>
      <c r="BE316" s="195" t="b">
        <f t="shared" ref="BE316:BF316" si="336">IF(IFERROR(FIND("ND",AI316),0),FALSE,TRUE)</f>
        <v>1</v>
      </c>
      <c r="BF316" s="195" t="b">
        <f t="shared" si="336"/>
        <v>1</v>
      </c>
    </row>
    <row r="317" spans="1:58" ht="37.5" customHeight="1">
      <c r="A317" s="203" t="s">
        <v>2745</v>
      </c>
      <c r="B317" s="204">
        <v>1972</v>
      </c>
      <c r="C317" s="195" t="s">
        <v>605</v>
      </c>
      <c r="D317" s="4" t="s">
        <v>1981</v>
      </c>
      <c r="E317" s="204">
        <v>4550416</v>
      </c>
      <c r="F317" s="229" t="s">
        <v>2746</v>
      </c>
      <c r="G317" s="195" t="str">
        <f t="shared" si="89"/>
        <v>DuPont 1972</v>
      </c>
      <c r="H317" s="217">
        <v>1972</v>
      </c>
      <c r="I317" s="195"/>
      <c r="J317" s="195"/>
      <c r="K317" s="195">
        <v>70</v>
      </c>
      <c r="L317" s="4" t="s">
        <v>2747</v>
      </c>
      <c r="M317" s="195">
        <v>70</v>
      </c>
      <c r="N317" s="195">
        <v>0</v>
      </c>
      <c r="O317" s="195" t="s">
        <v>324</v>
      </c>
      <c r="P317" s="195" t="s">
        <v>324</v>
      </c>
      <c r="Q317" s="195" t="s">
        <v>324</v>
      </c>
      <c r="R317" s="195" t="s">
        <v>324</v>
      </c>
      <c r="S317" s="195" t="s">
        <v>324</v>
      </c>
      <c r="T317" s="195" t="s">
        <v>324</v>
      </c>
      <c r="U317" s="195" t="s">
        <v>324</v>
      </c>
      <c r="V317" s="195" t="s">
        <v>2748</v>
      </c>
      <c r="W317" s="199"/>
      <c r="X317" s="195">
        <v>70</v>
      </c>
      <c r="Y317" s="195" t="s">
        <v>2749</v>
      </c>
      <c r="Z317" s="195">
        <v>9</v>
      </c>
      <c r="AA317" s="195" t="s">
        <v>2750</v>
      </c>
      <c r="AB317" s="195">
        <v>0</v>
      </c>
      <c r="AC317" s="199"/>
      <c r="AD317" s="195" t="s">
        <v>322</v>
      </c>
      <c r="AE317" s="195" t="s">
        <v>2751</v>
      </c>
      <c r="AF317" s="195" t="s">
        <v>2752</v>
      </c>
      <c r="AG317" s="195">
        <v>10</v>
      </c>
      <c r="AH317" s="195" t="s">
        <v>316</v>
      </c>
      <c r="AI317" s="195">
        <v>0</v>
      </c>
      <c r="AJ317" s="195" t="s">
        <v>324</v>
      </c>
      <c r="AK317" s="195" t="s">
        <v>499</v>
      </c>
      <c r="AL317" s="195" t="s">
        <v>322</v>
      </c>
      <c r="AM317" s="199"/>
      <c r="AN317" s="195" t="s">
        <v>2753</v>
      </c>
      <c r="AO317" s="195" t="s">
        <v>2754</v>
      </c>
      <c r="AP317" s="195" t="s">
        <v>324</v>
      </c>
      <c r="AQ317" s="195" t="s">
        <v>324</v>
      </c>
      <c r="AR317" s="195" t="s">
        <v>2743</v>
      </c>
      <c r="AS317" s="195" t="s">
        <v>316</v>
      </c>
      <c r="AT317" s="199"/>
      <c r="AU317" s="202" t="s">
        <v>2755</v>
      </c>
      <c r="AV317" s="195" t="s">
        <v>1447</v>
      </c>
      <c r="AW317" s="195" t="str">
        <f ca="1">IFERROR(__xludf.DUMMYFUNCTION("IF(AND(IF(AS317=""Yes"",True,False),NOT(IFERROR(REGEXMATCH(AV317,ExclusionCategories),FALSE))),""Yes"", ""No"")"),"No")</f>
        <v>No</v>
      </c>
      <c r="AX317" s="195">
        <f ca="1">IFERROR(__xludf.DUMMYFUNCTION("IF(IFERROR(SEARCH(""Unclear"", Z317)) = 1, VALUE(REGEXEXTRACT(Z317,""\d+"")), Z317)"),9)</f>
        <v>9</v>
      </c>
      <c r="AY317" s="195">
        <v>9</v>
      </c>
      <c r="AZ317" s="195">
        <f ca="1">IFERROR(__xludf.DUMMYFUNCTION("IF(IFERROR(SEARCH(""Unclear"", AG317)) = 1, VALUE(REGEXEXTRACT(AG317,""\d+"")), AG317)"),10)</f>
        <v>10</v>
      </c>
      <c r="BA317" s="195">
        <v>10</v>
      </c>
      <c r="BB317" s="195" t="str">
        <f ca="1">IFERROR(__xludf.DUMMYFUNCTION("IF(IFERROR(SEARCH(""Unclear"", AJ317)) = 1, VALUE(REGEXEXTRACT(AJ317,""\d+"")), AJ317)"),"ND")</f>
        <v>ND</v>
      </c>
      <c r="BC317" s="195" t="s">
        <v>324</v>
      </c>
      <c r="BD317" s="195" t="b">
        <f t="shared" si="2"/>
        <v>1</v>
      </c>
      <c r="BE317" s="195" t="b">
        <f t="shared" ref="BE317:BF317" si="337">IF(IFERROR(FIND("ND",AI317),0),FALSE,TRUE)</f>
        <v>1</v>
      </c>
      <c r="BF317" s="195" t="b">
        <f t="shared" si="337"/>
        <v>0</v>
      </c>
    </row>
    <row r="318" spans="1:58" ht="37.5" customHeight="1">
      <c r="A318" s="203" t="s">
        <v>2745</v>
      </c>
      <c r="B318" s="204">
        <v>1972</v>
      </c>
      <c r="C318" s="195" t="s">
        <v>605</v>
      </c>
      <c r="D318" s="4" t="s">
        <v>1981</v>
      </c>
      <c r="E318" s="204">
        <v>4550416</v>
      </c>
      <c r="F318" s="229" t="s">
        <v>2746</v>
      </c>
      <c r="G318" s="195" t="str">
        <f t="shared" si="89"/>
        <v>DuPont 1972</v>
      </c>
      <c r="H318" s="217">
        <v>1972</v>
      </c>
      <c r="I318" s="195"/>
      <c r="J318" s="195"/>
      <c r="K318" s="195">
        <v>209</v>
      </c>
      <c r="L318" s="4" t="s">
        <v>2756</v>
      </c>
      <c r="M318" s="195">
        <v>209</v>
      </c>
      <c r="N318" s="195">
        <v>0</v>
      </c>
      <c r="O318" s="195" t="s">
        <v>324</v>
      </c>
      <c r="P318" s="195" t="s">
        <v>324</v>
      </c>
      <c r="Q318" s="195" t="s">
        <v>324</v>
      </c>
      <c r="R318" s="195" t="s">
        <v>324</v>
      </c>
      <c r="S318" s="195" t="s">
        <v>324</v>
      </c>
      <c r="T318" s="195" t="s">
        <v>324</v>
      </c>
      <c r="U318" s="195" t="s">
        <v>324</v>
      </c>
      <c r="V318" s="195" t="s">
        <v>2748</v>
      </c>
      <c r="W318" s="199"/>
      <c r="X318" s="195">
        <v>209</v>
      </c>
      <c r="Y318" s="195" t="s">
        <v>2757</v>
      </c>
      <c r="Z318" s="195">
        <v>134</v>
      </c>
      <c r="AA318" s="195" t="s">
        <v>2758</v>
      </c>
      <c r="AB318" s="195">
        <v>0</v>
      </c>
      <c r="AC318" s="199"/>
      <c r="AD318" s="195" t="s">
        <v>322</v>
      </c>
      <c r="AE318" s="195" t="s">
        <v>2751</v>
      </c>
      <c r="AF318" s="195" t="s">
        <v>2752</v>
      </c>
      <c r="AG318" s="195">
        <v>98</v>
      </c>
      <c r="AH318" s="195" t="s">
        <v>316</v>
      </c>
      <c r="AI318" s="195">
        <v>0</v>
      </c>
      <c r="AJ318" s="195" t="s">
        <v>324</v>
      </c>
      <c r="AK318" s="195" t="s">
        <v>499</v>
      </c>
      <c r="AL318" s="195" t="s">
        <v>322</v>
      </c>
      <c r="AM318" s="199"/>
      <c r="AN318" s="195" t="s">
        <v>2753</v>
      </c>
      <c r="AO318" s="195" t="s">
        <v>2754</v>
      </c>
      <c r="AP318" s="195" t="s">
        <v>324</v>
      </c>
      <c r="AQ318" s="195" t="s">
        <v>324</v>
      </c>
      <c r="AR318" s="195" t="s">
        <v>2743</v>
      </c>
      <c r="AS318" s="195" t="s">
        <v>316</v>
      </c>
      <c r="AT318" s="199"/>
      <c r="AU318" s="202" t="s">
        <v>2755</v>
      </c>
      <c r="AV318" s="195" t="s">
        <v>1447</v>
      </c>
      <c r="AW318" s="195" t="str">
        <f ca="1">IFERROR(__xludf.DUMMYFUNCTION("IF(AND(IF(AS318=""Yes"",True,False),NOT(IFERROR(REGEXMATCH(AV318,ExclusionCategories),FALSE))),""Yes"", ""No"")"),"No")</f>
        <v>No</v>
      </c>
      <c r="AX318" s="195">
        <f ca="1">IFERROR(__xludf.DUMMYFUNCTION("IF(IFERROR(SEARCH(""Unclear"", Z318)) = 1, VALUE(REGEXEXTRACT(Z318,""\d+"")), Z318)"),134)</f>
        <v>134</v>
      </c>
      <c r="AY318" s="195">
        <v>134</v>
      </c>
      <c r="AZ318" s="195">
        <f ca="1">IFERROR(__xludf.DUMMYFUNCTION("IF(IFERROR(SEARCH(""Unclear"", AG318)) = 1, VALUE(REGEXEXTRACT(AG318,""\d+"")), AG318)"),98)</f>
        <v>98</v>
      </c>
      <c r="BA318" s="195">
        <v>98</v>
      </c>
      <c r="BB318" s="195" t="str">
        <f ca="1">IFERROR(__xludf.DUMMYFUNCTION("IF(IFERROR(SEARCH(""Unclear"", AJ318)) = 1, VALUE(REGEXEXTRACT(AJ318,""\d+"")), AJ318)"),"ND")</f>
        <v>ND</v>
      </c>
      <c r="BC318" s="195" t="s">
        <v>324</v>
      </c>
      <c r="BD318" s="195" t="b">
        <f t="shared" si="2"/>
        <v>1</v>
      </c>
      <c r="BE318" s="195" t="b">
        <f t="shared" ref="BE318:BF318" si="338">IF(IFERROR(FIND("ND",AI318),0),FALSE,TRUE)</f>
        <v>1</v>
      </c>
      <c r="BF318" s="195" t="b">
        <f t="shared" si="338"/>
        <v>0</v>
      </c>
    </row>
    <row r="319" spans="1:58" ht="37.5" customHeight="1">
      <c r="A319" s="203" t="s">
        <v>2745</v>
      </c>
      <c r="B319" s="204">
        <v>1972</v>
      </c>
      <c r="C319" s="195" t="s">
        <v>605</v>
      </c>
      <c r="D319" s="4" t="s">
        <v>1981</v>
      </c>
      <c r="E319" s="204">
        <v>4550416</v>
      </c>
      <c r="F319" s="229" t="s">
        <v>2746</v>
      </c>
      <c r="G319" s="195" t="str">
        <f t="shared" si="89"/>
        <v>DuPont 1972</v>
      </c>
      <c r="H319" s="217">
        <v>1972</v>
      </c>
      <c r="I319" s="195"/>
      <c r="J319" s="195"/>
      <c r="K319" s="195">
        <v>15</v>
      </c>
      <c r="L319" s="4" t="s">
        <v>2759</v>
      </c>
      <c r="M319" s="195">
        <v>15</v>
      </c>
      <c r="N319" s="195">
        <v>0</v>
      </c>
      <c r="O319" s="195" t="s">
        <v>324</v>
      </c>
      <c r="P319" s="195" t="s">
        <v>324</v>
      </c>
      <c r="Q319" s="195" t="s">
        <v>324</v>
      </c>
      <c r="R319" s="195" t="s">
        <v>324</v>
      </c>
      <c r="S319" s="195" t="s">
        <v>324</v>
      </c>
      <c r="T319" s="195" t="s">
        <v>324</v>
      </c>
      <c r="U319" s="195" t="s">
        <v>324</v>
      </c>
      <c r="V319" s="195" t="s">
        <v>2748</v>
      </c>
      <c r="W319" s="199"/>
      <c r="X319" s="195">
        <v>15</v>
      </c>
      <c r="Y319" s="195"/>
      <c r="Z319" s="195">
        <v>10</v>
      </c>
      <c r="AA319" s="195"/>
      <c r="AB319" s="195">
        <v>0</v>
      </c>
      <c r="AC319" s="199"/>
      <c r="AD319" s="195" t="s">
        <v>322</v>
      </c>
      <c r="AE319" s="195" t="s">
        <v>2751</v>
      </c>
      <c r="AF319" s="195" t="s">
        <v>2752</v>
      </c>
      <c r="AG319" s="195">
        <v>3</v>
      </c>
      <c r="AH319" s="195" t="s">
        <v>316</v>
      </c>
      <c r="AI319" s="195">
        <v>0</v>
      </c>
      <c r="AJ319" s="195" t="s">
        <v>324</v>
      </c>
      <c r="AK319" s="195" t="s">
        <v>499</v>
      </c>
      <c r="AL319" s="195" t="s">
        <v>322</v>
      </c>
      <c r="AM319" s="199"/>
      <c r="AN319" s="195" t="s">
        <v>332</v>
      </c>
      <c r="AO319" s="195" t="s">
        <v>2754</v>
      </c>
      <c r="AP319" s="195" t="s">
        <v>324</v>
      </c>
      <c r="AQ319" s="195" t="s">
        <v>324</v>
      </c>
      <c r="AR319" s="195" t="s">
        <v>2743</v>
      </c>
      <c r="AS319" s="195" t="s">
        <v>316</v>
      </c>
      <c r="AT319" s="199"/>
      <c r="AU319" s="202" t="s">
        <v>2755</v>
      </c>
      <c r="AV319" s="195" t="s">
        <v>2004</v>
      </c>
      <c r="AW319" s="195" t="str">
        <f ca="1">IFERROR(__xludf.DUMMYFUNCTION("IF(AND(IF(AS319=""Yes"",True,False),NOT(IFERROR(REGEXMATCH(AV319,ExclusionCategories),FALSE))),""Yes"", ""No"")"),"No")</f>
        <v>No</v>
      </c>
      <c r="AX319" s="195">
        <f ca="1">IFERROR(__xludf.DUMMYFUNCTION("IF(IFERROR(SEARCH(""Unclear"", Z319)) = 1, VALUE(REGEXEXTRACT(Z319,""\d+"")), Z319)"),10)</f>
        <v>10</v>
      </c>
      <c r="AY319" s="195">
        <v>10</v>
      </c>
      <c r="AZ319" s="195">
        <f ca="1">IFERROR(__xludf.DUMMYFUNCTION("IF(IFERROR(SEARCH(""Unclear"", AG319)) = 1, VALUE(REGEXEXTRACT(AG319,""\d+"")), AG319)"),3)</f>
        <v>3</v>
      </c>
      <c r="BA319" s="195">
        <v>3</v>
      </c>
      <c r="BB319" s="195" t="str">
        <f ca="1">IFERROR(__xludf.DUMMYFUNCTION("IF(IFERROR(SEARCH(""Unclear"", AJ319)) = 1, VALUE(REGEXEXTRACT(AJ319,""\d+"")), AJ319)"),"ND")</f>
        <v>ND</v>
      </c>
      <c r="BC319" s="195" t="s">
        <v>324</v>
      </c>
      <c r="BD319" s="195" t="b">
        <f t="shared" si="2"/>
        <v>1</v>
      </c>
      <c r="BE319" s="195" t="b">
        <f t="shared" ref="BE319:BF319" si="339">IF(IFERROR(FIND("ND",AI319),0),FALSE,TRUE)</f>
        <v>1</v>
      </c>
      <c r="BF319" s="195" t="b">
        <f t="shared" si="339"/>
        <v>0</v>
      </c>
    </row>
    <row r="320" spans="1:58" ht="37.5" customHeight="1">
      <c r="A320" s="203" t="s">
        <v>2745</v>
      </c>
      <c r="B320" s="204">
        <v>1972</v>
      </c>
      <c r="C320" s="195" t="s">
        <v>605</v>
      </c>
      <c r="D320" s="4" t="s">
        <v>1981</v>
      </c>
      <c r="E320" s="204">
        <v>4550416</v>
      </c>
      <c r="F320" s="229" t="s">
        <v>2746</v>
      </c>
      <c r="G320" s="195" t="str">
        <f t="shared" si="89"/>
        <v>DuPont 1972</v>
      </c>
      <c r="H320" s="217">
        <v>1972</v>
      </c>
      <c r="I320" s="195"/>
      <c r="J320" s="195"/>
      <c r="K320" s="195">
        <v>39</v>
      </c>
      <c r="L320" s="4" t="s">
        <v>2760</v>
      </c>
      <c r="M320" s="195">
        <v>39</v>
      </c>
      <c r="N320" s="195">
        <v>0</v>
      </c>
      <c r="O320" s="195" t="s">
        <v>324</v>
      </c>
      <c r="P320" s="195" t="s">
        <v>324</v>
      </c>
      <c r="Q320" s="195" t="s">
        <v>324</v>
      </c>
      <c r="R320" s="195" t="s">
        <v>324</v>
      </c>
      <c r="S320" s="195" t="s">
        <v>324</v>
      </c>
      <c r="T320" s="195" t="s">
        <v>324</v>
      </c>
      <c r="U320" s="195" t="s">
        <v>324</v>
      </c>
      <c r="V320" s="195" t="s">
        <v>2748</v>
      </c>
      <c r="W320" s="199"/>
      <c r="X320" s="195">
        <v>39</v>
      </c>
      <c r="Y320" s="195"/>
      <c r="Z320" s="195">
        <v>27</v>
      </c>
      <c r="AA320" s="195"/>
      <c r="AB320" s="195">
        <v>0</v>
      </c>
      <c r="AC320" s="199"/>
      <c r="AD320" s="195" t="s">
        <v>322</v>
      </c>
      <c r="AE320" s="195" t="s">
        <v>2751</v>
      </c>
      <c r="AF320" s="195" t="s">
        <v>2752</v>
      </c>
      <c r="AG320" s="195">
        <v>22</v>
      </c>
      <c r="AH320" s="195" t="s">
        <v>316</v>
      </c>
      <c r="AI320" s="195">
        <v>0</v>
      </c>
      <c r="AJ320" s="195" t="s">
        <v>324</v>
      </c>
      <c r="AK320" s="195" t="s">
        <v>499</v>
      </c>
      <c r="AL320" s="195" t="s">
        <v>322</v>
      </c>
      <c r="AM320" s="199"/>
      <c r="AN320" s="195" t="s">
        <v>332</v>
      </c>
      <c r="AO320" s="195" t="s">
        <v>2754</v>
      </c>
      <c r="AP320" s="195" t="s">
        <v>324</v>
      </c>
      <c r="AQ320" s="195" t="s">
        <v>324</v>
      </c>
      <c r="AR320" s="195" t="s">
        <v>2743</v>
      </c>
      <c r="AS320" s="195" t="s">
        <v>316</v>
      </c>
      <c r="AT320" s="199"/>
      <c r="AU320" s="202" t="s">
        <v>2755</v>
      </c>
      <c r="AV320" s="195" t="s">
        <v>1447</v>
      </c>
      <c r="AW320" s="195" t="str">
        <f ca="1">IFERROR(__xludf.DUMMYFUNCTION("IF(AND(IF(AS320=""Yes"",True,False),NOT(IFERROR(REGEXMATCH(AV320,ExclusionCategories),FALSE))),""Yes"", ""No"")"),"No")</f>
        <v>No</v>
      </c>
      <c r="AX320" s="195">
        <f ca="1">IFERROR(__xludf.DUMMYFUNCTION("IF(IFERROR(SEARCH(""Unclear"", Z320)) = 1, VALUE(REGEXEXTRACT(Z320,""\d+"")), Z320)"),27)</f>
        <v>27</v>
      </c>
      <c r="AY320" s="195">
        <v>27</v>
      </c>
      <c r="AZ320" s="195">
        <f ca="1">IFERROR(__xludf.DUMMYFUNCTION("IF(IFERROR(SEARCH(""Unclear"", AG320)) = 1, VALUE(REGEXEXTRACT(AG320,""\d+"")), AG320)"),22)</f>
        <v>22</v>
      </c>
      <c r="BA320" s="195">
        <v>22</v>
      </c>
      <c r="BB320" s="195" t="str">
        <f ca="1">IFERROR(__xludf.DUMMYFUNCTION("IF(IFERROR(SEARCH(""Unclear"", AJ320)) = 1, VALUE(REGEXEXTRACT(AJ320,""\d+"")), AJ320)"),"ND")</f>
        <v>ND</v>
      </c>
      <c r="BC320" s="195" t="s">
        <v>324</v>
      </c>
      <c r="BD320" s="195" t="b">
        <f t="shared" si="2"/>
        <v>1</v>
      </c>
      <c r="BE320" s="195" t="b">
        <f t="shared" ref="BE320:BF320" si="340">IF(IFERROR(FIND("ND",AI320),0),FALSE,TRUE)</f>
        <v>1</v>
      </c>
      <c r="BF320" s="195" t="b">
        <f t="shared" si="340"/>
        <v>0</v>
      </c>
    </row>
    <row r="321" spans="1:58" ht="37.5" customHeight="1">
      <c r="A321" s="203" t="s">
        <v>1980</v>
      </c>
      <c r="B321" s="204">
        <v>1995</v>
      </c>
      <c r="C321" s="195" t="s">
        <v>605</v>
      </c>
      <c r="D321" s="4" t="s">
        <v>2733</v>
      </c>
      <c r="E321" s="204">
        <v>7639017</v>
      </c>
      <c r="F321" s="229" t="s">
        <v>2761</v>
      </c>
      <c r="G321" s="195" t="str">
        <f t="shared" si="89"/>
        <v>Kotloff 1995a</v>
      </c>
      <c r="H321" s="217">
        <v>1995</v>
      </c>
      <c r="I321" s="195"/>
      <c r="J321" s="195"/>
      <c r="K321" s="195">
        <v>30</v>
      </c>
      <c r="L321" s="4"/>
      <c r="M321" s="195" t="s">
        <v>324</v>
      </c>
      <c r="N321" s="195" t="s">
        <v>324</v>
      </c>
      <c r="O321" s="195" t="s">
        <v>324</v>
      </c>
      <c r="P321" s="195" t="s">
        <v>324</v>
      </c>
      <c r="Q321" s="195" t="s">
        <v>324</v>
      </c>
      <c r="R321" s="195">
        <v>18</v>
      </c>
      <c r="S321" s="195">
        <v>40</v>
      </c>
      <c r="T321" s="195" t="s">
        <v>324</v>
      </c>
      <c r="U321" s="195" t="s">
        <v>324</v>
      </c>
      <c r="V321" s="195" t="s">
        <v>2762</v>
      </c>
      <c r="W321" s="199"/>
      <c r="X321" s="195">
        <v>30</v>
      </c>
      <c r="Y321" s="195" t="s">
        <v>2763</v>
      </c>
      <c r="Z321" s="195">
        <v>28</v>
      </c>
      <c r="AA321" s="195" t="s">
        <v>2764</v>
      </c>
      <c r="AB321" s="195">
        <v>0</v>
      </c>
      <c r="AC321" s="199"/>
      <c r="AD321" s="195" t="s">
        <v>322</v>
      </c>
      <c r="AE321" s="195" t="s">
        <v>2765</v>
      </c>
      <c r="AF321" s="195" t="s">
        <v>2766</v>
      </c>
      <c r="AG321" s="195">
        <v>22</v>
      </c>
      <c r="AH321" s="195" t="s">
        <v>316</v>
      </c>
      <c r="AI321" s="195">
        <v>0</v>
      </c>
      <c r="AJ321" s="195" t="s">
        <v>324</v>
      </c>
      <c r="AK321" s="195" t="s">
        <v>499</v>
      </c>
      <c r="AL321" s="195" t="s">
        <v>322</v>
      </c>
      <c r="AM321" s="199"/>
      <c r="AN321" s="195" t="s">
        <v>2767</v>
      </c>
      <c r="AO321" s="195" t="s">
        <v>2768</v>
      </c>
      <c r="AP321" s="195" t="s">
        <v>2769</v>
      </c>
      <c r="AQ321" s="195" t="s">
        <v>324</v>
      </c>
      <c r="AR321" s="195" t="s">
        <v>2743</v>
      </c>
      <c r="AS321" s="195" t="s">
        <v>308</v>
      </c>
      <c r="AT321" s="199"/>
      <c r="AU321" s="202" t="s">
        <v>2770</v>
      </c>
      <c r="AV321" s="195" t="s">
        <v>571</v>
      </c>
      <c r="AW321" s="195" t="str">
        <f ca="1">IFERROR(__xludf.DUMMYFUNCTION("IF(AND(IF(AS321=""Yes"",True,False),NOT(IFERROR(REGEXMATCH(AV321,ExclusionCategories),FALSE))),""Yes"", ""No"")"),"Yes")</f>
        <v>Yes</v>
      </c>
      <c r="AX321" s="195">
        <f ca="1">IFERROR(__xludf.DUMMYFUNCTION("IF(IFERROR(SEARCH(""Unclear"", Z321)) = 1, VALUE(REGEXEXTRACT(Z321,""\d+"")), Z321)"),28)</f>
        <v>28</v>
      </c>
      <c r="AY321" s="195">
        <v>28</v>
      </c>
      <c r="AZ321" s="195">
        <f ca="1">IFERROR(__xludf.DUMMYFUNCTION("IF(IFERROR(SEARCH(""Unclear"", AG321)) = 1, VALUE(REGEXEXTRACT(AG321,""\d+"")), AG321)"),22)</f>
        <v>22</v>
      </c>
      <c r="BA321" s="195">
        <v>22</v>
      </c>
      <c r="BB321" s="195" t="str">
        <f ca="1">IFERROR(__xludf.DUMMYFUNCTION("IF(IFERROR(SEARCH(""Unclear"", AJ321)) = 1, VALUE(REGEXEXTRACT(AJ321,""\d+"")), AJ321)"),"ND")</f>
        <v>ND</v>
      </c>
      <c r="BC321" s="195" t="s">
        <v>324</v>
      </c>
      <c r="BD321" s="195" t="b">
        <f t="shared" si="2"/>
        <v>1</v>
      </c>
      <c r="BE321" s="195" t="b">
        <f t="shared" ref="BE321:BF321" si="341">IF(IFERROR(FIND("ND",AI321),0),FALSE,TRUE)</f>
        <v>1</v>
      </c>
      <c r="BF321" s="195" t="b">
        <f t="shared" si="341"/>
        <v>0</v>
      </c>
    </row>
    <row r="322" spans="1:58" ht="37.5" customHeight="1">
      <c r="A322" s="203" t="s">
        <v>2319</v>
      </c>
      <c r="B322" s="204">
        <v>1992</v>
      </c>
      <c r="C322" s="195" t="s">
        <v>605</v>
      </c>
      <c r="D322" s="4" t="s">
        <v>2733</v>
      </c>
      <c r="E322" s="204">
        <v>1524140</v>
      </c>
      <c r="F322" s="229" t="s">
        <v>2771</v>
      </c>
      <c r="G322" s="195" t="str">
        <f t="shared" si="89"/>
        <v>Tacket 1992</v>
      </c>
      <c r="H322" s="217">
        <v>1992</v>
      </c>
      <c r="I322" s="195"/>
      <c r="J322" s="195"/>
      <c r="K322" s="195">
        <v>29</v>
      </c>
      <c r="L322" s="4" t="s">
        <v>1844</v>
      </c>
      <c r="M322" s="195" t="s">
        <v>324</v>
      </c>
      <c r="N322" s="195" t="s">
        <v>324</v>
      </c>
      <c r="O322" s="195" t="s">
        <v>324</v>
      </c>
      <c r="P322" s="195" t="s">
        <v>324</v>
      </c>
      <c r="Q322" s="195" t="s">
        <v>324</v>
      </c>
      <c r="R322" s="195" t="s">
        <v>324</v>
      </c>
      <c r="S322" s="195" t="s">
        <v>324</v>
      </c>
      <c r="T322" s="195" t="s">
        <v>324</v>
      </c>
      <c r="U322" s="195" t="s">
        <v>324</v>
      </c>
      <c r="V322" s="195" t="s">
        <v>2772</v>
      </c>
      <c r="W322" s="199"/>
      <c r="X322" s="195">
        <v>29</v>
      </c>
      <c r="Y322" s="195" t="s">
        <v>2773</v>
      </c>
      <c r="Z322" s="195" t="s">
        <v>345</v>
      </c>
      <c r="AA322" s="195" t="s">
        <v>2774</v>
      </c>
      <c r="AB322" s="195">
        <v>0</v>
      </c>
      <c r="AC322" s="199"/>
      <c r="AD322" s="195" t="s">
        <v>322</v>
      </c>
      <c r="AE322" s="195" t="s">
        <v>2775</v>
      </c>
      <c r="AF322" s="195" t="s">
        <v>1958</v>
      </c>
      <c r="AG322" s="195">
        <v>12</v>
      </c>
      <c r="AH322" s="195" t="s">
        <v>316</v>
      </c>
      <c r="AI322" s="195">
        <v>0</v>
      </c>
      <c r="AJ322" s="195" t="s">
        <v>324</v>
      </c>
      <c r="AK322" s="195" t="s">
        <v>499</v>
      </c>
      <c r="AL322" s="195" t="s">
        <v>322</v>
      </c>
      <c r="AM322" s="199"/>
      <c r="AN322" s="195" t="s">
        <v>2776</v>
      </c>
      <c r="AO322" s="195" t="s">
        <v>2777</v>
      </c>
      <c r="AP322" s="195" t="s">
        <v>2778</v>
      </c>
      <c r="AQ322" s="195" t="s">
        <v>2634</v>
      </c>
      <c r="AR322" s="195" t="s">
        <v>2743</v>
      </c>
      <c r="AS322" s="195" t="s">
        <v>308</v>
      </c>
      <c r="AT322" s="199"/>
      <c r="AU322" s="195" t="s">
        <v>2779</v>
      </c>
      <c r="AV322" s="195" t="s">
        <v>571</v>
      </c>
      <c r="AW322" s="195" t="str">
        <f ca="1">IFERROR(__xludf.DUMMYFUNCTION("IF(AND(IF(AS322=""Yes"",True,False),NOT(IFERROR(REGEXMATCH(AV322,ExclusionCategories),FALSE))),""Yes"", ""No"")"),"Yes")</f>
        <v>Yes</v>
      </c>
      <c r="AX322" s="195">
        <f ca="1">IFERROR(__xludf.DUMMYFUNCTION("IF(IFERROR(SEARCH(""Unclear"", Z322)) = 1, VALUE(REGEXEXTRACT(Z322,""\d+"")), Z322)"),1)</f>
        <v>1</v>
      </c>
      <c r="AY322" s="195">
        <v>29</v>
      </c>
      <c r="AZ322" s="195">
        <f ca="1">IFERROR(__xludf.DUMMYFUNCTION("IF(IFERROR(SEARCH(""Unclear"", AG322)) = 1, VALUE(REGEXEXTRACT(AG322,""\d+"")), AG322)"),12)</f>
        <v>12</v>
      </c>
      <c r="BA322" s="195">
        <v>12</v>
      </c>
      <c r="BB322" s="195" t="str">
        <f ca="1">IFERROR(__xludf.DUMMYFUNCTION("IF(IFERROR(SEARCH(""Unclear"", AJ322)) = 1, VALUE(REGEXEXTRACT(AJ322,""\d+"")), AJ322)"),"ND")</f>
        <v>ND</v>
      </c>
      <c r="BC322" s="195" t="s">
        <v>324</v>
      </c>
      <c r="BD322" s="195" t="b">
        <f t="shared" si="2"/>
        <v>1</v>
      </c>
      <c r="BE322" s="195" t="b">
        <f t="shared" ref="BE322:BF322" si="342">IF(IFERROR(FIND("ND",AI322),0),FALSE,TRUE)</f>
        <v>1</v>
      </c>
      <c r="BF322" s="195" t="b">
        <f t="shared" si="342"/>
        <v>0</v>
      </c>
    </row>
    <row r="323" spans="1:58" ht="37.5" customHeight="1">
      <c r="A323" s="203" t="s">
        <v>2319</v>
      </c>
      <c r="B323" s="204">
        <v>1992</v>
      </c>
      <c r="C323" s="195" t="s">
        <v>605</v>
      </c>
      <c r="D323" s="4" t="s">
        <v>2733</v>
      </c>
      <c r="E323" s="204">
        <v>1524140</v>
      </c>
      <c r="F323" s="229" t="s">
        <v>2771</v>
      </c>
      <c r="G323" s="195" t="str">
        <f t="shared" si="89"/>
        <v>Tacket 1992</v>
      </c>
      <c r="H323" s="217">
        <v>1992</v>
      </c>
      <c r="I323" s="195"/>
      <c r="J323" s="195"/>
      <c r="K323" s="195">
        <v>21</v>
      </c>
      <c r="L323" s="4" t="s">
        <v>1854</v>
      </c>
      <c r="M323" s="195" t="s">
        <v>324</v>
      </c>
      <c r="N323" s="195" t="s">
        <v>324</v>
      </c>
      <c r="O323" s="195" t="s">
        <v>324</v>
      </c>
      <c r="P323" s="195" t="s">
        <v>324</v>
      </c>
      <c r="Q323" s="195" t="s">
        <v>324</v>
      </c>
      <c r="R323" s="195" t="s">
        <v>324</v>
      </c>
      <c r="S323" s="195" t="s">
        <v>324</v>
      </c>
      <c r="T323" s="195" t="s">
        <v>324</v>
      </c>
      <c r="U323" s="195" t="s">
        <v>324</v>
      </c>
      <c r="V323" s="195" t="s">
        <v>2772</v>
      </c>
      <c r="W323" s="199"/>
      <c r="X323" s="195">
        <v>21</v>
      </c>
      <c r="Y323" s="195" t="s">
        <v>2780</v>
      </c>
      <c r="Z323" s="195">
        <v>12</v>
      </c>
      <c r="AA323" s="195" t="s">
        <v>2781</v>
      </c>
      <c r="AB323" s="195">
        <v>0</v>
      </c>
      <c r="AC323" s="199"/>
      <c r="AD323" s="195" t="s">
        <v>322</v>
      </c>
      <c r="AE323" s="195" t="s">
        <v>2775</v>
      </c>
      <c r="AF323" s="195" t="s">
        <v>1958</v>
      </c>
      <c r="AG323" s="195">
        <v>5</v>
      </c>
      <c r="AH323" s="195" t="s">
        <v>316</v>
      </c>
      <c r="AI323" s="195">
        <v>0</v>
      </c>
      <c r="AJ323" s="195" t="s">
        <v>324</v>
      </c>
      <c r="AK323" s="195" t="s">
        <v>499</v>
      </c>
      <c r="AL323" s="195" t="s">
        <v>322</v>
      </c>
      <c r="AM323" s="199"/>
      <c r="AN323" s="195" t="s">
        <v>2776</v>
      </c>
      <c r="AO323" s="195" t="s">
        <v>2777</v>
      </c>
      <c r="AP323" s="195" t="s">
        <v>2778</v>
      </c>
      <c r="AQ323" s="195" t="s">
        <v>2634</v>
      </c>
      <c r="AR323" s="195" t="s">
        <v>2743</v>
      </c>
      <c r="AS323" s="195" t="s">
        <v>308</v>
      </c>
      <c r="AT323" s="199"/>
      <c r="AU323" s="195" t="s">
        <v>2779</v>
      </c>
      <c r="AV323" s="195" t="s">
        <v>571</v>
      </c>
      <c r="AW323" s="195" t="str">
        <f ca="1">IFERROR(__xludf.DUMMYFUNCTION("IF(AND(IF(AS323=""Yes"",True,False),NOT(IFERROR(REGEXMATCH(AV323,ExclusionCategories),FALSE))),""Yes"", ""No"")"),"Yes")</f>
        <v>Yes</v>
      </c>
      <c r="AX323" s="195">
        <f ca="1">IFERROR(__xludf.DUMMYFUNCTION("IF(IFERROR(SEARCH(""Unclear"", Z323)) = 1, VALUE(REGEXEXTRACT(Z323,""\d+"")), Z323)"),12)</f>
        <v>12</v>
      </c>
      <c r="AY323" s="195">
        <v>12</v>
      </c>
      <c r="AZ323" s="195">
        <f ca="1">IFERROR(__xludf.DUMMYFUNCTION("IF(IFERROR(SEARCH(""Unclear"", AG323)) = 1, VALUE(REGEXEXTRACT(AG323,""\d+"")), AG323)"),5)</f>
        <v>5</v>
      </c>
      <c r="BA323" s="195">
        <v>5</v>
      </c>
      <c r="BB323" s="195" t="str">
        <f ca="1">IFERROR(__xludf.DUMMYFUNCTION("IF(IFERROR(SEARCH(""Unclear"", AJ323)) = 1, VALUE(REGEXEXTRACT(AJ323,""\d+"")), AJ323)"),"ND")</f>
        <v>ND</v>
      </c>
      <c r="BC323" s="195" t="s">
        <v>324</v>
      </c>
      <c r="BD323" s="195" t="b">
        <f t="shared" si="2"/>
        <v>1</v>
      </c>
      <c r="BE323" s="195" t="b">
        <f t="shared" ref="BE323:BF323" si="343">IF(IFERROR(FIND("ND",AI323),0),FALSE,TRUE)</f>
        <v>1</v>
      </c>
      <c r="BF323" s="195" t="b">
        <f t="shared" si="343"/>
        <v>0</v>
      </c>
    </row>
    <row r="324" spans="1:58" ht="37.5" customHeight="1">
      <c r="A324" s="203" t="s">
        <v>2319</v>
      </c>
      <c r="B324" s="204">
        <v>1992</v>
      </c>
      <c r="C324" s="195" t="s">
        <v>605</v>
      </c>
      <c r="D324" s="4" t="s">
        <v>2733</v>
      </c>
      <c r="E324" s="204">
        <v>1524140</v>
      </c>
      <c r="F324" s="229" t="s">
        <v>2771</v>
      </c>
      <c r="G324" s="195" t="str">
        <f t="shared" si="89"/>
        <v>Tacket 1992</v>
      </c>
      <c r="H324" s="217">
        <v>1992</v>
      </c>
      <c r="I324" s="195"/>
      <c r="J324" s="195"/>
      <c r="K324" s="195">
        <v>50</v>
      </c>
      <c r="L324" s="4" t="s">
        <v>1858</v>
      </c>
      <c r="M324" s="195" t="s">
        <v>324</v>
      </c>
      <c r="N324" s="195" t="s">
        <v>324</v>
      </c>
      <c r="O324" s="195" t="s">
        <v>324</v>
      </c>
      <c r="P324" s="195" t="s">
        <v>324</v>
      </c>
      <c r="Q324" s="195" t="s">
        <v>324</v>
      </c>
      <c r="R324" s="195" t="s">
        <v>324</v>
      </c>
      <c r="S324" s="195" t="s">
        <v>324</v>
      </c>
      <c r="T324" s="195" t="s">
        <v>324</v>
      </c>
      <c r="U324" s="195" t="s">
        <v>324</v>
      </c>
      <c r="V324" s="195" t="s">
        <v>2772</v>
      </c>
      <c r="W324" s="199"/>
      <c r="X324" s="195">
        <v>50</v>
      </c>
      <c r="Y324" s="195"/>
      <c r="Z324" s="195" t="s">
        <v>2782</v>
      </c>
      <c r="AA324" s="195"/>
      <c r="AB324" s="195">
        <v>0</v>
      </c>
      <c r="AC324" s="199"/>
      <c r="AD324" s="195" t="s">
        <v>322</v>
      </c>
      <c r="AE324" s="195" t="s">
        <v>2775</v>
      </c>
      <c r="AF324" s="195" t="s">
        <v>1958</v>
      </c>
      <c r="AG324" s="195">
        <v>17</v>
      </c>
      <c r="AH324" s="195" t="s">
        <v>316</v>
      </c>
      <c r="AI324" s="195">
        <v>0</v>
      </c>
      <c r="AJ324" s="195" t="s">
        <v>324</v>
      </c>
      <c r="AK324" s="195" t="s">
        <v>499</v>
      </c>
      <c r="AL324" s="195" t="s">
        <v>322</v>
      </c>
      <c r="AM324" s="199"/>
      <c r="AN324" s="195" t="s">
        <v>2776</v>
      </c>
      <c r="AO324" s="195" t="s">
        <v>2777</v>
      </c>
      <c r="AP324" s="195" t="s">
        <v>2778</v>
      </c>
      <c r="AQ324" s="195" t="s">
        <v>2634</v>
      </c>
      <c r="AR324" s="195" t="s">
        <v>2743</v>
      </c>
      <c r="AS324" s="195" t="s">
        <v>316</v>
      </c>
      <c r="AT324" s="199"/>
      <c r="AU324" s="195" t="s">
        <v>2779</v>
      </c>
      <c r="AV324" s="195" t="s">
        <v>1581</v>
      </c>
      <c r="AW324" s="195" t="str">
        <f ca="1">IFERROR(__xludf.DUMMYFUNCTION("IF(AND(IF(AS324=""Yes"",True,False),NOT(IFERROR(REGEXMATCH(AV324,ExclusionCategories),FALSE))),""Yes"", ""No"")"),"No")</f>
        <v>No</v>
      </c>
      <c r="AX324" s="195">
        <f ca="1">IFERROR(__xludf.DUMMYFUNCTION("IF(IFERROR(SEARCH(""Unclear"", Z324)) = 1, VALUE(REGEXEXTRACT(Z324,""\d+"")), Z324)"),13)</f>
        <v>13</v>
      </c>
      <c r="AY324" s="195">
        <v>50</v>
      </c>
      <c r="AZ324" s="195">
        <f ca="1">IFERROR(__xludf.DUMMYFUNCTION("IF(IFERROR(SEARCH(""Unclear"", AG324)) = 1, VALUE(REGEXEXTRACT(AG324,""\d+"")), AG324)"),17)</f>
        <v>17</v>
      </c>
      <c r="BA324" s="195">
        <v>17</v>
      </c>
      <c r="BB324" s="195" t="str">
        <f ca="1">IFERROR(__xludf.DUMMYFUNCTION("IF(IFERROR(SEARCH(""Unclear"", AJ324)) = 1, VALUE(REGEXEXTRACT(AJ324,""\d+"")), AJ324)"),"ND")</f>
        <v>ND</v>
      </c>
      <c r="BC324" s="195" t="s">
        <v>324</v>
      </c>
      <c r="BD324" s="195" t="b">
        <f t="shared" si="2"/>
        <v>1</v>
      </c>
      <c r="BE324" s="195" t="b">
        <f t="shared" ref="BE324:BF324" si="344">IF(IFERROR(FIND("ND",AI324),0),FALSE,TRUE)</f>
        <v>1</v>
      </c>
      <c r="BF324" s="195" t="b">
        <f t="shared" si="344"/>
        <v>0</v>
      </c>
    </row>
    <row r="325" spans="1:58" ht="37.5" customHeight="1">
      <c r="A325" s="203" t="s">
        <v>2783</v>
      </c>
      <c r="B325" s="204">
        <v>2006</v>
      </c>
      <c r="C325" s="195" t="s">
        <v>605</v>
      </c>
      <c r="D325" s="4" t="s">
        <v>2733</v>
      </c>
      <c r="E325" s="204">
        <v>16586388</v>
      </c>
      <c r="F325" s="198" t="s">
        <v>2784</v>
      </c>
      <c r="G325" s="195" t="str">
        <f t="shared" si="89"/>
        <v>Taylor 2006</v>
      </c>
      <c r="H325" s="217">
        <v>2006</v>
      </c>
      <c r="I325" s="195"/>
      <c r="J325" s="195"/>
      <c r="K325" s="195">
        <v>25</v>
      </c>
      <c r="L325" s="4"/>
      <c r="M325" s="195">
        <v>14</v>
      </c>
      <c r="N325" s="195">
        <v>11</v>
      </c>
      <c r="O325" s="195" t="s">
        <v>324</v>
      </c>
      <c r="P325" s="195" t="s">
        <v>324</v>
      </c>
      <c r="Q325" s="195" t="s">
        <v>324</v>
      </c>
      <c r="R325" s="195">
        <v>18</v>
      </c>
      <c r="S325" s="195">
        <v>45</v>
      </c>
      <c r="T325" s="195">
        <v>35.6</v>
      </c>
      <c r="U325" s="195" t="s">
        <v>2731</v>
      </c>
      <c r="V325" s="195" t="s">
        <v>2785</v>
      </c>
      <c r="W325" s="199"/>
      <c r="X325" s="195">
        <v>25</v>
      </c>
      <c r="Y325" s="195" t="s">
        <v>2786</v>
      </c>
      <c r="Z325" s="195">
        <v>5</v>
      </c>
      <c r="AA325" s="195" t="s">
        <v>2787</v>
      </c>
      <c r="AB325" s="195">
        <v>0</v>
      </c>
      <c r="AC325" s="199"/>
      <c r="AD325" s="195" t="s">
        <v>322</v>
      </c>
      <c r="AE325" s="195" t="s">
        <v>2788</v>
      </c>
      <c r="AF325" s="195" t="s">
        <v>2789</v>
      </c>
      <c r="AG325" s="195" t="s">
        <v>892</v>
      </c>
      <c r="AH325" s="195" t="s">
        <v>308</v>
      </c>
      <c r="AI325" s="195">
        <v>0</v>
      </c>
      <c r="AJ325" s="195" t="s">
        <v>2790</v>
      </c>
      <c r="AK325" s="195" t="s">
        <v>499</v>
      </c>
      <c r="AL325" s="195" t="s">
        <v>322</v>
      </c>
      <c r="AM325" s="199"/>
      <c r="AN325" s="195" t="s">
        <v>2791</v>
      </c>
      <c r="AO325" s="195" t="s">
        <v>2792</v>
      </c>
      <c r="AP325" s="195" t="s">
        <v>2793</v>
      </c>
      <c r="AQ325" s="195" t="s">
        <v>2308</v>
      </c>
      <c r="AR325" s="195" t="s">
        <v>2743</v>
      </c>
      <c r="AS325" s="195" t="s">
        <v>308</v>
      </c>
      <c r="AT325" s="199"/>
      <c r="AU325" s="202" t="s">
        <v>2794</v>
      </c>
      <c r="AV325" s="195" t="s">
        <v>501</v>
      </c>
      <c r="AW325" s="195" t="str">
        <f ca="1">IFERROR(__xludf.DUMMYFUNCTION("IF(AND(IF(AS325=""Yes"",True,False),NOT(IFERROR(REGEXMATCH(AV325,ExclusionCategories),FALSE))),""Yes"", ""No"")"),"Yes")</f>
        <v>Yes</v>
      </c>
      <c r="AX325" s="195">
        <f ca="1">IFERROR(__xludf.DUMMYFUNCTION("IF(IFERROR(SEARCH(""Unclear"", Z325)) = 1, VALUE(REGEXEXTRACT(Z325,""\d+"")), Z325)"),5)</f>
        <v>5</v>
      </c>
      <c r="AY325" s="195">
        <v>5</v>
      </c>
      <c r="AZ325" s="195">
        <f ca="1">IFERROR(__xludf.DUMMYFUNCTION("IF(IFERROR(SEARCH(""Unclear"", AG325)) = 1, VALUE(REGEXEXTRACT(AG325,""\d+"")), AG325)"),17)</f>
        <v>17</v>
      </c>
      <c r="BA325" s="195">
        <v>25</v>
      </c>
      <c r="BB325" s="195">
        <f ca="1">IFERROR(__xludf.DUMMYFUNCTION("IF(IFERROR(SEARCH(""Unclear"", AJ325)) = 1, VALUE(REGEXEXTRACT(AJ325,""\d+"")), AJ325)"),6)</f>
        <v>6</v>
      </c>
      <c r="BC325" s="195">
        <v>25</v>
      </c>
      <c r="BD325" s="195" t="b">
        <f t="shared" si="2"/>
        <v>1</v>
      </c>
      <c r="BE325" s="195" t="b">
        <f t="shared" ref="BE325:BF325" si="345">IF(IFERROR(FIND("ND",AI325),0),FALSE,TRUE)</f>
        <v>1</v>
      </c>
      <c r="BF325" s="195" t="b">
        <f t="shared" si="345"/>
        <v>1</v>
      </c>
    </row>
    <row r="326" spans="1:58" ht="37.5" customHeight="1">
      <c r="A326" s="225" t="s">
        <v>2795</v>
      </c>
      <c r="B326" s="226">
        <v>1998</v>
      </c>
      <c r="C326" s="195" t="s">
        <v>952</v>
      </c>
      <c r="D326" s="4" t="s">
        <v>2796</v>
      </c>
      <c r="E326" s="225">
        <v>9815220</v>
      </c>
      <c r="F326" s="253" t="s">
        <v>2797</v>
      </c>
      <c r="G326" s="195" t="str">
        <f t="shared" si="89"/>
        <v>Al-Tawfiq 1998</v>
      </c>
      <c r="H326" s="217">
        <v>1998</v>
      </c>
      <c r="I326" s="195"/>
      <c r="J326" s="195"/>
      <c r="K326" s="195">
        <v>29</v>
      </c>
      <c r="L326" s="4"/>
      <c r="M326" s="195">
        <v>13</v>
      </c>
      <c r="N326" s="195">
        <v>16</v>
      </c>
      <c r="O326" s="195" t="s">
        <v>324</v>
      </c>
      <c r="P326" s="195" t="s">
        <v>324</v>
      </c>
      <c r="Q326" s="195" t="s">
        <v>324</v>
      </c>
      <c r="R326" s="195">
        <v>18</v>
      </c>
      <c r="S326" s="195" t="s">
        <v>324</v>
      </c>
      <c r="T326" s="195">
        <v>34.299999999999997</v>
      </c>
      <c r="U326" s="195">
        <v>8</v>
      </c>
      <c r="V326" s="195" t="s">
        <v>2798</v>
      </c>
      <c r="W326" s="195" t="s">
        <v>2799</v>
      </c>
      <c r="X326" s="195">
        <v>27</v>
      </c>
      <c r="Y326" s="195" t="s">
        <v>2800</v>
      </c>
      <c r="Z326" s="195" t="s">
        <v>1100</v>
      </c>
      <c r="AA326" s="195" t="s">
        <v>2801</v>
      </c>
      <c r="AB326" s="195">
        <v>0</v>
      </c>
      <c r="AC326" s="199"/>
      <c r="AD326" s="195" t="s">
        <v>322</v>
      </c>
      <c r="AE326" s="195" t="s">
        <v>332</v>
      </c>
      <c r="AF326" s="195" t="s">
        <v>1472</v>
      </c>
      <c r="AG326" s="195" t="s">
        <v>324</v>
      </c>
      <c r="AH326" s="195" t="s">
        <v>316</v>
      </c>
      <c r="AI326" s="195" t="s">
        <v>324</v>
      </c>
      <c r="AJ326" s="195" t="s">
        <v>324</v>
      </c>
      <c r="AK326" s="195" t="s">
        <v>2802</v>
      </c>
      <c r="AL326" s="195" t="s">
        <v>322</v>
      </c>
      <c r="AM326" s="199"/>
      <c r="AN326" s="195" t="s">
        <v>2803</v>
      </c>
      <c r="AO326" s="195" t="s">
        <v>2804</v>
      </c>
      <c r="AP326" s="195" t="s">
        <v>2805</v>
      </c>
      <c r="AQ326" s="195" t="s">
        <v>324</v>
      </c>
      <c r="AR326" s="195" t="s">
        <v>958</v>
      </c>
      <c r="AS326" s="195" t="s">
        <v>308</v>
      </c>
      <c r="AT326" s="199"/>
      <c r="AU326" s="195" t="s">
        <v>2806</v>
      </c>
      <c r="AV326" s="195" t="s">
        <v>9</v>
      </c>
      <c r="AW326" s="195" t="str">
        <f ca="1">IFERROR(__xludf.DUMMYFUNCTION("IF(AND(IF(AS326=""Yes"",True,False),NOT(IFERROR(REGEXMATCH(AV326,ExclusionCategories),FALSE))),""Yes"", ""No"")"),"Yes")</f>
        <v>Yes</v>
      </c>
      <c r="AX326" s="195">
        <f ca="1">IFERROR(__xludf.DUMMYFUNCTION("IF(IFERROR(SEARCH(""Unclear"", Z326)) = 1, VALUE(REGEXEXTRACT(Z326,""\d+"")), Z326)"),23)</f>
        <v>23</v>
      </c>
      <c r="AY326" s="195">
        <v>27</v>
      </c>
      <c r="AZ326" s="195" t="str">
        <f ca="1">IFERROR(__xludf.DUMMYFUNCTION("IF(IFERROR(SEARCH(""Unclear"", AG326)) = 1, VALUE(REGEXEXTRACT(AG326,""\d+"")), AG326)"),"ND")</f>
        <v>ND</v>
      </c>
      <c r="BA326" s="195" t="s">
        <v>324</v>
      </c>
      <c r="BB326" s="195" t="str">
        <f ca="1">IFERROR(__xludf.DUMMYFUNCTION("IF(IFERROR(SEARCH(""Unclear"", AJ326)) = 1, VALUE(REGEXEXTRACT(AJ326,""\d+"")), AJ326)"),"ND")</f>
        <v>ND</v>
      </c>
      <c r="BC326" s="195" t="s">
        <v>324</v>
      </c>
      <c r="BD326" s="195" t="b">
        <f t="shared" si="2"/>
        <v>0</v>
      </c>
      <c r="BE326" s="195" t="b">
        <f t="shared" ref="BE326:BF326" si="346">IF(IFERROR(FIND("ND",AI326),0),FALSE,TRUE)</f>
        <v>0</v>
      </c>
      <c r="BF326" s="195" t="b">
        <f t="shared" si="346"/>
        <v>0</v>
      </c>
    </row>
    <row r="327" spans="1:58" ht="37.5" customHeight="1">
      <c r="A327" s="225" t="s">
        <v>2795</v>
      </c>
      <c r="B327" s="226">
        <v>1999</v>
      </c>
      <c r="C327" s="195" t="s">
        <v>952</v>
      </c>
      <c r="D327" s="4" t="s">
        <v>2807</v>
      </c>
      <c r="E327" s="225">
        <v>10191238</v>
      </c>
      <c r="F327" s="253" t="s">
        <v>2808</v>
      </c>
      <c r="G327" s="195" t="str">
        <f t="shared" si="89"/>
        <v>Al-Tawfiq 1999</v>
      </c>
      <c r="H327" s="217">
        <v>1999</v>
      </c>
      <c r="I327" s="195"/>
      <c r="J327" s="195"/>
      <c r="K327" s="195">
        <v>7</v>
      </c>
      <c r="L327" s="4" t="s">
        <v>788</v>
      </c>
      <c r="M327" s="195">
        <v>3</v>
      </c>
      <c r="N327" s="195">
        <v>4</v>
      </c>
      <c r="O327" s="195" t="s">
        <v>324</v>
      </c>
      <c r="P327" s="195" t="s">
        <v>324</v>
      </c>
      <c r="Q327" s="195" t="s">
        <v>324</v>
      </c>
      <c r="R327" s="195" t="s">
        <v>324</v>
      </c>
      <c r="S327" s="195" t="s">
        <v>324</v>
      </c>
      <c r="T327" s="195">
        <v>31.7</v>
      </c>
      <c r="U327" s="195">
        <v>6.6</v>
      </c>
      <c r="V327" s="195" t="s">
        <v>2809</v>
      </c>
      <c r="W327" s="195"/>
      <c r="X327" s="195">
        <v>7</v>
      </c>
      <c r="Y327" s="195"/>
      <c r="Z327" s="195" t="s">
        <v>2790</v>
      </c>
      <c r="AA327" s="195"/>
      <c r="AB327" s="195">
        <v>0</v>
      </c>
      <c r="AC327" s="199"/>
      <c r="AD327" s="195" t="s">
        <v>322</v>
      </c>
      <c r="AE327" s="195" t="s">
        <v>332</v>
      </c>
      <c r="AF327" s="195" t="s">
        <v>1472</v>
      </c>
      <c r="AG327" s="195" t="s">
        <v>324</v>
      </c>
      <c r="AH327" s="195" t="s">
        <v>316</v>
      </c>
      <c r="AI327" s="195" t="s">
        <v>324</v>
      </c>
      <c r="AJ327" s="195" t="s">
        <v>324</v>
      </c>
      <c r="AK327" s="195"/>
      <c r="AL327" s="195" t="s">
        <v>322</v>
      </c>
      <c r="AM327" s="199"/>
      <c r="AN327" s="195" t="s">
        <v>2803</v>
      </c>
      <c r="AO327" s="195" t="s">
        <v>2810</v>
      </c>
      <c r="AP327" s="195" t="s">
        <v>2811</v>
      </c>
      <c r="AQ327" s="195" t="s">
        <v>324</v>
      </c>
      <c r="AR327" s="195" t="s">
        <v>958</v>
      </c>
      <c r="AS327" s="195" t="s">
        <v>308</v>
      </c>
      <c r="AT327" s="199"/>
      <c r="AU327" s="195" t="s">
        <v>2812</v>
      </c>
      <c r="AV327" s="195" t="s">
        <v>9</v>
      </c>
      <c r="AW327" s="195" t="str">
        <f ca="1">IFERROR(__xludf.DUMMYFUNCTION("IF(AND(IF(AS327=""Yes"",True,False),NOT(IFERROR(REGEXMATCH(AV327,ExclusionCategories),FALSE))),""Yes"", ""No"")"),"Yes")</f>
        <v>Yes</v>
      </c>
      <c r="AX327" s="195">
        <f ca="1">IFERROR(__xludf.DUMMYFUNCTION("IF(IFERROR(SEARCH(""Unclear"", Z327)) = 1, VALUE(REGEXEXTRACT(Z327,""\d+"")), Z327)"),6)</f>
        <v>6</v>
      </c>
      <c r="AY327" s="195">
        <v>7</v>
      </c>
      <c r="AZ327" s="195" t="str">
        <f ca="1">IFERROR(__xludf.DUMMYFUNCTION("IF(IFERROR(SEARCH(""Unclear"", AG327)) = 1, VALUE(REGEXEXTRACT(AG327,""\d+"")), AG327)"),"ND")</f>
        <v>ND</v>
      </c>
      <c r="BA327" s="195" t="s">
        <v>324</v>
      </c>
      <c r="BB327" s="195" t="str">
        <f ca="1">IFERROR(__xludf.DUMMYFUNCTION("IF(IFERROR(SEARCH(""Unclear"", AJ327)) = 1, VALUE(REGEXEXTRACT(AJ327,""\d+"")), AJ327)"),"ND")</f>
        <v>ND</v>
      </c>
      <c r="BC327" s="195" t="s">
        <v>324</v>
      </c>
      <c r="BD327" s="195" t="b">
        <f t="shared" si="2"/>
        <v>0</v>
      </c>
      <c r="BE327" s="195" t="b">
        <f t="shared" ref="BE327:BF327" si="347">IF(IFERROR(FIND("ND",AI327),0),FALSE,TRUE)</f>
        <v>0</v>
      </c>
      <c r="BF327" s="195" t="b">
        <f t="shared" si="347"/>
        <v>0</v>
      </c>
    </row>
    <row r="328" spans="1:58" ht="37.5" customHeight="1">
      <c r="A328" s="225" t="s">
        <v>2795</v>
      </c>
      <c r="B328" s="226">
        <v>1999</v>
      </c>
      <c r="C328" s="195" t="s">
        <v>952</v>
      </c>
      <c r="D328" s="4" t="s">
        <v>2807</v>
      </c>
      <c r="E328" s="225">
        <v>10191238</v>
      </c>
      <c r="F328" s="253" t="s">
        <v>2808</v>
      </c>
      <c r="G328" s="195" t="str">
        <f t="shared" si="89"/>
        <v>Al-Tawfiq 1999</v>
      </c>
      <c r="H328" s="217">
        <v>1999</v>
      </c>
      <c r="I328" s="195"/>
      <c r="J328" s="195"/>
      <c r="K328" s="195">
        <v>7</v>
      </c>
      <c r="L328" s="4" t="s">
        <v>2813</v>
      </c>
      <c r="M328" s="195">
        <v>5</v>
      </c>
      <c r="N328" s="195">
        <v>2</v>
      </c>
      <c r="O328" s="195" t="s">
        <v>324</v>
      </c>
      <c r="P328" s="195" t="s">
        <v>324</v>
      </c>
      <c r="Q328" s="195" t="s">
        <v>324</v>
      </c>
      <c r="R328" s="195" t="s">
        <v>324</v>
      </c>
      <c r="S328" s="195" t="s">
        <v>324</v>
      </c>
      <c r="T328" s="195">
        <v>32.799999999999997</v>
      </c>
      <c r="U328" s="195">
        <v>6</v>
      </c>
      <c r="V328" s="195" t="s">
        <v>2814</v>
      </c>
      <c r="W328" s="195"/>
      <c r="X328" s="195">
        <v>7</v>
      </c>
      <c r="Y328" s="195"/>
      <c r="Z328" s="195">
        <v>7</v>
      </c>
      <c r="AA328" s="195"/>
      <c r="AB328" s="195">
        <v>0</v>
      </c>
      <c r="AC328" s="199"/>
      <c r="AD328" s="195" t="s">
        <v>322</v>
      </c>
      <c r="AE328" s="195" t="s">
        <v>332</v>
      </c>
      <c r="AF328" s="195" t="s">
        <v>1472</v>
      </c>
      <c r="AG328" s="195" t="s">
        <v>324</v>
      </c>
      <c r="AH328" s="195" t="s">
        <v>316</v>
      </c>
      <c r="AI328" s="195" t="s">
        <v>324</v>
      </c>
      <c r="AJ328" s="195" t="s">
        <v>324</v>
      </c>
      <c r="AK328" s="195"/>
      <c r="AL328" s="195" t="s">
        <v>322</v>
      </c>
      <c r="AM328" s="199"/>
      <c r="AN328" s="195" t="s">
        <v>2803</v>
      </c>
      <c r="AO328" s="195" t="s">
        <v>2810</v>
      </c>
      <c r="AP328" s="195" t="s">
        <v>2811</v>
      </c>
      <c r="AQ328" s="195" t="s">
        <v>324</v>
      </c>
      <c r="AR328" s="195" t="s">
        <v>958</v>
      </c>
      <c r="AS328" s="195" t="s">
        <v>308</v>
      </c>
      <c r="AT328" s="199"/>
      <c r="AU328" s="195" t="s">
        <v>2812</v>
      </c>
      <c r="AV328" s="195" t="s">
        <v>15</v>
      </c>
      <c r="AW328" s="195" t="str">
        <f ca="1">IFERROR(__xludf.DUMMYFUNCTION("IF(AND(IF(AS328=""Yes"",True,False),NOT(IFERROR(REGEXMATCH(AV328,ExclusionCategories),FALSE))),""Yes"", ""No"")"),"No")</f>
        <v>No</v>
      </c>
      <c r="AX328" s="195">
        <f ca="1">IFERROR(__xludf.DUMMYFUNCTION("IF(IFERROR(SEARCH(""Unclear"", Z328)) = 1, VALUE(REGEXEXTRACT(Z328,""\d+"")), Z328)"),7)</f>
        <v>7</v>
      </c>
      <c r="AY328" s="195">
        <v>7</v>
      </c>
      <c r="AZ328" s="195" t="str">
        <f ca="1">IFERROR(__xludf.DUMMYFUNCTION("IF(IFERROR(SEARCH(""Unclear"", AG328)) = 1, VALUE(REGEXEXTRACT(AG328,""\d+"")), AG328)"),"ND")</f>
        <v>ND</v>
      </c>
      <c r="BA328" s="195" t="s">
        <v>324</v>
      </c>
      <c r="BB328" s="195" t="str">
        <f ca="1">IFERROR(__xludf.DUMMYFUNCTION("IF(IFERROR(SEARCH(""Unclear"", AJ328)) = 1, VALUE(REGEXEXTRACT(AJ328,""\d+"")), AJ328)"),"ND")</f>
        <v>ND</v>
      </c>
      <c r="BC328" s="195" t="s">
        <v>324</v>
      </c>
      <c r="BD328" s="195" t="b">
        <f t="shared" si="2"/>
        <v>0</v>
      </c>
      <c r="BE328" s="195" t="b">
        <f t="shared" ref="BE328:BF328" si="348">IF(IFERROR(FIND("ND",AI328),0),FALSE,TRUE)</f>
        <v>0</v>
      </c>
      <c r="BF328" s="195" t="b">
        <f t="shared" si="348"/>
        <v>0</v>
      </c>
    </row>
    <row r="329" spans="1:58" ht="37.5" customHeight="1">
      <c r="A329" s="225" t="s">
        <v>2795</v>
      </c>
      <c r="B329" s="226">
        <v>2000</v>
      </c>
      <c r="C329" s="195" t="s">
        <v>952</v>
      </c>
      <c r="D329" s="4" t="s">
        <v>2815</v>
      </c>
      <c r="E329" s="225">
        <v>10720550</v>
      </c>
      <c r="F329" s="253" t="s">
        <v>2816</v>
      </c>
      <c r="G329" s="195" t="str">
        <f t="shared" si="89"/>
        <v>Al-Tawfiq 2000a</v>
      </c>
      <c r="H329" s="217">
        <v>2000</v>
      </c>
      <c r="I329" s="195"/>
      <c r="J329" s="195"/>
      <c r="K329" s="195">
        <v>7</v>
      </c>
      <c r="L329" s="4"/>
      <c r="M329" s="195">
        <v>0</v>
      </c>
      <c r="N329" s="195">
        <v>7</v>
      </c>
      <c r="O329" s="195" t="s">
        <v>324</v>
      </c>
      <c r="P329" s="195">
        <v>22</v>
      </c>
      <c r="Q329" s="195">
        <v>42</v>
      </c>
      <c r="R329" s="195" t="s">
        <v>324</v>
      </c>
      <c r="S329" s="195" t="s">
        <v>324</v>
      </c>
      <c r="T329" s="195">
        <v>28.4</v>
      </c>
      <c r="U329" s="195">
        <v>7.8</v>
      </c>
      <c r="V329" s="195" t="s">
        <v>2817</v>
      </c>
      <c r="W329" s="195"/>
      <c r="X329" s="195">
        <v>7</v>
      </c>
      <c r="Y329" s="195"/>
      <c r="Z329" s="195">
        <v>7</v>
      </c>
      <c r="AA329" s="195"/>
      <c r="AB329" s="195">
        <v>0</v>
      </c>
      <c r="AC329" s="199"/>
      <c r="AD329" s="195" t="s">
        <v>322</v>
      </c>
      <c r="AE329" s="195" t="s">
        <v>2818</v>
      </c>
      <c r="AF329" s="195" t="s">
        <v>1472</v>
      </c>
      <c r="AG329" s="195" t="s">
        <v>324</v>
      </c>
      <c r="AH329" s="195" t="s">
        <v>316</v>
      </c>
      <c r="AI329" s="195" t="s">
        <v>324</v>
      </c>
      <c r="AJ329" s="195" t="s">
        <v>324</v>
      </c>
      <c r="AK329" s="195"/>
      <c r="AL329" s="195" t="s">
        <v>322</v>
      </c>
      <c r="AM329" s="199"/>
      <c r="AN329" s="195" t="s">
        <v>2803</v>
      </c>
      <c r="AO329" s="195" t="s">
        <v>2819</v>
      </c>
      <c r="AP329" s="195" t="s">
        <v>2820</v>
      </c>
      <c r="AQ329" s="195" t="s">
        <v>2821</v>
      </c>
      <c r="AR329" s="195" t="s">
        <v>958</v>
      </c>
      <c r="AS329" s="195" t="s">
        <v>308</v>
      </c>
      <c r="AT329" s="199"/>
      <c r="AU329" s="195" t="s">
        <v>2822</v>
      </c>
      <c r="AV329" s="195" t="s">
        <v>9</v>
      </c>
      <c r="AW329" s="195" t="str">
        <f ca="1">IFERROR(__xludf.DUMMYFUNCTION("IF(AND(IF(AS329=""Yes"",True,False),NOT(IFERROR(REGEXMATCH(AV329,ExclusionCategories),FALSE))),""Yes"", ""No"")"),"Yes")</f>
        <v>Yes</v>
      </c>
      <c r="AX329" s="195">
        <f ca="1">IFERROR(__xludf.DUMMYFUNCTION("IF(IFERROR(SEARCH(""Unclear"", Z329)) = 1, VALUE(REGEXEXTRACT(Z329,""\d+"")), Z329)"),7)</f>
        <v>7</v>
      </c>
      <c r="AY329" s="195">
        <v>7</v>
      </c>
      <c r="AZ329" s="195" t="str">
        <f ca="1">IFERROR(__xludf.DUMMYFUNCTION("IF(IFERROR(SEARCH(""Unclear"", AG329)) = 1, VALUE(REGEXEXTRACT(AG329,""\d+"")), AG329)"),"ND")</f>
        <v>ND</v>
      </c>
      <c r="BA329" s="195" t="s">
        <v>324</v>
      </c>
      <c r="BB329" s="195" t="str">
        <f ca="1">IFERROR(__xludf.DUMMYFUNCTION("IF(IFERROR(SEARCH(""Unclear"", AJ329)) = 1, VALUE(REGEXEXTRACT(AJ329,""\d+"")), AJ329)"),"ND")</f>
        <v>ND</v>
      </c>
      <c r="BC329" s="195" t="s">
        <v>324</v>
      </c>
      <c r="BD329" s="195" t="b">
        <f t="shared" si="2"/>
        <v>0</v>
      </c>
      <c r="BE329" s="195" t="b">
        <f t="shared" ref="BE329:BF329" si="349">IF(IFERROR(FIND("ND",AI329),0),FALSE,TRUE)</f>
        <v>0</v>
      </c>
      <c r="BF329" s="195" t="b">
        <f t="shared" si="349"/>
        <v>0</v>
      </c>
    </row>
    <row r="330" spans="1:58" ht="37.5" customHeight="1">
      <c r="A330" s="225" t="s">
        <v>2795</v>
      </c>
      <c r="B330" s="226">
        <v>2000</v>
      </c>
      <c r="C330" s="195" t="s">
        <v>952</v>
      </c>
      <c r="D330" s="4" t="s">
        <v>2823</v>
      </c>
      <c r="E330" s="225">
        <v>10720530</v>
      </c>
      <c r="F330" s="253" t="s">
        <v>2824</v>
      </c>
      <c r="G330" s="195" t="str">
        <f t="shared" si="89"/>
        <v>Al-Tawfiq 2000b</v>
      </c>
      <c r="H330" s="217">
        <v>2000</v>
      </c>
      <c r="I330" s="195"/>
      <c r="J330" s="195"/>
      <c r="K330" s="195">
        <v>9</v>
      </c>
      <c r="L330" s="4"/>
      <c r="M330" s="195">
        <v>4</v>
      </c>
      <c r="N330" s="195">
        <v>5</v>
      </c>
      <c r="O330" s="195" t="s">
        <v>324</v>
      </c>
      <c r="P330" s="195">
        <v>23</v>
      </c>
      <c r="Q330" s="195">
        <v>57</v>
      </c>
      <c r="R330" s="195" t="s">
        <v>324</v>
      </c>
      <c r="S330" s="195" t="s">
        <v>324</v>
      </c>
      <c r="T330" s="195">
        <v>36.6</v>
      </c>
      <c r="U330" s="195">
        <v>11.6</v>
      </c>
      <c r="V330" s="195" t="s">
        <v>2825</v>
      </c>
      <c r="W330" s="195"/>
      <c r="X330" s="195">
        <v>9</v>
      </c>
      <c r="Y330" s="195"/>
      <c r="Z330" s="195">
        <v>9</v>
      </c>
      <c r="AA330" s="195"/>
      <c r="AB330" s="195">
        <v>0</v>
      </c>
      <c r="AC330" s="199"/>
      <c r="AD330" s="195" t="s">
        <v>322</v>
      </c>
      <c r="AE330" s="195" t="s">
        <v>332</v>
      </c>
      <c r="AF330" s="195" t="s">
        <v>1472</v>
      </c>
      <c r="AG330" s="195" t="s">
        <v>324</v>
      </c>
      <c r="AH330" s="195" t="s">
        <v>316</v>
      </c>
      <c r="AI330" s="195" t="s">
        <v>324</v>
      </c>
      <c r="AJ330" s="195" t="s">
        <v>324</v>
      </c>
      <c r="AK330" s="195"/>
      <c r="AL330" s="195" t="s">
        <v>322</v>
      </c>
      <c r="AM330" s="199"/>
      <c r="AN330" s="195" t="s">
        <v>2826</v>
      </c>
      <c r="AO330" s="195" t="s">
        <v>2827</v>
      </c>
      <c r="AP330" s="195" t="s">
        <v>2828</v>
      </c>
      <c r="AQ330" s="195" t="s">
        <v>2829</v>
      </c>
      <c r="AR330" s="195" t="s">
        <v>958</v>
      </c>
      <c r="AS330" s="195" t="s">
        <v>308</v>
      </c>
      <c r="AT330" s="199"/>
      <c r="AU330" s="195" t="s">
        <v>2830</v>
      </c>
      <c r="AV330" s="195" t="s">
        <v>9</v>
      </c>
      <c r="AW330" s="195" t="str">
        <f ca="1">IFERROR(__xludf.DUMMYFUNCTION("IF(AND(IF(AS330=""Yes"",True,False),NOT(IFERROR(REGEXMATCH(AV330,ExclusionCategories),FALSE))),""Yes"", ""No"")"),"Yes")</f>
        <v>Yes</v>
      </c>
      <c r="AX330" s="195">
        <f ca="1">IFERROR(__xludf.DUMMYFUNCTION("IF(IFERROR(SEARCH(""Unclear"", Z330)) = 1, VALUE(REGEXEXTRACT(Z330,""\d+"")), Z330)"),9)</f>
        <v>9</v>
      </c>
      <c r="AY330" s="195">
        <v>9</v>
      </c>
      <c r="AZ330" s="195" t="str">
        <f ca="1">IFERROR(__xludf.DUMMYFUNCTION("IF(IFERROR(SEARCH(""Unclear"", AG330)) = 1, VALUE(REGEXEXTRACT(AG330,""\d+"")), AG330)"),"ND")</f>
        <v>ND</v>
      </c>
      <c r="BA330" s="195" t="s">
        <v>324</v>
      </c>
      <c r="BB330" s="195" t="str">
        <f ca="1">IFERROR(__xludf.DUMMYFUNCTION("IF(IFERROR(SEARCH(""Unclear"", AJ330)) = 1, VALUE(REGEXEXTRACT(AJ330,""\d+"")), AJ330)"),"ND")</f>
        <v>ND</v>
      </c>
      <c r="BC330" s="195" t="s">
        <v>324</v>
      </c>
      <c r="BD330" s="195" t="b">
        <f t="shared" si="2"/>
        <v>0</v>
      </c>
      <c r="BE330" s="195" t="b">
        <f t="shared" ref="BE330:BF330" si="350">IF(IFERROR(FIND("ND",AI330),0),FALSE,TRUE)</f>
        <v>0</v>
      </c>
      <c r="BF330" s="195" t="b">
        <f t="shared" si="350"/>
        <v>0</v>
      </c>
    </row>
    <row r="331" spans="1:58" ht="37.5" customHeight="1">
      <c r="A331" s="225" t="s">
        <v>2831</v>
      </c>
      <c r="B331" s="226">
        <v>2008</v>
      </c>
      <c r="C331" s="195" t="s">
        <v>952</v>
      </c>
      <c r="D331" s="4" t="s">
        <v>2832</v>
      </c>
      <c r="E331" s="225">
        <v>18422457</v>
      </c>
      <c r="F331" s="253" t="s">
        <v>2833</v>
      </c>
      <c r="G331" s="195" t="str">
        <f t="shared" si="89"/>
        <v>Banks 2008</v>
      </c>
      <c r="H331" s="217">
        <v>2008</v>
      </c>
      <c r="I331" s="195"/>
      <c r="J331" s="195"/>
      <c r="K331" s="195">
        <v>5</v>
      </c>
      <c r="L331" s="4"/>
      <c r="M331" s="195">
        <v>3</v>
      </c>
      <c r="N331" s="195">
        <v>2</v>
      </c>
      <c r="O331" s="195" t="s">
        <v>324</v>
      </c>
      <c r="P331" s="195">
        <v>25</v>
      </c>
      <c r="Q331" s="195">
        <v>52</v>
      </c>
      <c r="R331" s="195">
        <v>22</v>
      </c>
      <c r="S331" s="195" t="s">
        <v>324</v>
      </c>
      <c r="T331" s="195">
        <v>31.6</v>
      </c>
      <c r="U331" s="195">
        <v>11.4</v>
      </c>
      <c r="V331" s="195" t="s">
        <v>2817</v>
      </c>
      <c r="W331" s="195"/>
      <c r="X331" s="195">
        <v>5</v>
      </c>
      <c r="Y331" s="195"/>
      <c r="Z331" s="195">
        <v>5</v>
      </c>
      <c r="AA331" s="195"/>
      <c r="AB331" s="195">
        <v>0</v>
      </c>
      <c r="AC331" s="199"/>
      <c r="AD331" s="195" t="s">
        <v>322</v>
      </c>
      <c r="AE331" s="195" t="s">
        <v>332</v>
      </c>
      <c r="AF331" s="195" t="s">
        <v>1472</v>
      </c>
      <c r="AG331" s="195" t="s">
        <v>324</v>
      </c>
      <c r="AH331" s="195" t="s">
        <v>316</v>
      </c>
      <c r="AI331" s="195" t="s">
        <v>324</v>
      </c>
      <c r="AJ331" s="195" t="s">
        <v>324</v>
      </c>
      <c r="AK331" s="195"/>
      <c r="AL331" s="195" t="s">
        <v>322</v>
      </c>
      <c r="AM331" s="199"/>
      <c r="AN331" s="195" t="s">
        <v>2803</v>
      </c>
      <c r="AO331" s="195" t="s">
        <v>2834</v>
      </c>
      <c r="AP331" s="195" t="s">
        <v>2835</v>
      </c>
      <c r="AQ331" s="195" t="s">
        <v>324</v>
      </c>
      <c r="AR331" s="195" t="s">
        <v>958</v>
      </c>
      <c r="AS331" s="195" t="s">
        <v>308</v>
      </c>
      <c r="AT331" s="199"/>
      <c r="AU331" s="195" t="s">
        <v>2836</v>
      </c>
      <c r="AV331" s="195" t="s">
        <v>9</v>
      </c>
      <c r="AW331" s="195" t="str">
        <f ca="1">IFERROR(__xludf.DUMMYFUNCTION("IF(AND(IF(AS331=""Yes"",True,False),NOT(IFERROR(REGEXMATCH(AV331,ExclusionCategories),FALSE))),""Yes"", ""No"")"),"Yes")</f>
        <v>Yes</v>
      </c>
      <c r="AX331" s="195">
        <f ca="1">IFERROR(__xludf.DUMMYFUNCTION("IF(IFERROR(SEARCH(""Unclear"", Z331)) = 1, VALUE(REGEXEXTRACT(Z331,""\d+"")), Z331)"),5)</f>
        <v>5</v>
      </c>
      <c r="AY331" s="195">
        <v>5</v>
      </c>
      <c r="AZ331" s="195" t="str">
        <f ca="1">IFERROR(__xludf.DUMMYFUNCTION("IF(IFERROR(SEARCH(""Unclear"", AG331)) = 1, VALUE(REGEXEXTRACT(AG331,""\d+"")), AG331)"),"ND")</f>
        <v>ND</v>
      </c>
      <c r="BA331" s="195" t="s">
        <v>324</v>
      </c>
      <c r="BB331" s="195" t="str">
        <f ca="1">IFERROR(__xludf.DUMMYFUNCTION("IF(IFERROR(SEARCH(""Unclear"", AJ331)) = 1, VALUE(REGEXEXTRACT(AJ331,""\d+"")), AJ331)"),"ND")</f>
        <v>ND</v>
      </c>
      <c r="BC331" s="195" t="s">
        <v>324</v>
      </c>
      <c r="BD331" s="195" t="b">
        <f t="shared" si="2"/>
        <v>0</v>
      </c>
      <c r="BE331" s="195" t="b">
        <f t="shared" ref="BE331:BF331" si="351">IF(IFERROR(FIND("ND",AI331),0),FALSE,TRUE)</f>
        <v>0</v>
      </c>
      <c r="BF331" s="195" t="b">
        <f t="shared" si="351"/>
        <v>0</v>
      </c>
    </row>
    <row r="332" spans="1:58" ht="37.5" customHeight="1">
      <c r="A332" s="225" t="s">
        <v>2837</v>
      </c>
      <c r="B332" s="226">
        <v>2009</v>
      </c>
      <c r="C332" s="195" t="s">
        <v>952</v>
      </c>
      <c r="D332" s="4" t="s">
        <v>2838</v>
      </c>
      <c r="E332" s="225">
        <v>19199547</v>
      </c>
      <c r="F332" s="254" t="s">
        <v>2839</v>
      </c>
      <c r="G332" s="195" t="str">
        <f t="shared" si="89"/>
        <v>Bauer 2009</v>
      </c>
      <c r="H332" s="217">
        <v>2009</v>
      </c>
      <c r="I332" s="195"/>
      <c r="J332" s="195"/>
      <c r="K332" s="195">
        <v>6</v>
      </c>
      <c r="L332" s="4"/>
      <c r="M332" s="195">
        <v>5</v>
      </c>
      <c r="N332" s="195">
        <v>1</v>
      </c>
      <c r="O332" s="195" t="s">
        <v>324</v>
      </c>
      <c r="P332" s="195">
        <v>21</v>
      </c>
      <c r="Q332" s="195">
        <v>54</v>
      </c>
      <c r="R332" s="195" t="s">
        <v>324</v>
      </c>
      <c r="S332" s="195" t="s">
        <v>324</v>
      </c>
      <c r="T332" s="195">
        <v>32</v>
      </c>
      <c r="U332" s="195">
        <v>14</v>
      </c>
      <c r="V332" s="195" t="s">
        <v>2817</v>
      </c>
      <c r="W332" s="195"/>
      <c r="X332" s="195">
        <v>6</v>
      </c>
      <c r="Y332" s="195"/>
      <c r="Z332" s="195">
        <v>6</v>
      </c>
      <c r="AA332" s="195"/>
      <c r="AB332" s="195">
        <v>0</v>
      </c>
      <c r="AC332" s="199"/>
      <c r="AD332" s="195" t="s">
        <v>322</v>
      </c>
      <c r="AE332" s="195" t="s">
        <v>332</v>
      </c>
      <c r="AF332" s="195" t="s">
        <v>1472</v>
      </c>
      <c r="AG332" s="195" t="s">
        <v>324</v>
      </c>
      <c r="AH332" s="195" t="s">
        <v>316</v>
      </c>
      <c r="AI332" s="195" t="s">
        <v>324</v>
      </c>
      <c r="AJ332" s="195" t="s">
        <v>324</v>
      </c>
      <c r="AK332" s="195"/>
      <c r="AL332" s="195" t="s">
        <v>322</v>
      </c>
      <c r="AM332" s="199"/>
      <c r="AN332" s="195" t="s">
        <v>332</v>
      </c>
      <c r="AO332" s="195" t="s">
        <v>2840</v>
      </c>
      <c r="AP332" s="195" t="s">
        <v>2841</v>
      </c>
      <c r="AQ332" s="195" t="s">
        <v>324</v>
      </c>
      <c r="AR332" s="195" t="s">
        <v>958</v>
      </c>
      <c r="AS332" s="195" t="s">
        <v>308</v>
      </c>
      <c r="AT332" s="199"/>
      <c r="AU332" s="195" t="s">
        <v>2842</v>
      </c>
      <c r="AV332" s="195" t="s">
        <v>9</v>
      </c>
      <c r="AW332" s="195" t="str">
        <f ca="1">IFERROR(__xludf.DUMMYFUNCTION("IF(AND(IF(AS332=""Yes"",True,False),NOT(IFERROR(REGEXMATCH(AV332,ExclusionCategories),FALSE))),""Yes"", ""No"")"),"Yes")</f>
        <v>Yes</v>
      </c>
      <c r="AX332" s="195">
        <f ca="1">IFERROR(__xludf.DUMMYFUNCTION("IF(IFERROR(SEARCH(""Unclear"", Z332)) = 1, VALUE(REGEXEXTRACT(Z332,""\d+"")), Z332)"),6)</f>
        <v>6</v>
      </c>
      <c r="AY332" s="195">
        <v>6</v>
      </c>
      <c r="AZ332" s="195" t="str">
        <f ca="1">IFERROR(__xludf.DUMMYFUNCTION("IF(IFERROR(SEARCH(""Unclear"", AG332)) = 1, VALUE(REGEXEXTRACT(AG332,""\d+"")), AG332)"),"ND")</f>
        <v>ND</v>
      </c>
      <c r="BA332" s="195" t="s">
        <v>324</v>
      </c>
      <c r="BB332" s="195" t="str">
        <f ca="1">IFERROR(__xludf.DUMMYFUNCTION("IF(IFERROR(SEARCH(""Unclear"", AJ332)) = 1, VALUE(REGEXEXTRACT(AJ332,""\d+"")), AJ332)"),"ND")</f>
        <v>ND</v>
      </c>
      <c r="BC332" s="195" t="s">
        <v>324</v>
      </c>
      <c r="BD332" s="195" t="b">
        <f t="shared" si="2"/>
        <v>0</v>
      </c>
      <c r="BE332" s="195" t="b">
        <f t="shared" ref="BE332:BF332" si="352">IF(IFERROR(FIND("ND",AI332),0),FALSE,TRUE)</f>
        <v>0</v>
      </c>
      <c r="BF332" s="195" t="b">
        <f t="shared" si="352"/>
        <v>0</v>
      </c>
    </row>
    <row r="333" spans="1:58" ht="37.5" customHeight="1">
      <c r="A333" s="225" t="s">
        <v>2843</v>
      </c>
      <c r="B333" s="226">
        <v>2001</v>
      </c>
      <c r="C333" s="195" t="s">
        <v>952</v>
      </c>
      <c r="D333" s="4" t="s">
        <v>2844</v>
      </c>
      <c r="E333" s="225">
        <v>11179317</v>
      </c>
      <c r="F333" s="254" t="s">
        <v>2845</v>
      </c>
      <c r="G333" s="195" t="str">
        <f t="shared" si="89"/>
        <v>Bong 2001</v>
      </c>
      <c r="H333" s="217">
        <v>2001</v>
      </c>
      <c r="I333" s="195"/>
      <c r="J333" s="195"/>
      <c r="K333" s="195">
        <v>7</v>
      </c>
      <c r="L333" s="4"/>
      <c r="M333" s="195">
        <v>3</v>
      </c>
      <c r="N333" s="195">
        <v>4</v>
      </c>
      <c r="O333" s="195" t="s">
        <v>324</v>
      </c>
      <c r="P333" s="195">
        <v>21</v>
      </c>
      <c r="Q333" s="195">
        <v>46</v>
      </c>
      <c r="R333" s="195">
        <v>18</v>
      </c>
      <c r="S333" s="195" t="s">
        <v>324</v>
      </c>
      <c r="T333" s="195">
        <v>33.9</v>
      </c>
      <c r="U333" s="195">
        <v>8.3000000000000007</v>
      </c>
      <c r="V333" s="195" t="s">
        <v>2846</v>
      </c>
      <c r="W333" s="195" t="s">
        <v>2847</v>
      </c>
      <c r="X333" s="195">
        <v>6</v>
      </c>
      <c r="Y333" s="195"/>
      <c r="Z333" s="195">
        <v>6</v>
      </c>
      <c r="AA333" s="195"/>
      <c r="AB333" s="195">
        <v>0</v>
      </c>
      <c r="AC333" s="199"/>
      <c r="AD333" s="195" t="s">
        <v>322</v>
      </c>
      <c r="AE333" s="195" t="s">
        <v>332</v>
      </c>
      <c r="AF333" s="195" t="s">
        <v>1472</v>
      </c>
      <c r="AG333" s="195" t="s">
        <v>324</v>
      </c>
      <c r="AH333" s="195" t="s">
        <v>316</v>
      </c>
      <c r="AI333" s="195" t="s">
        <v>324</v>
      </c>
      <c r="AJ333" s="195" t="s">
        <v>324</v>
      </c>
      <c r="AK333" s="195"/>
      <c r="AL333" s="195" t="s">
        <v>322</v>
      </c>
      <c r="AM333" s="199"/>
      <c r="AN333" s="195" t="s">
        <v>2803</v>
      </c>
      <c r="AO333" s="195" t="s">
        <v>2848</v>
      </c>
      <c r="AP333" s="195" t="s">
        <v>2849</v>
      </c>
      <c r="AQ333" s="195" t="s">
        <v>324</v>
      </c>
      <c r="AR333" s="195" t="s">
        <v>958</v>
      </c>
      <c r="AS333" s="195" t="s">
        <v>308</v>
      </c>
      <c r="AT333" s="199"/>
      <c r="AU333" s="195" t="s">
        <v>2850</v>
      </c>
      <c r="AV333" s="195" t="s">
        <v>9</v>
      </c>
      <c r="AW333" s="195" t="str">
        <f ca="1">IFERROR(__xludf.DUMMYFUNCTION("IF(AND(IF(AS333=""Yes"",True,False),NOT(IFERROR(REGEXMATCH(AV333,ExclusionCategories),FALSE))),""Yes"", ""No"")"),"Yes")</f>
        <v>Yes</v>
      </c>
      <c r="AX333" s="195">
        <f ca="1">IFERROR(__xludf.DUMMYFUNCTION("IF(IFERROR(SEARCH(""Unclear"", Z333)) = 1, VALUE(REGEXEXTRACT(Z333,""\d+"")), Z333)"),6)</f>
        <v>6</v>
      </c>
      <c r="AY333" s="195">
        <v>6</v>
      </c>
      <c r="AZ333" s="195" t="str">
        <f ca="1">IFERROR(__xludf.DUMMYFUNCTION("IF(IFERROR(SEARCH(""Unclear"", AG333)) = 1, VALUE(REGEXEXTRACT(AG333,""\d+"")), AG333)"),"ND")</f>
        <v>ND</v>
      </c>
      <c r="BA333" s="195" t="s">
        <v>324</v>
      </c>
      <c r="BB333" s="195" t="str">
        <f ca="1">IFERROR(__xludf.DUMMYFUNCTION("IF(IFERROR(SEARCH(""Unclear"", AJ333)) = 1, VALUE(REGEXEXTRACT(AJ333,""\d+"")), AJ333)"),"ND")</f>
        <v>ND</v>
      </c>
      <c r="BC333" s="195" t="s">
        <v>324</v>
      </c>
      <c r="BD333" s="195" t="b">
        <f t="shared" si="2"/>
        <v>0</v>
      </c>
      <c r="BE333" s="195" t="b">
        <f t="shared" ref="BE333:BF333" si="353">IF(IFERROR(FIND("ND",AI333),0),FALSE,TRUE)</f>
        <v>0</v>
      </c>
      <c r="BF333" s="195" t="b">
        <f t="shared" si="353"/>
        <v>0</v>
      </c>
    </row>
    <row r="334" spans="1:58" ht="37.5" customHeight="1">
      <c r="A334" s="225" t="s">
        <v>2843</v>
      </c>
      <c r="B334" s="226">
        <v>2002</v>
      </c>
      <c r="C334" s="195" t="s">
        <v>952</v>
      </c>
      <c r="D334" s="4" t="s">
        <v>2851</v>
      </c>
      <c r="E334" s="225">
        <v>11854222</v>
      </c>
      <c r="F334" s="253" t="s">
        <v>2852</v>
      </c>
      <c r="G334" s="195" t="str">
        <f t="shared" si="89"/>
        <v>Bong 2002b</v>
      </c>
      <c r="H334" s="217">
        <v>2002</v>
      </c>
      <c r="I334" s="195"/>
      <c r="J334" s="195"/>
      <c r="K334" s="195">
        <v>6</v>
      </c>
      <c r="L334" s="4"/>
      <c r="M334" s="195">
        <v>2</v>
      </c>
      <c r="N334" s="195">
        <v>4</v>
      </c>
      <c r="O334" s="195" t="s">
        <v>324</v>
      </c>
      <c r="P334" s="195">
        <v>24</v>
      </c>
      <c r="Q334" s="195">
        <v>51</v>
      </c>
      <c r="R334" s="195">
        <v>18</v>
      </c>
      <c r="S334" s="195" t="s">
        <v>324</v>
      </c>
      <c r="T334" s="195">
        <v>35.799999999999997</v>
      </c>
      <c r="U334" s="195">
        <v>9.1999999999999993</v>
      </c>
      <c r="V334" s="195" t="s">
        <v>2853</v>
      </c>
      <c r="W334" s="195"/>
      <c r="X334" s="195">
        <v>6</v>
      </c>
      <c r="Y334" s="195"/>
      <c r="Z334" s="195">
        <v>6</v>
      </c>
      <c r="AA334" s="195"/>
      <c r="AB334" s="195">
        <v>0</v>
      </c>
      <c r="AC334" s="199"/>
      <c r="AD334" s="195" t="s">
        <v>322</v>
      </c>
      <c r="AE334" s="195" t="s">
        <v>332</v>
      </c>
      <c r="AF334" s="195" t="s">
        <v>1472</v>
      </c>
      <c r="AG334" s="195" t="s">
        <v>324</v>
      </c>
      <c r="AH334" s="195" t="s">
        <v>316</v>
      </c>
      <c r="AI334" s="195" t="s">
        <v>324</v>
      </c>
      <c r="AJ334" s="195" t="s">
        <v>324</v>
      </c>
      <c r="AK334" s="195"/>
      <c r="AL334" s="195" t="s">
        <v>322</v>
      </c>
      <c r="AM334" s="199"/>
      <c r="AN334" s="195" t="s">
        <v>2803</v>
      </c>
      <c r="AO334" s="195" t="s">
        <v>2848</v>
      </c>
      <c r="AP334" s="195" t="s">
        <v>2854</v>
      </c>
      <c r="AQ334" s="195" t="s">
        <v>324</v>
      </c>
      <c r="AR334" s="195" t="s">
        <v>958</v>
      </c>
      <c r="AS334" s="195" t="s">
        <v>308</v>
      </c>
      <c r="AT334" s="199"/>
      <c r="AU334" s="195" t="s">
        <v>2855</v>
      </c>
      <c r="AV334" s="195" t="s">
        <v>9</v>
      </c>
      <c r="AW334" s="195" t="str">
        <f ca="1">IFERROR(__xludf.DUMMYFUNCTION("IF(AND(IF(AS334=""Yes"",True,False),NOT(IFERROR(REGEXMATCH(AV334,ExclusionCategories),FALSE))),""Yes"", ""No"")"),"Yes")</f>
        <v>Yes</v>
      </c>
      <c r="AX334" s="195">
        <f ca="1">IFERROR(__xludf.DUMMYFUNCTION("IF(IFERROR(SEARCH(""Unclear"", Z334)) = 1, VALUE(REGEXEXTRACT(Z334,""\d+"")), Z334)"),6)</f>
        <v>6</v>
      </c>
      <c r="AY334" s="195">
        <v>6</v>
      </c>
      <c r="AZ334" s="195" t="str">
        <f ca="1">IFERROR(__xludf.DUMMYFUNCTION("IF(IFERROR(SEARCH(""Unclear"", AG334)) = 1, VALUE(REGEXEXTRACT(AG334,""\d+"")), AG334)"),"ND")</f>
        <v>ND</v>
      </c>
      <c r="BA334" s="195" t="s">
        <v>324</v>
      </c>
      <c r="BB334" s="195" t="str">
        <f ca="1">IFERROR(__xludf.DUMMYFUNCTION("IF(IFERROR(SEARCH(""Unclear"", AJ334)) = 1, VALUE(REGEXEXTRACT(AJ334,""\d+"")), AJ334)"),"ND")</f>
        <v>ND</v>
      </c>
      <c r="BC334" s="195" t="s">
        <v>324</v>
      </c>
      <c r="BD334" s="195" t="b">
        <f t="shared" si="2"/>
        <v>0</v>
      </c>
      <c r="BE334" s="195" t="b">
        <f t="shared" ref="BE334:BF334" si="354">IF(IFERROR(FIND("ND",AI334),0),FALSE,TRUE)</f>
        <v>0</v>
      </c>
      <c r="BF334" s="195" t="b">
        <f t="shared" si="354"/>
        <v>0</v>
      </c>
    </row>
    <row r="335" spans="1:58" ht="37.5" customHeight="1">
      <c r="A335" s="225" t="s">
        <v>2856</v>
      </c>
      <c r="B335" s="226">
        <v>2000</v>
      </c>
      <c r="C335" s="195" t="s">
        <v>952</v>
      </c>
      <c r="D335" s="4" t="s">
        <v>2857</v>
      </c>
      <c r="E335" s="225">
        <v>11035757</v>
      </c>
      <c r="F335" s="254" t="s">
        <v>2858</v>
      </c>
      <c r="G335" s="195" t="str">
        <f t="shared" si="89"/>
        <v>Fortney 2000</v>
      </c>
      <c r="H335" s="217">
        <v>2000</v>
      </c>
      <c r="I335" s="195"/>
      <c r="J335" s="195"/>
      <c r="K335" s="195">
        <v>12</v>
      </c>
      <c r="L335" s="4"/>
      <c r="M335" s="195">
        <v>2</v>
      </c>
      <c r="N335" s="195">
        <v>10</v>
      </c>
      <c r="O335" s="195" t="s">
        <v>324</v>
      </c>
      <c r="P335" s="195">
        <v>19</v>
      </c>
      <c r="Q335" s="195">
        <v>50</v>
      </c>
      <c r="R335" s="195">
        <v>18</v>
      </c>
      <c r="S335" s="195" t="s">
        <v>324</v>
      </c>
      <c r="T335" s="195">
        <v>30.2</v>
      </c>
      <c r="U335" s="195">
        <v>11.1</v>
      </c>
      <c r="V335" s="195" t="s">
        <v>2846</v>
      </c>
      <c r="W335" s="195"/>
      <c r="X335" s="195">
        <v>12</v>
      </c>
      <c r="Y335" s="195" t="s">
        <v>2859</v>
      </c>
      <c r="Z335" s="195">
        <v>9</v>
      </c>
      <c r="AA335" s="195"/>
      <c r="AB335" s="195">
        <v>0</v>
      </c>
      <c r="AC335" s="199"/>
      <c r="AD335" s="195" t="s">
        <v>322</v>
      </c>
      <c r="AE335" s="195" t="s">
        <v>332</v>
      </c>
      <c r="AF335" s="195" t="s">
        <v>1472</v>
      </c>
      <c r="AG335" s="195" t="s">
        <v>324</v>
      </c>
      <c r="AH335" s="195" t="s">
        <v>316</v>
      </c>
      <c r="AI335" s="195" t="s">
        <v>324</v>
      </c>
      <c r="AJ335" s="195" t="s">
        <v>324</v>
      </c>
      <c r="AK335" s="195" t="s">
        <v>2860</v>
      </c>
      <c r="AL335" s="195" t="s">
        <v>322</v>
      </c>
      <c r="AM335" s="199"/>
      <c r="AN335" s="195" t="s">
        <v>2803</v>
      </c>
      <c r="AO335" s="195" t="s">
        <v>2848</v>
      </c>
      <c r="AP335" s="195" t="s">
        <v>2861</v>
      </c>
      <c r="AQ335" s="195" t="s">
        <v>2862</v>
      </c>
      <c r="AR335" s="195" t="s">
        <v>958</v>
      </c>
      <c r="AS335" s="195" t="s">
        <v>308</v>
      </c>
      <c r="AT335" s="199"/>
      <c r="AU335" s="195" t="s">
        <v>2863</v>
      </c>
      <c r="AV335" s="195" t="s">
        <v>9</v>
      </c>
      <c r="AW335" s="195" t="str">
        <f ca="1">IFERROR(__xludf.DUMMYFUNCTION("IF(AND(IF(AS335=""Yes"",True,False),NOT(IFERROR(REGEXMATCH(AV335,ExclusionCategories),FALSE))),""Yes"", ""No"")"),"Yes")</f>
        <v>Yes</v>
      </c>
      <c r="AX335" s="195">
        <f ca="1">IFERROR(__xludf.DUMMYFUNCTION("IF(IFERROR(SEARCH(""Unclear"", Z335)) = 1, VALUE(REGEXEXTRACT(Z335,""\d+"")), Z335)"),9)</f>
        <v>9</v>
      </c>
      <c r="AY335" s="195">
        <v>9</v>
      </c>
      <c r="AZ335" s="195" t="str">
        <f ca="1">IFERROR(__xludf.DUMMYFUNCTION("IF(IFERROR(SEARCH(""Unclear"", AG335)) = 1, VALUE(REGEXEXTRACT(AG335,""\d+"")), AG335)"),"ND")</f>
        <v>ND</v>
      </c>
      <c r="BA335" s="195" t="s">
        <v>324</v>
      </c>
      <c r="BB335" s="195" t="str">
        <f ca="1">IFERROR(__xludf.DUMMYFUNCTION("IF(IFERROR(SEARCH(""Unclear"", AJ335)) = 1, VALUE(REGEXEXTRACT(AJ335,""\d+"")), AJ335)"),"ND")</f>
        <v>ND</v>
      </c>
      <c r="BC335" s="195" t="s">
        <v>324</v>
      </c>
      <c r="BD335" s="195" t="b">
        <f t="shared" si="2"/>
        <v>0</v>
      </c>
      <c r="BE335" s="195" t="b">
        <f t="shared" ref="BE335:BF335" si="355">IF(IFERROR(FIND("ND",AI335),0),FALSE,TRUE)</f>
        <v>0</v>
      </c>
      <c r="BF335" s="195" t="b">
        <f t="shared" si="355"/>
        <v>0</v>
      </c>
    </row>
    <row r="336" spans="1:58" ht="37.5" customHeight="1">
      <c r="A336" s="225" t="s">
        <v>2864</v>
      </c>
      <c r="B336" s="226">
        <v>2006</v>
      </c>
      <c r="C336" s="195" t="s">
        <v>952</v>
      </c>
      <c r="D336" s="4" t="s">
        <v>2865</v>
      </c>
      <c r="E336" s="225">
        <v>16622201</v>
      </c>
      <c r="F336" s="253" t="s">
        <v>2866</v>
      </c>
      <c r="G336" s="195" t="str">
        <f t="shared" si="89"/>
        <v>Fulcher 2006</v>
      </c>
      <c r="H336" s="217">
        <v>2006</v>
      </c>
      <c r="I336" s="195"/>
      <c r="J336" s="195"/>
      <c r="K336" s="195">
        <v>11</v>
      </c>
      <c r="L336" s="4"/>
      <c r="M336" s="195">
        <v>4</v>
      </c>
      <c r="N336" s="195">
        <v>7</v>
      </c>
      <c r="O336" s="195" t="s">
        <v>324</v>
      </c>
      <c r="P336" s="195">
        <v>20</v>
      </c>
      <c r="Q336" s="195">
        <v>53</v>
      </c>
      <c r="R336" s="195">
        <v>18</v>
      </c>
      <c r="S336" s="195" t="s">
        <v>324</v>
      </c>
      <c r="T336" s="195">
        <v>38.6</v>
      </c>
      <c r="U336" s="195">
        <v>11.3</v>
      </c>
      <c r="V336" s="195" t="s">
        <v>2867</v>
      </c>
      <c r="W336" s="195" t="s">
        <v>2847</v>
      </c>
      <c r="X336" s="195">
        <v>10</v>
      </c>
      <c r="Y336" s="195"/>
      <c r="Z336" s="195">
        <v>10</v>
      </c>
      <c r="AA336" s="195"/>
      <c r="AB336" s="195">
        <v>0</v>
      </c>
      <c r="AC336" s="199"/>
      <c r="AD336" s="195" t="s">
        <v>322</v>
      </c>
      <c r="AE336" s="195" t="s">
        <v>332</v>
      </c>
      <c r="AF336" s="195" t="s">
        <v>1472</v>
      </c>
      <c r="AG336" s="195" t="s">
        <v>324</v>
      </c>
      <c r="AH336" s="195" t="s">
        <v>316</v>
      </c>
      <c r="AI336" s="195" t="s">
        <v>324</v>
      </c>
      <c r="AJ336" s="195" t="s">
        <v>324</v>
      </c>
      <c r="AK336" s="195"/>
      <c r="AL336" s="195" t="s">
        <v>322</v>
      </c>
      <c r="AM336" s="199"/>
      <c r="AN336" s="195" t="s">
        <v>2803</v>
      </c>
      <c r="AO336" s="195" t="s">
        <v>2848</v>
      </c>
      <c r="AP336" s="195" t="s">
        <v>2868</v>
      </c>
      <c r="AQ336" s="195" t="s">
        <v>2862</v>
      </c>
      <c r="AR336" s="195" t="s">
        <v>958</v>
      </c>
      <c r="AS336" s="195" t="s">
        <v>308</v>
      </c>
      <c r="AT336" s="199"/>
      <c r="AU336" s="195" t="s">
        <v>2869</v>
      </c>
      <c r="AV336" s="195" t="s">
        <v>9</v>
      </c>
      <c r="AW336" s="195" t="str">
        <f ca="1">IFERROR(__xludf.DUMMYFUNCTION("IF(AND(IF(AS336=""Yes"",True,False),NOT(IFERROR(REGEXMATCH(AV336,ExclusionCategories),FALSE))),""Yes"", ""No"")"),"Yes")</f>
        <v>Yes</v>
      </c>
      <c r="AX336" s="195">
        <f ca="1">IFERROR(__xludf.DUMMYFUNCTION("IF(IFERROR(SEARCH(""Unclear"", Z336)) = 1, VALUE(REGEXEXTRACT(Z336,""\d+"")), Z336)"),10)</f>
        <v>10</v>
      </c>
      <c r="AY336" s="195">
        <v>10</v>
      </c>
      <c r="AZ336" s="195" t="str">
        <f ca="1">IFERROR(__xludf.DUMMYFUNCTION("IF(IFERROR(SEARCH(""Unclear"", AG336)) = 1, VALUE(REGEXEXTRACT(AG336,""\d+"")), AG336)"),"ND")</f>
        <v>ND</v>
      </c>
      <c r="BA336" s="195" t="s">
        <v>324</v>
      </c>
      <c r="BB336" s="195" t="str">
        <f ca="1">IFERROR(__xludf.DUMMYFUNCTION("IF(IFERROR(SEARCH(""Unclear"", AJ336)) = 1, VALUE(REGEXEXTRACT(AJ336,""\d+"")), AJ336)"),"ND")</f>
        <v>ND</v>
      </c>
      <c r="BC336" s="195" t="s">
        <v>324</v>
      </c>
      <c r="BD336" s="195" t="b">
        <f t="shared" si="2"/>
        <v>0</v>
      </c>
      <c r="BE336" s="195" t="b">
        <f t="shared" ref="BE336:BF336" si="356">IF(IFERROR(FIND("ND",AI336),0),FALSE,TRUE)</f>
        <v>0</v>
      </c>
      <c r="BF336" s="195" t="b">
        <f t="shared" si="356"/>
        <v>0</v>
      </c>
    </row>
    <row r="337" spans="1:58" ht="37.5" customHeight="1">
      <c r="A337" s="225" t="s">
        <v>2870</v>
      </c>
      <c r="B337" s="226">
        <v>2002</v>
      </c>
      <c r="C337" s="195" t="s">
        <v>952</v>
      </c>
      <c r="D337" s="4" t="s">
        <v>2807</v>
      </c>
      <c r="E337" s="225">
        <v>12444138</v>
      </c>
      <c r="F337" s="253" t="s">
        <v>2871</v>
      </c>
      <c r="G337" s="195" t="str">
        <f t="shared" si="89"/>
        <v>Humphreys 2002</v>
      </c>
      <c r="H337" s="217">
        <v>2002</v>
      </c>
      <c r="I337" s="195"/>
      <c r="J337" s="195"/>
      <c r="K337" s="195">
        <v>10</v>
      </c>
      <c r="L337" s="4"/>
      <c r="M337" s="195" t="s">
        <v>324</v>
      </c>
      <c r="N337" s="195" t="s">
        <v>324</v>
      </c>
      <c r="O337" s="195" t="s">
        <v>324</v>
      </c>
      <c r="P337" s="195" t="s">
        <v>324</v>
      </c>
      <c r="Q337" s="195" t="s">
        <v>324</v>
      </c>
      <c r="R337" s="195" t="s">
        <v>324</v>
      </c>
      <c r="S337" s="195" t="s">
        <v>324</v>
      </c>
      <c r="T337" s="195" t="s">
        <v>324</v>
      </c>
      <c r="U337" s="195" t="s">
        <v>324</v>
      </c>
      <c r="V337" s="195" t="s">
        <v>2817</v>
      </c>
      <c r="W337" s="195"/>
      <c r="X337" s="195">
        <v>10</v>
      </c>
      <c r="Y337" s="195"/>
      <c r="Z337" s="195">
        <v>10</v>
      </c>
      <c r="AA337" s="195" t="s">
        <v>2872</v>
      </c>
      <c r="AB337" s="195">
        <v>0</v>
      </c>
      <c r="AC337" s="199"/>
      <c r="AD337" s="195" t="s">
        <v>322</v>
      </c>
      <c r="AE337" s="195" t="s">
        <v>332</v>
      </c>
      <c r="AF337" s="195" t="s">
        <v>1472</v>
      </c>
      <c r="AG337" s="195" t="s">
        <v>324</v>
      </c>
      <c r="AH337" s="195" t="s">
        <v>316</v>
      </c>
      <c r="AI337" s="195" t="s">
        <v>324</v>
      </c>
      <c r="AJ337" s="195" t="s">
        <v>324</v>
      </c>
      <c r="AK337" s="195"/>
      <c r="AL337" s="195" t="s">
        <v>322</v>
      </c>
      <c r="AM337" s="199"/>
      <c r="AN337" s="195" t="s">
        <v>2803</v>
      </c>
      <c r="AO337" s="195" t="s">
        <v>2326</v>
      </c>
      <c r="AP337" s="195" t="s">
        <v>2873</v>
      </c>
      <c r="AQ337" s="195" t="s">
        <v>324</v>
      </c>
      <c r="AR337" s="195" t="s">
        <v>958</v>
      </c>
      <c r="AS337" s="195" t="s">
        <v>308</v>
      </c>
      <c r="AT337" s="199"/>
      <c r="AU337" s="195" t="s">
        <v>2874</v>
      </c>
      <c r="AV337" s="195" t="s">
        <v>9</v>
      </c>
      <c r="AW337" s="195" t="str">
        <f ca="1">IFERROR(__xludf.DUMMYFUNCTION("IF(AND(IF(AS337=""Yes"",True,False),NOT(IFERROR(REGEXMATCH(AV337,ExclusionCategories),FALSE))),""Yes"", ""No"")"),"Yes")</f>
        <v>Yes</v>
      </c>
      <c r="AX337" s="195">
        <f ca="1">IFERROR(__xludf.DUMMYFUNCTION("IF(IFERROR(SEARCH(""Unclear"", Z337)) = 1, VALUE(REGEXEXTRACT(Z337,""\d+"")), Z337)"),10)</f>
        <v>10</v>
      </c>
      <c r="AY337" s="195">
        <v>10</v>
      </c>
      <c r="AZ337" s="195" t="str">
        <f ca="1">IFERROR(__xludf.DUMMYFUNCTION("IF(IFERROR(SEARCH(""Unclear"", AG337)) = 1, VALUE(REGEXEXTRACT(AG337,""\d+"")), AG337)"),"ND")</f>
        <v>ND</v>
      </c>
      <c r="BA337" s="195" t="s">
        <v>324</v>
      </c>
      <c r="BB337" s="195" t="str">
        <f ca="1">IFERROR(__xludf.DUMMYFUNCTION("IF(IFERROR(SEARCH(""Unclear"", AJ337)) = 1, VALUE(REGEXEXTRACT(AJ337,""\d+"")), AJ337)"),"ND")</f>
        <v>ND</v>
      </c>
      <c r="BC337" s="195" t="s">
        <v>324</v>
      </c>
      <c r="BD337" s="195" t="b">
        <f t="shared" si="2"/>
        <v>0</v>
      </c>
      <c r="BE337" s="195" t="b">
        <f t="shared" ref="BE337:BF337" si="357">IF(IFERROR(FIND("ND",AI337),0),FALSE,TRUE)</f>
        <v>0</v>
      </c>
      <c r="BF337" s="195" t="b">
        <f t="shared" si="357"/>
        <v>0</v>
      </c>
    </row>
    <row r="338" spans="1:58" ht="37.5" customHeight="1">
      <c r="A338" s="225" t="s">
        <v>2870</v>
      </c>
      <c r="B338" s="226">
        <v>2007</v>
      </c>
      <c r="C338" s="195" t="s">
        <v>952</v>
      </c>
      <c r="D338" s="4" t="s">
        <v>2807</v>
      </c>
      <c r="E338" s="225">
        <v>17893130</v>
      </c>
      <c r="F338" s="253" t="s">
        <v>2875</v>
      </c>
      <c r="G338" s="195" t="str">
        <f t="shared" si="89"/>
        <v>Humphreys 2007</v>
      </c>
      <c r="H338" s="217">
        <v>2007</v>
      </c>
      <c r="I338" s="195"/>
      <c r="J338" s="195"/>
      <c r="K338" s="195">
        <v>8</v>
      </c>
      <c r="L338" s="4" t="s">
        <v>2876</v>
      </c>
      <c r="M338" s="195">
        <v>1</v>
      </c>
      <c r="N338" s="195">
        <v>7</v>
      </c>
      <c r="O338" s="195" t="s">
        <v>324</v>
      </c>
      <c r="P338" s="195" t="s">
        <v>324</v>
      </c>
      <c r="Q338" s="195" t="s">
        <v>324</v>
      </c>
      <c r="R338" s="195" t="s">
        <v>324</v>
      </c>
      <c r="S338" s="195" t="s">
        <v>324</v>
      </c>
      <c r="T338" s="195">
        <v>37</v>
      </c>
      <c r="U338" s="195">
        <v>12</v>
      </c>
      <c r="V338" s="195" t="s">
        <v>2877</v>
      </c>
      <c r="W338" s="195" t="s">
        <v>2878</v>
      </c>
      <c r="X338" s="195">
        <v>6</v>
      </c>
      <c r="Y338" s="195"/>
      <c r="Z338" s="195">
        <v>6</v>
      </c>
      <c r="AA338" s="195"/>
      <c r="AB338" s="195">
        <v>0</v>
      </c>
      <c r="AC338" s="199"/>
      <c r="AD338" s="195" t="s">
        <v>322</v>
      </c>
      <c r="AE338" s="195" t="s">
        <v>332</v>
      </c>
      <c r="AF338" s="195" t="s">
        <v>1472</v>
      </c>
      <c r="AG338" s="195" t="s">
        <v>324</v>
      </c>
      <c r="AH338" s="195" t="s">
        <v>316</v>
      </c>
      <c r="AI338" s="195" t="s">
        <v>324</v>
      </c>
      <c r="AJ338" s="195" t="s">
        <v>324</v>
      </c>
      <c r="AK338" s="195"/>
      <c r="AL338" s="195" t="s">
        <v>322</v>
      </c>
      <c r="AM338" s="199"/>
      <c r="AN338" s="195" t="s">
        <v>2803</v>
      </c>
      <c r="AO338" s="195" t="s">
        <v>2326</v>
      </c>
      <c r="AP338" s="195" t="s">
        <v>2879</v>
      </c>
      <c r="AQ338" s="195" t="s">
        <v>324</v>
      </c>
      <c r="AR338" s="195" t="s">
        <v>958</v>
      </c>
      <c r="AS338" s="195" t="s">
        <v>308</v>
      </c>
      <c r="AT338" s="199"/>
      <c r="AU338" s="195" t="s">
        <v>2880</v>
      </c>
      <c r="AV338" s="195" t="s">
        <v>15</v>
      </c>
      <c r="AW338" s="195" t="str">
        <f ca="1">IFERROR(__xludf.DUMMYFUNCTION("IF(AND(IF(AS338=""Yes"",True,False),NOT(IFERROR(REGEXMATCH(AV338,ExclusionCategories),FALSE))),""Yes"", ""No"")"),"No")</f>
        <v>No</v>
      </c>
      <c r="AX338" s="195">
        <f ca="1">IFERROR(__xludf.DUMMYFUNCTION("IF(IFERROR(SEARCH(""Unclear"", Z338)) = 1, VALUE(REGEXEXTRACT(Z338,""\d+"")), Z338)"),6)</f>
        <v>6</v>
      </c>
      <c r="AY338" s="195">
        <v>6</v>
      </c>
      <c r="AZ338" s="195" t="str">
        <f ca="1">IFERROR(__xludf.DUMMYFUNCTION("IF(IFERROR(SEARCH(""Unclear"", AG338)) = 1, VALUE(REGEXEXTRACT(AG338,""\d+"")), AG338)"),"ND")</f>
        <v>ND</v>
      </c>
      <c r="BA338" s="195" t="s">
        <v>324</v>
      </c>
      <c r="BB338" s="195" t="str">
        <f ca="1">IFERROR(__xludf.DUMMYFUNCTION("IF(IFERROR(SEARCH(""Unclear"", AJ338)) = 1, VALUE(REGEXEXTRACT(AJ338,""\d+"")), AJ338)"),"ND")</f>
        <v>ND</v>
      </c>
      <c r="BC338" s="195" t="s">
        <v>324</v>
      </c>
      <c r="BD338" s="195" t="b">
        <f t="shared" si="2"/>
        <v>0</v>
      </c>
      <c r="BE338" s="195" t="b">
        <f t="shared" ref="BE338:BF338" si="358">IF(IFERROR(FIND("ND",AI338),0),FALSE,TRUE)</f>
        <v>0</v>
      </c>
      <c r="BF338" s="195" t="b">
        <f t="shared" si="358"/>
        <v>0</v>
      </c>
    </row>
    <row r="339" spans="1:58" ht="37.5" customHeight="1">
      <c r="A339" s="225" t="s">
        <v>951</v>
      </c>
      <c r="B339" s="226">
        <v>2004</v>
      </c>
      <c r="C339" s="195" t="s">
        <v>952</v>
      </c>
      <c r="D339" s="4" t="s">
        <v>2881</v>
      </c>
      <c r="E339" s="225">
        <v>15271912</v>
      </c>
      <c r="F339" s="253" t="s">
        <v>2882</v>
      </c>
      <c r="G339" s="195" t="str">
        <f t="shared" si="89"/>
        <v>Janowicz 2004</v>
      </c>
      <c r="H339" s="217">
        <v>2004</v>
      </c>
      <c r="I339" s="195"/>
      <c r="J339" s="195"/>
      <c r="K339" s="195">
        <v>6</v>
      </c>
      <c r="L339" s="4"/>
      <c r="M339" s="195">
        <v>1</v>
      </c>
      <c r="N339" s="195">
        <v>5</v>
      </c>
      <c r="O339" s="195" t="s">
        <v>324</v>
      </c>
      <c r="P339" s="195">
        <v>18</v>
      </c>
      <c r="Q339" s="195">
        <v>56</v>
      </c>
      <c r="R339" s="195">
        <v>18</v>
      </c>
      <c r="S339" s="195" t="s">
        <v>324</v>
      </c>
      <c r="T339" s="195">
        <v>30</v>
      </c>
      <c r="U339" s="195">
        <v>14</v>
      </c>
      <c r="V339" s="195" t="s">
        <v>2883</v>
      </c>
      <c r="W339" s="195"/>
      <c r="X339" s="195">
        <v>6</v>
      </c>
      <c r="Y339" s="195"/>
      <c r="Z339" s="195">
        <v>6</v>
      </c>
      <c r="AA339" s="195"/>
      <c r="AB339" s="195">
        <v>0</v>
      </c>
      <c r="AC339" s="199"/>
      <c r="AD339" s="195" t="s">
        <v>322</v>
      </c>
      <c r="AE339" s="195" t="s">
        <v>332</v>
      </c>
      <c r="AF339" s="195" t="s">
        <v>1472</v>
      </c>
      <c r="AG339" s="195" t="s">
        <v>324</v>
      </c>
      <c r="AH339" s="195" t="s">
        <v>316</v>
      </c>
      <c r="AI339" s="195" t="s">
        <v>324</v>
      </c>
      <c r="AJ339" s="195" t="s">
        <v>324</v>
      </c>
      <c r="AK339" s="195"/>
      <c r="AL339" s="195" t="s">
        <v>322</v>
      </c>
      <c r="AM339" s="199"/>
      <c r="AN339" s="195" t="s">
        <v>2803</v>
      </c>
      <c r="AO339" s="195" t="s">
        <v>2884</v>
      </c>
      <c r="AP339" s="195" t="s">
        <v>2885</v>
      </c>
      <c r="AQ339" s="195" t="s">
        <v>2862</v>
      </c>
      <c r="AR339" s="195" t="s">
        <v>958</v>
      </c>
      <c r="AS339" s="195" t="s">
        <v>308</v>
      </c>
      <c r="AT339" s="199"/>
      <c r="AU339" s="195" t="s">
        <v>2886</v>
      </c>
      <c r="AV339" s="195" t="s">
        <v>9</v>
      </c>
      <c r="AW339" s="195" t="str">
        <f ca="1">IFERROR(__xludf.DUMMYFUNCTION("IF(AND(IF(AS339=""Yes"",True,False),NOT(IFERROR(REGEXMATCH(AV339,ExclusionCategories),FALSE))),""Yes"", ""No"")"),"Yes")</f>
        <v>Yes</v>
      </c>
      <c r="AX339" s="195">
        <f ca="1">IFERROR(__xludf.DUMMYFUNCTION("IF(IFERROR(SEARCH(""Unclear"", Z339)) = 1, VALUE(REGEXEXTRACT(Z339,""\d+"")), Z339)"),6)</f>
        <v>6</v>
      </c>
      <c r="AY339" s="195">
        <v>6</v>
      </c>
      <c r="AZ339" s="195" t="str">
        <f ca="1">IFERROR(__xludf.DUMMYFUNCTION("IF(IFERROR(SEARCH(""Unclear"", AG339)) = 1, VALUE(REGEXEXTRACT(AG339,""\d+"")), AG339)"),"ND")</f>
        <v>ND</v>
      </c>
      <c r="BA339" s="195" t="s">
        <v>324</v>
      </c>
      <c r="BB339" s="195" t="str">
        <f ca="1">IFERROR(__xludf.DUMMYFUNCTION("IF(IFERROR(SEARCH(""Unclear"", AJ339)) = 1, VALUE(REGEXEXTRACT(AJ339,""\d+"")), AJ339)"),"ND")</f>
        <v>ND</v>
      </c>
      <c r="BC339" s="195" t="s">
        <v>324</v>
      </c>
      <c r="BD339" s="195" t="b">
        <f t="shared" si="2"/>
        <v>0</v>
      </c>
      <c r="BE339" s="195" t="b">
        <f t="shared" ref="BE339:BF339" si="359">IF(IFERROR(FIND("ND",AI339),0),FALSE,TRUE)</f>
        <v>0</v>
      </c>
      <c r="BF339" s="195" t="b">
        <f t="shared" si="359"/>
        <v>0</v>
      </c>
    </row>
    <row r="340" spans="1:58" ht="37.5" customHeight="1">
      <c r="A340" s="225" t="s">
        <v>951</v>
      </c>
      <c r="B340" s="226">
        <v>2006</v>
      </c>
      <c r="C340" s="195" t="s">
        <v>952</v>
      </c>
      <c r="D340" s="4" t="s">
        <v>2887</v>
      </c>
      <c r="E340" s="225">
        <v>16428791</v>
      </c>
      <c r="F340" s="253" t="s">
        <v>2888</v>
      </c>
      <c r="G340" s="195" t="str">
        <f t="shared" si="89"/>
        <v>Janowicz 2006a</v>
      </c>
      <c r="H340" s="217">
        <v>2006</v>
      </c>
      <c r="I340" s="195"/>
      <c r="J340" s="195"/>
      <c r="K340" s="195">
        <v>9</v>
      </c>
      <c r="L340" s="4"/>
      <c r="M340" s="195">
        <v>3</v>
      </c>
      <c r="N340" s="195">
        <v>6</v>
      </c>
      <c r="O340" s="195" t="s">
        <v>324</v>
      </c>
      <c r="P340" s="195">
        <v>23</v>
      </c>
      <c r="Q340" s="195">
        <v>68</v>
      </c>
      <c r="R340" s="195">
        <v>18</v>
      </c>
      <c r="S340" s="195" t="s">
        <v>324</v>
      </c>
      <c r="T340" s="195">
        <v>40</v>
      </c>
      <c r="U340" s="195">
        <v>16</v>
      </c>
      <c r="V340" s="195" t="s">
        <v>2889</v>
      </c>
      <c r="W340" s="195" t="s">
        <v>2890</v>
      </c>
      <c r="X340" s="195">
        <v>7</v>
      </c>
      <c r="Y340" s="195"/>
      <c r="Z340" s="195">
        <v>7</v>
      </c>
      <c r="AA340" s="195"/>
      <c r="AB340" s="195">
        <v>0</v>
      </c>
      <c r="AC340" s="199"/>
      <c r="AD340" s="195" t="s">
        <v>322</v>
      </c>
      <c r="AE340" s="195" t="s">
        <v>332</v>
      </c>
      <c r="AF340" s="195" t="s">
        <v>1472</v>
      </c>
      <c r="AG340" s="195" t="s">
        <v>324</v>
      </c>
      <c r="AH340" s="195" t="s">
        <v>316</v>
      </c>
      <c r="AI340" s="195" t="s">
        <v>324</v>
      </c>
      <c r="AJ340" s="195" t="s">
        <v>324</v>
      </c>
      <c r="AK340" s="195"/>
      <c r="AL340" s="195" t="s">
        <v>322</v>
      </c>
      <c r="AM340" s="199"/>
      <c r="AN340" s="195" t="s">
        <v>2803</v>
      </c>
      <c r="AO340" s="195" t="s">
        <v>2848</v>
      </c>
      <c r="AP340" s="195" t="s">
        <v>2891</v>
      </c>
      <c r="AQ340" s="195" t="s">
        <v>2862</v>
      </c>
      <c r="AR340" s="195" t="s">
        <v>958</v>
      </c>
      <c r="AS340" s="195" t="s">
        <v>308</v>
      </c>
      <c r="AT340" s="199"/>
      <c r="AU340" s="195" t="s">
        <v>2892</v>
      </c>
      <c r="AV340" s="195" t="s">
        <v>9</v>
      </c>
      <c r="AW340" s="195" t="str">
        <f ca="1">IFERROR(__xludf.DUMMYFUNCTION("IF(AND(IF(AS340=""Yes"",True,False),NOT(IFERROR(REGEXMATCH(AV340,ExclusionCategories),FALSE))),""Yes"", ""No"")"),"Yes")</f>
        <v>Yes</v>
      </c>
      <c r="AX340" s="195">
        <f ca="1">IFERROR(__xludf.DUMMYFUNCTION("IF(IFERROR(SEARCH(""Unclear"", Z340)) = 1, VALUE(REGEXEXTRACT(Z340,""\d+"")), Z340)"),7)</f>
        <v>7</v>
      </c>
      <c r="AY340" s="195">
        <v>7</v>
      </c>
      <c r="AZ340" s="195" t="str">
        <f ca="1">IFERROR(__xludf.DUMMYFUNCTION("IF(IFERROR(SEARCH(""Unclear"", AG340)) = 1, VALUE(REGEXEXTRACT(AG340,""\d+"")), AG340)"),"ND")</f>
        <v>ND</v>
      </c>
      <c r="BA340" s="195" t="s">
        <v>324</v>
      </c>
      <c r="BB340" s="195" t="str">
        <f ca="1">IFERROR(__xludf.DUMMYFUNCTION("IF(IFERROR(SEARCH(""Unclear"", AJ340)) = 1, VALUE(REGEXEXTRACT(AJ340,""\d+"")), AJ340)"),"ND")</f>
        <v>ND</v>
      </c>
      <c r="BC340" s="195" t="s">
        <v>324</v>
      </c>
      <c r="BD340" s="195" t="b">
        <f t="shared" si="2"/>
        <v>0</v>
      </c>
      <c r="BE340" s="195" t="b">
        <f t="shared" ref="BE340:BF340" si="360">IF(IFERROR(FIND("ND",AI340),0),FALSE,TRUE)</f>
        <v>0</v>
      </c>
      <c r="BF340" s="195" t="b">
        <f t="shared" si="360"/>
        <v>0</v>
      </c>
    </row>
    <row r="341" spans="1:58" ht="37.5" customHeight="1">
      <c r="A341" s="225" t="s">
        <v>951</v>
      </c>
      <c r="B341" s="226">
        <v>2006</v>
      </c>
      <c r="C341" s="195" t="s">
        <v>952</v>
      </c>
      <c r="D341" s="4" t="s">
        <v>2893</v>
      </c>
      <c r="E341" s="225">
        <v>16426809</v>
      </c>
      <c r="F341" s="254" t="s">
        <v>2894</v>
      </c>
      <c r="G341" s="195" t="str">
        <f t="shared" si="89"/>
        <v>Janowicz 2006b</v>
      </c>
      <c r="H341" s="217">
        <v>2006</v>
      </c>
      <c r="I341" s="195"/>
      <c r="J341" s="195"/>
      <c r="K341" s="195">
        <v>8</v>
      </c>
      <c r="L341" s="4"/>
      <c r="M341" s="195">
        <v>4</v>
      </c>
      <c r="N341" s="195">
        <v>4</v>
      </c>
      <c r="O341" s="195" t="s">
        <v>324</v>
      </c>
      <c r="P341" s="195">
        <v>20</v>
      </c>
      <c r="Q341" s="195">
        <v>46</v>
      </c>
      <c r="R341" s="195">
        <v>18</v>
      </c>
      <c r="S341" s="195" t="s">
        <v>324</v>
      </c>
      <c r="T341" s="195">
        <v>28</v>
      </c>
      <c r="U341" s="195">
        <v>8.1999999999999993</v>
      </c>
      <c r="V341" s="195" t="s">
        <v>2895</v>
      </c>
      <c r="W341" s="195"/>
      <c r="X341" s="195">
        <v>8</v>
      </c>
      <c r="Y341" s="195"/>
      <c r="Z341" s="195">
        <v>8</v>
      </c>
      <c r="AA341" s="195"/>
      <c r="AB341" s="195">
        <v>0</v>
      </c>
      <c r="AC341" s="199"/>
      <c r="AD341" s="195" t="s">
        <v>322</v>
      </c>
      <c r="AE341" s="195" t="s">
        <v>332</v>
      </c>
      <c r="AF341" s="195" t="s">
        <v>1472</v>
      </c>
      <c r="AG341" s="195" t="s">
        <v>324</v>
      </c>
      <c r="AH341" s="195" t="s">
        <v>316</v>
      </c>
      <c r="AI341" s="195" t="s">
        <v>324</v>
      </c>
      <c r="AJ341" s="195" t="s">
        <v>324</v>
      </c>
      <c r="AK341" s="195"/>
      <c r="AL341" s="195" t="s">
        <v>322</v>
      </c>
      <c r="AM341" s="199"/>
      <c r="AN341" s="195" t="s">
        <v>2803</v>
      </c>
      <c r="AO341" s="195" t="s">
        <v>2848</v>
      </c>
      <c r="AP341" s="195" t="s">
        <v>2896</v>
      </c>
      <c r="AQ341" s="195" t="s">
        <v>324</v>
      </c>
      <c r="AR341" s="195" t="s">
        <v>958</v>
      </c>
      <c r="AS341" s="195" t="s">
        <v>308</v>
      </c>
      <c r="AT341" s="199"/>
      <c r="AU341" s="195" t="s">
        <v>2897</v>
      </c>
      <c r="AV341" s="195" t="s">
        <v>9</v>
      </c>
      <c r="AW341" s="195" t="str">
        <f ca="1">IFERROR(__xludf.DUMMYFUNCTION("IF(AND(IF(AS341=""Yes"",True,False),NOT(IFERROR(REGEXMATCH(AV341,ExclusionCategories),FALSE))),""Yes"", ""No"")"),"Yes")</f>
        <v>Yes</v>
      </c>
      <c r="AX341" s="195">
        <f ca="1">IFERROR(__xludf.DUMMYFUNCTION("IF(IFERROR(SEARCH(""Unclear"", Z341)) = 1, VALUE(REGEXEXTRACT(Z341,""\d+"")), Z341)"),8)</f>
        <v>8</v>
      </c>
      <c r="AY341" s="195">
        <v>8</v>
      </c>
      <c r="AZ341" s="195" t="str">
        <f ca="1">IFERROR(__xludf.DUMMYFUNCTION("IF(IFERROR(SEARCH(""Unclear"", AG341)) = 1, VALUE(REGEXEXTRACT(AG341,""\d+"")), AG341)"),"ND")</f>
        <v>ND</v>
      </c>
      <c r="BA341" s="195" t="s">
        <v>324</v>
      </c>
      <c r="BB341" s="195" t="str">
        <f ca="1">IFERROR(__xludf.DUMMYFUNCTION("IF(IFERROR(SEARCH(""Unclear"", AJ341)) = 1, VALUE(REGEXEXTRACT(AJ341,""\d+"")), AJ341)"),"ND")</f>
        <v>ND</v>
      </c>
      <c r="BC341" s="195" t="s">
        <v>324</v>
      </c>
      <c r="BD341" s="195" t="b">
        <f t="shared" si="2"/>
        <v>0</v>
      </c>
      <c r="BE341" s="195" t="b">
        <f t="shared" ref="BE341:BF341" si="361">IF(IFERROR(FIND("ND",AI341),0),FALSE,TRUE)</f>
        <v>0</v>
      </c>
      <c r="BF341" s="195" t="b">
        <f t="shared" si="361"/>
        <v>0</v>
      </c>
    </row>
    <row r="342" spans="1:58" ht="37.5" customHeight="1">
      <c r="A342" s="225" t="s">
        <v>951</v>
      </c>
      <c r="B342" s="226">
        <v>2007</v>
      </c>
      <c r="C342" s="195" t="s">
        <v>952</v>
      </c>
      <c r="D342" s="4" t="s">
        <v>2807</v>
      </c>
      <c r="E342" s="225">
        <v>17436224</v>
      </c>
      <c r="F342" s="253" t="s">
        <v>2898</v>
      </c>
      <c r="G342" s="195" t="str">
        <f t="shared" si="89"/>
        <v>Janowicz 2007</v>
      </c>
      <c r="H342" s="217">
        <v>2007</v>
      </c>
      <c r="I342" s="195"/>
      <c r="J342" s="195"/>
      <c r="K342" s="195">
        <v>13</v>
      </c>
      <c r="L342" s="4" t="s">
        <v>2899</v>
      </c>
      <c r="M342" s="195">
        <v>6</v>
      </c>
      <c r="N342" s="195">
        <v>7</v>
      </c>
      <c r="O342" s="195" t="s">
        <v>324</v>
      </c>
      <c r="P342" s="195">
        <v>27</v>
      </c>
      <c r="Q342" s="195">
        <v>56</v>
      </c>
      <c r="R342" s="195" t="s">
        <v>324</v>
      </c>
      <c r="S342" s="195" t="s">
        <v>324</v>
      </c>
      <c r="T342" s="195">
        <v>42</v>
      </c>
      <c r="U342" s="195">
        <v>14.8</v>
      </c>
      <c r="V342" s="195" t="s">
        <v>2900</v>
      </c>
      <c r="W342" s="195" t="s">
        <v>2901</v>
      </c>
      <c r="X342" s="195">
        <v>11</v>
      </c>
      <c r="Y342" s="195" t="s">
        <v>2902</v>
      </c>
      <c r="Z342" s="195">
        <v>10</v>
      </c>
      <c r="AA342" s="195"/>
      <c r="AB342" s="195">
        <v>0</v>
      </c>
      <c r="AC342" s="199"/>
      <c r="AD342" s="195" t="s">
        <v>322</v>
      </c>
      <c r="AE342" s="195" t="s">
        <v>332</v>
      </c>
      <c r="AF342" s="195" t="s">
        <v>1472</v>
      </c>
      <c r="AG342" s="195" t="s">
        <v>324</v>
      </c>
      <c r="AH342" s="195" t="s">
        <v>316</v>
      </c>
      <c r="AI342" s="195" t="s">
        <v>324</v>
      </c>
      <c r="AJ342" s="195" t="s">
        <v>324</v>
      </c>
      <c r="AK342" s="195"/>
      <c r="AL342" s="195" t="s">
        <v>322</v>
      </c>
      <c r="AM342" s="199"/>
      <c r="AN342" s="195" t="s">
        <v>2803</v>
      </c>
      <c r="AO342" s="195" t="s">
        <v>324</v>
      </c>
      <c r="AP342" s="195" t="s">
        <v>2903</v>
      </c>
      <c r="AQ342" s="195" t="s">
        <v>324</v>
      </c>
      <c r="AR342" s="195" t="s">
        <v>958</v>
      </c>
      <c r="AS342" s="195" t="s">
        <v>308</v>
      </c>
      <c r="AT342" s="199"/>
      <c r="AU342" s="195" t="s">
        <v>2904</v>
      </c>
      <c r="AV342" s="195" t="s">
        <v>9</v>
      </c>
      <c r="AW342" s="195" t="str">
        <f ca="1">IFERROR(__xludf.DUMMYFUNCTION("IF(AND(IF(AS342=""Yes"",True,False),NOT(IFERROR(REGEXMATCH(AV342,ExclusionCategories),FALSE))),""Yes"", ""No"")"),"Yes")</f>
        <v>Yes</v>
      </c>
      <c r="AX342" s="195">
        <f ca="1">IFERROR(__xludf.DUMMYFUNCTION("IF(IFERROR(SEARCH(""Unclear"", Z342)) = 1, VALUE(REGEXEXTRACT(Z342,""\d+"")), Z342)"),10)</f>
        <v>10</v>
      </c>
      <c r="AY342" s="195">
        <v>10</v>
      </c>
      <c r="AZ342" s="195" t="str">
        <f ca="1">IFERROR(__xludf.DUMMYFUNCTION("IF(IFERROR(SEARCH(""Unclear"", AG342)) = 1, VALUE(REGEXEXTRACT(AG342,""\d+"")), AG342)"),"ND")</f>
        <v>ND</v>
      </c>
      <c r="BA342" s="195" t="s">
        <v>324</v>
      </c>
      <c r="BB342" s="195" t="str">
        <f ca="1">IFERROR(__xludf.DUMMYFUNCTION("IF(IFERROR(SEARCH(""Unclear"", AJ342)) = 1, VALUE(REGEXEXTRACT(AJ342,""\d+"")), AJ342)"),"ND")</f>
        <v>ND</v>
      </c>
      <c r="BC342" s="195" t="s">
        <v>324</v>
      </c>
      <c r="BD342" s="195" t="b">
        <f t="shared" si="2"/>
        <v>0</v>
      </c>
      <c r="BE342" s="195" t="b">
        <f t="shared" ref="BE342:BF342" si="362">IF(IFERROR(FIND("ND",AI342),0),FALSE,TRUE)</f>
        <v>0</v>
      </c>
      <c r="BF342" s="195" t="b">
        <f t="shared" si="362"/>
        <v>0</v>
      </c>
    </row>
    <row r="343" spans="1:58" ht="37.5" customHeight="1">
      <c r="A343" s="225" t="s">
        <v>2905</v>
      </c>
      <c r="B343" s="226">
        <v>2008</v>
      </c>
      <c r="C343" s="195" t="s">
        <v>952</v>
      </c>
      <c r="D343" s="4" t="s">
        <v>2906</v>
      </c>
      <c r="E343" s="225">
        <v>18462159</v>
      </c>
      <c r="F343" s="254" t="s">
        <v>2907</v>
      </c>
      <c r="G343" s="195" t="str">
        <f t="shared" si="89"/>
        <v>Leduc 2008</v>
      </c>
      <c r="H343" s="217">
        <v>2008</v>
      </c>
      <c r="I343" s="195"/>
      <c r="J343" s="195"/>
      <c r="K343" s="195">
        <v>6</v>
      </c>
      <c r="L343" s="4"/>
      <c r="M343" s="195">
        <v>5</v>
      </c>
      <c r="N343" s="195">
        <v>1</v>
      </c>
      <c r="O343" s="195" t="s">
        <v>324</v>
      </c>
      <c r="P343" s="195">
        <v>31</v>
      </c>
      <c r="Q343" s="195">
        <v>52</v>
      </c>
      <c r="R343" s="195">
        <v>21</v>
      </c>
      <c r="S343" s="195" t="s">
        <v>324</v>
      </c>
      <c r="T343" s="195">
        <v>42</v>
      </c>
      <c r="U343" s="195">
        <v>7.5</v>
      </c>
      <c r="V343" s="195" t="s">
        <v>2817</v>
      </c>
      <c r="W343" s="195"/>
      <c r="X343" s="195">
        <v>6</v>
      </c>
      <c r="Y343" s="195"/>
      <c r="Z343" s="195">
        <v>6</v>
      </c>
      <c r="AA343" s="195"/>
      <c r="AB343" s="195">
        <v>0</v>
      </c>
      <c r="AC343" s="199"/>
      <c r="AD343" s="195" t="s">
        <v>322</v>
      </c>
      <c r="AE343" s="195" t="s">
        <v>332</v>
      </c>
      <c r="AF343" s="195" t="s">
        <v>1472</v>
      </c>
      <c r="AG343" s="195" t="s">
        <v>324</v>
      </c>
      <c r="AH343" s="195" t="s">
        <v>316</v>
      </c>
      <c r="AI343" s="195" t="s">
        <v>324</v>
      </c>
      <c r="AJ343" s="195" t="s">
        <v>324</v>
      </c>
      <c r="AK343" s="195"/>
      <c r="AL343" s="195" t="s">
        <v>322</v>
      </c>
      <c r="AM343" s="199"/>
      <c r="AN343" s="195" t="s">
        <v>2803</v>
      </c>
      <c r="AO343" s="195" t="s">
        <v>2834</v>
      </c>
      <c r="AP343" s="195" t="s">
        <v>2908</v>
      </c>
      <c r="AQ343" s="195" t="s">
        <v>324</v>
      </c>
      <c r="AR343" s="195" t="s">
        <v>958</v>
      </c>
      <c r="AS343" s="195" t="s">
        <v>308</v>
      </c>
      <c r="AT343" s="199"/>
      <c r="AU343" s="195" t="s">
        <v>2909</v>
      </c>
      <c r="AV343" s="195" t="s">
        <v>9</v>
      </c>
      <c r="AW343" s="195" t="str">
        <f ca="1">IFERROR(__xludf.DUMMYFUNCTION("IF(AND(IF(AS343=""Yes"",True,False),NOT(IFERROR(REGEXMATCH(AV343,ExclusionCategories),FALSE))),""Yes"", ""No"")"),"Yes")</f>
        <v>Yes</v>
      </c>
      <c r="AX343" s="195">
        <f ca="1">IFERROR(__xludf.DUMMYFUNCTION("IF(IFERROR(SEARCH(""Unclear"", Z343)) = 1, VALUE(REGEXEXTRACT(Z343,""\d+"")), Z343)"),6)</f>
        <v>6</v>
      </c>
      <c r="AY343" s="195">
        <v>6</v>
      </c>
      <c r="AZ343" s="195" t="str">
        <f ca="1">IFERROR(__xludf.DUMMYFUNCTION("IF(IFERROR(SEARCH(""Unclear"", AG343)) = 1, VALUE(REGEXEXTRACT(AG343,""\d+"")), AG343)"),"ND")</f>
        <v>ND</v>
      </c>
      <c r="BA343" s="195" t="s">
        <v>324</v>
      </c>
      <c r="BB343" s="195" t="str">
        <f ca="1">IFERROR(__xludf.DUMMYFUNCTION("IF(IFERROR(SEARCH(""Unclear"", AJ343)) = 1, VALUE(REGEXEXTRACT(AJ343,""\d+"")), AJ343)"),"ND")</f>
        <v>ND</v>
      </c>
      <c r="BC343" s="195" t="s">
        <v>324</v>
      </c>
      <c r="BD343" s="195" t="b">
        <f t="shared" si="2"/>
        <v>0</v>
      </c>
      <c r="BE343" s="195" t="b">
        <f t="shared" ref="BE343:BF343" si="363">IF(IFERROR(FIND("ND",AI343),0),FALSE,TRUE)</f>
        <v>0</v>
      </c>
      <c r="BF343" s="195" t="b">
        <f t="shared" si="363"/>
        <v>0</v>
      </c>
    </row>
    <row r="344" spans="1:58" ht="37.5" customHeight="1">
      <c r="A344" s="225" t="s">
        <v>2910</v>
      </c>
      <c r="B344" s="226">
        <v>1998</v>
      </c>
      <c r="C344" s="195" t="s">
        <v>952</v>
      </c>
      <c r="D344" s="4" t="s">
        <v>2911</v>
      </c>
      <c r="E344" s="225">
        <v>9652440</v>
      </c>
      <c r="F344" s="254" t="s">
        <v>2912</v>
      </c>
      <c r="G344" s="195" t="str">
        <f t="shared" si="89"/>
        <v>Palmer 1998b</v>
      </c>
      <c r="H344" s="217">
        <v>1998</v>
      </c>
      <c r="I344" s="195"/>
      <c r="J344" s="195"/>
      <c r="K344" s="195">
        <v>6</v>
      </c>
      <c r="L344" s="4"/>
      <c r="M344" s="195">
        <v>3</v>
      </c>
      <c r="N344" s="195">
        <v>3</v>
      </c>
      <c r="O344" s="195" t="s">
        <v>324</v>
      </c>
      <c r="P344" s="195">
        <v>24</v>
      </c>
      <c r="Q344" s="195">
        <v>43</v>
      </c>
      <c r="R344" s="195" t="s">
        <v>324</v>
      </c>
      <c r="S344" s="195" t="s">
        <v>324</v>
      </c>
      <c r="T344" s="195" t="s">
        <v>324</v>
      </c>
      <c r="U344" s="195" t="s">
        <v>324</v>
      </c>
      <c r="V344" s="195" t="s">
        <v>2913</v>
      </c>
      <c r="W344" s="195"/>
      <c r="X344" s="195">
        <v>6</v>
      </c>
      <c r="Y344" s="195"/>
      <c r="Z344" s="195">
        <v>6</v>
      </c>
      <c r="AA344" s="195"/>
      <c r="AB344" s="195">
        <v>0</v>
      </c>
      <c r="AC344" s="199"/>
      <c r="AD344" s="195" t="s">
        <v>322</v>
      </c>
      <c r="AE344" s="195" t="s">
        <v>2914</v>
      </c>
      <c r="AF344" s="195" t="s">
        <v>1472</v>
      </c>
      <c r="AG344" s="195" t="s">
        <v>324</v>
      </c>
      <c r="AH344" s="195" t="s">
        <v>316</v>
      </c>
      <c r="AI344" s="195" t="s">
        <v>324</v>
      </c>
      <c r="AJ344" s="195" t="s">
        <v>324</v>
      </c>
      <c r="AK344" s="195"/>
      <c r="AL344" s="195" t="s">
        <v>322</v>
      </c>
      <c r="AM344" s="199"/>
      <c r="AN344" s="195" t="s">
        <v>2803</v>
      </c>
      <c r="AO344" s="195" t="s">
        <v>2915</v>
      </c>
      <c r="AP344" s="195" t="s">
        <v>2916</v>
      </c>
      <c r="AQ344" s="195" t="s">
        <v>2862</v>
      </c>
      <c r="AR344" s="195" t="s">
        <v>958</v>
      </c>
      <c r="AS344" s="195" t="s">
        <v>308</v>
      </c>
      <c r="AT344" s="199"/>
      <c r="AU344" s="195" t="s">
        <v>2917</v>
      </c>
      <c r="AV344" s="195" t="s">
        <v>9</v>
      </c>
      <c r="AW344" s="195" t="str">
        <f ca="1">IFERROR(__xludf.DUMMYFUNCTION("IF(AND(IF(AS344=""Yes"",True,False),NOT(IFERROR(REGEXMATCH(AV344,ExclusionCategories),FALSE))),""Yes"", ""No"")"),"Yes")</f>
        <v>Yes</v>
      </c>
      <c r="AX344" s="195">
        <f ca="1">IFERROR(__xludf.DUMMYFUNCTION("IF(IFERROR(SEARCH(""Unclear"", Z344)) = 1, VALUE(REGEXEXTRACT(Z344,""\d+"")), Z344)"),6)</f>
        <v>6</v>
      </c>
      <c r="AY344" s="195">
        <v>6</v>
      </c>
      <c r="AZ344" s="195" t="str">
        <f ca="1">IFERROR(__xludf.DUMMYFUNCTION("IF(IFERROR(SEARCH(""Unclear"", AG344)) = 1, VALUE(REGEXEXTRACT(AG344,""\d+"")), AG344)"),"ND")</f>
        <v>ND</v>
      </c>
      <c r="BA344" s="195" t="s">
        <v>324</v>
      </c>
      <c r="BB344" s="195" t="str">
        <f ca="1">IFERROR(__xludf.DUMMYFUNCTION("IF(IFERROR(SEARCH(""Unclear"", AJ344)) = 1, VALUE(REGEXEXTRACT(AJ344,""\d+"")), AJ344)"),"ND")</f>
        <v>ND</v>
      </c>
      <c r="BC344" s="195" t="s">
        <v>324</v>
      </c>
      <c r="BD344" s="195" t="b">
        <f t="shared" si="2"/>
        <v>0</v>
      </c>
      <c r="BE344" s="195" t="b">
        <f t="shared" ref="BE344:BF344" si="364">IF(IFERROR(FIND("ND",AI344),0),FALSE,TRUE)</f>
        <v>0</v>
      </c>
      <c r="BF344" s="195" t="b">
        <f t="shared" si="364"/>
        <v>0</v>
      </c>
    </row>
    <row r="345" spans="1:58" ht="37.5" customHeight="1">
      <c r="A345" s="225" t="s">
        <v>2918</v>
      </c>
      <c r="B345" s="226">
        <v>1994</v>
      </c>
      <c r="C345" s="195" t="s">
        <v>952</v>
      </c>
      <c r="D345" s="4" t="s">
        <v>2919</v>
      </c>
      <c r="E345" s="225">
        <v>8169411</v>
      </c>
      <c r="F345" s="253" t="s">
        <v>2920</v>
      </c>
      <c r="G345" s="195" t="str">
        <f t="shared" si="89"/>
        <v>Spinola 1994</v>
      </c>
      <c r="H345" s="217">
        <v>1994</v>
      </c>
      <c r="I345" s="195"/>
      <c r="J345" s="195"/>
      <c r="K345" s="195">
        <v>4</v>
      </c>
      <c r="L345" s="4" t="s">
        <v>353</v>
      </c>
      <c r="M345" s="195">
        <v>2</v>
      </c>
      <c r="N345" s="195">
        <v>2</v>
      </c>
      <c r="O345" s="195" t="s">
        <v>324</v>
      </c>
      <c r="P345" s="195">
        <v>35</v>
      </c>
      <c r="Q345" s="195">
        <v>43</v>
      </c>
      <c r="R345" s="195" t="s">
        <v>324</v>
      </c>
      <c r="S345" s="195" t="s">
        <v>324</v>
      </c>
      <c r="T345" s="195" t="s">
        <v>324</v>
      </c>
      <c r="U345" s="195" t="s">
        <v>324</v>
      </c>
      <c r="V345" s="195" t="s">
        <v>2817</v>
      </c>
      <c r="W345" s="195"/>
      <c r="X345" s="195">
        <v>4</v>
      </c>
      <c r="Y345" s="195"/>
      <c r="Z345" s="195">
        <v>4</v>
      </c>
      <c r="AA345" s="195"/>
      <c r="AB345" s="195">
        <v>0</v>
      </c>
      <c r="AC345" s="199"/>
      <c r="AD345" s="195" t="s">
        <v>322</v>
      </c>
      <c r="AE345" s="195" t="s">
        <v>2921</v>
      </c>
      <c r="AF345" s="195" t="s">
        <v>1472</v>
      </c>
      <c r="AG345" s="195" t="s">
        <v>324</v>
      </c>
      <c r="AH345" s="195" t="s">
        <v>316</v>
      </c>
      <c r="AI345" s="195" t="s">
        <v>324</v>
      </c>
      <c r="AJ345" s="195" t="s">
        <v>324</v>
      </c>
      <c r="AK345" s="195"/>
      <c r="AL345" s="195" t="s">
        <v>322</v>
      </c>
      <c r="AM345" s="199"/>
      <c r="AN345" s="195" t="s">
        <v>2803</v>
      </c>
      <c r="AO345" s="195" t="s">
        <v>2922</v>
      </c>
      <c r="AP345" s="195" t="s">
        <v>2923</v>
      </c>
      <c r="AQ345" s="195" t="s">
        <v>324</v>
      </c>
      <c r="AR345" s="195" t="s">
        <v>958</v>
      </c>
      <c r="AS345" s="195" t="s">
        <v>308</v>
      </c>
      <c r="AT345" s="199"/>
      <c r="AU345" s="195" t="s">
        <v>2924</v>
      </c>
      <c r="AV345" s="195" t="s">
        <v>9</v>
      </c>
      <c r="AW345" s="195" t="str">
        <f ca="1">IFERROR(__xludf.DUMMYFUNCTION("IF(AND(IF(AS345=""Yes"",True,False),NOT(IFERROR(REGEXMATCH(AV345,ExclusionCategories),FALSE))),""Yes"", ""No"")"),"Yes")</f>
        <v>Yes</v>
      </c>
      <c r="AX345" s="195">
        <f ca="1">IFERROR(__xludf.DUMMYFUNCTION("IF(IFERROR(SEARCH(""Unclear"", Z345)) = 1, VALUE(REGEXEXTRACT(Z345,""\d+"")), Z345)"),4)</f>
        <v>4</v>
      </c>
      <c r="AY345" s="195">
        <v>4</v>
      </c>
      <c r="AZ345" s="195" t="str">
        <f ca="1">IFERROR(__xludf.DUMMYFUNCTION("IF(IFERROR(SEARCH(""Unclear"", AG345)) = 1, VALUE(REGEXEXTRACT(AG345,""\d+"")), AG345)"),"ND")</f>
        <v>ND</v>
      </c>
      <c r="BA345" s="195" t="s">
        <v>324</v>
      </c>
      <c r="BB345" s="195" t="str">
        <f ca="1">IFERROR(__xludf.DUMMYFUNCTION("IF(IFERROR(SEARCH(""Unclear"", AJ345)) = 1, VALUE(REGEXEXTRACT(AJ345,""\d+"")), AJ345)"),"ND")</f>
        <v>ND</v>
      </c>
      <c r="BC345" s="195" t="s">
        <v>324</v>
      </c>
      <c r="BD345" s="195" t="b">
        <f t="shared" si="2"/>
        <v>0</v>
      </c>
      <c r="BE345" s="195" t="b">
        <f t="shared" ref="BE345:BF345" si="365">IF(IFERROR(FIND("ND",AI345),0),FALSE,TRUE)</f>
        <v>0</v>
      </c>
      <c r="BF345" s="195" t="b">
        <f t="shared" si="365"/>
        <v>0</v>
      </c>
    </row>
    <row r="346" spans="1:58" ht="37.5" customHeight="1">
      <c r="A346" s="225" t="s">
        <v>2918</v>
      </c>
      <c r="B346" s="226">
        <v>1994</v>
      </c>
      <c r="C346" s="195" t="s">
        <v>952</v>
      </c>
      <c r="D346" s="4" t="s">
        <v>2919</v>
      </c>
      <c r="E346" s="225">
        <v>8169411</v>
      </c>
      <c r="F346" s="253" t="s">
        <v>2920</v>
      </c>
      <c r="G346" s="195" t="str">
        <f t="shared" si="89"/>
        <v>Spinola 1994</v>
      </c>
      <c r="H346" s="217">
        <v>1994</v>
      </c>
      <c r="I346" s="195"/>
      <c r="J346" s="195"/>
      <c r="K346" s="195">
        <v>2</v>
      </c>
      <c r="L346" s="4" t="s">
        <v>2925</v>
      </c>
      <c r="M346" s="195" t="s">
        <v>324</v>
      </c>
      <c r="N346" s="195" t="s">
        <v>324</v>
      </c>
      <c r="O346" s="195" t="s">
        <v>324</v>
      </c>
      <c r="P346" s="195" t="s">
        <v>324</v>
      </c>
      <c r="Q346" s="195" t="s">
        <v>324</v>
      </c>
      <c r="R346" s="195" t="s">
        <v>324</v>
      </c>
      <c r="S346" s="195" t="s">
        <v>324</v>
      </c>
      <c r="T346" s="195" t="s">
        <v>324</v>
      </c>
      <c r="U346" s="195" t="s">
        <v>324</v>
      </c>
      <c r="V346" s="195" t="s">
        <v>2817</v>
      </c>
      <c r="W346" s="195"/>
      <c r="X346" s="195">
        <v>2</v>
      </c>
      <c r="Y346" s="195"/>
      <c r="Z346" s="195">
        <v>2</v>
      </c>
      <c r="AA346" s="195"/>
      <c r="AB346" s="195">
        <v>0</v>
      </c>
      <c r="AC346" s="199"/>
      <c r="AD346" s="195" t="s">
        <v>322</v>
      </c>
      <c r="AE346" s="195" t="s">
        <v>332</v>
      </c>
      <c r="AF346" s="195" t="s">
        <v>1472</v>
      </c>
      <c r="AG346" s="195" t="s">
        <v>324</v>
      </c>
      <c r="AH346" s="195" t="s">
        <v>316</v>
      </c>
      <c r="AI346" s="195" t="s">
        <v>324</v>
      </c>
      <c r="AJ346" s="195" t="s">
        <v>324</v>
      </c>
      <c r="AK346" s="195"/>
      <c r="AL346" s="195" t="s">
        <v>322</v>
      </c>
      <c r="AM346" s="199"/>
      <c r="AN346" s="195" t="s">
        <v>2803</v>
      </c>
      <c r="AO346" s="195" t="s">
        <v>2922</v>
      </c>
      <c r="AP346" s="195" t="s">
        <v>2923</v>
      </c>
      <c r="AQ346" s="195" t="s">
        <v>324</v>
      </c>
      <c r="AR346" s="195" t="s">
        <v>958</v>
      </c>
      <c r="AS346" s="195" t="s">
        <v>308</v>
      </c>
      <c r="AT346" s="199"/>
      <c r="AU346" s="195" t="s">
        <v>2924</v>
      </c>
      <c r="AV346" s="195" t="s">
        <v>15</v>
      </c>
      <c r="AW346" s="195" t="str">
        <f ca="1">IFERROR(__xludf.DUMMYFUNCTION("IF(AND(IF(AS346=""Yes"",True,False),NOT(IFERROR(REGEXMATCH(AV346,ExclusionCategories),FALSE))),""Yes"", ""No"")"),"No")</f>
        <v>No</v>
      </c>
      <c r="AX346" s="195">
        <f ca="1">IFERROR(__xludf.DUMMYFUNCTION("IF(IFERROR(SEARCH(""Unclear"", Z346)) = 1, VALUE(REGEXEXTRACT(Z346,""\d+"")), Z346)"),2)</f>
        <v>2</v>
      </c>
      <c r="AY346" s="195">
        <v>2</v>
      </c>
      <c r="AZ346" s="195" t="str">
        <f ca="1">IFERROR(__xludf.DUMMYFUNCTION("IF(IFERROR(SEARCH(""Unclear"", AG346)) = 1, VALUE(REGEXEXTRACT(AG346,""\d+"")), AG346)"),"ND")</f>
        <v>ND</v>
      </c>
      <c r="BA346" s="195" t="s">
        <v>324</v>
      </c>
      <c r="BB346" s="195" t="str">
        <f ca="1">IFERROR(__xludf.DUMMYFUNCTION("IF(IFERROR(SEARCH(""Unclear"", AJ346)) = 1, VALUE(REGEXEXTRACT(AJ346,""\d+"")), AJ346)"),"ND")</f>
        <v>ND</v>
      </c>
      <c r="BC346" s="195" t="s">
        <v>324</v>
      </c>
      <c r="BD346" s="195" t="b">
        <f t="shared" si="2"/>
        <v>0</v>
      </c>
      <c r="BE346" s="195" t="b">
        <f t="shared" ref="BE346:BF346" si="366">IF(IFERROR(FIND("ND",AI346),0),FALSE,TRUE)</f>
        <v>0</v>
      </c>
      <c r="BF346" s="195" t="b">
        <f t="shared" si="366"/>
        <v>0</v>
      </c>
    </row>
    <row r="347" spans="1:58" ht="37.5" customHeight="1">
      <c r="A347" s="225" t="s">
        <v>2918</v>
      </c>
      <c r="B347" s="226">
        <v>2003</v>
      </c>
      <c r="C347" s="195" t="s">
        <v>952</v>
      </c>
      <c r="D347" s="4" t="s">
        <v>2926</v>
      </c>
      <c r="E347" s="225">
        <v>14638812</v>
      </c>
      <c r="F347" s="254" t="s">
        <v>2927</v>
      </c>
      <c r="G347" s="195" t="str">
        <f t="shared" si="89"/>
        <v>Spinola 2003b</v>
      </c>
      <c r="H347" s="217">
        <v>2003</v>
      </c>
      <c r="I347" s="195"/>
      <c r="J347" s="195"/>
      <c r="K347" s="195">
        <v>15</v>
      </c>
      <c r="L347" s="4"/>
      <c r="M347" s="195">
        <v>4</v>
      </c>
      <c r="N347" s="195">
        <v>11</v>
      </c>
      <c r="O347" s="195" t="s">
        <v>324</v>
      </c>
      <c r="P347" s="195">
        <v>21</v>
      </c>
      <c r="Q347" s="195">
        <v>48</v>
      </c>
      <c r="R347" s="195">
        <v>18</v>
      </c>
      <c r="S347" s="195" t="s">
        <v>324</v>
      </c>
      <c r="T347" s="195">
        <v>29</v>
      </c>
      <c r="U347" s="195">
        <v>8.9</v>
      </c>
      <c r="V347" s="195" t="s">
        <v>2817</v>
      </c>
      <c r="W347" s="195"/>
      <c r="X347" s="195">
        <v>15</v>
      </c>
      <c r="Y347" s="195"/>
      <c r="Z347" s="195">
        <v>15</v>
      </c>
      <c r="AA347" s="195"/>
      <c r="AB347" s="195">
        <v>0</v>
      </c>
      <c r="AC347" s="199"/>
      <c r="AD347" s="195" t="s">
        <v>322</v>
      </c>
      <c r="AE347" s="195" t="s">
        <v>332</v>
      </c>
      <c r="AF347" s="195" t="s">
        <v>1472</v>
      </c>
      <c r="AG347" s="195" t="s">
        <v>324</v>
      </c>
      <c r="AH347" s="195" t="s">
        <v>316</v>
      </c>
      <c r="AI347" s="195" t="s">
        <v>324</v>
      </c>
      <c r="AJ347" s="195" t="s">
        <v>324</v>
      </c>
      <c r="AK347" s="195"/>
      <c r="AL347" s="195" t="s">
        <v>322</v>
      </c>
      <c r="AM347" s="199"/>
      <c r="AN347" s="195" t="s">
        <v>2803</v>
      </c>
      <c r="AO347" s="195" t="s">
        <v>2928</v>
      </c>
      <c r="AP347" s="195" t="s">
        <v>2929</v>
      </c>
      <c r="AQ347" s="195" t="s">
        <v>2930</v>
      </c>
      <c r="AR347" s="195" t="s">
        <v>958</v>
      </c>
      <c r="AS347" s="195" t="s">
        <v>308</v>
      </c>
      <c r="AT347" s="199"/>
      <c r="AU347" s="195" t="s">
        <v>2931</v>
      </c>
      <c r="AV347" s="195" t="s">
        <v>9</v>
      </c>
      <c r="AW347" s="195" t="str">
        <f ca="1">IFERROR(__xludf.DUMMYFUNCTION("IF(AND(IF(AS347=""Yes"",True,False),NOT(IFERROR(REGEXMATCH(AV347,ExclusionCategories),FALSE))),""Yes"", ""No"")"),"Yes")</f>
        <v>Yes</v>
      </c>
      <c r="AX347" s="195">
        <f ca="1">IFERROR(__xludf.DUMMYFUNCTION("IF(IFERROR(SEARCH(""Unclear"", Z347)) = 1, VALUE(REGEXEXTRACT(Z347,""\d+"")), Z347)"),15)</f>
        <v>15</v>
      </c>
      <c r="AY347" s="195">
        <v>15</v>
      </c>
      <c r="AZ347" s="195" t="str">
        <f ca="1">IFERROR(__xludf.DUMMYFUNCTION("IF(IFERROR(SEARCH(""Unclear"", AG347)) = 1, VALUE(REGEXEXTRACT(AG347,""\d+"")), AG347)"),"ND")</f>
        <v>ND</v>
      </c>
      <c r="BA347" s="195" t="s">
        <v>324</v>
      </c>
      <c r="BB347" s="195" t="str">
        <f ca="1">IFERROR(__xludf.DUMMYFUNCTION("IF(IFERROR(SEARCH(""Unclear"", AJ347)) = 1, VALUE(REGEXEXTRACT(AJ347,""\d+"")), AJ347)"),"ND")</f>
        <v>ND</v>
      </c>
      <c r="BC347" s="195" t="s">
        <v>324</v>
      </c>
      <c r="BD347" s="195" t="b">
        <f t="shared" si="2"/>
        <v>0</v>
      </c>
      <c r="BE347" s="195" t="b">
        <f t="shared" ref="BE347:BF347" si="367">IF(IFERROR(FIND("ND",AI347),0),FALSE,TRUE)</f>
        <v>0</v>
      </c>
      <c r="BF347" s="195" t="b">
        <f t="shared" si="367"/>
        <v>0</v>
      </c>
    </row>
    <row r="348" spans="1:58" ht="37.5" customHeight="1">
      <c r="A348" s="225" t="s">
        <v>2932</v>
      </c>
      <c r="B348" s="226">
        <v>1998</v>
      </c>
      <c r="C348" s="195" t="s">
        <v>952</v>
      </c>
      <c r="D348" s="4" t="s">
        <v>2807</v>
      </c>
      <c r="E348" s="225">
        <v>9607840</v>
      </c>
      <c r="F348" s="253" t="s">
        <v>2933</v>
      </c>
      <c r="G348" s="195" t="str">
        <f t="shared" si="89"/>
        <v>Thornton 1998</v>
      </c>
      <c r="H348" s="217">
        <v>1998</v>
      </c>
      <c r="I348" s="195"/>
      <c r="J348" s="195"/>
      <c r="K348" s="195" t="s">
        <v>2934</v>
      </c>
      <c r="L348" s="4" t="s">
        <v>2935</v>
      </c>
      <c r="M348" s="195">
        <v>6</v>
      </c>
      <c r="N348" s="195">
        <v>12</v>
      </c>
      <c r="O348" s="195" t="s">
        <v>324</v>
      </c>
      <c r="P348" s="195">
        <v>21</v>
      </c>
      <c r="Q348" s="195">
        <v>52</v>
      </c>
      <c r="R348" s="195" t="s">
        <v>324</v>
      </c>
      <c r="S348" s="195" t="s">
        <v>324</v>
      </c>
      <c r="T348" s="195" t="s">
        <v>847</v>
      </c>
      <c r="U348" s="195" t="s">
        <v>324</v>
      </c>
      <c r="V348" s="195" t="s">
        <v>2936</v>
      </c>
      <c r="W348" s="195"/>
      <c r="X348" s="195">
        <v>19</v>
      </c>
      <c r="Y348" s="195" t="s">
        <v>2937</v>
      </c>
      <c r="Z348" s="195">
        <v>19</v>
      </c>
      <c r="AA348" s="195"/>
      <c r="AB348" s="195">
        <v>0</v>
      </c>
      <c r="AC348" s="199"/>
      <c r="AD348" s="195" t="s">
        <v>322</v>
      </c>
      <c r="AE348" s="195" t="s">
        <v>332</v>
      </c>
      <c r="AF348" s="195" t="s">
        <v>1472</v>
      </c>
      <c r="AG348" s="195" t="s">
        <v>324</v>
      </c>
      <c r="AH348" s="195" t="s">
        <v>316</v>
      </c>
      <c r="AI348" s="195" t="s">
        <v>324</v>
      </c>
      <c r="AJ348" s="195" t="s">
        <v>324</v>
      </c>
      <c r="AK348" s="195"/>
      <c r="AL348" s="195" t="s">
        <v>322</v>
      </c>
      <c r="AM348" s="199"/>
      <c r="AN348" s="195" t="s">
        <v>2938</v>
      </c>
      <c r="AO348" s="195" t="s">
        <v>2939</v>
      </c>
      <c r="AP348" s="195" t="s">
        <v>2940</v>
      </c>
      <c r="AQ348" s="195" t="s">
        <v>2941</v>
      </c>
      <c r="AR348" s="195" t="s">
        <v>958</v>
      </c>
      <c r="AS348" s="195" t="s">
        <v>308</v>
      </c>
      <c r="AT348" s="199"/>
      <c r="AU348" s="195" t="s">
        <v>2942</v>
      </c>
      <c r="AV348" s="195" t="s">
        <v>9</v>
      </c>
      <c r="AW348" s="195" t="str">
        <f ca="1">IFERROR(__xludf.DUMMYFUNCTION("IF(AND(IF(AS348=""Yes"",True,False),NOT(IFERROR(REGEXMATCH(AV348,ExclusionCategories),FALSE))),""Yes"", ""No"")"),"Yes")</f>
        <v>Yes</v>
      </c>
      <c r="AX348" s="195">
        <f ca="1">IFERROR(__xludf.DUMMYFUNCTION("IF(IFERROR(SEARCH(""Unclear"", Z348)) = 1, VALUE(REGEXEXTRACT(Z348,""\d+"")), Z348)"),19)</f>
        <v>19</v>
      </c>
      <c r="AY348" s="195">
        <v>19</v>
      </c>
      <c r="AZ348" s="195" t="str">
        <f ca="1">IFERROR(__xludf.DUMMYFUNCTION("IF(IFERROR(SEARCH(""Unclear"", AG348)) = 1, VALUE(REGEXEXTRACT(AG348,""\d+"")), AG348)"),"ND")</f>
        <v>ND</v>
      </c>
      <c r="BA348" s="195" t="s">
        <v>324</v>
      </c>
      <c r="BB348" s="195" t="str">
        <f ca="1">IFERROR(__xludf.DUMMYFUNCTION("IF(IFERROR(SEARCH(""Unclear"", AJ348)) = 1, VALUE(REGEXEXTRACT(AJ348,""\d+"")), AJ348)"),"ND")</f>
        <v>ND</v>
      </c>
      <c r="BC348" s="195" t="s">
        <v>324</v>
      </c>
      <c r="BD348" s="195" t="b">
        <f t="shared" si="2"/>
        <v>0</v>
      </c>
      <c r="BE348" s="195" t="b">
        <f t="shared" ref="BE348:BF348" si="368">IF(IFERROR(FIND("ND",AI348),0),FALSE,TRUE)</f>
        <v>0</v>
      </c>
      <c r="BF348" s="195" t="b">
        <f t="shared" si="368"/>
        <v>0</v>
      </c>
    </row>
    <row r="349" spans="1:58" ht="37.5" customHeight="1">
      <c r="A349" s="225" t="s">
        <v>2932</v>
      </c>
      <c r="B349" s="226">
        <v>1998</v>
      </c>
      <c r="C349" s="195" t="s">
        <v>952</v>
      </c>
      <c r="D349" s="4" t="s">
        <v>2807</v>
      </c>
      <c r="E349" s="225">
        <v>9607840</v>
      </c>
      <c r="F349" s="253" t="s">
        <v>2933</v>
      </c>
      <c r="G349" s="195" t="str">
        <f t="shared" si="89"/>
        <v>Thornton 1998</v>
      </c>
      <c r="H349" s="217">
        <v>1998</v>
      </c>
      <c r="I349" s="195"/>
      <c r="J349" s="195"/>
      <c r="K349" s="195">
        <v>18</v>
      </c>
      <c r="L349" s="4" t="s">
        <v>882</v>
      </c>
      <c r="M349" s="195">
        <v>6</v>
      </c>
      <c r="N349" s="195">
        <v>12</v>
      </c>
      <c r="O349" s="195" t="s">
        <v>324</v>
      </c>
      <c r="P349" s="195">
        <v>21</v>
      </c>
      <c r="Q349" s="195">
        <v>52</v>
      </c>
      <c r="R349" s="195" t="s">
        <v>324</v>
      </c>
      <c r="S349" s="195" t="s">
        <v>324</v>
      </c>
      <c r="T349" s="195" t="s">
        <v>847</v>
      </c>
      <c r="U349" s="195" t="s">
        <v>324</v>
      </c>
      <c r="V349" s="195" t="s">
        <v>2943</v>
      </c>
      <c r="W349" s="195"/>
      <c r="X349" s="195">
        <v>18</v>
      </c>
      <c r="Y349" s="195" t="s">
        <v>2944</v>
      </c>
      <c r="Z349" s="195" t="s">
        <v>892</v>
      </c>
      <c r="AA349" s="195" t="s">
        <v>2945</v>
      </c>
      <c r="AB349" s="195">
        <v>0</v>
      </c>
      <c r="AC349" s="199"/>
      <c r="AD349" s="195" t="s">
        <v>322</v>
      </c>
      <c r="AE349" s="195" t="s">
        <v>2946</v>
      </c>
      <c r="AF349" s="195" t="s">
        <v>899</v>
      </c>
      <c r="AG349" s="195" t="s">
        <v>324</v>
      </c>
      <c r="AH349" s="195" t="s">
        <v>316</v>
      </c>
      <c r="AI349" s="195" t="s">
        <v>324</v>
      </c>
      <c r="AJ349" s="195" t="s">
        <v>324</v>
      </c>
      <c r="AK349" s="195"/>
      <c r="AL349" s="195" t="s">
        <v>322</v>
      </c>
      <c r="AM349" s="199"/>
      <c r="AN349" s="195" t="s">
        <v>2938</v>
      </c>
      <c r="AO349" s="195" t="s">
        <v>2939</v>
      </c>
      <c r="AP349" s="195" t="s">
        <v>2940</v>
      </c>
      <c r="AQ349" s="195" t="s">
        <v>2941</v>
      </c>
      <c r="AR349" s="195" t="s">
        <v>958</v>
      </c>
      <c r="AS349" s="195" t="s">
        <v>308</v>
      </c>
      <c r="AT349" s="199"/>
      <c r="AU349" s="195" t="s">
        <v>2942</v>
      </c>
      <c r="AV349" s="195" t="s">
        <v>15</v>
      </c>
      <c r="AW349" s="195" t="str">
        <f ca="1">IFERROR(__xludf.DUMMYFUNCTION("IF(AND(IF(AS349=""Yes"",True,False),NOT(IFERROR(REGEXMATCH(AV349,ExclusionCategories),FALSE))),""Yes"", ""No"")"),"No")</f>
        <v>No</v>
      </c>
      <c r="AX349" s="195">
        <f ca="1">IFERROR(__xludf.DUMMYFUNCTION("IF(IFERROR(SEARCH(""Unclear"", Z349)) = 1, VALUE(REGEXEXTRACT(Z349,""\d+"")), Z349)"),17)</f>
        <v>17</v>
      </c>
      <c r="AY349" s="195">
        <v>18</v>
      </c>
      <c r="AZ349" s="195" t="str">
        <f ca="1">IFERROR(__xludf.DUMMYFUNCTION("IF(IFERROR(SEARCH(""Unclear"", AG349)) = 1, VALUE(REGEXEXTRACT(AG349,""\d+"")), AG349)"),"ND")</f>
        <v>ND</v>
      </c>
      <c r="BA349" s="195" t="s">
        <v>324</v>
      </c>
      <c r="BB349" s="195" t="str">
        <f ca="1">IFERROR(__xludf.DUMMYFUNCTION("IF(IFERROR(SEARCH(""Unclear"", AJ349)) = 1, VALUE(REGEXEXTRACT(AJ349,""\d+"")), AJ349)"),"ND")</f>
        <v>ND</v>
      </c>
      <c r="BC349" s="195" t="s">
        <v>324</v>
      </c>
      <c r="BD349" s="195" t="b">
        <f t="shared" si="2"/>
        <v>0</v>
      </c>
      <c r="BE349" s="195" t="b">
        <f t="shared" ref="BE349:BF349" si="369">IF(IFERROR(FIND("ND",AI349),0),FALSE,TRUE)</f>
        <v>0</v>
      </c>
      <c r="BF349" s="195" t="b">
        <f t="shared" si="369"/>
        <v>0</v>
      </c>
    </row>
    <row r="350" spans="1:58" ht="37.5" customHeight="1">
      <c r="A350" s="225" t="s">
        <v>2947</v>
      </c>
      <c r="B350" s="226">
        <v>2000</v>
      </c>
      <c r="C350" s="195" t="s">
        <v>952</v>
      </c>
      <c r="D350" s="4" t="s">
        <v>2948</v>
      </c>
      <c r="E350" s="225">
        <v>10768950</v>
      </c>
      <c r="F350" s="253" t="s">
        <v>2949</v>
      </c>
      <c r="G350" s="195" t="str">
        <f t="shared" si="89"/>
        <v>Throm 2000</v>
      </c>
      <c r="H350" s="217">
        <v>2000</v>
      </c>
      <c r="I350" s="195"/>
      <c r="J350" s="195"/>
      <c r="K350" s="195">
        <v>6</v>
      </c>
      <c r="L350" s="4"/>
      <c r="M350" s="195">
        <v>0</v>
      </c>
      <c r="N350" s="195">
        <v>6</v>
      </c>
      <c r="O350" s="195" t="s">
        <v>324</v>
      </c>
      <c r="P350" s="195">
        <v>22</v>
      </c>
      <c r="Q350" s="195">
        <v>56</v>
      </c>
      <c r="R350" s="195" t="s">
        <v>324</v>
      </c>
      <c r="S350" s="195" t="s">
        <v>324</v>
      </c>
      <c r="T350" s="195">
        <v>35.6</v>
      </c>
      <c r="U350" s="195">
        <v>12.7</v>
      </c>
      <c r="V350" s="195" t="s">
        <v>2817</v>
      </c>
      <c r="W350" s="195" t="s">
        <v>2950</v>
      </c>
      <c r="X350" s="195">
        <v>5</v>
      </c>
      <c r="Y350" s="195"/>
      <c r="Z350" s="195">
        <v>5</v>
      </c>
      <c r="AA350" s="195"/>
      <c r="AB350" s="195">
        <v>0</v>
      </c>
      <c r="AC350" s="199"/>
      <c r="AD350" s="195" t="s">
        <v>322</v>
      </c>
      <c r="AE350" s="195" t="s">
        <v>332</v>
      </c>
      <c r="AF350" s="195" t="s">
        <v>1472</v>
      </c>
      <c r="AG350" s="195" t="s">
        <v>324</v>
      </c>
      <c r="AH350" s="195" t="s">
        <v>316</v>
      </c>
      <c r="AI350" s="195" t="s">
        <v>324</v>
      </c>
      <c r="AJ350" s="195" t="s">
        <v>324</v>
      </c>
      <c r="AK350" s="195"/>
      <c r="AL350" s="195" t="s">
        <v>322</v>
      </c>
      <c r="AM350" s="199"/>
      <c r="AN350" s="195" t="s">
        <v>2803</v>
      </c>
      <c r="AO350" s="195" t="s">
        <v>2951</v>
      </c>
      <c r="AP350" s="195" t="s">
        <v>2952</v>
      </c>
      <c r="AQ350" s="195" t="s">
        <v>2930</v>
      </c>
      <c r="AR350" s="195" t="s">
        <v>958</v>
      </c>
      <c r="AS350" s="195" t="s">
        <v>308</v>
      </c>
      <c r="AT350" s="199"/>
      <c r="AU350" s="195" t="s">
        <v>2953</v>
      </c>
      <c r="AV350" s="195" t="s">
        <v>9</v>
      </c>
      <c r="AW350" s="195" t="str">
        <f ca="1">IFERROR(__xludf.DUMMYFUNCTION("IF(AND(IF(AS350=""Yes"",True,False),NOT(IFERROR(REGEXMATCH(AV350,ExclusionCategories),FALSE))),""Yes"", ""No"")"),"Yes")</f>
        <v>Yes</v>
      </c>
      <c r="AX350" s="195">
        <f ca="1">IFERROR(__xludf.DUMMYFUNCTION("IF(IFERROR(SEARCH(""Unclear"", Z350)) = 1, VALUE(REGEXEXTRACT(Z350,""\d+"")), Z350)"),5)</f>
        <v>5</v>
      </c>
      <c r="AY350" s="195">
        <v>5</v>
      </c>
      <c r="AZ350" s="195" t="str">
        <f ca="1">IFERROR(__xludf.DUMMYFUNCTION("IF(IFERROR(SEARCH(""Unclear"", AG350)) = 1, VALUE(REGEXEXTRACT(AG350,""\d+"")), AG350)"),"ND")</f>
        <v>ND</v>
      </c>
      <c r="BA350" s="195" t="s">
        <v>324</v>
      </c>
      <c r="BB350" s="195" t="str">
        <f ca="1">IFERROR(__xludf.DUMMYFUNCTION("IF(IFERROR(SEARCH(""Unclear"", AJ350)) = 1, VALUE(REGEXEXTRACT(AJ350,""\d+"")), AJ350)"),"ND")</f>
        <v>ND</v>
      </c>
      <c r="BC350" s="195" t="s">
        <v>324</v>
      </c>
      <c r="BD350" s="195" t="b">
        <f t="shared" si="2"/>
        <v>0</v>
      </c>
      <c r="BE350" s="195" t="b">
        <f t="shared" ref="BE350:BF350" si="370">IF(IFERROR(FIND("ND",AI350),0),FALSE,TRUE)</f>
        <v>0</v>
      </c>
      <c r="BF350" s="195" t="b">
        <f t="shared" si="370"/>
        <v>0</v>
      </c>
    </row>
    <row r="351" spans="1:58" ht="37.5" customHeight="1">
      <c r="A351" s="225" t="s">
        <v>2954</v>
      </c>
      <c r="B351" s="226">
        <v>1999</v>
      </c>
      <c r="C351" s="195" t="s">
        <v>952</v>
      </c>
      <c r="D351" s="4" t="s">
        <v>2955</v>
      </c>
      <c r="E351" s="225">
        <v>10569746</v>
      </c>
      <c r="F351" s="253" t="s">
        <v>2956</v>
      </c>
      <c r="G351" s="195" t="str">
        <f t="shared" si="89"/>
        <v>Young 1999</v>
      </c>
      <c r="H351" s="217">
        <v>1999</v>
      </c>
      <c r="I351" s="195"/>
      <c r="J351" s="195"/>
      <c r="K351" s="195">
        <v>7</v>
      </c>
      <c r="L351" s="4"/>
      <c r="M351" s="195">
        <v>2</v>
      </c>
      <c r="N351" s="195">
        <v>5</v>
      </c>
      <c r="O351" s="195" t="s">
        <v>324</v>
      </c>
      <c r="P351" s="195">
        <v>25</v>
      </c>
      <c r="Q351" s="195">
        <v>54</v>
      </c>
      <c r="R351" s="195">
        <v>18</v>
      </c>
      <c r="S351" s="195" t="s">
        <v>324</v>
      </c>
      <c r="T351" s="195">
        <v>37.1</v>
      </c>
      <c r="U351" s="195">
        <v>10.5</v>
      </c>
      <c r="V351" s="195" t="s">
        <v>2957</v>
      </c>
      <c r="W351" s="195" t="s">
        <v>2958</v>
      </c>
      <c r="X351" s="195">
        <v>5</v>
      </c>
      <c r="Y351" s="195"/>
      <c r="Z351" s="195">
        <v>5</v>
      </c>
      <c r="AA351" s="195"/>
      <c r="AB351" s="195">
        <v>0</v>
      </c>
      <c r="AC351" s="199"/>
      <c r="AD351" s="195" t="s">
        <v>322</v>
      </c>
      <c r="AE351" s="195" t="s">
        <v>332</v>
      </c>
      <c r="AF351" s="195" t="s">
        <v>1472</v>
      </c>
      <c r="AG351" s="195" t="s">
        <v>324</v>
      </c>
      <c r="AH351" s="195" t="s">
        <v>316</v>
      </c>
      <c r="AI351" s="195" t="s">
        <v>324</v>
      </c>
      <c r="AJ351" s="195" t="s">
        <v>324</v>
      </c>
      <c r="AK351" s="195"/>
      <c r="AL351" s="195" t="s">
        <v>322</v>
      </c>
      <c r="AM351" s="199"/>
      <c r="AN351" s="195" t="s">
        <v>2803</v>
      </c>
      <c r="AO351" s="195" t="s">
        <v>2959</v>
      </c>
      <c r="AP351" s="195" t="s">
        <v>2960</v>
      </c>
      <c r="AQ351" s="195" t="s">
        <v>2961</v>
      </c>
      <c r="AR351" s="195" t="s">
        <v>958</v>
      </c>
      <c r="AS351" s="195" t="s">
        <v>308</v>
      </c>
      <c r="AT351" s="199"/>
      <c r="AU351" s="195" t="s">
        <v>2962</v>
      </c>
      <c r="AV351" s="195" t="s">
        <v>9</v>
      </c>
      <c r="AW351" s="195" t="str">
        <f ca="1">IFERROR(__xludf.DUMMYFUNCTION("IF(AND(IF(AS351=""Yes"",True,False),NOT(IFERROR(REGEXMATCH(AV351,ExclusionCategories),FALSE))),""Yes"", ""No"")"),"Yes")</f>
        <v>Yes</v>
      </c>
      <c r="AX351" s="195">
        <f ca="1">IFERROR(__xludf.DUMMYFUNCTION("IF(IFERROR(SEARCH(""Unclear"", Z351)) = 1, VALUE(REGEXEXTRACT(Z351,""\d+"")), Z351)"),5)</f>
        <v>5</v>
      </c>
      <c r="AY351" s="195">
        <v>5</v>
      </c>
      <c r="AZ351" s="195" t="str">
        <f ca="1">IFERROR(__xludf.DUMMYFUNCTION("IF(IFERROR(SEARCH(""Unclear"", AG351)) = 1, VALUE(REGEXEXTRACT(AG351,""\d+"")), AG351)"),"ND")</f>
        <v>ND</v>
      </c>
      <c r="BA351" s="195" t="s">
        <v>324</v>
      </c>
      <c r="BB351" s="195" t="str">
        <f ca="1">IFERROR(__xludf.DUMMYFUNCTION("IF(IFERROR(SEARCH(""Unclear"", AJ351)) = 1, VALUE(REGEXEXTRACT(AJ351,""\d+"")), AJ351)"),"ND")</f>
        <v>ND</v>
      </c>
      <c r="BC351" s="195" t="s">
        <v>324</v>
      </c>
      <c r="BD351" s="195" t="b">
        <f t="shared" si="2"/>
        <v>0</v>
      </c>
      <c r="BE351" s="195" t="b">
        <f t="shared" ref="BE351:BF351" si="371">IF(IFERROR(FIND("ND",AI351),0),FALSE,TRUE)</f>
        <v>0</v>
      </c>
      <c r="BF351" s="195" t="b">
        <f t="shared" si="371"/>
        <v>0</v>
      </c>
    </row>
    <row r="352" spans="1:58" ht="37.5" customHeight="1">
      <c r="A352" s="225" t="s">
        <v>2954</v>
      </c>
      <c r="B352" s="226">
        <v>1999</v>
      </c>
      <c r="C352" s="195" t="s">
        <v>952</v>
      </c>
      <c r="D352" s="4" t="s">
        <v>2963</v>
      </c>
      <c r="E352" s="225">
        <v>10569746</v>
      </c>
      <c r="F352" s="253" t="s">
        <v>2956</v>
      </c>
      <c r="G352" s="195" t="str">
        <f t="shared" si="89"/>
        <v>Young 1999</v>
      </c>
      <c r="H352" s="217">
        <v>1999</v>
      </c>
      <c r="I352" s="195"/>
      <c r="J352" s="195"/>
      <c r="K352" s="195">
        <v>8</v>
      </c>
      <c r="L352" s="4"/>
      <c r="M352" s="195">
        <v>5</v>
      </c>
      <c r="N352" s="195">
        <v>3</v>
      </c>
      <c r="O352" s="195" t="s">
        <v>324</v>
      </c>
      <c r="P352" s="195">
        <v>19</v>
      </c>
      <c r="Q352" s="195">
        <v>48</v>
      </c>
      <c r="R352" s="195">
        <v>18</v>
      </c>
      <c r="S352" s="195" t="s">
        <v>324</v>
      </c>
      <c r="T352" s="195">
        <v>32.5</v>
      </c>
      <c r="U352" s="195">
        <v>9.1</v>
      </c>
      <c r="V352" s="195" t="s">
        <v>2957</v>
      </c>
      <c r="W352" s="195" t="s">
        <v>2964</v>
      </c>
      <c r="X352" s="195">
        <v>5</v>
      </c>
      <c r="Y352" s="195"/>
      <c r="Z352" s="195">
        <v>5</v>
      </c>
      <c r="AA352" s="195"/>
      <c r="AB352" s="195">
        <v>0</v>
      </c>
      <c r="AC352" s="199"/>
      <c r="AD352" s="195" t="s">
        <v>322</v>
      </c>
      <c r="AE352" s="195" t="s">
        <v>332</v>
      </c>
      <c r="AF352" s="195" t="s">
        <v>1472</v>
      </c>
      <c r="AG352" s="195" t="s">
        <v>324</v>
      </c>
      <c r="AH352" s="195" t="s">
        <v>316</v>
      </c>
      <c r="AI352" s="195" t="s">
        <v>324</v>
      </c>
      <c r="AJ352" s="195" t="s">
        <v>324</v>
      </c>
      <c r="AK352" s="195"/>
      <c r="AL352" s="195" t="s">
        <v>322</v>
      </c>
      <c r="AM352" s="199"/>
      <c r="AN352" s="195" t="s">
        <v>2803</v>
      </c>
      <c r="AO352" s="195" t="s">
        <v>2959</v>
      </c>
      <c r="AP352" s="195" t="s">
        <v>2960</v>
      </c>
      <c r="AQ352" s="195" t="s">
        <v>2961</v>
      </c>
      <c r="AR352" s="195" t="s">
        <v>958</v>
      </c>
      <c r="AS352" s="195" t="s">
        <v>308</v>
      </c>
      <c r="AT352" s="199"/>
      <c r="AU352" s="195" t="s">
        <v>2962</v>
      </c>
      <c r="AV352" s="195" t="s">
        <v>9</v>
      </c>
      <c r="AW352" s="195" t="str">
        <f ca="1">IFERROR(__xludf.DUMMYFUNCTION("IF(AND(IF(AS352=""Yes"",True,False),NOT(IFERROR(REGEXMATCH(AV352,ExclusionCategories),FALSE))),""Yes"", ""No"")"),"Yes")</f>
        <v>Yes</v>
      </c>
      <c r="AX352" s="195">
        <f ca="1">IFERROR(__xludf.DUMMYFUNCTION("IF(IFERROR(SEARCH(""Unclear"", Z352)) = 1, VALUE(REGEXEXTRACT(Z352,""\d+"")), Z352)"),5)</f>
        <v>5</v>
      </c>
      <c r="AY352" s="195">
        <v>5</v>
      </c>
      <c r="AZ352" s="195" t="str">
        <f ca="1">IFERROR(__xludf.DUMMYFUNCTION("IF(IFERROR(SEARCH(""Unclear"", AG352)) = 1, VALUE(REGEXEXTRACT(AG352,""\d+"")), AG352)"),"ND")</f>
        <v>ND</v>
      </c>
      <c r="BA352" s="195" t="s">
        <v>324</v>
      </c>
      <c r="BB352" s="195" t="str">
        <f ca="1">IFERROR(__xludf.DUMMYFUNCTION("IF(IFERROR(SEARCH(""Unclear"", AJ352)) = 1, VALUE(REGEXEXTRACT(AJ352,""\d+"")), AJ352)"),"ND")</f>
        <v>ND</v>
      </c>
      <c r="BC352" s="195" t="s">
        <v>324</v>
      </c>
      <c r="BD352" s="195" t="b">
        <f t="shared" si="2"/>
        <v>0</v>
      </c>
      <c r="BE352" s="195" t="b">
        <f t="shared" ref="BE352:BF352" si="372">IF(IFERROR(FIND("ND",AI352),0),FALSE,TRUE)</f>
        <v>0</v>
      </c>
      <c r="BF352" s="195" t="b">
        <f t="shared" si="372"/>
        <v>0</v>
      </c>
    </row>
    <row r="353" spans="1:58" ht="37.5" customHeight="1">
      <c r="A353" s="225" t="s">
        <v>2954</v>
      </c>
      <c r="B353" s="226">
        <v>2001</v>
      </c>
      <c r="C353" s="195" t="s">
        <v>952</v>
      </c>
      <c r="D353" s="4" t="s">
        <v>2965</v>
      </c>
      <c r="E353" s="225">
        <v>11349097</v>
      </c>
      <c r="F353" s="253" t="s">
        <v>2966</v>
      </c>
      <c r="G353" s="195" t="str">
        <f t="shared" si="89"/>
        <v>Young 2001a</v>
      </c>
      <c r="H353" s="217">
        <v>2001</v>
      </c>
      <c r="I353" s="195"/>
      <c r="J353" s="195"/>
      <c r="K353" s="195">
        <v>7</v>
      </c>
      <c r="L353" s="4"/>
      <c r="M353" s="195">
        <v>4</v>
      </c>
      <c r="N353" s="195">
        <v>3</v>
      </c>
      <c r="O353" s="195" t="s">
        <v>324</v>
      </c>
      <c r="P353" s="195">
        <v>22</v>
      </c>
      <c r="Q353" s="195">
        <v>51</v>
      </c>
      <c r="R353" s="195">
        <v>18</v>
      </c>
      <c r="S353" s="195" t="s">
        <v>324</v>
      </c>
      <c r="T353" s="195">
        <v>33</v>
      </c>
      <c r="U353" s="195">
        <v>11.7</v>
      </c>
      <c r="V353" s="195" t="s">
        <v>2967</v>
      </c>
      <c r="W353" s="195" t="s">
        <v>2968</v>
      </c>
      <c r="X353" s="195">
        <v>5</v>
      </c>
      <c r="Y353" s="195"/>
      <c r="Z353" s="195">
        <v>5</v>
      </c>
      <c r="AA353" s="195"/>
      <c r="AB353" s="195">
        <v>0</v>
      </c>
      <c r="AC353" s="199"/>
      <c r="AD353" s="195" t="s">
        <v>322</v>
      </c>
      <c r="AE353" s="195" t="s">
        <v>332</v>
      </c>
      <c r="AF353" s="195" t="s">
        <v>1472</v>
      </c>
      <c r="AG353" s="195" t="s">
        <v>324</v>
      </c>
      <c r="AH353" s="195" t="s">
        <v>316</v>
      </c>
      <c r="AI353" s="195" t="s">
        <v>324</v>
      </c>
      <c r="AJ353" s="195" t="s">
        <v>324</v>
      </c>
      <c r="AK353" s="195"/>
      <c r="AL353" s="195" t="s">
        <v>322</v>
      </c>
      <c r="AM353" s="199"/>
      <c r="AN353" s="195" t="s">
        <v>2803</v>
      </c>
      <c r="AO353" s="195" t="s">
        <v>2969</v>
      </c>
      <c r="AP353" s="195" t="s">
        <v>2970</v>
      </c>
      <c r="AQ353" s="195" t="s">
        <v>2971</v>
      </c>
      <c r="AR353" s="195" t="s">
        <v>958</v>
      </c>
      <c r="AS353" s="195" t="s">
        <v>308</v>
      </c>
      <c r="AT353" s="199"/>
      <c r="AU353" s="195" t="s">
        <v>2972</v>
      </c>
      <c r="AV353" s="195" t="s">
        <v>9</v>
      </c>
      <c r="AW353" s="195" t="str">
        <f ca="1">IFERROR(__xludf.DUMMYFUNCTION("IF(AND(IF(AS353=""Yes"",True,False),NOT(IFERROR(REGEXMATCH(AV353,ExclusionCategories),FALSE))),""Yes"", ""No"")"),"Yes")</f>
        <v>Yes</v>
      </c>
      <c r="AX353" s="195">
        <f ca="1">IFERROR(__xludf.DUMMYFUNCTION("IF(IFERROR(SEARCH(""Unclear"", Z353)) = 1, VALUE(REGEXEXTRACT(Z353,""\d+"")), Z353)"),5)</f>
        <v>5</v>
      </c>
      <c r="AY353" s="195">
        <v>5</v>
      </c>
      <c r="AZ353" s="195" t="str">
        <f ca="1">IFERROR(__xludf.DUMMYFUNCTION("IF(IFERROR(SEARCH(""Unclear"", AG353)) = 1, VALUE(REGEXEXTRACT(AG353,""\d+"")), AG353)"),"ND")</f>
        <v>ND</v>
      </c>
      <c r="BA353" s="195" t="s">
        <v>324</v>
      </c>
      <c r="BB353" s="195" t="str">
        <f ca="1">IFERROR(__xludf.DUMMYFUNCTION("IF(IFERROR(SEARCH(""Unclear"", AJ353)) = 1, VALUE(REGEXEXTRACT(AJ353,""\d+"")), AJ353)"),"ND")</f>
        <v>ND</v>
      </c>
      <c r="BC353" s="195" t="s">
        <v>324</v>
      </c>
      <c r="BD353" s="195" t="b">
        <f t="shared" si="2"/>
        <v>0</v>
      </c>
      <c r="BE353" s="195" t="b">
        <f t="shared" ref="BE353:BF353" si="373">IF(IFERROR(FIND("ND",AI353),0),FALSE,TRUE)</f>
        <v>0</v>
      </c>
      <c r="BF353" s="195" t="b">
        <f t="shared" si="373"/>
        <v>0</v>
      </c>
    </row>
    <row r="354" spans="1:58" ht="37.5" customHeight="1">
      <c r="A354" s="225" t="s">
        <v>2954</v>
      </c>
      <c r="B354" s="226">
        <v>2001</v>
      </c>
      <c r="C354" s="195" t="s">
        <v>952</v>
      </c>
      <c r="D354" s="4" t="s">
        <v>2973</v>
      </c>
      <c r="E354" s="225">
        <v>11179379</v>
      </c>
      <c r="F354" s="253" t="s">
        <v>2974</v>
      </c>
      <c r="G354" s="195" t="str">
        <f t="shared" si="89"/>
        <v>Young 2001b</v>
      </c>
      <c r="H354" s="217">
        <v>2001</v>
      </c>
      <c r="I354" s="195"/>
      <c r="J354" s="195"/>
      <c r="K354" s="195">
        <v>7</v>
      </c>
      <c r="L354" s="4"/>
      <c r="M354" s="195">
        <v>5</v>
      </c>
      <c r="N354" s="195">
        <v>2</v>
      </c>
      <c r="O354" s="195" t="s">
        <v>324</v>
      </c>
      <c r="P354" s="195">
        <v>20</v>
      </c>
      <c r="Q354" s="195">
        <v>47</v>
      </c>
      <c r="R354" s="195">
        <v>18</v>
      </c>
      <c r="S354" s="195" t="s">
        <v>324</v>
      </c>
      <c r="T354" s="195">
        <v>35.299999999999997</v>
      </c>
      <c r="U354" s="195">
        <v>10.199999999999999</v>
      </c>
      <c r="V354" s="195" t="s">
        <v>2846</v>
      </c>
      <c r="W354" s="195" t="s">
        <v>2847</v>
      </c>
      <c r="X354" s="195">
        <v>6</v>
      </c>
      <c r="Y354" s="195"/>
      <c r="Z354" s="195">
        <v>6</v>
      </c>
      <c r="AA354" s="195"/>
      <c r="AB354" s="195">
        <v>0</v>
      </c>
      <c r="AC354" s="199"/>
      <c r="AD354" s="195" t="s">
        <v>322</v>
      </c>
      <c r="AE354" s="195" t="s">
        <v>332</v>
      </c>
      <c r="AF354" s="195" t="s">
        <v>1472</v>
      </c>
      <c r="AG354" s="195" t="s">
        <v>324</v>
      </c>
      <c r="AH354" s="195" t="s">
        <v>316</v>
      </c>
      <c r="AI354" s="195" t="s">
        <v>324</v>
      </c>
      <c r="AJ354" s="195" t="s">
        <v>324</v>
      </c>
      <c r="AK354" s="195"/>
      <c r="AL354" s="195" t="s">
        <v>322</v>
      </c>
      <c r="AM354" s="199"/>
      <c r="AN354" s="195" t="s">
        <v>2803</v>
      </c>
      <c r="AO354" s="195" t="s">
        <v>2848</v>
      </c>
      <c r="AP354" s="195" t="s">
        <v>2975</v>
      </c>
      <c r="AQ354" s="195" t="s">
        <v>2976</v>
      </c>
      <c r="AR354" s="195" t="s">
        <v>958</v>
      </c>
      <c r="AS354" s="195" t="s">
        <v>308</v>
      </c>
      <c r="AT354" s="199"/>
      <c r="AU354" s="195" t="s">
        <v>2977</v>
      </c>
      <c r="AV354" s="195" t="s">
        <v>9</v>
      </c>
      <c r="AW354" s="195" t="str">
        <f ca="1">IFERROR(__xludf.DUMMYFUNCTION("IF(AND(IF(AS354=""Yes"",True,False),NOT(IFERROR(REGEXMATCH(AV354,ExclusionCategories),FALSE))),""Yes"", ""No"")"),"Yes")</f>
        <v>Yes</v>
      </c>
      <c r="AX354" s="195">
        <f ca="1">IFERROR(__xludf.DUMMYFUNCTION("IF(IFERROR(SEARCH(""Unclear"", Z354)) = 1, VALUE(REGEXEXTRACT(Z354,""\d+"")), Z354)"),6)</f>
        <v>6</v>
      </c>
      <c r="AY354" s="195">
        <v>6</v>
      </c>
      <c r="AZ354" s="195" t="str">
        <f ca="1">IFERROR(__xludf.DUMMYFUNCTION("IF(IFERROR(SEARCH(""Unclear"", AG354)) = 1, VALUE(REGEXEXTRACT(AG354,""\d+"")), AG354)"),"ND")</f>
        <v>ND</v>
      </c>
      <c r="BA354" s="195" t="s">
        <v>324</v>
      </c>
      <c r="BB354" s="195" t="str">
        <f ca="1">IFERROR(__xludf.DUMMYFUNCTION("IF(IFERROR(SEARCH(""Unclear"", AJ354)) = 1, VALUE(REGEXEXTRACT(AJ354,""\d+"")), AJ354)"),"ND")</f>
        <v>ND</v>
      </c>
      <c r="BC354" s="195" t="s">
        <v>324</v>
      </c>
      <c r="BD354" s="195" t="b">
        <f t="shared" si="2"/>
        <v>0</v>
      </c>
      <c r="BE354" s="195" t="b">
        <f t="shared" ref="BE354:BF354" si="374">IF(IFERROR(FIND("ND",AI354),0),FALSE,TRUE)</f>
        <v>0</v>
      </c>
      <c r="BF354" s="195" t="b">
        <f t="shared" si="374"/>
        <v>0</v>
      </c>
    </row>
    <row r="355" spans="1:58" ht="37.5" customHeight="1">
      <c r="A355" s="225" t="s">
        <v>2954</v>
      </c>
      <c r="B355" s="226">
        <v>2001</v>
      </c>
      <c r="C355" s="195" t="s">
        <v>952</v>
      </c>
      <c r="D355" s="4" t="s">
        <v>2978</v>
      </c>
      <c r="E355" s="225">
        <v>11179379</v>
      </c>
      <c r="F355" s="253" t="s">
        <v>2974</v>
      </c>
      <c r="G355" s="195" t="str">
        <f t="shared" si="89"/>
        <v>Young 2001b</v>
      </c>
      <c r="H355" s="217">
        <v>2001</v>
      </c>
      <c r="I355" s="195"/>
      <c r="J355" s="195"/>
      <c r="K355" s="195">
        <v>8</v>
      </c>
      <c r="L355" s="4"/>
      <c r="M355" s="195">
        <v>4</v>
      </c>
      <c r="N355" s="195">
        <v>4</v>
      </c>
      <c r="O355" s="195" t="s">
        <v>324</v>
      </c>
      <c r="P355" s="195">
        <v>21</v>
      </c>
      <c r="Q355" s="195">
        <v>38</v>
      </c>
      <c r="R355" s="195">
        <v>18</v>
      </c>
      <c r="S355" s="195" t="s">
        <v>324</v>
      </c>
      <c r="T355" s="195">
        <v>28.3</v>
      </c>
      <c r="U355" s="195">
        <v>7.3</v>
      </c>
      <c r="V355" s="195" t="s">
        <v>2846</v>
      </c>
      <c r="W355" s="195" t="s">
        <v>2979</v>
      </c>
      <c r="X355" s="195">
        <v>5</v>
      </c>
      <c r="Y355" s="195"/>
      <c r="Z355" s="195">
        <v>5</v>
      </c>
      <c r="AA355" s="195"/>
      <c r="AB355" s="195">
        <v>0</v>
      </c>
      <c r="AC355" s="199"/>
      <c r="AD355" s="195" t="s">
        <v>322</v>
      </c>
      <c r="AE355" s="195" t="s">
        <v>332</v>
      </c>
      <c r="AF355" s="195" t="s">
        <v>1472</v>
      </c>
      <c r="AG355" s="195" t="s">
        <v>324</v>
      </c>
      <c r="AH355" s="195" t="s">
        <v>316</v>
      </c>
      <c r="AI355" s="195" t="s">
        <v>324</v>
      </c>
      <c r="AJ355" s="195" t="s">
        <v>324</v>
      </c>
      <c r="AK355" s="195"/>
      <c r="AL355" s="195" t="s">
        <v>322</v>
      </c>
      <c r="AM355" s="199"/>
      <c r="AN355" s="195" t="s">
        <v>2803</v>
      </c>
      <c r="AO355" s="195" t="s">
        <v>2848</v>
      </c>
      <c r="AP355" s="195" t="s">
        <v>2975</v>
      </c>
      <c r="AQ355" s="195" t="s">
        <v>2976</v>
      </c>
      <c r="AR355" s="195" t="s">
        <v>958</v>
      </c>
      <c r="AS355" s="195" t="s">
        <v>308</v>
      </c>
      <c r="AT355" s="199"/>
      <c r="AU355" s="195" t="s">
        <v>2977</v>
      </c>
      <c r="AV355" s="195" t="s">
        <v>9</v>
      </c>
      <c r="AW355" s="195" t="str">
        <f ca="1">IFERROR(__xludf.DUMMYFUNCTION("IF(AND(IF(AS355=""Yes"",True,False),NOT(IFERROR(REGEXMATCH(AV355,ExclusionCategories),FALSE))),""Yes"", ""No"")"),"Yes")</f>
        <v>Yes</v>
      </c>
      <c r="AX355" s="195">
        <f ca="1">IFERROR(__xludf.DUMMYFUNCTION("IF(IFERROR(SEARCH(""Unclear"", Z355)) = 1, VALUE(REGEXEXTRACT(Z355,""\d+"")), Z355)"),5)</f>
        <v>5</v>
      </c>
      <c r="AY355" s="195">
        <v>5</v>
      </c>
      <c r="AZ355" s="195" t="str">
        <f ca="1">IFERROR(__xludf.DUMMYFUNCTION("IF(IFERROR(SEARCH(""Unclear"", AG355)) = 1, VALUE(REGEXEXTRACT(AG355,""\d+"")), AG355)"),"ND")</f>
        <v>ND</v>
      </c>
      <c r="BA355" s="195" t="s">
        <v>324</v>
      </c>
      <c r="BB355" s="195" t="str">
        <f ca="1">IFERROR(__xludf.DUMMYFUNCTION("IF(IFERROR(SEARCH(""Unclear"", AJ355)) = 1, VALUE(REGEXEXTRACT(AJ355,""\d+"")), AJ355)"),"ND")</f>
        <v>ND</v>
      </c>
      <c r="BC355" s="195" t="s">
        <v>324</v>
      </c>
      <c r="BD355" s="195" t="b">
        <f t="shared" si="2"/>
        <v>0</v>
      </c>
      <c r="BE355" s="195" t="b">
        <f t="shared" ref="BE355:BF355" si="375">IF(IFERROR(FIND("ND",AI355),0),FALSE,TRUE)</f>
        <v>0</v>
      </c>
      <c r="BF355" s="195" t="b">
        <f t="shared" si="375"/>
        <v>0</v>
      </c>
    </row>
    <row r="356" spans="1:58" ht="37.5" customHeight="1">
      <c r="A356" s="212" t="s">
        <v>2980</v>
      </c>
      <c r="B356" s="213">
        <v>2017</v>
      </c>
      <c r="C356" s="195" t="s">
        <v>339</v>
      </c>
      <c r="D356" s="4" t="s">
        <v>2981</v>
      </c>
      <c r="E356" s="212">
        <v>28637923</v>
      </c>
      <c r="F356" s="255" t="s">
        <v>2982</v>
      </c>
      <c r="G356" s="213" t="str">
        <f t="shared" si="89"/>
        <v>McCall 2017</v>
      </c>
      <c r="H356" s="195">
        <v>2012</v>
      </c>
      <c r="I356" s="195"/>
      <c r="J356" s="195"/>
      <c r="K356" s="195">
        <v>15</v>
      </c>
      <c r="L356" s="4"/>
      <c r="M356" s="195">
        <v>9</v>
      </c>
      <c r="N356" s="195">
        <v>6</v>
      </c>
      <c r="O356" s="195" t="s">
        <v>2983</v>
      </c>
      <c r="P356" s="195">
        <v>18</v>
      </c>
      <c r="Q356" s="195">
        <v>35</v>
      </c>
      <c r="R356" s="195">
        <v>18</v>
      </c>
      <c r="S356" s="195">
        <v>35</v>
      </c>
      <c r="T356" s="195" t="s">
        <v>324</v>
      </c>
      <c r="U356" s="195" t="s">
        <v>324</v>
      </c>
      <c r="V356" s="195" t="s">
        <v>2984</v>
      </c>
      <c r="W356" s="199"/>
      <c r="X356" s="195">
        <v>15</v>
      </c>
      <c r="Y356" s="195"/>
      <c r="Z356" s="195">
        <v>15</v>
      </c>
      <c r="AA356" s="195" t="s">
        <v>2985</v>
      </c>
      <c r="AB356" s="195">
        <v>0</v>
      </c>
      <c r="AC356" s="199"/>
      <c r="AD356" s="195" t="s">
        <v>322</v>
      </c>
      <c r="AE356" s="195" t="s">
        <v>2986</v>
      </c>
      <c r="AF356" s="195"/>
      <c r="AG356" s="195">
        <v>15</v>
      </c>
      <c r="AH356" s="195" t="s">
        <v>308</v>
      </c>
      <c r="AI356" s="195">
        <v>0</v>
      </c>
      <c r="AJ356" s="195">
        <v>6</v>
      </c>
      <c r="AK356" s="195" t="s">
        <v>2987</v>
      </c>
      <c r="AL356" s="195" t="s">
        <v>322</v>
      </c>
      <c r="AM356" s="199"/>
      <c r="AN356" s="195" t="s">
        <v>2988</v>
      </c>
      <c r="AO356" s="195" t="s">
        <v>2989</v>
      </c>
      <c r="AP356" s="195" t="s">
        <v>2990</v>
      </c>
      <c r="AQ356" s="195" t="s">
        <v>324</v>
      </c>
      <c r="AR356" s="195" t="s">
        <v>2991</v>
      </c>
      <c r="AS356" s="195" t="s">
        <v>308</v>
      </c>
      <c r="AT356" s="199"/>
      <c r="AU356" s="202" t="s">
        <v>2992</v>
      </c>
      <c r="AV356" s="195" t="s">
        <v>9</v>
      </c>
      <c r="AW356" s="195" t="str">
        <f ca="1">IFERROR(__xludf.DUMMYFUNCTION("IF(AND(IF(AS356=""Yes"",True,False),NOT(IFERROR(REGEXMATCH(AV356,ExclusionCategories),FALSE))),""Yes"", ""No"")"),"Yes")</f>
        <v>Yes</v>
      </c>
      <c r="AX356" s="195">
        <f ca="1">IFERROR(__xludf.DUMMYFUNCTION("IF(IFERROR(SEARCH(""Unclear"", Z356)) = 1, VALUE(REGEXEXTRACT(Z356,""\d+"")), Z356)"),15)</f>
        <v>15</v>
      </c>
      <c r="AY356" s="195">
        <v>15</v>
      </c>
      <c r="AZ356" s="195">
        <f ca="1">IFERROR(__xludf.DUMMYFUNCTION("IF(IFERROR(SEARCH(""Unclear"", AG356)) = 1, VALUE(REGEXEXTRACT(AG356,""\d+"")), AG356)"),15)</f>
        <v>15</v>
      </c>
      <c r="BA356" s="195">
        <v>15</v>
      </c>
      <c r="BB356" s="195">
        <f ca="1">IFERROR(__xludf.DUMMYFUNCTION("IF(IFERROR(SEARCH(""Unclear"", AJ356)) = 1, VALUE(REGEXEXTRACT(AJ356,""\d+"")), AJ356)"),6)</f>
        <v>6</v>
      </c>
      <c r="BC356" s="195">
        <v>6</v>
      </c>
      <c r="BD356" s="195" t="b">
        <f t="shared" si="2"/>
        <v>1</v>
      </c>
      <c r="BE356" s="195" t="b">
        <f t="shared" ref="BE356:BF356" si="376">IF(IFERROR(FIND("ND",AI356),0),FALSE,TRUE)</f>
        <v>1</v>
      </c>
      <c r="BF356" s="195" t="b">
        <f t="shared" si="376"/>
        <v>1</v>
      </c>
    </row>
    <row r="357" spans="1:58" ht="37.5" customHeight="1">
      <c r="A357" s="212" t="s">
        <v>572</v>
      </c>
      <c r="B357" s="213">
        <v>2014</v>
      </c>
      <c r="C357" s="195" t="s">
        <v>339</v>
      </c>
      <c r="D357" s="4" t="s">
        <v>2993</v>
      </c>
      <c r="E357" s="212">
        <v>25396417</v>
      </c>
      <c r="F357" s="256" t="s">
        <v>2994</v>
      </c>
      <c r="G357" s="213" t="str">
        <f t="shared" si="89"/>
        <v>Bijker 2014b</v>
      </c>
      <c r="H357" s="195">
        <v>2012</v>
      </c>
      <c r="I357" s="195" t="s">
        <v>2995</v>
      </c>
      <c r="J357" s="229" t="s">
        <v>2996</v>
      </c>
      <c r="K357" s="195">
        <v>19</v>
      </c>
      <c r="L357" s="4" t="s">
        <v>343</v>
      </c>
      <c r="M357" s="195">
        <v>4</v>
      </c>
      <c r="N357" s="195">
        <v>15</v>
      </c>
      <c r="O357" s="195">
        <v>21</v>
      </c>
      <c r="P357" s="195">
        <v>18</v>
      </c>
      <c r="Q357" s="195">
        <v>25</v>
      </c>
      <c r="R357" s="195">
        <v>18</v>
      </c>
      <c r="S357" s="195">
        <v>35</v>
      </c>
      <c r="T357" s="195" t="s">
        <v>324</v>
      </c>
      <c r="U357" s="195" t="s">
        <v>324</v>
      </c>
      <c r="V357" s="195" t="s">
        <v>2997</v>
      </c>
      <c r="W357" s="199"/>
      <c r="X357" s="195">
        <v>15</v>
      </c>
      <c r="Y357" s="195" t="s">
        <v>2998</v>
      </c>
      <c r="Z357" s="195">
        <v>0</v>
      </c>
      <c r="AA357" s="195" t="s">
        <v>2999</v>
      </c>
      <c r="AB357" s="195">
        <v>4</v>
      </c>
      <c r="AC357" s="195" t="s">
        <v>3000</v>
      </c>
      <c r="AD357" s="195">
        <v>0</v>
      </c>
      <c r="AE357" s="195" t="s">
        <v>3001</v>
      </c>
      <c r="AF357" s="195"/>
      <c r="AG357" s="195" t="s">
        <v>2782</v>
      </c>
      <c r="AH357" s="195" t="s">
        <v>308</v>
      </c>
      <c r="AI357" s="195">
        <v>0</v>
      </c>
      <c r="AJ357" s="195" t="s">
        <v>397</v>
      </c>
      <c r="AK357" s="195" t="s">
        <v>865</v>
      </c>
      <c r="AL357" s="195" t="s">
        <v>407</v>
      </c>
      <c r="AM357" s="199"/>
      <c r="AN357" s="195" t="s">
        <v>3002</v>
      </c>
      <c r="AO357" s="195" t="s">
        <v>3003</v>
      </c>
      <c r="AP357" s="195" t="s">
        <v>3004</v>
      </c>
      <c r="AQ357" s="195" t="s">
        <v>3005</v>
      </c>
      <c r="AR357" s="195" t="s">
        <v>3006</v>
      </c>
      <c r="AS357" s="195" t="s">
        <v>316</v>
      </c>
      <c r="AT357" s="199"/>
      <c r="AU357" s="202" t="s">
        <v>3007</v>
      </c>
      <c r="AV357" s="195" t="s">
        <v>318</v>
      </c>
      <c r="AW357" s="195" t="str">
        <f ca="1">IFERROR(__xludf.DUMMYFUNCTION("IF(AND(IF(AS357=""Yes"",True,False),NOT(IFERROR(REGEXMATCH(AV357,ExclusionCategories),FALSE))),""Yes"", ""No"")"),"No")</f>
        <v>No</v>
      </c>
      <c r="AX357" s="195">
        <f ca="1">IFERROR(__xludf.DUMMYFUNCTION("IF(IFERROR(SEARCH(""Unclear"", Z357)) = 1, VALUE(REGEXEXTRACT(Z357,""\d+"")), Z357)"),0)</f>
        <v>0</v>
      </c>
      <c r="AY357" s="195">
        <v>0</v>
      </c>
      <c r="AZ357" s="195">
        <f ca="1">IFERROR(__xludf.DUMMYFUNCTION("IF(IFERROR(SEARCH(""Unclear"", AG357)) = 1, VALUE(REGEXEXTRACT(AG357,""\d+"")), AG357)"),13)</f>
        <v>13</v>
      </c>
      <c r="BA357" s="195">
        <v>15</v>
      </c>
      <c r="BB357" s="195">
        <f ca="1">IFERROR(__xludf.DUMMYFUNCTION("IF(IFERROR(SEARCH(""Unclear"", AJ357)) = 1, VALUE(REGEXEXTRACT(AJ357,""\d+"")), AJ357)"),3)</f>
        <v>3</v>
      </c>
      <c r="BC357" s="195">
        <v>15</v>
      </c>
      <c r="BD357" s="195" t="b">
        <f t="shared" si="2"/>
        <v>1</v>
      </c>
      <c r="BE357" s="195" t="b">
        <f t="shared" ref="BE357:BF357" si="377">IF(IFERROR(FIND("ND",AI357),0),FALSE,TRUE)</f>
        <v>1</v>
      </c>
      <c r="BF357" s="195" t="b">
        <f t="shared" si="377"/>
        <v>1</v>
      </c>
    </row>
    <row r="358" spans="1:58" ht="37.5" customHeight="1">
      <c r="A358" s="212" t="s">
        <v>572</v>
      </c>
      <c r="B358" s="213">
        <v>2014</v>
      </c>
      <c r="C358" s="195" t="s">
        <v>339</v>
      </c>
      <c r="D358" s="4" t="s">
        <v>2993</v>
      </c>
      <c r="E358" s="212">
        <v>25396417</v>
      </c>
      <c r="F358" s="256" t="s">
        <v>2994</v>
      </c>
      <c r="G358" s="213" t="str">
        <f t="shared" si="89"/>
        <v>Bijker 2014b</v>
      </c>
      <c r="H358" s="195">
        <v>2013</v>
      </c>
      <c r="I358" s="195" t="s">
        <v>2995</v>
      </c>
      <c r="J358" s="229" t="s">
        <v>2996</v>
      </c>
      <c r="K358" s="195">
        <v>19</v>
      </c>
      <c r="L358" s="4" t="s">
        <v>353</v>
      </c>
      <c r="M358" s="195">
        <v>4</v>
      </c>
      <c r="N358" s="195">
        <v>15</v>
      </c>
      <c r="O358" s="195">
        <v>21</v>
      </c>
      <c r="P358" s="195">
        <v>18</v>
      </c>
      <c r="Q358" s="195">
        <v>25</v>
      </c>
      <c r="R358" s="195">
        <v>18</v>
      </c>
      <c r="S358" s="195">
        <v>35</v>
      </c>
      <c r="T358" s="195" t="s">
        <v>324</v>
      </c>
      <c r="U358" s="195" t="s">
        <v>324</v>
      </c>
      <c r="V358" s="195" t="s">
        <v>2997</v>
      </c>
      <c r="W358" s="199"/>
      <c r="X358" s="195">
        <v>19</v>
      </c>
      <c r="Y358" s="195" t="s">
        <v>3008</v>
      </c>
      <c r="Z358" s="195">
        <v>9</v>
      </c>
      <c r="AA358" s="195" t="s">
        <v>3009</v>
      </c>
      <c r="AB358" s="195">
        <v>0</v>
      </c>
      <c r="AC358" s="199"/>
      <c r="AD358" s="195" t="s">
        <v>322</v>
      </c>
      <c r="AE358" s="195" t="s">
        <v>3001</v>
      </c>
      <c r="AF358" s="195" t="s">
        <v>3010</v>
      </c>
      <c r="AG358" s="195" t="s">
        <v>324</v>
      </c>
      <c r="AH358" s="195" t="s">
        <v>308</v>
      </c>
      <c r="AI358" s="195" t="s">
        <v>324</v>
      </c>
      <c r="AJ358" s="195" t="s">
        <v>324</v>
      </c>
      <c r="AK358" s="195"/>
      <c r="AL358" s="195" t="s">
        <v>322</v>
      </c>
      <c r="AM358" s="199"/>
      <c r="AN358" s="195" t="s">
        <v>3011</v>
      </c>
      <c r="AO358" s="195" t="s">
        <v>3003</v>
      </c>
      <c r="AP358" s="195" t="s">
        <v>3004</v>
      </c>
      <c r="AQ358" s="195" t="s">
        <v>3005</v>
      </c>
      <c r="AR358" s="195" t="s">
        <v>3006</v>
      </c>
      <c r="AS358" s="195" t="s">
        <v>308</v>
      </c>
      <c r="AT358" s="199"/>
      <c r="AU358" s="202" t="s">
        <v>3007</v>
      </c>
      <c r="AV358" s="195" t="s">
        <v>9</v>
      </c>
      <c r="AW358" s="195" t="str">
        <f ca="1">IFERROR(__xludf.DUMMYFUNCTION("IF(AND(IF(AS358=""Yes"",True,False),NOT(IFERROR(REGEXMATCH(AV358,ExclusionCategories),FALSE))),""Yes"", ""No"")"),"Yes")</f>
        <v>Yes</v>
      </c>
      <c r="AX358" s="195">
        <f ca="1">IFERROR(__xludf.DUMMYFUNCTION("IF(IFERROR(SEARCH(""Unclear"", Z358)) = 1, VALUE(REGEXEXTRACT(Z358,""\d+"")), Z358)"),9)</f>
        <v>9</v>
      </c>
      <c r="AY358" s="195">
        <v>9</v>
      </c>
      <c r="AZ358" s="195" t="str">
        <f ca="1">IFERROR(__xludf.DUMMYFUNCTION("IF(IFERROR(SEARCH(""Unclear"", AG358)) = 1, VALUE(REGEXEXTRACT(AG358,""\d+"")), AG358)"),"ND")</f>
        <v>ND</v>
      </c>
      <c r="BA358" s="195" t="s">
        <v>324</v>
      </c>
      <c r="BB358" s="195" t="str">
        <f ca="1">IFERROR(__xludf.DUMMYFUNCTION("IF(IFERROR(SEARCH(""Unclear"", AJ358)) = 1, VALUE(REGEXEXTRACT(AJ358,""\d+"")), AJ358)"),"ND")</f>
        <v>ND</v>
      </c>
      <c r="BC358" s="195" t="s">
        <v>324</v>
      </c>
      <c r="BD358" s="195" t="b">
        <f t="shared" si="2"/>
        <v>0</v>
      </c>
      <c r="BE358" s="195" t="b">
        <f t="shared" ref="BE358:BF358" si="378">IF(IFERROR(FIND("ND",AI358),0),FALSE,TRUE)</f>
        <v>0</v>
      </c>
      <c r="BF358" s="195" t="b">
        <f t="shared" si="378"/>
        <v>0</v>
      </c>
    </row>
    <row r="359" spans="1:58" ht="37.5" customHeight="1">
      <c r="A359" s="212" t="s">
        <v>1265</v>
      </c>
      <c r="B359" s="213">
        <v>2011</v>
      </c>
      <c r="C359" s="195" t="s">
        <v>339</v>
      </c>
      <c r="D359" s="4" t="s">
        <v>2993</v>
      </c>
      <c r="E359" s="212">
        <v>21514658</v>
      </c>
      <c r="F359" s="256" t="s">
        <v>3012</v>
      </c>
      <c r="G359" s="213" t="str">
        <f t="shared" si="89"/>
        <v>Roestenberg 2011</v>
      </c>
      <c r="H359" s="195">
        <v>2009</v>
      </c>
      <c r="I359" s="195" t="s">
        <v>3013</v>
      </c>
      <c r="J359" s="229" t="s">
        <v>3014</v>
      </c>
      <c r="K359" s="195">
        <v>6</v>
      </c>
      <c r="L359" s="4" t="s">
        <v>3015</v>
      </c>
      <c r="M359" s="195">
        <v>3</v>
      </c>
      <c r="N359" s="195">
        <v>3</v>
      </c>
      <c r="O359" s="195" t="s">
        <v>324</v>
      </c>
      <c r="P359" s="195" t="s">
        <v>3016</v>
      </c>
      <c r="Q359" s="195" t="s">
        <v>3017</v>
      </c>
      <c r="R359" s="195">
        <v>18</v>
      </c>
      <c r="S359" s="195">
        <v>45</v>
      </c>
      <c r="T359" s="195" t="s">
        <v>3018</v>
      </c>
      <c r="U359" s="195" t="s">
        <v>324</v>
      </c>
      <c r="V359" s="195" t="s">
        <v>3019</v>
      </c>
      <c r="W359" s="199"/>
      <c r="X359" s="195">
        <v>6</v>
      </c>
      <c r="Y359" s="195"/>
      <c r="Z359" s="195">
        <v>2</v>
      </c>
      <c r="AA359" s="195"/>
      <c r="AB359" s="195">
        <v>0</v>
      </c>
      <c r="AC359" s="199"/>
      <c r="AD359" s="195" t="s">
        <v>322</v>
      </c>
      <c r="AE359" s="195" t="s">
        <v>3020</v>
      </c>
      <c r="AF359" s="195"/>
      <c r="AG359" s="195">
        <v>6</v>
      </c>
      <c r="AH359" s="195" t="s">
        <v>308</v>
      </c>
      <c r="AI359" s="195" t="s">
        <v>324</v>
      </c>
      <c r="AJ359" s="195">
        <v>3</v>
      </c>
      <c r="AK359" s="195"/>
      <c r="AL359" s="195" t="s">
        <v>322</v>
      </c>
      <c r="AM359" s="199"/>
      <c r="AN359" s="195" t="s">
        <v>3011</v>
      </c>
      <c r="AO359" s="195" t="s">
        <v>3021</v>
      </c>
      <c r="AP359" s="195" t="s">
        <v>3022</v>
      </c>
      <c r="AQ359" s="195" t="s">
        <v>3023</v>
      </c>
      <c r="AR359" s="195" t="s">
        <v>3006</v>
      </c>
      <c r="AS359" s="195" t="s">
        <v>308</v>
      </c>
      <c r="AT359" s="199"/>
      <c r="AU359" s="202" t="s">
        <v>3024</v>
      </c>
      <c r="AV359" s="195" t="s">
        <v>15</v>
      </c>
      <c r="AW359" s="195" t="str">
        <f ca="1">IFERROR(__xludf.DUMMYFUNCTION("IF(AND(IF(AS359=""Yes"",True,False),NOT(IFERROR(REGEXMATCH(AV359,ExclusionCategories),FALSE))),""Yes"", ""No"")"),"No")</f>
        <v>No</v>
      </c>
      <c r="AX359" s="195">
        <f ca="1">IFERROR(__xludf.DUMMYFUNCTION("IF(IFERROR(SEARCH(""Unclear"", Z359)) = 1, VALUE(REGEXEXTRACT(Z359,""\d+"")), Z359)"),2)</f>
        <v>2</v>
      </c>
      <c r="AY359" s="195">
        <v>2</v>
      </c>
      <c r="AZ359" s="195">
        <f ca="1">IFERROR(__xludf.DUMMYFUNCTION("IF(IFERROR(SEARCH(""Unclear"", AG359)) = 1, VALUE(REGEXEXTRACT(AG359,""\d+"")), AG359)"),6)</f>
        <v>6</v>
      </c>
      <c r="BA359" s="195">
        <v>6</v>
      </c>
      <c r="BB359" s="195">
        <f ca="1">IFERROR(__xludf.DUMMYFUNCTION("IF(IFERROR(SEARCH(""Unclear"", AJ359)) = 1, VALUE(REGEXEXTRACT(AJ359,""\d+"")), AJ359)"),3)</f>
        <v>3</v>
      </c>
      <c r="BC359" s="195">
        <v>3</v>
      </c>
      <c r="BD359" s="195" t="b">
        <f t="shared" si="2"/>
        <v>1</v>
      </c>
      <c r="BE359" s="195" t="b">
        <f t="shared" ref="BE359:BF359" si="379">IF(IFERROR(FIND("ND",AI359),0),FALSE,TRUE)</f>
        <v>0</v>
      </c>
      <c r="BF359" s="195" t="b">
        <f t="shared" si="379"/>
        <v>1</v>
      </c>
    </row>
    <row r="360" spans="1:58" ht="37.5" customHeight="1">
      <c r="A360" s="212" t="s">
        <v>1265</v>
      </c>
      <c r="B360" s="213">
        <v>2011</v>
      </c>
      <c r="C360" s="195" t="s">
        <v>339</v>
      </c>
      <c r="D360" s="4" t="s">
        <v>2993</v>
      </c>
      <c r="E360" s="212">
        <v>21514658</v>
      </c>
      <c r="F360" s="256" t="s">
        <v>3012</v>
      </c>
      <c r="G360" s="213" t="str">
        <f t="shared" si="89"/>
        <v>Roestenberg 2011</v>
      </c>
      <c r="H360" s="195">
        <v>2009</v>
      </c>
      <c r="I360" s="195" t="s">
        <v>3013</v>
      </c>
      <c r="J360" s="229" t="s">
        <v>3014</v>
      </c>
      <c r="K360" s="195">
        <v>5</v>
      </c>
      <c r="L360" s="4" t="s">
        <v>788</v>
      </c>
      <c r="M360" s="195">
        <v>1</v>
      </c>
      <c r="N360" s="195">
        <v>4</v>
      </c>
      <c r="O360" s="195" t="s">
        <v>324</v>
      </c>
      <c r="P360" s="195" t="s">
        <v>3016</v>
      </c>
      <c r="Q360" s="195" t="s">
        <v>3017</v>
      </c>
      <c r="R360" s="195">
        <v>18</v>
      </c>
      <c r="S360" s="195">
        <v>35</v>
      </c>
      <c r="T360" s="195" t="s">
        <v>3018</v>
      </c>
      <c r="U360" s="195" t="s">
        <v>324</v>
      </c>
      <c r="V360" s="195" t="s">
        <v>3019</v>
      </c>
      <c r="W360" s="199"/>
      <c r="X360" s="195">
        <v>5</v>
      </c>
      <c r="Y360" s="195"/>
      <c r="Z360" s="195">
        <v>5</v>
      </c>
      <c r="AA360" s="195"/>
      <c r="AB360" s="195">
        <v>0</v>
      </c>
      <c r="AC360" s="199"/>
      <c r="AD360" s="195" t="s">
        <v>322</v>
      </c>
      <c r="AE360" s="195" t="s">
        <v>3020</v>
      </c>
      <c r="AF360" s="195"/>
      <c r="AG360" s="195">
        <v>5</v>
      </c>
      <c r="AH360" s="195" t="s">
        <v>308</v>
      </c>
      <c r="AI360" s="195" t="s">
        <v>324</v>
      </c>
      <c r="AJ360" s="195">
        <v>2</v>
      </c>
      <c r="AK360" s="195"/>
      <c r="AL360" s="195" t="s">
        <v>322</v>
      </c>
      <c r="AM360" s="199"/>
      <c r="AN360" s="195" t="s">
        <v>3011</v>
      </c>
      <c r="AO360" s="195" t="s">
        <v>3021</v>
      </c>
      <c r="AP360" s="195" t="s">
        <v>3022</v>
      </c>
      <c r="AQ360" s="195" t="s">
        <v>3023</v>
      </c>
      <c r="AR360" s="195" t="s">
        <v>3006</v>
      </c>
      <c r="AS360" s="195" t="s">
        <v>308</v>
      </c>
      <c r="AT360" s="199"/>
      <c r="AU360" s="202" t="s">
        <v>3024</v>
      </c>
      <c r="AV360" s="195" t="s">
        <v>9</v>
      </c>
      <c r="AW360" s="195" t="str">
        <f ca="1">IFERROR(__xludf.DUMMYFUNCTION("IF(AND(IF(AS360=""Yes"",True,False),NOT(IFERROR(REGEXMATCH(AV360,ExclusionCategories),FALSE))),""Yes"", ""No"")"),"Yes")</f>
        <v>Yes</v>
      </c>
      <c r="AX360" s="195">
        <f ca="1">IFERROR(__xludf.DUMMYFUNCTION("IF(IFERROR(SEARCH(""Unclear"", Z360)) = 1, VALUE(REGEXEXTRACT(Z360,""\d+"")), Z360)"),5)</f>
        <v>5</v>
      </c>
      <c r="AY360" s="195">
        <v>5</v>
      </c>
      <c r="AZ360" s="195">
        <f ca="1">IFERROR(__xludf.DUMMYFUNCTION("IF(IFERROR(SEARCH(""Unclear"", AG360)) = 1, VALUE(REGEXEXTRACT(AG360,""\d+"")), AG360)"),5)</f>
        <v>5</v>
      </c>
      <c r="BA360" s="195">
        <v>5</v>
      </c>
      <c r="BB360" s="195">
        <f ca="1">IFERROR(__xludf.DUMMYFUNCTION("IF(IFERROR(SEARCH(""Unclear"", AJ360)) = 1, VALUE(REGEXEXTRACT(AJ360,""\d+"")), AJ360)"),2)</f>
        <v>2</v>
      </c>
      <c r="BC360" s="195">
        <v>2</v>
      </c>
      <c r="BD360" s="195" t="b">
        <f t="shared" si="2"/>
        <v>1</v>
      </c>
      <c r="BE360" s="195" t="b">
        <f t="shared" ref="BE360:BF360" si="380">IF(IFERROR(FIND("ND",AI360),0),FALSE,TRUE)</f>
        <v>0</v>
      </c>
      <c r="BF360" s="195" t="b">
        <f t="shared" si="380"/>
        <v>1</v>
      </c>
    </row>
    <row r="361" spans="1:58" ht="37.5" customHeight="1">
      <c r="A361" s="212" t="s">
        <v>1265</v>
      </c>
      <c r="B361" s="213">
        <v>2011</v>
      </c>
      <c r="C361" s="195" t="s">
        <v>339</v>
      </c>
      <c r="D361" s="4" t="s">
        <v>2993</v>
      </c>
      <c r="E361" s="212">
        <v>21514658</v>
      </c>
      <c r="F361" s="256" t="s">
        <v>3012</v>
      </c>
      <c r="G361" s="213" t="str">
        <f t="shared" si="89"/>
        <v>Roestenberg 2011</v>
      </c>
      <c r="H361" s="195">
        <v>2009</v>
      </c>
      <c r="I361" s="195" t="s">
        <v>3013</v>
      </c>
      <c r="J361" s="229" t="s">
        <v>3014</v>
      </c>
      <c r="K361" s="195">
        <v>11</v>
      </c>
      <c r="L361" s="4" t="s">
        <v>846</v>
      </c>
      <c r="M361" s="195">
        <v>4</v>
      </c>
      <c r="N361" s="195">
        <v>7</v>
      </c>
      <c r="O361" s="195" t="s">
        <v>324</v>
      </c>
      <c r="P361" s="195">
        <v>21</v>
      </c>
      <c r="Q361" s="195">
        <v>28</v>
      </c>
      <c r="R361" s="195">
        <v>18</v>
      </c>
      <c r="S361" s="195">
        <v>45</v>
      </c>
      <c r="T361" s="195">
        <v>23.6</v>
      </c>
      <c r="U361" s="195" t="s">
        <v>324</v>
      </c>
      <c r="V361" s="195" t="s">
        <v>3019</v>
      </c>
      <c r="W361" s="199"/>
      <c r="X361" s="195">
        <v>11</v>
      </c>
      <c r="Y361" s="195"/>
      <c r="Z361" s="195">
        <v>7</v>
      </c>
      <c r="AA361" s="195"/>
      <c r="AB361" s="195">
        <v>0</v>
      </c>
      <c r="AC361" s="199"/>
      <c r="AD361" s="195" t="s">
        <v>322</v>
      </c>
      <c r="AE361" s="195" t="s">
        <v>3020</v>
      </c>
      <c r="AF361" s="195"/>
      <c r="AG361" s="195">
        <v>11</v>
      </c>
      <c r="AH361" s="195" t="s">
        <v>308</v>
      </c>
      <c r="AI361" s="195" t="s">
        <v>324</v>
      </c>
      <c r="AJ361" s="195">
        <v>5</v>
      </c>
      <c r="AK361" s="195"/>
      <c r="AL361" s="195" t="s">
        <v>322</v>
      </c>
      <c r="AM361" s="199"/>
      <c r="AN361" s="195" t="s">
        <v>3011</v>
      </c>
      <c r="AO361" s="195" t="s">
        <v>3021</v>
      </c>
      <c r="AP361" s="195" t="s">
        <v>3022</v>
      </c>
      <c r="AQ361" s="195" t="s">
        <v>3023</v>
      </c>
      <c r="AR361" s="195" t="s">
        <v>3006</v>
      </c>
      <c r="AS361" s="195" t="s">
        <v>316</v>
      </c>
      <c r="AT361" s="199"/>
      <c r="AU361" s="202" t="s">
        <v>3024</v>
      </c>
      <c r="AV361" s="195" t="s">
        <v>800</v>
      </c>
      <c r="AW361" s="195" t="str">
        <f ca="1">IFERROR(__xludf.DUMMYFUNCTION("IF(AND(IF(AS361=""Yes"",True,False),NOT(IFERROR(REGEXMATCH(AV361,ExclusionCategories),FALSE))),""Yes"", ""No"")"),"No")</f>
        <v>No</v>
      </c>
      <c r="AX361" s="195">
        <f ca="1">IFERROR(__xludf.DUMMYFUNCTION("IF(IFERROR(SEARCH(""Unclear"", Z361)) = 1, VALUE(REGEXEXTRACT(Z361,""\d+"")), Z361)"),7)</f>
        <v>7</v>
      </c>
      <c r="AY361" s="195">
        <v>7</v>
      </c>
      <c r="AZ361" s="195">
        <f ca="1">IFERROR(__xludf.DUMMYFUNCTION("IF(IFERROR(SEARCH(""Unclear"", AG361)) = 1, VALUE(REGEXEXTRACT(AG361,""\d+"")), AG361)"),11)</f>
        <v>11</v>
      </c>
      <c r="BA361" s="195">
        <v>11</v>
      </c>
      <c r="BB361" s="195">
        <f ca="1">IFERROR(__xludf.DUMMYFUNCTION("IF(IFERROR(SEARCH(""Unclear"", AJ361)) = 1, VALUE(REGEXEXTRACT(AJ361,""\d+"")), AJ361)"),5)</f>
        <v>5</v>
      </c>
      <c r="BC361" s="195">
        <v>5</v>
      </c>
      <c r="BD361" s="195" t="b">
        <f t="shared" si="2"/>
        <v>1</v>
      </c>
      <c r="BE361" s="195" t="b">
        <f t="shared" ref="BE361:BF361" si="381">IF(IFERROR(FIND("ND",AI361),0),FALSE,TRUE)</f>
        <v>0</v>
      </c>
      <c r="BF361" s="195" t="b">
        <f t="shared" si="381"/>
        <v>1</v>
      </c>
    </row>
    <row r="362" spans="1:58" ht="37.5" customHeight="1">
      <c r="A362" s="212" t="s">
        <v>3025</v>
      </c>
      <c r="B362" s="252">
        <v>1987</v>
      </c>
      <c r="C362" s="195" t="s">
        <v>339</v>
      </c>
      <c r="D362" s="4" t="s">
        <v>2993</v>
      </c>
      <c r="E362" s="252">
        <v>2884410</v>
      </c>
      <c r="F362" s="255" t="s">
        <v>3026</v>
      </c>
      <c r="G362" s="213" t="str">
        <f t="shared" si="89"/>
        <v>Ballou 1987</v>
      </c>
      <c r="H362" s="217">
        <v>1987</v>
      </c>
      <c r="I362" s="195"/>
      <c r="J362" s="195"/>
      <c r="K362" s="195">
        <v>8</v>
      </c>
      <c r="L362" s="4"/>
      <c r="M362" s="195">
        <v>8</v>
      </c>
      <c r="N362" s="195">
        <v>0</v>
      </c>
      <c r="O362" s="195" t="s">
        <v>324</v>
      </c>
      <c r="P362" s="195" t="s">
        <v>324</v>
      </c>
      <c r="Q362" s="195" t="s">
        <v>324</v>
      </c>
      <c r="R362" s="195">
        <v>22</v>
      </c>
      <c r="S362" s="195">
        <v>50</v>
      </c>
      <c r="T362" s="195" t="s">
        <v>324</v>
      </c>
      <c r="U362" s="195" t="s">
        <v>324</v>
      </c>
      <c r="V362" s="195" t="s">
        <v>2636</v>
      </c>
      <c r="W362" s="199"/>
      <c r="X362" s="195">
        <v>8</v>
      </c>
      <c r="Y362" s="195" t="s">
        <v>3027</v>
      </c>
      <c r="Z362" s="195">
        <v>7</v>
      </c>
      <c r="AA362" s="195" t="s">
        <v>3028</v>
      </c>
      <c r="AB362" s="195">
        <v>0</v>
      </c>
      <c r="AC362" s="199"/>
      <c r="AD362" s="195" t="s">
        <v>322</v>
      </c>
      <c r="AE362" s="195" t="s">
        <v>3029</v>
      </c>
      <c r="AF362" s="195"/>
      <c r="AG362" s="195" t="s">
        <v>324</v>
      </c>
      <c r="AH362" s="195" t="s">
        <v>316</v>
      </c>
      <c r="AI362" s="195">
        <v>0</v>
      </c>
      <c r="AJ362" s="195" t="s">
        <v>324</v>
      </c>
      <c r="AK362" s="195" t="s">
        <v>3030</v>
      </c>
      <c r="AL362" s="195" t="s">
        <v>322</v>
      </c>
      <c r="AM362" s="199"/>
      <c r="AN362" s="195" t="s">
        <v>3031</v>
      </c>
      <c r="AO362" s="195" t="s">
        <v>3032</v>
      </c>
      <c r="AP362" s="195" t="s">
        <v>3033</v>
      </c>
      <c r="AQ362" s="195" t="s">
        <v>324</v>
      </c>
      <c r="AR362" s="195" t="s">
        <v>3034</v>
      </c>
      <c r="AS362" s="195" t="s">
        <v>308</v>
      </c>
      <c r="AT362" s="199"/>
      <c r="AU362" s="202" t="s">
        <v>3035</v>
      </c>
      <c r="AV362" s="195" t="s">
        <v>9</v>
      </c>
      <c r="AW362" s="195" t="str">
        <f ca="1">IFERROR(__xludf.DUMMYFUNCTION("IF(AND(IF(AS362=""Yes"",True,False),NOT(IFERROR(REGEXMATCH(AV362,ExclusionCategories),FALSE))),""Yes"", ""No"")"),"Yes")</f>
        <v>Yes</v>
      </c>
      <c r="AX362" s="195">
        <f ca="1">IFERROR(__xludf.DUMMYFUNCTION("IF(IFERROR(SEARCH(""Unclear"", Z362)) = 1, VALUE(REGEXEXTRACT(Z362,""\d+"")), Z362)"),7)</f>
        <v>7</v>
      </c>
      <c r="AY362" s="195">
        <v>7</v>
      </c>
      <c r="AZ362" s="195" t="str">
        <f ca="1">IFERROR(__xludf.DUMMYFUNCTION("IF(IFERROR(SEARCH(""Unclear"", AG362)) = 1, VALUE(REGEXEXTRACT(AG362,""\d+"")), AG362)"),"ND")</f>
        <v>ND</v>
      </c>
      <c r="BA362" s="195" t="s">
        <v>324</v>
      </c>
      <c r="BB362" s="195" t="str">
        <f ca="1">IFERROR(__xludf.DUMMYFUNCTION("IF(IFERROR(SEARCH(""Unclear"", AJ362)) = 1, VALUE(REGEXEXTRACT(AJ362,""\d+"")), AJ362)"),"ND")</f>
        <v>ND</v>
      </c>
      <c r="BC362" s="195" t="s">
        <v>324</v>
      </c>
      <c r="BD362" s="195" t="b">
        <f t="shared" si="2"/>
        <v>0</v>
      </c>
      <c r="BE362" s="195" t="b">
        <f t="shared" ref="BE362:BF362" si="382">IF(IFERROR(FIND("ND",AI362),0),FALSE,TRUE)</f>
        <v>1</v>
      </c>
      <c r="BF362" s="195" t="b">
        <f t="shared" si="382"/>
        <v>0</v>
      </c>
    </row>
    <row r="363" spans="1:58" ht="37.5" customHeight="1">
      <c r="A363" s="212" t="s">
        <v>3036</v>
      </c>
      <c r="B363" s="252">
        <v>1993</v>
      </c>
      <c r="C363" s="195" t="s">
        <v>339</v>
      </c>
      <c r="D363" s="4" t="s">
        <v>3037</v>
      </c>
      <c r="E363" s="252">
        <v>8357078</v>
      </c>
      <c r="F363" s="255" t="s">
        <v>3038</v>
      </c>
      <c r="G363" s="213" t="str">
        <f t="shared" si="89"/>
        <v>Egan 1993</v>
      </c>
      <c r="H363" s="217">
        <v>1993</v>
      </c>
      <c r="I363" s="195"/>
      <c r="J363" s="195"/>
      <c r="K363" s="195">
        <v>7</v>
      </c>
      <c r="L363" s="4" t="s">
        <v>1669</v>
      </c>
      <c r="M363" s="195">
        <v>7</v>
      </c>
      <c r="N363" s="195">
        <v>0</v>
      </c>
      <c r="O363" s="195" t="s">
        <v>324</v>
      </c>
      <c r="P363" s="195" t="s">
        <v>324</v>
      </c>
      <c r="Q363" s="195" t="s">
        <v>324</v>
      </c>
      <c r="R363" s="195">
        <v>18</v>
      </c>
      <c r="S363" s="195">
        <v>50</v>
      </c>
      <c r="T363" s="195" t="s">
        <v>324</v>
      </c>
      <c r="U363" s="195" t="s">
        <v>324</v>
      </c>
      <c r="V363" s="195" t="s">
        <v>3039</v>
      </c>
      <c r="W363" s="199"/>
      <c r="X363" s="195">
        <v>7</v>
      </c>
      <c r="Y363" s="195" t="s">
        <v>3040</v>
      </c>
      <c r="Z363" s="195">
        <v>4</v>
      </c>
      <c r="AA363" s="195" t="s">
        <v>3041</v>
      </c>
      <c r="AB363" s="195">
        <v>0</v>
      </c>
      <c r="AC363" s="199"/>
      <c r="AD363" s="195" t="s">
        <v>322</v>
      </c>
      <c r="AE363" s="195" t="s">
        <v>332</v>
      </c>
      <c r="AF363" s="195" t="s">
        <v>1472</v>
      </c>
      <c r="AG363" s="195" t="s">
        <v>324</v>
      </c>
      <c r="AH363" s="195" t="s">
        <v>316</v>
      </c>
      <c r="AI363" s="195" t="s">
        <v>324</v>
      </c>
      <c r="AJ363" s="195" t="s">
        <v>324</v>
      </c>
      <c r="AK363" s="195"/>
      <c r="AL363" s="195" t="s">
        <v>322</v>
      </c>
      <c r="AM363" s="199"/>
      <c r="AN363" s="195" t="s">
        <v>3031</v>
      </c>
      <c r="AO363" s="195" t="s">
        <v>3042</v>
      </c>
      <c r="AP363" s="195" t="s">
        <v>3043</v>
      </c>
      <c r="AQ363" s="195" t="s">
        <v>324</v>
      </c>
      <c r="AR363" s="195" t="s">
        <v>3034</v>
      </c>
      <c r="AS363" s="195" t="s">
        <v>316</v>
      </c>
      <c r="AT363" s="199"/>
      <c r="AU363" s="195" t="s">
        <v>3044</v>
      </c>
      <c r="AV363" s="195" t="s">
        <v>326</v>
      </c>
      <c r="AW363" s="195" t="str">
        <f ca="1">IFERROR(__xludf.DUMMYFUNCTION("IF(AND(IF(AS363=""Yes"",True,False),NOT(IFERROR(REGEXMATCH(AV363,ExclusionCategories),FALSE))),""Yes"", ""No"")"),"No")</f>
        <v>No</v>
      </c>
      <c r="AX363" s="195">
        <f ca="1">IFERROR(__xludf.DUMMYFUNCTION("IF(IFERROR(SEARCH(""Unclear"", Z363)) = 1, VALUE(REGEXEXTRACT(Z363,""\d+"")), Z363)"),4)</f>
        <v>4</v>
      </c>
      <c r="AY363" s="195">
        <v>4</v>
      </c>
      <c r="AZ363" s="195" t="str">
        <f ca="1">IFERROR(__xludf.DUMMYFUNCTION("IF(IFERROR(SEARCH(""Unclear"", AG363)) = 1, VALUE(REGEXEXTRACT(AG363,""\d+"")), AG363)"),"ND")</f>
        <v>ND</v>
      </c>
      <c r="BA363" s="195" t="s">
        <v>324</v>
      </c>
      <c r="BB363" s="195" t="str">
        <f ca="1">IFERROR(__xludf.DUMMYFUNCTION("IF(IFERROR(SEARCH(""Unclear"", AJ363)) = 1, VALUE(REGEXEXTRACT(AJ363,""\d+"")), AJ363)"),"ND")</f>
        <v>ND</v>
      </c>
      <c r="BC363" s="195" t="s">
        <v>324</v>
      </c>
      <c r="BD363" s="195" t="b">
        <f t="shared" si="2"/>
        <v>0</v>
      </c>
      <c r="BE363" s="195" t="b">
        <f t="shared" ref="BE363:BF363" si="383">IF(IFERROR(FIND("ND",AI363),0),FALSE,TRUE)</f>
        <v>0</v>
      </c>
      <c r="BF363" s="195" t="b">
        <f t="shared" si="383"/>
        <v>0</v>
      </c>
    </row>
    <row r="364" spans="1:58" ht="37.5" customHeight="1">
      <c r="A364" s="212" t="s">
        <v>3036</v>
      </c>
      <c r="B364" s="252">
        <v>1993</v>
      </c>
      <c r="C364" s="195" t="s">
        <v>339</v>
      </c>
      <c r="D364" s="4" t="s">
        <v>3045</v>
      </c>
      <c r="E364" s="252">
        <v>8357078</v>
      </c>
      <c r="F364" s="255" t="s">
        <v>3038</v>
      </c>
      <c r="G364" s="213" t="str">
        <f t="shared" si="89"/>
        <v>Egan 1993</v>
      </c>
      <c r="H364" s="217">
        <v>1993</v>
      </c>
      <c r="I364" s="195"/>
      <c r="J364" s="195"/>
      <c r="K364" s="195">
        <v>2</v>
      </c>
      <c r="L364" s="4" t="s">
        <v>3046</v>
      </c>
      <c r="M364" s="195">
        <v>2</v>
      </c>
      <c r="N364" s="195">
        <v>0</v>
      </c>
      <c r="O364" s="195" t="s">
        <v>324</v>
      </c>
      <c r="P364" s="195" t="s">
        <v>324</v>
      </c>
      <c r="Q364" s="195" t="s">
        <v>324</v>
      </c>
      <c r="R364" s="195">
        <v>18</v>
      </c>
      <c r="S364" s="195">
        <v>50</v>
      </c>
      <c r="T364" s="195" t="s">
        <v>324</v>
      </c>
      <c r="U364" s="195" t="s">
        <v>324</v>
      </c>
      <c r="V364" s="195" t="s">
        <v>3039</v>
      </c>
      <c r="W364" s="199"/>
      <c r="X364" s="195">
        <v>2</v>
      </c>
      <c r="Y364" s="195"/>
      <c r="Z364" s="195">
        <v>2</v>
      </c>
      <c r="AA364" s="195"/>
      <c r="AB364" s="195">
        <v>0</v>
      </c>
      <c r="AC364" s="199"/>
      <c r="AD364" s="195" t="s">
        <v>322</v>
      </c>
      <c r="AE364" s="195" t="s">
        <v>332</v>
      </c>
      <c r="AF364" s="195" t="s">
        <v>1472</v>
      </c>
      <c r="AG364" s="195" t="s">
        <v>324</v>
      </c>
      <c r="AH364" s="195" t="s">
        <v>316</v>
      </c>
      <c r="AI364" s="195" t="s">
        <v>324</v>
      </c>
      <c r="AJ364" s="195" t="s">
        <v>324</v>
      </c>
      <c r="AK364" s="195"/>
      <c r="AL364" s="195" t="s">
        <v>322</v>
      </c>
      <c r="AM364" s="199"/>
      <c r="AN364" s="195" t="s">
        <v>3047</v>
      </c>
      <c r="AO364" s="195" t="s">
        <v>3042</v>
      </c>
      <c r="AP364" s="195" t="s">
        <v>3043</v>
      </c>
      <c r="AQ364" s="195" t="s">
        <v>324</v>
      </c>
      <c r="AR364" s="195" t="s">
        <v>3034</v>
      </c>
      <c r="AS364" s="195" t="s">
        <v>316</v>
      </c>
      <c r="AT364" s="199"/>
      <c r="AU364" s="195" t="s">
        <v>3044</v>
      </c>
      <c r="AV364" s="195" t="s">
        <v>326</v>
      </c>
      <c r="AW364" s="195" t="str">
        <f ca="1">IFERROR(__xludf.DUMMYFUNCTION("IF(AND(IF(AS364=""Yes"",True,False),NOT(IFERROR(REGEXMATCH(AV364,ExclusionCategories),FALSE))),""Yes"", ""No"")"),"No")</f>
        <v>No</v>
      </c>
      <c r="AX364" s="195">
        <f ca="1">IFERROR(__xludf.DUMMYFUNCTION("IF(IFERROR(SEARCH(""Unclear"", Z364)) = 1, VALUE(REGEXEXTRACT(Z364,""\d+"")), Z364)"),2)</f>
        <v>2</v>
      </c>
      <c r="AY364" s="195">
        <v>2</v>
      </c>
      <c r="AZ364" s="195" t="str">
        <f ca="1">IFERROR(__xludf.DUMMYFUNCTION("IF(IFERROR(SEARCH(""Unclear"", AG364)) = 1, VALUE(REGEXEXTRACT(AG364,""\d+"")), AG364)"),"ND")</f>
        <v>ND</v>
      </c>
      <c r="BA364" s="195" t="s">
        <v>324</v>
      </c>
      <c r="BB364" s="195" t="str">
        <f ca="1">IFERROR(__xludf.DUMMYFUNCTION("IF(IFERROR(SEARCH(""Unclear"", AJ364)) = 1, VALUE(REGEXEXTRACT(AJ364,""\d+"")), AJ364)"),"ND")</f>
        <v>ND</v>
      </c>
      <c r="BC364" s="195" t="s">
        <v>324</v>
      </c>
      <c r="BD364" s="195" t="b">
        <f t="shared" si="2"/>
        <v>0</v>
      </c>
      <c r="BE364" s="195" t="b">
        <f t="shared" ref="BE364:BF364" si="384">IF(IFERROR(FIND("ND",AI364),0),FALSE,TRUE)</f>
        <v>0</v>
      </c>
      <c r="BF364" s="195" t="b">
        <f t="shared" si="384"/>
        <v>0</v>
      </c>
    </row>
    <row r="365" spans="1:58" ht="37.5" customHeight="1">
      <c r="A365" s="212" t="s">
        <v>3036</v>
      </c>
      <c r="B365" s="252">
        <v>1993</v>
      </c>
      <c r="C365" s="195" t="s">
        <v>339</v>
      </c>
      <c r="D365" s="4" t="s">
        <v>3048</v>
      </c>
      <c r="E365" s="252">
        <v>8357078</v>
      </c>
      <c r="F365" s="255" t="s">
        <v>3038</v>
      </c>
      <c r="G365" s="213" t="str">
        <f t="shared" si="89"/>
        <v>Egan 1993</v>
      </c>
      <c r="H365" s="217">
        <v>1993</v>
      </c>
      <c r="I365" s="195"/>
      <c r="J365" s="195"/>
      <c r="K365" s="195">
        <v>9</v>
      </c>
      <c r="L365" s="4" t="s">
        <v>3049</v>
      </c>
      <c r="M365" s="195">
        <v>9</v>
      </c>
      <c r="N365" s="195">
        <v>0</v>
      </c>
      <c r="O365" s="195" t="s">
        <v>324</v>
      </c>
      <c r="P365" s="195" t="s">
        <v>324</v>
      </c>
      <c r="Q365" s="195" t="s">
        <v>324</v>
      </c>
      <c r="R365" s="195">
        <v>18</v>
      </c>
      <c r="S365" s="195">
        <v>50</v>
      </c>
      <c r="T365" s="195" t="s">
        <v>324</v>
      </c>
      <c r="U365" s="195" t="s">
        <v>324</v>
      </c>
      <c r="V365" s="195" t="s">
        <v>3039</v>
      </c>
      <c r="W365" s="199"/>
      <c r="X365" s="195">
        <v>9</v>
      </c>
      <c r="Y365" s="195"/>
      <c r="Z365" s="195">
        <v>6</v>
      </c>
      <c r="AA365" s="195"/>
      <c r="AB365" s="195">
        <v>0</v>
      </c>
      <c r="AC365" s="199"/>
      <c r="AD365" s="195" t="s">
        <v>322</v>
      </c>
      <c r="AE365" s="195" t="s">
        <v>332</v>
      </c>
      <c r="AF365" s="195" t="s">
        <v>1472</v>
      </c>
      <c r="AG365" s="195" t="s">
        <v>324</v>
      </c>
      <c r="AH365" s="195" t="s">
        <v>316</v>
      </c>
      <c r="AI365" s="195" t="s">
        <v>324</v>
      </c>
      <c r="AJ365" s="195" t="s">
        <v>324</v>
      </c>
      <c r="AK365" s="195"/>
      <c r="AL365" s="195" t="s">
        <v>322</v>
      </c>
      <c r="AM365" s="199"/>
      <c r="AN365" s="195" t="s">
        <v>3047</v>
      </c>
      <c r="AO365" s="195" t="s">
        <v>3042</v>
      </c>
      <c r="AP365" s="195" t="s">
        <v>3043</v>
      </c>
      <c r="AQ365" s="195" t="s">
        <v>324</v>
      </c>
      <c r="AR365" s="195" t="s">
        <v>3034</v>
      </c>
      <c r="AS365" s="195" t="s">
        <v>308</v>
      </c>
      <c r="AT365" s="199"/>
      <c r="AU365" s="195" t="s">
        <v>3044</v>
      </c>
      <c r="AV365" s="195" t="s">
        <v>337</v>
      </c>
      <c r="AW365" s="195" t="str">
        <f ca="1">IFERROR(__xludf.DUMMYFUNCTION("IF(AND(IF(AS365=""Yes"",True,False),NOT(IFERROR(REGEXMATCH(AV365,ExclusionCategories),FALSE))),""Yes"", ""No"")"),"Yes")</f>
        <v>Yes</v>
      </c>
      <c r="AX365" s="195">
        <f ca="1">IFERROR(__xludf.DUMMYFUNCTION("IF(IFERROR(SEARCH(""Unclear"", Z365)) = 1, VALUE(REGEXEXTRACT(Z365,""\d+"")), Z365)"),6)</f>
        <v>6</v>
      </c>
      <c r="AY365" s="195">
        <v>6</v>
      </c>
      <c r="AZ365" s="195" t="str">
        <f ca="1">IFERROR(__xludf.DUMMYFUNCTION("IF(IFERROR(SEARCH(""Unclear"", AG365)) = 1, VALUE(REGEXEXTRACT(AG365,""\d+"")), AG365)"),"ND")</f>
        <v>ND</v>
      </c>
      <c r="BA365" s="195" t="s">
        <v>324</v>
      </c>
      <c r="BB365" s="195" t="str">
        <f ca="1">IFERROR(__xludf.DUMMYFUNCTION("IF(IFERROR(SEARCH(""Unclear"", AJ365)) = 1, VALUE(REGEXEXTRACT(AJ365,""\d+"")), AJ365)"),"ND")</f>
        <v>ND</v>
      </c>
      <c r="BC365" s="195" t="s">
        <v>324</v>
      </c>
      <c r="BD365" s="195" t="b">
        <f t="shared" si="2"/>
        <v>0</v>
      </c>
      <c r="BE365" s="195" t="b">
        <f t="shared" ref="BE365:BF365" si="385">IF(IFERROR(FIND("ND",AI365),0),FALSE,TRUE)</f>
        <v>0</v>
      </c>
      <c r="BF365" s="195" t="b">
        <f t="shared" si="385"/>
        <v>0</v>
      </c>
    </row>
    <row r="366" spans="1:58" ht="37.5" customHeight="1">
      <c r="A366" s="212" t="s">
        <v>3036</v>
      </c>
      <c r="B366" s="252">
        <v>1993</v>
      </c>
      <c r="C366" s="195" t="s">
        <v>339</v>
      </c>
      <c r="D366" s="4" t="s">
        <v>3045</v>
      </c>
      <c r="E366" s="252">
        <v>8357078</v>
      </c>
      <c r="F366" s="255" t="s">
        <v>3038</v>
      </c>
      <c r="G366" s="213" t="str">
        <f t="shared" si="89"/>
        <v>Egan 1993</v>
      </c>
      <c r="H366" s="217">
        <v>1993</v>
      </c>
      <c r="I366" s="195"/>
      <c r="J366" s="195"/>
      <c r="K366" s="195">
        <v>2</v>
      </c>
      <c r="L366" s="4" t="s">
        <v>3050</v>
      </c>
      <c r="M366" s="195">
        <v>2</v>
      </c>
      <c r="N366" s="195">
        <v>0</v>
      </c>
      <c r="O366" s="195" t="s">
        <v>324</v>
      </c>
      <c r="P366" s="195" t="s">
        <v>324</v>
      </c>
      <c r="Q366" s="195" t="s">
        <v>324</v>
      </c>
      <c r="R366" s="195">
        <v>18</v>
      </c>
      <c r="S366" s="195">
        <v>50</v>
      </c>
      <c r="T366" s="195" t="s">
        <v>324</v>
      </c>
      <c r="U366" s="195" t="s">
        <v>324</v>
      </c>
      <c r="V366" s="195" t="s">
        <v>3039</v>
      </c>
      <c r="W366" s="199"/>
      <c r="X366" s="195">
        <v>2</v>
      </c>
      <c r="Y366" s="195" t="s">
        <v>3051</v>
      </c>
      <c r="Z366" s="195">
        <v>0</v>
      </c>
      <c r="AA366" s="195"/>
      <c r="AB366" s="195">
        <v>0</v>
      </c>
      <c r="AC366" s="199"/>
      <c r="AD366" s="195" t="s">
        <v>322</v>
      </c>
      <c r="AE366" s="195" t="s">
        <v>332</v>
      </c>
      <c r="AF366" s="195" t="s">
        <v>1472</v>
      </c>
      <c r="AG366" s="195" t="s">
        <v>324</v>
      </c>
      <c r="AH366" s="195" t="s">
        <v>316</v>
      </c>
      <c r="AI366" s="195" t="s">
        <v>324</v>
      </c>
      <c r="AJ366" s="195" t="s">
        <v>324</v>
      </c>
      <c r="AK366" s="195"/>
      <c r="AL366" s="195" t="s">
        <v>322</v>
      </c>
      <c r="AM366" s="199"/>
      <c r="AN366" s="195" t="s">
        <v>3047</v>
      </c>
      <c r="AO366" s="195" t="s">
        <v>3042</v>
      </c>
      <c r="AP366" s="195" t="s">
        <v>3043</v>
      </c>
      <c r="AQ366" s="195" t="s">
        <v>324</v>
      </c>
      <c r="AR366" s="195" t="s">
        <v>3034</v>
      </c>
      <c r="AS366" s="195" t="s">
        <v>308</v>
      </c>
      <c r="AT366" s="199"/>
      <c r="AU366" s="195" t="s">
        <v>3044</v>
      </c>
      <c r="AV366" s="195" t="s">
        <v>15</v>
      </c>
      <c r="AW366" s="195" t="str">
        <f ca="1">IFERROR(__xludf.DUMMYFUNCTION("IF(AND(IF(AS366=""Yes"",True,False),NOT(IFERROR(REGEXMATCH(AV366,ExclusionCategories),FALSE))),""Yes"", ""No"")"),"No")</f>
        <v>No</v>
      </c>
      <c r="AX366" s="195">
        <f ca="1">IFERROR(__xludf.DUMMYFUNCTION("IF(IFERROR(SEARCH(""Unclear"", Z366)) = 1, VALUE(REGEXEXTRACT(Z366,""\d+"")), Z366)"),0)</f>
        <v>0</v>
      </c>
      <c r="AY366" s="195">
        <v>0</v>
      </c>
      <c r="AZ366" s="195" t="str">
        <f ca="1">IFERROR(__xludf.DUMMYFUNCTION("IF(IFERROR(SEARCH(""Unclear"", AG366)) = 1, VALUE(REGEXEXTRACT(AG366,""\d+"")), AG366)"),"ND")</f>
        <v>ND</v>
      </c>
      <c r="BA366" s="195" t="s">
        <v>324</v>
      </c>
      <c r="BB366" s="195" t="str">
        <f ca="1">IFERROR(__xludf.DUMMYFUNCTION("IF(IFERROR(SEARCH(""Unclear"", AJ366)) = 1, VALUE(REGEXEXTRACT(AJ366,""\d+"")), AJ366)"),"ND")</f>
        <v>ND</v>
      </c>
      <c r="BC366" s="195" t="s">
        <v>324</v>
      </c>
      <c r="BD366" s="195" t="b">
        <f t="shared" si="2"/>
        <v>0</v>
      </c>
      <c r="BE366" s="195" t="b">
        <f t="shared" ref="BE366:BF366" si="386">IF(IFERROR(FIND("ND",AI366),0),FALSE,TRUE)</f>
        <v>0</v>
      </c>
      <c r="BF366" s="195" t="b">
        <f t="shared" si="386"/>
        <v>0</v>
      </c>
    </row>
    <row r="367" spans="1:58" ht="37.5" customHeight="1">
      <c r="A367" s="212" t="s">
        <v>3052</v>
      </c>
      <c r="B367" s="252">
        <v>1992</v>
      </c>
      <c r="C367" s="195" t="s">
        <v>339</v>
      </c>
      <c r="D367" s="4" t="s">
        <v>2993</v>
      </c>
      <c r="E367" s="252">
        <v>1563771</v>
      </c>
      <c r="F367" s="255" t="s">
        <v>3053</v>
      </c>
      <c r="G367" s="213" t="str">
        <f t="shared" si="89"/>
        <v>Fries 1992</v>
      </c>
      <c r="H367" s="217">
        <v>1992</v>
      </c>
      <c r="I367" s="195"/>
      <c r="J367" s="195"/>
      <c r="K367" s="195">
        <v>21</v>
      </c>
      <c r="L367" s="4" t="s">
        <v>3054</v>
      </c>
      <c r="M367" s="195">
        <v>8</v>
      </c>
      <c r="N367" s="195">
        <v>13</v>
      </c>
      <c r="O367" s="195" t="s">
        <v>324</v>
      </c>
      <c r="P367" s="195">
        <v>20</v>
      </c>
      <c r="Q367" s="195">
        <v>47</v>
      </c>
      <c r="R367" s="195">
        <v>18</v>
      </c>
      <c r="S367" s="195">
        <v>50</v>
      </c>
      <c r="T367" s="195">
        <v>33</v>
      </c>
      <c r="U367" s="195" t="s">
        <v>324</v>
      </c>
      <c r="V367" s="195" t="s">
        <v>3055</v>
      </c>
      <c r="W367" s="195" t="s">
        <v>3056</v>
      </c>
      <c r="X367" s="195">
        <v>19</v>
      </c>
      <c r="Y367" s="195" t="s">
        <v>1239</v>
      </c>
      <c r="Z367" s="195">
        <v>13</v>
      </c>
      <c r="AA367" s="195" t="s">
        <v>3057</v>
      </c>
      <c r="AB367" s="195">
        <v>0</v>
      </c>
      <c r="AC367" s="199"/>
      <c r="AD367" s="195" t="s">
        <v>322</v>
      </c>
      <c r="AE367" s="195" t="s">
        <v>332</v>
      </c>
      <c r="AF367" s="195" t="s">
        <v>1472</v>
      </c>
      <c r="AG367" s="195" t="s">
        <v>324</v>
      </c>
      <c r="AH367" s="195" t="s">
        <v>316</v>
      </c>
      <c r="AI367" s="195" t="s">
        <v>324</v>
      </c>
      <c r="AJ367" s="195" t="s">
        <v>324</v>
      </c>
      <c r="AK367" s="195"/>
      <c r="AL367" s="195" t="s">
        <v>322</v>
      </c>
      <c r="AM367" s="199"/>
      <c r="AN367" s="195" t="s">
        <v>3058</v>
      </c>
      <c r="AO367" s="195" t="s">
        <v>3059</v>
      </c>
      <c r="AP367" s="195" t="s">
        <v>3060</v>
      </c>
      <c r="AQ367" s="195" t="s">
        <v>324</v>
      </c>
      <c r="AR367" s="195" t="s">
        <v>3034</v>
      </c>
      <c r="AS367" s="195" t="s">
        <v>308</v>
      </c>
      <c r="AT367" s="199"/>
      <c r="AU367" s="202" t="s">
        <v>3061</v>
      </c>
      <c r="AV367" s="195" t="s">
        <v>9</v>
      </c>
      <c r="AW367" s="195" t="str">
        <f ca="1">IFERROR(__xludf.DUMMYFUNCTION("IF(AND(IF(AS367=""Yes"",True,False),NOT(IFERROR(REGEXMATCH(AV367,ExclusionCategories),FALSE))),""Yes"", ""No"")"),"Yes")</f>
        <v>Yes</v>
      </c>
      <c r="AX367" s="195">
        <f ca="1">IFERROR(__xludf.DUMMYFUNCTION("IF(IFERROR(SEARCH(""Unclear"", Z367)) = 1, VALUE(REGEXEXTRACT(Z367,""\d+"")), Z367)"),13)</f>
        <v>13</v>
      </c>
      <c r="AY367" s="195">
        <v>13</v>
      </c>
      <c r="AZ367" s="195" t="str">
        <f ca="1">IFERROR(__xludf.DUMMYFUNCTION("IF(IFERROR(SEARCH(""Unclear"", AG367)) = 1, VALUE(REGEXEXTRACT(AG367,""\d+"")), AG367)"),"ND")</f>
        <v>ND</v>
      </c>
      <c r="BA367" s="195" t="s">
        <v>324</v>
      </c>
      <c r="BB367" s="195" t="str">
        <f ca="1">IFERROR(__xludf.DUMMYFUNCTION("IF(IFERROR(SEARCH(""Unclear"", AJ367)) = 1, VALUE(REGEXEXTRACT(AJ367,""\d+"")), AJ367)"),"ND")</f>
        <v>ND</v>
      </c>
      <c r="BC367" s="195" t="s">
        <v>324</v>
      </c>
      <c r="BD367" s="195" t="b">
        <f t="shared" si="2"/>
        <v>0</v>
      </c>
      <c r="BE367" s="195" t="b">
        <f t="shared" ref="BE367:BF367" si="387">IF(IFERROR(FIND("ND",AI367),0),FALSE,TRUE)</f>
        <v>0</v>
      </c>
      <c r="BF367" s="195" t="b">
        <f t="shared" si="387"/>
        <v>0</v>
      </c>
    </row>
    <row r="368" spans="1:58" ht="37.5" customHeight="1">
      <c r="A368" s="212" t="s">
        <v>3052</v>
      </c>
      <c r="B368" s="252">
        <v>1992</v>
      </c>
      <c r="C368" s="195" t="s">
        <v>339</v>
      </c>
      <c r="D368" s="4" t="s">
        <v>2993</v>
      </c>
      <c r="E368" s="252">
        <v>1563771</v>
      </c>
      <c r="F368" s="255" t="s">
        <v>3053</v>
      </c>
      <c r="G368" s="213" t="str">
        <f t="shared" si="89"/>
        <v>Fries 1992</v>
      </c>
      <c r="H368" s="217">
        <v>1992</v>
      </c>
      <c r="I368" s="195"/>
      <c r="J368" s="195"/>
      <c r="K368" s="195">
        <v>2</v>
      </c>
      <c r="L368" s="4" t="s">
        <v>1936</v>
      </c>
      <c r="M368" s="195" t="s">
        <v>324</v>
      </c>
      <c r="N368" s="195" t="s">
        <v>324</v>
      </c>
      <c r="O368" s="195" t="s">
        <v>324</v>
      </c>
      <c r="P368" s="195" t="s">
        <v>324</v>
      </c>
      <c r="Q368" s="195" t="s">
        <v>324</v>
      </c>
      <c r="R368" s="195">
        <v>18</v>
      </c>
      <c r="S368" s="195">
        <v>50</v>
      </c>
      <c r="T368" s="195" t="s">
        <v>324</v>
      </c>
      <c r="U368" s="195" t="s">
        <v>324</v>
      </c>
      <c r="V368" s="195" t="s">
        <v>3055</v>
      </c>
      <c r="W368" s="199"/>
      <c r="X368" s="195">
        <v>2</v>
      </c>
      <c r="Y368" s="195" t="s">
        <v>3062</v>
      </c>
      <c r="Z368" s="195">
        <v>2</v>
      </c>
      <c r="AA368" s="195"/>
      <c r="AB368" s="195">
        <v>0</v>
      </c>
      <c r="AC368" s="199"/>
      <c r="AD368" s="195" t="s">
        <v>322</v>
      </c>
      <c r="AE368" s="195" t="s">
        <v>332</v>
      </c>
      <c r="AF368" s="195" t="s">
        <v>1472</v>
      </c>
      <c r="AG368" s="195" t="s">
        <v>324</v>
      </c>
      <c r="AH368" s="195" t="s">
        <v>316</v>
      </c>
      <c r="AI368" s="195" t="s">
        <v>324</v>
      </c>
      <c r="AJ368" s="195" t="s">
        <v>324</v>
      </c>
      <c r="AK368" s="195"/>
      <c r="AL368" s="195" t="s">
        <v>322</v>
      </c>
      <c r="AM368" s="199"/>
      <c r="AN368" s="195" t="s">
        <v>3058</v>
      </c>
      <c r="AO368" s="195" t="s">
        <v>3059</v>
      </c>
      <c r="AP368" s="195" t="s">
        <v>3060</v>
      </c>
      <c r="AQ368" s="195" t="s">
        <v>324</v>
      </c>
      <c r="AR368" s="195" t="s">
        <v>3034</v>
      </c>
      <c r="AS368" s="195" t="s">
        <v>308</v>
      </c>
      <c r="AT368" s="199"/>
      <c r="AU368" s="202" t="s">
        <v>3061</v>
      </c>
      <c r="AV368" s="195" t="s">
        <v>15</v>
      </c>
      <c r="AW368" s="195" t="str">
        <f ca="1">IFERROR(__xludf.DUMMYFUNCTION("IF(AND(IF(AS368=""Yes"",True,False),NOT(IFERROR(REGEXMATCH(AV368,ExclusionCategories),FALSE))),""Yes"", ""No"")"),"No")</f>
        <v>No</v>
      </c>
      <c r="AX368" s="195">
        <f ca="1">IFERROR(__xludf.DUMMYFUNCTION("IF(IFERROR(SEARCH(""Unclear"", Z368)) = 1, VALUE(REGEXEXTRACT(Z368,""\d+"")), Z368)"),2)</f>
        <v>2</v>
      </c>
      <c r="AY368" s="195">
        <v>2</v>
      </c>
      <c r="AZ368" s="195" t="str">
        <f ca="1">IFERROR(__xludf.DUMMYFUNCTION("IF(IFERROR(SEARCH(""Unclear"", AG368)) = 1, VALUE(REGEXEXTRACT(AG368,""\d+"")), AG368)"),"ND")</f>
        <v>ND</v>
      </c>
      <c r="BA368" s="195" t="s">
        <v>324</v>
      </c>
      <c r="BB368" s="195" t="str">
        <f ca="1">IFERROR(__xludf.DUMMYFUNCTION("IF(IFERROR(SEARCH(""Unclear"", AJ368)) = 1, VALUE(REGEXEXTRACT(AJ368,""\d+"")), AJ368)"),"ND")</f>
        <v>ND</v>
      </c>
      <c r="BC368" s="195" t="s">
        <v>324</v>
      </c>
      <c r="BD368" s="195" t="b">
        <f t="shared" si="2"/>
        <v>0</v>
      </c>
      <c r="BE368" s="195" t="b">
        <f t="shared" ref="BE368:BF368" si="388">IF(IFERROR(FIND("ND",AI368),0),FALSE,TRUE)</f>
        <v>0</v>
      </c>
      <c r="BF368" s="195" t="b">
        <f t="shared" si="388"/>
        <v>0</v>
      </c>
    </row>
    <row r="369" spans="1:58" ht="37.5" customHeight="1">
      <c r="A369" s="212" t="s">
        <v>3063</v>
      </c>
      <c r="B369" s="252">
        <v>1995</v>
      </c>
      <c r="C369" s="195" t="s">
        <v>339</v>
      </c>
      <c r="D369" s="4" t="s">
        <v>3045</v>
      </c>
      <c r="E369" s="252">
        <v>7769295</v>
      </c>
      <c r="F369" s="255" t="s">
        <v>3064</v>
      </c>
      <c r="G369" s="213" t="str">
        <f t="shared" si="89"/>
        <v>Gordon 1995</v>
      </c>
      <c r="H369" s="217">
        <v>1995</v>
      </c>
      <c r="I369" s="195"/>
      <c r="J369" s="195"/>
      <c r="K369" s="195">
        <v>8</v>
      </c>
      <c r="L369" s="4" t="s">
        <v>3065</v>
      </c>
      <c r="M369" s="195">
        <v>8</v>
      </c>
      <c r="N369" s="195">
        <v>0</v>
      </c>
      <c r="O369" s="195" t="s">
        <v>324</v>
      </c>
      <c r="P369" s="195" t="s">
        <v>324</v>
      </c>
      <c r="Q369" s="195" t="s">
        <v>324</v>
      </c>
      <c r="R369" s="195">
        <v>18</v>
      </c>
      <c r="S369" s="195">
        <v>40</v>
      </c>
      <c r="T369" s="195" t="s">
        <v>324</v>
      </c>
      <c r="U369" s="195" t="s">
        <v>324</v>
      </c>
      <c r="V369" s="195" t="s">
        <v>3066</v>
      </c>
      <c r="W369" s="199"/>
      <c r="X369" s="195">
        <v>8</v>
      </c>
      <c r="Y369" s="195" t="s">
        <v>3067</v>
      </c>
      <c r="Z369" s="195">
        <v>8</v>
      </c>
      <c r="AA369" s="195" t="s">
        <v>3068</v>
      </c>
      <c r="AB369" s="195">
        <v>0</v>
      </c>
      <c r="AC369" s="199"/>
      <c r="AD369" s="195" t="s">
        <v>322</v>
      </c>
      <c r="AE369" s="195" t="s">
        <v>332</v>
      </c>
      <c r="AF369" s="195" t="s">
        <v>1472</v>
      </c>
      <c r="AG369" s="195" t="s">
        <v>324</v>
      </c>
      <c r="AH369" s="195" t="s">
        <v>316</v>
      </c>
      <c r="AI369" s="195" t="s">
        <v>324</v>
      </c>
      <c r="AJ369" s="195" t="s">
        <v>324</v>
      </c>
      <c r="AK369" s="195"/>
      <c r="AL369" s="195" t="s">
        <v>322</v>
      </c>
      <c r="AM369" s="199"/>
      <c r="AN369" s="195" t="s">
        <v>3069</v>
      </c>
      <c r="AO369" s="195" t="s">
        <v>3070</v>
      </c>
      <c r="AP369" s="195" t="s">
        <v>3071</v>
      </c>
      <c r="AQ369" s="195" t="s">
        <v>324</v>
      </c>
      <c r="AR369" s="195" t="s">
        <v>3034</v>
      </c>
      <c r="AS369" s="195" t="s">
        <v>316</v>
      </c>
      <c r="AT369" s="199"/>
      <c r="AU369" s="202" t="s">
        <v>3072</v>
      </c>
      <c r="AV369" s="195" t="s">
        <v>326</v>
      </c>
      <c r="AW369" s="195" t="str">
        <f ca="1">IFERROR(__xludf.DUMMYFUNCTION("IF(AND(IF(AS369=""Yes"",True,False),NOT(IFERROR(REGEXMATCH(AV369,ExclusionCategories),FALSE))),""Yes"", ""No"")"),"No")</f>
        <v>No</v>
      </c>
      <c r="AX369" s="195">
        <f ca="1">IFERROR(__xludf.DUMMYFUNCTION("IF(IFERROR(SEARCH(""Unclear"", Z369)) = 1, VALUE(REGEXEXTRACT(Z369,""\d+"")), Z369)"),8)</f>
        <v>8</v>
      </c>
      <c r="AY369" s="195">
        <v>8</v>
      </c>
      <c r="AZ369" s="195" t="str">
        <f ca="1">IFERROR(__xludf.DUMMYFUNCTION("IF(IFERROR(SEARCH(""Unclear"", AG369)) = 1, VALUE(REGEXEXTRACT(AG369,""\d+"")), AG369)"),"ND")</f>
        <v>ND</v>
      </c>
      <c r="BA369" s="195" t="s">
        <v>324</v>
      </c>
      <c r="BB369" s="195" t="str">
        <f ca="1">IFERROR(__xludf.DUMMYFUNCTION("IF(IFERROR(SEARCH(""Unclear"", AJ369)) = 1, VALUE(REGEXEXTRACT(AJ369,""\d+"")), AJ369)"),"ND")</f>
        <v>ND</v>
      </c>
      <c r="BC369" s="195" t="s">
        <v>324</v>
      </c>
      <c r="BD369" s="195" t="b">
        <f t="shared" si="2"/>
        <v>0</v>
      </c>
      <c r="BE369" s="195" t="b">
        <f t="shared" ref="BE369:BF369" si="389">IF(IFERROR(FIND("ND",AI369),0),FALSE,TRUE)</f>
        <v>0</v>
      </c>
      <c r="BF369" s="195" t="b">
        <f t="shared" si="389"/>
        <v>0</v>
      </c>
    </row>
    <row r="370" spans="1:58" ht="37.5" customHeight="1">
      <c r="A370" s="212" t="s">
        <v>3063</v>
      </c>
      <c r="B370" s="252">
        <v>1995</v>
      </c>
      <c r="C370" s="195" t="s">
        <v>339</v>
      </c>
      <c r="D370" s="4" t="s">
        <v>3045</v>
      </c>
      <c r="E370" s="252">
        <v>7769295</v>
      </c>
      <c r="F370" s="255" t="s">
        <v>3064</v>
      </c>
      <c r="G370" s="213" t="str">
        <f t="shared" si="89"/>
        <v>Gordon 1995</v>
      </c>
      <c r="H370" s="217">
        <v>1995</v>
      </c>
      <c r="I370" s="195"/>
      <c r="J370" s="195"/>
      <c r="K370" s="195">
        <v>10</v>
      </c>
      <c r="L370" s="4" t="s">
        <v>3073</v>
      </c>
      <c r="M370" s="195">
        <v>10</v>
      </c>
      <c r="N370" s="195">
        <v>0</v>
      </c>
      <c r="O370" s="195" t="s">
        <v>324</v>
      </c>
      <c r="P370" s="195" t="s">
        <v>324</v>
      </c>
      <c r="Q370" s="195" t="s">
        <v>324</v>
      </c>
      <c r="R370" s="195">
        <v>18</v>
      </c>
      <c r="S370" s="195">
        <v>40</v>
      </c>
      <c r="T370" s="195" t="s">
        <v>324</v>
      </c>
      <c r="U370" s="195" t="s">
        <v>324</v>
      </c>
      <c r="V370" s="195" t="s">
        <v>3066</v>
      </c>
      <c r="W370" s="199"/>
      <c r="X370" s="195">
        <v>10</v>
      </c>
      <c r="Y370" s="195" t="s">
        <v>2330</v>
      </c>
      <c r="Z370" s="195">
        <v>8</v>
      </c>
      <c r="AA370" s="195" t="s">
        <v>2331</v>
      </c>
      <c r="AB370" s="195">
        <v>0</v>
      </c>
      <c r="AC370" s="199"/>
      <c r="AD370" s="195" t="s">
        <v>322</v>
      </c>
      <c r="AE370" s="195" t="s">
        <v>332</v>
      </c>
      <c r="AF370" s="195" t="s">
        <v>1472</v>
      </c>
      <c r="AG370" s="195" t="s">
        <v>324</v>
      </c>
      <c r="AH370" s="195" t="s">
        <v>316</v>
      </c>
      <c r="AI370" s="195" t="s">
        <v>324</v>
      </c>
      <c r="AJ370" s="195" t="s">
        <v>324</v>
      </c>
      <c r="AK370" s="195"/>
      <c r="AL370" s="195" t="s">
        <v>322</v>
      </c>
      <c r="AM370" s="199"/>
      <c r="AN370" s="195" t="s">
        <v>3074</v>
      </c>
      <c r="AO370" s="195" t="s">
        <v>3070</v>
      </c>
      <c r="AP370" s="195" t="s">
        <v>3071</v>
      </c>
      <c r="AQ370" s="195" t="s">
        <v>324</v>
      </c>
      <c r="AR370" s="195" t="s">
        <v>3034</v>
      </c>
      <c r="AS370" s="195" t="s">
        <v>316</v>
      </c>
      <c r="AT370" s="199"/>
      <c r="AU370" s="202" t="s">
        <v>3072</v>
      </c>
      <c r="AV370" s="195" t="s">
        <v>326</v>
      </c>
      <c r="AW370" s="195" t="str">
        <f ca="1">IFERROR(__xludf.DUMMYFUNCTION("IF(AND(IF(AS370=""Yes"",True,False),NOT(IFERROR(REGEXMATCH(AV370,ExclusionCategories),FALSE))),""Yes"", ""No"")"),"No")</f>
        <v>No</v>
      </c>
      <c r="AX370" s="195">
        <f ca="1">IFERROR(__xludf.DUMMYFUNCTION("IF(IFERROR(SEARCH(""Unclear"", Z370)) = 1, VALUE(REGEXEXTRACT(Z370,""\d+"")), Z370)"),8)</f>
        <v>8</v>
      </c>
      <c r="AY370" s="195">
        <v>8</v>
      </c>
      <c r="AZ370" s="195" t="str">
        <f ca="1">IFERROR(__xludf.DUMMYFUNCTION("IF(IFERROR(SEARCH(""Unclear"", AG370)) = 1, VALUE(REGEXEXTRACT(AG370,""\d+"")), AG370)"),"ND")</f>
        <v>ND</v>
      </c>
      <c r="BA370" s="195" t="s">
        <v>324</v>
      </c>
      <c r="BB370" s="195" t="str">
        <f ca="1">IFERROR(__xludf.DUMMYFUNCTION("IF(IFERROR(SEARCH(""Unclear"", AJ370)) = 1, VALUE(REGEXEXTRACT(AJ370,""\d+"")), AJ370)"),"ND")</f>
        <v>ND</v>
      </c>
      <c r="BC370" s="195" t="s">
        <v>324</v>
      </c>
      <c r="BD370" s="195" t="b">
        <f t="shared" si="2"/>
        <v>0</v>
      </c>
      <c r="BE370" s="195" t="b">
        <f t="shared" ref="BE370:BF370" si="390">IF(IFERROR(FIND("ND",AI370),0),FALSE,TRUE)</f>
        <v>0</v>
      </c>
      <c r="BF370" s="195" t="b">
        <f t="shared" si="390"/>
        <v>0</v>
      </c>
    </row>
    <row r="371" spans="1:58" ht="37.5" customHeight="1">
      <c r="A371" s="212" t="s">
        <v>3063</v>
      </c>
      <c r="B371" s="252">
        <v>1995</v>
      </c>
      <c r="C371" s="195" t="s">
        <v>339</v>
      </c>
      <c r="D371" s="4" t="s">
        <v>3045</v>
      </c>
      <c r="E371" s="252">
        <v>7769295</v>
      </c>
      <c r="F371" s="255" t="s">
        <v>3064</v>
      </c>
      <c r="G371" s="213" t="str">
        <f t="shared" si="89"/>
        <v>Gordon 1995</v>
      </c>
      <c r="H371" s="217">
        <v>1995</v>
      </c>
      <c r="I371" s="195"/>
      <c r="J371" s="195"/>
      <c r="K371" s="195">
        <v>18</v>
      </c>
      <c r="L371" s="4" t="s">
        <v>846</v>
      </c>
      <c r="M371" s="195">
        <v>18</v>
      </c>
      <c r="N371" s="195">
        <v>0</v>
      </c>
      <c r="O371" s="195" t="s">
        <v>324</v>
      </c>
      <c r="P371" s="195" t="s">
        <v>324</v>
      </c>
      <c r="Q371" s="195" t="s">
        <v>324</v>
      </c>
      <c r="R371" s="195">
        <v>18</v>
      </c>
      <c r="S371" s="195">
        <v>40</v>
      </c>
      <c r="T371" s="195" t="s">
        <v>324</v>
      </c>
      <c r="U371" s="195" t="s">
        <v>324</v>
      </c>
      <c r="V371" s="195" t="s">
        <v>3066</v>
      </c>
      <c r="W371" s="199"/>
      <c r="X371" s="195">
        <v>18</v>
      </c>
      <c r="Y371" s="195"/>
      <c r="Z371" s="195">
        <v>16</v>
      </c>
      <c r="AA371" s="195"/>
      <c r="AB371" s="195">
        <v>0</v>
      </c>
      <c r="AC371" s="199"/>
      <c r="AD371" s="195" t="s">
        <v>322</v>
      </c>
      <c r="AE371" s="195" t="s">
        <v>332</v>
      </c>
      <c r="AF371" s="244" t="s">
        <v>1472</v>
      </c>
      <c r="AG371" s="244" t="s">
        <v>324</v>
      </c>
      <c r="AH371" s="244" t="s">
        <v>316</v>
      </c>
      <c r="AI371" s="244" t="s">
        <v>324</v>
      </c>
      <c r="AJ371" s="244" t="s">
        <v>324</v>
      </c>
      <c r="AK371" s="195"/>
      <c r="AL371" s="195" t="s">
        <v>322</v>
      </c>
      <c r="AM371" s="199"/>
      <c r="AN371" s="195" t="s">
        <v>3075</v>
      </c>
      <c r="AO371" s="195" t="s">
        <v>3070</v>
      </c>
      <c r="AP371" s="195" t="s">
        <v>3071</v>
      </c>
      <c r="AQ371" s="195" t="s">
        <v>324</v>
      </c>
      <c r="AR371" s="195" t="s">
        <v>3034</v>
      </c>
      <c r="AS371" s="195" t="s">
        <v>308</v>
      </c>
      <c r="AT371" s="199"/>
      <c r="AU371" s="202" t="s">
        <v>3072</v>
      </c>
      <c r="AV371" s="195" t="s">
        <v>337</v>
      </c>
      <c r="AW371" s="195" t="str">
        <f ca="1">IFERROR(__xludf.DUMMYFUNCTION("IF(AND(IF(AS371=""Yes"",True,False),NOT(IFERROR(REGEXMATCH(AV371,ExclusionCategories),FALSE))),""Yes"", ""No"")"),"Yes")</f>
        <v>Yes</v>
      </c>
      <c r="AX371" s="195">
        <f ca="1">IFERROR(__xludf.DUMMYFUNCTION("IF(IFERROR(SEARCH(""Unclear"", Z371)) = 1, VALUE(REGEXEXTRACT(Z371,""\d+"")), Z371)"),16)</f>
        <v>16</v>
      </c>
      <c r="AY371" s="195">
        <v>16</v>
      </c>
      <c r="AZ371" s="195" t="str">
        <f ca="1">IFERROR(__xludf.DUMMYFUNCTION("IF(IFERROR(SEARCH(""Unclear"", AG371)) = 1, VALUE(REGEXEXTRACT(AG371,""\d+"")), AG371)"),"ND")</f>
        <v>ND</v>
      </c>
      <c r="BA371" s="195" t="s">
        <v>324</v>
      </c>
      <c r="BB371" s="195" t="str">
        <f ca="1">IFERROR(__xludf.DUMMYFUNCTION("IF(IFERROR(SEARCH(""Unclear"", AJ371)) = 1, VALUE(REGEXEXTRACT(AJ371,""\d+"")), AJ371)"),"ND")</f>
        <v>ND</v>
      </c>
      <c r="BC371" s="195" t="s">
        <v>324</v>
      </c>
      <c r="BD371" s="195" t="b">
        <f t="shared" si="2"/>
        <v>0</v>
      </c>
      <c r="BE371" s="195" t="b">
        <f t="shared" ref="BE371:BF371" si="391">IF(IFERROR(FIND("ND",AI371),0),FALSE,TRUE)</f>
        <v>0</v>
      </c>
      <c r="BF371" s="195" t="b">
        <f t="shared" si="391"/>
        <v>0</v>
      </c>
    </row>
    <row r="372" spans="1:58" ht="37.5" customHeight="1">
      <c r="A372" s="203" t="s">
        <v>3076</v>
      </c>
      <c r="B372" s="204">
        <v>1990</v>
      </c>
      <c r="C372" s="195" t="s">
        <v>339</v>
      </c>
      <c r="D372" s="4" t="s">
        <v>3077</v>
      </c>
      <c r="E372" s="204">
        <v>2240371</v>
      </c>
      <c r="F372" s="198" t="s">
        <v>3078</v>
      </c>
      <c r="G372" s="195" t="str">
        <f t="shared" si="89"/>
        <v>Rickman 1990</v>
      </c>
      <c r="H372" s="217">
        <v>1990</v>
      </c>
      <c r="I372" s="195"/>
      <c r="J372" s="195"/>
      <c r="K372" s="195">
        <v>10</v>
      </c>
      <c r="L372" s="4"/>
      <c r="M372" s="195">
        <v>10</v>
      </c>
      <c r="N372" s="195">
        <v>0</v>
      </c>
      <c r="O372" s="195" t="s">
        <v>324</v>
      </c>
      <c r="P372" s="195" t="s">
        <v>324</v>
      </c>
      <c r="Q372" s="195" t="s">
        <v>324</v>
      </c>
      <c r="R372" s="195">
        <v>25</v>
      </c>
      <c r="S372" s="195">
        <v>39</v>
      </c>
      <c r="T372" s="195" t="s">
        <v>324</v>
      </c>
      <c r="U372" s="195" t="s">
        <v>324</v>
      </c>
      <c r="V372" s="195" t="s">
        <v>3079</v>
      </c>
      <c r="W372" s="199"/>
      <c r="X372" s="195">
        <v>10</v>
      </c>
      <c r="Y372" s="195"/>
      <c r="Z372" s="195">
        <v>5</v>
      </c>
      <c r="AA372" s="195"/>
      <c r="AB372" s="195">
        <v>0</v>
      </c>
      <c r="AC372" s="199"/>
      <c r="AD372" s="195" t="s">
        <v>322</v>
      </c>
      <c r="AE372" s="195" t="s">
        <v>3080</v>
      </c>
      <c r="AF372" s="195" t="s">
        <v>3081</v>
      </c>
      <c r="AG372" s="195">
        <v>5</v>
      </c>
      <c r="AH372" s="195" t="s">
        <v>316</v>
      </c>
      <c r="AI372" s="195">
        <v>1</v>
      </c>
      <c r="AJ372" s="195" t="s">
        <v>324</v>
      </c>
      <c r="AK372" s="195" t="s">
        <v>3082</v>
      </c>
      <c r="AL372" s="195" t="s">
        <v>322</v>
      </c>
      <c r="AM372" s="199"/>
      <c r="AN372" s="195" t="s">
        <v>3083</v>
      </c>
      <c r="AO372" s="195" t="s">
        <v>3084</v>
      </c>
      <c r="AP372" s="195" t="s">
        <v>3085</v>
      </c>
      <c r="AQ372" s="195" t="s">
        <v>324</v>
      </c>
      <c r="AR372" s="195" t="s">
        <v>3034</v>
      </c>
      <c r="AS372" s="195" t="s">
        <v>308</v>
      </c>
      <c r="AT372" s="199"/>
      <c r="AU372" s="202" t="s">
        <v>3086</v>
      </c>
      <c r="AV372" s="195" t="s">
        <v>571</v>
      </c>
      <c r="AW372" s="195" t="str">
        <f ca="1">IFERROR(__xludf.DUMMYFUNCTION("IF(AND(IF(AS372=""Yes"",True,False),NOT(IFERROR(REGEXMATCH(AV372,ExclusionCategories),FALSE))),""Yes"", ""No"")"),"Yes")</f>
        <v>Yes</v>
      </c>
      <c r="AX372" s="195">
        <f ca="1">IFERROR(__xludf.DUMMYFUNCTION("IF(IFERROR(SEARCH(""Unclear"", Z372)) = 1, VALUE(REGEXEXTRACT(Z372,""\d+"")), Z372)"),5)</f>
        <v>5</v>
      </c>
      <c r="AY372" s="195">
        <v>5</v>
      </c>
      <c r="AZ372" s="195">
        <f ca="1">IFERROR(__xludf.DUMMYFUNCTION("IF(IFERROR(SEARCH(""Unclear"", AG372)) = 1, VALUE(REGEXEXTRACT(AG372,""\d+"")), AG372)"),5)</f>
        <v>5</v>
      </c>
      <c r="BA372" s="195">
        <v>5</v>
      </c>
      <c r="BB372" s="195" t="str">
        <f ca="1">IFERROR(__xludf.DUMMYFUNCTION("IF(IFERROR(SEARCH(""Unclear"", AJ372)) = 1, VALUE(REGEXEXTRACT(AJ372,""\d+"")), AJ372)"),"ND")</f>
        <v>ND</v>
      </c>
      <c r="BC372" s="195" t="s">
        <v>324</v>
      </c>
      <c r="BD372" s="195" t="b">
        <f t="shared" si="2"/>
        <v>1</v>
      </c>
      <c r="BE372" s="195" t="b">
        <f t="shared" ref="BE372:BF372" si="392">IF(IFERROR(FIND("ND",AI372),0),FALSE,TRUE)</f>
        <v>1</v>
      </c>
      <c r="BF372" s="195" t="b">
        <f t="shared" si="392"/>
        <v>0</v>
      </c>
    </row>
    <row r="373" spans="1:58" ht="37.5" customHeight="1">
      <c r="A373" s="203" t="s">
        <v>3087</v>
      </c>
      <c r="B373" s="204">
        <v>1994</v>
      </c>
      <c r="C373" s="195" t="s">
        <v>339</v>
      </c>
      <c r="D373" s="4" t="s">
        <v>2993</v>
      </c>
      <c r="E373" s="204">
        <v>8291822</v>
      </c>
      <c r="F373" s="198" t="s">
        <v>3088</v>
      </c>
      <c r="G373" s="195" t="str">
        <f t="shared" si="89"/>
        <v>Shmuklarsky 1994</v>
      </c>
      <c r="H373" s="217">
        <v>1994</v>
      </c>
      <c r="I373" s="195"/>
      <c r="J373" s="195"/>
      <c r="K373" s="195">
        <v>18</v>
      </c>
      <c r="L373" s="4"/>
      <c r="M373" s="195">
        <v>18</v>
      </c>
      <c r="N373" s="195">
        <v>0</v>
      </c>
      <c r="O373" s="195" t="s">
        <v>324</v>
      </c>
      <c r="P373" s="195" t="s">
        <v>324</v>
      </c>
      <c r="Q373" s="195" t="s">
        <v>324</v>
      </c>
      <c r="R373" s="195" t="s">
        <v>324</v>
      </c>
      <c r="S373" s="195" t="s">
        <v>324</v>
      </c>
      <c r="T373" s="195">
        <v>21.7</v>
      </c>
      <c r="U373" s="195">
        <v>2.9</v>
      </c>
      <c r="V373" s="195" t="s">
        <v>3089</v>
      </c>
      <c r="W373" s="199"/>
      <c r="X373" s="195">
        <v>18</v>
      </c>
      <c r="Y373" s="195" t="s">
        <v>3090</v>
      </c>
      <c r="Z373" s="195">
        <v>8</v>
      </c>
      <c r="AA373" s="195" t="s">
        <v>3091</v>
      </c>
      <c r="AB373" s="195">
        <v>0</v>
      </c>
      <c r="AC373" s="199"/>
      <c r="AD373" s="195" t="s">
        <v>322</v>
      </c>
      <c r="AE373" s="195" t="s">
        <v>332</v>
      </c>
      <c r="AF373" s="195" t="s">
        <v>1472</v>
      </c>
      <c r="AG373" s="195" t="s">
        <v>324</v>
      </c>
      <c r="AH373" s="195" t="s">
        <v>316</v>
      </c>
      <c r="AI373" s="195" t="s">
        <v>324</v>
      </c>
      <c r="AJ373" s="195" t="s">
        <v>324</v>
      </c>
      <c r="AK373" s="195"/>
      <c r="AL373" s="195" t="s">
        <v>322</v>
      </c>
      <c r="AM373" s="199"/>
      <c r="AN373" s="195" t="s">
        <v>3031</v>
      </c>
      <c r="AO373" s="195" t="s">
        <v>3092</v>
      </c>
      <c r="AP373" s="195" t="s">
        <v>3093</v>
      </c>
      <c r="AQ373" s="195" t="s">
        <v>3094</v>
      </c>
      <c r="AR373" s="195" t="s">
        <v>3034</v>
      </c>
      <c r="AS373" s="195" t="s">
        <v>308</v>
      </c>
      <c r="AT373" s="199"/>
      <c r="AU373" s="202" t="s">
        <v>3095</v>
      </c>
      <c r="AV373" s="195" t="s">
        <v>9</v>
      </c>
      <c r="AW373" s="195" t="str">
        <f ca="1">IFERROR(__xludf.DUMMYFUNCTION("IF(AND(IF(AS373=""Yes"",True,False),NOT(IFERROR(REGEXMATCH(AV373,ExclusionCategories),FALSE))),""Yes"", ""No"")"),"Yes")</f>
        <v>Yes</v>
      </c>
      <c r="AX373" s="195">
        <f ca="1">IFERROR(__xludf.DUMMYFUNCTION("IF(IFERROR(SEARCH(""Unclear"", Z373)) = 1, VALUE(REGEXEXTRACT(Z373,""\d+"")), Z373)"),8)</f>
        <v>8</v>
      </c>
      <c r="AY373" s="195">
        <v>8</v>
      </c>
      <c r="AZ373" s="195" t="str">
        <f ca="1">IFERROR(__xludf.DUMMYFUNCTION("IF(IFERROR(SEARCH(""Unclear"", AG373)) = 1, VALUE(REGEXEXTRACT(AG373,""\d+"")), AG373)"),"ND")</f>
        <v>ND</v>
      </c>
      <c r="BA373" s="195" t="s">
        <v>324</v>
      </c>
      <c r="BB373" s="195" t="str">
        <f ca="1">IFERROR(__xludf.DUMMYFUNCTION("IF(IFERROR(SEARCH(""Unclear"", AJ373)) = 1, VALUE(REGEXEXTRACT(AJ373,""\d+"")), AJ373)"),"ND")</f>
        <v>ND</v>
      </c>
      <c r="BC373" s="195" t="s">
        <v>324</v>
      </c>
      <c r="BD373" s="195" t="b">
        <f t="shared" si="2"/>
        <v>0</v>
      </c>
      <c r="BE373" s="195" t="b">
        <f t="shared" ref="BE373:BF373" si="393">IF(IFERROR(FIND("ND",AI373),0),FALSE,TRUE)</f>
        <v>0</v>
      </c>
      <c r="BF373" s="195" t="b">
        <f t="shared" si="393"/>
        <v>0</v>
      </c>
    </row>
    <row r="374" spans="1:58" ht="37.5" customHeight="1">
      <c r="A374" s="212" t="s">
        <v>1609</v>
      </c>
      <c r="B374" s="252">
        <v>1997</v>
      </c>
      <c r="C374" s="195" t="s">
        <v>441</v>
      </c>
      <c r="D374" s="4" t="s">
        <v>1734</v>
      </c>
      <c r="E374" s="252">
        <v>9200634</v>
      </c>
      <c r="F374" s="255" t="s">
        <v>3096</v>
      </c>
      <c r="G374" s="213" t="str">
        <f t="shared" si="89"/>
        <v>Cohen 1997</v>
      </c>
      <c r="H374" s="217">
        <v>1997</v>
      </c>
      <c r="I374" s="195"/>
      <c r="J374" s="195"/>
      <c r="K374" s="195">
        <v>276</v>
      </c>
      <c r="L374" s="4"/>
      <c r="M374" s="195">
        <v>125</v>
      </c>
      <c r="N374" s="195">
        <v>151</v>
      </c>
      <c r="O374" s="195" t="s">
        <v>324</v>
      </c>
      <c r="P374" s="195" t="s">
        <v>324</v>
      </c>
      <c r="Q374" s="195" t="s">
        <v>324</v>
      </c>
      <c r="R374" s="195">
        <v>18</v>
      </c>
      <c r="S374" s="195">
        <v>55</v>
      </c>
      <c r="T374" s="195" t="s">
        <v>324</v>
      </c>
      <c r="U374" s="195" t="s">
        <v>324</v>
      </c>
      <c r="V374" s="195" t="s">
        <v>3097</v>
      </c>
      <c r="W374" s="199"/>
      <c r="X374" s="195">
        <v>276</v>
      </c>
      <c r="Y374" s="195" t="s">
        <v>3098</v>
      </c>
      <c r="Z374" s="195">
        <v>233</v>
      </c>
      <c r="AA374" s="195" t="s">
        <v>3099</v>
      </c>
      <c r="AB374" s="195">
        <v>0</v>
      </c>
      <c r="AC374" s="199"/>
      <c r="AD374" s="195" t="s">
        <v>322</v>
      </c>
      <c r="AE374" s="195" t="s">
        <v>3100</v>
      </c>
      <c r="AF374" s="195" t="s">
        <v>3101</v>
      </c>
      <c r="AG374" s="195">
        <v>110</v>
      </c>
      <c r="AH374" s="195" t="s">
        <v>316</v>
      </c>
      <c r="AI374" s="195">
        <v>0</v>
      </c>
      <c r="AJ374" s="195" t="s">
        <v>324</v>
      </c>
      <c r="AK374" s="195" t="s">
        <v>499</v>
      </c>
      <c r="AL374" s="195" t="s">
        <v>322</v>
      </c>
      <c r="AM374" s="199"/>
      <c r="AN374" s="195" t="s">
        <v>332</v>
      </c>
      <c r="AO374" s="195" t="s">
        <v>3102</v>
      </c>
      <c r="AP374" s="195" t="s">
        <v>3103</v>
      </c>
      <c r="AQ374" s="195" t="s">
        <v>324</v>
      </c>
      <c r="AR374" s="195" t="s">
        <v>3104</v>
      </c>
      <c r="AS374" s="195" t="s">
        <v>308</v>
      </c>
      <c r="AT374" s="199"/>
      <c r="AU374" s="202" t="s">
        <v>3105</v>
      </c>
      <c r="AV374" s="195" t="s">
        <v>571</v>
      </c>
      <c r="AW374" s="195" t="str">
        <f ca="1">IFERROR(__xludf.DUMMYFUNCTION("IF(AND(IF(AS374=""Yes"",True,False),NOT(IFERROR(REGEXMATCH(AV374,ExclusionCategories),FALSE))),""Yes"", ""No"")"),"Yes")</f>
        <v>Yes</v>
      </c>
      <c r="AX374" s="195">
        <f ca="1">IFERROR(__xludf.DUMMYFUNCTION("IF(IFERROR(SEARCH(""Unclear"", Z374)) = 1, VALUE(REGEXEXTRACT(Z374,""\d+"")), Z374)"),233)</f>
        <v>233</v>
      </c>
      <c r="AY374" s="195">
        <v>233</v>
      </c>
      <c r="AZ374" s="195">
        <f ca="1">IFERROR(__xludf.DUMMYFUNCTION("IF(IFERROR(SEARCH(""Unclear"", AG374)) = 1, VALUE(REGEXEXTRACT(AG374,""\d+"")), AG374)"),110)</f>
        <v>110</v>
      </c>
      <c r="BA374" s="195">
        <v>110</v>
      </c>
      <c r="BB374" s="195" t="str">
        <f ca="1">IFERROR(__xludf.DUMMYFUNCTION("IF(IFERROR(SEARCH(""Unclear"", AJ374)) = 1, VALUE(REGEXEXTRACT(AJ374,""\d+"")), AJ374)"),"ND")</f>
        <v>ND</v>
      </c>
      <c r="BC374" s="195" t="s">
        <v>324</v>
      </c>
      <c r="BD374" s="195" t="b">
        <f t="shared" si="2"/>
        <v>1</v>
      </c>
      <c r="BE374" s="195" t="b">
        <f t="shared" ref="BE374:BF374" si="394">IF(IFERROR(FIND("ND",AI374),0),FALSE,TRUE)</f>
        <v>1</v>
      </c>
      <c r="BF374" s="195" t="b">
        <f t="shared" si="394"/>
        <v>0</v>
      </c>
    </row>
    <row r="375" spans="1:58" ht="37.5" customHeight="1">
      <c r="A375" s="212" t="s">
        <v>1690</v>
      </c>
      <c r="B375" s="252">
        <v>1998</v>
      </c>
      <c r="C375" s="195" t="s">
        <v>457</v>
      </c>
      <c r="D375" s="4" t="s">
        <v>3106</v>
      </c>
      <c r="E375" s="252">
        <v>9593010</v>
      </c>
      <c r="F375" s="255" t="s">
        <v>3107</v>
      </c>
      <c r="G375" s="213" t="str">
        <f t="shared" si="89"/>
        <v>Doyle 1998</v>
      </c>
      <c r="H375" s="217">
        <v>1998</v>
      </c>
      <c r="I375" s="195"/>
      <c r="J375" s="195"/>
      <c r="K375" s="195">
        <v>105</v>
      </c>
      <c r="L375" s="4"/>
      <c r="M375" s="195">
        <v>50</v>
      </c>
      <c r="N375" s="195">
        <v>55</v>
      </c>
      <c r="O375" s="195" t="s">
        <v>324</v>
      </c>
      <c r="P375" s="195">
        <v>18</v>
      </c>
      <c r="Q375" s="195">
        <v>50</v>
      </c>
      <c r="R375" s="195">
        <v>18</v>
      </c>
      <c r="S375" s="195">
        <v>50</v>
      </c>
      <c r="T375" s="195">
        <v>31.1</v>
      </c>
      <c r="U375" s="195">
        <v>10.6</v>
      </c>
      <c r="V375" s="195" t="s">
        <v>3108</v>
      </c>
      <c r="W375" s="199"/>
      <c r="X375" s="195">
        <v>105</v>
      </c>
      <c r="Y375" s="195" t="s">
        <v>3109</v>
      </c>
      <c r="Z375" s="195">
        <v>94</v>
      </c>
      <c r="AA375" s="195" t="s">
        <v>3110</v>
      </c>
      <c r="AB375" s="195">
        <v>0</v>
      </c>
      <c r="AC375" s="199"/>
      <c r="AD375" s="195" t="s">
        <v>322</v>
      </c>
      <c r="AE375" s="195" t="s">
        <v>3111</v>
      </c>
      <c r="AF375" s="195" t="s">
        <v>1472</v>
      </c>
      <c r="AG375" s="195" t="s">
        <v>324</v>
      </c>
      <c r="AH375" s="195" t="s">
        <v>316</v>
      </c>
      <c r="AI375" s="195" t="s">
        <v>324</v>
      </c>
      <c r="AJ375" s="195" t="s">
        <v>324</v>
      </c>
      <c r="AK375" s="195"/>
      <c r="AL375" s="195" t="s">
        <v>322</v>
      </c>
      <c r="AM375" s="199"/>
      <c r="AN375" s="195" t="s">
        <v>3112</v>
      </c>
      <c r="AO375" s="195" t="s">
        <v>3113</v>
      </c>
      <c r="AP375" s="195" t="s">
        <v>3114</v>
      </c>
      <c r="AQ375" s="195" t="s">
        <v>3115</v>
      </c>
      <c r="AR375" s="195" t="s">
        <v>3104</v>
      </c>
      <c r="AS375" s="195" t="s">
        <v>308</v>
      </c>
      <c r="AT375" s="199"/>
      <c r="AU375" s="202" t="s">
        <v>3116</v>
      </c>
      <c r="AV375" s="195" t="s">
        <v>9</v>
      </c>
      <c r="AW375" s="195" t="str">
        <f ca="1">IFERROR(__xludf.DUMMYFUNCTION("IF(AND(IF(AS375=""Yes"",True,False),NOT(IFERROR(REGEXMATCH(AV375,ExclusionCategories),FALSE))),""Yes"", ""No"")"),"Yes")</f>
        <v>Yes</v>
      </c>
      <c r="AX375" s="195">
        <f ca="1">IFERROR(__xludf.DUMMYFUNCTION("IF(IFERROR(SEARCH(""Unclear"", Z375)) = 1, VALUE(REGEXEXTRACT(Z375,""\d+"")), Z375)"),94)</f>
        <v>94</v>
      </c>
      <c r="AY375" s="195">
        <v>94</v>
      </c>
      <c r="AZ375" s="195" t="str">
        <f ca="1">IFERROR(__xludf.DUMMYFUNCTION("IF(IFERROR(SEARCH(""Unclear"", AG375)) = 1, VALUE(REGEXEXTRACT(AG375,""\d+"")), AG375)"),"ND")</f>
        <v>ND</v>
      </c>
      <c r="BA375" s="195" t="s">
        <v>324</v>
      </c>
      <c r="BB375" s="195" t="str">
        <f ca="1">IFERROR(__xludf.DUMMYFUNCTION("IF(IFERROR(SEARCH(""Unclear"", AJ375)) = 1, VALUE(REGEXEXTRACT(AJ375,""\d+"")), AJ375)"),"ND")</f>
        <v>ND</v>
      </c>
      <c r="BC375" s="195" t="s">
        <v>324</v>
      </c>
      <c r="BD375" s="195" t="b">
        <f t="shared" si="2"/>
        <v>0</v>
      </c>
      <c r="BE375" s="195" t="b">
        <f t="shared" ref="BE375:BF375" si="395">IF(IFERROR(FIND("ND",AI375),0),FALSE,TRUE)</f>
        <v>0</v>
      </c>
      <c r="BF375" s="195" t="b">
        <f t="shared" si="395"/>
        <v>0</v>
      </c>
    </row>
    <row r="376" spans="1:58" ht="37.5" customHeight="1">
      <c r="A376" s="212" t="s">
        <v>1800</v>
      </c>
      <c r="B376" s="252">
        <v>2002</v>
      </c>
      <c r="C376" s="195" t="s">
        <v>441</v>
      </c>
      <c r="D376" s="4" t="s">
        <v>1776</v>
      </c>
      <c r="E376" s="252">
        <v>12134249</v>
      </c>
      <c r="F376" s="255" t="s">
        <v>3117</v>
      </c>
      <c r="G376" s="213" t="str">
        <f t="shared" si="89"/>
        <v>Gwaltney 2002</v>
      </c>
      <c r="H376" s="195">
        <v>1999</v>
      </c>
      <c r="I376" s="195"/>
      <c r="J376" s="195"/>
      <c r="K376" s="195">
        <v>150</v>
      </c>
      <c r="L376" s="4"/>
      <c r="M376" s="195">
        <v>59</v>
      </c>
      <c r="N376" s="195">
        <v>91</v>
      </c>
      <c r="O376" s="195" t="s">
        <v>324</v>
      </c>
      <c r="P376" s="195">
        <v>18</v>
      </c>
      <c r="Q376" s="195">
        <v>51</v>
      </c>
      <c r="R376" s="195">
        <v>18</v>
      </c>
      <c r="S376" s="195">
        <v>51</v>
      </c>
      <c r="T376" s="195">
        <v>21.3</v>
      </c>
      <c r="U376" s="195">
        <v>4.8</v>
      </c>
      <c r="V376" s="195" t="s">
        <v>3118</v>
      </c>
      <c r="W376" s="199"/>
      <c r="X376" s="195">
        <v>150</v>
      </c>
      <c r="Y376" s="195" t="s">
        <v>3119</v>
      </c>
      <c r="Z376" s="195">
        <v>130</v>
      </c>
      <c r="AA376" s="195"/>
      <c r="AB376" s="195">
        <v>0</v>
      </c>
      <c r="AC376" s="199"/>
      <c r="AD376" s="195" t="s">
        <v>322</v>
      </c>
      <c r="AE376" s="195" t="s">
        <v>3120</v>
      </c>
      <c r="AF376" s="195" t="s">
        <v>1958</v>
      </c>
      <c r="AG376" s="195">
        <v>73</v>
      </c>
      <c r="AH376" s="195" t="s">
        <v>308</v>
      </c>
      <c r="AI376" s="195">
        <v>0</v>
      </c>
      <c r="AJ376" s="195" t="s">
        <v>324</v>
      </c>
      <c r="AK376" s="195" t="s">
        <v>499</v>
      </c>
      <c r="AL376" s="195" t="s">
        <v>322</v>
      </c>
      <c r="AM376" s="199"/>
      <c r="AN376" s="195" t="s">
        <v>3121</v>
      </c>
      <c r="AO376" s="195" t="s">
        <v>3122</v>
      </c>
      <c r="AP376" s="195" t="s">
        <v>3123</v>
      </c>
      <c r="AQ376" s="195" t="s">
        <v>3124</v>
      </c>
      <c r="AR376" s="195" t="s">
        <v>3125</v>
      </c>
      <c r="AS376" s="195" t="s">
        <v>308</v>
      </c>
      <c r="AT376" s="199"/>
      <c r="AU376" s="202" t="s">
        <v>3126</v>
      </c>
      <c r="AV376" s="195" t="s">
        <v>571</v>
      </c>
      <c r="AW376" s="195" t="str">
        <f ca="1">IFERROR(__xludf.DUMMYFUNCTION("IF(AND(IF(AS376=""Yes"",True,False),NOT(IFERROR(REGEXMATCH(AV376,ExclusionCategories),FALSE))),""Yes"", ""No"")"),"Yes")</f>
        <v>Yes</v>
      </c>
      <c r="AX376" s="195">
        <f ca="1">IFERROR(__xludf.DUMMYFUNCTION("IF(IFERROR(SEARCH(""Unclear"", Z376)) = 1, VALUE(REGEXEXTRACT(Z376,""\d+"")), Z376)"),130)</f>
        <v>130</v>
      </c>
      <c r="AY376" s="195">
        <v>130</v>
      </c>
      <c r="AZ376" s="195">
        <f ca="1">IFERROR(__xludf.DUMMYFUNCTION("IF(IFERROR(SEARCH(""Unclear"", AG376)) = 1, VALUE(REGEXEXTRACT(AG376,""\d+"")), AG376)"),73)</f>
        <v>73</v>
      </c>
      <c r="BA376" s="195">
        <v>73</v>
      </c>
      <c r="BB376" s="195" t="str">
        <f ca="1">IFERROR(__xludf.DUMMYFUNCTION("IF(IFERROR(SEARCH(""Unclear"", AJ376)) = 1, VALUE(REGEXEXTRACT(AJ376,""\d+"")), AJ376)"),"ND")</f>
        <v>ND</v>
      </c>
      <c r="BC376" s="195" t="s">
        <v>324</v>
      </c>
      <c r="BD376" s="195" t="b">
        <f t="shared" si="2"/>
        <v>1</v>
      </c>
      <c r="BE376" s="195" t="b">
        <f t="shared" ref="BE376:BF376" si="396">IF(IFERROR(FIND("ND",AI376),0),FALSE,TRUE)</f>
        <v>1</v>
      </c>
      <c r="BF376" s="195" t="b">
        <f t="shared" si="396"/>
        <v>0</v>
      </c>
    </row>
    <row r="377" spans="1:58" ht="37.5" customHeight="1">
      <c r="A377" s="212" t="s">
        <v>3127</v>
      </c>
      <c r="B377" s="252">
        <v>2008</v>
      </c>
      <c r="C377" s="195" t="s">
        <v>441</v>
      </c>
      <c r="D377" s="4" t="s">
        <v>1529</v>
      </c>
      <c r="E377" s="252">
        <v>18768794</v>
      </c>
      <c r="F377" s="255" t="s">
        <v>3128</v>
      </c>
      <c r="G377" s="213" t="str">
        <f t="shared" si="89"/>
        <v>Message 2008</v>
      </c>
      <c r="H377" s="217">
        <v>2008</v>
      </c>
      <c r="I377" s="195"/>
      <c r="J377" s="195"/>
      <c r="K377" s="195">
        <v>28</v>
      </c>
      <c r="L377" s="4"/>
      <c r="M377" s="195">
        <v>10</v>
      </c>
      <c r="N377" s="195">
        <v>18</v>
      </c>
      <c r="O377" s="195">
        <v>23.5</v>
      </c>
      <c r="P377" s="195">
        <v>18</v>
      </c>
      <c r="Q377" s="195">
        <v>53</v>
      </c>
      <c r="R377" s="195" t="s">
        <v>324</v>
      </c>
      <c r="S377" s="195" t="s">
        <v>324</v>
      </c>
      <c r="T377" s="195">
        <v>25.8</v>
      </c>
      <c r="U377" s="195" t="s">
        <v>324</v>
      </c>
      <c r="V377" s="195" t="s">
        <v>3129</v>
      </c>
      <c r="W377" s="199"/>
      <c r="X377" s="195">
        <v>25</v>
      </c>
      <c r="Y377" s="195" t="s">
        <v>3130</v>
      </c>
      <c r="Z377" s="195">
        <v>25</v>
      </c>
      <c r="AA377" s="195" t="s">
        <v>3131</v>
      </c>
      <c r="AB377" s="195">
        <v>0</v>
      </c>
      <c r="AC377" s="199"/>
      <c r="AD377" s="195" t="s">
        <v>322</v>
      </c>
      <c r="AE377" s="195" t="s">
        <v>3132</v>
      </c>
      <c r="AF377" s="195"/>
      <c r="AG377" s="195" t="s">
        <v>324</v>
      </c>
      <c r="AH377" s="195" t="s">
        <v>316</v>
      </c>
      <c r="AI377" s="195">
        <v>0</v>
      </c>
      <c r="AJ377" s="195" t="s">
        <v>324</v>
      </c>
      <c r="AK377" s="195" t="s">
        <v>434</v>
      </c>
      <c r="AL377" s="195" t="s">
        <v>322</v>
      </c>
      <c r="AM377" s="199"/>
      <c r="AN377" s="195" t="s">
        <v>332</v>
      </c>
      <c r="AO377" s="195" t="s">
        <v>3133</v>
      </c>
      <c r="AP377" s="195" t="s">
        <v>3134</v>
      </c>
      <c r="AQ377" s="195" t="s">
        <v>324</v>
      </c>
      <c r="AR377" s="195" t="s">
        <v>3135</v>
      </c>
      <c r="AS377" s="195" t="s">
        <v>308</v>
      </c>
      <c r="AT377" s="199"/>
      <c r="AU377" s="202" t="s">
        <v>3136</v>
      </c>
      <c r="AV377" s="195" t="s">
        <v>9</v>
      </c>
      <c r="AW377" s="195" t="str">
        <f ca="1">IFERROR(__xludf.DUMMYFUNCTION("IF(AND(IF(AS377=""Yes"",True,False),NOT(IFERROR(REGEXMATCH(AV377,ExclusionCategories),FALSE))),""Yes"", ""No"")"),"Yes")</f>
        <v>Yes</v>
      </c>
      <c r="AX377" s="195">
        <f ca="1">IFERROR(__xludf.DUMMYFUNCTION("IF(IFERROR(SEARCH(""Unclear"", Z377)) = 1, VALUE(REGEXEXTRACT(Z377,""\d+"")), Z377)"),25)</f>
        <v>25</v>
      </c>
      <c r="AY377" s="195">
        <v>25</v>
      </c>
      <c r="AZ377" s="195" t="str">
        <f ca="1">IFERROR(__xludf.DUMMYFUNCTION("IF(IFERROR(SEARCH(""Unclear"", AG377)) = 1, VALUE(REGEXEXTRACT(AG377,""\d+"")), AG377)"),"ND")</f>
        <v>ND</v>
      </c>
      <c r="BA377" s="195" t="s">
        <v>324</v>
      </c>
      <c r="BB377" s="195" t="str">
        <f ca="1">IFERROR(__xludf.DUMMYFUNCTION("IF(IFERROR(SEARCH(""Unclear"", AJ377)) = 1, VALUE(REGEXEXTRACT(AJ377,""\d+"")), AJ377)"),"ND")</f>
        <v>ND</v>
      </c>
      <c r="BC377" s="195" t="s">
        <v>324</v>
      </c>
      <c r="BD377" s="195" t="b">
        <f t="shared" si="2"/>
        <v>0</v>
      </c>
      <c r="BE377" s="195" t="b">
        <f t="shared" ref="BE377:BF377" si="397">IF(IFERROR(FIND("ND",AI377),0),FALSE,TRUE)</f>
        <v>1</v>
      </c>
      <c r="BF377" s="195" t="b">
        <f t="shared" si="397"/>
        <v>0</v>
      </c>
    </row>
    <row r="378" spans="1:58" ht="37.5" customHeight="1">
      <c r="A378" s="212" t="s">
        <v>3137</v>
      </c>
      <c r="B378" s="252">
        <v>1988</v>
      </c>
      <c r="C378" s="195" t="s">
        <v>2355</v>
      </c>
      <c r="D378" s="257" t="s">
        <v>3138</v>
      </c>
      <c r="E378" s="252">
        <v>3343522</v>
      </c>
      <c r="F378" s="255" t="s">
        <v>3139</v>
      </c>
      <c r="G378" s="213" t="str">
        <f t="shared" si="89"/>
        <v>Black 1988</v>
      </c>
      <c r="H378" s="217">
        <v>1988</v>
      </c>
      <c r="I378" s="195"/>
      <c r="J378" s="195"/>
      <c r="K378" s="195">
        <v>72</v>
      </c>
      <c r="L378" s="4"/>
      <c r="M378" s="195" t="s">
        <v>324</v>
      </c>
      <c r="N378" s="195" t="s">
        <v>324</v>
      </c>
      <c r="O378" s="195" t="s">
        <v>324</v>
      </c>
      <c r="P378" s="195" t="s">
        <v>324</v>
      </c>
      <c r="Q378" s="195" t="s">
        <v>324</v>
      </c>
      <c r="R378" s="195" t="s">
        <v>324</v>
      </c>
      <c r="S378" s="195" t="s">
        <v>324</v>
      </c>
      <c r="T378" s="195" t="s">
        <v>324</v>
      </c>
      <c r="U378" s="195" t="s">
        <v>324</v>
      </c>
      <c r="V378" s="195" t="s">
        <v>3140</v>
      </c>
      <c r="W378" s="199"/>
      <c r="X378" s="195">
        <v>72</v>
      </c>
      <c r="Y378" s="195"/>
      <c r="Z378" s="195">
        <v>54</v>
      </c>
      <c r="AA378" s="195"/>
      <c r="AB378" s="195">
        <v>0</v>
      </c>
      <c r="AC378" s="199"/>
      <c r="AD378" s="195" t="s">
        <v>322</v>
      </c>
      <c r="AE378" s="195" t="s">
        <v>3141</v>
      </c>
      <c r="AF378" s="195" t="s">
        <v>1958</v>
      </c>
      <c r="AG378" s="195">
        <v>13</v>
      </c>
      <c r="AH378" s="195" t="s">
        <v>316</v>
      </c>
      <c r="AI378" s="195">
        <v>0</v>
      </c>
      <c r="AJ378" s="195" t="s">
        <v>324</v>
      </c>
      <c r="AK378" s="195" t="s">
        <v>499</v>
      </c>
      <c r="AL378" s="195" t="s">
        <v>322</v>
      </c>
      <c r="AM378" s="199"/>
      <c r="AN378" s="195" t="s">
        <v>3142</v>
      </c>
      <c r="AO378" s="195" t="s">
        <v>3143</v>
      </c>
      <c r="AP378" s="195" t="s">
        <v>3144</v>
      </c>
      <c r="AQ378" s="195" t="s">
        <v>324</v>
      </c>
      <c r="AR378" s="195" t="s">
        <v>3145</v>
      </c>
      <c r="AS378" s="195" t="s">
        <v>316</v>
      </c>
      <c r="AT378" s="199"/>
      <c r="AU378" s="202" t="s">
        <v>3146</v>
      </c>
      <c r="AV378" s="195" t="s">
        <v>1447</v>
      </c>
      <c r="AW378" s="195" t="str">
        <f ca="1">IFERROR(__xludf.DUMMYFUNCTION("IF(AND(IF(AS378=""Yes"",True,False),NOT(IFERROR(REGEXMATCH(AV378,ExclusionCategories),FALSE))),""Yes"", ""No"")"),"No")</f>
        <v>No</v>
      </c>
      <c r="AX378" s="195">
        <f ca="1">IFERROR(__xludf.DUMMYFUNCTION("IF(IFERROR(SEARCH(""Unclear"", Z378)) = 1, VALUE(REGEXEXTRACT(Z378,""\d+"")), Z378)"),54)</f>
        <v>54</v>
      </c>
      <c r="AY378" s="195">
        <v>54</v>
      </c>
      <c r="AZ378" s="195">
        <f ca="1">IFERROR(__xludf.DUMMYFUNCTION("IF(IFERROR(SEARCH(""Unclear"", AG378)) = 1, VALUE(REGEXEXTRACT(AG378,""\d+"")), AG378)"),13)</f>
        <v>13</v>
      </c>
      <c r="BA378" s="195">
        <v>13</v>
      </c>
      <c r="BB378" s="195" t="str">
        <f ca="1">IFERROR(__xludf.DUMMYFUNCTION("IF(IFERROR(SEARCH(""Unclear"", AJ378)) = 1, VALUE(REGEXEXTRACT(AJ378,""\d+"")), AJ378)"),"ND")</f>
        <v>ND</v>
      </c>
      <c r="BC378" s="195" t="s">
        <v>324</v>
      </c>
      <c r="BD378" s="195" t="b">
        <f t="shared" si="2"/>
        <v>1</v>
      </c>
      <c r="BE378" s="195" t="b">
        <f t="shared" ref="BE378:BF378" si="398">IF(IFERROR(FIND("ND",AI378),0),FALSE,TRUE)</f>
        <v>1</v>
      </c>
      <c r="BF378" s="195" t="b">
        <f t="shared" si="398"/>
        <v>0</v>
      </c>
    </row>
    <row r="379" spans="1:58" ht="37.5" customHeight="1">
      <c r="A379" s="212" t="s">
        <v>3137</v>
      </c>
      <c r="B379" s="252">
        <v>1988</v>
      </c>
      <c r="C379" s="195" t="s">
        <v>2355</v>
      </c>
      <c r="D379" s="257" t="s">
        <v>3147</v>
      </c>
      <c r="E379" s="252">
        <v>3343522</v>
      </c>
      <c r="F379" s="255" t="s">
        <v>3139</v>
      </c>
      <c r="G379" s="213" t="str">
        <f t="shared" si="89"/>
        <v>Black 1988</v>
      </c>
      <c r="H379" s="217">
        <v>1988</v>
      </c>
      <c r="I379" s="195"/>
      <c r="J379" s="195"/>
      <c r="K379" s="195">
        <v>39</v>
      </c>
      <c r="L379" s="4"/>
      <c r="M379" s="195" t="s">
        <v>324</v>
      </c>
      <c r="N379" s="195" t="s">
        <v>324</v>
      </c>
      <c r="O379" s="195" t="s">
        <v>324</v>
      </c>
      <c r="P379" s="195" t="s">
        <v>324</v>
      </c>
      <c r="Q379" s="195" t="s">
        <v>324</v>
      </c>
      <c r="R379" s="195" t="s">
        <v>324</v>
      </c>
      <c r="S379" s="195" t="s">
        <v>324</v>
      </c>
      <c r="T379" s="195" t="s">
        <v>324</v>
      </c>
      <c r="U379" s="195" t="s">
        <v>324</v>
      </c>
      <c r="V379" s="195" t="s">
        <v>3140</v>
      </c>
      <c r="W379" s="199"/>
      <c r="X379" s="195">
        <v>39</v>
      </c>
      <c r="Y379" s="195"/>
      <c r="Z379" s="195">
        <v>39</v>
      </c>
      <c r="AA379" s="195"/>
      <c r="AB379" s="195">
        <v>0</v>
      </c>
      <c r="AC379" s="199"/>
      <c r="AD379" s="195" t="s">
        <v>322</v>
      </c>
      <c r="AE379" s="195" t="s">
        <v>3141</v>
      </c>
      <c r="AF379" s="195" t="s">
        <v>1958</v>
      </c>
      <c r="AG379" s="195">
        <v>18</v>
      </c>
      <c r="AH379" s="195" t="s">
        <v>316</v>
      </c>
      <c r="AI379" s="195">
        <v>0</v>
      </c>
      <c r="AJ379" s="195" t="s">
        <v>324</v>
      </c>
      <c r="AK379" s="195" t="s">
        <v>499</v>
      </c>
      <c r="AL379" s="195" t="s">
        <v>322</v>
      </c>
      <c r="AM379" s="199"/>
      <c r="AN379" s="195" t="s">
        <v>3142</v>
      </c>
      <c r="AO379" s="195" t="s">
        <v>3143</v>
      </c>
      <c r="AP379" s="195" t="s">
        <v>3144</v>
      </c>
      <c r="AQ379" s="195" t="s">
        <v>324</v>
      </c>
      <c r="AR379" s="195" t="s">
        <v>3145</v>
      </c>
      <c r="AS379" s="195" t="s">
        <v>316</v>
      </c>
      <c r="AT379" s="199"/>
      <c r="AU379" s="202" t="s">
        <v>3146</v>
      </c>
      <c r="AV379" s="195" t="s">
        <v>1447</v>
      </c>
      <c r="AW379" s="195" t="str">
        <f ca="1">IFERROR(__xludf.DUMMYFUNCTION("IF(AND(IF(AS379=""Yes"",True,False),NOT(IFERROR(REGEXMATCH(AV379,ExclusionCategories),FALSE))),""Yes"", ""No"")"),"No")</f>
        <v>No</v>
      </c>
      <c r="AX379" s="195">
        <f ca="1">IFERROR(__xludf.DUMMYFUNCTION("IF(IFERROR(SEARCH(""Unclear"", Z379)) = 1, VALUE(REGEXEXTRACT(Z379,""\d+"")), Z379)"),39)</f>
        <v>39</v>
      </c>
      <c r="AY379" s="195">
        <v>39</v>
      </c>
      <c r="AZ379" s="195">
        <f ca="1">IFERROR(__xludf.DUMMYFUNCTION("IF(IFERROR(SEARCH(""Unclear"", AG379)) = 1, VALUE(REGEXEXTRACT(AG379,""\d+"")), AG379)"),18)</f>
        <v>18</v>
      </c>
      <c r="BA379" s="195">
        <v>18</v>
      </c>
      <c r="BB379" s="195" t="str">
        <f ca="1">IFERROR(__xludf.DUMMYFUNCTION("IF(IFERROR(SEARCH(""Unclear"", AJ379)) = 1, VALUE(REGEXEXTRACT(AJ379,""\d+"")), AJ379)"),"ND")</f>
        <v>ND</v>
      </c>
      <c r="BC379" s="195" t="s">
        <v>324</v>
      </c>
      <c r="BD379" s="195" t="b">
        <f t="shared" si="2"/>
        <v>1</v>
      </c>
      <c r="BE379" s="195" t="b">
        <f t="shared" ref="BE379:BF379" si="399">IF(IFERROR(FIND("ND",AI379),0),FALSE,TRUE)</f>
        <v>1</v>
      </c>
      <c r="BF379" s="195" t="b">
        <f t="shared" si="399"/>
        <v>0</v>
      </c>
    </row>
    <row r="380" spans="1:58" ht="37.5" customHeight="1">
      <c r="A380" s="212" t="s">
        <v>3137</v>
      </c>
      <c r="B380" s="252">
        <v>1988</v>
      </c>
      <c r="C380" s="195" t="s">
        <v>2355</v>
      </c>
      <c r="D380" s="257" t="s">
        <v>3148</v>
      </c>
      <c r="E380" s="252">
        <v>3343522</v>
      </c>
      <c r="F380" s="255" t="s">
        <v>3139</v>
      </c>
      <c r="G380" s="213" t="str">
        <f t="shared" si="89"/>
        <v>Black 1988</v>
      </c>
      <c r="H380" s="217">
        <v>1988</v>
      </c>
      <c r="I380" s="195"/>
      <c r="J380" s="195"/>
      <c r="K380" s="195">
        <v>17</v>
      </c>
      <c r="L380" s="4" t="s">
        <v>3149</v>
      </c>
      <c r="M380" s="195" t="s">
        <v>324</v>
      </c>
      <c r="N380" s="195" t="s">
        <v>324</v>
      </c>
      <c r="O380" s="195" t="s">
        <v>324</v>
      </c>
      <c r="P380" s="195" t="s">
        <v>324</v>
      </c>
      <c r="Q380" s="195" t="s">
        <v>324</v>
      </c>
      <c r="R380" s="195" t="s">
        <v>324</v>
      </c>
      <c r="S380" s="195" t="s">
        <v>324</v>
      </c>
      <c r="T380" s="195" t="s">
        <v>324</v>
      </c>
      <c r="U380" s="195" t="s">
        <v>324</v>
      </c>
      <c r="V380" s="195" t="s">
        <v>3140</v>
      </c>
      <c r="W380" s="199"/>
      <c r="X380" s="195">
        <v>17</v>
      </c>
      <c r="Y380" s="195" t="s">
        <v>3150</v>
      </c>
      <c r="Z380" s="195">
        <v>17</v>
      </c>
      <c r="AA380" s="195"/>
      <c r="AB380" s="195">
        <v>0</v>
      </c>
      <c r="AC380" s="199"/>
      <c r="AD380" s="195" t="s">
        <v>322</v>
      </c>
      <c r="AE380" s="195" t="s">
        <v>3141</v>
      </c>
      <c r="AF380" s="195" t="s">
        <v>1958</v>
      </c>
      <c r="AG380" s="195">
        <v>6</v>
      </c>
      <c r="AH380" s="195" t="s">
        <v>316</v>
      </c>
      <c r="AI380" s="195">
        <v>0</v>
      </c>
      <c r="AJ380" s="195" t="s">
        <v>324</v>
      </c>
      <c r="AK380" s="195" t="s">
        <v>499</v>
      </c>
      <c r="AL380" s="195" t="s">
        <v>322</v>
      </c>
      <c r="AM380" s="199"/>
      <c r="AN380" s="195" t="s">
        <v>3142</v>
      </c>
      <c r="AO380" s="195" t="s">
        <v>3143</v>
      </c>
      <c r="AP380" s="195" t="s">
        <v>3144</v>
      </c>
      <c r="AQ380" s="195" t="s">
        <v>324</v>
      </c>
      <c r="AR380" s="195" t="s">
        <v>3145</v>
      </c>
      <c r="AS380" s="195" t="s">
        <v>316</v>
      </c>
      <c r="AT380" s="199"/>
      <c r="AU380" s="202" t="s">
        <v>3146</v>
      </c>
      <c r="AV380" s="195" t="s">
        <v>1447</v>
      </c>
      <c r="AW380" s="195" t="str">
        <f ca="1">IFERROR(__xludf.DUMMYFUNCTION("IF(AND(IF(AS380=""Yes"",True,False),NOT(IFERROR(REGEXMATCH(AV380,ExclusionCategories),FALSE))),""Yes"", ""No"")"),"No")</f>
        <v>No</v>
      </c>
      <c r="AX380" s="195">
        <f ca="1">IFERROR(__xludf.DUMMYFUNCTION("IF(IFERROR(SEARCH(""Unclear"", Z380)) = 1, VALUE(REGEXEXTRACT(Z380,""\d+"")), Z380)"),17)</f>
        <v>17</v>
      </c>
      <c r="AY380" s="195">
        <v>17</v>
      </c>
      <c r="AZ380" s="195">
        <f ca="1">IFERROR(__xludf.DUMMYFUNCTION("IF(IFERROR(SEARCH(""Unclear"", AG380)) = 1, VALUE(REGEXEXTRACT(AG380,""\d+"")), AG380)"),6)</f>
        <v>6</v>
      </c>
      <c r="BA380" s="195">
        <v>6</v>
      </c>
      <c r="BB380" s="195" t="str">
        <f ca="1">IFERROR(__xludf.DUMMYFUNCTION("IF(IFERROR(SEARCH(""Unclear"", AJ380)) = 1, VALUE(REGEXEXTRACT(AJ380,""\d+"")), AJ380)"),"ND")</f>
        <v>ND</v>
      </c>
      <c r="BC380" s="195" t="s">
        <v>324</v>
      </c>
      <c r="BD380" s="195" t="b">
        <f t="shared" si="2"/>
        <v>1</v>
      </c>
      <c r="BE380" s="195" t="b">
        <f t="shared" ref="BE380:BF380" si="400">IF(IFERROR(FIND("ND",AI380),0),FALSE,TRUE)</f>
        <v>1</v>
      </c>
      <c r="BF380" s="195" t="b">
        <f t="shared" si="400"/>
        <v>0</v>
      </c>
    </row>
    <row r="381" spans="1:58" ht="37.5" customHeight="1">
      <c r="A381" s="212" t="s">
        <v>3137</v>
      </c>
      <c r="B381" s="252">
        <v>1988</v>
      </c>
      <c r="C381" s="195" t="s">
        <v>2355</v>
      </c>
      <c r="D381" s="257" t="s">
        <v>3148</v>
      </c>
      <c r="E381" s="252">
        <v>3343522</v>
      </c>
      <c r="F381" s="255" t="s">
        <v>3139</v>
      </c>
      <c r="G381" s="213" t="str">
        <f t="shared" si="89"/>
        <v>Black 1988</v>
      </c>
      <c r="H381" s="217">
        <v>1988</v>
      </c>
      <c r="I381" s="195"/>
      <c r="J381" s="195"/>
      <c r="K381" s="195">
        <v>128</v>
      </c>
      <c r="L381" s="4" t="s">
        <v>3151</v>
      </c>
      <c r="M381" s="195" t="s">
        <v>324</v>
      </c>
      <c r="N381" s="195" t="s">
        <v>324</v>
      </c>
      <c r="O381" s="195" t="s">
        <v>324</v>
      </c>
      <c r="P381" s="195" t="s">
        <v>324</v>
      </c>
      <c r="Q381" s="195" t="s">
        <v>324</v>
      </c>
      <c r="R381" s="195" t="s">
        <v>324</v>
      </c>
      <c r="S381" s="195" t="s">
        <v>324</v>
      </c>
      <c r="T381" s="195" t="s">
        <v>324</v>
      </c>
      <c r="U381" s="195" t="s">
        <v>324</v>
      </c>
      <c r="V381" s="195" t="s">
        <v>3140</v>
      </c>
      <c r="W381" s="199"/>
      <c r="X381" s="195">
        <v>128</v>
      </c>
      <c r="Y381" s="195"/>
      <c r="Z381" s="195">
        <v>110</v>
      </c>
      <c r="AA381" s="195"/>
      <c r="AB381" s="195">
        <v>0</v>
      </c>
      <c r="AC381" s="199"/>
      <c r="AD381" s="195" t="s">
        <v>322</v>
      </c>
      <c r="AE381" s="195" t="s">
        <v>3141</v>
      </c>
      <c r="AF381" s="195" t="s">
        <v>1958</v>
      </c>
      <c r="AG381" s="195">
        <v>37</v>
      </c>
      <c r="AH381" s="195" t="s">
        <v>316</v>
      </c>
      <c r="AI381" s="195">
        <v>0</v>
      </c>
      <c r="AJ381" s="195" t="s">
        <v>324</v>
      </c>
      <c r="AK381" s="195" t="s">
        <v>499</v>
      </c>
      <c r="AL381" s="195" t="s">
        <v>322</v>
      </c>
      <c r="AM381" s="199"/>
      <c r="AN381" s="195" t="s">
        <v>3142</v>
      </c>
      <c r="AO381" s="195" t="s">
        <v>3143</v>
      </c>
      <c r="AP381" s="195" t="s">
        <v>3144</v>
      </c>
      <c r="AQ381" s="195" t="s">
        <v>324</v>
      </c>
      <c r="AR381" s="195" t="s">
        <v>3145</v>
      </c>
      <c r="AS381" s="195" t="s">
        <v>308</v>
      </c>
      <c r="AT381" s="199"/>
      <c r="AU381" s="202" t="s">
        <v>3146</v>
      </c>
      <c r="AV381" s="195" t="s">
        <v>1556</v>
      </c>
      <c r="AW381" s="195" t="str">
        <f ca="1">IFERROR(__xludf.DUMMYFUNCTION("IF(AND(IF(AS381=""Yes"",True,False),NOT(IFERROR(REGEXMATCH(AV381,ExclusionCategories),FALSE))),""Yes"", ""No"")"),"Yes")</f>
        <v>Yes</v>
      </c>
      <c r="AX381" s="195">
        <f ca="1">IFERROR(__xludf.DUMMYFUNCTION("IF(IFERROR(SEARCH(""Unclear"", Z381)) = 1, VALUE(REGEXEXTRACT(Z381,""\d+"")), Z381)"),110)</f>
        <v>110</v>
      </c>
      <c r="AY381" s="195">
        <v>110</v>
      </c>
      <c r="AZ381" s="195">
        <f ca="1">IFERROR(__xludf.DUMMYFUNCTION("IF(IFERROR(SEARCH(""Unclear"", AG381)) = 1, VALUE(REGEXEXTRACT(AG381,""\d+"")), AG381)"),37)</f>
        <v>37</v>
      </c>
      <c r="BA381" s="195">
        <v>37</v>
      </c>
      <c r="BB381" s="195" t="str">
        <f ca="1">IFERROR(__xludf.DUMMYFUNCTION("IF(IFERROR(SEARCH(""Unclear"", AJ381)) = 1, VALUE(REGEXEXTRACT(AJ381,""\d+"")), AJ381)"),"ND")</f>
        <v>ND</v>
      </c>
      <c r="BC381" s="195" t="s">
        <v>324</v>
      </c>
      <c r="BD381" s="195" t="b">
        <f t="shared" si="2"/>
        <v>1</v>
      </c>
      <c r="BE381" s="195" t="b">
        <f t="shared" ref="BE381:BF381" si="401">IF(IFERROR(FIND("ND",AI381),0),FALSE,TRUE)</f>
        <v>1</v>
      </c>
      <c r="BF381" s="195" t="b">
        <f t="shared" si="401"/>
        <v>0</v>
      </c>
    </row>
    <row r="382" spans="1:58" ht="37.5" customHeight="1">
      <c r="A382" s="212" t="s">
        <v>3137</v>
      </c>
      <c r="B382" s="252">
        <v>1988</v>
      </c>
      <c r="C382" s="195" t="s">
        <v>2355</v>
      </c>
      <c r="D382" s="257" t="s">
        <v>3148</v>
      </c>
      <c r="E382" s="252">
        <v>3343522</v>
      </c>
      <c r="F382" s="255" t="s">
        <v>3139</v>
      </c>
      <c r="G382" s="213" t="str">
        <f t="shared" si="89"/>
        <v>Black 1988</v>
      </c>
      <c r="H382" s="217">
        <v>1988</v>
      </c>
      <c r="I382" s="195"/>
      <c r="J382" s="195"/>
      <c r="K382" s="195">
        <v>9</v>
      </c>
      <c r="L382" s="4" t="s">
        <v>3152</v>
      </c>
      <c r="M382" s="195" t="s">
        <v>324</v>
      </c>
      <c r="N382" s="195" t="s">
        <v>324</v>
      </c>
      <c r="O382" s="195" t="s">
        <v>324</v>
      </c>
      <c r="P382" s="195" t="s">
        <v>324</v>
      </c>
      <c r="Q382" s="195" t="s">
        <v>324</v>
      </c>
      <c r="R382" s="195" t="s">
        <v>324</v>
      </c>
      <c r="S382" s="195" t="s">
        <v>324</v>
      </c>
      <c r="T382" s="195" t="s">
        <v>324</v>
      </c>
      <c r="U382" s="195" t="s">
        <v>324</v>
      </c>
      <c r="V382" s="195" t="s">
        <v>3140</v>
      </c>
      <c r="W382" s="199"/>
      <c r="X382" s="195">
        <v>9</v>
      </c>
      <c r="Y382" s="195" t="s">
        <v>3153</v>
      </c>
      <c r="Z382" s="195">
        <v>5</v>
      </c>
      <c r="AA382" s="195" t="s">
        <v>3154</v>
      </c>
      <c r="AB382" s="195">
        <v>0</v>
      </c>
      <c r="AC382" s="199"/>
      <c r="AD382" s="195" t="s">
        <v>322</v>
      </c>
      <c r="AE382" s="195" t="s">
        <v>3141</v>
      </c>
      <c r="AF382" s="195" t="s">
        <v>1958</v>
      </c>
      <c r="AG382" s="195">
        <v>0</v>
      </c>
      <c r="AH382" s="195" t="s">
        <v>316</v>
      </c>
      <c r="AI382" s="195">
        <v>0</v>
      </c>
      <c r="AJ382" s="195" t="s">
        <v>324</v>
      </c>
      <c r="AK382" s="195" t="s">
        <v>499</v>
      </c>
      <c r="AL382" s="195" t="s">
        <v>322</v>
      </c>
      <c r="AM382" s="199"/>
      <c r="AN382" s="195" t="s">
        <v>3142</v>
      </c>
      <c r="AO382" s="195" t="s">
        <v>3143</v>
      </c>
      <c r="AP382" s="195" t="s">
        <v>3144</v>
      </c>
      <c r="AQ382" s="195" t="s">
        <v>324</v>
      </c>
      <c r="AR382" s="195" t="s">
        <v>3145</v>
      </c>
      <c r="AS382" s="195" t="s">
        <v>308</v>
      </c>
      <c r="AT382" s="199"/>
      <c r="AU382" s="202" t="s">
        <v>3146</v>
      </c>
      <c r="AV382" s="195" t="s">
        <v>2277</v>
      </c>
      <c r="AW382" s="195" t="str">
        <f ca="1">IFERROR(__xludf.DUMMYFUNCTION("IF(AND(IF(AS382=""Yes"",True,False),NOT(IFERROR(REGEXMATCH(AV382,ExclusionCategories),FALSE))),""Yes"", ""No"")"),"No")</f>
        <v>No</v>
      </c>
      <c r="AX382" s="195">
        <f ca="1">IFERROR(__xludf.DUMMYFUNCTION("IF(IFERROR(SEARCH(""Unclear"", Z382)) = 1, VALUE(REGEXEXTRACT(Z382,""\d+"")), Z382)"),5)</f>
        <v>5</v>
      </c>
      <c r="AY382" s="195">
        <v>5</v>
      </c>
      <c r="AZ382" s="195">
        <f ca="1">IFERROR(__xludf.DUMMYFUNCTION("IF(IFERROR(SEARCH(""Unclear"", AG382)) = 1, VALUE(REGEXEXTRACT(AG382,""\d+"")), AG382)"),0)</f>
        <v>0</v>
      </c>
      <c r="BA382" s="195">
        <v>0</v>
      </c>
      <c r="BB382" s="195" t="str">
        <f ca="1">IFERROR(__xludf.DUMMYFUNCTION("IF(IFERROR(SEARCH(""Unclear"", AJ382)) = 1, VALUE(REGEXEXTRACT(AJ382,""\d+"")), AJ382)"),"ND")</f>
        <v>ND</v>
      </c>
      <c r="BC382" s="195" t="s">
        <v>324</v>
      </c>
      <c r="BD382" s="195" t="b">
        <f t="shared" si="2"/>
        <v>1</v>
      </c>
      <c r="BE382" s="195" t="b">
        <f t="shared" ref="BE382:BF382" si="402">IF(IFERROR(FIND("ND",AI382),0),FALSE,TRUE)</f>
        <v>1</v>
      </c>
      <c r="BF382" s="195" t="b">
        <f t="shared" si="402"/>
        <v>0</v>
      </c>
    </row>
    <row r="383" spans="1:58" ht="37.5" customHeight="1">
      <c r="A383" s="212" t="s">
        <v>3137</v>
      </c>
      <c r="B383" s="252">
        <v>1987</v>
      </c>
      <c r="C383" s="195" t="s">
        <v>605</v>
      </c>
      <c r="D383" s="4" t="s">
        <v>3155</v>
      </c>
      <c r="E383" s="252">
        <v>2437220</v>
      </c>
      <c r="F383" s="255" t="s">
        <v>3156</v>
      </c>
      <c r="G383" s="213" t="str">
        <f t="shared" si="89"/>
        <v>Black 1987</v>
      </c>
      <c r="H383" s="217">
        <v>1987</v>
      </c>
      <c r="I383" s="195"/>
      <c r="J383" s="195"/>
      <c r="K383" s="195">
        <v>78</v>
      </c>
      <c r="L383" s="4"/>
      <c r="M383" s="195" t="s">
        <v>324</v>
      </c>
      <c r="N383" s="195" t="s">
        <v>324</v>
      </c>
      <c r="O383" s="195" t="s">
        <v>324</v>
      </c>
      <c r="P383" s="195" t="s">
        <v>324</v>
      </c>
      <c r="Q383" s="195" t="s">
        <v>324</v>
      </c>
      <c r="R383" s="195" t="s">
        <v>324</v>
      </c>
      <c r="S383" s="195" t="s">
        <v>324</v>
      </c>
      <c r="T383" s="195" t="s">
        <v>324</v>
      </c>
      <c r="U383" s="195" t="s">
        <v>324</v>
      </c>
      <c r="V383" s="195" t="s">
        <v>3157</v>
      </c>
      <c r="W383" s="199"/>
      <c r="X383" s="195">
        <v>78</v>
      </c>
      <c r="Y383" s="195" t="s">
        <v>3158</v>
      </c>
      <c r="Z383" s="195">
        <v>41</v>
      </c>
      <c r="AA383" s="195" t="s">
        <v>3159</v>
      </c>
      <c r="AB383" s="195">
        <v>0</v>
      </c>
      <c r="AC383" s="199"/>
      <c r="AD383" s="195" t="s">
        <v>322</v>
      </c>
      <c r="AE383" s="195" t="s">
        <v>3160</v>
      </c>
      <c r="AF383" s="195" t="s">
        <v>1472</v>
      </c>
      <c r="AG383" s="195" t="s">
        <v>324</v>
      </c>
      <c r="AH383" s="195" t="s">
        <v>316</v>
      </c>
      <c r="AI383" s="195" t="s">
        <v>324</v>
      </c>
      <c r="AJ383" s="195" t="s">
        <v>324</v>
      </c>
      <c r="AK383" s="195"/>
      <c r="AL383" s="195" t="s">
        <v>322</v>
      </c>
      <c r="AM383" s="199"/>
      <c r="AN383" s="195" t="s">
        <v>3161</v>
      </c>
      <c r="AO383" s="195" t="s">
        <v>3162</v>
      </c>
      <c r="AP383" s="195" t="s">
        <v>3163</v>
      </c>
      <c r="AQ383" s="195" t="s">
        <v>324</v>
      </c>
      <c r="AR383" s="195" t="s">
        <v>3164</v>
      </c>
      <c r="AS383" s="195" t="s">
        <v>308</v>
      </c>
      <c r="AT383" s="199"/>
      <c r="AU383" s="202" t="s">
        <v>3165</v>
      </c>
      <c r="AV383" s="195" t="s">
        <v>9</v>
      </c>
      <c r="AW383" s="195" t="str">
        <f ca="1">IFERROR(__xludf.DUMMYFUNCTION("IF(AND(IF(AS383=""Yes"",True,False),NOT(IFERROR(REGEXMATCH(AV383,ExclusionCategories),FALSE))),""Yes"", ""No"")"),"Yes")</f>
        <v>Yes</v>
      </c>
      <c r="AX383" s="195">
        <f ca="1">IFERROR(__xludf.DUMMYFUNCTION("IF(IFERROR(SEARCH(""Unclear"", Z383)) = 1, VALUE(REGEXEXTRACT(Z383,""\d+"")), Z383)"),41)</f>
        <v>41</v>
      </c>
      <c r="AY383" s="195">
        <v>41</v>
      </c>
      <c r="AZ383" s="195" t="str">
        <f ca="1">IFERROR(__xludf.DUMMYFUNCTION("IF(IFERROR(SEARCH(""Unclear"", AG383)) = 1, VALUE(REGEXEXTRACT(AG383,""\d+"")), AG383)"),"ND")</f>
        <v>ND</v>
      </c>
      <c r="BA383" s="195" t="s">
        <v>324</v>
      </c>
      <c r="BB383" s="195" t="str">
        <f ca="1">IFERROR(__xludf.DUMMYFUNCTION("IF(IFERROR(SEARCH(""Unclear"", AJ383)) = 1, VALUE(REGEXEXTRACT(AJ383,""\d+"")), AJ383)"),"ND")</f>
        <v>ND</v>
      </c>
      <c r="BC383" s="195" t="s">
        <v>324</v>
      </c>
      <c r="BD383" s="195" t="b">
        <f t="shared" si="2"/>
        <v>0</v>
      </c>
      <c r="BE383" s="195" t="b">
        <f t="shared" ref="BE383:BF383" si="403">IF(IFERROR(FIND("ND",AI383),0),FALSE,TRUE)</f>
        <v>0</v>
      </c>
      <c r="BF383" s="195" t="b">
        <f t="shared" si="403"/>
        <v>0</v>
      </c>
    </row>
    <row r="384" spans="1:58" ht="37.5" customHeight="1">
      <c r="A384" s="212" t="s">
        <v>1557</v>
      </c>
      <c r="B384" s="252">
        <v>1983</v>
      </c>
      <c r="C384" s="195" t="s">
        <v>3166</v>
      </c>
      <c r="D384" s="4" t="s">
        <v>3167</v>
      </c>
      <c r="E384" s="252">
        <v>6415182</v>
      </c>
      <c r="F384" s="255" t="s">
        <v>3168</v>
      </c>
      <c r="G384" s="213" t="str">
        <f t="shared" si="89"/>
        <v>Clements 1983b</v>
      </c>
      <c r="H384" s="195">
        <v>1981</v>
      </c>
      <c r="I384" s="195"/>
      <c r="J384" s="195"/>
      <c r="K384" s="195">
        <v>22</v>
      </c>
      <c r="L384" s="4"/>
      <c r="M384" s="195" t="s">
        <v>324</v>
      </c>
      <c r="N384" s="195" t="s">
        <v>324</v>
      </c>
      <c r="O384" s="195" t="s">
        <v>3169</v>
      </c>
      <c r="P384" s="195">
        <v>18</v>
      </c>
      <c r="Q384" s="195">
        <v>35</v>
      </c>
      <c r="R384" s="195">
        <v>18</v>
      </c>
      <c r="S384" s="195">
        <v>35</v>
      </c>
      <c r="T384" s="195" t="s">
        <v>3169</v>
      </c>
      <c r="U384" s="195" t="s">
        <v>324</v>
      </c>
      <c r="V384" s="195" t="s">
        <v>3170</v>
      </c>
      <c r="W384" s="199"/>
      <c r="X384" s="195">
        <v>22</v>
      </c>
      <c r="Y384" s="195" t="s">
        <v>2763</v>
      </c>
      <c r="Z384" s="195">
        <v>18</v>
      </c>
      <c r="AA384" s="195" t="s">
        <v>3171</v>
      </c>
      <c r="AB384" s="195">
        <v>0</v>
      </c>
      <c r="AC384" s="199"/>
      <c r="AD384" s="195" t="s">
        <v>322</v>
      </c>
      <c r="AE384" s="195" t="s">
        <v>3172</v>
      </c>
      <c r="AF384" s="195" t="s">
        <v>3173</v>
      </c>
      <c r="AG384" s="195">
        <v>22</v>
      </c>
      <c r="AH384" s="195" t="s">
        <v>316</v>
      </c>
      <c r="AI384" s="195">
        <v>0</v>
      </c>
      <c r="AJ384" s="195" t="s">
        <v>324</v>
      </c>
      <c r="AK384" s="195" t="s">
        <v>499</v>
      </c>
      <c r="AL384" s="195" t="s">
        <v>322</v>
      </c>
      <c r="AM384" s="199"/>
      <c r="AN384" s="195" t="s">
        <v>3174</v>
      </c>
      <c r="AO384" s="195" t="s">
        <v>3175</v>
      </c>
      <c r="AP384" s="195" t="s">
        <v>3176</v>
      </c>
      <c r="AQ384" s="195" t="s">
        <v>3177</v>
      </c>
      <c r="AR384" s="195" t="s">
        <v>3164</v>
      </c>
      <c r="AS384" s="195" t="s">
        <v>308</v>
      </c>
      <c r="AT384" s="199"/>
      <c r="AU384" s="202" t="s">
        <v>3178</v>
      </c>
      <c r="AV384" s="195" t="s">
        <v>571</v>
      </c>
      <c r="AW384" s="195" t="str">
        <f ca="1">IFERROR(__xludf.DUMMYFUNCTION("IF(AND(IF(AS384=""Yes"",True,False),NOT(IFERROR(REGEXMATCH(AV384,ExclusionCategories),FALSE))),""Yes"", ""No"")"),"Yes")</f>
        <v>Yes</v>
      </c>
      <c r="AX384" s="195">
        <f ca="1">IFERROR(__xludf.DUMMYFUNCTION("IF(IFERROR(SEARCH(""Unclear"", Z384)) = 1, VALUE(REGEXEXTRACT(Z384,""\d+"")), Z384)"),18)</f>
        <v>18</v>
      </c>
      <c r="AY384" s="195">
        <v>18</v>
      </c>
      <c r="AZ384" s="195">
        <f ca="1">IFERROR(__xludf.DUMMYFUNCTION("IF(IFERROR(SEARCH(""Unclear"", AG384)) = 1, VALUE(REGEXEXTRACT(AG384,""\d+"")), AG384)"),22)</f>
        <v>22</v>
      </c>
      <c r="BA384" s="195">
        <v>22</v>
      </c>
      <c r="BB384" s="195" t="str">
        <f ca="1">IFERROR(__xludf.DUMMYFUNCTION("IF(IFERROR(SEARCH(""Unclear"", AJ384)) = 1, VALUE(REGEXEXTRACT(AJ384,""\d+"")), AJ384)"),"ND")</f>
        <v>ND</v>
      </c>
      <c r="BC384" s="195" t="s">
        <v>324</v>
      </c>
      <c r="BD384" s="195" t="b">
        <f t="shared" si="2"/>
        <v>1</v>
      </c>
      <c r="BE384" s="195" t="b">
        <f t="shared" ref="BE384:BF384" si="404">IF(IFERROR(FIND("ND",AI384),0),FALSE,TRUE)</f>
        <v>1</v>
      </c>
      <c r="BF384" s="195" t="b">
        <f t="shared" si="404"/>
        <v>0</v>
      </c>
    </row>
    <row r="385" spans="1:58" ht="37.5" customHeight="1">
      <c r="A385" s="212" t="s">
        <v>2077</v>
      </c>
      <c r="B385" s="252">
        <v>1981</v>
      </c>
      <c r="C385" s="195" t="s">
        <v>457</v>
      </c>
      <c r="D385" s="4" t="s">
        <v>3179</v>
      </c>
      <c r="E385" s="252">
        <v>7251144</v>
      </c>
      <c r="F385" s="255" t="s">
        <v>3180</v>
      </c>
      <c r="G385" s="213" t="str">
        <f t="shared" si="89"/>
        <v>Murphy 1981</v>
      </c>
      <c r="H385" s="217">
        <v>1981</v>
      </c>
      <c r="I385" s="199"/>
      <c r="J385" s="195"/>
      <c r="K385" s="195">
        <v>53</v>
      </c>
      <c r="L385" s="4" t="s">
        <v>3181</v>
      </c>
      <c r="M385" s="195" t="s">
        <v>324</v>
      </c>
      <c r="N385" s="195" t="s">
        <v>324</v>
      </c>
      <c r="O385" s="195" t="s">
        <v>324</v>
      </c>
      <c r="P385" s="195" t="s">
        <v>324</v>
      </c>
      <c r="Q385" s="195" t="s">
        <v>324</v>
      </c>
      <c r="R385" s="195" t="s">
        <v>324</v>
      </c>
      <c r="S385" s="195" t="s">
        <v>324</v>
      </c>
      <c r="T385" s="195" t="s">
        <v>324</v>
      </c>
      <c r="U385" s="195" t="s">
        <v>324</v>
      </c>
      <c r="V385" s="195" t="s">
        <v>3182</v>
      </c>
      <c r="W385" s="199"/>
      <c r="X385" s="195">
        <v>53</v>
      </c>
      <c r="Y385" s="195"/>
      <c r="Z385" s="195">
        <v>46</v>
      </c>
      <c r="AA385" s="195"/>
      <c r="AB385" s="195">
        <v>0</v>
      </c>
      <c r="AC385" s="199"/>
      <c r="AD385" s="195" t="s">
        <v>322</v>
      </c>
      <c r="AE385" s="195" t="s">
        <v>3183</v>
      </c>
      <c r="AF385" s="195" t="s">
        <v>1958</v>
      </c>
      <c r="AG385" s="195">
        <v>2</v>
      </c>
      <c r="AH385" s="195" t="s">
        <v>316</v>
      </c>
      <c r="AI385" s="195">
        <v>0</v>
      </c>
      <c r="AJ385" s="195" t="s">
        <v>324</v>
      </c>
      <c r="AK385" s="195" t="s">
        <v>499</v>
      </c>
      <c r="AL385" s="195" t="s">
        <v>322</v>
      </c>
      <c r="AM385" s="199"/>
      <c r="AN385" s="195" t="s">
        <v>332</v>
      </c>
      <c r="AO385" s="195" t="s">
        <v>3184</v>
      </c>
      <c r="AP385" s="195" t="s">
        <v>324</v>
      </c>
      <c r="AQ385" s="195" t="s">
        <v>324</v>
      </c>
      <c r="AR385" s="195" t="s">
        <v>3164</v>
      </c>
      <c r="AS385" s="195" t="s">
        <v>316</v>
      </c>
      <c r="AT385" s="199"/>
      <c r="AU385" s="195" t="s">
        <v>3185</v>
      </c>
      <c r="AV385" s="195" t="s">
        <v>1567</v>
      </c>
      <c r="AW385" s="195" t="str">
        <f ca="1">IFERROR(__xludf.DUMMYFUNCTION("IF(AND(IF(AS385=""Yes"",True,False),NOT(IFERROR(REGEXMATCH(AV385,ExclusionCategories),FALSE))),""Yes"", ""No"")"),"No")</f>
        <v>No</v>
      </c>
      <c r="AX385" s="195">
        <f ca="1">IFERROR(__xludf.DUMMYFUNCTION("IF(IFERROR(SEARCH(""Unclear"", Z385)) = 1, VALUE(REGEXEXTRACT(Z385,""\d+"")), Z385)"),46)</f>
        <v>46</v>
      </c>
      <c r="AY385" s="195">
        <v>46</v>
      </c>
      <c r="AZ385" s="195">
        <f ca="1">IFERROR(__xludf.DUMMYFUNCTION("IF(IFERROR(SEARCH(""Unclear"", AG385)) = 1, VALUE(REGEXEXTRACT(AG385,""\d+"")), AG385)"),2)</f>
        <v>2</v>
      </c>
      <c r="BA385" s="195">
        <v>2</v>
      </c>
      <c r="BB385" s="195" t="str">
        <f ca="1">IFERROR(__xludf.DUMMYFUNCTION("IF(IFERROR(SEARCH(""Unclear"", AJ385)) = 1, VALUE(REGEXEXTRACT(AJ385,""\d+"")), AJ385)"),"ND")</f>
        <v>ND</v>
      </c>
      <c r="BC385" s="195" t="s">
        <v>324</v>
      </c>
      <c r="BD385" s="195" t="b">
        <f t="shared" si="2"/>
        <v>1</v>
      </c>
      <c r="BE385" s="195" t="b">
        <f t="shared" ref="BE385:BF385" si="405">IF(IFERROR(FIND("ND",AI385),0),FALSE,TRUE)</f>
        <v>1</v>
      </c>
      <c r="BF385" s="195" t="b">
        <f t="shared" si="405"/>
        <v>0</v>
      </c>
    </row>
    <row r="386" spans="1:58" ht="37.5" customHeight="1">
      <c r="A386" s="212" t="s">
        <v>2077</v>
      </c>
      <c r="B386" s="252">
        <v>1981</v>
      </c>
      <c r="C386" s="195" t="s">
        <v>457</v>
      </c>
      <c r="D386" s="4" t="s">
        <v>3186</v>
      </c>
      <c r="E386" s="252">
        <v>7251144</v>
      </c>
      <c r="F386" s="255" t="s">
        <v>3180</v>
      </c>
      <c r="G386" s="213" t="str">
        <f t="shared" si="89"/>
        <v>Murphy 1981</v>
      </c>
      <c r="H386" s="217">
        <v>1981</v>
      </c>
      <c r="I386" s="199"/>
      <c r="J386" s="195"/>
      <c r="K386" s="195">
        <v>8</v>
      </c>
      <c r="L386" s="4" t="s">
        <v>1955</v>
      </c>
      <c r="M386" s="195" t="s">
        <v>324</v>
      </c>
      <c r="N386" s="195" t="s">
        <v>324</v>
      </c>
      <c r="O386" s="195" t="s">
        <v>324</v>
      </c>
      <c r="P386" s="195" t="s">
        <v>324</v>
      </c>
      <c r="Q386" s="195" t="s">
        <v>324</v>
      </c>
      <c r="R386" s="195" t="s">
        <v>324</v>
      </c>
      <c r="S386" s="195" t="s">
        <v>324</v>
      </c>
      <c r="T386" s="195" t="s">
        <v>324</v>
      </c>
      <c r="U386" s="195" t="s">
        <v>324</v>
      </c>
      <c r="V386" s="195" t="s">
        <v>3182</v>
      </c>
      <c r="W386" s="199"/>
      <c r="X386" s="195">
        <v>8</v>
      </c>
      <c r="Y386" s="195"/>
      <c r="Z386" s="195">
        <v>8</v>
      </c>
      <c r="AA386" s="195"/>
      <c r="AB386" s="195">
        <v>0</v>
      </c>
      <c r="AC386" s="199"/>
      <c r="AD386" s="195" t="s">
        <v>322</v>
      </c>
      <c r="AE386" s="195" t="s">
        <v>3183</v>
      </c>
      <c r="AF386" s="195" t="s">
        <v>1958</v>
      </c>
      <c r="AG386" s="195">
        <v>4</v>
      </c>
      <c r="AH386" s="195" t="s">
        <v>316</v>
      </c>
      <c r="AI386" s="195">
        <v>0</v>
      </c>
      <c r="AJ386" s="195" t="s">
        <v>324</v>
      </c>
      <c r="AK386" s="195" t="s">
        <v>499</v>
      </c>
      <c r="AL386" s="195" t="s">
        <v>322</v>
      </c>
      <c r="AM386" s="199"/>
      <c r="AN386" s="195" t="s">
        <v>332</v>
      </c>
      <c r="AO386" s="195" t="s">
        <v>3184</v>
      </c>
      <c r="AP386" s="195" t="s">
        <v>324</v>
      </c>
      <c r="AQ386" s="195" t="s">
        <v>324</v>
      </c>
      <c r="AR386" s="195" t="s">
        <v>3164</v>
      </c>
      <c r="AS386" s="195" t="s">
        <v>316</v>
      </c>
      <c r="AT386" s="199"/>
      <c r="AU386" s="195" t="s">
        <v>3185</v>
      </c>
      <c r="AV386" s="195" t="s">
        <v>1447</v>
      </c>
      <c r="AW386" s="195" t="str">
        <f ca="1">IFERROR(__xludf.DUMMYFUNCTION("IF(AND(IF(AS386=""Yes"",True,False),NOT(IFERROR(REGEXMATCH(AV386,ExclusionCategories),FALSE))),""Yes"", ""No"")"),"No")</f>
        <v>No</v>
      </c>
      <c r="AX386" s="195">
        <f ca="1">IFERROR(__xludf.DUMMYFUNCTION("IF(IFERROR(SEARCH(""Unclear"", Z386)) = 1, VALUE(REGEXEXTRACT(Z386,""\d+"")), Z386)"),8)</f>
        <v>8</v>
      </c>
      <c r="AY386" s="195">
        <v>8</v>
      </c>
      <c r="AZ386" s="195">
        <f ca="1">IFERROR(__xludf.DUMMYFUNCTION("IF(IFERROR(SEARCH(""Unclear"", AG386)) = 1, VALUE(REGEXEXTRACT(AG386,""\d+"")), AG386)"),4)</f>
        <v>4</v>
      </c>
      <c r="BA386" s="195">
        <v>4</v>
      </c>
      <c r="BB386" s="195" t="str">
        <f ca="1">IFERROR(__xludf.DUMMYFUNCTION("IF(IFERROR(SEARCH(""Unclear"", AJ386)) = 1, VALUE(REGEXEXTRACT(AJ386,""\d+"")), AJ386)"),"ND")</f>
        <v>ND</v>
      </c>
      <c r="BC386" s="195" t="s">
        <v>324</v>
      </c>
      <c r="BD386" s="195" t="b">
        <f t="shared" si="2"/>
        <v>1</v>
      </c>
      <c r="BE386" s="195" t="b">
        <f t="shared" ref="BE386:BF386" si="406">IF(IFERROR(FIND("ND",AI386),0),FALSE,TRUE)</f>
        <v>1</v>
      </c>
      <c r="BF386" s="195" t="b">
        <f t="shared" si="406"/>
        <v>0</v>
      </c>
    </row>
    <row r="387" spans="1:58" ht="37.5" customHeight="1">
      <c r="A387" s="212" t="s">
        <v>2077</v>
      </c>
      <c r="B387" s="252">
        <v>1981</v>
      </c>
      <c r="C387" s="195" t="s">
        <v>457</v>
      </c>
      <c r="D387" s="4" t="s">
        <v>3187</v>
      </c>
      <c r="E387" s="252">
        <v>7251144</v>
      </c>
      <c r="F387" s="255" t="s">
        <v>3180</v>
      </c>
      <c r="G387" s="213" t="str">
        <f t="shared" si="89"/>
        <v>Murphy 1981</v>
      </c>
      <c r="H387" s="217">
        <v>1981</v>
      </c>
      <c r="I387" s="199"/>
      <c r="J387" s="195"/>
      <c r="K387" s="195">
        <v>61</v>
      </c>
      <c r="L387" s="4" t="s">
        <v>1571</v>
      </c>
      <c r="M387" s="195" t="s">
        <v>324</v>
      </c>
      <c r="N387" s="195" t="s">
        <v>324</v>
      </c>
      <c r="O387" s="195" t="s">
        <v>324</v>
      </c>
      <c r="P387" s="195" t="s">
        <v>324</v>
      </c>
      <c r="Q387" s="195" t="s">
        <v>324</v>
      </c>
      <c r="R387" s="195" t="s">
        <v>324</v>
      </c>
      <c r="S387" s="195" t="s">
        <v>324</v>
      </c>
      <c r="T387" s="195" t="s">
        <v>324</v>
      </c>
      <c r="U387" s="195" t="s">
        <v>324</v>
      </c>
      <c r="V387" s="195" t="s">
        <v>3182</v>
      </c>
      <c r="W387" s="199"/>
      <c r="X387" s="195">
        <v>61</v>
      </c>
      <c r="Y387" s="195"/>
      <c r="Z387" s="195">
        <v>54</v>
      </c>
      <c r="AA387" s="195"/>
      <c r="AB387" s="195">
        <v>0</v>
      </c>
      <c r="AC387" s="199"/>
      <c r="AD387" s="195" t="s">
        <v>322</v>
      </c>
      <c r="AE387" s="195" t="s">
        <v>3183</v>
      </c>
      <c r="AF387" s="195" t="s">
        <v>1958</v>
      </c>
      <c r="AG387" s="195">
        <v>6</v>
      </c>
      <c r="AH387" s="195" t="s">
        <v>316</v>
      </c>
      <c r="AI387" s="195">
        <v>0</v>
      </c>
      <c r="AJ387" s="195" t="s">
        <v>324</v>
      </c>
      <c r="AK387" s="195" t="s">
        <v>499</v>
      </c>
      <c r="AL387" s="195" t="s">
        <v>322</v>
      </c>
      <c r="AM387" s="199"/>
      <c r="AN387" s="195" t="s">
        <v>332</v>
      </c>
      <c r="AO387" s="195" t="s">
        <v>3184</v>
      </c>
      <c r="AP387" s="195" t="s">
        <v>324</v>
      </c>
      <c r="AQ387" s="195" t="s">
        <v>324</v>
      </c>
      <c r="AR387" s="195" t="s">
        <v>3164</v>
      </c>
      <c r="AS387" s="195" t="s">
        <v>308</v>
      </c>
      <c r="AT387" s="199"/>
      <c r="AU387" s="195" t="s">
        <v>3185</v>
      </c>
      <c r="AV387" s="195" t="s">
        <v>1572</v>
      </c>
      <c r="AW387" s="195" t="str">
        <f ca="1">IFERROR(__xludf.DUMMYFUNCTION("IF(AND(IF(AS387=""Yes"",True,False),NOT(IFERROR(REGEXMATCH(AV387,ExclusionCategories),FALSE))),""Yes"", ""No"")"),"Yes")</f>
        <v>Yes</v>
      </c>
      <c r="AX387" s="195">
        <f ca="1">IFERROR(__xludf.DUMMYFUNCTION("IF(IFERROR(SEARCH(""Unclear"", Z387)) = 1, VALUE(REGEXEXTRACT(Z387,""\d+"")), Z387)"),54)</f>
        <v>54</v>
      </c>
      <c r="AY387" s="195">
        <v>54</v>
      </c>
      <c r="AZ387" s="195">
        <f ca="1">IFERROR(__xludf.DUMMYFUNCTION("IF(IFERROR(SEARCH(""Unclear"", AG387)) = 1, VALUE(REGEXEXTRACT(AG387,""\d+"")), AG387)"),6)</f>
        <v>6</v>
      </c>
      <c r="BA387" s="195">
        <v>6</v>
      </c>
      <c r="BB387" s="195" t="str">
        <f ca="1">IFERROR(__xludf.DUMMYFUNCTION("IF(IFERROR(SEARCH(""Unclear"", AJ387)) = 1, VALUE(REGEXEXTRACT(AJ387,""\d+"")), AJ387)"),"ND")</f>
        <v>ND</v>
      </c>
      <c r="BC387" s="195" t="s">
        <v>324</v>
      </c>
      <c r="BD387" s="195" t="b">
        <f t="shared" si="2"/>
        <v>1</v>
      </c>
      <c r="BE387" s="195" t="b">
        <f t="shared" ref="BE387:BF387" si="407">IF(IFERROR(FIND("ND",AI387),0),FALSE,TRUE)</f>
        <v>1</v>
      </c>
      <c r="BF387" s="195" t="b">
        <f t="shared" si="407"/>
        <v>0</v>
      </c>
    </row>
    <row r="388" spans="1:58" ht="37.5" customHeight="1">
      <c r="A388" s="212" t="s">
        <v>3188</v>
      </c>
      <c r="B388" s="252">
        <v>2008</v>
      </c>
      <c r="C388" s="195" t="s">
        <v>552</v>
      </c>
      <c r="D388" s="4" t="s">
        <v>3189</v>
      </c>
      <c r="E388" s="252" t="s">
        <v>3190</v>
      </c>
      <c r="F388" s="256" t="s">
        <v>3191</v>
      </c>
      <c r="G388" s="213" t="s">
        <v>3192</v>
      </c>
      <c r="H388" s="195">
        <v>2012</v>
      </c>
      <c r="I388" s="195" t="s">
        <v>3193</v>
      </c>
      <c r="J388" s="198" t="s">
        <v>3194</v>
      </c>
      <c r="K388" s="195">
        <v>57</v>
      </c>
      <c r="L388" s="4" t="s">
        <v>3195</v>
      </c>
      <c r="M388" s="195">
        <v>31</v>
      </c>
      <c r="N388" s="195">
        <v>26</v>
      </c>
      <c r="O388" s="195">
        <v>27</v>
      </c>
      <c r="P388" s="195">
        <v>20</v>
      </c>
      <c r="Q388" s="195">
        <v>50</v>
      </c>
      <c r="R388" s="195">
        <v>18</v>
      </c>
      <c r="S388" s="195">
        <v>50</v>
      </c>
      <c r="T388" s="195" t="s">
        <v>324</v>
      </c>
      <c r="U388" s="195" t="s">
        <v>324</v>
      </c>
      <c r="V388" s="195" t="s">
        <v>3196</v>
      </c>
      <c r="W388" s="199"/>
      <c r="X388" s="195">
        <v>49</v>
      </c>
      <c r="Y388" s="195"/>
      <c r="Z388" s="195">
        <v>21</v>
      </c>
      <c r="AA388" s="195"/>
      <c r="AB388" s="195">
        <v>8</v>
      </c>
      <c r="AC388" s="199"/>
      <c r="AD388" s="195">
        <v>0</v>
      </c>
      <c r="AE388" s="195" t="s">
        <v>3197</v>
      </c>
      <c r="AF388" s="195" t="s">
        <v>1472</v>
      </c>
      <c r="AG388" s="195" t="s">
        <v>324</v>
      </c>
      <c r="AH388" s="195" t="s">
        <v>316</v>
      </c>
      <c r="AI388" s="195">
        <v>0</v>
      </c>
      <c r="AJ388" s="195" t="s">
        <v>324</v>
      </c>
      <c r="AK388" s="195" t="s">
        <v>3198</v>
      </c>
      <c r="AL388" s="195" t="s">
        <v>322</v>
      </c>
      <c r="AM388" s="199"/>
      <c r="AN388" s="195" t="s">
        <v>332</v>
      </c>
      <c r="AO388" s="195" t="s">
        <v>3199</v>
      </c>
      <c r="AP388" s="195" t="s">
        <v>3200</v>
      </c>
      <c r="AQ388" s="195" t="s">
        <v>3201</v>
      </c>
      <c r="AR388" s="195" t="s">
        <v>3202</v>
      </c>
      <c r="AS388" s="195" t="s">
        <v>308</v>
      </c>
      <c r="AT388" s="199"/>
      <c r="AU388" s="195" t="s">
        <v>3192</v>
      </c>
      <c r="AV388" s="195" t="s">
        <v>501</v>
      </c>
      <c r="AW388" s="195" t="str">
        <f ca="1">IFERROR(__xludf.DUMMYFUNCTION("IF(AND(IF(AS388=""Yes"",True,False),NOT(IFERROR(REGEXMATCH(AV388,ExclusionCategories),FALSE))),""Yes"", ""No"")"),"Yes")</f>
        <v>Yes</v>
      </c>
      <c r="AX388" s="195">
        <f ca="1">IFERROR(__xludf.DUMMYFUNCTION("IF(IFERROR(SEARCH(""Unclear"", Z388)) = 1, VALUE(REGEXEXTRACT(Z388,""\d+"")), Z388)"),21)</f>
        <v>21</v>
      </c>
      <c r="AY388" s="195">
        <v>21</v>
      </c>
      <c r="AZ388" s="195" t="str">
        <f ca="1">IFERROR(__xludf.DUMMYFUNCTION("IF(IFERROR(SEARCH(""Unclear"", AG388)) = 1, VALUE(REGEXEXTRACT(AG388,""\d+"")), AG388)"),"ND")</f>
        <v>ND</v>
      </c>
      <c r="BA388" s="195" t="s">
        <v>324</v>
      </c>
      <c r="BB388" s="195" t="str">
        <f ca="1">IFERROR(__xludf.DUMMYFUNCTION("IF(IFERROR(SEARCH(""Unclear"", AJ388)) = 1, VALUE(REGEXEXTRACT(AJ388,""\d+"")), AJ388)"),"ND")</f>
        <v>ND</v>
      </c>
      <c r="BC388" s="195" t="s">
        <v>324</v>
      </c>
      <c r="BD388" s="195" t="b">
        <f t="shared" si="2"/>
        <v>0</v>
      </c>
      <c r="BE388" s="195" t="b">
        <f t="shared" ref="BE388:BF388" si="408">IF(IFERROR(FIND("ND",AI388),0),FALSE,TRUE)</f>
        <v>1</v>
      </c>
      <c r="BF388" s="195" t="b">
        <f t="shared" si="408"/>
        <v>0</v>
      </c>
    </row>
    <row r="389" spans="1:58" ht="37.5" customHeight="1">
      <c r="A389" s="212" t="s">
        <v>3203</v>
      </c>
      <c r="B389" s="252">
        <v>1974</v>
      </c>
      <c r="C389" s="195" t="s">
        <v>339</v>
      </c>
      <c r="D389" s="4" t="s">
        <v>3204</v>
      </c>
      <c r="E389" s="245">
        <v>4593870</v>
      </c>
      <c r="F389" s="258" t="s">
        <v>3205</v>
      </c>
      <c r="G389" s="213" t="str">
        <f t="shared" ref="G389:G393" si="409">HYPERLINK(AT389,AU389)</f>
        <v>Glew 1974</v>
      </c>
      <c r="H389" s="195">
        <v>1969</v>
      </c>
      <c r="I389" s="199"/>
      <c r="J389" s="199"/>
      <c r="K389" s="195">
        <v>7</v>
      </c>
      <c r="L389" s="4" t="s">
        <v>3206</v>
      </c>
      <c r="M389" s="195">
        <v>7</v>
      </c>
      <c r="N389" s="195">
        <v>0</v>
      </c>
      <c r="O389" s="195" t="s">
        <v>324</v>
      </c>
      <c r="P389" s="195" t="s">
        <v>324</v>
      </c>
      <c r="Q389" s="195" t="s">
        <v>324</v>
      </c>
      <c r="R389" s="195">
        <v>29</v>
      </c>
      <c r="S389" s="195">
        <v>36</v>
      </c>
      <c r="T389" s="195" t="s">
        <v>324</v>
      </c>
      <c r="U389" s="195" t="s">
        <v>324</v>
      </c>
      <c r="V389" s="195" t="s">
        <v>3207</v>
      </c>
      <c r="W389" s="199"/>
      <c r="X389" s="195">
        <v>7</v>
      </c>
      <c r="Y389" s="199"/>
      <c r="Z389" s="195">
        <v>7</v>
      </c>
      <c r="AA389" s="199"/>
      <c r="AB389" s="195">
        <v>0</v>
      </c>
      <c r="AC389" s="199"/>
      <c r="AD389" s="195" t="s">
        <v>322</v>
      </c>
      <c r="AE389" s="195" t="s">
        <v>3208</v>
      </c>
      <c r="AF389" s="195" t="s">
        <v>1472</v>
      </c>
      <c r="AG389" s="195">
        <v>4</v>
      </c>
      <c r="AH389" s="195" t="s">
        <v>308</v>
      </c>
      <c r="AI389" s="195">
        <v>0</v>
      </c>
      <c r="AJ389" s="195">
        <v>0</v>
      </c>
      <c r="AK389" s="195" t="s">
        <v>499</v>
      </c>
      <c r="AL389" s="195" t="s">
        <v>322</v>
      </c>
      <c r="AM389" s="199"/>
      <c r="AN389" s="195" t="s">
        <v>3209</v>
      </c>
      <c r="AO389" s="195" t="s">
        <v>3210</v>
      </c>
      <c r="AP389" s="195" t="s">
        <v>3211</v>
      </c>
      <c r="AQ389" s="195" t="s">
        <v>324</v>
      </c>
      <c r="AR389" s="220" t="s">
        <v>3212</v>
      </c>
      <c r="AS389" s="195" t="s">
        <v>316</v>
      </c>
      <c r="AT389" s="199"/>
      <c r="AU389" s="202" t="s">
        <v>3213</v>
      </c>
      <c r="AV389" s="195" t="s">
        <v>1447</v>
      </c>
      <c r="AW389" s="195" t="str">
        <f ca="1">IFERROR(__xludf.DUMMYFUNCTION("IF(AND(IF(AS389=""Yes"",True,False),NOT(IFERROR(REGEXMATCH(AV389,ExclusionCategories),FALSE))),""Yes"", ""No"")"),"No")</f>
        <v>No</v>
      </c>
      <c r="AX389" s="195">
        <f ca="1">IFERROR(__xludf.DUMMYFUNCTION("IF(IFERROR(SEARCH(""Unclear"", Z389)) = 1, VALUE(REGEXEXTRACT(Z389,""\d+"")), Z389)"),7)</f>
        <v>7</v>
      </c>
      <c r="AY389" s="195">
        <v>7</v>
      </c>
      <c r="AZ389" s="195">
        <f ca="1">IFERROR(__xludf.DUMMYFUNCTION("IF(IFERROR(SEARCH(""Unclear"", AG389)) = 1, VALUE(REGEXEXTRACT(AG389,""\d+"")), AG389)"),4)</f>
        <v>4</v>
      </c>
      <c r="BA389" s="195">
        <v>4</v>
      </c>
      <c r="BB389" s="195">
        <f ca="1">IFERROR(__xludf.DUMMYFUNCTION("IF(IFERROR(SEARCH(""Unclear"", AJ389)) = 1, VALUE(REGEXEXTRACT(AJ389,""\d+"")), AJ389)"),0)</f>
        <v>0</v>
      </c>
      <c r="BC389" s="195">
        <v>0</v>
      </c>
      <c r="BD389" s="195" t="b">
        <f t="shared" si="2"/>
        <v>1</v>
      </c>
      <c r="BE389" s="195" t="b">
        <f t="shared" ref="BE389:BF389" si="410">IF(IFERROR(FIND("ND",AI389),0),FALSE,TRUE)</f>
        <v>1</v>
      </c>
      <c r="BF389" s="195" t="b">
        <f t="shared" si="410"/>
        <v>1</v>
      </c>
    </row>
    <row r="390" spans="1:58" ht="37.5" customHeight="1">
      <c r="A390" s="195" t="s">
        <v>3214</v>
      </c>
      <c r="B390" s="195">
        <v>2014</v>
      </c>
      <c r="C390" s="195" t="s">
        <v>339</v>
      </c>
      <c r="D390" s="4" t="s">
        <v>1185</v>
      </c>
      <c r="E390" s="259">
        <v>25070995</v>
      </c>
      <c r="F390" s="224" t="s">
        <v>3215</v>
      </c>
      <c r="G390" s="195" t="str">
        <f t="shared" si="409"/>
        <v>Shekalaghe 2014</v>
      </c>
      <c r="H390" s="195">
        <v>2012</v>
      </c>
      <c r="I390" s="195" t="s">
        <v>3216</v>
      </c>
      <c r="J390" s="198" t="s">
        <v>3217</v>
      </c>
      <c r="K390" s="195">
        <v>12</v>
      </c>
      <c r="L390" s="4" t="s">
        <v>3218</v>
      </c>
      <c r="M390" s="195">
        <v>12</v>
      </c>
      <c r="N390" s="195">
        <v>0</v>
      </c>
      <c r="O390" s="195">
        <v>25.5</v>
      </c>
      <c r="P390" s="195">
        <v>24.3</v>
      </c>
      <c r="Q390" s="195">
        <v>30.5</v>
      </c>
      <c r="R390" s="195">
        <v>20</v>
      </c>
      <c r="S390" s="195">
        <v>35</v>
      </c>
      <c r="T390" s="195">
        <v>25.9</v>
      </c>
      <c r="U390" s="195">
        <v>1.6</v>
      </c>
      <c r="V390" s="195" t="s">
        <v>3219</v>
      </c>
      <c r="W390" s="199"/>
      <c r="X390" s="195">
        <v>12</v>
      </c>
      <c r="Y390" s="199"/>
      <c r="Z390" s="195">
        <v>11</v>
      </c>
      <c r="AA390" s="199"/>
      <c r="AB390" s="195"/>
      <c r="AC390" s="195"/>
      <c r="AD390" s="195"/>
      <c r="AE390" s="195" t="s">
        <v>3220</v>
      </c>
      <c r="AF390" s="199"/>
      <c r="AG390" s="195">
        <v>9</v>
      </c>
      <c r="AH390" s="195" t="s">
        <v>308</v>
      </c>
      <c r="AI390" s="195">
        <v>0</v>
      </c>
      <c r="AJ390" s="217" t="s">
        <v>642</v>
      </c>
      <c r="AK390" s="195" t="s">
        <v>3221</v>
      </c>
      <c r="AL390" s="195"/>
      <c r="AM390" s="195" t="s">
        <v>3222</v>
      </c>
      <c r="AN390" s="195" t="s">
        <v>3223</v>
      </c>
      <c r="AO390" s="195" t="s">
        <v>3224</v>
      </c>
      <c r="AP390" s="195" t="s">
        <v>3225</v>
      </c>
      <c r="AQ390" s="195" t="s">
        <v>3226</v>
      </c>
      <c r="AR390" s="220" t="s">
        <v>3212</v>
      </c>
      <c r="AS390" s="195" t="s">
        <v>316</v>
      </c>
      <c r="AT390" s="199"/>
      <c r="AU390" s="202" t="s">
        <v>3227</v>
      </c>
      <c r="AV390" s="195" t="s">
        <v>326</v>
      </c>
      <c r="AW390" s="195" t="str">
        <f ca="1">IFERROR(__xludf.DUMMYFUNCTION("IF(AND(IF(AS390=""Yes"",True,False),NOT(IFERROR(REGEXMATCH(AV390,ExclusionCategories),FALSE))),""Yes"", ""No"")"),"No")</f>
        <v>No</v>
      </c>
      <c r="AX390" s="195">
        <f ca="1">IFERROR(__xludf.DUMMYFUNCTION("IF(IFERROR(SEARCH(""Unclear"", Z390)) = 1, VALUE(REGEXEXTRACT(Z390,""\d+"")), Z390)"),11)</f>
        <v>11</v>
      </c>
      <c r="AY390" s="195">
        <v>11</v>
      </c>
      <c r="AZ390" s="195">
        <f ca="1">IFERROR(__xludf.DUMMYFUNCTION("IF(IFERROR(SEARCH(""Unclear"", AG390)) = 1, VALUE(REGEXEXTRACT(AG390,""\d+"")), AG390)"),9)</f>
        <v>9</v>
      </c>
      <c r="BA390" s="195">
        <v>9</v>
      </c>
      <c r="BB390" s="195">
        <f ca="1">IFERROR(__xludf.DUMMYFUNCTION("IF(IFERROR(SEARCH(""Unclear"", AJ390)) = 1, VALUE(REGEXEXTRACT(AJ390,""\d+"")), AJ390)"),1)</f>
        <v>1</v>
      </c>
      <c r="BC390" s="217">
        <v>2</v>
      </c>
      <c r="BD390" s="195" t="b">
        <f t="shared" si="2"/>
        <v>1</v>
      </c>
      <c r="BE390" s="195" t="b">
        <f t="shared" ref="BE390:BF390" si="411">IF(IFERROR(FIND("ND",AI390),0),FALSE,TRUE)</f>
        <v>1</v>
      </c>
      <c r="BF390" s="195" t="b">
        <f t="shared" si="411"/>
        <v>1</v>
      </c>
    </row>
    <row r="391" spans="1:58" ht="37.5" customHeight="1">
      <c r="A391" s="195" t="s">
        <v>3214</v>
      </c>
      <c r="B391" s="195">
        <v>2014</v>
      </c>
      <c r="C391" s="195" t="s">
        <v>339</v>
      </c>
      <c r="D391" s="4" t="s">
        <v>1185</v>
      </c>
      <c r="E391" s="259">
        <v>25070995</v>
      </c>
      <c r="F391" s="224" t="s">
        <v>3215</v>
      </c>
      <c r="G391" s="195" t="str">
        <f t="shared" si="409"/>
        <v>Shekalaghe 2014</v>
      </c>
      <c r="H391" s="195">
        <v>2012</v>
      </c>
      <c r="I391" s="195" t="s">
        <v>3216</v>
      </c>
      <c r="J391" s="198" t="s">
        <v>3217</v>
      </c>
      <c r="K391" s="195">
        <v>12</v>
      </c>
      <c r="L391" s="4" t="s">
        <v>3228</v>
      </c>
      <c r="M391" s="195">
        <v>12</v>
      </c>
      <c r="N391" s="195">
        <v>0</v>
      </c>
      <c r="O391" s="195">
        <v>24.5</v>
      </c>
      <c r="P391" s="195">
        <v>20.7</v>
      </c>
      <c r="Q391" s="195">
        <v>27.2</v>
      </c>
      <c r="R391" s="195">
        <v>20</v>
      </c>
      <c r="S391" s="195">
        <v>35</v>
      </c>
      <c r="T391" s="195">
        <v>24.6</v>
      </c>
      <c r="U391" s="195">
        <v>2.2999999999999998</v>
      </c>
      <c r="V391" s="195" t="s">
        <v>3219</v>
      </c>
      <c r="W391" s="199"/>
      <c r="X391" s="195">
        <v>12</v>
      </c>
      <c r="Y391" s="199"/>
      <c r="Z391" s="195">
        <v>10</v>
      </c>
      <c r="AA391" s="199"/>
      <c r="AB391" s="195"/>
      <c r="AC391" s="195"/>
      <c r="AD391" s="195"/>
      <c r="AE391" s="195" t="s">
        <v>3220</v>
      </c>
      <c r="AF391" s="199"/>
      <c r="AG391" s="195">
        <v>9</v>
      </c>
      <c r="AH391" s="195" t="s">
        <v>308</v>
      </c>
      <c r="AI391" s="195">
        <v>0</v>
      </c>
      <c r="AJ391" s="195">
        <v>0</v>
      </c>
      <c r="AK391" s="195" t="s">
        <v>3221</v>
      </c>
      <c r="AL391" s="195"/>
      <c r="AM391" s="195" t="s">
        <v>3222</v>
      </c>
      <c r="AN391" s="195" t="s">
        <v>3223</v>
      </c>
      <c r="AO391" s="195" t="s">
        <v>3224</v>
      </c>
      <c r="AP391" s="195" t="s">
        <v>3225</v>
      </c>
      <c r="AQ391" s="195" t="s">
        <v>3226</v>
      </c>
      <c r="AR391" s="220" t="s">
        <v>3212</v>
      </c>
      <c r="AS391" s="195" t="s">
        <v>316</v>
      </c>
      <c r="AT391" s="199"/>
      <c r="AU391" s="202" t="s">
        <v>3227</v>
      </c>
      <c r="AV391" s="195" t="s">
        <v>326</v>
      </c>
      <c r="AW391" s="195" t="str">
        <f ca="1">IFERROR(__xludf.DUMMYFUNCTION("IF(AND(IF(AS391=""Yes"",True,False),NOT(IFERROR(REGEXMATCH(AV391,ExclusionCategories),FALSE))),""Yes"", ""No"")"),"No")</f>
        <v>No</v>
      </c>
      <c r="AX391" s="195">
        <f ca="1">IFERROR(__xludf.DUMMYFUNCTION("IF(IFERROR(SEARCH(""Unclear"", Z391)) = 1, VALUE(REGEXEXTRACT(Z391,""\d+"")), Z391)"),10)</f>
        <v>10</v>
      </c>
      <c r="AY391" s="195">
        <v>10</v>
      </c>
      <c r="AZ391" s="195">
        <f ca="1">IFERROR(__xludf.DUMMYFUNCTION("IF(IFERROR(SEARCH(""Unclear"", AG391)) = 1, VALUE(REGEXEXTRACT(AG391,""\d+"")), AG391)"),9)</f>
        <v>9</v>
      </c>
      <c r="BA391" s="195">
        <v>9</v>
      </c>
      <c r="BB391" s="195">
        <f ca="1">IFERROR(__xludf.DUMMYFUNCTION("IF(IFERROR(SEARCH(""Unclear"", AJ391)) = 1, VALUE(REGEXEXTRACT(AJ391,""\d+"")), AJ391)"),0)</f>
        <v>0</v>
      </c>
      <c r="BC391" s="195">
        <v>0</v>
      </c>
      <c r="BD391" s="195" t="b">
        <f t="shared" si="2"/>
        <v>1</v>
      </c>
      <c r="BE391" s="195" t="b">
        <f t="shared" ref="BE391:BF391" si="412">IF(IFERROR(FIND("ND",AI391),0),FALSE,TRUE)</f>
        <v>1</v>
      </c>
      <c r="BF391" s="195" t="b">
        <f t="shared" si="412"/>
        <v>1</v>
      </c>
    </row>
    <row r="392" spans="1:58" ht="37.5" customHeight="1">
      <c r="A392" s="195" t="s">
        <v>3214</v>
      </c>
      <c r="B392" s="195">
        <v>2014</v>
      </c>
      <c r="C392" s="195" t="s">
        <v>339</v>
      </c>
      <c r="D392" s="4" t="s">
        <v>1185</v>
      </c>
      <c r="E392" s="259">
        <v>25070995</v>
      </c>
      <c r="F392" s="224" t="s">
        <v>3215</v>
      </c>
      <c r="G392" s="195" t="str">
        <f t="shared" si="409"/>
        <v>Shekalaghe 2014</v>
      </c>
      <c r="H392" s="195">
        <v>2012</v>
      </c>
      <c r="I392" s="195" t="s">
        <v>3216</v>
      </c>
      <c r="J392" s="198" t="s">
        <v>3217</v>
      </c>
      <c r="K392" s="195">
        <v>6</v>
      </c>
      <c r="L392" s="4" t="s">
        <v>3229</v>
      </c>
      <c r="M392" s="195">
        <v>6</v>
      </c>
      <c r="N392" s="195">
        <v>0</v>
      </c>
      <c r="O392" s="195">
        <v>25.2</v>
      </c>
      <c r="P392" s="195">
        <v>19</v>
      </c>
      <c r="Q392" s="195">
        <v>24</v>
      </c>
      <c r="R392" s="195">
        <v>20</v>
      </c>
      <c r="S392" s="195">
        <v>35</v>
      </c>
      <c r="T392" s="195">
        <v>25.7</v>
      </c>
      <c r="U392" s="195">
        <v>3</v>
      </c>
      <c r="V392" s="195" t="s">
        <v>3219</v>
      </c>
      <c r="W392" s="199"/>
      <c r="X392" s="195">
        <v>0</v>
      </c>
      <c r="Y392" s="199"/>
      <c r="Z392" s="195" t="s">
        <v>322</v>
      </c>
      <c r="AA392" s="199"/>
      <c r="AB392" s="195">
        <v>6</v>
      </c>
      <c r="AC392" s="195"/>
      <c r="AD392" s="195">
        <v>0</v>
      </c>
      <c r="AE392" s="195" t="s">
        <v>3220</v>
      </c>
      <c r="AF392" s="199"/>
      <c r="AG392" s="195">
        <v>0</v>
      </c>
      <c r="AH392" s="195" t="s">
        <v>308</v>
      </c>
      <c r="AI392" s="195">
        <v>0</v>
      </c>
      <c r="AJ392" s="195">
        <v>1</v>
      </c>
      <c r="AK392" s="195" t="s">
        <v>3221</v>
      </c>
      <c r="AL392" s="195">
        <v>6</v>
      </c>
      <c r="AM392" s="195" t="s">
        <v>3222</v>
      </c>
      <c r="AN392" s="195" t="s">
        <v>3223</v>
      </c>
      <c r="AO392" s="195" t="s">
        <v>3224</v>
      </c>
      <c r="AP392" s="195" t="s">
        <v>3225</v>
      </c>
      <c r="AQ392" s="195" t="s">
        <v>3226</v>
      </c>
      <c r="AR392" s="220" t="s">
        <v>3212</v>
      </c>
      <c r="AS392" s="195" t="s">
        <v>316</v>
      </c>
      <c r="AT392" s="199"/>
      <c r="AU392" s="202" t="s">
        <v>3227</v>
      </c>
      <c r="AV392" s="195" t="s">
        <v>6</v>
      </c>
      <c r="AW392" s="195" t="str">
        <f ca="1">IFERROR(__xludf.DUMMYFUNCTION("IF(AND(IF(AS392=""Yes"",True,False),NOT(IFERROR(REGEXMATCH(AV392,ExclusionCategories),FALSE))),""Yes"", ""No"")"),"No")</f>
        <v>No</v>
      </c>
      <c r="AX392" s="195" t="str">
        <f ca="1">IFERROR(__xludf.DUMMYFUNCTION("IF(IFERROR(SEARCH(""Unclear"", Z392)) = 1, VALUE(REGEXEXTRACT(Z392,""\d+"")), Z392)"),"N/A")</f>
        <v>N/A</v>
      </c>
      <c r="AY392" s="195" t="s">
        <v>322</v>
      </c>
      <c r="AZ392" s="195">
        <f ca="1">IFERROR(__xludf.DUMMYFUNCTION("IF(IFERROR(SEARCH(""Unclear"", AG392)) = 1, VALUE(REGEXEXTRACT(AG392,""\d+"")), AG392)"),0)</f>
        <v>0</v>
      </c>
      <c r="BA392" s="195">
        <v>0</v>
      </c>
      <c r="BB392" s="195">
        <f ca="1">IFERROR(__xludf.DUMMYFUNCTION("IF(IFERROR(SEARCH(""Unclear"", AJ392)) = 1, VALUE(REGEXEXTRACT(AJ392,""\d+"")), AJ392)"),1)</f>
        <v>1</v>
      </c>
      <c r="BC392" s="195">
        <v>1</v>
      </c>
      <c r="BD392" s="195" t="b">
        <f t="shared" si="2"/>
        <v>1</v>
      </c>
      <c r="BE392" s="195" t="b">
        <f t="shared" ref="BE392:BF392" si="413">IF(IFERROR(FIND("ND",AI392),0),FALSE,TRUE)</f>
        <v>1</v>
      </c>
      <c r="BF392" s="195" t="b">
        <f t="shared" si="413"/>
        <v>1</v>
      </c>
    </row>
    <row r="393" spans="1:58" ht="37.5" customHeight="1">
      <c r="A393" s="195" t="s">
        <v>3214</v>
      </c>
      <c r="B393" s="195">
        <v>2014</v>
      </c>
      <c r="C393" s="195" t="s">
        <v>339</v>
      </c>
      <c r="D393" s="4" t="s">
        <v>1185</v>
      </c>
      <c r="E393" s="259">
        <v>25070995</v>
      </c>
      <c r="F393" s="224" t="s">
        <v>3215</v>
      </c>
      <c r="G393" s="195" t="str">
        <f t="shared" si="409"/>
        <v>Shekalaghe 2014</v>
      </c>
      <c r="H393" s="195">
        <v>2012</v>
      </c>
      <c r="I393" s="195" t="s">
        <v>3216</v>
      </c>
      <c r="J393" s="198" t="s">
        <v>3217</v>
      </c>
      <c r="K393" s="195">
        <v>30</v>
      </c>
      <c r="L393" s="4" t="s">
        <v>1050</v>
      </c>
      <c r="M393" s="195">
        <v>30</v>
      </c>
      <c r="N393" s="195">
        <v>0</v>
      </c>
      <c r="O393" s="195" t="s">
        <v>3230</v>
      </c>
      <c r="P393" s="195">
        <v>19</v>
      </c>
      <c r="Q393" s="195">
        <v>30.5</v>
      </c>
      <c r="R393" s="195">
        <v>20</v>
      </c>
      <c r="S393" s="195">
        <v>35</v>
      </c>
      <c r="T393" s="195" t="s">
        <v>3231</v>
      </c>
      <c r="U393" s="195" t="s">
        <v>3232</v>
      </c>
      <c r="V393" s="195" t="s">
        <v>3219</v>
      </c>
      <c r="W393" s="199"/>
      <c r="X393" s="195">
        <v>24</v>
      </c>
      <c r="Y393" s="199"/>
      <c r="Z393" s="195">
        <v>21</v>
      </c>
      <c r="AA393" s="199"/>
      <c r="AB393" s="195">
        <v>6</v>
      </c>
      <c r="AC393" s="195"/>
      <c r="AD393" s="195">
        <v>0</v>
      </c>
      <c r="AE393" s="195" t="s">
        <v>3220</v>
      </c>
      <c r="AF393" s="199"/>
      <c r="AG393" s="195">
        <v>18</v>
      </c>
      <c r="AH393" s="195"/>
      <c r="AI393" s="195">
        <v>0</v>
      </c>
      <c r="AJ393" s="217" t="s">
        <v>2180</v>
      </c>
      <c r="AK393" s="195" t="s">
        <v>3233</v>
      </c>
      <c r="AL393" s="195">
        <v>6</v>
      </c>
      <c r="AM393" s="195" t="s">
        <v>3222</v>
      </c>
      <c r="AN393" s="195" t="s">
        <v>3223</v>
      </c>
      <c r="AO393" s="195" t="s">
        <v>3224</v>
      </c>
      <c r="AP393" s="195" t="s">
        <v>3225</v>
      </c>
      <c r="AQ393" s="195" t="s">
        <v>3226</v>
      </c>
      <c r="AR393" s="220" t="s">
        <v>3212</v>
      </c>
      <c r="AS393" s="195" t="s">
        <v>308</v>
      </c>
      <c r="AT393" s="199"/>
      <c r="AU393" s="202" t="s">
        <v>3227</v>
      </c>
      <c r="AV393" s="195" t="s">
        <v>337</v>
      </c>
      <c r="AW393" s="195" t="str">
        <f ca="1">IFERROR(__xludf.DUMMYFUNCTION("IF(AND(IF(AS393=""Yes"",True,False),NOT(IFERROR(REGEXMATCH(AV393,ExclusionCategories),FALSE))),""Yes"", ""No"")"),"Yes")</f>
        <v>Yes</v>
      </c>
      <c r="AX393" s="195">
        <f ca="1">IFERROR(__xludf.DUMMYFUNCTION("IF(IFERROR(SEARCH(""Unclear"", Z393)) = 1, VALUE(REGEXEXTRACT(Z393,""\d+"")), Z393)"),21)</f>
        <v>21</v>
      </c>
      <c r="AY393" s="195">
        <v>21</v>
      </c>
      <c r="AZ393" s="195">
        <f ca="1">IFERROR(__xludf.DUMMYFUNCTION("IF(IFERROR(SEARCH(""Unclear"", AG393)) = 1, VALUE(REGEXEXTRACT(AG393,""\d+"")), AG393)"),18)</f>
        <v>18</v>
      </c>
      <c r="BA393" s="195">
        <v>18</v>
      </c>
      <c r="BB393" s="195">
        <f ca="1">IFERROR(__xludf.DUMMYFUNCTION("IF(IFERROR(SEARCH(""Unclear"", AJ393)) = 1, VALUE(REGEXEXTRACT(AJ393,""\d+"")), AJ393)"),2)</f>
        <v>2</v>
      </c>
      <c r="BC393" s="217">
        <v>3</v>
      </c>
      <c r="BD393" s="195" t="b">
        <f t="shared" si="2"/>
        <v>1</v>
      </c>
      <c r="BE393" s="195" t="b">
        <f t="shared" ref="BE393:BF393" si="414">IF(IFERROR(FIND("ND",AI393),0),FALSE,TRUE)</f>
        <v>1</v>
      </c>
      <c r="BF393" s="195" t="b">
        <f t="shared" si="414"/>
        <v>1</v>
      </c>
    </row>
    <row r="394" spans="1:58" ht="37.5" customHeight="1">
      <c r="A394" s="212" t="s">
        <v>3234</v>
      </c>
      <c r="B394" s="195">
        <v>1992</v>
      </c>
      <c r="C394" s="195" t="s">
        <v>297</v>
      </c>
      <c r="D394" s="4" t="s">
        <v>319</v>
      </c>
      <c r="E394" s="259">
        <v>1621412</v>
      </c>
      <c r="F394" s="224" t="s">
        <v>3235</v>
      </c>
      <c r="G394" s="212" t="s">
        <v>3236</v>
      </c>
      <c r="H394" s="217">
        <v>1992</v>
      </c>
      <c r="I394" s="199"/>
      <c r="J394" s="199"/>
      <c r="K394" s="195">
        <v>26</v>
      </c>
      <c r="L394" s="10"/>
      <c r="M394" s="195">
        <v>26</v>
      </c>
      <c r="N394" s="195">
        <v>0</v>
      </c>
      <c r="O394" s="195" t="s">
        <v>324</v>
      </c>
      <c r="P394" s="195">
        <v>20</v>
      </c>
      <c r="Q394" s="195">
        <v>35</v>
      </c>
      <c r="R394" s="195">
        <v>20</v>
      </c>
      <c r="S394" s="195">
        <v>40</v>
      </c>
      <c r="T394" s="195" t="s">
        <v>324</v>
      </c>
      <c r="U394" s="195" t="s">
        <v>324</v>
      </c>
      <c r="V394" s="199"/>
      <c r="W394" s="199"/>
      <c r="X394" s="195">
        <v>26</v>
      </c>
      <c r="Y394" s="199"/>
      <c r="Z394" s="195">
        <v>26</v>
      </c>
      <c r="AA394" s="199"/>
      <c r="AB394" s="195">
        <v>0</v>
      </c>
      <c r="AC394" s="199"/>
      <c r="AD394" s="195" t="s">
        <v>322</v>
      </c>
      <c r="AE394" s="195" t="s">
        <v>3237</v>
      </c>
      <c r="AF394" s="195" t="s">
        <v>3238</v>
      </c>
      <c r="AG394" s="195">
        <v>18</v>
      </c>
      <c r="AH394" s="195" t="s">
        <v>308</v>
      </c>
      <c r="AI394" s="195">
        <v>0</v>
      </c>
      <c r="AJ394" s="195">
        <v>0</v>
      </c>
      <c r="AK394" s="195" t="s">
        <v>3239</v>
      </c>
      <c r="AL394" s="195" t="s">
        <v>322</v>
      </c>
      <c r="AM394" s="199"/>
      <c r="AN394" s="195" t="s">
        <v>3240</v>
      </c>
      <c r="AO394" s="195" t="s">
        <v>3241</v>
      </c>
      <c r="AP394" s="195" t="s">
        <v>3242</v>
      </c>
      <c r="AQ394" s="195" t="s">
        <v>1344</v>
      </c>
      <c r="AR394" s="220" t="s">
        <v>3212</v>
      </c>
      <c r="AS394" s="195" t="s">
        <v>308</v>
      </c>
      <c r="AT394" s="199"/>
      <c r="AU394" s="195" t="s">
        <v>3236</v>
      </c>
      <c r="AV394" s="195" t="s">
        <v>571</v>
      </c>
      <c r="AW394" s="195" t="str">
        <f ca="1">IFERROR(__xludf.DUMMYFUNCTION("IF(AND(IF(AS394=""Yes"",True,False),NOT(IFERROR(REGEXMATCH(AV394,ExclusionCategories),FALSE))),""Yes"", ""No"")"),"Yes")</f>
        <v>Yes</v>
      </c>
      <c r="AX394" s="195">
        <f ca="1">IFERROR(__xludf.DUMMYFUNCTION("IF(IFERROR(SEARCH(""Unclear"", Z394)) = 1, VALUE(REGEXEXTRACT(Z394,""\d+"")), Z394)"),26)</f>
        <v>26</v>
      </c>
      <c r="AY394" s="195">
        <v>26</v>
      </c>
      <c r="AZ394" s="195">
        <f ca="1">IFERROR(__xludf.DUMMYFUNCTION("IF(IFERROR(SEARCH(""Unclear"", AG394)) = 1, VALUE(REGEXEXTRACT(AG394,""\d+"")), AG394)"),18)</f>
        <v>18</v>
      </c>
      <c r="BA394" s="195">
        <v>18</v>
      </c>
      <c r="BB394" s="195">
        <f ca="1">IFERROR(__xludf.DUMMYFUNCTION("IF(IFERROR(SEARCH(""Unclear"", AJ394)) = 1, VALUE(REGEXEXTRACT(AJ394,""\d+"")), AJ394)"),0)</f>
        <v>0</v>
      </c>
      <c r="BC394" s="195">
        <v>0</v>
      </c>
      <c r="BD394" s="195" t="b">
        <f t="shared" si="2"/>
        <v>1</v>
      </c>
      <c r="BE394" s="195" t="b">
        <f t="shared" ref="BE394:BF394" si="415">IF(IFERROR(FIND("ND",AI394),0),FALSE,TRUE)</f>
        <v>1</v>
      </c>
      <c r="BF394" s="195" t="b">
        <f t="shared" si="415"/>
        <v>1</v>
      </c>
    </row>
    <row r="395" spans="1:58" ht="37.5" customHeight="1">
      <c r="A395" s="195" t="s">
        <v>2319</v>
      </c>
      <c r="B395" s="195">
        <v>1999</v>
      </c>
      <c r="C395" s="195" t="s">
        <v>297</v>
      </c>
      <c r="D395" s="4" t="s">
        <v>3243</v>
      </c>
      <c r="E395" s="259">
        <v>10569747</v>
      </c>
      <c r="F395" s="224" t="s">
        <v>3244</v>
      </c>
      <c r="G395" s="195" t="s">
        <v>3245</v>
      </c>
      <c r="H395" s="217">
        <v>1999</v>
      </c>
      <c r="I395" s="199"/>
      <c r="J395" s="199"/>
      <c r="K395" s="195">
        <v>28</v>
      </c>
      <c r="L395" s="4" t="s">
        <v>3246</v>
      </c>
      <c r="M395" s="195" t="s">
        <v>324</v>
      </c>
      <c r="N395" s="195" t="s">
        <v>324</v>
      </c>
      <c r="O395" s="195" t="s">
        <v>324</v>
      </c>
      <c r="P395" s="195" t="s">
        <v>324</v>
      </c>
      <c r="Q395" s="195" t="s">
        <v>324</v>
      </c>
      <c r="R395" s="195">
        <v>18</v>
      </c>
      <c r="S395" s="195">
        <v>40</v>
      </c>
      <c r="T395" s="195" t="s">
        <v>324</v>
      </c>
      <c r="U395" s="195" t="s">
        <v>324</v>
      </c>
      <c r="V395" s="195" t="s">
        <v>3247</v>
      </c>
      <c r="W395" s="199"/>
      <c r="X395" s="195">
        <v>28</v>
      </c>
      <c r="Y395" s="199"/>
      <c r="Z395" s="195">
        <v>17</v>
      </c>
      <c r="AA395" s="199"/>
      <c r="AB395" s="195">
        <v>0</v>
      </c>
      <c r="AC395" s="199"/>
      <c r="AD395" s="195" t="s">
        <v>322</v>
      </c>
      <c r="AE395" s="195" t="s">
        <v>3248</v>
      </c>
      <c r="AF395" s="195" t="s">
        <v>3249</v>
      </c>
      <c r="AG395" s="195">
        <v>5</v>
      </c>
      <c r="AH395" s="195" t="s">
        <v>316</v>
      </c>
      <c r="AI395" s="195" t="s">
        <v>324</v>
      </c>
      <c r="AJ395" s="195" t="s">
        <v>324</v>
      </c>
      <c r="AK395" s="199"/>
      <c r="AL395" s="195" t="s">
        <v>322</v>
      </c>
      <c r="AM395" s="199"/>
      <c r="AN395" s="195" t="s">
        <v>3250</v>
      </c>
      <c r="AO395" s="195" t="s">
        <v>3251</v>
      </c>
      <c r="AP395" s="195" t="s">
        <v>3252</v>
      </c>
      <c r="AQ395" s="195" t="s">
        <v>3253</v>
      </c>
      <c r="AR395" s="220" t="s">
        <v>3212</v>
      </c>
      <c r="AS395" s="195" t="s">
        <v>316</v>
      </c>
      <c r="AT395" s="199"/>
      <c r="AU395" s="195" t="s">
        <v>3245</v>
      </c>
      <c r="AV395" s="195" t="s">
        <v>2353</v>
      </c>
      <c r="AW395" s="195" t="str">
        <f ca="1">IFERROR(__xludf.DUMMYFUNCTION("IF(AND(IF(AS395=""Yes"",True,False),NOT(IFERROR(REGEXMATCH(AV395,ExclusionCategories),FALSE))),""Yes"", ""No"")"),"No")</f>
        <v>No</v>
      </c>
      <c r="AX395" s="195">
        <f ca="1">IFERROR(__xludf.DUMMYFUNCTION("IF(IFERROR(SEARCH(""Unclear"", Z395)) = 1, VALUE(REGEXEXTRACT(Z395,""\d+"")), Z395)"),17)</f>
        <v>17</v>
      </c>
      <c r="AY395" s="195">
        <v>17</v>
      </c>
      <c r="AZ395" s="195">
        <f ca="1">IFERROR(__xludf.DUMMYFUNCTION("IF(IFERROR(SEARCH(""Unclear"", AG395)) = 1, VALUE(REGEXEXTRACT(AG395,""\d+"")), AG395)"),5)</f>
        <v>5</v>
      </c>
      <c r="BA395" s="195">
        <v>5</v>
      </c>
      <c r="BB395" s="195" t="str">
        <f ca="1">IFERROR(__xludf.DUMMYFUNCTION("IF(IFERROR(SEARCH(""Unclear"", AJ395)) = 1, VALUE(REGEXEXTRACT(AJ395,""\d+"")), AJ395)"),"ND")</f>
        <v>ND</v>
      </c>
      <c r="BC395" s="195" t="s">
        <v>324</v>
      </c>
      <c r="BD395" s="195" t="b">
        <f t="shared" si="2"/>
        <v>1</v>
      </c>
      <c r="BE395" s="195" t="b">
        <f t="shared" ref="BE395:BF395" si="416">IF(IFERROR(FIND("ND",AI395),0),FALSE,TRUE)</f>
        <v>0</v>
      </c>
      <c r="BF395" s="195" t="b">
        <f t="shared" si="416"/>
        <v>0</v>
      </c>
    </row>
    <row r="396" spans="1:58" ht="37.5" customHeight="1">
      <c r="A396" s="195" t="s">
        <v>2319</v>
      </c>
      <c r="B396" s="195">
        <v>1999</v>
      </c>
      <c r="C396" s="195" t="s">
        <v>297</v>
      </c>
      <c r="D396" s="4" t="s">
        <v>3243</v>
      </c>
      <c r="E396" s="259">
        <v>10569747</v>
      </c>
      <c r="F396" s="224" t="s">
        <v>3244</v>
      </c>
      <c r="G396" s="195" t="s">
        <v>3245</v>
      </c>
      <c r="H396" s="217">
        <v>1999</v>
      </c>
      <c r="I396" s="199"/>
      <c r="J396" s="199"/>
      <c r="K396" s="195">
        <v>23</v>
      </c>
      <c r="L396" s="4" t="s">
        <v>3254</v>
      </c>
      <c r="M396" s="195" t="s">
        <v>324</v>
      </c>
      <c r="N396" s="195" t="s">
        <v>324</v>
      </c>
      <c r="O396" s="195" t="s">
        <v>324</v>
      </c>
      <c r="P396" s="195" t="s">
        <v>324</v>
      </c>
      <c r="Q396" s="195" t="s">
        <v>324</v>
      </c>
      <c r="R396" s="195">
        <v>18</v>
      </c>
      <c r="S396" s="195">
        <v>40</v>
      </c>
      <c r="T396" s="195" t="s">
        <v>324</v>
      </c>
      <c r="U396" s="195" t="s">
        <v>324</v>
      </c>
      <c r="V396" s="195" t="s">
        <v>3247</v>
      </c>
      <c r="W396" s="199"/>
      <c r="X396" s="195">
        <v>23</v>
      </c>
      <c r="Y396" s="199"/>
      <c r="Z396" s="195">
        <v>22</v>
      </c>
      <c r="AA396" s="199"/>
      <c r="AB396" s="195">
        <v>0</v>
      </c>
      <c r="AC396" s="199"/>
      <c r="AD396" s="195" t="s">
        <v>322</v>
      </c>
      <c r="AE396" s="195" t="s">
        <v>3248</v>
      </c>
      <c r="AF396" s="195" t="s">
        <v>3249</v>
      </c>
      <c r="AG396" s="195">
        <v>21</v>
      </c>
      <c r="AH396" s="195" t="s">
        <v>316</v>
      </c>
      <c r="AI396" s="195" t="s">
        <v>324</v>
      </c>
      <c r="AJ396" s="195" t="s">
        <v>324</v>
      </c>
      <c r="AK396" s="195"/>
      <c r="AL396" s="195" t="s">
        <v>322</v>
      </c>
      <c r="AM396" s="199"/>
      <c r="AN396" s="195" t="s">
        <v>332</v>
      </c>
      <c r="AO396" s="195" t="s">
        <v>3251</v>
      </c>
      <c r="AP396" s="195" t="s">
        <v>3252</v>
      </c>
      <c r="AQ396" s="195" t="s">
        <v>3253</v>
      </c>
      <c r="AR396" s="220" t="s">
        <v>3212</v>
      </c>
      <c r="AS396" s="195" t="s">
        <v>316</v>
      </c>
      <c r="AT396" s="199"/>
      <c r="AU396" s="195" t="s">
        <v>3245</v>
      </c>
      <c r="AV396" s="195" t="s">
        <v>2353</v>
      </c>
      <c r="AW396" s="195" t="str">
        <f ca="1">IFERROR(__xludf.DUMMYFUNCTION("IF(AND(IF(AS396=""Yes"",True,False),NOT(IFERROR(REGEXMATCH(AV396,ExclusionCategories),FALSE))),""Yes"", ""No"")"),"No")</f>
        <v>No</v>
      </c>
      <c r="AX396" s="195">
        <f ca="1">IFERROR(__xludf.DUMMYFUNCTION("IF(IFERROR(SEARCH(""Unclear"", Z396)) = 1, VALUE(REGEXEXTRACT(Z396,""\d+"")), Z396)"),22)</f>
        <v>22</v>
      </c>
      <c r="AY396" s="195">
        <v>22</v>
      </c>
      <c r="AZ396" s="195">
        <f ca="1">IFERROR(__xludf.DUMMYFUNCTION("IF(IFERROR(SEARCH(""Unclear"", AG396)) = 1, VALUE(REGEXEXTRACT(AG396,""\d+"")), AG396)"),21)</f>
        <v>21</v>
      </c>
      <c r="BA396" s="195">
        <v>21</v>
      </c>
      <c r="BB396" s="195" t="str">
        <f ca="1">IFERROR(__xludf.DUMMYFUNCTION("IF(IFERROR(SEARCH(""Unclear"", AJ396)) = 1, VALUE(REGEXEXTRACT(AJ396,""\d+"")), AJ396)"),"ND")</f>
        <v>ND</v>
      </c>
      <c r="BC396" s="195" t="s">
        <v>324</v>
      </c>
      <c r="BD396" s="195" t="b">
        <f t="shared" si="2"/>
        <v>1</v>
      </c>
      <c r="BE396" s="195" t="b">
        <f t="shared" ref="BE396:BF396" si="417">IF(IFERROR(FIND("ND",AI396),0),FALSE,TRUE)</f>
        <v>0</v>
      </c>
      <c r="BF396" s="195" t="b">
        <f t="shared" si="417"/>
        <v>0</v>
      </c>
    </row>
    <row r="397" spans="1:58" ht="37.5" customHeight="1">
      <c r="A397" s="195" t="s">
        <v>2319</v>
      </c>
      <c r="B397" s="195">
        <v>1999</v>
      </c>
      <c r="C397" s="195" t="s">
        <v>297</v>
      </c>
      <c r="D397" s="4" t="s">
        <v>3255</v>
      </c>
      <c r="E397" s="259">
        <v>10569747</v>
      </c>
      <c r="F397" s="224" t="s">
        <v>3244</v>
      </c>
      <c r="G397" s="195" t="s">
        <v>3245</v>
      </c>
      <c r="H397" s="217">
        <v>1999</v>
      </c>
      <c r="I397" s="199"/>
      <c r="J397" s="199"/>
      <c r="K397" s="195">
        <v>51</v>
      </c>
      <c r="L397" s="4" t="s">
        <v>846</v>
      </c>
      <c r="M397" s="195" t="s">
        <v>324</v>
      </c>
      <c r="N397" s="195" t="s">
        <v>324</v>
      </c>
      <c r="O397" s="195" t="s">
        <v>324</v>
      </c>
      <c r="P397" s="195" t="s">
        <v>324</v>
      </c>
      <c r="Q397" s="195" t="s">
        <v>324</v>
      </c>
      <c r="R397" s="195">
        <v>18</v>
      </c>
      <c r="S397" s="195">
        <v>40</v>
      </c>
      <c r="T397" s="195" t="s">
        <v>324</v>
      </c>
      <c r="U397" s="195" t="s">
        <v>324</v>
      </c>
      <c r="V397" s="195" t="s">
        <v>3247</v>
      </c>
      <c r="W397" s="199"/>
      <c r="X397" s="195">
        <v>51</v>
      </c>
      <c r="Y397" s="199"/>
      <c r="Z397" s="195">
        <v>39</v>
      </c>
      <c r="AA397" s="199"/>
      <c r="AB397" s="195">
        <v>0</v>
      </c>
      <c r="AC397" s="199"/>
      <c r="AD397" s="195" t="s">
        <v>322</v>
      </c>
      <c r="AE397" s="195" t="s">
        <v>3248</v>
      </c>
      <c r="AF397" s="195" t="s">
        <v>3249</v>
      </c>
      <c r="AG397" s="195">
        <v>26</v>
      </c>
      <c r="AH397" s="195" t="s">
        <v>316</v>
      </c>
      <c r="AI397" s="195" t="s">
        <v>324</v>
      </c>
      <c r="AJ397" s="195" t="s">
        <v>324</v>
      </c>
      <c r="AK397" s="195"/>
      <c r="AL397" s="195" t="s">
        <v>322</v>
      </c>
      <c r="AM397" s="199"/>
      <c r="AN397" s="195" t="s">
        <v>3250</v>
      </c>
      <c r="AO397" s="195" t="s">
        <v>3251</v>
      </c>
      <c r="AP397" s="195" t="s">
        <v>3252</v>
      </c>
      <c r="AQ397" s="195" t="s">
        <v>3253</v>
      </c>
      <c r="AR397" s="220" t="s">
        <v>3212</v>
      </c>
      <c r="AS397" s="195" t="s">
        <v>308</v>
      </c>
      <c r="AT397" s="199"/>
      <c r="AU397" s="195" t="s">
        <v>3245</v>
      </c>
      <c r="AV397" s="195" t="s">
        <v>3256</v>
      </c>
      <c r="AW397" s="195" t="str">
        <f ca="1">IFERROR(__xludf.DUMMYFUNCTION("IF(AND(IF(AS397=""Yes"",True,False),NOT(IFERROR(REGEXMATCH(AV397,ExclusionCategories),FALSE))),""Yes"", ""No"")"),"Yes")</f>
        <v>Yes</v>
      </c>
      <c r="AX397" s="195">
        <f ca="1">IFERROR(__xludf.DUMMYFUNCTION("IF(IFERROR(SEARCH(""Unclear"", Z397)) = 1, VALUE(REGEXEXTRACT(Z397,""\d+"")), Z397)"),39)</f>
        <v>39</v>
      </c>
      <c r="AY397" s="195">
        <v>39</v>
      </c>
      <c r="AZ397" s="195">
        <f ca="1">IFERROR(__xludf.DUMMYFUNCTION("IF(IFERROR(SEARCH(""Unclear"", AG397)) = 1, VALUE(REGEXEXTRACT(AG397,""\d+"")), AG397)"),26)</f>
        <v>26</v>
      </c>
      <c r="BA397" s="195">
        <v>26</v>
      </c>
      <c r="BB397" s="195" t="str">
        <f ca="1">IFERROR(__xludf.DUMMYFUNCTION("IF(IFERROR(SEARCH(""Unclear"", AJ397)) = 1, VALUE(REGEXEXTRACT(AJ397,""\d+"")), AJ397)"),"ND")</f>
        <v>ND</v>
      </c>
      <c r="BC397" s="195" t="s">
        <v>324</v>
      </c>
      <c r="BD397" s="195" t="b">
        <f t="shared" si="2"/>
        <v>1</v>
      </c>
      <c r="BE397" s="195" t="b">
        <f t="shared" ref="BE397:BF397" si="418">IF(IFERROR(FIND("ND",AI397),0),FALSE,TRUE)</f>
        <v>0</v>
      </c>
      <c r="BF397" s="195" t="b">
        <f t="shared" si="418"/>
        <v>0</v>
      </c>
    </row>
    <row r="398" spans="1:58" ht="37.5" customHeight="1">
      <c r="A398" s="212" t="s">
        <v>3257</v>
      </c>
      <c r="B398" s="245">
        <v>2014</v>
      </c>
      <c r="C398" s="195" t="s">
        <v>339</v>
      </c>
      <c r="D398" s="4" t="s">
        <v>1131</v>
      </c>
      <c r="E398" s="245">
        <v>24963662</v>
      </c>
      <c r="F398" s="260" t="s">
        <v>3258</v>
      </c>
      <c r="G398" s="195" t="str">
        <f t="shared" ref="G398:G496" si="419">HYPERLINK(AT398,AU398)</f>
        <v>Arévalo-Herrera 2014</v>
      </c>
      <c r="H398" s="220">
        <v>2013</v>
      </c>
      <c r="I398" s="195" t="s">
        <v>3259</v>
      </c>
      <c r="J398" s="229" t="s">
        <v>3260</v>
      </c>
      <c r="K398" s="195">
        <v>16</v>
      </c>
      <c r="L398" s="4" t="s">
        <v>3261</v>
      </c>
      <c r="M398" s="195">
        <v>10</v>
      </c>
      <c r="N398" s="195">
        <v>6</v>
      </c>
      <c r="O398" s="195">
        <v>30</v>
      </c>
      <c r="P398" s="195">
        <v>19</v>
      </c>
      <c r="Q398" s="195">
        <v>38</v>
      </c>
      <c r="R398" s="195">
        <v>18</v>
      </c>
      <c r="S398" s="195">
        <v>45</v>
      </c>
      <c r="T398" s="195">
        <v>28</v>
      </c>
      <c r="U398" s="195" t="s">
        <v>324</v>
      </c>
      <c r="V398" s="195" t="s">
        <v>3262</v>
      </c>
      <c r="W398" s="199"/>
      <c r="X398" s="195">
        <v>16</v>
      </c>
      <c r="Y398" s="195" t="s">
        <v>3263</v>
      </c>
      <c r="Z398" s="195">
        <v>15</v>
      </c>
      <c r="AA398" s="195" t="s">
        <v>3264</v>
      </c>
      <c r="AB398" s="195">
        <v>0</v>
      </c>
      <c r="AC398" s="199"/>
      <c r="AD398" s="195" t="s">
        <v>322</v>
      </c>
      <c r="AE398" s="195" t="s">
        <v>3265</v>
      </c>
      <c r="AF398" s="195"/>
      <c r="AG398" s="195" t="s">
        <v>498</v>
      </c>
      <c r="AH398" s="195" t="s">
        <v>308</v>
      </c>
      <c r="AI398" s="195">
        <v>0</v>
      </c>
      <c r="AJ398" s="195" t="s">
        <v>1030</v>
      </c>
      <c r="AK398" s="195" t="s">
        <v>3266</v>
      </c>
      <c r="AL398" s="195" t="s">
        <v>322</v>
      </c>
      <c r="AM398" s="199"/>
      <c r="AN398" s="195" t="s">
        <v>3267</v>
      </c>
      <c r="AO398" s="195" t="s">
        <v>3268</v>
      </c>
      <c r="AP398" s="200" t="s">
        <v>3269</v>
      </c>
      <c r="AQ398" s="195" t="s">
        <v>324</v>
      </c>
      <c r="AR398" s="220" t="s">
        <v>3270</v>
      </c>
      <c r="AS398" s="195" t="s">
        <v>308</v>
      </c>
      <c r="AT398" s="199"/>
      <c r="AU398" s="195" t="s">
        <v>3271</v>
      </c>
      <c r="AV398" s="195" t="s">
        <v>9</v>
      </c>
      <c r="AW398" s="195" t="str">
        <f ca="1">IFERROR(__xludf.DUMMYFUNCTION("IF(AND(IF(AS398=""Yes"",True,False),NOT(IFERROR(REGEXMATCH(AV398,ExclusionCategories),FALSE))),""Yes"", ""No"")"),"Yes")</f>
        <v>Yes</v>
      </c>
      <c r="AX398" s="195">
        <f ca="1">IFERROR(__xludf.DUMMYFUNCTION("IF(IFERROR(SEARCH(""Unclear"", Z398)) = 1, VALUE(REGEXEXTRACT(Z398,""\d+"")), Z398)"),15)</f>
        <v>15</v>
      </c>
      <c r="AY398" s="195">
        <v>15</v>
      </c>
      <c r="AZ398" s="195">
        <f ca="1">IFERROR(__xludf.DUMMYFUNCTION("IF(IFERROR(SEARCH(""Unclear"", AG398)) = 1, VALUE(REGEXEXTRACT(AG398,""\d+"")), AG398)"),12)</f>
        <v>12</v>
      </c>
      <c r="BA398" s="195">
        <v>16</v>
      </c>
      <c r="BB398" s="195">
        <f ca="1">IFERROR(__xludf.DUMMYFUNCTION("IF(IFERROR(SEARCH(""Unclear"", AJ398)) = 1, VALUE(REGEXEXTRACT(AJ398,""\d+"")), AJ398)"),8)</f>
        <v>8</v>
      </c>
      <c r="BC398" s="195">
        <v>16</v>
      </c>
      <c r="BD398" s="195" t="b">
        <f t="shared" si="2"/>
        <v>1</v>
      </c>
      <c r="BE398" s="195" t="b">
        <f t="shared" ref="BE398:BF398" si="420">IF(IFERROR(FIND("ND",AI398),0),FALSE,TRUE)</f>
        <v>1</v>
      </c>
      <c r="BF398" s="195" t="b">
        <f t="shared" si="420"/>
        <v>1</v>
      </c>
    </row>
    <row r="399" spans="1:58" ht="37.5" customHeight="1">
      <c r="A399" s="212" t="s">
        <v>3257</v>
      </c>
      <c r="B399" s="245">
        <v>2016</v>
      </c>
      <c r="C399" s="195" t="s">
        <v>339</v>
      </c>
      <c r="D399" s="4" t="s">
        <v>1131</v>
      </c>
      <c r="E399" s="245">
        <v>27760143</v>
      </c>
      <c r="F399" s="260" t="s">
        <v>3272</v>
      </c>
      <c r="G399" s="195" t="str">
        <f t="shared" si="419"/>
        <v>Arévalo-Herrera 2016</v>
      </c>
      <c r="H399" s="220">
        <v>2015</v>
      </c>
      <c r="I399" s="195" t="s">
        <v>3273</v>
      </c>
      <c r="J399" s="198" t="s">
        <v>3274</v>
      </c>
      <c r="K399" s="195">
        <v>28</v>
      </c>
      <c r="L399" s="4" t="s">
        <v>3275</v>
      </c>
      <c r="M399" s="195">
        <v>10</v>
      </c>
      <c r="N399" s="195">
        <v>18</v>
      </c>
      <c r="O399" s="195">
        <v>26</v>
      </c>
      <c r="P399" s="195">
        <v>19</v>
      </c>
      <c r="Q399" s="195">
        <v>41</v>
      </c>
      <c r="R399" s="195">
        <v>18</v>
      </c>
      <c r="S399" s="195">
        <v>45</v>
      </c>
      <c r="T399" s="195">
        <v>28.46</v>
      </c>
      <c r="U399" s="195">
        <v>7.02</v>
      </c>
      <c r="V399" s="195" t="s">
        <v>3276</v>
      </c>
      <c r="W399" s="195" t="s">
        <v>3277</v>
      </c>
      <c r="X399" s="195">
        <v>20</v>
      </c>
      <c r="Y399" s="195" t="s">
        <v>3278</v>
      </c>
      <c r="Z399" s="195">
        <v>9</v>
      </c>
      <c r="AA399" s="195" t="s">
        <v>3279</v>
      </c>
      <c r="AB399" s="195">
        <v>0</v>
      </c>
      <c r="AC399" s="199"/>
      <c r="AD399" s="195" t="s">
        <v>322</v>
      </c>
      <c r="AE399" s="195" t="s">
        <v>3280</v>
      </c>
      <c r="AF399" s="195"/>
      <c r="AG399" s="195" t="s">
        <v>1059</v>
      </c>
      <c r="AH399" s="195" t="s">
        <v>308</v>
      </c>
      <c r="AI399" s="195" t="s">
        <v>3281</v>
      </c>
      <c r="AJ399" s="195" t="s">
        <v>2790</v>
      </c>
      <c r="AK399" s="195"/>
      <c r="AL399" s="195" t="s">
        <v>322</v>
      </c>
      <c r="AM399" s="199"/>
      <c r="AN399" s="195" t="s">
        <v>3267</v>
      </c>
      <c r="AO399" s="195" t="s">
        <v>3282</v>
      </c>
      <c r="AP399" s="195" t="s">
        <v>3283</v>
      </c>
      <c r="AQ399" s="195" t="s">
        <v>3284</v>
      </c>
      <c r="AR399" s="220" t="s">
        <v>3270</v>
      </c>
      <c r="AS399" s="195" t="s">
        <v>308</v>
      </c>
      <c r="AT399" s="199"/>
      <c r="AU399" s="195" t="s">
        <v>3285</v>
      </c>
      <c r="AV399" s="195" t="s">
        <v>9</v>
      </c>
      <c r="AW399" s="195" t="str">
        <f ca="1">IFERROR(__xludf.DUMMYFUNCTION("IF(AND(IF(AS399=""Yes"",True,False),NOT(IFERROR(REGEXMATCH(AV399,ExclusionCategories),FALSE))),""Yes"", ""No"")"),"Yes")</f>
        <v>Yes</v>
      </c>
      <c r="AX399" s="195">
        <f ca="1">IFERROR(__xludf.DUMMYFUNCTION("IF(IFERROR(SEARCH(""Unclear"", Z399)) = 1, VALUE(REGEXEXTRACT(Z399,""\d+"")), Z399)"),9)</f>
        <v>9</v>
      </c>
      <c r="AY399" s="195">
        <v>9</v>
      </c>
      <c r="AZ399" s="195">
        <f ca="1">IFERROR(__xludf.DUMMYFUNCTION("IF(IFERROR(SEARCH(""Unclear"", AG399)) = 1, VALUE(REGEXEXTRACT(AG399,""\d+"")), AG399)"),10)</f>
        <v>10</v>
      </c>
      <c r="BA399" s="195">
        <v>20</v>
      </c>
      <c r="BB399" s="195">
        <f ca="1">IFERROR(__xludf.DUMMYFUNCTION("IF(IFERROR(SEARCH(""Unclear"", AJ399)) = 1, VALUE(REGEXEXTRACT(AJ399,""\d+"")), AJ399)"),6)</f>
        <v>6</v>
      </c>
      <c r="BC399" s="195">
        <v>20</v>
      </c>
      <c r="BD399" s="195" t="b">
        <f t="shared" si="2"/>
        <v>1</v>
      </c>
      <c r="BE399" s="195" t="b">
        <f t="shared" ref="BE399:BF399" si="421">IF(IFERROR(FIND("ND",AI399),0),FALSE,TRUE)</f>
        <v>0</v>
      </c>
      <c r="BF399" s="195" t="b">
        <f t="shared" si="421"/>
        <v>1</v>
      </c>
    </row>
    <row r="400" spans="1:58" ht="37.5" customHeight="1">
      <c r="A400" s="225" t="s">
        <v>3286</v>
      </c>
      <c r="B400" s="93">
        <v>1986</v>
      </c>
      <c r="C400" s="195" t="s">
        <v>339</v>
      </c>
      <c r="D400" s="4" t="s">
        <v>3287</v>
      </c>
      <c r="E400" s="93">
        <v>3511753</v>
      </c>
      <c r="F400" s="261" t="s">
        <v>3288</v>
      </c>
      <c r="G400" s="195" t="str">
        <f t="shared" si="419"/>
        <v>Chulay 1986</v>
      </c>
      <c r="H400" s="262">
        <v>1986</v>
      </c>
      <c r="I400" s="195"/>
      <c r="J400" s="197"/>
      <c r="K400" s="195">
        <v>6</v>
      </c>
      <c r="L400" s="4"/>
      <c r="M400" s="195">
        <v>6</v>
      </c>
      <c r="N400" s="195">
        <v>0</v>
      </c>
      <c r="O400" s="195" t="s">
        <v>324</v>
      </c>
      <c r="P400" s="195">
        <v>18</v>
      </c>
      <c r="Q400" s="195">
        <v>31</v>
      </c>
      <c r="R400" s="195" t="s">
        <v>324</v>
      </c>
      <c r="S400" s="195" t="s">
        <v>324</v>
      </c>
      <c r="T400" s="195" t="s">
        <v>324</v>
      </c>
      <c r="U400" s="195" t="s">
        <v>324</v>
      </c>
      <c r="V400" s="195" t="s">
        <v>3289</v>
      </c>
      <c r="W400" s="195"/>
      <c r="X400" s="195">
        <v>6</v>
      </c>
      <c r="Y400" s="195"/>
      <c r="Z400" s="195">
        <v>6</v>
      </c>
      <c r="AA400" s="195"/>
      <c r="AB400" s="195">
        <v>0</v>
      </c>
      <c r="AC400" s="199"/>
      <c r="AD400" s="195" t="s">
        <v>322</v>
      </c>
      <c r="AE400" s="195" t="s">
        <v>3290</v>
      </c>
      <c r="AF400" s="195" t="s">
        <v>3291</v>
      </c>
      <c r="AG400" s="195">
        <v>6</v>
      </c>
      <c r="AH400" s="195" t="s">
        <v>316</v>
      </c>
      <c r="AI400" s="195">
        <v>0</v>
      </c>
      <c r="AJ400" s="195" t="s">
        <v>324</v>
      </c>
      <c r="AK400" s="195" t="s">
        <v>499</v>
      </c>
      <c r="AL400" s="195" t="s">
        <v>322</v>
      </c>
      <c r="AM400" s="199"/>
      <c r="AN400" s="195" t="s">
        <v>1031</v>
      </c>
      <c r="AO400" s="195" t="s">
        <v>3292</v>
      </c>
      <c r="AP400" s="195" t="s">
        <v>324</v>
      </c>
      <c r="AQ400" s="195" t="s">
        <v>324</v>
      </c>
      <c r="AR400" s="220" t="s">
        <v>3270</v>
      </c>
      <c r="AS400" s="195" t="s">
        <v>308</v>
      </c>
      <c r="AT400" s="199"/>
      <c r="AU400" s="195" t="s">
        <v>3293</v>
      </c>
      <c r="AV400" s="195" t="s">
        <v>571</v>
      </c>
      <c r="AW400" s="195" t="str">
        <f ca="1">IFERROR(__xludf.DUMMYFUNCTION("IF(AND(IF(AS400=""Yes"",True,False),NOT(IFERROR(REGEXMATCH(AV400,ExclusionCategories),FALSE))),""Yes"", ""No"")"),"Yes")</f>
        <v>Yes</v>
      </c>
      <c r="AX400" s="195">
        <f ca="1">IFERROR(__xludf.DUMMYFUNCTION("IF(IFERROR(SEARCH(""Unclear"", Z400)) = 1, VALUE(REGEXEXTRACT(Z400,""\d+"")), Z400)"),6)</f>
        <v>6</v>
      </c>
      <c r="AY400" s="195">
        <v>6</v>
      </c>
      <c r="AZ400" s="195">
        <f ca="1">IFERROR(__xludf.DUMMYFUNCTION("IF(IFERROR(SEARCH(""Unclear"", AG400)) = 1, VALUE(REGEXEXTRACT(AG400,""\d+"")), AG400)"),6)</f>
        <v>6</v>
      </c>
      <c r="BA400" s="195">
        <v>6</v>
      </c>
      <c r="BB400" s="195" t="str">
        <f ca="1">IFERROR(__xludf.DUMMYFUNCTION("IF(IFERROR(SEARCH(""Unclear"", AJ400)) = 1, VALUE(REGEXEXTRACT(AJ400,""\d+"")), AJ400)"),"ND")</f>
        <v>ND</v>
      </c>
      <c r="BC400" s="195" t="s">
        <v>324</v>
      </c>
      <c r="BD400" s="195" t="b">
        <f t="shared" si="2"/>
        <v>1</v>
      </c>
      <c r="BE400" s="195" t="b">
        <f t="shared" ref="BE400:BF400" si="422">IF(IFERROR(FIND("ND",AI400),0),FALSE,TRUE)</f>
        <v>1</v>
      </c>
      <c r="BF400" s="195" t="b">
        <f t="shared" si="422"/>
        <v>0</v>
      </c>
    </row>
    <row r="401" spans="1:58" ht="37.5" customHeight="1">
      <c r="A401" s="212" t="s">
        <v>3294</v>
      </c>
      <c r="B401" s="207">
        <v>2019</v>
      </c>
      <c r="C401" s="195" t="s">
        <v>339</v>
      </c>
      <c r="D401" s="4" t="s">
        <v>3295</v>
      </c>
      <c r="E401" s="245">
        <v>30561539</v>
      </c>
      <c r="F401" s="260" t="s">
        <v>3296</v>
      </c>
      <c r="G401" s="195" t="str">
        <f t="shared" si="419"/>
        <v>Dejon-Agobe 2019</v>
      </c>
      <c r="H401" s="220">
        <v>2015</v>
      </c>
      <c r="I401" s="195" t="s">
        <v>3297</v>
      </c>
      <c r="J401" s="199"/>
      <c r="K401" s="195">
        <v>50</v>
      </c>
      <c r="L401" s="4"/>
      <c r="M401" s="195">
        <v>50</v>
      </c>
      <c r="N401" s="195">
        <v>0</v>
      </c>
      <c r="O401" s="195" t="s">
        <v>3298</v>
      </c>
      <c r="P401" s="195">
        <v>18.100000000000001</v>
      </c>
      <c r="Q401" s="195">
        <v>37.4</v>
      </c>
      <c r="R401" s="195">
        <v>18</v>
      </c>
      <c r="S401" s="195">
        <v>40</v>
      </c>
      <c r="T401" s="195" t="s">
        <v>324</v>
      </c>
      <c r="U401" s="195" t="s">
        <v>324</v>
      </c>
      <c r="V401" s="195" t="s">
        <v>3299</v>
      </c>
      <c r="W401" s="199"/>
      <c r="X401" s="195">
        <v>35</v>
      </c>
      <c r="Y401" s="195" t="s">
        <v>3300</v>
      </c>
      <c r="Z401" s="195">
        <v>29</v>
      </c>
      <c r="AA401" s="195"/>
      <c r="AB401" s="195">
        <v>10</v>
      </c>
      <c r="AC401" s="195" t="s">
        <v>3301</v>
      </c>
      <c r="AD401" s="195">
        <v>0</v>
      </c>
      <c r="AE401" s="195" t="s">
        <v>3302</v>
      </c>
      <c r="AF401" s="195"/>
      <c r="AG401" s="195">
        <v>32</v>
      </c>
      <c r="AH401" s="195" t="s">
        <v>308</v>
      </c>
      <c r="AI401" s="195">
        <v>0</v>
      </c>
      <c r="AJ401" s="195">
        <v>0</v>
      </c>
      <c r="AK401" s="195" t="s">
        <v>3303</v>
      </c>
      <c r="AL401" s="195">
        <v>0</v>
      </c>
      <c r="AM401" s="195" t="s">
        <v>3304</v>
      </c>
      <c r="AN401" s="195" t="s">
        <v>3305</v>
      </c>
      <c r="AO401" s="195" t="s">
        <v>3306</v>
      </c>
      <c r="AP401" s="195" t="s">
        <v>3307</v>
      </c>
      <c r="AQ401" s="195" t="s">
        <v>3308</v>
      </c>
      <c r="AR401" s="220" t="s">
        <v>3270</v>
      </c>
      <c r="AS401" s="195" t="s">
        <v>308</v>
      </c>
      <c r="AT401" s="199"/>
      <c r="AU401" s="195" t="s">
        <v>3309</v>
      </c>
      <c r="AV401" s="195" t="s">
        <v>9</v>
      </c>
      <c r="AW401" s="195" t="str">
        <f ca="1">IFERROR(__xludf.DUMMYFUNCTION("IF(AND(IF(AS401=""Yes"",True,False),NOT(IFERROR(REGEXMATCH(AV401,ExclusionCategories),FALSE))),""Yes"", ""No"")"),"Yes")</f>
        <v>Yes</v>
      </c>
      <c r="AX401" s="195">
        <f ca="1">IFERROR(__xludf.DUMMYFUNCTION("IF(IFERROR(SEARCH(""Unclear"", Z401)) = 1, VALUE(REGEXEXTRACT(Z401,""\d+"")), Z401)"),29)</f>
        <v>29</v>
      </c>
      <c r="AY401" s="195">
        <v>29</v>
      </c>
      <c r="AZ401" s="195">
        <f ca="1">IFERROR(__xludf.DUMMYFUNCTION("IF(IFERROR(SEARCH(""Unclear"", AG401)) = 1, VALUE(REGEXEXTRACT(AG401,""\d+"")), AG401)"),32)</f>
        <v>32</v>
      </c>
      <c r="BA401" s="195">
        <v>32</v>
      </c>
      <c r="BB401" s="195">
        <f ca="1">IFERROR(__xludf.DUMMYFUNCTION("IF(IFERROR(SEARCH(""Unclear"", AJ401)) = 1, VALUE(REGEXEXTRACT(AJ401,""\d+"")), AJ401)"),0)</f>
        <v>0</v>
      </c>
      <c r="BC401" s="195">
        <v>0</v>
      </c>
      <c r="BD401" s="195" t="b">
        <f t="shared" si="2"/>
        <v>1</v>
      </c>
      <c r="BE401" s="195" t="b">
        <f t="shared" ref="BE401:BF401" si="423">IF(IFERROR(FIND("ND",AI401),0),FALSE,TRUE)</f>
        <v>1</v>
      </c>
      <c r="BF401" s="195" t="b">
        <f t="shared" si="423"/>
        <v>1</v>
      </c>
    </row>
    <row r="402" spans="1:58" ht="37.5" customHeight="1">
      <c r="A402" s="212" t="s">
        <v>919</v>
      </c>
      <c r="B402" s="245">
        <v>2009</v>
      </c>
      <c r="C402" s="195" t="s">
        <v>339</v>
      </c>
      <c r="D402" s="4" t="s">
        <v>1131</v>
      </c>
      <c r="E402" s="245">
        <v>19861603</v>
      </c>
      <c r="F402" s="260" t="s">
        <v>3310</v>
      </c>
      <c r="G402" s="195" t="str">
        <f t="shared" si="419"/>
        <v>Herrera 2009</v>
      </c>
      <c r="H402" s="262">
        <v>2009</v>
      </c>
      <c r="I402" s="195"/>
      <c r="J402" s="199"/>
      <c r="K402" s="195">
        <v>18</v>
      </c>
      <c r="L402" s="4"/>
      <c r="M402" s="195">
        <v>9</v>
      </c>
      <c r="N402" s="195">
        <v>9</v>
      </c>
      <c r="O402" s="195">
        <v>24.5</v>
      </c>
      <c r="P402" s="195">
        <v>20</v>
      </c>
      <c r="Q402" s="195">
        <v>46</v>
      </c>
      <c r="R402" s="195">
        <v>19</v>
      </c>
      <c r="S402" s="195">
        <v>45</v>
      </c>
      <c r="T402" s="195">
        <v>27</v>
      </c>
      <c r="U402" s="195">
        <v>7.04</v>
      </c>
      <c r="V402" s="195" t="s">
        <v>3311</v>
      </c>
      <c r="W402" s="199"/>
      <c r="X402" s="195">
        <v>18</v>
      </c>
      <c r="Y402" s="195"/>
      <c r="Z402" s="195">
        <v>17</v>
      </c>
      <c r="AA402" s="195"/>
      <c r="AB402" s="195">
        <v>0</v>
      </c>
      <c r="AC402" s="195"/>
      <c r="AD402" s="195" t="s">
        <v>322</v>
      </c>
      <c r="AE402" s="195" t="s">
        <v>3312</v>
      </c>
      <c r="AF402" s="195"/>
      <c r="AG402" s="195">
        <v>17</v>
      </c>
      <c r="AH402" s="195" t="s">
        <v>308</v>
      </c>
      <c r="AI402" s="195">
        <v>0</v>
      </c>
      <c r="AJ402" s="195">
        <v>0</v>
      </c>
      <c r="AK402" s="195" t="s">
        <v>3313</v>
      </c>
      <c r="AL402" s="195" t="s">
        <v>322</v>
      </c>
      <c r="AM402" s="199"/>
      <c r="AN402" s="195" t="s">
        <v>3314</v>
      </c>
      <c r="AO402" s="195" t="s">
        <v>3315</v>
      </c>
      <c r="AP402" s="195" t="s">
        <v>3316</v>
      </c>
      <c r="AQ402" s="195" t="s">
        <v>927</v>
      </c>
      <c r="AR402" s="220" t="s">
        <v>3270</v>
      </c>
      <c r="AS402" s="195" t="s">
        <v>308</v>
      </c>
      <c r="AT402" s="199"/>
      <c r="AU402" s="195" t="s">
        <v>3317</v>
      </c>
      <c r="AV402" s="195" t="s">
        <v>9</v>
      </c>
      <c r="AW402" s="195" t="str">
        <f ca="1">IFERROR(__xludf.DUMMYFUNCTION("IF(AND(IF(AS402=""Yes"",True,False),NOT(IFERROR(REGEXMATCH(AV402,ExclusionCategories),FALSE))),""Yes"", ""No"")"),"Yes")</f>
        <v>Yes</v>
      </c>
      <c r="AX402" s="195">
        <f ca="1">IFERROR(__xludf.DUMMYFUNCTION("IF(IFERROR(SEARCH(""Unclear"", Z402)) = 1, VALUE(REGEXEXTRACT(Z402,""\d+"")), Z402)"),17)</f>
        <v>17</v>
      </c>
      <c r="AY402" s="195">
        <v>17</v>
      </c>
      <c r="AZ402" s="195">
        <f ca="1">IFERROR(__xludf.DUMMYFUNCTION("IF(IFERROR(SEARCH(""Unclear"", AG402)) = 1, VALUE(REGEXEXTRACT(AG402,""\d+"")), AG402)"),17)</f>
        <v>17</v>
      </c>
      <c r="BA402" s="195">
        <v>17</v>
      </c>
      <c r="BB402" s="195">
        <f ca="1">IFERROR(__xludf.DUMMYFUNCTION("IF(IFERROR(SEARCH(""Unclear"", AJ402)) = 1, VALUE(REGEXEXTRACT(AJ402,""\d+"")), AJ402)"),0)</f>
        <v>0</v>
      </c>
      <c r="BC402" s="195">
        <v>0</v>
      </c>
      <c r="BD402" s="195" t="b">
        <f t="shared" si="2"/>
        <v>1</v>
      </c>
      <c r="BE402" s="195" t="b">
        <f t="shared" ref="BE402:BF402" si="424">IF(IFERROR(FIND("ND",AI402),0),FALSE,TRUE)</f>
        <v>1</v>
      </c>
      <c r="BF402" s="195" t="b">
        <f t="shared" si="424"/>
        <v>1</v>
      </c>
    </row>
    <row r="403" spans="1:58" ht="37.5" customHeight="1">
      <c r="A403" s="212" t="s">
        <v>3318</v>
      </c>
      <c r="B403" s="245">
        <v>2018</v>
      </c>
      <c r="C403" s="195" t="s">
        <v>339</v>
      </c>
      <c r="D403" s="4" t="s">
        <v>3319</v>
      </c>
      <c r="E403" s="245">
        <v>29943719</v>
      </c>
      <c r="F403" s="260" t="s">
        <v>3320</v>
      </c>
      <c r="G403" s="195" t="str">
        <f t="shared" si="419"/>
        <v>Jongo 2018</v>
      </c>
      <c r="H403" s="220">
        <v>2015</v>
      </c>
      <c r="I403" s="195" t="s">
        <v>3321</v>
      </c>
      <c r="J403" s="229" t="s">
        <v>3322</v>
      </c>
      <c r="K403" s="195">
        <v>67</v>
      </c>
      <c r="L403" s="4" t="s">
        <v>3323</v>
      </c>
      <c r="M403" s="195">
        <v>67</v>
      </c>
      <c r="N403" s="195">
        <v>0</v>
      </c>
      <c r="O403" s="195" t="s">
        <v>324</v>
      </c>
      <c r="P403" s="195">
        <v>20</v>
      </c>
      <c r="Q403" s="195">
        <v>30</v>
      </c>
      <c r="R403" s="195">
        <v>18</v>
      </c>
      <c r="S403" s="195">
        <v>35</v>
      </c>
      <c r="T403" s="195" t="s">
        <v>3324</v>
      </c>
      <c r="U403" s="195" t="s">
        <v>324</v>
      </c>
      <c r="V403" s="195" t="s">
        <v>3325</v>
      </c>
      <c r="W403" s="199"/>
      <c r="X403" s="195">
        <v>64</v>
      </c>
      <c r="Y403" s="195" t="s">
        <v>3326</v>
      </c>
      <c r="Z403" s="195">
        <v>57</v>
      </c>
      <c r="AA403" s="195" t="s">
        <v>3327</v>
      </c>
      <c r="AB403" s="195">
        <v>3</v>
      </c>
      <c r="AC403" s="195" t="s">
        <v>3301</v>
      </c>
      <c r="AD403" s="195">
        <v>0</v>
      </c>
      <c r="AE403" s="195" t="s">
        <v>3328</v>
      </c>
      <c r="AF403" s="195"/>
      <c r="AG403" s="195">
        <v>24</v>
      </c>
      <c r="AH403" s="195" t="s">
        <v>308</v>
      </c>
      <c r="AI403" s="195" t="s">
        <v>324</v>
      </c>
      <c r="AJ403" s="195" t="s">
        <v>324</v>
      </c>
      <c r="AK403" s="195" t="s">
        <v>3329</v>
      </c>
      <c r="AL403" s="195" t="s">
        <v>324</v>
      </c>
      <c r="AM403" s="199"/>
      <c r="AN403" s="195" t="s">
        <v>3330</v>
      </c>
      <c r="AO403" s="195" t="s">
        <v>3331</v>
      </c>
      <c r="AP403" s="195" t="s">
        <v>3332</v>
      </c>
      <c r="AQ403" s="195" t="s">
        <v>3226</v>
      </c>
      <c r="AR403" s="220" t="s">
        <v>3270</v>
      </c>
      <c r="AS403" s="195" t="s">
        <v>308</v>
      </c>
      <c r="AT403" s="199"/>
      <c r="AU403" s="195" t="s">
        <v>3333</v>
      </c>
      <c r="AV403" s="195" t="s">
        <v>9</v>
      </c>
      <c r="AW403" s="195" t="str">
        <f ca="1">IFERROR(__xludf.DUMMYFUNCTION("IF(AND(IF(AS403=""Yes"",True,False),NOT(IFERROR(REGEXMATCH(AV403,ExclusionCategories),FALSE))),""Yes"", ""No"")"),"Yes")</f>
        <v>Yes</v>
      </c>
      <c r="AX403" s="195">
        <f ca="1">IFERROR(__xludf.DUMMYFUNCTION("IF(IFERROR(SEARCH(""Unclear"", Z403)) = 1, VALUE(REGEXEXTRACT(Z403,""\d+"")), Z403)"),57)</f>
        <v>57</v>
      </c>
      <c r="AY403" s="195">
        <v>57</v>
      </c>
      <c r="AZ403" s="195">
        <f ca="1">IFERROR(__xludf.DUMMYFUNCTION("IF(IFERROR(SEARCH(""Unclear"", AG403)) = 1, VALUE(REGEXEXTRACT(AG403,""\d+"")), AG403)"),24)</f>
        <v>24</v>
      </c>
      <c r="BA403" s="195">
        <v>24</v>
      </c>
      <c r="BB403" s="195" t="str">
        <f ca="1">IFERROR(__xludf.DUMMYFUNCTION("IF(IFERROR(SEARCH(""Unclear"", AJ403)) = 1, VALUE(REGEXEXTRACT(AJ403,""\d+"")), AJ403)"),"ND")</f>
        <v>ND</v>
      </c>
      <c r="BC403" s="195" t="s">
        <v>324</v>
      </c>
      <c r="BD403" s="195" t="b">
        <f t="shared" si="2"/>
        <v>1</v>
      </c>
      <c r="BE403" s="195" t="b">
        <f t="shared" ref="BE403:BF403" si="425">IF(IFERROR(FIND("ND",AI403),0),FALSE,TRUE)</f>
        <v>0</v>
      </c>
      <c r="BF403" s="195" t="b">
        <f t="shared" si="425"/>
        <v>0</v>
      </c>
    </row>
    <row r="404" spans="1:58" ht="37.5" customHeight="1">
      <c r="A404" s="212" t="s">
        <v>3318</v>
      </c>
      <c r="B404" s="245">
        <v>2018</v>
      </c>
      <c r="C404" s="195" t="s">
        <v>339</v>
      </c>
      <c r="D404" s="4" t="s">
        <v>3319</v>
      </c>
      <c r="E404" s="245">
        <v>29943719</v>
      </c>
      <c r="F404" s="260" t="s">
        <v>3320</v>
      </c>
      <c r="G404" s="195" t="str">
        <f t="shared" si="419"/>
        <v>Jongo 2018</v>
      </c>
      <c r="H404" s="220">
        <v>2015</v>
      </c>
      <c r="I404" s="195" t="s">
        <v>3321</v>
      </c>
      <c r="J404" s="229" t="s">
        <v>3322</v>
      </c>
      <c r="K404" s="195">
        <v>4</v>
      </c>
      <c r="L404" s="4" t="s">
        <v>15</v>
      </c>
      <c r="M404" s="195">
        <v>4</v>
      </c>
      <c r="N404" s="195">
        <v>0</v>
      </c>
      <c r="O404" s="195" t="s">
        <v>324</v>
      </c>
      <c r="P404" s="195" t="s">
        <v>324</v>
      </c>
      <c r="Q404" s="195" t="s">
        <v>324</v>
      </c>
      <c r="R404" s="195">
        <v>18</v>
      </c>
      <c r="S404" s="195">
        <v>35</v>
      </c>
      <c r="T404" s="195" t="s">
        <v>324</v>
      </c>
      <c r="U404" s="195" t="s">
        <v>324</v>
      </c>
      <c r="V404" s="195" t="s">
        <v>3325</v>
      </c>
      <c r="W404" s="199"/>
      <c r="X404" s="195">
        <v>4</v>
      </c>
      <c r="Y404" s="195" t="s">
        <v>3334</v>
      </c>
      <c r="Z404" s="195">
        <v>0</v>
      </c>
      <c r="AA404" s="195"/>
      <c r="AB404" s="195">
        <v>0</v>
      </c>
      <c r="AC404" s="195"/>
      <c r="AD404" s="195" t="s">
        <v>322</v>
      </c>
      <c r="AE404" s="195" t="s">
        <v>3328</v>
      </c>
      <c r="AF404" s="195"/>
      <c r="AG404" s="195">
        <v>0</v>
      </c>
      <c r="AH404" s="195" t="s">
        <v>308</v>
      </c>
      <c r="AI404" s="195">
        <v>0</v>
      </c>
      <c r="AJ404" s="195" t="s">
        <v>324</v>
      </c>
      <c r="AK404" s="195" t="s">
        <v>3335</v>
      </c>
      <c r="AL404" s="195" t="s">
        <v>322</v>
      </c>
      <c r="AM404" s="199"/>
      <c r="AN404" s="195" t="s">
        <v>3330</v>
      </c>
      <c r="AO404" s="195" t="s">
        <v>3331</v>
      </c>
      <c r="AP404" s="195" t="s">
        <v>3332</v>
      </c>
      <c r="AQ404" s="195" t="s">
        <v>3226</v>
      </c>
      <c r="AR404" s="220" t="s">
        <v>3270</v>
      </c>
      <c r="AS404" s="195" t="s">
        <v>308</v>
      </c>
      <c r="AT404" s="199"/>
      <c r="AU404" s="195" t="s">
        <v>3333</v>
      </c>
      <c r="AV404" s="195" t="s">
        <v>15</v>
      </c>
      <c r="AW404" s="195" t="str">
        <f ca="1">IFERROR(__xludf.DUMMYFUNCTION("IF(AND(IF(AS404=""Yes"",True,False),NOT(IFERROR(REGEXMATCH(AV404,ExclusionCategories),FALSE))),""Yes"", ""No"")"),"No")</f>
        <v>No</v>
      </c>
      <c r="AX404" s="195">
        <f ca="1">IFERROR(__xludf.DUMMYFUNCTION("IF(IFERROR(SEARCH(""Unclear"", Z404)) = 1, VALUE(REGEXEXTRACT(Z404,""\d+"")), Z404)"),0)</f>
        <v>0</v>
      </c>
      <c r="AY404" s="195">
        <v>0</v>
      </c>
      <c r="AZ404" s="195">
        <f ca="1">IFERROR(__xludf.DUMMYFUNCTION("IF(IFERROR(SEARCH(""Unclear"", AG404)) = 1, VALUE(REGEXEXTRACT(AG404,""\d+"")), AG404)"),0)</f>
        <v>0</v>
      </c>
      <c r="BA404" s="195">
        <v>0</v>
      </c>
      <c r="BB404" s="195" t="str">
        <f ca="1">IFERROR(__xludf.DUMMYFUNCTION("IF(IFERROR(SEARCH(""Unclear"", AJ404)) = 1, VALUE(REGEXEXTRACT(AJ404,""\d+"")), AJ404)"),"ND")</f>
        <v>ND</v>
      </c>
      <c r="BC404" s="195" t="s">
        <v>324</v>
      </c>
      <c r="BD404" s="195" t="b">
        <f t="shared" si="2"/>
        <v>1</v>
      </c>
      <c r="BE404" s="195" t="b">
        <f t="shared" ref="BE404:BF404" si="426">IF(IFERROR(FIND("ND",AI404),0),FALSE,TRUE)</f>
        <v>1</v>
      </c>
      <c r="BF404" s="195" t="b">
        <f t="shared" si="426"/>
        <v>0</v>
      </c>
    </row>
    <row r="405" spans="1:58" ht="37.5" customHeight="1">
      <c r="A405" s="212" t="s">
        <v>1221</v>
      </c>
      <c r="B405" s="207">
        <v>2001</v>
      </c>
      <c r="C405" s="195" t="s">
        <v>297</v>
      </c>
      <c r="D405" s="4" t="s">
        <v>3336</v>
      </c>
      <c r="E405" s="245">
        <v>11738758</v>
      </c>
      <c r="F405" s="260" t="s">
        <v>3337</v>
      </c>
      <c r="G405" s="195" t="str">
        <f t="shared" si="419"/>
        <v>Pitisuttithum 2001</v>
      </c>
      <c r="H405" s="217">
        <v>2001</v>
      </c>
      <c r="I405" s="195"/>
      <c r="J405" s="195"/>
      <c r="K405" s="195">
        <v>35</v>
      </c>
      <c r="L405" s="4"/>
      <c r="M405" s="195">
        <v>24</v>
      </c>
      <c r="N405" s="195">
        <v>11</v>
      </c>
      <c r="O405" s="195" t="s">
        <v>324</v>
      </c>
      <c r="P405" s="195" t="s">
        <v>324</v>
      </c>
      <c r="Q405" s="195" t="s">
        <v>324</v>
      </c>
      <c r="R405" s="195">
        <v>20</v>
      </c>
      <c r="S405" s="195">
        <v>40</v>
      </c>
      <c r="T405" s="195">
        <v>27</v>
      </c>
      <c r="U405" s="195">
        <v>1</v>
      </c>
      <c r="V405" s="195" t="s">
        <v>3338</v>
      </c>
      <c r="W405" s="199"/>
      <c r="X405" s="195">
        <v>35</v>
      </c>
      <c r="Y405" s="195" t="s">
        <v>1561</v>
      </c>
      <c r="Z405" s="195">
        <v>34</v>
      </c>
      <c r="AA405" s="195"/>
      <c r="AB405" s="195">
        <v>0</v>
      </c>
      <c r="AC405" s="195"/>
      <c r="AD405" s="195" t="s">
        <v>322</v>
      </c>
      <c r="AE405" s="195" t="s">
        <v>3339</v>
      </c>
      <c r="AF405" s="195" t="s">
        <v>3340</v>
      </c>
      <c r="AG405" s="195">
        <v>23</v>
      </c>
      <c r="AH405" s="195" t="s">
        <v>316</v>
      </c>
      <c r="AI405" s="195">
        <v>0</v>
      </c>
      <c r="AJ405" s="195" t="s">
        <v>324</v>
      </c>
      <c r="AK405" s="195" t="s">
        <v>499</v>
      </c>
      <c r="AL405" s="195" t="s">
        <v>322</v>
      </c>
      <c r="AM405" s="199"/>
      <c r="AN405" s="195" t="s">
        <v>3341</v>
      </c>
      <c r="AO405" s="195" t="s">
        <v>3342</v>
      </c>
      <c r="AP405" s="195" t="s">
        <v>3343</v>
      </c>
      <c r="AQ405" s="195" t="s">
        <v>3344</v>
      </c>
      <c r="AR405" s="220" t="s">
        <v>3270</v>
      </c>
      <c r="AS405" s="195" t="s">
        <v>308</v>
      </c>
      <c r="AT405" s="199"/>
      <c r="AU405" s="195" t="s">
        <v>3345</v>
      </c>
      <c r="AV405" s="195" t="s">
        <v>571</v>
      </c>
      <c r="AW405" s="195" t="str">
        <f ca="1">IFERROR(__xludf.DUMMYFUNCTION("IF(AND(IF(AS405=""Yes"",True,False),NOT(IFERROR(REGEXMATCH(AV405,ExclusionCategories),FALSE))),""Yes"", ""No"")"),"Yes")</f>
        <v>Yes</v>
      </c>
      <c r="AX405" s="195">
        <f ca="1">IFERROR(__xludf.DUMMYFUNCTION("IF(IFERROR(SEARCH(""Unclear"", Z405)) = 1, VALUE(REGEXEXTRACT(Z405,""\d+"")), Z405)"),34)</f>
        <v>34</v>
      </c>
      <c r="AY405" s="195">
        <v>34</v>
      </c>
      <c r="AZ405" s="195">
        <f ca="1">IFERROR(__xludf.DUMMYFUNCTION("IF(IFERROR(SEARCH(""Unclear"", AG405)) = 1, VALUE(REGEXEXTRACT(AG405,""\d+"")), AG405)"),23)</f>
        <v>23</v>
      </c>
      <c r="BA405" s="195">
        <v>23</v>
      </c>
      <c r="BB405" s="195" t="str">
        <f ca="1">IFERROR(__xludf.DUMMYFUNCTION("IF(IFERROR(SEARCH(""Unclear"", AJ405)) = 1, VALUE(REGEXEXTRACT(AJ405,""\d+"")), AJ405)"),"ND")</f>
        <v>ND</v>
      </c>
      <c r="BC405" s="195" t="s">
        <v>324</v>
      </c>
      <c r="BD405" s="195" t="b">
        <f t="shared" si="2"/>
        <v>1</v>
      </c>
      <c r="BE405" s="195" t="b">
        <f t="shared" ref="BE405:BF405" si="427">IF(IFERROR(FIND("ND",AI405),0),FALSE,TRUE)</f>
        <v>1</v>
      </c>
      <c r="BF405" s="195" t="b">
        <f t="shared" si="427"/>
        <v>0</v>
      </c>
    </row>
    <row r="406" spans="1:58" ht="37.5" customHeight="1">
      <c r="A406" s="212" t="s">
        <v>3346</v>
      </c>
      <c r="B406" s="245">
        <v>2005</v>
      </c>
      <c r="C406" s="195" t="s">
        <v>457</v>
      </c>
      <c r="D406" s="4" t="s">
        <v>3347</v>
      </c>
      <c r="E406" s="245">
        <v>16430195</v>
      </c>
      <c r="F406" s="260" t="s">
        <v>3348</v>
      </c>
      <c r="G406" s="213" t="str">
        <f t="shared" si="419"/>
        <v>Barroso 2005</v>
      </c>
      <c r="H406" s="220">
        <v>1999</v>
      </c>
      <c r="I406" s="199"/>
      <c r="J406" s="199"/>
      <c r="K406" s="195">
        <v>90</v>
      </c>
      <c r="L406" s="4" t="s">
        <v>3349</v>
      </c>
      <c r="M406" s="195">
        <v>47</v>
      </c>
      <c r="N406" s="195">
        <v>43</v>
      </c>
      <c r="O406" s="195">
        <v>22</v>
      </c>
      <c r="P406" s="195">
        <v>18</v>
      </c>
      <c r="Q406" s="195">
        <v>45</v>
      </c>
      <c r="R406" s="195">
        <v>18</v>
      </c>
      <c r="S406" s="195">
        <v>45</v>
      </c>
      <c r="T406" s="195" t="s">
        <v>324</v>
      </c>
      <c r="U406" s="195" t="s">
        <v>324</v>
      </c>
      <c r="V406" s="195" t="s">
        <v>3350</v>
      </c>
      <c r="W406" s="199"/>
      <c r="X406" s="195">
        <v>90</v>
      </c>
      <c r="Y406" s="195" t="s">
        <v>3351</v>
      </c>
      <c r="Z406" s="195">
        <v>79</v>
      </c>
      <c r="AA406" s="195" t="s">
        <v>3352</v>
      </c>
      <c r="AB406" s="195">
        <v>0</v>
      </c>
      <c r="AC406" s="199"/>
      <c r="AD406" s="195" t="s">
        <v>322</v>
      </c>
      <c r="AE406" s="195" t="s">
        <v>3353</v>
      </c>
      <c r="AF406" s="195" t="s">
        <v>3354</v>
      </c>
      <c r="AG406" s="195"/>
      <c r="AH406" s="195"/>
      <c r="AI406" s="195"/>
      <c r="AJ406" s="195"/>
      <c r="AK406" s="195"/>
      <c r="AL406" s="195" t="s">
        <v>322</v>
      </c>
      <c r="AM406" s="199"/>
      <c r="AN406" s="195" t="s">
        <v>3355</v>
      </c>
      <c r="AO406" s="195" t="s">
        <v>3356</v>
      </c>
      <c r="AP406" s="195" t="s">
        <v>3357</v>
      </c>
      <c r="AQ406" s="195" t="s">
        <v>3358</v>
      </c>
      <c r="AR406" s="220" t="s">
        <v>3359</v>
      </c>
      <c r="AS406" s="195" t="s">
        <v>316</v>
      </c>
      <c r="AT406" s="199"/>
      <c r="AU406" s="195" t="s">
        <v>3360</v>
      </c>
      <c r="AV406" s="195" t="s">
        <v>326</v>
      </c>
      <c r="AW406" s="195" t="str">
        <f ca="1">IFERROR(__xludf.DUMMYFUNCTION("IF(AND(IF(AS406=""Yes"",True,False),NOT(IFERROR(REGEXMATCH(AV406,ExclusionCategories),FALSE))),""Yes"", ""No"")"),"No")</f>
        <v>No</v>
      </c>
      <c r="AX406" s="195">
        <f ca="1">IFERROR(__xludf.DUMMYFUNCTION("IF(IFERROR(SEARCH(""Unclear"", Z406)) = 1, VALUE(REGEXEXTRACT(Z406,""\d+"")), Z406)"),79)</f>
        <v>79</v>
      </c>
      <c r="AY406" s="195">
        <v>79</v>
      </c>
      <c r="AZ406" s="195" t="str">
        <f ca="1">IFERROR(__xludf.DUMMYFUNCTION("IF(IFERROR(SEARCH(""Unclear"", AG406)) = 1, VALUE(REGEXEXTRACT(AG406,""\d+"")), AG406)"),"")</f>
        <v/>
      </c>
      <c r="BA406" s="195" t="s">
        <v>19503</v>
      </c>
      <c r="BB406" s="195" t="str">
        <f ca="1">IFERROR(__xludf.DUMMYFUNCTION("IF(IFERROR(SEARCH(""Unclear"", AJ406)) = 1, VALUE(REGEXEXTRACT(AJ406,""\d+"")), AJ406)"),"")</f>
        <v/>
      </c>
      <c r="BC406" s="195" t="s">
        <v>19503</v>
      </c>
      <c r="BD406" s="195" t="b">
        <f t="shared" si="2"/>
        <v>1</v>
      </c>
      <c r="BE406" s="195" t="b">
        <f t="shared" ref="BE406:BF406" si="428">IF(IFERROR(FIND("ND",AI406),0),FALSE,TRUE)</f>
        <v>1</v>
      </c>
      <c r="BF406" s="195" t="b">
        <f t="shared" si="428"/>
        <v>1</v>
      </c>
    </row>
    <row r="407" spans="1:58" ht="37.5" customHeight="1">
      <c r="A407" s="212" t="s">
        <v>3346</v>
      </c>
      <c r="B407" s="245">
        <v>2005</v>
      </c>
      <c r="C407" s="195" t="s">
        <v>457</v>
      </c>
      <c r="D407" s="4" t="s">
        <v>3361</v>
      </c>
      <c r="E407" s="245">
        <v>16430195</v>
      </c>
      <c r="F407" s="260" t="s">
        <v>3348</v>
      </c>
      <c r="G407" s="213" t="str">
        <f t="shared" si="419"/>
        <v>Barroso 2005</v>
      </c>
      <c r="H407" s="220">
        <v>1999</v>
      </c>
      <c r="I407" s="199"/>
      <c r="J407" s="199"/>
      <c r="K407" s="195">
        <v>56</v>
      </c>
      <c r="L407" s="4" t="s">
        <v>3362</v>
      </c>
      <c r="M407" s="195">
        <v>35</v>
      </c>
      <c r="N407" s="195">
        <v>21</v>
      </c>
      <c r="O407" s="195">
        <v>25</v>
      </c>
      <c r="P407" s="195">
        <v>18</v>
      </c>
      <c r="Q407" s="195">
        <v>45</v>
      </c>
      <c r="R407" s="195">
        <v>18</v>
      </c>
      <c r="S407" s="195">
        <v>45</v>
      </c>
      <c r="T407" s="195" t="s">
        <v>324</v>
      </c>
      <c r="U407" s="195" t="s">
        <v>324</v>
      </c>
      <c r="V407" s="195" t="s">
        <v>3350</v>
      </c>
      <c r="W407" s="195" t="s">
        <v>3363</v>
      </c>
      <c r="X407" s="195">
        <v>55</v>
      </c>
      <c r="Y407" s="195" t="s">
        <v>3364</v>
      </c>
      <c r="Z407" s="195">
        <v>46</v>
      </c>
      <c r="AA407" s="195" t="s">
        <v>3365</v>
      </c>
      <c r="AB407" s="195">
        <v>0</v>
      </c>
      <c r="AC407" s="199"/>
      <c r="AD407" s="195" t="s">
        <v>322</v>
      </c>
      <c r="AE407" s="195" t="s">
        <v>3353</v>
      </c>
      <c r="AF407" s="195" t="s">
        <v>3354</v>
      </c>
      <c r="AG407" s="195"/>
      <c r="AH407" s="195"/>
      <c r="AI407" s="195"/>
      <c r="AJ407" s="195"/>
      <c r="AK407" s="195"/>
      <c r="AL407" s="195" t="s">
        <v>322</v>
      </c>
      <c r="AM407" s="199"/>
      <c r="AN407" s="195" t="s">
        <v>3355</v>
      </c>
      <c r="AO407" s="195" t="s">
        <v>3356</v>
      </c>
      <c r="AP407" s="195" t="s">
        <v>3357</v>
      </c>
      <c r="AQ407" s="195" t="s">
        <v>3358</v>
      </c>
      <c r="AR407" s="220" t="s">
        <v>3359</v>
      </c>
      <c r="AS407" s="195" t="s">
        <v>316</v>
      </c>
      <c r="AT407" s="199"/>
      <c r="AU407" s="195" t="s">
        <v>3360</v>
      </c>
      <c r="AV407" s="195" t="s">
        <v>326</v>
      </c>
      <c r="AW407" s="195" t="str">
        <f ca="1">IFERROR(__xludf.DUMMYFUNCTION("IF(AND(IF(AS407=""Yes"",True,False),NOT(IFERROR(REGEXMATCH(AV407,ExclusionCategories),FALSE))),""Yes"", ""No"")"),"No")</f>
        <v>No</v>
      </c>
      <c r="AX407" s="195">
        <f ca="1">IFERROR(__xludf.DUMMYFUNCTION("IF(IFERROR(SEARCH(""Unclear"", Z407)) = 1, VALUE(REGEXEXTRACT(Z407,""\d+"")), Z407)"),46)</f>
        <v>46</v>
      </c>
      <c r="AY407" s="195">
        <v>46</v>
      </c>
      <c r="AZ407" s="195" t="str">
        <f ca="1">IFERROR(__xludf.DUMMYFUNCTION("IF(IFERROR(SEARCH(""Unclear"", AG407)) = 1, VALUE(REGEXEXTRACT(AG407,""\d+"")), AG407)"),"")</f>
        <v/>
      </c>
      <c r="BA407" s="195" t="s">
        <v>19503</v>
      </c>
      <c r="BB407" s="195" t="str">
        <f ca="1">IFERROR(__xludf.DUMMYFUNCTION("IF(IFERROR(SEARCH(""Unclear"", AJ407)) = 1, VALUE(REGEXEXTRACT(AJ407,""\d+"")), AJ407)"),"")</f>
        <v/>
      </c>
      <c r="BC407" s="195" t="s">
        <v>19503</v>
      </c>
      <c r="BD407" s="195" t="b">
        <f t="shared" si="2"/>
        <v>1</v>
      </c>
      <c r="BE407" s="195" t="b">
        <f t="shared" ref="BE407:BF407" si="429">IF(IFERROR(FIND("ND",AI407),0),FALSE,TRUE)</f>
        <v>1</v>
      </c>
      <c r="BF407" s="195" t="b">
        <f t="shared" si="429"/>
        <v>1</v>
      </c>
    </row>
    <row r="408" spans="1:58" ht="37.5" customHeight="1">
      <c r="A408" s="212" t="s">
        <v>3346</v>
      </c>
      <c r="B408" s="245">
        <v>2005</v>
      </c>
      <c r="C408" s="195" t="s">
        <v>457</v>
      </c>
      <c r="D408" s="4" t="s">
        <v>3347</v>
      </c>
      <c r="E408" s="245">
        <v>16430195</v>
      </c>
      <c r="F408" s="260" t="s">
        <v>3348</v>
      </c>
      <c r="G408" s="213" t="str">
        <f t="shared" si="419"/>
        <v>Barroso 2005</v>
      </c>
      <c r="H408" s="220">
        <v>1999</v>
      </c>
      <c r="I408" s="199"/>
      <c r="J408" s="199"/>
      <c r="K408" s="195">
        <v>75</v>
      </c>
      <c r="L408" s="4" t="s">
        <v>3366</v>
      </c>
      <c r="M408" s="195">
        <v>44</v>
      </c>
      <c r="N408" s="195">
        <v>31</v>
      </c>
      <c r="O408" s="195">
        <v>21</v>
      </c>
      <c r="P408" s="195">
        <v>18</v>
      </c>
      <c r="Q408" s="195">
        <v>43</v>
      </c>
      <c r="R408" s="195">
        <v>18</v>
      </c>
      <c r="S408" s="195">
        <v>45</v>
      </c>
      <c r="T408" s="195" t="s">
        <v>324</v>
      </c>
      <c r="U408" s="195" t="s">
        <v>324</v>
      </c>
      <c r="V408" s="195" t="s">
        <v>3350</v>
      </c>
      <c r="W408" s="195" t="s">
        <v>3367</v>
      </c>
      <c r="X408" s="195">
        <v>69</v>
      </c>
      <c r="Y408" s="195" t="s">
        <v>3368</v>
      </c>
      <c r="Z408" s="195">
        <v>43</v>
      </c>
      <c r="AA408" s="195" t="s">
        <v>3369</v>
      </c>
      <c r="AB408" s="195">
        <v>0</v>
      </c>
      <c r="AC408" s="199"/>
      <c r="AD408" s="195" t="s">
        <v>322</v>
      </c>
      <c r="AE408" s="195" t="s">
        <v>3353</v>
      </c>
      <c r="AF408" s="195" t="s">
        <v>3354</v>
      </c>
      <c r="AG408" s="195"/>
      <c r="AH408" s="195"/>
      <c r="AI408" s="195"/>
      <c r="AJ408" s="195"/>
      <c r="AK408" s="195"/>
      <c r="AL408" s="195" t="s">
        <v>322</v>
      </c>
      <c r="AM408" s="199"/>
      <c r="AN408" s="195" t="s">
        <v>3355</v>
      </c>
      <c r="AO408" s="195" t="s">
        <v>3356</v>
      </c>
      <c r="AP408" s="195" t="s">
        <v>3357</v>
      </c>
      <c r="AQ408" s="195" t="s">
        <v>3358</v>
      </c>
      <c r="AR408" s="220" t="s">
        <v>3359</v>
      </c>
      <c r="AS408" s="195" t="s">
        <v>316</v>
      </c>
      <c r="AT408" s="199"/>
      <c r="AU408" s="195" t="s">
        <v>3360</v>
      </c>
      <c r="AV408" s="195" t="s">
        <v>326</v>
      </c>
      <c r="AW408" s="195" t="str">
        <f ca="1">IFERROR(__xludf.DUMMYFUNCTION("IF(AND(IF(AS408=""Yes"",True,False),NOT(IFERROR(REGEXMATCH(AV408,ExclusionCategories),FALSE))),""Yes"", ""No"")"),"No")</f>
        <v>No</v>
      </c>
      <c r="AX408" s="195">
        <f ca="1">IFERROR(__xludf.DUMMYFUNCTION("IF(IFERROR(SEARCH(""Unclear"", Z408)) = 1, VALUE(REGEXEXTRACT(Z408,""\d+"")), Z408)"),43)</f>
        <v>43</v>
      </c>
      <c r="AY408" s="195">
        <v>43</v>
      </c>
      <c r="AZ408" s="195" t="str">
        <f ca="1">IFERROR(__xludf.DUMMYFUNCTION("IF(IFERROR(SEARCH(""Unclear"", AG408)) = 1, VALUE(REGEXEXTRACT(AG408,""\d+"")), AG408)"),"")</f>
        <v/>
      </c>
      <c r="BA408" s="195" t="s">
        <v>19503</v>
      </c>
      <c r="BB408" s="195" t="str">
        <f ca="1">IFERROR(__xludf.DUMMYFUNCTION("IF(IFERROR(SEARCH(""Unclear"", AJ408)) = 1, VALUE(REGEXEXTRACT(AJ408,""\d+"")), AJ408)"),"")</f>
        <v/>
      </c>
      <c r="BC408" s="195" t="s">
        <v>19503</v>
      </c>
      <c r="BD408" s="195" t="b">
        <f t="shared" si="2"/>
        <v>1</v>
      </c>
      <c r="BE408" s="195" t="b">
        <f t="shared" ref="BE408:BF408" si="430">IF(IFERROR(FIND("ND",AI408),0),FALSE,TRUE)</f>
        <v>1</v>
      </c>
      <c r="BF408" s="195" t="b">
        <f t="shared" si="430"/>
        <v>1</v>
      </c>
    </row>
    <row r="409" spans="1:58" ht="37.5" customHeight="1">
      <c r="A409" s="212" t="s">
        <v>3346</v>
      </c>
      <c r="B409" s="245">
        <v>2005</v>
      </c>
      <c r="C409" s="195" t="s">
        <v>457</v>
      </c>
      <c r="D409" s="4" t="s">
        <v>3361</v>
      </c>
      <c r="E409" s="245">
        <v>16430195</v>
      </c>
      <c r="F409" s="260" t="s">
        <v>3348</v>
      </c>
      <c r="G409" s="213" t="str">
        <f t="shared" si="419"/>
        <v>Barroso 2005</v>
      </c>
      <c r="H409" s="220">
        <v>2000</v>
      </c>
      <c r="I409" s="199"/>
      <c r="J409" s="199"/>
      <c r="K409" s="195">
        <v>88</v>
      </c>
      <c r="L409" s="4" t="s">
        <v>3370</v>
      </c>
      <c r="M409" s="195">
        <v>55</v>
      </c>
      <c r="N409" s="195">
        <v>33</v>
      </c>
      <c r="O409" s="195">
        <v>21</v>
      </c>
      <c r="P409" s="195">
        <v>18</v>
      </c>
      <c r="Q409" s="195">
        <v>47</v>
      </c>
      <c r="R409" s="195">
        <v>18</v>
      </c>
      <c r="S409" s="195">
        <v>45</v>
      </c>
      <c r="T409" s="195" t="s">
        <v>324</v>
      </c>
      <c r="U409" s="195" t="s">
        <v>324</v>
      </c>
      <c r="V409" s="195" t="s">
        <v>3350</v>
      </c>
      <c r="W409" s="195" t="s">
        <v>3371</v>
      </c>
      <c r="X409" s="195">
        <v>72</v>
      </c>
      <c r="Y409" s="195" t="s">
        <v>3372</v>
      </c>
      <c r="Z409" s="195">
        <v>62</v>
      </c>
      <c r="AA409" s="195" t="s">
        <v>3373</v>
      </c>
      <c r="AB409" s="195">
        <v>0</v>
      </c>
      <c r="AC409" s="199"/>
      <c r="AD409" s="195" t="s">
        <v>322</v>
      </c>
      <c r="AE409" s="195" t="s">
        <v>3353</v>
      </c>
      <c r="AF409" s="195" t="s">
        <v>3354</v>
      </c>
      <c r="AG409" s="195"/>
      <c r="AH409" s="195"/>
      <c r="AI409" s="195"/>
      <c r="AJ409" s="195"/>
      <c r="AK409" s="195"/>
      <c r="AL409" s="195" t="s">
        <v>322</v>
      </c>
      <c r="AM409" s="199"/>
      <c r="AN409" s="195" t="s">
        <v>3355</v>
      </c>
      <c r="AO409" s="195" t="s">
        <v>3356</v>
      </c>
      <c r="AP409" s="195" t="s">
        <v>3357</v>
      </c>
      <c r="AQ409" s="195" t="s">
        <v>3358</v>
      </c>
      <c r="AR409" s="220" t="s">
        <v>3359</v>
      </c>
      <c r="AS409" s="195" t="s">
        <v>316</v>
      </c>
      <c r="AT409" s="199"/>
      <c r="AU409" s="195" t="s">
        <v>3360</v>
      </c>
      <c r="AV409" s="195" t="s">
        <v>326</v>
      </c>
      <c r="AW409" s="195" t="str">
        <f ca="1">IFERROR(__xludf.DUMMYFUNCTION("IF(AND(IF(AS409=""Yes"",True,False),NOT(IFERROR(REGEXMATCH(AV409,ExclusionCategories),FALSE))),""Yes"", ""No"")"),"No")</f>
        <v>No</v>
      </c>
      <c r="AX409" s="195">
        <f ca="1">IFERROR(__xludf.DUMMYFUNCTION("IF(IFERROR(SEARCH(""Unclear"", Z409)) = 1, VALUE(REGEXEXTRACT(Z409,""\d+"")), Z409)"),62)</f>
        <v>62</v>
      </c>
      <c r="AY409" s="195">
        <v>62</v>
      </c>
      <c r="AZ409" s="195" t="str">
        <f ca="1">IFERROR(__xludf.DUMMYFUNCTION("IF(IFERROR(SEARCH(""Unclear"", AG409)) = 1, VALUE(REGEXEXTRACT(AG409,""\d+"")), AG409)"),"")</f>
        <v/>
      </c>
      <c r="BA409" s="195" t="s">
        <v>19503</v>
      </c>
      <c r="BB409" s="195" t="str">
        <f ca="1">IFERROR(__xludf.DUMMYFUNCTION("IF(IFERROR(SEARCH(""Unclear"", AJ409)) = 1, VALUE(REGEXEXTRACT(AJ409,""\d+"")), AJ409)"),"")</f>
        <v/>
      </c>
      <c r="BC409" s="195" t="s">
        <v>19503</v>
      </c>
      <c r="BD409" s="195" t="b">
        <f t="shared" si="2"/>
        <v>1</v>
      </c>
      <c r="BE409" s="195" t="b">
        <f t="shared" ref="BE409:BF409" si="431">IF(IFERROR(FIND("ND",AI409),0),FALSE,TRUE)</f>
        <v>1</v>
      </c>
      <c r="BF409" s="195" t="b">
        <f t="shared" si="431"/>
        <v>1</v>
      </c>
    </row>
    <row r="410" spans="1:58" ht="37.5" customHeight="1">
      <c r="A410" s="212" t="s">
        <v>3346</v>
      </c>
      <c r="B410" s="245">
        <v>2005</v>
      </c>
      <c r="C410" s="195" t="s">
        <v>457</v>
      </c>
      <c r="D410" s="4" t="s">
        <v>3374</v>
      </c>
      <c r="E410" s="245">
        <v>16430195</v>
      </c>
      <c r="F410" s="260" t="s">
        <v>3348</v>
      </c>
      <c r="G410" s="213" t="str">
        <f t="shared" si="419"/>
        <v>Barroso 2005</v>
      </c>
      <c r="H410" s="220">
        <v>2000</v>
      </c>
      <c r="I410" s="199"/>
      <c r="J410" s="199"/>
      <c r="K410" s="195">
        <v>309</v>
      </c>
      <c r="L410" s="4" t="s">
        <v>1453</v>
      </c>
      <c r="M410" s="195">
        <v>181</v>
      </c>
      <c r="N410" s="195">
        <v>128</v>
      </c>
      <c r="O410" s="195" t="s">
        <v>3375</v>
      </c>
      <c r="P410" s="195">
        <v>18</v>
      </c>
      <c r="Q410" s="195">
        <v>47</v>
      </c>
      <c r="R410" s="195">
        <v>18</v>
      </c>
      <c r="S410" s="195">
        <v>45</v>
      </c>
      <c r="T410" s="195" t="s">
        <v>324</v>
      </c>
      <c r="U410" s="195" t="s">
        <v>324</v>
      </c>
      <c r="V410" s="195" t="s">
        <v>3350</v>
      </c>
      <c r="W410" s="195"/>
      <c r="X410" s="195">
        <v>286</v>
      </c>
      <c r="Y410" s="195"/>
      <c r="Z410" s="195">
        <v>230</v>
      </c>
      <c r="AA410" s="195"/>
      <c r="AB410" s="195">
        <v>0</v>
      </c>
      <c r="AC410" s="199"/>
      <c r="AD410" s="195" t="s">
        <v>322</v>
      </c>
      <c r="AE410" s="195" t="s">
        <v>3353</v>
      </c>
      <c r="AF410" s="195"/>
      <c r="AG410" s="195">
        <v>93</v>
      </c>
      <c r="AH410" s="195" t="s">
        <v>316</v>
      </c>
      <c r="AI410" s="195">
        <v>1</v>
      </c>
      <c r="AJ410" s="195" t="s">
        <v>3376</v>
      </c>
      <c r="AK410" s="195" t="s">
        <v>3377</v>
      </c>
      <c r="AL410" s="195" t="s">
        <v>322</v>
      </c>
      <c r="AM410" s="199"/>
      <c r="AN410" s="195" t="s">
        <v>3355</v>
      </c>
      <c r="AO410" s="195" t="s">
        <v>3356</v>
      </c>
      <c r="AP410" s="195" t="s">
        <v>3357</v>
      </c>
      <c r="AQ410" s="195" t="s">
        <v>3358</v>
      </c>
      <c r="AR410" s="220" t="s">
        <v>3359</v>
      </c>
      <c r="AS410" s="195" t="s">
        <v>308</v>
      </c>
      <c r="AT410" s="199"/>
      <c r="AU410" s="195" t="s">
        <v>3360</v>
      </c>
      <c r="AV410" s="195" t="s">
        <v>337</v>
      </c>
      <c r="AW410" s="195" t="str">
        <f ca="1">IFERROR(__xludf.DUMMYFUNCTION("IF(AND(IF(AS410=""Yes"",True,False),NOT(IFERROR(REGEXMATCH(AV410,ExclusionCategories),FALSE))),""Yes"", ""No"")"),"Yes")</f>
        <v>Yes</v>
      </c>
      <c r="AX410" s="195">
        <f ca="1">IFERROR(__xludf.DUMMYFUNCTION("IF(IFERROR(SEARCH(""Unclear"", Z410)) = 1, VALUE(REGEXEXTRACT(Z410,""\d+"")), Z410)"),230)</f>
        <v>230</v>
      </c>
      <c r="AY410" s="195">
        <v>230</v>
      </c>
      <c r="AZ410" s="195">
        <f ca="1">IFERROR(__xludf.DUMMYFUNCTION("IF(IFERROR(SEARCH(""Unclear"", AG410)) = 1, VALUE(REGEXEXTRACT(AG410,""\d+"")), AG410)"),93)</f>
        <v>93</v>
      </c>
      <c r="BA410" s="195">
        <v>93</v>
      </c>
      <c r="BB410" s="195" t="str">
        <f ca="1">IFERROR(__xludf.DUMMYFUNCTION("IF(IFERROR(SEARCH(""Unclear"", AJ410)) = 1, VALUE(REGEXEXTRACT(AJ410,""\d+"")), AJ410)"),"ND (4 of ""marked"" severity and 2 widthdrawn due to AEs)")</f>
        <v>ND (4 of "marked" severity and 2 widthdrawn due to AEs)</v>
      </c>
      <c r="BC410" s="195" t="s">
        <v>3376</v>
      </c>
      <c r="BD410" s="195" t="b">
        <f t="shared" si="2"/>
        <v>1</v>
      </c>
      <c r="BE410" s="195" t="b">
        <f t="shared" ref="BE410:BF410" si="432">IF(IFERROR(FIND("ND",AI410),0),FALSE,TRUE)</f>
        <v>1</v>
      </c>
      <c r="BF410" s="195" t="b">
        <f t="shared" si="432"/>
        <v>0</v>
      </c>
    </row>
    <row r="411" spans="1:58" ht="37.5" customHeight="1">
      <c r="A411" s="212" t="s">
        <v>3378</v>
      </c>
      <c r="B411" s="245">
        <v>2016</v>
      </c>
      <c r="C411" s="195" t="s">
        <v>339</v>
      </c>
      <c r="D411" s="4" t="s">
        <v>920</v>
      </c>
      <c r="E411" s="245">
        <v>26919472</v>
      </c>
      <c r="F411" s="260" t="s">
        <v>3379</v>
      </c>
      <c r="G411" s="213" t="str">
        <f t="shared" si="419"/>
        <v>Bennett 2016</v>
      </c>
      <c r="H411" s="195">
        <v>2012</v>
      </c>
      <c r="I411" s="195" t="s">
        <v>3380</v>
      </c>
      <c r="J411" s="229" t="s">
        <v>3381</v>
      </c>
      <c r="K411" s="195">
        <v>36</v>
      </c>
      <c r="L411" s="10"/>
      <c r="M411" s="195" t="s">
        <v>324</v>
      </c>
      <c r="N411" s="195" t="s">
        <v>324</v>
      </c>
      <c r="O411" s="195" t="s">
        <v>324</v>
      </c>
      <c r="P411" s="195" t="s">
        <v>324</v>
      </c>
      <c r="Q411" s="195" t="s">
        <v>324</v>
      </c>
      <c r="R411" s="195">
        <v>18</v>
      </c>
      <c r="S411" s="195">
        <v>55</v>
      </c>
      <c r="T411" s="195" t="s">
        <v>324</v>
      </c>
      <c r="U411" s="195" t="s">
        <v>324</v>
      </c>
      <c r="V411" s="195" t="s">
        <v>3382</v>
      </c>
      <c r="W411" s="199"/>
      <c r="X411" s="195">
        <v>33</v>
      </c>
      <c r="Y411" s="195" t="s">
        <v>3383</v>
      </c>
      <c r="Z411" s="195">
        <v>33</v>
      </c>
      <c r="AA411" s="195" t="s">
        <v>3384</v>
      </c>
      <c r="AB411" s="195">
        <v>0</v>
      </c>
      <c r="AC411" s="199"/>
      <c r="AD411" s="195" t="s">
        <v>322</v>
      </c>
      <c r="AE411" s="195" t="s">
        <v>3385</v>
      </c>
      <c r="AF411" s="195" t="s">
        <v>3386</v>
      </c>
      <c r="AG411" s="195" t="s">
        <v>324</v>
      </c>
      <c r="AH411" s="195" t="s">
        <v>308</v>
      </c>
      <c r="AI411" s="195">
        <v>0</v>
      </c>
      <c r="AJ411" s="195" t="s">
        <v>324</v>
      </c>
      <c r="AK411" s="195" t="s">
        <v>3387</v>
      </c>
      <c r="AL411" s="195" t="s">
        <v>322</v>
      </c>
      <c r="AM411" s="199"/>
      <c r="AN411" s="195" t="s">
        <v>3388</v>
      </c>
      <c r="AO411" s="195" t="s">
        <v>3389</v>
      </c>
      <c r="AP411" s="195" t="s">
        <v>3390</v>
      </c>
      <c r="AQ411" s="195" t="s">
        <v>3391</v>
      </c>
      <c r="AR411" s="220" t="s">
        <v>3359</v>
      </c>
      <c r="AS411" s="195" t="s">
        <v>308</v>
      </c>
      <c r="AT411" s="199"/>
      <c r="AU411" s="195" t="s">
        <v>3392</v>
      </c>
      <c r="AV411" s="195" t="s">
        <v>9</v>
      </c>
      <c r="AW411" s="195" t="str">
        <f ca="1">IFERROR(__xludf.DUMMYFUNCTION("IF(AND(IF(AS411=""Yes"",True,False),NOT(IFERROR(REGEXMATCH(AV411,ExclusionCategories),FALSE))),""Yes"", ""No"")"),"Yes")</f>
        <v>Yes</v>
      </c>
      <c r="AX411" s="195">
        <f ca="1">IFERROR(__xludf.DUMMYFUNCTION("IF(IFERROR(SEARCH(""Unclear"", Z411)) = 1, VALUE(REGEXEXTRACT(Z411,""\d+"")), Z411)"),33)</f>
        <v>33</v>
      </c>
      <c r="AY411" s="195">
        <v>33</v>
      </c>
      <c r="AZ411" s="195" t="str">
        <f ca="1">IFERROR(__xludf.DUMMYFUNCTION("IF(IFERROR(SEARCH(""Unclear"", AG411)) = 1, VALUE(REGEXEXTRACT(AG411,""\d+"")), AG411)"),"ND")</f>
        <v>ND</v>
      </c>
      <c r="BA411" s="195" t="s">
        <v>324</v>
      </c>
      <c r="BB411" s="195" t="str">
        <f ca="1">IFERROR(__xludf.DUMMYFUNCTION("IF(IFERROR(SEARCH(""Unclear"", AJ411)) = 1, VALUE(REGEXEXTRACT(AJ411,""\d+"")), AJ411)"),"ND")</f>
        <v>ND</v>
      </c>
      <c r="BC411" s="195" t="s">
        <v>324</v>
      </c>
      <c r="BD411" s="195" t="b">
        <f t="shared" si="2"/>
        <v>0</v>
      </c>
      <c r="BE411" s="195" t="b">
        <f t="shared" ref="BE411:BF411" si="433">IF(IFERROR(FIND("ND",AI411),0),FALSE,TRUE)</f>
        <v>1</v>
      </c>
      <c r="BF411" s="195" t="b">
        <f t="shared" si="433"/>
        <v>0</v>
      </c>
    </row>
    <row r="412" spans="1:58" ht="37.5" customHeight="1">
      <c r="A412" s="220" t="s">
        <v>3137</v>
      </c>
      <c r="B412" s="245">
        <v>1982</v>
      </c>
      <c r="C412" s="195" t="s">
        <v>619</v>
      </c>
      <c r="D412" s="4" t="s">
        <v>3393</v>
      </c>
      <c r="E412" s="245">
        <v>7051247</v>
      </c>
      <c r="F412" s="260" t="s">
        <v>3394</v>
      </c>
      <c r="G412" s="213" t="str">
        <f t="shared" si="419"/>
        <v>Black 1982</v>
      </c>
      <c r="H412" s="217">
        <v>1982</v>
      </c>
      <c r="I412" s="199"/>
      <c r="J412" s="199"/>
      <c r="K412" s="195">
        <v>41</v>
      </c>
      <c r="L412" s="10"/>
      <c r="M412" s="195" t="s">
        <v>324</v>
      </c>
      <c r="N412" s="195" t="s">
        <v>324</v>
      </c>
      <c r="O412" s="195" t="s">
        <v>324</v>
      </c>
      <c r="P412" s="195" t="s">
        <v>324</v>
      </c>
      <c r="Q412" s="195" t="s">
        <v>324</v>
      </c>
      <c r="R412" s="195" t="s">
        <v>324</v>
      </c>
      <c r="S412" s="195" t="s">
        <v>324</v>
      </c>
      <c r="T412" s="195" t="s">
        <v>3395</v>
      </c>
      <c r="U412" s="195" t="s">
        <v>324</v>
      </c>
      <c r="V412" s="195" t="s">
        <v>3396</v>
      </c>
      <c r="W412" s="199"/>
      <c r="X412" s="195">
        <v>41</v>
      </c>
      <c r="Y412" s="199"/>
      <c r="Z412" s="195">
        <v>31</v>
      </c>
      <c r="AA412" s="199"/>
      <c r="AB412" s="195">
        <v>0</v>
      </c>
      <c r="AC412" s="199"/>
      <c r="AD412" s="195" t="s">
        <v>322</v>
      </c>
      <c r="AE412" s="195" t="s">
        <v>332</v>
      </c>
      <c r="AF412" s="195" t="s">
        <v>1472</v>
      </c>
      <c r="AG412" s="195" t="s">
        <v>324</v>
      </c>
      <c r="AH412" s="195" t="s">
        <v>316</v>
      </c>
      <c r="AI412" s="195">
        <v>2</v>
      </c>
      <c r="AJ412" s="195" t="s">
        <v>324</v>
      </c>
      <c r="AK412" s="195" t="s">
        <v>3397</v>
      </c>
      <c r="AL412" s="195" t="s">
        <v>322</v>
      </c>
      <c r="AM412" s="199"/>
      <c r="AN412" s="195" t="s">
        <v>3398</v>
      </c>
      <c r="AO412" s="195" t="s">
        <v>3399</v>
      </c>
      <c r="AP412" s="195" t="s">
        <v>3400</v>
      </c>
      <c r="AQ412" s="195" t="s">
        <v>3401</v>
      </c>
      <c r="AR412" s="220" t="s">
        <v>3359</v>
      </c>
      <c r="AS412" s="195" t="s">
        <v>308</v>
      </c>
      <c r="AT412" s="199"/>
      <c r="AU412" s="195" t="s">
        <v>3402</v>
      </c>
      <c r="AV412" s="195" t="s">
        <v>501</v>
      </c>
      <c r="AW412" s="195" t="str">
        <f ca="1">IFERROR(__xludf.DUMMYFUNCTION("IF(AND(IF(AS412=""Yes"",True,False),NOT(IFERROR(REGEXMATCH(AV412,ExclusionCategories),FALSE))),""Yes"", ""No"")"),"Yes")</f>
        <v>Yes</v>
      </c>
      <c r="AX412" s="195">
        <f ca="1">IFERROR(__xludf.DUMMYFUNCTION("IF(IFERROR(SEARCH(""Unclear"", Z412)) = 1, VALUE(REGEXEXTRACT(Z412,""\d+"")), Z412)"),31)</f>
        <v>31</v>
      </c>
      <c r="AY412" s="195">
        <v>31</v>
      </c>
      <c r="AZ412" s="195" t="str">
        <f ca="1">IFERROR(__xludf.DUMMYFUNCTION("IF(IFERROR(SEARCH(""Unclear"", AG412)) = 1, VALUE(REGEXEXTRACT(AG412,""\d+"")), AG412)"),"ND")</f>
        <v>ND</v>
      </c>
      <c r="BA412" s="195" t="s">
        <v>324</v>
      </c>
      <c r="BB412" s="195" t="str">
        <f ca="1">IFERROR(__xludf.DUMMYFUNCTION("IF(IFERROR(SEARCH(""Unclear"", AJ412)) = 1, VALUE(REGEXEXTRACT(AJ412,""\d+"")), AJ412)"),"ND")</f>
        <v>ND</v>
      </c>
      <c r="BC412" s="195" t="s">
        <v>324</v>
      </c>
      <c r="BD412" s="195" t="b">
        <f t="shared" si="2"/>
        <v>0</v>
      </c>
      <c r="BE412" s="195" t="b">
        <f t="shared" ref="BE412:BF412" si="434">IF(IFERROR(FIND("ND",AI412),0),FALSE,TRUE)</f>
        <v>1</v>
      </c>
      <c r="BF412" s="195" t="b">
        <f t="shared" si="434"/>
        <v>0</v>
      </c>
    </row>
    <row r="413" spans="1:58" ht="37.5" customHeight="1">
      <c r="A413" s="220" t="s">
        <v>3403</v>
      </c>
      <c r="B413" s="245">
        <v>2006</v>
      </c>
      <c r="C413" s="195" t="s">
        <v>2061</v>
      </c>
      <c r="D413" s="4" t="s">
        <v>3404</v>
      </c>
      <c r="E413" s="245">
        <v>17123976</v>
      </c>
      <c r="F413" s="260" t="s">
        <v>3405</v>
      </c>
      <c r="G413" s="213" t="str">
        <f t="shared" si="419"/>
        <v>Chappell 2006</v>
      </c>
      <c r="H413" s="217">
        <v>2006</v>
      </c>
      <c r="I413" s="199"/>
      <c r="J413" s="199"/>
      <c r="K413" s="195">
        <v>21</v>
      </c>
      <c r="L413" s="10"/>
      <c r="M413" s="195">
        <v>6</v>
      </c>
      <c r="N413" s="195">
        <v>15</v>
      </c>
      <c r="O413" s="195">
        <v>34</v>
      </c>
      <c r="P413" s="195">
        <v>19</v>
      </c>
      <c r="Q413" s="195">
        <v>50</v>
      </c>
      <c r="R413" s="195">
        <v>18</v>
      </c>
      <c r="S413" s="195">
        <v>50</v>
      </c>
      <c r="T413" s="195">
        <v>32.9</v>
      </c>
      <c r="U413" s="195" t="s">
        <v>324</v>
      </c>
      <c r="V413" s="195" t="s">
        <v>3406</v>
      </c>
      <c r="W413" s="199"/>
      <c r="X413" s="195">
        <v>21</v>
      </c>
      <c r="Y413" s="199"/>
      <c r="Z413" s="195">
        <v>9</v>
      </c>
      <c r="AA413" s="199"/>
      <c r="AB413" s="195">
        <v>0</v>
      </c>
      <c r="AC413" s="199"/>
      <c r="AD413" s="195" t="s">
        <v>322</v>
      </c>
      <c r="AE413" s="195" t="s">
        <v>3407</v>
      </c>
      <c r="AF413" s="195" t="s">
        <v>3408</v>
      </c>
      <c r="AG413" s="195">
        <v>16</v>
      </c>
      <c r="AH413" s="195" t="s">
        <v>316</v>
      </c>
      <c r="AI413" s="195">
        <v>0</v>
      </c>
      <c r="AJ413" s="195" t="s">
        <v>324</v>
      </c>
      <c r="AK413" s="195" t="s">
        <v>3409</v>
      </c>
      <c r="AL413" s="195" t="s">
        <v>322</v>
      </c>
      <c r="AM413" s="199"/>
      <c r="AN413" s="195" t="s">
        <v>332</v>
      </c>
      <c r="AO413" s="195" t="s">
        <v>3410</v>
      </c>
      <c r="AP413" s="195" t="s">
        <v>3411</v>
      </c>
      <c r="AQ413" s="195" t="s">
        <v>324</v>
      </c>
      <c r="AR413" s="220" t="s">
        <v>3359</v>
      </c>
      <c r="AS413" s="195" t="s">
        <v>308</v>
      </c>
      <c r="AT413" s="199"/>
      <c r="AU413" s="195" t="s">
        <v>3412</v>
      </c>
      <c r="AV413" s="195" t="s">
        <v>571</v>
      </c>
      <c r="AW413" s="195" t="str">
        <f ca="1">IFERROR(__xludf.DUMMYFUNCTION("IF(AND(IF(AS413=""Yes"",True,False),NOT(IFERROR(REGEXMATCH(AV413,ExclusionCategories),FALSE))),""Yes"", ""No"")"),"Yes")</f>
        <v>Yes</v>
      </c>
      <c r="AX413" s="195">
        <f ca="1">IFERROR(__xludf.DUMMYFUNCTION("IF(IFERROR(SEARCH(""Unclear"", Z413)) = 1, VALUE(REGEXEXTRACT(Z413,""\d+"")), Z413)"),9)</f>
        <v>9</v>
      </c>
      <c r="AY413" s="195">
        <v>9</v>
      </c>
      <c r="AZ413" s="195">
        <f ca="1">IFERROR(__xludf.DUMMYFUNCTION("IF(IFERROR(SEARCH(""Unclear"", AG413)) = 1, VALUE(REGEXEXTRACT(AG413,""\d+"")), AG413)"),16)</f>
        <v>16</v>
      </c>
      <c r="BA413" s="195">
        <v>16</v>
      </c>
      <c r="BB413" s="195" t="str">
        <f ca="1">IFERROR(__xludf.DUMMYFUNCTION("IF(IFERROR(SEARCH(""Unclear"", AJ413)) = 1, VALUE(REGEXEXTRACT(AJ413,""\d+"")), AJ413)"),"ND")</f>
        <v>ND</v>
      </c>
      <c r="BC413" s="195" t="s">
        <v>324</v>
      </c>
      <c r="BD413" s="195" t="b">
        <f t="shared" si="2"/>
        <v>1</v>
      </c>
      <c r="BE413" s="195" t="b">
        <f t="shared" ref="BE413:BF413" si="435">IF(IFERROR(FIND("ND",AI413),0),FALSE,TRUE)</f>
        <v>1</v>
      </c>
      <c r="BF413" s="195" t="b">
        <f t="shared" si="435"/>
        <v>0</v>
      </c>
    </row>
    <row r="414" spans="1:58" ht="37.5" customHeight="1">
      <c r="A414" s="220" t="s">
        <v>3413</v>
      </c>
      <c r="B414" s="245">
        <v>2015</v>
      </c>
      <c r="C414" s="195" t="s">
        <v>520</v>
      </c>
      <c r="D414" s="4" t="s">
        <v>3414</v>
      </c>
      <c r="E414" s="245">
        <v>26114410</v>
      </c>
      <c r="F414" s="260" t="s">
        <v>3415</v>
      </c>
      <c r="G414" s="213" t="str">
        <f t="shared" si="419"/>
        <v>Collins 2015</v>
      </c>
      <c r="H414" s="195">
        <v>2014</v>
      </c>
      <c r="I414" s="195" t="s">
        <v>3416</v>
      </c>
      <c r="J414" s="195" t="s">
        <v>322</v>
      </c>
      <c r="K414" s="195">
        <v>99</v>
      </c>
      <c r="L414" s="10"/>
      <c r="M414" s="195">
        <v>39</v>
      </c>
      <c r="N414" s="195">
        <v>60</v>
      </c>
      <c r="O414" s="195" t="s">
        <v>324</v>
      </c>
      <c r="P414" s="195" t="s">
        <v>324</v>
      </c>
      <c r="Q414" s="195" t="s">
        <v>324</v>
      </c>
      <c r="R414" s="195">
        <v>18</v>
      </c>
      <c r="S414" s="195">
        <v>50</v>
      </c>
      <c r="T414" s="195" t="s">
        <v>847</v>
      </c>
      <c r="U414" s="195" t="s">
        <v>365</v>
      </c>
      <c r="V414" s="195" t="s">
        <v>3417</v>
      </c>
      <c r="W414" s="195" t="s">
        <v>3418</v>
      </c>
      <c r="X414" s="195">
        <v>96</v>
      </c>
      <c r="Y414" s="195" t="s">
        <v>3419</v>
      </c>
      <c r="Z414" s="195">
        <v>28</v>
      </c>
      <c r="AA414" s="195" t="s">
        <v>3420</v>
      </c>
      <c r="AB414" s="195">
        <v>0</v>
      </c>
      <c r="AC414" s="199"/>
      <c r="AD414" s="195" t="s">
        <v>322</v>
      </c>
      <c r="AE414" s="195" t="s">
        <v>3421</v>
      </c>
      <c r="AF414" s="199"/>
      <c r="AG414" s="195">
        <v>39</v>
      </c>
      <c r="AH414" s="195" t="s">
        <v>316</v>
      </c>
      <c r="AI414" s="195">
        <v>0</v>
      </c>
      <c r="AJ414" s="195" t="s">
        <v>324</v>
      </c>
      <c r="AK414" s="195" t="s">
        <v>3422</v>
      </c>
      <c r="AL414" s="195" t="s">
        <v>322</v>
      </c>
      <c r="AM414" s="199"/>
      <c r="AN414" s="195" t="s">
        <v>3423</v>
      </c>
      <c r="AO414" s="195" t="s">
        <v>3424</v>
      </c>
      <c r="AP414" s="195" t="s">
        <v>3425</v>
      </c>
      <c r="AQ414" s="195" t="s">
        <v>3426</v>
      </c>
      <c r="AR414" s="220" t="s">
        <v>3359</v>
      </c>
      <c r="AS414" s="195" t="s">
        <v>308</v>
      </c>
      <c r="AT414" s="199"/>
      <c r="AU414" s="195" t="s">
        <v>3427</v>
      </c>
      <c r="AV414" s="195" t="s">
        <v>9</v>
      </c>
      <c r="AW414" s="195" t="str">
        <f ca="1">IFERROR(__xludf.DUMMYFUNCTION("IF(AND(IF(AS414=""Yes"",True,False),NOT(IFERROR(REGEXMATCH(AV414,ExclusionCategories),FALSE))),""Yes"", ""No"")"),"Yes")</f>
        <v>Yes</v>
      </c>
      <c r="AX414" s="195">
        <f ca="1">IFERROR(__xludf.DUMMYFUNCTION("IF(IFERROR(SEARCH(""Unclear"", Z414)) = 1, VALUE(REGEXEXTRACT(Z414,""\d+"")), Z414)"),28)</f>
        <v>28</v>
      </c>
      <c r="AY414" s="195">
        <v>28</v>
      </c>
      <c r="AZ414" s="195">
        <f ca="1">IFERROR(__xludf.DUMMYFUNCTION("IF(IFERROR(SEARCH(""Unclear"", AG414)) = 1, VALUE(REGEXEXTRACT(AG414,""\d+"")), AG414)"),39)</f>
        <v>39</v>
      </c>
      <c r="BA414" s="195">
        <v>39</v>
      </c>
      <c r="BB414" s="195" t="str">
        <f ca="1">IFERROR(__xludf.DUMMYFUNCTION("IF(IFERROR(SEARCH(""Unclear"", AJ414)) = 1, VALUE(REGEXEXTRACT(AJ414,""\d+"")), AJ414)"),"ND")</f>
        <v>ND</v>
      </c>
      <c r="BC414" s="195" t="s">
        <v>324</v>
      </c>
      <c r="BD414" s="195" t="b">
        <f t="shared" si="2"/>
        <v>1</v>
      </c>
      <c r="BE414" s="195" t="b">
        <f t="shared" ref="BE414:BF414" si="436">IF(IFERROR(FIND("ND",AI414),0),FALSE,TRUE)</f>
        <v>1</v>
      </c>
      <c r="BF414" s="195" t="b">
        <f t="shared" si="436"/>
        <v>0</v>
      </c>
    </row>
    <row r="415" spans="1:58" ht="37.5" customHeight="1">
      <c r="A415" s="220" t="s">
        <v>3428</v>
      </c>
      <c r="B415" s="245">
        <v>2014</v>
      </c>
      <c r="C415" s="195" t="s">
        <v>520</v>
      </c>
      <c r="D415" s="4" t="s">
        <v>3429</v>
      </c>
      <c r="E415" s="245">
        <v>25671106</v>
      </c>
      <c r="F415" s="260" t="s">
        <v>3430</v>
      </c>
      <c r="G415" s="213" t="str">
        <f t="shared" si="419"/>
        <v>Cremers 2014</v>
      </c>
      <c r="H415" s="217">
        <v>2014</v>
      </c>
      <c r="I415" s="199"/>
      <c r="J415" s="199"/>
      <c r="K415" s="195">
        <v>30</v>
      </c>
      <c r="L415" s="10"/>
      <c r="M415" s="195" t="s">
        <v>324</v>
      </c>
      <c r="N415" s="195" t="s">
        <v>324</v>
      </c>
      <c r="O415" s="195" t="s">
        <v>324</v>
      </c>
      <c r="P415" s="195" t="s">
        <v>324</v>
      </c>
      <c r="Q415" s="195" t="s">
        <v>324</v>
      </c>
      <c r="R415" s="195" t="s">
        <v>324</v>
      </c>
      <c r="S415" s="195" t="s">
        <v>324</v>
      </c>
      <c r="T415" s="195" t="s">
        <v>324</v>
      </c>
      <c r="U415" s="195" t="s">
        <v>324</v>
      </c>
      <c r="V415" s="195" t="s">
        <v>3431</v>
      </c>
      <c r="W415" s="199"/>
      <c r="X415" s="195">
        <v>30</v>
      </c>
      <c r="Y415" s="195" t="s">
        <v>3432</v>
      </c>
      <c r="Z415" s="195">
        <v>16</v>
      </c>
      <c r="AA415" s="195" t="s">
        <v>3433</v>
      </c>
      <c r="AB415" s="195">
        <v>0</v>
      </c>
      <c r="AC415" s="199"/>
      <c r="AD415" s="195" t="s">
        <v>322</v>
      </c>
      <c r="AE415" s="195" t="s">
        <v>332</v>
      </c>
      <c r="AF415" s="195" t="s">
        <v>1472</v>
      </c>
      <c r="AG415" s="195" t="s">
        <v>324</v>
      </c>
      <c r="AH415" s="195" t="s">
        <v>316</v>
      </c>
      <c r="AI415" s="195" t="s">
        <v>324</v>
      </c>
      <c r="AJ415" s="195" t="s">
        <v>324</v>
      </c>
      <c r="AK415" s="199"/>
      <c r="AL415" s="195" t="s">
        <v>322</v>
      </c>
      <c r="AM415" s="199"/>
      <c r="AN415" s="195" t="s">
        <v>332</v>
      </c>
      <c r="AO415" s="195" t="s">
        <v>3434</v>
      </c>
      <c r="AP415" s="195" t="s">
        <v>3435</v>
      </c>
      <c r="AQ415" s="195" t="s">
        <v>324</v>
      </c>
      <c r="AR415" s="220" t="s">
        <v>3359</v>
      </c>
      <c r="AS415" s="195" t="s">
        <v>308</v>
      </c>
      <c r="AT415" s="199"/>
      <c r="AU415" s="195" t="s">
        <v>3436</v>
      </c>
      <c r="AV415" s="195" t="s">
        <v>9</v>
      </c>
      <c r="AW415" s="195" t="str">
        <f ca="1">IFERROR(__xludf.DUMMYFUNCTION("IF(AND(IF(AS415=""Yes"",True,False),NOT(IFERROR(REGEXMATCH(AV415,ExclusionCategories),FALSE))),""Yes"", ""No"")"),"Yes")</f>
        <v>Yes</v>
      </c>
      <c r="AX415" s="195">
        <f ca="1">IFERROR(__xludf.DUMMYFUNCTION("IF(IFERROR(SEARCH(""Unclear"", Z415)) = 1, VALUE(REGEXEXTRACT(Z415,""\d+"")), Z415)"),16)</f>
        <v>16</v>
      </c>
      <c r="AY415" s="195">
        <v>16</v>
      </c>
      <c r="AZ415" s="195" t="str">
        <f ca="1">IFERROR(__xludf.DUMMYFUNCTION("IF(IFERROR(SEARCH(""Unclear"", AG415)) = 1, VALUE(REGEXEXTRACT(AG415,""\d+"")), AG415)"),"ND")</f>
        <v>ND</v>
      </c>
      <c r="BA415" s="195" t="s">
        <v>324</v>
      </c>
      <c r="BB415" s="195" t="str">
        <f ca="1">IFERROR(__xludf.DUMMYFUNCTION("IF(IFERROR(SEARCH(""Unclear"", AJ415)) = 1, VALUE(REGEXEXTRACT(AJ415,""\d+"")), AJ415)"),"ND")</f>
        <v>ND</v>
      </c>
      <c r="BC415" s="195" t="s">
        <v>324</v>
      </c>
      <c r="BD415" s="195" t="b">
        <f t="shared" si="2"/>
        <v>0</v>
      </c>
      <c r="BE415" s="195" t="b">
        <f t="shared" ref="BE415:BF415" si="437">IF(IFERROR(FIND("ND",AI415),0),FALSE,TRUE)</f>
        <v>0</v>
      </c>
      <c r="BF415" s="195" t="b">
        <f t="shared" si="437"/>
        <v>0</v>
      </c>
    </row>
    <row r="416" spans="1:58" ht="37.5" customHeight="1">
      <c r="A416" s="220" t="s">
        <v>3437</v>
      </c>
      <c r="B416" s="245">
        <v>2015</v>
      </c>
      <c r="C416" s="195" t="s">
        <v>409</v>
      </c>
      <c r="D416" s="4" t="s">
        <v>3438</v>
      </c>
      <c r="E416" s="245">
        <v>25248819</v>
      </c>
      <c r="F416" s="260" t="s">
        <v>3439</v>
      </c>
      <c r="G416" s="213" t="str">
        <f t="shared" si="419"/>
        <v>Croese 2015</v>
      </c>
      <c r="H416" s="195">
        <v>2014</v>
      </c>
      <c r="I416" s="232" t="s">
        <v>3440</v>
      </c>
      <c r="J416" s="229" t="s">
        <v>3441</v>
      </c>
      <c r="K416" s="195">
        <v>12</v>
      </c>
      <c r="L416" s="4" t="s">
        <v>3442</v>
      </c>
      <c r="M416" s="195">
        <v>3</v>
      </c>
      <c r="N416" s="195">
        <v>9</v>
      </c>
      <c r="O416" s="195" t="s">
        <v>324</v>
      </c>
      <c r="P416" s="195">
        <v>39</v>
      </c>
      <c r="Q416" s="195">
        <v>67</v>
      </c>
      <c r="R416" s="195" t="s">
        <v>324</v>
      </c>
      <c r="S416" s="195" t="s">
        <v>324</v>
      </c>
      <c r="T416" s="195">
        <v>53</v>
      </c>
      <c r="U416" s="195" t="s">
        <v>324</v>
      </c>
      <c r="V416" s="195" t="s">
        <v>3443</v>
      </c>
      <c r="W416" s="199"/>
      <c r="X416" s="195">
        <v>12</v>
      </c>
      <c r="Y416" s="199"/>
      <c r="Z416" s="195">
        <v>12</v>
      </c>
      <c r="AA416" s="199"/>
      <c r="AB416" s="195">
        <v>0</v>
      </c>
      <c r="AC416" s="199"/>
      <c r="AD416" s="195" t="s">
        <v>322</v>
      </c>
      <c r="AE416" s="195" t="s">
        <v>332</v>
      </c>
      <c r="AF416" s="195" t="s">
        <v>1472</v>
      </c>
      <c r="AG416" s="195" t="s">
        <v>324</v>
      </c>
      <c r="AH416" s="195" t="s">
        <v>316</v>
      </c>
      <c r="AI416" s="195" t="s">
        <v>324</v>
      </c>
      <c r="AJ416" s="195" t="s">
        <v>324</v>
      </c>
      <c r="AK416" s="199"/>
      <c r="AL416" s="195" t="s">
        <v>322</v>
      </c>
      <c r="AM416" s="199"/>
      <c r="AN416" s="195" t="s">
        <v>3444</v>
      </c>
      <c r="AO416" s="195" t="s">
        <v>324</v>
      </c>
      <c r="AP416" s="195" t="s">
        <v>3445</v>
      </c>
      <c r="AQ416" s="195" t="s">
        <v>324</v>
      </c>
      <c r="AR416" s="220" t="s">
        <v>3359</v>
      </c>
      <c r="AS416" s="195" t="s">
        <v>308</v>
      </c>
      <c r="AT416" s="199"/>
      <c r="AU416" s="195" t="s">
        <v>3446</v>
      </c>
      <c r="AV416" s="195" t="s">
        <v>15</v>
      </c>
      <c r="AW416" s="195" t="str">
        <f ca="1">IFERROR(__xludf.DUMMYFUNCTION("IF(AND(IF(AS416=""Yes"",True,False),NOT(IFERROR(REGEXMATCH(AV416,ExclusionCategories),FALSE))),""Yes"", ""No"")"),"No")</f>
        <v>No</v>
      </c>
      <c r="AX416" s="195">
        <f ca="1">IFERROR(__xludf.DUMMYFUNCTION("IF(IFERROR(SEARCH(""Unclear"", Z416)) = 1, VALUE(REGEXEXTRACT(Z416,""\d+"")), Z416)"),12)</f>
        <v>12</v>
      </c>
      <c r="AY416" s="195">
        <v>12</v>
      </c>
      <c r="AZ416" s="195" t="str">
        <f ca="1">IFERROR(__xludf.DUMMYFUNCTION("IF(IFERROR(SEARCH(""Unclear"", AG416)) = 1, VALUE(REGEXEXTRACT(AG416,""\d+"")), AG416)"),"ND")</f>
        <v>ND</v>
      </c>
      <c r="BA416" s="195" t="s">
        <v>324</v>
      </c>
      <c r="BB416" s="195" t="str">
        <f ca="1">IFERROR(__xludf.DUMMYFUNCTION("IF(IFERROR(SEARCH(""Unclear"", AJ416)) = 1, VALUE(REGEXEXTRACT(AJ416,""\d+"")), AJ416)"),"ND")</f>
        <v>ND</v>
      </c>
      <c r="BC416" s="195" t="s">
        <v>324</v>
      </c>
      <c r="BD416" s="195" t="b">
        <f t="shared" si="2"/>
        <v>0</v>
      </c>
      <c r="BE416" s="195" t="b">
        <f t="shared" ref="BE416:BF416" si="438">IF(IFERROR(FIND("ND",AI416),0),FALSE,TRUE)</f>
        <v>0</v>
      </c>
      <c r="BF416" s="195" t="b">
        <f t="shared" si="438"/>
        <v>0</v>
      </c>
    </row>
    <row r="417" spans="1:58" ht="37.5" customHeight="1">
      <c r="A417" s="220" t="s">
        <v>3437</v>
      </c>
      <c r="B417" s="245">
        <v>2006</v>
      </c>
      <c r="C417" s="195" t="s">
        <v>409</v>
      </c>
      <c r="D417" s="4" t="s">
        <v>3447</v>
      </c>
      <c r="E417" s="245">
        <v>16344586</v>
      </c>
      <c r="F417" s="260" t="s">
        <v>3448</v>
      </c>
      <c r="G417" s="213" t="str">
        <f t="shared" si="419"/>
        <v>Croese 2006</v>
      </c>
      <c r="H417" s="217">
        <v>2006</v>
      </c>
      <c r="I417" s="199"/>
      <c r="J417" s="199"/>
      <c r="K417" s="195">
        <v>9</v>
      </c>
      <c r="L417" s="4" t="s">
        <v>3449</v>
      </c>
      <c r="M417" s="195">
        <v>5</v>
      </c>
      <c r="N417" s="195">
        <v>4</v>
      </c>
      <c r="O417" s="195">
        <v>41</v>
      </c>
      <c r="P417" s="195">
        <v>21</v>
      </c>
      <c r="Q417" s="195">
        <v>55</v>
      </c>
      <c r="R417" s="195" t="s">
        <v>324</v>
      </c>
      <c r="S417" s="195" t="s">
        <v>324</v>
      </c>
      <c r="T417" s="195">
        <v>39.22</v>
      </c>
      <c r="U417" s="195">
        <v>9.4499999999999993</v>
      </c>
      <c r="V417" s="195" t="s">
        <v>332</v>
      </c>
      <c r="W417" s="199"/>
      <c r="X417" s="195">
        <v>9</v>
      </c>
      <c r="Y417" s="199"/>
      <c r="Z417" s="195">
        <v>9</v>
      </c>
      <c r="AA417" s="195" t="s">
        <v>3450</v>
      </c>
      <c r="AB417" s="195">
        <v>0</v>
      </c>
      <c r="AC417" s="199"/>
      <c r="AD417" s="195" t="s">
        <v>322</v>
      </c>
      <c r="AE417" s="195" t="s">
        <v>332</v>
      </c>
      <c r="AF417" s="195" t="s">
        <v>1472</v>
      </c>
      <c r="AG417" s="195" t="s">
        <v>324</v>
      </c>
      <c r="AH417" s="195" t="s">
        <v>316</v>
      </c>
      <c r="AI417" s="195" t="s">
        <v>324</v>
      </c>
      <c r="AJ417" s="195" t="s">
        <v>324</v>
      </c>
      <c r="AK417" s="199"/>
      <c r="AL417" s="195" t="s">
        <v>322</v>
      </c>
      <c r="AM417" s="199"/>
      <c r="AN417" s="195" t="s">
        <v>3451</v>
      </c>
      <c r="AO417" s="195" t="s">
        <v>324</v>
      </c>
      <c r="AP417" s="195" t="s">
        <v>3452</v>
      </c>
      <c r="AQ417" s="195" t="s">
        <v>324</v>
      </c>
      <c r="AR417" s="220" t="s">
        <v>3359</v>
      </c>
      <c r="AS417" s="195" t="s">
        <v>308</v>
      </c>
      <c r="AT417" s="199"/>
      <c r="AU417" s="195" t="s">
        <v>3453</v>
      </c>
      <c r="AV417" s="195" t="s">
        <v>9</v>
      </c>
      <c r="AW417" s="195" t="str">
        <f ca="1">IFERROR(__xludf.DUMMYFUNCTION("IF(AND(IF(AS417=""Yes"",True,False),NOT(IFERROR(REGEXMATCH(AV417,ExclusionCategories),FALSE))),""Yes"", ""No"")"),"Yes")</f>
        <v>Yes</v>
      </c>
      <c r="AX417" s="195">
        <f ca="1">IFERROR(__xludf.DUMMYFUNCTION("IF(IFERROR(SEARCH(""Unclear"", Z417)) = 1, VALUE(REGEXEXTRACT(Z417,""\d+"")), Z417)"),9)</f>
        <v>9</v>
      </c>
      <c r="AY417" s="195">
        <v>9</v>
      </c>
      <c r="AZ417" s="195" t="str">
        <f ca="1">IFERROR(__xludf.DUMMYFUNCTION("IF(IFERROR(SEARCH(""Unclear"", AG417)) = 1, VALUE(REGEXEXTRACT(AG417,""\d+"")), AG417)"),"ND")</f>
        <v>ND</v>
      </c>
      <c r="BA417" s="195" t="s">
        <v>324</v>
      </c>
      <c r="BB417" s="195" t="str">
        <f ca="1">IFERROR(__xludf.DUMMYFUNCTION("IF(IFERROR(SEARCH(""Unclear"", AJ417)) = 1, VALUE(REGEXEXTRACT(AJ417,""\d+"")), AJ417)"),"ND")</f>
        <v>ND</v>
      </c>
      <c r="BC417" s="195" t="s">
        <v>324</v>
      </c>
      <c r="BD417" s="195" t="b">
        <f t="shared" si="2"/>
        <v>0</v>
      </c>
      <c r="BE417" s="195" t="b">
        <f t="shared" ref="BE417:BF417" si="439">IF(IFERROR(FIND("ND",AI417),0),FALSE,TRUE)</f>
        <v>0</v>
      </c>
      <c r="BF417" s="195" t="b">
        <f t="shared" si="439"/>
        <v>0</v>
      </c>
    </row>
    <row r="418" spans="1:58" ht="37.5" customHeight="1">
      <c r="A418" s="220" t="s">
        <v>3437</v>
      </c>
      <c r="B418" s="245">
        <v>2006</v>
      </c>
      <c r="C418" s="195" t="s">
        <v>409</v>
      </c>
      <c r="D418" s="4" t="s">
        <v>3447</v>
      </c>
      <c r="E418" s="245">
        <v>16344586</v>
      </c>
      <c r="F418" s="260" t="s">
        <v>3448</v>
      </c>
      <c r="G418" s="213" t="str">
        <f t="shared" si="419"/>
        <v>Croese 2006</v>
      </c>
      <c r="H418" s="217">
        <v>2006</v>
      </c>
      <c r="I418" s="199"/>
      <c r="J418" s="199"/>
      <c r="K418" s="195">
        <v>5</v>
      </c>
      <c r="L418" s="4" t="s">
        <v>3454</v>
      </c>
      <c r="M418" s="195">
        <v>3</v>
      </c>
      <c r="N418" s="195">
        <v>2</v>
      </c>
      <c r="O418" s="195">
        <v>41</v>
      </c>
      <c r="P418" s="195">
        <v>21</v>
      </c>
      <c r="Q418" s="195">
        <v>55</v>
      </c>
      <c r="R418" s="195" t="s">
        <v>324</v>
      </c>
      <c r="S418" s="195" t="s">
        <v>324</v>
      </c>
      <c r="T418" s="195">
        <v>39.4</v>
      </c>
      <c r="U418" s="195">
        <v>11.46</v>
      </c>
      <c r="V418" s="195" t="s">
        <v>332</v>
      </c>
      <c r="W418" s="199"/>
      <c r="X418" s="195">
        <v>5</v>
      </c>
      <c r="Y418" s="199"/>
      <c r="Z418" s="195">
        <v>2</v>
      </c>
      <c r="AA418" s="195" t="s">
        <v>3455</v>
      </c>
      <c r="AB418" s="195">
        <v>0</v>
      </c>
      <c r="AC418" s="199"/>
      <c r="AD418" s="195" t="s">
        <v>322</v>
      </c>
      <c r="AE418" s="195" t="s">
        <v>332</v>
      </c>
      <c r="AF418" s="195" t="s">
        <v>1472</v>
      </c>
      <c r="AG418" s="195" t="s">
        <v>324</v>
      </c>
      <c r="AH418" s="195" t="s">
        <v>316</v>
      </c>
      <c r="AI418" s="195" t="s">
        <v>324</v>
      </c>
      <c r="AJ418" s="195" t="s">
        <v>324</v>
      </c>
      <c r="AK418" s="199"/>
      <c r="AL418" s="195" t="s">
        <v>322</v>
      </c>
      <c r="AM418" s="199"/>
      <c r="AN418" s="195" t="s">
        <v>3451</v>
      </c>
      <c r="AO418" s="195" t="s">
        <v>324</v>
      </c>
      <c r="AP418" s="195" t="s">
        <v>3452</v>
      </c>
      <c r="AQ418" s="195" t="s">
        <v>324</v>
      </c>
      <c r="AR418" s="220" t="s">
        <v>3359</v>
      </c>
      <c r="AS418" s="195" t="s">
        <v>308</v>
      </c>
      <c r="AT418" s="199"/>
      <c r="AU418" s="195" t="s">
        <v>3453</v>
      </c>
      <c r="AV418" s="195" t="s">
        <v>15</v>
      </c>
      <c r="AW418" s="195" t="str">
        <f ca="1">IFERROR(__xludf.DUMMYFUNCTION("IF(AND(IF(AS418=""Yes"",True,False),NOT(IFERROR(REGEXMATCH(AV418,ExclusionCategories),FALSE))),""Yes"", ""No"")"),"No")</f>
        <v>No</v>
      </c>
      <c r="AX418" s="195">
        <f ca="1">IFERROR(__xludf.DUMMYFUNCTION("IF(IFERROR(SEARCH(""Unclear"", Z418)) = 1, VALUE(REGEXEXTRACT(Z418,""\d+"")), Z418)"),2)</f>
        <v>2</v>
      </c>
      <c r="AY418" s="195">
        <v>2</v>
      </c>
      <c r="AZ418" s="195" t="str">
        <f ca="1">IFERROR(__xludf.DUMMYFUNCTION("IF(IFERROR(SEARCH(""Unclear"", AG418)) = 1, VALUE(REGEXEXTRACT(AG418,""\d+"")), AG418)"),"ND")</f>
        <v>ND</v>
      </c>
      <c r="BA418" s="195" t="s">
        <v>324</v>
      </c>
      <c r="BB418" s="195" t="str">
        <f ca="1">IFERROR(__xludf.DUMMYFUNCTION("IF(IFERROR(SEARCH(""Unclear"", AJ418)) = 1, VALUE(REGEXEXTRACT(AJ418,""\d+"")), AJ418)"),"ND")</f>
        <v>ND</v>
      </c>
      <c r="BC418" s="195" t="s">
        <v>324</v>
      </c>
      <c r="BD418" s="195" t="b">
        <f t="shared" si="2"/>
        <v>0</v>
      </c>
      <c r="BE418" s="195" t="b">
        <f t="shared" ref="BE418:BF418" si="440">IF(IFERROR(FIND("ND",AI418),0),FALSE,TRUE)</f>
        <v>0</v>
      </c>
      <c r="BF418" s="195" t="b">
        <f t="shared" si="440"/>
        <v>0</v>
      </c>
    </row>
    <row r="419" spans="1:58" ht="37.5" customHeight="1">
      <c r="A419" s="220" t="s">
        <v>3456</v>
      </c>
      <c r="B419" s="245">
        <v>2015</v>
      </c>
      <c r="C419" s="195" t="s">
        <v>3457</v>
      </c>
      <c r="D419" s="4" t="s">
        <v>3458</v>
      </c>
      <c r="E419" s="245">
        <v>25814628</v>
      </c>
      <c r="F419" s="260" t="s">
        <v>3459</v>
      </c>
      <c r="G419" s="213" t="str">
        <f t="shared" si="419"/>
        <v>Deasy 2015</v>
      </c>
      <c r="H419" s="195">
        <v>2013</v>
      </c>
      <c r="I419" s="195" t="s">
        <v>3460</v>
      </c>
      <c r="J419" s="198" t="s">
        <v>3461</v>
      </c>
      <c r="K419" s="195">
        <v>310</v>
      </c>
      <c r="L419" s="4" t="s">
        <v>3462</v>
      </c>
      <c r="M419" s="195">
        <v>123</v>
      </c>
      <c r="N419" s="195">
        <v>185</v>
      </c>
      <c r="O419" s="195" t="s">
        <v>324</v>
      </c>
      <c r="P419" s="195">
        <v>18</v>
      </c>
      <c r="Q419" s="195">
        <v>25</v>
      </c>
      <c r="R419" s="195">
        <v>18</v>
      </c>
      <c r="S419" s="195">
        <v>25</v>
      </c>
      <c r="T419" s="195" t="s">
        <v>324</v>
      </c>
      <c r="U419" s="195" t="s">
        <v>324</v>
      </c>
      <c r="V419" s="195" t="s">
        <v>3463</v>
      </c>
      <c r="W419" s="199"/>
      <c r="X419" s="195">
        <v>149</v>
      </c>
      <c r="Y419" s="199"/>
      <c r="Z419" s="195">
        <v>61</v>
      </c>
      <c r="AA419" s="195"/>
      <c r="AB419" s="195">
        <v>161</v>
      </c>
      <c r="AC419" s="199"/>
      <c r="AD419" s="195" t="s">
        <v>324</v>
      </c>
      <c r="AE419" s="195" t="s">
        <v>3464</v>
      </c>
      <c r="AF419" s="195"/>
      <c r="AG419" s="195" t="s">
        <v>324</v>
      </c>
      <c r="AH419" s="195" t="s">
        <v>316</v>
      </c>
      <c r="AI419" s="195">
        <v>4</v>
      </c>
      <c r="AJ419" s="195" t="s">
        <v>324</v>
      </c>
      <c r="AK419" s="195" t="s">
        <v>3465</v>
      </c>
      <c r="AL419" s="195" t="s">
        <v>324</v>
      </c>
      <c r="AM419" s="199"/>
      <c r="AN419" s="195" t="s">
        <v>3466</v>
      </c>
      <c r="AO419" s="195" t="s">
        <v>3467</v>
      </c>
      <c r="AP419" s="195" t="s">
        <v>3468</v>
      </c>
      <c r="AQ419" s="195" t="s">
        <v>3469</v>
      </c>
      <c r="AR419" s="220" t="s">
        <v>3359</v>
      </c>
      <c r="AS419" s="195" t="s">
        <v>316</v>
      </c>
      <c r="AT419" s="199"/>
      <c r="AU419" s="195" t="s">
        <v>3470</v>
      </c>
      <c r="AV419" s="195" t="s">
        <v>326</v>
      </c>
      <c r="AW419" s="195" t="str">
        <f ca="1">IFERROR(__xludf.DUMMYFUNCTION("IF(AND(IF(AS419=""Yes"",True,False),NOT(IFERROR(REGEXMATCH(AV419,ExclusionCategories),FALSE))),""Yes"", ""No"")"),"No")</f>
        <v>No</v>
      </c>
      <c r="AX419" s="195">
        <f ca="1">IFERROR(__xludf.DUMMYFUNCTION("IF(IFERROR(SEARCH(""Unclear"", Z419)) = 1, VALUE(REGEXEXTRACT(Z419,""\d+"")), Z419)"),61)</f>
        <v>61</v>
      </c>
      <c r="AY419" s="195">
        <v>61</v>
      </c>
      <c r="AZ419" s="195" t="str">
        <f ca="1">IFERROR(__xludf.DUMMYFUNCTION("IF(IFERROR(SEARCH(""Unclear"", AG419)) = 1, VALUE(REGEXEXTRACT(AG419,""\d+"")), AG419)"),"ND")</f>
        <v>ND</v>
      </c>
      <c r="BA419" s="195" t="s">
        <v>324</v>
      </c>
      <c r="BB419" s="195" t="str">
        <f ca="1">IFERROR(__xludf.DUMMYFUNCTION("IF(IFERROR(SEARCH(""Unclear"", AJ419)) = 1, VALUE(REGEXEXTRACT(AJ419,""\d+"")), AJ419)"),"ND")</f>
        <v>ND</v>
      </c>
      <c r="BC419" s="195" t="s">
        <v>324</v>
      </c>
      <c r="BD419" s="195" t="b">
        <f t="shared" si="2"/>
        <v>0</v>
      </c>
      <c r="BE419" s="195" t="b">
        <f t="shared" ref="BE419:BF419" si="441">IF(IFERROR(FIND("ND",AI419),0),FALSE,TRUE)</f>
        <v>1</v>
      </c>
      <c r="BF419" s="195" t="b">
        <f t="shared" si="441"/>
        <v>0</v>
      </c>
    </row>
    <row r="420" spans="1:58" ht="37.5" customHeight="1">
      <c r="A420" s="220" t="s">
        <v>3456</v>
      </c>
      <c r="B420" s="245">
        <v>2015</v>
      </c>
      <c r="C420" s="195" t="s">
        <v>3457</v>
      </c>
      <c r="D420" s="4" t="s">
        <v>3458</v>
      </c>
      <c r="E420" s="245">
        <v>25814628</v>
      </c>
      <c r="F420" s="260" t="s">
        <v>3459</v>
      </c>
      <c r="G420" s="213" t="str">
        <f t="shared" si="419"/>
        <v>Deasy 2015</v>
      </c>
      <c r="H420" s="195">
        <v>2013</v>
      </c>
      <c r="I420" s="195" t="s">
        <v>3460</v>
      </c>
      <c r="J420" s="198" t="s">
        <v>3461</v>
      </c>
      <c r="K420" s="195">
        <v>127</v>
      </c>
      <c r="L420" s="4" t="s">
        <v>3471</v>
      </c>
      <c r="M420" s="195" t="s">
        <v>324</v>
      </c>
      <c r="N420" s="195" t="s">
        <v>324</v>
      </c>
      <c r="O420" s="195" t="s">
        <v>324</v>
      </c>
      <c r="P420" s="195" t="s">
        <v>324</v>
      </c>
      <c r="Q420" s="195" t="s">
        <v>324</v>
      </c>
      <c r="R420" s="195">
        <v>18</v>
      </c>
      <c r="S420" s="195">
        <v>25</v>
      </c>
      <c r="T420" s="195" t="s">
        <v>324</v>
      </c>
      <c r="U420" s="195" t="s">
        <v>324</v>
      </c>
      <c r="V420" s="195" t="s">
        <v>3472</v>
      </c>
      <c r="W420" s="199"/>
      <c r="X420" s="195">
        <v>127</v>
      </c>
      <c r="Y420" s="199"/>
      <c r="Z420" s="195">
        <v>44</v>
      </c>
      <c r="AA420" s="195"/>
      <c r="AB420" s="195">
        <v>0</v>
      </c>
      <c r="AC420" s="199"/>
      <c r="AD420" s="195" t="s">
        <v>322</v>
      </c>
      <c r="AE420" s="195" t="s">
        <v>3464</v>
      </c>
      <c r="AF420" s="195"/>
      <c r="AG420" s="195" t="s">
        <v>324</v>
      </c>
      <c r="AH420" s="195" t="s">
        <v>316</v>
      </c>
      <c r="AI420" s="195" t="s">
        <v>324</v>
      </c>
      <c r="AJ420" s="195" t="s">
        <v>324</v>
      </c>
      <c r="AK420" s="195"/>
      <c r="AL420" s="195" t="s">
        <v>322</v>
      </c>
      <c r="AM420" s="199"/>
      <c r="AN420" s="195" t="s">
        <v>332</v>
      </c>
      <c r="AO420" s="195" t="s">
        <v>3467</v>
      </c>
      <c r="AP420" s="195" t="s">
        <v>3468</v>
      </c>
      <c r="AQ420" s="195" t="s">
        <v>3469</v>
      </c>
      <c r="AR420" s="220" t="s">
        <v>3359</v>
      </c>
      <c r="AS420" s="195" t="s">
        <v>308</v>
      </c>
      <c r="AT420" s="199"/>
      <c r="AU420" s="195" t="s">
        <v>3470</v>
      </c>
      <c r="AV420" s="195" t="s">
        <v>15</v>
      </c>
      <c r="AW420" s="195" t="str">
        <f ca="1">IFERROR(__xludf.DUMMYFUNCTION("IF(AND(IF(AS420=""Yes"",True,False),NOT(IFERROR(REGEXMATCH(AV420,ExclusionCategories),FALSE))),""Yes"", ""No"")"),"No")</f>
        <v>No</v>
      </c>
      <c r="AX420" s="195">
        <f ca="1">IFERROR(__xludf.DUMMYFUNCTION("IF(IFERROR(SEARCH(""Unclear"", Z420)) = 1, VALUE(REGEXEXTRACT(Z420,""\d+"")), Z420)"),44)</f>
        <v>44</v>
      </c>
      <c r="AY420" s="195">
        <v>44</v>
      </c>
      <c r="AZ420" s="195" t="str">
        <f ca="1">IFERROR(__xludf.DUMMYFUNCTION("IF(IFERROR(SEARCH(""Unclear"", AG420)) = 1, VALUE(REGEXEXTRACT(AG420,""\d+"")), AG420)"),"ND")</f>
        <v>ND</v>
      </c>
      <c r="BA420" s="195" t="s">
        <v>324</v>
      </c>
      <c r="BB420" s="195" t="str">
        <f ca="1">IFERROR(__xludf.DUMMYFUNCTION("IF(IFERROR(SEARCH(""Unclear"", AJ420)) = 1, VALUE(REGEXEXTRACT(AJ420,""\d+"")), AJ420)"),"ND")</f>
        <v>ND</v>
      </c>
      <c r="BC420" s="195" t="s">
        <v>324</v>
      </c>
      <c r="BD420" s="195" t="b">
        <f t="shared" si="2"/>
        <v>0</v>
      </c>
      <c r="BE420" s="195" t="b">
        <f t="shared" ref="BE420:BF420" si="442">IF(IFERROR(FIND("ND",AI420),0),FALSE,TRUE)</f>
        <v>0</v>
      </c>
      <c r="BF420" s="195" t="b">
        <f t="shared" si="442"/>
        <v>0</v>
      </c>
    </row>
    <row r="421" spans="1:58" ht="37.5" customHeight="1">
      <c r="A421" s="220" t="s">
        <v>3456</v>
      </c>
      <c r="B421" s="245">
        <v>2015</v>
      </c>
      <c r="C421" s="195" t="s">
        <v>3457</v>
      </c>
      <c r="D421" s="4" t="s">
        <v>3458</v>
      </c>
      <c r="E421" s="245">
        <v>25814628</v>
      </c>
      <c r="F421" s="260" t="s">
        <v>3459</v>
      </c>
      <c r="G421" s="213" t="str">
        <f t="shared" si="419"/>
        <v>Deasy 2015</v>
      </c>
      <c r="H421" s="195">
        <v>2013</v>
      </c>
      <c r="I421" s="195" t="s">
        <v>3460</v>
      </c>
      <c r="J421" s="198" t="s">
        <v>3461</v>
      </c>
      <c r="K421" s="195">
        <v>143</v>
      </c>
      <c r="L421" s="4" t="s">
        <v>3473</v>
      </c>
      <c r="M421" s="195" t="s">
        <v>324</v>
      </c>
      <c r="N421" s="195" t="s">
        <v>324</v>
      </c>
      <c r="O421" s="195" t="s">
        <v>324</v>
      </c>
      <c r="P421" s="195" t="s">
        <v>324</v>
      </c>
      <c r="Q421" s="195" t="s">
        <v>324</v>
      </c>
      <c r="R421" s="195">
        <v>18</v>
      </c>
      <c r="S421" s="195">
        <v>25</v>
      </c>
      <c r="T421" s="195" t="s">
        <v>324</v>
      </c>
      <c r="U421" s="195" t="s">
        <v>324</v>
      </c>
      <c r="V421" s="195" t="s">
        <v>3472</v>
      </c>
      <c r="W421" s="199"/>
      <c r="X421" s="195">
        <v>143</v>
      </c>
      <c r="Y421" s="199"/>
      <c r="Z421" s="195">
        <v>36</v>
      </c>
      <c r="AA421" s="195"/>
      <c r="AB421" s="195">
        <v>0</v>
      </c>
      <c r="AC421" s="199"/>
      <c r="AD421" s="195" t="s">
        <v>322</v>
      </c>
      <c r="AE421" s="195" t="s">
        <v>3464</v>
      </c>
      <c r="AF421" s="195"/>
      <c r="AG421" s="195" t="s">
        <v>324</v>
      </c>
      <c r="AH421" s="195" t="s">
        <v>316</v>
      </c>
      <c r="AI421" s="195" t="s">
        <v>324</v>
      </c>
      <c r="AJ421" s="195" t="s">
        <v>324</v>
      </c>
      <c r="AK421" s="195"/>
      <c r="AL421" s="195" t="s">
        <v>322</v>
      </c>
      <c r="AM421" s="199"/>
      <c r="AN421" s="195" t="s">
        <v>3466</v>
      </c>
      <c r="AO421" s="195" t="s">
        <v>3467</v>
      </c>
      <c r="AP421" s="195" t="s">
        <v>3468</v>
      </c>
      <c r="AQ421" s="195" t="s">
        <v>3469</v>
      </c>
      <c r="AR421" s="220" t="s">
        <v>3359</v>
      </c>
      <c r="AS421" s="195" t="s">
        <v>316</v>
      </c>
      <c r="AT421" s="199"/>
      <c r="AU421" s="195" t="s">
        <v>3470</v>
      </c>
      <c r="AV421" s="195" t="s">
        <v>326</v>
      </c>
      <c r="AW421" s="195" t="str">
        <f ca="1">IFERROR(__xludf.DUMMYFUNCTION("IF(AND(IF(AS421=""Yes"",True,False),NOT(IFERROR(REGEXMATCH(AV421,ExclusionCategories),FALSE))),""Yes"", ""No"")"),"No")</f>
        <v>No</v>
      </c>
      <c r="AX421" s="195">
        <f ca="1">IFERROR(__xludf.DUMMYFUNCTION("IF(IFERROR(SEARCH(""Unclear"", Z421)) = 1, VALUE(REGEXEXTRACT(Z421,""\d+"")), Z421)"),36)</f>
        <v>36</v>
      </c>
      <c r="AY421" s="195">
        <v>36</v>
      </c>
      <c r="AZ421" s="195" t="str">
        <f ca="1">IFERROR(__xludf.DUMMYFUNCTION("IF(IFERROR(SEARCH(""Unclear"", AG421)) = 1, VALUE(REGEXEXTRACT(AG421,""\d+"")), AG421)"),"ND")</f>
        <v>ND</v>
      </c>
      <c r="BA421" s="195" t="s">
        <v>324</v>
      </c>
      <c r="BB421" s="195" t="str">
        <f ca="1">IFERROR(__xludf.DUMMYFUNCTION("IF(IFERROR(SEARCH(""Unclear"", AJ421)) = 1, VALUE(REGEXEXTRACT(AJ421,""\d+"")), AJ421)"),"ND")</f>
        <v>ND</v>
      </c>
      <c r="BC421" s="195" t="s">
        <v>324</v>
      </c>
      <c r="BD421" s="195" t="b">
        <f t="shared" si="2"/>
        <v>0</v>
      </c>
      <c r="BE421" s="195" t="b">
        <f t="shared" ref="BE421:BF421" si="443">IF(IFERROR(FIND("ND",AI421),0),FALSE,TRUE)</f>
        <v>0</v>
      </c>
      <c r="BF421" s="195" t="b">
        <f t="shared" si="443"/>
        <v>0</v>
      </c>
    </row>
    <row r="422" spans="1:58" ht="37.5" customHeight="1">
      <c r="A422" s="220" t="s">
        <v>3456</v>
      </c>
      <c r="B422" s="245">
        <v>2015</v>
      </c>
      <c r="C422" s="195" t="s">
        <v>3457</v>
      </c>
      <c r="D422" s="4" t="s">
        <v>3458</v>
      </c>
      <c r="E422" s="245">
        <v>25814628</v>
      </c>
      <c r="F422" s="260" t="s">
        <v>3459</v>
      </c>
      <c r="G422" s="213" t="str">
        <f t="shared" si="419"/>
        <v>Deasy 2015</v>
      </c>
      <c r="H422" s="195">
        <v>2013</v>
      </c>
      <c r="I422" s="195" t="s">
        <v>3460</v>
      </c>
      <c r="J422" s="198" t="s">
        <v>3461</v>
      </c>
      <c r="K422" s="195">
        <v>310</v>
      </c>
      <c r="L422" s="4" t="s">
        <v>3474</v>
      </c>
      <c r="M422" s="195">
        <v>123</v>
      </c>
      <c r="N422" s="195">
        <v>185</v>
      </c>
      <c r="O422" s="195" t="s">
        <v>324</v>
      </c>
      <c r="P422" s="195">
        <v>18</v>
      </c>
      <c r="Q422" s="195">
        <v>25</v>
      </c>
      <c r="R422" s="195">
        <v>18</v>
      </c>
      <c r="S422" s="195">
        <v>25</v>
      </c>
      <c r="T422" s="195" t="s">
        <v>324</v>
      </c>
      <c r="U422" s="195" t="s">
        <v>324</v>
      </c>
      <c r="V422" s="195" t="s">
        <v>3475</v>
      </c>
      <c r="W422" s="199"/>
      <c r="X422" s="195">
        <v>292</v>
      </c>
      <c r="Y422" s="199"/>
      <c r="Z422" s="195">
        <v>97</v>
      </c>
      <c r="AA422" s="195"/>
      <c r="AB422" s="195">
        <v>161</v>
      </c>
      <c r="AC422" s="195" t="s">
        <v>3476</v>
      </c>
      <c r="AD422" s="195" t="s">
        <v>324</v>
      </c>
      <c r="AE422" s="195" t="s">
        <v>3464</v>
      </c>
      <c r="AF422" s="195"/>
      <c r="AG422" s="195" t="s">
        <v>324</v>
      </c>
      <c r="AH422" s="195" t="s">
        <v>316</v>
      </c>
      <c r="AI422" s="195">
        <v>0</v>
      </c>
      <c r="AJ422" s="195" t="s">
        <v>324</v>
      </c>
      <c r="AK422" s="195" t="s">
        <v>3477</v>
      </c>
      <c r="AL422" s="195" t="s">
        <v>324</v>
      </c>
      <c r="AM422" s="199"/>
      <c r="AN422" s="195" t="s">
        <v>3466</v>
      </c>
      <c r="AO422" s="195" t="s">
        <v>3467</v>
      </c>
      <c r="AP422" s="195" t="s">
        <v>3468</v>
      </c>
      <c r="AQ422" s="195" t="s">
        <v>3469</v>
      </c>
      <c r="AR422" s="220" t="s">
        <v>3359</v>
      </c>
      <c r="AS422" s="195" t="s">
        <v>308</v>
      </c>
      <c r="AT422" s="199"/>
      <c r="AU422" s="195" t="s">
        <v>3470</v>
      </c>
      <c r="AV422" s="195" t="s">
        <v>337</v>
      </c>
      <c r="AW422" s="195" t="str">
        <f ca="1">IFERROR(__xludf.DUMMYFUNCTION("IF(AND(IF(AS422=""Yes"",True,False),NOT(IFERROR(REGEXMATCH(AV422,ExclusionCategories),FALSE))),""Yes"", ""No"")"),"Yes")</f>
        <v>Yes</v>
      </c>
      <c r="AX422" s="195">
        <f ca="1">IFERROR(__xludf.DUMMYFUNCTION("IF(IFERROR(SEARCH(""Unclear"", Z422)) = 1, VALUE(REGEXEXTRACT(Z422,""\d+"")), Z422)"),97)</f>
        <v>97</v>
      </c>
      <c r="AY422" s="195">
        <v>97</v>
      </c>
      <c r="AZ422" s="195" t="str">
        <f ca="1">IFERROR(__xludf.DUMMYFUNCTION("IF(IFERROR(SEARCH(""Unclear"", AG422)) = 1, VALUE(REGEXEXTRACT(AG422,""\d+"")), AG422)"),"ND")</f>
        <v>ND</v>
      </c>
      <c r="BA422" s="195" t="s">
        <v>324</v>
      </c>
      <c r="BB422" s="195" t="str">
        <f ca="1">IFERROR(__xludf.DUMMYFUNCTION("IF(IFERROR(SEARCH(""Unclear"", AJ422)) = 1, VALUE(REGEXEXTRACT(AJ422,""\d+"")), AJ422)"),"ND")</f>
        <v>ND</v>
      </c>
      <c r="BC422" s="195" t="s">
        <v>324</v>
      </c>
      <c r="BD422" s="195" t="b">
        <f t="shared" si="2"/>
        <v>0</v>
      </c>
      <c r="BE422" s="195" t="b">
        <f t="shared" ref="BE422:BF422" si="444">IF(IFERROR(FIND("ND",AI422),0),FALSE,TRUE)</f>
        <v>1</v>
      </c>
      <c r="BF422" s="195" t="b">
        <f t="shared" si="444"/>
        <v>0</v>
      </c>
    </row>
    <row r="423" spans="1:58" ht="37.5" customHeight="1">
      <c r="A423" s="212" t="s">
        <v>3478</v>
      </c>
      <c r="B423" s="245">
        <v>2012</v>
      </c>
      <c r="C423" s="195" t="s">
        <v>339</v>
      </c>
      <c r="D423" s="4" t="s">
        <v>3479</v>
      </c>
      <c r="E423" s="245">
        <v>22052893</v>
      </c>
      <c r="F423" s="260" t="s">
        <v>3480</v>
      </c>
      <c r="G423" s="213" t="str">
        <f t="shared" si="419"/>
        <v>Deye 2012</v>
      </c>
      <c r="H423" s="195">
        <v>2010</v>
      </c>
      <c r="I423" s="195" t="s">
        <v>3481</v>
      </c>
      <c r="J423" s="198" t="s">
        <v>3482</v>
      </c>
      <c r="K423" s="195">
        <v>35</v>
      </c>
      <c r="L423" s="4"/>
      <c r="M423" s="195">
        <v>23</v>
      </c>
      <c r="N423" s="195">
        <v>12</v>
      </c>
      <c r="O423" s="195" t="s">
        <v>324</v>
      </c>
      <c r="P423" s="195">
        <v>20</v>
      </c>
      <c r="Q423" s="195">
        <v>50</v>
      </c>
      <c r="R423" s="195">
        <v>18</v>
      </c>
      <c r="S423" s="195">
        <v>50</v>
      </c>
      <c r="T423" s="195">
        <v>31.2</v>
      </c>
      <c r="U423" s="195">
        <v>8.6</v>
      </c>
      <c r="V423" s="195" t="s">
        <v>1076</v>
      </c>
      <c r="W423" s="199"/>
      <c r="X423" s="195">
        <v>35</v>
      </c>
      <c r="Y423" s="195" t="s">
        <v>3483</v>
      </c>
      <c r="Z423" s="195">
        <v>9</v>
      </c>
      <c r="AA423" s="195" t="s">
        <v>3484</v>
      </c>
      <c r="AB423" s="195">
        <v>0</v>
      </c>
      <c r="AC423" s="199"/>
      <c r="AD423" s="195" t="s">
        <v>322</v>
      </c>
      <c r="AE423" s="195" t="s">
        <v>3485</v>
      </c>
      <c r="AF423" s="195" t="s">
        <v>3486</v>
      </c>
      <c r="AG423" s="195" t="s">
        <v>324</v>
      </c>
      <c r="AH423" s="195" t="s">
        <v>308</v>
      </c>
      <c r="AI423" s="195" t="s">
        <v>324</v>
      </c>
      <c r="AJ423" s="195" t="s">
        <v>324</v>
      </c>
      <c r="AK423" s="195"/>
      <c r="AL423" s="195" t="s">
        <v>322</v>
      </c>
      <c r="AM423" s="199"/>
      <c r="AN423" s="195" t="s">
        <v>3487</v>
      </c>
      <c r="AO423" s="195" t="s">
        <v>3488</v>
      </c>
      <c r="AP423" s="195" t="s">
        <v>3489</v>
      </c>
      <c r="AQ423" s="195" t="s">
        <v>3490</v>
      </c>
      <c r="AR423" s="220" t="s">
        <v>3359</v>
      </c>
      <c r="AS423" s="195" t="s">
        <v>308</v>
      </c>
      <c r="AT423" s="199"/>
      <c r="AU423" s="195" t="s">
        <v>3491</v>
      </c>
      <c r="AV423" s="195" t="s">
        <v>9</v>
      </c>
      <c r="AW423" s="195" t="str">
        <f ca="1">IFERROR(__xludf.DUMMYFUNCTION("IF(AND(IF(AS423=""Yes"",True,False),NOT(IFERROR(REGEXMATCH(AV423,ExclusionCategories),FALSE))),""Yes"", ""No"")"),"Yes")</f>
        <v>Yes</v>
      </c>
      <c r="AX423" s="195">
        <f ca="1">IFERROR(__xludf.DUMMYFUNCTION("IF(IFERROR(SEARCH(""Unclear"", Z423)) = 1, VALUE(REGEXEXTRACT(Z423,""\d+"")), Z423)"),9)</f>
        <v>9</v>
      </c>
      <c r="AY423" s="195">
        <v>9</v>
      </c>
      <c r="AZ423" s="195" t="str">
        <f ca="1">IFERROR(__xludf.DUMMYFUNCTION("IF(IFERROR(SEARCH(""Unclear"", AG423)) = 1, VALUE(REGEXEXTRACT(AG423,""\d+"")), AG423)"),"ND")</f>
        <v>ND</v>
      </c>
      <c r="BA423" s="195" t="s">
        <v>324</v>
      </c>
      <c r="BB423" s="195" t="str">
        <f ca="1">IFERROR(__xludf.DUMMYFUNCTION("IF(IFERROR(SEARCH(""Unclear"", AJ423)) = 1, VALUE(REGEXEXTRACT(AJ423,""\d+"")), AJ423)"),"ND")</f>
        <v>ND</v>
      </c>
      <c r="BC423" s="195" t="s">
        <v>324</v>
      </c>
      <c r="BD423" s="195" t="b">
        <f t="shared" si="2"/>
        <v>0</v>
      </c>
      <c r="BE423" s="195" t="b">
        <f t="shared" ref="BE423:BF423" si="445">IF(IFERROR(FIND("ND",AI423),0),FALSE,TRUE)</f>
        <v>0</v>
      </c>
      <c r="BF423" s="195" t="b">
        <f t="shared" si="445"/>
        <v>0</v>
      </c>
    </row>
    <row r="424" spans="1:58" ht="37.5" customHeight="1">
      <c r="A424" s="220" t="s">
        <v>3492</v>
      </c>
      <c r="B424" s="245">
        <v>2017</v>
      </c>
      <c r="C424" s="195" t="s">
        <v>668</v>
      </c>
      <c r="D424" s="4" t="s">
        <v>3493</v>
      </c>
      <c r="E424" s="245">
        <v>28158395</v>
      </c>
      <c r="F424" s="260" t="s">
        <v>3494</v>
      </c>
      <c r="G424" s="213" t="str">
        <f t="shared" si="419"/>
        <v>Dobinson 2017</v>
      </c>
      <c r="H424" s="195">
        <v>2016</v>
      </c>
      <c r="I424" s="195" t="s">
        <v>3495</v>
      </c>
      <c r="J424" s="198" t="s">
        <v>3496</v>
      </c>
      <c r="K424" s="195">
        <v>40</v>
      </c>
      <c r="L424" s="4" t="s">
        <v>3497</v>
      </c>
      <c r="M424" s="195">
        <v>21</v>
      </c>
      <c r="N424" s="195">
        <v>19</v>
      </c>
      <c r="O424" s="195">
        <v>25</v>
      </c>
      <c r="P424" s="195">
        <v>19</v>
      </c>
      <c r="Q424" s="195">
        <v>50</v>
      </c>
      <c r="R424" s="195">
        <v>18</v>
      </c>
      <c r="S424" s="195">
        <v>60</v>
      </c>
      <c r="T424" s="195" t="s">
        <v>324</v>
      </c>
      <c r="U424" s="195" t="s">
        <v>324</v>
      </c>
      <c r="V424" s="195" t="s">
        <v>3498</v>
      </c>
      <c r="W424" s="195"/>
      <c r="X424" s="195">
        <v>40</v>
      </c>
      <c r="Y424" s="195"/>
      <c r="Z424" s="195">
        <v>20</v>
      </c>
      <c r="AA424" s="195"/>
      <c r="AB424" s="195">
        <v>0</v>
      </c>
      <c r="AC424" s="199"/>
      <c r="AD424" s="195" t="s">
        <v>322</v>
      </c>
      <c r="AE424" s="195" t="s">
        <v>3499</v>
      </c>
      <c r="AF424" s="195" t="s">
        <v>3500</v>
      </c>
      <c r="AG424" s="195" t="s">
        <v>876</v>
      </c>
      <c r="AH424" s="195" t="s">
        <v>308</v>
      </c>
      <c r="AI424" s="195">
        <v>0</v>
      </c>
      <c r="AJ424" s="195" t="s">
        <v>2790</v>
      </c>
      <c r="AK424" s="195" t="s">
        <v>3501</v>
      </c>
      <c r="AL424" s="195" t="s">
        <v>322</v>
      </c>
      <c r="AM424" s="199"/>
      <c r="AN424" s="195" t="s">
        <v>3502</v>
      </c>
      <c r="AO424" s="195" t="s">
        <v>3503</v>
      </c>
      <c r="AP424" s="195" t="s">
        <v>3504</v>
      </c>
      <c r="AQ424" s="195" t="s">
        <v>3505</v>
      </c>
      <c r="AR424" s="220" t="s">
        <v>3359</v>
      </c>
      <c r="AS424" s="195" t="s">
        <v>308</v>
      </c>
      <c r="AT424" s="199"/>
      <c r="AU424" s="195" t="s">
        <v>3506</v>
      </c>
      <c r="AV424" s="195" t="s">
        <v>738</v>
      </c>
      <c r="AW424" s="195" t="str">
        <f ca="1">IFERROR(__xludf.DUMMYFUNCTION("IF(AND(IF(AS424=""Yes"",True,False),NOT(IFERROR(REGEXMATCH(AV424,ExclusionCategories),FALSE))),""Yes"", ""No"")"),"Yes")</f>
        <v>Yes</v>
      </c>
      <c r="AX424" s="195">
        <f ca="1">IFERROR(__xludf.DUMMYFUNCTION("IF(IFERROR(SEARCH(""Unclear"", Z424)) = 1, VALUE(REGEXEXTRACT(Z424,""\d+"")), Z424)"),20)</f>
        <v>20</v>
      </c>
      <c r="AY424" s="195">
        <v>20</v>
      </c>
      <c r="AZ424" s="195">
        <f ca="1">IFERROR(__xludf.DUMMYFUNCTION("IF(IFERROR(SEARCH(""Unclear"", AG424)) = 1, VALUE(REGEXEXTRACT(AG424,""\d+"")), AG424)"),27)</f>
        <v>27</v>
      </c>
      <c r="BA424" s="195">
        <v>40</v>
      </c>
      <c r="BB424" s="195">
        <f ca="1">IFERROR(__xludf.DUMMYFUNCTION("IF(IFERROR(SEARCH(""Unclear"", AJ424)) = 1, VALUE(REGEXEXTRACT(AJ424,""\d+"")), AJ424)"),6)</f>
        <v>6</v>
      </c>
      <c r="BC424" s="195">
        <v>40</v>
      </c>
      <c r="BD424" s="195" t="b">
        <f t="shared" si="2"/>
        <v>1</v>
      </c>
      <c r="BE424" s="195" t="b">
        <f t="shared" ref="BE424:BF424" si="446">IF(IFERROR(FIND("ND",AI424),0),FALSE,TRUE)</f>
        <v>1</v>
      </c>
      <c r="BF424" s="195" t="b">
        <f t="shared" si="446"/>
        <v>1</v>
      </c>
    </row>
    <row r="425" spans="1:58" ht="37.5" customHeight="1">
      <c r="A425" s="220" t="s">
        <v>2745</v>
      </c>
      <c r="B425" s="245">
        <v>1995</v>
      </c>
      <c r="C425" s="195" t="s">
        <v>2061</v>
      </c>
      <c r="D425" s="4" t="s">
        <v>2062</v>
      </c>
      <c r="E425" s="245">
        <v>7870140</v>
      </c>
      <c r="F425" s="260" t="s">
        <v>3507</v>
      </c>
      <c r="G425" s="213" t="str">
        <f t="shared" si="419"/>
        <v>DuPont 1995</v>
      </c>
      <c r="H425" s="195">
        <v>1994</v>
      </c>
      <c r="I425" s="195"/>
      <c r="J425" s="197"/>
      <c r="K425" s="195">
        <v>29</v>
      </c>
      <c r="L425" s="4"/>
      <c r="M425" s="195">
        <v>12</v>
      </c>
      <c r="N425" s="195">
        <v>17</v>
      </c>
      <c r="O425" s="195" t="s">
        <v>324</v>
      </c>
      <c r="P425" s="195">
        <v>20</v>
      </c>
      <c r="Q425" s="195">
        <v>45</v>
      </c>
      <c r="R425" s="195" t="s">
        <v>324</v>
      </c>
      <c r="S425" s="195" t="s">
        <v>324</v>
      </c>
      <c r="T425" s="195" t="s">
        <v>324</v>
      </c>
      <c r="U425" s="195" t="s">
        <v>324</v>
      </c>
      <c r="V425" s="195" t="s">
        <v>3508</v>
      </c>
      <c r="W425" s="195"/>
      <c r="X425" s="195">
        <v>29</v>
      </c>
      <c r="Y425" s="195"/>
      <c r="Z425" s="195">
        <v>18</v>
      </c>
      <c r="AA425" s="195"/>
      <c r="AB425" s="195">
        <v>0</v>
      </c>
      <c r="AC425" s="199"/>
      <c r="AD425" s="195" t="s">
        <v>322</v>
      </c>
      <c r="AE425" s="195" t="s">
        <v>332</v>
      </c>
      <c r="AF425" s="195" t="s">
        <v>2065</v>
      </c>
      <c r="AG425" s="195">
        <v>11</v>
      </c>
      <c r="AH425" s="195" t="s">
        <v>316</v>
      </c>
      <c r="AI425" s="195">
        <v>0</v>
      </c>
      <c r="AJ425" s="195" t="s">
        <v>324</v>
      </c>
      <c r="AK425" s="195" t="s">
        <v>499</v>
      </c>
      <c r="AL425" s="195" t="s">
        <v>322</v>
      </c>
      <c r="AM425" s="199"/>
      <c r="AN425" s="195" t="s">
        <v>3509</v>
      </c>
      <c r="AO425" s="195" t="s">
        <v>3510</v>
      </c>
      <c r="AP425" s="195" t="s">
        <v>3511</v>
      </c>
      <c r="AQ425" s="195" t="s">
        <v>324</v>
      </c>
      <c r="AR425" s="220" t="s">
        <v>3359</v>
      </c>
      <c r="AS425" s="195" t="s">
        <v>308</v>
      </c>
      <c r="AT425" s="199"/>
      <c r="AU425" s="195" t="s">
        <v>3512</v>
      </c>
      <c r="AV425" s="195" t="s">
        <v>571</v>
      </c>
      <c r="AW425" s="195" t="str">
        <f ca="1">IFERROR(__xludf.DUMMYFUNCTION("IF(AND(IF(AS425=""Yes"",True,False),NOT(IFERROR(REGEXMATCH(AV425,ExclusionCategories),FALSE))),""Yes"", ""No"")"),"Yes")</f>
        <v>Yes</v>
      </c>
      <c r="AX425" s="195">
        <f ca="1">IFERROR(__xludf.DUMMYFUNCTION("IF(IFERROR(SEARCH(""Unclear"", Z425)) = 1, VALUE(REGEXEXTRACT(Z425,""\d+"")), Z425)"),18)</f>
        <v>18</v>
      </c>
      <c r="AY425" s="195">
        <v>18</v>
      </c>
      <c r="AZ425" s="195">
        <f ca="1">IFERROR(__xludf.DUMMYFUNCTION("IF(IFERROR(SEARCH(""Unclear"", AG425)) = 1, VALUE(REGEXEXTRACT(AG425,""\d+"")), AG425)"),11)</f>
        <v>11</v>
      </c>
      <c r="BA425" s="195">
        <v>11</v>
      </c>
      <c r="BB425" s="195" t="str">
        <f ca="1">IFERROR(__xludf.DUMMYFUNCTION("IF(IFERROR(SEARCH(""Unclear"", AJ425)) = 1, VALUE(REGEXEXTRACT(AJ425,""\d+"")), AJ425)"),"ND")</f>
        <v>ND</v>
      </c>
      <c r="BC425" s="195" t="s">
        <v>324</v>
      </c>
      <c r="BD425" s="195" t="b">
        <f t="shared" si="2"/>
        <v>1</v>
      </c>
      <c r="BE425" s="195" t="b">
        <f t="shared" ref="BE425:BF425" si="447">IF(IFERROR(FIND("ND",AI425),0),FALSE,TRUE)</f>
        <v>1</v>
      </c>
      <c r="BF425" s="195" t="b">
        <f t="shared" si="447"/>
        <v>0</v>
      </c>
    </row>
    <row r="426" spans="1:58" ht="37.5" customHeight="1">
      <c r="A426" s="220" t="s">
        <v>3513</v>
      </c>
      <c r="B426" s="245">
        <v>1988</v>
      </c>
      <c r="C426" s="195" t="s">
        <v>619</v>
      </c>
      <c r="D426" s="4" t="s">
        <v>3514</v>
      </c>
      <c r="E426" s="245">
        <v>3078739</v>
      </c>
      <c r="F426" s="260" t="s">
        <v>3515</v>
      </c>
      <c r="G426" s="213" t="str">
        <f t="shared" si="419"/>
        <v>Evans 1988</v>
      </c>
      <c r="H426" s="217">
        <v>1988</v>
      </c>
      <c r="I426" s="195"/>
      <c r="J426" s="197"/>
      <c r="K426" s="195">
        <v>8</v>
      </c>
      <c r="L426" s="4" t="s">
        <v>3516</v>
      </c>
      <c r="M426" s="195" t="s">
        <v>324</v>
      </c>
      <c r="N426" s="195" t="s">
        <v>324</v>
      </c>
      <c r="O426" s="195" t="s">
        <v>324</v>
      </c>
      <c r="P426" s="195" t="s">
        <v>324</v>
      </c>
      <c r="Q426" s="195" t="s">
        <v>324</v>
      </c>
      <c r="R426" s="195">
        <v>19</v>
      </c>
      <c r="S426" s="195" t="s">
        <v>324</v>
      </c>
      <c r="T426" s="195" t="s">
        <v>324</v>
      </c>
      <c r="U426" s="195" t="s">
        <v>324</v>
      </c>
      <c r="V426" s="195" t="s">
        <v>3517</v>
      </c>
      <c r="W426" s="195"/>
      <c r="X426" s="195">
        <v>8</v>
      </c>
      <c r="Y426" s="195" t="s">
        <v>3518</v>
      </c>
      <c r="Z426" s="195">
        <v>2</v>
      </c>
      <c r="AA426" s="195"/>
      <c r="AB426" s="195">
        <v>0</v>
      </c>
      <c r="AC426" s="199"/>
      <c r="AD426" s="195" t="s">
        <v>322</v>
      </c>
      <c r="AE426" s="195" t="s">
        <v>3519</v>
      </c>
      <c r="AF426" s="195" t="s">
        <v>1472</v>
      </c>
      <c r="AG426" s="195" t="s">
        <v>324</v>
      </c>
      <c r="AH426" s="195" t="s">
        <v>316</v>
      </c>
      <c r="AI426" s="195">
        <v>0</v>
      </c>
      <c r="AJ426" s="195" t="s">
        <v>324</v>
      </c>
      <c r="AK426" s="195" t="s">
        <v>499</v>
      </c>
      <c r="AL426" s="195" t="s">
        <v>322</v>
      </c>
      <c r="AM426" s="199"/>
      <c r="AN426" s="195" t="s">
        <v>3520</v>
      </c>
      <c r="AO426" s="195" t="s">
        <v>3521</v>
      </c>
      <c r="AP426" s="195" t="s">
        <v>3522</v>
      </c>
      <c r="AQ426" s="195" t="s">
        <v>324</v>
      </c>
      <c r="AR426" s="220" t="s">
        <v>3359</v>
      </c>
      <c r="AS426" s="195" t="s">
        <v>316</v>
      </c>
      <c r="AT426" s="199"/>
      <c r="AU426" s="195" t="s">
        <v>3523</v>
      </c>
      <c r="AV426" s="195" t="s">
        <v>1916</v>
      </c>
      <c r="AW426" s="195" t="str">
        <f ca="1">IFERROR(__xludf.DUMMYFUNCTION("IF(AND(IF(AS426=""Yes"",True,False),NOT(IFERROR(REGEXMATCH(AV426,ExclusionCategories),FALSE))),""Yes"", ""No"")"),"No")</f>
        <v>No</v>
      </c>
      <c r="AX426" s="195">
        <f ca="1">IFERROR(__xludf.DUMMYFUNCTION("IF(IFERROR(SEARCH(""Unclear"", Z426)) = 1, VALUE(REGEXEXTRACT(Z426,""\d+"")), Z426)"),2)</f>
        <v>2</v>
      </c>
      <c r="AY426" s="195">
        <v>2</v>
      </c>
      <c r="AZ426" s="195" t="str">
        <f ca="1">IFERROR(__xludf.DUMMYFUNCTION("IF(IFERROR(SEARCH(""Unclear"", AG426)) = 1, VALUE(REGEXEXTRACT(AG426,""\d+"")), AG426)"),"ND")</f>
        <v>ND</v>
      </c>
      <c r="BA426" s="195" t="s">
        <v>324</v>
      </c>
      <c r="BB426" s="195" t="str">
        <f ca="1">IFERROR(__xludf.DUMMYFUNCTION("IF(IFERROR(SEARCH(""Unclear"", AJ426)) = 1, VALUE(REGEXEXTRACT(AJ426,""\d+"")), AJ426)"),"ND")</f>
        <v>ND</v>
      </c>
      <c r="BC426" s="195" t="s">
        <v>324</v>
      </c>
      <c r="BD426" s="195" t="b">
        <f t="shared" si="2"/>
        <v>0</v>
      </c>
      <c r="BE426" s="195" t="b">
        <f t="shared" ref="BE426:BF426" si="448">IF(IFERROR(FIND("ND",AI426),0),FALSE,TRUE)</f>
        <v>1</v>
      </c>
      <c r="BF426" s="195" t="b">
        <f t="shared" si="448"/>
        <v>0</v>
      </c>
    </row>
    <row r="427" spans="1:58" ht="37.5" customHeight="1">
      <c r="A427" s="220" t="s">
        <v>3513</v>
      </c>
      <c r="B427" s="245">
        <v>1988</v>
      </c>
      <c r="C427" s="195" t="s">
        <v>619</v>
      </c>
      <c r="D427" s="4" t="s">
        <v>3524</v>
      </c>
      <c r="E427" s="245">
        <v>3078739</v>
      </c>
      <c r="F427" s="260" t="s">
        <v>3515</v>
      </c>
      <c r="G427" s="213" t="str">
        <f t="shared" si="419"/>
        <v>Evans 1988</v>
      </c>
      <c r="H427" s="217">
        <v>1988</v>
      </c>
      <c r="I427" s="195"/>
      <c r="J427" s="197"/>
      <c r="K427" s="195">
        <v>8</v>
      </c>
      <c r="L427" s="4" t="s">
        <v>3525</v>
      </c>
      <c r="M427" s="195" t="s">
        <v>324</v>
      </c>
      <c r="N427" s="195" t="s">
        <v>324</v>
      </c>
      <c r="O427" s="195" t="s">
        <v>324</v>
      </c>
      <c r="P427" s="195" t="s">
        <v>324</v>
      </c>
      <c r="Q427" s="195" t="s">
        <v>324</v>
      </c>
      <c r="R427" s="195">
        <v>19</v>
      </c>
      <c r="S427" s="195" t="s">
        <v>324</v>
      </c>
      <c r="T427" s="195" t="s">
        <v>324</v>
      </c>
      <c r="U427" s="195" t="s">
        <v>324</v>
      </c>
      <c r="V427" s="195" t="s">
        <v>3517</v>
      </c>
      <c r="W427" s="195"/>
      <c r="X427" s="195">
        <v>8</v>
      </c>
      <c r="Y427" s="195" t="s">
        <v>3518</v>
      </c>
      <c r="Z427" s="195">
        <v>2</v>
      </c>
      <c r="AA427" s="195"/>
      <c r="AB427" s="195">
        <v>0</v>
      </c>
      <c r="AC427" s="199"/>
      <c r="AD427" s="195" t="s">
        <v>322</v>
      </c>
      <c r="AE427" s="195" t="s">
        <v>3519</v>
      </c>
      <c r="AF427" s="195" t="s">
        <v>1472</v>
      </c>
      <c r="AG427" s="195" t="s">
        <v>324</v>
      </c>
      <c r="AH427" s="195" t="s">
        <v>316</v>
      </c>
      <c r="AI427" s="195">
        <v>0</v>
      </c>
      <c r="AJ427" s="195" t="s">
        <v>324</v>
      </c>
      <c r="AK427" s="195" t="s">
        <v>499</v>
      </c>
      <c r="AL427" s="195" t="s">
        <v>322</v>
      </c>
      <c r="AM427" s="199"/>
      <c r="AN427" s="195" t="s">
        <v>3520</v>
      </c>
      <c r="AO427" s="195" t="s">
        <v>3521</v>
      </c>
      <c r="AP427" s="195" t="s">
        <v>3522</v>
      </c>
      <c r="AQ427" s="195" t="s">
        <v>324</v>
      </c>
      <c r="AR427" s="220" t="s">
        <v>3359</v>
      </c>
      <c r="AS427" s="195" t="s">
        <v>316</v>
      </c>
      <c r="AT427" s="199"/>
      <c r="AU427" s="195" t="s">
        <v>3523</v>
      </c>
      <c r="AV427" s="195" t="s">
        <v>1916</v>
      </c>
      <c r="AW427" s="195" t="str">
        <f ca="1">IFERROR(__xludf.DUMMYFUNCTION("IF(AND(IF(AS427=""Yes"",True,False),NOT(IFERROR(REGEXMATCH(AV427,ExclusionCategories),FALSE))),""Yes"", ""No"")"),"No")</f>
        <v>No</v>
      </c>
      <c r="AX427" s="195">
        <f ca="1">IFERROR(__xludf.DUMMYFUNCTION("IF(IFERROR(SEARCH(""Unclear"", Z427)) = 1, VALUE(REGEXEXTRACT(Z427,""\d+"")), Z427)"),2)</f>
        <v>2</v>
      </c>
      <c r="AY427" s="195">
        <v>2</v>
      </c>
      <c r="AZ427" s="195" t="str">
        <f ca="1">IFERROR(__xludf.DUMMYFUNCTION("IF(IFERROR(SEARCH(""Unclear"", AG427)) = 1, VALUE(REGEXEXTRACT(AG427,""\d+"")), AG427)"),"ND")</f>
        <v>ND</v>
      </c>
      <c r="BA427" s="195" t="s">
        <v>324</v>
      </c>
      <c r="BB427" s="195" t="str">
        <f ca="1">IFERROR(__xludf.DUMMYFUNCTION("IF(IFERROR(SEARCH(""Unclear"", AJ427)) = 1, VALUE(REGEXEXTRACT(AJ427,""\d+"")), AJ427)"),"ND")</f>
        <v>ND</v>
      </c>
      <c r="BC427" s="195" t="s">
        <v>324</v>
      </c>
      <c r="BD427" s="195" t="b">
        <f t="shared" si="2"/>
        <v>0</v>
      </c>
      <c r="BE427" s="195" t="b">
        <f t="shared" ref="BE427:BF427" si="449">IF(IFERROR(FIND("ND",AI427),0),FALSE,TRUE)</f>
        <v>1</v>
      </c>
      <c r="BF427" s="195" t="b">
        <f t="shared" si="449"/>
        <v>0</v>
      </c>
    </row>
    <row r="428" spans="1:58" ht="37.5" customHeight="1">
      <c r="A428" s="220" t="s">
        <v>3513</v>
      </c>
      <c r="B428" s="245">
        <v>1988</v>
      </c>
      <c r="C428" s="195" t="s">
        <v>619</v>
      </c>
      <c r="D428" s="4" t="s">
        <v>3526</v>
      </c>
      <c r="E428" s="245">
        <v>3078739</v>
      </c>
      <c r="F428" s="260" t="s">
        <v>3515</v>
      </c>
      <c r="G428" s="213" t="str">
        <f t="shared" si="419"/>
        <v>Evans 1988</v>
      </c>
      <c r="H428" s="217">
        <v>1988</v>
      </c>
      <c r="I428" s="195"/>
      <c r="J428" s="197"/>
      <c r="K428" s="195">
        <v>6</v>
      </c>
      <c r="L428" s="4" t="s">
        <v>3527</v>
      </c>
      <c r="M428" s="195" t="s">
        <v>324</v>
      </c>
      <c r="N428" s="195" t="s">
        <v>324</v>
      </c>
      <c r="O428" s="195" t="s">
        <v>324</v>
      </c>
      <c r="P428" s="195" t="s">
        <v>324</v>
      </c>
      <c r="Q428" s="195" t="s">
        <v>324</v>
      </c>
      <c r="R428" s="195">
        <v>19</v>
      </c>
      <c r="S428" s="195" t="s">
        <v>324</v>
      </c>
      <c r="T428" s="195" t="s">
        <v>324</v>
      </c>
      <c r="U428" s="195" t="s">
        <v>324</v>
      </c>
      <c r="V428" s="195" t="s">
        <v>3517</v>
      </c>
      <c r="W428" s="195"/>
      <c r="X428" s="195">
        <v>6</v>
      </c>
      <c r="Y428" s="195" t="s">
        <v>3518</v>
      </c>
      <c r="Z428" s="195">
        <v>1</v>
      </c>
      <c r="AA428" s="195"/>
      <c r="AB428" s="195">
        <v>0</v>
      </c>
      <c r="AC428" s="199"/>
      <c r="AD428" s="195" t="s">
        <v>322</v>
      </c>
      <c r="AE428" s="195" t="s">
        <v>3519</v>
      </c>
      <c r="AF428" s="195" t="s">
        <v>1472</v>
      </c>
      <c r="AG428" s="195" t="s">
        <v>324</v>
      </c>
      <c r="AH428" s="195" t="s">
        <v>316</v>
      </c>
      <c r="AI428" s="195">
        <v>0</v>
      </c>
      <c r="AJ428" s="195" t="s">
        <v>324</v>
      </c>
      <c r="AK428" s="195" t="s">
        <v>499</v>
      </c>
      <c r="AL428" s="195" t="s">
        <v>322</v>
      </c>
      <c r="AM428" s="199"/>
      <c r="AN428" s="195" t="s">
        <v>3520</v>
      </c>
      <c r="AO428" s="195" t="s">
        <v>3521</v>
      </c>
      <c r="AP428" s="195" t="s">
        <v>3522</v>
      </c>
      <c r="AQ428" s="195" t="s">
        <v>324</v>
      </c>
      <c r="AR428" s="220" t="s">
        <v>3359</v>
      </c>
      <c r="AS428" s="195" t="s">
        <v>316</v>
      </c>
      <c r="AT428" s="199"/>
      <c r="AU428" s="195" t="s">
        <v>3523</v>
      </c>
      <c r="AV428" s="195" t="s">
        <v>1916</v>
      </c>
      <c r="AW428" s="195" t="str">
        <f ca="1">IFERROR(__xludf.DUMMYFUNCTION("IF(AND(IF(AS428=""Yes"",True,False),NOT(IFERROR(REGEXMATCH(AV428,ExclusionCategories),FALSE))),""Yes"", ""No"")"),"No")</f>
        <v>No</v>
      </c>
      <c r="AX428" s="195">
        <f ca="1">IFERROR(__xludf.DUMMYFUNCTION("IF(IFERROR(SEARCH(""Unclear"", Z428)) = 1, VALUE(REGEXEXTRACT(Z428,""\d+"")), Z428)"),1)</f>
        <v>1</v>
      </c>
      <c r="AY428" s="195">
        <v>1</v>
      </c>
      <c r="AZ428" s="195" t="str">
        <f ca="1">IFERROR(__xludf.DUMMYFUNCTION("IF(IFERROR(SEARCH(""Unclear"", AG428)) = 1, VALUE(REGEXEXTRACT(AG428,""\d+"")), AG428)"),"ND")</f>
        <v>ND</v>
      </c>
      <c r="BA428" s="195" t="s">
        <v>324</v>
      </c>
      <c r="BB428" s="195" t="str">
        <f ca="1">IFERROR(__xludf.DUMMYFUNCTION("IF(IFERROR(SEARCH(""Unclear"", AJ428)) = 1, VALUE(REGEXEXTRACT(AJ428,""\d+"")), AJ428)"),"ND")</f>
        <v>ND</v>
      </c>
      <c r="BC428" s="195" t="s">
        <v>324</v>
      </c>
      <c r="BD428" s="195" t="b">
        <f t="shared" si="2"/>
        <v>0</v>
      </c>
      <c r="BE428" s="195" t="b">
        <f t="shared" ref="BE428:BF428" si="450">IF(IFERROR(FIND("ND",AI428),0),FALSE,TRUE)</f>
        <v>1</v>
      </c>
      <c r="BF428" s="195" t="b">
        <f t="shared" si="450"/>
        <v>0</v>
      </c>
    </row>
    <row r="429" spans="1:58" ht="37.5" customHeight="1">
      <c r="A429" s="220" t="s">
        <v>3513</v>
      </c>
      <c r="B429" s="245">
        <v>1988</v>
      </c>
      <c r="C429" s="195" t="s">
        <v>619</v>
      </c>
      <c r="D429" s="4" t="s">
        <v>3528</v>
      </c>
      <c r="E429" s="245">
        <v>3078739</v>
      </c>
      <c r="F429" s="260" t="s">
        <v>3515</v>
      </c>
      <c r="G429" s="213" t="str">
        <f t="shared" si="419"/>
        <v>Evans 1988</v>
      </c>
      <c r="H429" s="217">
        <v>1988</v>
      </c>
      <c r="I429" s="195"/>
      <c r="J429" s="197"/>
      <c r="K429" s="195">
        <v>22</v>
      </c>
      <c r="L429" s="4" t="s">
        <v>2272</v>
      </c>
      <c r="M429" s="195" t="s">
        <v>324</v>
      </c>
      <c r="N429" s="195" t="s">
        <v>324</v>
      </c>
      <c r="O429" s="195" t="s">
        <v>324</v>
      </c>
      <c r="P429" s="195" t="s">
        <v>324</v>
      </c>
      <c r="Q429" s="195" t="s">
        <v>324</v>
      </c>
      <c r="R429" s="195">
        <v>19</v>
      </c>
      <c r="S429" s="195" t="s">
        <v>324</v>
      </c>
      <c r="T429" s="195" t="s">
        <v>324</v>
      </c>
      <c r="U429" s="195" t="s">
        <v>324</v>
      </c>
      <c r="V429" s="195" t="s">
        <v>3517</v>
      </c>
      <c r="W429" s="195"/>
      <c r="X429" s="195">
        <v>22</v>
      </c>
      <c r="Y429" s="195"/>
      <c r="Z429" s="195">
        <v>5</v>
      </c>
      <c r="AA429" s="195"/>
      <c r="AB429" s="195">
        <v>0</v>
      </c>
      <c r="AC429" s="199"/>
      <c r="AD429" s="195" t="s">
        <v>322</v>
      </c>
      <c r="AE429" s="195" t="s">
        <v>3519</v>
      </c>
      <c r="AF429" s="195" t="s">
        <v>1472</v>
      </c>
      <c r="AG429" s="195" t="s">
        <v>324</v>
      </c>
      <c r="AH429" s="195" t="s">
        <v>316</v>
      </c>
      <c r="AI429" s="195">
        <v>0</v>
      </c>
      <c r="AJ429" s="195" t="s">
        <v>324</v>
      </c>
      <c r="AK429" s="195" t="s">
        <v>499</v>
      </c>
      <c r="AL429" s="195" t="s">
        <v>322</v>
      </c>
      <c r="AM429" s="199"/>
      <c r="AN429" s="195" t="s">
        <v>3520</v>
      </c>
      <c r="AO429" s="195" t="s">
        <v>3521</v>
      </c>
      <c r="AP429" s="195" t="s">
        <v>3522</v>
      </c>
      <c r="AQ429" s="195" t="s">
        <v>324</v>
      </c>
      <c r="AR429" s="220" t="s">
        <v>3359</v>
      </c>
      <c r="AS429" s="195" t="s">
        <v>308</v>
      </c>
      <c r="AT429" s="199"/>
      <c r="AU429" s="195" t="s">
        <v>3523</v>
      </c>
      <c r="AV429" s="195" t="s">
        <v>1921</v>
      </c>
      <c r="AW429" s="195" t="str">
        <f ca="1">IFERROR(__xludf.DUMMYFUNCTION("IF(AND(IF(AS429=""Yes"",True,False),NOT(IFERROR(REGEXMATCH(AV429,ExclusionCategories),FALSE))),""Yes"", ""No"")"),"Yes")</f>
        <v>Yes</v>
      </c>
      <c r="AX429" s="195">
        <f ca="1">IFERROR(__xludf.DUMMYFUNCTION("IF(IFERROR(SEARCH(""Unclear"", Z429)) = 1, VALUE(REGEXEXTRACT(Z429,""\d+"")), Z429)"),5)</f>
        <v>5</v>
      </c>
      <c r="AY429" s="195">
        <v>5</v>
      </c>
      <c r="AZ429" s="195" t="str">
        <f ca="1">IFERROR(__xludf.DUMMYFUNCTION("IF(IFERROR(SEARCH(""Unclear"", AG429)) = 1, VALUE(REGEXEXTRACT(AG429,""\d+"")), AG429)"),"ND")</f>
        <v>ND</v>
      </c>
      <c r="BA429" s="195" t="s">
        <v>324</v>
      </c>
      <c r="BB429" s="195" t="str">
        <f ca="1">IFERROR(__xludf.DUMMYFUNCTION("IF(IFERROR(SEARCH(""Unclear"", AJ429)) = 1, VALUE(REGEXEXTRACT(AJ429,""\d+"")), AJ429)"),"ND")</f>
        <v>ND</v>
      </c>
      <c r="BC429" s="195" t="s">
        <v>324</v>
      </c>
      <c r="BD429" s="195" t="b">
        <f t="shared" si="2"/>
        <v>0</v>
      </c>
      <c r="BE429" s="195" t="b">
        <f t="shared" ref="BE429:BF429" si="451">IF(IFERROR(FIND("ND",AI429),0),FALSE,TRUE)</f>
        <v>1</v>
      </c>
      <c r="BF429" s="195" t="b">
        <f t="shared" si="451"/>
        <v>0</v>
      </c>
    </row>
    <row r="430" spans="1:58" ht="37.5" customHeight="1">
      <c r="A430" s="220" t="s">
        <v>3529</v>
      </c>
      <c r="B430" s="245">
        <v>2009</v>
      </c>
      <c r="C430" s="195" t="s">
        <v>409</v>
      </c>
      <c r="D430" s="4" t="s">
        <v>3530</v>
      </c>
      <c r="E430" s="245">
        <v>19400893</v>
      </c>
      <c r="F430" s="260" t="s">
        <v>3531</v>
      </c>
      <c r="G430" s="213" t="str">
        <f t="shared" si="419"/>
        <v>Feary 2009</v>
      </c>
      <c r="H430" s="217">
        <v>2009</v>
      </c>
      <c r="I430" s="195"/>
      <c r="J430" s="197"/>
      <c r="K430" s="195">
        <v>30</v>
      </c>
      <c r="L430" s="4"/>
      <c r="M430" s="195">
        <v>18</v>
      </c>
      <c r="N430" s="195">
        <v>12</v>
      </c>
      <c r="O430" s="195" t="s">
        <v>324</v>
      </c>
      <c r="P430" s="195" t="s">
        <v>324</v>
      </c>
      <c r="Q430" s="195" t="s">
        <v>324</v>
      </c>
      <c r="R430" s="195">
        <v>18</v>
      </c>
      <c r="S430" s="195" t="s">
        <v>324</v>
      </c>
      <c r="T430" s="195" t="s">
        <v>364</v>
      </c>
      <c r="U430" s="195" t="s">
        <v>365</v>
      </c>
      <c r="V430" s="195" t="s">
        <v>3532</v>
      </c>
      <c r="W430" s="195"/>
      <c r="X430" s="195">
        <v>15</v>
      </c>
      <c r="Y430" s="195" t="s">
        <v>3533</v>
      </c>
      <c r="Z430" s="195">
        <v>12</v>
      </c>
      <c r="AA430" s="195" t="s">
        <v>3534</v>
      </c>
      <c r="AB430" s="195">
        <v>15</v>
      </c>
      <c r="AC430" s="195" t="s">
        <v>3535</v>
      </c>
      <c r="AD430" s="195">
        <v>0</v>
      </c>
      <c r="AE430" s="195" t="s">
        <v>3536</v>
      </c>
      <c r="AF430" s="195" t="s">
        <v>3537</v>
      </c>
      <c r="AG430" s="195" t="s">
        <v>394</v>
      </c>
      <c r="AH430" s="195" t="s">
        <v>316</v>
      </c>
      <c r="AI430" s="195" t="s">
        <v>324</v>
      </c>
      <c r="AJ430" s="195" t="s">
        <v>324</v>
      </c>
      <c r="AK430" s="195"/>
      <c r="AL430" s="195" t="s">
        <v>322</v>
      </c>
      <c r="AM430" s="199"/>
      <c r="AN430" s="195" t="s">
        <v>3538</v>
      </c>
      <c r="AO430" s="195" t="s">
        <v>3539</v>
      </c>
      <c r="AP430" s="195" t="s">
        <v>3540</v>
      </c>
      <c r="AQ430" s="195" t="s">
        <v>3541</v>
      </c>
      <c r="AR430" s="220" t="s">
        <v>3359</v>
      </c>
      <c r="AS430" s="195" t="s">
        <v>308</v>
      </c>
      <c r="AT430" s="199"/>
      <c r="AU430" s="195" t="s">
        <v>3542</v>
      </c>
      <c r="AV430" s="195" t="s">
        <v>9</v>
      </c>
      <c r="AW430" s="195" t="str">
        <f ca="1">IFERROR(__xludf.DUMMYFUNCTION("IF(AND(IF(AS430=""Yes"",True,False),NOT(IFERROR(REGEXMATCH(AV430,ExclusionCategories),FALSE))),""Yes"", ""No"")"),"Yes")</f>
        <v>Yes</v>
      </c>
      <c r="AX430" s="195">
        <f ca="1">IFERROR(__xludf.DUMMYFUNCTION("IF(IFERROR(SEARCH(""Unclear"", Z430)) = 1, VALUE(REGEXEXTRACT(Z430,""\d+"")), Z430)"),12)</f>
        <v>12</v>
      </c>
      <c r="AY430" s="195">
        <v>12</v>
      </c>
      <c r="AZ430" s="195">
        <f ca="1">IFERROR(__xludf.DUMMYFUNCTION("IF(IFERROR(SEARCH(""Unclear"", AG430)) = 1, VALUE(REGEXEXTRACT(AG430,""\d+"")), AG430)"),0)</f>
        <v>0</v>
      </c>
      <c r="BA430" s="195">
        <v>15</v>
      </c>
      <c r="BB430" s="195" t="str">
        <f ca="1">IFERROR(__xludf.DUMMYFUNCTION("IF(IFERROR(SEARCH(""Unclear"", AJ430)) = 1, VALUE(REGEXEXTRACT(AJ430,""\d+"")), AJ430)"),"ND")</f>
        <v>ND</v>
      </c>
      <c r="BC430" s="195" t="s">
        <v>324</v>
      </c>
      <c r="BD430" s="195" t="b">
        <f t="shared" si="2"/>
        <v>1</v>
      </c>
      <c r="BE430" s="195" t="b">
        <f t="shared" ref="BE430:BF430" si="452">IF(IFERROR(FIND("ND",AI430),0),FALSE,TRUE)</f>
        <v>0</v>
      </c>
      <c r="BF430" s="195" t="b">
        <f t="shared" si="452"/>
        <v>0</v>
      </c>
    </row>
    <row r="431" spans="1:58" ht="37.5" customHeight="1">
      <c r="A431" s="220" t="s">
        <v>3543</v>
      </c>
      <c r="B431" s="245">
        <v>2012</v>
      </c>
      <c r="C431" s="195" t="s">
        <v>552</v>
      </c>
      <c r="D431" s="4" t="s">
        <v>3544</v>
      </c>
      <c r="E431" s="245">
        <v>22927452</v>
      </c>
      <c r="F431" s="260" t="s">
        <v>3545</v>
      </c>
      <c r="G431" s="213" t="str">
        <f t="shared" si="419"/>
        <v>Frenck 2012</v>
      </c>
      <c r="H431" s="195">
        <v>2011</v>
      </c>
      <c r="I431" s="195" t="s">
        <v>3546</v>
      </c>
      <c r="J431" s="198" t="s">
        <v>3547</v>
      </c>
      <c r="K431" s="195">
        <v>40</v>
      </c>
      <c r="L431" s="4" t="s">
        <v>3548</v>
      </c>
      <c r="M431" s="195">
        <v>19</v>
      </c>
      <c r="N431" s="195">
        <v>21</v>
      </c>
      <c r="O431" s="195" t="s">
        <v>324</v>
      </c>
      <c r="P431" s="195">
        <v>19</v>
      </c>
      <c r="Q431" s="195">
        <v>48</v>
      </c>
      <c r="R431" s="195">
        <v>18</v>
      </c>
      <c r="S431" s="195">
        <v>49</v>
      </c>
      <c r="T431" s="195">
        <v>28.2</v>
      </c>
      <c r="U431" s="195" t="s">
        <v>324</v>
      </c>
      <c r="V431" s="195" t="s">
        <v>3549</v>
      </c>
      <c r="W431" s="195"/>
      <c r="X431" s="195">
        <v>40</v>
      </c>
      <c r="Y431" s="195" t="s">
        <v>3550</v>
      </c>
      <c r="Z431" s="195">
        <v>17</v>
      </c>
      <c r="AA431" s="195" t="s">
        <v>3551</v>
      </c>
      <c r="AB431" s="195">
        <v>0</v>
      </c>
      <c r="AC431" s="195"/>
      <c r="AD431" s="195" t="s">
        <v>322</v>
      </c>
      <c r="AE431" s="195" t="s">
        <v>3552</v>
      </c>
      <c r="AF431" s="195"/>
      <c r="AG431" s="195" t="s">
        <v>3553</v>
      </c>
      <c r="AH431" s="195" t="s">
        <v>308</v>
      </c>
      <c r="AI431" s="195" t="s">
        <v>324</v>
      </c>
      <c r="AJ431" s="195">
        <v>0</v>
      </c>
      <c r="AK431" s="195" t="s">
        <v>3554</v>
      </c>
      <c r="AL431" s="195" t="s">
        <v>322</v>
      </c>
      <c r="AM431" s="199"/>
      <c r="AN431" s="195" t="s">
        <v>332</v>
      </c>
      <c r="AO431" s="195" t="s">
        <v>3555</v>
      </c>
      <c r="AP431" s="195" t="s">
        <v>3556</v>
      </c>
      <c r="AQ431" s="195" t="s">
        <v>324</v>
      </c>
      <c r="AR431" s="220" t="s">
        <v>3359</v>
      </c>
      <c r="AS431" s="195" t="s">
        <v>308</v>
      </c>
      <c r="AT431" s="199"/>
      <c r="AU431" s="195" t="s">
        <v>3557</v>
      </c>
      <c r="AV431" s="195" t="s">
        <v>9</v>
      </c>
      <c r="AW431" s="195" t="str">
        <f ca="1">IFERROR(__xludf.DUMMYFUNCTION("IF(AND(IF(AS431=""Yes"",True,False),NOT(IFERROR(REGEXMATCH(AV431,ExclusionCategories),FALSE))),""Yes"", ""No"")"),"Yes")</f>
        <v>Yes</v>
      </c>
      <c r="AX431" s="195">
        <f ca="1">IFERROR(__xludf.DUMMYFUNCTION("IF(IFERROR(SEARCH(""Unclear"", Z431)) = 1, VALUE(REGEXEXTRACT(Z431,""\d+"")), Z431)"),17)</f>
        <v>17</v>
      </c>
      <c r="AY431" s="195">
        <v>17</v>
      </c>
      <c r="AZ431" s="195">
        <f ca="1">IFERROR(__xludf.DUMMYFUNCTION("IF(IFERROR(SEARCH(""Unclear"", AG431)) = 1, VALUE(REGEXEXTRACT(AG431,""\d+"")), AG431)"),26)</f>
        <v>26</v>
      </c>
      <c r="BA431" s="195">
        <v>40</v>
      </c>
      <c r="BB431" s="195">
        <f ca="1">IFERROR(__xludf.DUMMYFUNCTION("IF(IFERROR(SEARCH(""Unclear"", AJ431)) = 1, VALUE(REGEXEXTRACT(AJ431,""\d+"")), AJ431)"),0)</f>
        <v>0</v>
      </c>
      <c r="BC431" s="195">
        <v>0</v>
      </c>
      <c r="BD431" s="195" t="b">
        <f t="shared" si="2"/>
        <v>1</v>
      </c>
      <c r="BE431" s="195" t="b">
        <f t="shared" ref="BE431:BF431" si="453">IF(IFERROR(FIND("ND",AI431),0),FALSE,TRUE)</f>
        <v>0</v>
      </c>
      <c r="BF431" s="195" t="b">
        <f t="shared" si="453"/>
        <v>1</v>
      </c>
    </row>
    <row r="432" spans="1:58" ht="37.5" customHeight="1">
      <c r="A432" s="220" t="s">
        <v>3558</v>
      </c>
      <c r="B432" s="245">
        <v>2016</v>
      </c>
      <c r="C432" s="195" t="s">
        <v>520</v>
      </c>
      <c r="D432" s="4" t="s">
        <v>3559</v>
      </c>
      <c r="E432" s="245">
        <v>25921341</v>
      </c>
      <c r="F432" s="260" t="s">
        <v>3560</v>
      </c>
      <c r="G432" s="213" t="str">
        <f t="shared" si="419"/>
        <v>Glennie 2016</v>
      </c>
      <c r="H432" s="195">
        <v>2014</v>
      </c>
      <c r="I432" s="195"/>
      <c r="J432" s="197"/>
      <c r="K432" s="195">
        <v>101</v>
      </c>
      <c r="L432" s="4"/>
      <c r="M432" s="195">
        <v>38</v>
      </c>
      <c r="N432" s="195">
        <v>63</v>
      </c>
      <c r="O432" s="195" t="s">
        <v>324</v>
      </c>
      <c r="P432" s="195">
        <v>18</v>
      </c>
      <c r="Q432" s="195">
        <v>50</v>
      </c>
      <c r="R432" s="195">
        <v>18</v>
      </c>
      <c r="S432" s="195">
        <v>60</v>
      </c>
      <c r="T432" s="195">
        <v>23</v>
      </c>
      <c r="U432" s="195">
        <v>6</v>
      </c>
      <c r="V432" s="195" t="s">
        <v>3561</v>
      </c>
      <c r="W432" s="195"/>
      <c r="X432" s="195">
        <v>101</v>
      </c>
      <c r="Y432" s="195" t="s">
        <v>3562</v>
      </c>
      <c r="Z432" s="195">
        <v>52</v>
      </c>
      <c r="AA432" s="195" t="s">
        <v>3563</v>
      </c>
      <c r="AB432" s="195">
        <v>0</v>
      </c>
      <c r="AC432" s="195"/>
      <c r="AD432" s="195" t="s">
        <v>322</v>
      </c>
      <c r="AE432" s="195" t="s">
        <v>332</v>
      </c>
      <c r="AF432" s="195" t="s">
        <v>1472</v>
      </c>
      <c r="AG432" s="195" t="s">
        <v>324</v>
      </c>
      <c r="AH432" s="195" t="s">
        <v>316</v>
      </c>
      <c r="AI432" s="195" t="s">
        <v>324</v>
      </c>
      <c r="AJ432" s="195" t="s">
        <v>324</v>
      </c>
      <c r="AK432" s="195"/>
      <c r="AL432" s="195" t="s">
        <v>322</v>
      </c>
      <c r="AM432" s="199"/>
      <c r="AN432" s="195" t="s">
        <v>332</v>
      </c>
      <c r="AO432" s="195" t="s">
        <v>3564</v>
      </c>
      <c r="AP432" s="195" t="s">
        <v>3565</v>
      </c>
      <c r="AQ432" s="195" t="s">
        <v>324</v>
      </c>
      <c r="AR432" s="220" t="s">
        <v>3359</v>
      </c>
      <c r="AS432" s="195" t="s">
        <v>308</v>
      </c>
      <c r="AT432" s="199"/>
      <c r="AU432" s="195" t="s">
        <v>3566</v>
      </c>
      <c r="AV432" s="195" t="s">
        <v>9</v>
      </c>
      <c r="AW432" s="195" t="str">
        <f ca="1">IFERROR(__xludf.DUMMYFUNCTION("IF(AND(IF(AS432=""Yes"",True,False),NOT(IFERROR(REGEXMATCH(AV432,ExclusionCategories),FALSE))),""Yes"", ""No"")"),"Yes")</f>
        <v>Yes</v>
      </c>
      <c r="AX432" s="195">
        <f ca="1">IFERROR(__xludf.DUMMYFUNCTION("IF(IFERROR(SEARCH(""Unclear"", Z432)) = 1, VALUE(REGEXEXTRACT(Z432,""\d+"")), Z432)"),52)</f>
        <v>52</v>
      </c>
      <c r="AY432" s="195">
        <v>52</v>
      </c>
      <c r="AZ432" s="195" t="str">
        <f ca="1">IFERROR(__xludf.DUMMYFUNCTION("IF(IFERROR(SEARCH(""Unclear"", AG432)) = 1, VALUE(REGEXEXTRACT(AG432,""\d+"")), AG432)"),"ND")</f>
        <v>ND</v>
      </c>
      <c r="BA432" s="195" t="s">
        <v>324</v>
      </c>
      <c r="BB432" s="195" t="str">
        <f ca="1">IFERROR(__xludf.DUMMYFUNCTION("IF(IFERROR(SEARCH(""Unclear"", AJ432)) = 1, VALUE(REGEXEXTRACT(AJ432,""\d+"")), AJ432)"),"ND")</f>
        <v>ND</v>
      </c>
      <c r="BC432" s="195" t="s">
        <v>324</v>
      </c>
      <c r="BD432" s="195" t="b">
        <f t="shared" si="2"/>
        <v>0</v>
      </c>
      <c r="BE432" s="195" t="b">
        <f t="shared" ref="BE432:BF432" si="454">IF(IFERROR(FIND("ND",AI432),0),FALSE,TRUE)</f>
        <v>0</v>
      </c>
      <c r="BF432" s="195" t="b">
        <f t="shared" si="454"/>
        <v>0</v>
      </c>
    </row>
    <row r="433" spans="1:58" ht="37.5" customHeight="1">
      <c r="A433" s="220" t="s">
        <v>3567</v>
      </c>
      <c r="B433" s="245">
        <v>1983</v>
      </c>
      <c r="C433" s="195" t="s">
        <v>619</v>
      </c>
      <c r="D433" s="4" t="s">
        <v>3568</v>
      </c>
      <c r="E433" s="245">
        <v>6352386</v>
      </c>
      <c r="F433" s="260" t="s">
        <v>3569</v>
      </c>
      <c r="G433" s="213" t="str">
        <f t="shared" si="419"/>
        <v>Graham 1983</v>
      </c>
      <c r="H433" s="217">
        <v>1983</v>
      </c>
      <c r="I433" s="195"/>
      <c r="J433" s="197"/>
      <c r="K433" s="195">
        <v>32</v>
      </c>
      <c r="L433" s="4"/>
      <c r="M433" s="195" t="s">
        <v>324</v>
      </c>
      <c r="N433" s="195" t="s">
        <v>324</v>
      </c>
      <c r="O433" s="195" t="s">
        <v>324</v>
      </c>
      <c r="P433" s="195" t="s">
        <v>324</v>
      </c>
      <c r="Q433" s="195" t="s">
        <v>324</v>
      </c>
      <c r="R433" s="195" t="s">
        <v>324</v>
      </c>
      <c r="S433" s="195" t="s">
        <v>324</v>
      </c>
      <c r="T433" s="195" t="s">
        <v>324</v>
      </c>
      <c r="U433" s="195" t="s">
        <v>324</v>
      </c>
      <c r="V433" s="195" t="s">
        <v>3570</v>
      </c>
      <c r="W433" s="195"/>
      <c r="X433" s="195">
        <v>32</v>
      </c>
      <c r="Y433" s="195" t="s">
        <v>3571</v>
      </c>
      <c r="Z433" s="195">
        <v>15</v>
      </c>
      <c r="AA433" s="195"/>
      <c r="AB433" s="195">
        <v>0</v>
      </c>
      <c r="AC433" s="195"/>
      <c r="AD433" s="195" t="s">
        <v>322</v>
      </c>
      <c r="AE433" s="195" t="s">
        <v>3572</v>
      </c>
      <c r="AF433" s="195" t="s">
        <v>3573</v>
      </c>
      <c r="AG433" s="195">
        <v>11</v>
      </c>
      <c r="AH433" s="195" t="s">
        <v>308</v>
      </c>
      <c r="AI433" s="195">
        <v>4</v>
      </c>
      <c r="AJ433" s="195">
        <v>5</v>
      </c>
      <c r="AK433" s="195" t="s">
        <v>3574</v>
      </c>
      <c r="AL433" s="195" t="s">
        <v>322</v>
      </c>
      <c r="AM433" s="199"/>
      <c r="AN433" s="195" t="s">
        <v>3575</v>
      </c>
      <c r="AO433" s="195" t="s">
        <v>3576</v>
      </c>
      <c r="AP433" s="195" t="s">
        <v>3577</v>
      </c>
      <c r="AQ433" s="195" t="s">
        <v>3578</v>
      </c>
      <c r="AR433" s="220" t="s">
        <v>3359</v>
      </c>
      <c r="AS433" s="195" t="s">
        <v>308</v>
      </c>
      <c r="AT433" s="199"/>
      <c r="AU433" s="195" t="s">
        <v>3579</v>
      </c>
      <c r="AV433" s="195" t="s">
        <v>571</v>
      </c>
      <c r="AW433" s="195" t="str">
        <f ca="1">IFERROR(__xludf.DUMMYFUNCTION("IF(AND(IF(AS433=""Yes"",True,False),NOT(IFERROR(REGEXMATCH(AV433,ExclusionCategories),FALSE))),""Yes"", ""No"")"),"Yes")</f>
        <v>Yes</v>
      </c>
      <c r="AX433" s="195">
        <f ca="1">IFERROR(__xludf.DUMMYFUNCTION("IF(IFERROR(SEARCH(""Unclear"", Z433)) = 1, VALUE(REGEXEXTRACT(Z433,""\d+"")), Z433)"),15)</f>
        <v>15</v>
      </c>
      <c r="AY433" s="195">
        <v>15</v>
      </c>
      <c r="AZ433" s="195">
        <f ca="1">IFERROR(__xludf.DUMMYFUNCTION("IF(IFERROR(SEARCH(""Unclear"", AG433)) = 1, VALUE(REGEXEXTRACT(AG433,""\d+"")), AG433)"),11)</f>
        <v>11</v>
      </c>
      <c r="BA433" s="195">
        <v>11</v>
      </c>
      <c r="BB433" s="195">
        <f ca="1">IFERROR(__xludf.DUMMYFUNCTION("IF(IFERROR(SEARCH(""Unclear"", AJ433)) = 1, VALUE(REGEXEXTRACT(AJ433,""\d+"")), AJ433)"),5)</f>
        <v>5</v>
      </c>
      <c r="BC433" s="195">
        <v>5</v>
      </c>
      <c r="BD433" s="195" t="b">
        <f t="shared" si="2"/>
        <v>1</v>
      </c>
      <c r="BE433" s="195" t="b">
        <f t="shared" ref="BE433:BF433" si="455">IF(IFERROR(FIND("ND",AI433),0),FALSE,TRUE)</f>
        <v>1</v>
      </c>
      <c r="BF433" s="195" t="b">
        <f t="shared" si="455"/>
        <v>1</v>
      </c>
    </row>
    <row r="434" spans="1:58" ht="37.5" customHeight="1">
      <c r="A434" s="220" t="s">
        <v>3567</v>
      </c>
      <c r="B434" s="245">
        <v>2004</v>
      </c>
      <c r="C434" s="195" t="s">
        <v>3580</v>
      </c>
      <c r="D434" s="4" t="s">
        <v>3581</v>
      </c>
      <c r="E434" s="245">
        <v>15306577</v>
      </c>
      <c r="F434" s="260" t="s">
        <v>3582</v>
      </c>
      <c r="G434" s="213" t="str">
        <f t="shared" si="419"/>
        <v>Graham 2004</v>
      </c>
      <c r="H434" s="217">
        <v>2004</v>
      </c>
      <c r="I434" s="195"/>
      <c r="J434" s="197"/>
      <c r="K434" s="195">
        <v>11</v>
      </c>
      <c r="L434" s="4" t="s">
        <v>3583</v>
      </c>
      <c r="M434" s="195">
        <v>6</v>
      </c>
      <c r="N434" s="195">
        <v>5</v>
      </c>
      <c r="O434" s="195">
        <v>25</v>
      </c>
      <c r="P434" s="195">
        <v>23</v>
      </c>
      <c r="Q434" s="195">
        <v>34</v>
      </c>
      <c r="R434" s="195">
        <v>18</v>
      </c>
      <c r="S434" s="195">
        <v>50</v>
      </c>
      <c r="T434" s="195">
        <v>26.64</v>
      </c>
      <c r="U434" s="195">
        <v>3.8</v>
      </c>
      <c r="V434" s="195" t="s">
        <v>3584</v>
      </c>
      <c r="W434" s="195"/>
      <c r="X434" s="195">
        <v>11</v>
      </c>
      <c r="Y434" s="195"/>
      <c r="Z434" s="195">
        <v>9</v>
      </c>
      <c r="AA434" s="195"/>
      <c r="AB434" s="195">
        <v>0</v>
      </c>
      <c r="AC434" s="195"/>
      <c r="AD434" s="195" t="s">
        <v>322</v>
      </c>
      <c r="AE434" s="195" t="s">
        <v>3585</v>
      </c>
      <c r="AF434" s="195" t="s">
        <v>3173</v>
      </c>
      <c r="AG434" s="195">
        <v>9</v>
      </c>
      <c r="AH434" s="195" t="s">
        <v>308</v>
      </c>
      <c r="AI434" s="195">
        <v>0</v>
      </c>
      <c r="AJ434" s="195">
        <v>0</v>
      </c>
      <c r="AK434" s="195" t="s">
        <v>3586</v>
      </c>
      <c r="AL434" s="195" t="s">
        <v>322</v>
      </c>
      <c r="AM434" s="199"/>
      <c r="AN434" s="195" t="s">
        <v>3587</v>
      </c>
      <c r="AO434" s="195" t="s">
        <v>3588</v>
      </c>
      <c r="AP434" s="195" t="s">
        <v>3589</v>
      </c>
      <c r="AQ434" s="195" t="s">
        <v>805</v>
      </c>
      <c r="AR434" s="220" t="s">
        <v>3359</v>
      </c>
      <c r="AS434" s="195" t="s">
        <v>316</v>
      </c>
      <c r="AT434" s="199"/>
      <c r="AU434" s="195" t="s">
        <v>3590</v>
      </c>
      <c r="AV434" s="195" t="s">
        <v>1447</v>
      </c>
      <c r="AW434" s="195" t="str">
        <f ca="1">IFERROR(__xludf.DUMMYFUNCTION("IF(AND(IF(AS434=""Yes"",True,False),NOT(IFERROR(REGEXMATCH(AV434,ExclusionCategories),FALSE))),""Yes"", ""No"")"),"No")</f>
        <v>No</v>
      </c>
      <c r="AX434" s="195">
        <f ca="1">IFERROR(__xludf.DUMMYFUNCTION("IF(IFERROR(SEARCH(""Unclear"", Z434)) = 1, VALUE(REGEXEXTRACT(Z434,""\d+"")), Z434)"),9)</f>
        <v>9</v>
      </c>
      <c r="AY434" s="195">
        <v>9</v>
      </c>
      <c r="AZ434" s="195">
        <f ca="1">IFERROR(__xludf.DUMMYFUNCTION("IF(IFERROR(SEARCH(""Unclear"", AG434)) = 1, VALUE(REGEXEXTRACT(AG434,""\d+"")), AG434)"),9)</f>
        <v>9</v>
      </c>
      <c r="BA434" s="195">
        <v>9</v>
      </c>
      <c r="BB434" s="195">
        <f ca="1">IFERROR(__xludf.DUMMYFUNCTION("IF(IFERROR(SEARCH(""Unclear"", AJ434)) = 1, VALUE(REGEXEXTRACT(AJ434,""\d+"")), AJ434)"),0)</f>
        <v>0</v>
      </c>
      <c r="BC434" s="195">
        <v>0</v>
      </c>
      <c r="BD434" s="195" t="b">
        <f t="shared" si="2"/>
        <v>1</v>
      </c>
      <c r="BE434" s="195" t="b">
        <f t="shared" ref="BE434:BF434" si="456">IF(IFERROR(FIND("ND",AI434),0),FALSE,TRUE)</f>
        <v>1</v>
      </c>
      <c r="BF434" s="195" t="b">
        <f t="shared" si="456"/>
        <v>1</v>
      </c>
    </row>
    <row r="435" spans="1:58" ht="37.5" customHeight="1">
      <c r="A435" s="220" t="s">
        <v>3567</v>
      </c>
      <c r="B435" s="245">
        <v>2004</v>
      </c>
      <c r="C435" s="195" t="s">
        <v>3580</v>
      </c>
      <c r="D435" s="4" t="s">
        <v>3581</v>
      </c>
      <c r="E435" s="245">
        <v>15306577</v>
      </c>
      <c r="F435" s="260" t="s">
        <v>3582</v>
      </c>
      <c r="G435" s="213" t="str">
        <f t="shared" si="419"/>
        <v>Graham 2004</v>
      </c>
      <c r="H435" s="217">
        <v>2004</v>
      </c>
      <c r="I435" s="195"/>
      <c r="J435" s="197"/>
      <c r="K435" s="195">
        <v>9</v>
      </c>
      <c r="L435" s="4" t="s">
        <v>3591</v>
      </c>
      <c r="M435" s="195">
        <v>4</v>
      </c>
      <c r="N435" s="195">
        <v>5</v>
      </c>
      <c r="O435" s="195">
        <v>26</v>
      </c>
      <c r="P435" s="195">
        <v>21</v>
      </c>
      <c r="Q435" s="195">
        <v>37</v>
      </c>
      <c r="R435" s="195">
        <v>18</v>
      </c>
      <c r="S435" s="195">
        <v>50</v>
      </c>
      <c r="T435" s="195">
        <v>27.22</v>
      </c>
      <c r="U435" s="195">
        <v>4.9400000000000004</v>
      </c>
      <c r="V435" s="195" t="s">
        <v>3584</v>
      </c>
      <c r="W435" s="195"/>
      <c r="X435" s="195">
        <v>9</v>
      </c>
      <c r="Y435" s="195"/>
      <c r="Z435" s="195">
        <v>9</v>
      </c>
      <c r="AA435" s="195"/>
      <c r="AB435" s="195">
        <v>0</v>
      </c>
      <c r="AC435" s="195"/>
      <c r="AD435" s="195" t="s">
        <v>322</v>
      </c>
      <c r="AE435" s="195" t="s">
        <v>3585</v>
      </c>
      <c r="AF435" s="195" t="s">
        <v>3173</v>
      </c>
      <c r="AG435" s="195">
        <v>9</v>
      </c>
      <c r="AH435" s="195" t="s">
        <v>308</v>
      </c>
      <c r="AI435" s="195">
        <v>0</v>
      </c>
      <c r="AJ435" s="195">
        <v>0</v>
      </c>
      <c r="AK435" s="195" t="s">
        <v>3592</v>
      </c>
      <c r="AL435" s="195" t="s">
        <v>322</v>
      </c>
      <c r="AM435" s="199"/>
      <c r="AN435" s="195" t="s">
        <v>3593</v>
      </c>
      <c r="AO435" s="195" t="s">
        <v>3594</v>
      </c>
      <c r="AP435" s="195" t="s">
        <v>3589</v>
      </c>
      <c r="AQ435" s="195" t="s">
        <v>3595</v>
      </c>
      <c r="AR435" s="220" t="s">
        <v>3359</v>
      </c>
      <c r="AS435" s="195" t="s">
        <v>316</v>
      </c>
      <c r="AT435" s="199"/>
      <c r="AU435" s="195" t="s">
        <v>3590</v>
      </c>
      <c r="AV435" s="195" t="s">
        <v>1447</v>
      </c>
      <c r="AW435" s="195" t="str">
        <f ca="1">IFERROR(__xludf.DUMMYFUNCTION("IF(AND(IF(AS435=""Yes"",True,False),NOT(IFERROR(REGEXMATCH(AV435,ExclusionCategories),FALSE))),""Yes"", ""No"")"),"No")</f>
        <v>No</v>
      </c>
      <c r="AX435" s="195">
        <f ca="1">IFERROR(__xludf.DUMMYFUNCTION("IF(IFERROR(SEARCH(""Unclear"", Z435)) = 1, VALUE(REGEXEXTRACT(Z435,""\d+"")), Z435)"),9)</f>
        <v>9</v>
      </c>
      <c r="AY435" s="195">
        <v>9</v>
      </c>
      <c r="AZ435" s="195">
        <f ca="1">IFERROR(__xludf.DUMMYFUNCTION("IF(IFERROR(SEARCH(""Unclear"", AG435)) = 1, VALUE(REGEXEXTRACT(AG435,""\d+"")), AG435)"),9)</f>
        <v>9</v>
      </c>
      <c r="BA435" s="195">
        <v>9</v>
      </c>
      <c r="BB435" s="195">
        <f ca="1">IFERROR(__xludf.DUMMYFUNCTION("IF(IFERROR(SEARCH(""Unclear"", AJ435)) = 1, VALUE(REGEXEXTRACT(AJ435,""\d+"")), AJ435)"),0)</f>
        <v>0</v>
      </c>
      <c r="BC435" s="195">
        <v>0</v>
      </c>
      <c r="BD435" s="195" t="b">
        <f t="shared" si="2"/>
        <v>1</v>
      </c>
      <c r="BE435" s="195" t="b">
        <f t="shared" ref="BE435:BF435" si="457">IF(IFERROR(FIND("ND",AI435),0),FALSE,TRUE)</f>
        <v>1</v>
      </c>
      <c r="BF435" s="195" t="b">
        <f t="shared" si="457"/>
        <v>1</v>
      </c>
    </row>
    <row r="436" spans="1:58" ht="37.5" customHeight="1">
      <c r="A436" s="220" t="s">
        <v>3567</v>
      </c>
      <c r="B436" s="245">
        <v>2004</v>
      </c>
      <c r="C436" s="195" t="s">
        <v>3580</v>
      </c>
      <c r="D436" s="4" t="s">
        <v>3581</v>
      </c>
      <c r="E436" s="245">
        <v>15306577</v>
      </c>
      <c r="F436" s="260" t="s">
        <v>3582</v>
      </c>
      <c r="G436" s="213" t="str">
        <f t="shared" si="419"/>
        <v>Graham 2004</v>
      </c>
      <c r="H436" s="217">
        <v>2004</v>
      </c>
      <c r="I436" s="195"/>
      <c r="J436" s="197"/>
      <c r="K436" s="195">
        <v>20</v>
      </c>
      <c r="L436" s="4" t="s">
        <v>1858</v>
      </c>
      <c r="M436" s="195">
        <v>10</v>
      </c>
      <c r="N436" s="195">
        <v>10</v>
      </c>
      <c r="O436" s="195" t="s">
        <v>3596</v>
      </c>
      <c r="P436" s="195">
        <v>21</v>
      </c>
      <c r="Q436" s="195">
        <v>37</v>
      </c>
      <c r="R436" s="195">
        <v>18</v>
      </c>
      <c r="S436" s="195">
        <v>50</v>
      </c>
      <c r="T436" s="195" t="s">
        <v>3597</v>
      </c>
      <c r="U436" s="195" t="s">
        <v>3598</v>
      </c>
      <c r="V436" s="195" t="s">
        <v>3584</v>
      </c>
      <c r="W436" s="195"/>
      <c r="X436" s="195">
        <v>20</v>
      </c>
      <c r="Y436" s="195"/>
      <c r="Z436" s="195">
        <v>18</v>
      </c>
      <c r="AA436" s="195"/>
      <c r="AB436" s="195">
        <v>0</v>
      </c>
      <c r="AC436" s="195"/>
      <c r="AD436" s="195" t="s">
        <v>322</v>
      </c>
      <c r="AE436" s="195" t="s">
        <v>3585</v>
      </c>
      <c r="AF436" s="195" t="s">
        <v>3173</v>
      </c>
      <c r="AG436" s="195">
        <v>18</v>
      </c>
      <c r="AH436" s="195" t="s">
        <v>308</v>
      </c>
      <c r="AI436" s="195">
        <v>0</v>
      </c>
      <c r="AJ436" s="195">
        <v>0</v>
      </c>
      <c r="AK436" s="195" t="s">
        <v>3599</v>
      </c>
      <c r="AL436" s="195" t="s">
        <v>322</v>
      </c>
      <c r="AM436" s="199"/>
      <c r="AN436" s="195" t="s">
        <v>3600</v>
      </c>
      <c r="AO436" s="195" t="s">
        <v>3588</v>
      </c>
      <c r="AP436" s="195" t="s">
        <v>3589</v>
      </c>
      <c r="AQ436" s="195" t="s">
        <v>3595</v>
      </c>
      <c r="AR436" s="220" t="s">
        <v>3359</v>
      </c>
      <c r="AS436" s="195" t="s">
        <v>308</v>
      </c>
      <c r="AT436" s="199"/>
      <c r="AU436" s="195" t="s">
        <v>3590</v>
      </c>
      <c r="AV436" s="195" t="s">
        <v>1556</v>
      </c>
      <c r="AW436" s="195" t="str">
        <f ca="1">IFERROR(__xludf.DUMMYFUNCTION("IF(AND(IF(AS436=""Yes"",True,False),NOT(IFERROR(REGEXMATCH(AV436,ExclusionCategories),FALSE))),""Yes"", ""No"")"),"Yes")</f>
        <v>Yes</v>
      </c>
      <c r="AX436" s="195">
        <f ca="1">IFERROR(__xludf.DUMMYFUNCTION("IF(IFERROR(SEARCH(""Unclear"", Z436)) = 1, VALUE(REGEXEXTRACT(Z436,""\d+"")), Z436)"),18)</f>
        <v>18</v>
      </c>
      <c r="AY436" s="195">
        <v>18</v>
      </c>
      <c r="AZ436" s="195">
        <f ca="1">IFERROR(__xludf.DUMMYFUNCTION("IF(IFERROR(SEARCH(""Unclear"", AG436)) = 1, VALUE(REGEXEXTRACT(AG436,""\d+"")), AG436)"),18)</f>
        <v>18</v>
      </c>
      <c r="BA436" s="195">
        <v>18</v>
      </c>
      <c r="BB436" s="195">
        <f ca="1">IFERROR(__xludf.DUMMYFUNCTION("IF(IFERROR(SEARCH(""Unclear"", AJ436)) = 1, VALUE(REGEXEXTRACT(AJ436,""\d+"")), AJ436)"),0)</f>
        <v>0</v>
      </c>
      <c r="BC436" s="195">
        <v>0</v>
      </c>
      <c r="BD436" s="195" t="b">
        <f t="shared" si="2"/>
        <v>1</v>
      </c>
      <c r="BE436" s="195" t="b">
        <f t="shared" ref="BE436:BF436" si="458">IF(IFERROR(FIND("ND",AI436),0),FALSE,TRUE)</f>
        <v>1</v>
      </c>
      <c r="BF436" s="195" t="b">
        <f t="shared" si="458"/>
        <v>1</v>
      </c>
    </row>
    <row r="437" spans="1:58" ht="37.5" customHeight="1">
      <c r="A437" s="263" t="s">
        <v>3601</v>
      </c>
      <c r="B437" s="93">
        <v>2013</v>
      </c>
      <c r="C437" s="195" t="s">
        <v>520</v>
      </c>
      <c r="D437" s="4" t="s">
        <v>3602</v>
      </c>
      <c r="E437" s="93">
        <v>23439027</v>
      </c>
      <c r="F437" s="261" t="s">
        <v>3603</v>
      </c>
      <c r="G437" s="213" t="str">
        <f t="shared" si="419"/>
        <v>Gritzfeld 2013</v>
      </c>
      <c r="H437" s="217">
        <v>2013</v>
      </c>
      <c r="I437" s="195"/>
      <c r="J437" s="197"/>
      <c r="K437" s="195">
        <v>159</v>
      </c>
      <c r="L437" s="4" t="s">
        <v>3604</v>
      </c>
      <c r="M437" s="195" t="s">
        <v>324</v>
      </c>
      <c r="N437" s="195" t="s">
        <v>324</v>
      </c>
      <c r="O437" s="195" t="s">
        <v>324</v>
      </c>
      <c r="P437" s="195" t="s">
        <v>324</v>
      </c>
      <c r="Q437" s="195" t="s">
        <v>324</v>
      </c>
      <c r="R437" s="195">
        <v>18</v>
      </c>
      <c r="S437" s="195">
        <v>60</v>
      </c>
      <c r="T437" s="195" t="s">
        <v>324</v>
      </c>
      <c r="U437" s="195" t="s">
        <v>324</v>
      </c>
      <c r="V437" s="195" t="s">
        <v>3605</v>
      </c>
      <c r="W437" s="195"/>
      <c r="X437" s="195">
        <v>159</v>
      </c>
      <c r="Y437" s="195"/>
      <c r="Z437" s="195">
        <v>35</v>
      </c>
      <c r="AA437" s="195"/>
      <c r="AB437" s="195">
        <v>0</v>
      </c>
      <c r="AC437" s="195"/>
      <c r="AD437" s="195" t="s">
        <v>322</v>
      </c>
      <c r="AE437" s="195" t="s">
        <v>332</v>
      </c>
      <c r="AF437" s="195" t="s">
        <v>1472</v>
      </c>
      <c r="AG437" s="195" t="s">
        <v>324</v>
      </c>
      <c r="AH437" s="195" t="s">
        <v>316</v>
      </c>
      <c r="AI437" s="195" t="s">
        <v>324</v>
      </c>
      <c r="AJ437" s="195" t="s">
        <v>324</v>
      </c>
      <c r="AK437" s="195"/>
      <c r="AL437" s="195" t="s">
        <v>322</v>
      </c>
      <c r="AM437" s="199"/>
      <c r="AN437" s="195" t="s">
        <v>2287</v>
      </c>
      <c r="AO437" s="195" t="s">
        <v>3606</v>
      </c>
      <c r="AP437" s="195" t="s">
        <v>324</v>
      </c>
      <c r="AQ437" s="195" t="s">
        <v>3607</v>
      </c>
      <c r="AR437" s="220" t="s">
        <v>3359</v>
      </c>
      <c r="AS437" s="195" t="s">
        <v>308</v>
      </c>
      <c r="AT437" s="199"/>
      <c r="AU437" s="195" t="s">
        <v>3608</v>
      </c>
      <c r="AV437" s="195" t="s">
        <v>9</v>
      </c>
      <c r="AW437" s="195" t="str">
        <f ca="1">IFERROR(__xludf.DUMMYFUNCTION("IF(AND(IF(AS437=""Yes"",True,False),NOT(IFERROR(REGEXMATCH(AV437,ExclusionCategories),FALSE))),""Yes"", ""No"")"),"Yes")</f>
        <v>Yes</v>
      </c>
      <c r="AX437" s="195">
        <f ca="1">IFERROR(__xludf.DUMMYFUNCTION("IF(IFERROR(SEARCH(""Unclear"", Z437)) = 1, VALUE(REGEXEXTRACT(Z437,""\d+"")), Z437)"),35)</f>
        <v>35</v>
      </c>
      <c r="AY437" s="195">
        <v>35</v>
      </c>
      <c r="AZ437" s="195" t="str">
        <f ca="1">IFERROR(__xludf.DUMMYFUNCTION("IF(IFERROR(SEARCH(""Unclear"", AG437)) = 1, VALUE(REGEXEXTRACT(AG437,""\d+"")), AG437)"),"ND")</f>
        <v>ND</v>
      </c>
      <c r="BA437" s="195" t="s">
        <v>324</v>
      </c>
      <c r="BB437" s="195" t="str">
        <f ca="1">IFERROR(__xludf.DUMMYFUNCTION("IF(IFERROR(SEARCH(""Unclear"", AJ437)) = 1, VALUE(REGEXEXTRACT(AJ437,""\d+"")), AJ437)"),"ND")</f>
        <v>ND</v>
      </c>
      <c r="BC437" s="195" t="s">
        <v>324</v>
      </c>
      <c r="BD437" s="195" t="b">
        <f t="shared" si="2"/>
        <v>0</v>
      </c>
      <c r="BE437" s="195" t="b">
        <f t="shared" ref="BE437:BF437" si="459">IF(IFERROR(FIND("ND",AI437),0),FALSE,TRUE)</f>
        <v>0</v>
      </c>
      <c r="BF437" s="195" t="b">
        <f t="shared" si="459"/>
        <v>0</v>
      </c>
    </row>
    <row r="438" spans="1:58" ht="37.5" customHeight="1">
      <c r="A438" s="220" t="s">
        <v>3601</v>
      </c>
      <c r="B438" s="245">
        <v>2014</v>
      </c>
      <c r="C438" s="195" t="s">
        <v>520</v>
      </c>
      <c r="D438" s="4" t="s">
        <v>3609</v>
      </c>
      <c r="E438" s="245">
        <v>24995531</v>
      </c>
      <c r="F438" s="260" t="s">
        <v>3610</v>
      </c>
      <c r="G438" s="213" t="str">
        <f t="shared" si="419"/>
        <v>Gritzfeld 2014</v>
      </c>
      <c r="H438" s="217">
        <v>2014</v>
      </c>
      <c r="I438" s="195"/>
      <c r="J438" s="197"/>
      <c r="K438" s="195">
        <v>84</v>
      </c>
      <c r="L438" s="4"/>
      <c r="M438" s="195" t="s">
        <v>324</v>
      </c>
      <c r="N438" s="195" t="s">
        <v>324</v>
      </c>
      <c r="O438" s="195" t="s">
        <v>324</v>
      </c>
      <c r="P438" s="195" t="s">
        <v>324</v>
      </c>
      <c r="Q438" s="195" t="s">
        <v>324</v>
      </c>
      <c r="R438" s="195">
        <v>18</v>
      </c>
      <c r="S438" s="195">
        <v>60</v>
      </c>
      <c r="T438" s="195" t="s">
        <v>324</v>
      </c>
      <c r="U438" s="195" t="s">
        <v>324</v>
      </c>
      <c r="V438" s="195" t="s">
        <v>3611</v>
      </c>
      <c r="W438" s="195"/>
      <c r="X438" s="195">
        <v>84</v>
      </c>
      <c r="Y438" s="195"/>
      <c r="Z438" s="195" t="s">
        <v>394</v>
      </c>
      <c r="AA438" s="195" t="s">
        <v>3612</v>
      </c>
      <c r="AB438" s="195">
        <v>0</v>
      </c>
      <c r="AC438" s="195"/>
      <c r="AD438" s="195" t="s">
        <v>322</v>
      </c>
      <c r="AE438" s="195" t="s">
        <v>332</v>
      </c>
      <c r="AF438" s="195" t="s">
        <v>1472</v>
      </c>
      <c r="AG438" s="195" t="s">
        <v>324</v>
      </c>
      <c r="AH438" s="195" t="s">
        <v>316</v>
      </c>
      <c r="AI438" s="195" t="s">
        <v>324</v>
      </c>
      <c r="AJ438" s="195" t="s">
        <v>324</v>
      </c>
      <c r="AK438" s="195"/>
      <c r="AL438" s="195" t="s">
        <v>322</v>
      </c>
      <c r="AM438" s="199"/>
      <c r="AN438" s="195" t="s">
        <v>332</v>
      </c>
      <c r="AO438" s="195" t="s">
        <v>3613</v>
      </c>
      <c r="AP438" s="195" t="s">
        <v>3614</v>
      </c>
      <c r="AQ438" s="195" t="s">
        <v>324</v>
      </c>
      <c r="AR438" s="220" t="s">
        <v>3359</v>
      </c>
      <c r="AS438" s="195" t="s">
        <v>308</v>
      </c>
      <c r="AT438" s="199"/>
      <c r="AU438" s="195" t="s">
        <v>3615</v>
      </c>
      <c r="AV438" s="195" t="s">
        <v>9</v>
      </c>
      <c r="AW438" s="195" t="str">
        <f ca="1">IFERROR(__xludf.DUMMYFUNCTION("IF(AND(IF(AS438=""Yes"",True,False),NOT(IFERROR(REGEXMATCH(AV438,ExclusionCategories),FALSE))),""Yes"", ""No"")"),"Yes")</f>
        <v>Yes</v>
      </c>
      <c r="AX438" s="195">
        <f ca="1">IFERROR(__xludf.DUMMYFUNCTION("IF(IFERROR(SEARCH(""Unclear"", Z438)) = 1, VALUE(REGEXEXTRACT(Z438,""\d+"")), Z438)"),0)</f>
        <v>0</v>
      </c>
      <c r="AY438" s="195">
        <v>84</v>
      </c>
      <c r="AZ438" s="195" t="str">
        <f ca="1">IFERROR(__xludf.DUMMYFUNCTION("IF(IFERROR(SEARCH(""Unclear"", AG438)) = 1, VALUE(REGEXEXTRACT(AG438,""\d+"")), AG438)"),"ND")</f>
        <v>ND</v>
      </c>
      <c r="BA438" s="195" t="s">
        <v>324</v>
      </c>
      <c r="BB438" s="195" t="str">
        <f ca="1">IFERROR(__xludf.DUMMYFUNCTION("IF(IFERROR(SEARCH(""Unclear"", AJ438)) = 1, VALUE(REGEXEXTRACT(AJ438,""\d+"")), AJ438)"),"ND")</f>
        <v>ND</v>
      </c>
      <c r="BC438" s="195" t="s">
        <v>324</v>
      </c>
      <c r="BD438" s="195" t="b">
        <f t="shared" si="2"/>
        <v>0</v>
      </c>
      <c r="BE438" s="195" t="b">
        <f t="shared" ref="BE438:BF438" si="460">IF(IFERROR(FIND("ND",AI438),0),FALSE,TRUE)</f>
        <v>0</v>
      </c>
      <c r="BF438" s="195" t="b">
        <f t="shared" si="460"/>
        <v>0</v>
      </c>
    </row>
    <row r="439" spans="1:58" ht="37.5" customHeight="1">
      <c r="A439" s="212" t="s">
        <v>3616</v>
      </c>
      <c r="B439" s="245">
        <v>2001</v>
      </c>
      <c r="C439" s="195" t="s">
        <v>457</v>
      </c>
      <c r="D439" s="4" t="s">
        <v>1516</v>
      </c>
      <c r="E439" s="245">
        <v>11170976</v>
      </c>
      <c r="F439" s="260" t="s">
        <v>3617</v>
      </c>
      <c r="G439" s="213" t="str">
        <f t="shared" si="419"/>
        <v>Gubareva 2001</v>
      </c>
      <c r="H439" s="217">
        <v>2001</v>
      </c>
      <c r="I439" s="195"/>
      <c r="J439" s="197"/>
      <c r="K439" s="195">
        <v>80</v>
      </c>
      <c r="L439" s="4"/>
      <c r="M439" s="195" t="s">
        <v>324</v>
      </c>
      <c r="N439" s="195" t="s">
        <v>324</v>
      </c>
      <c r="O439" s="195" t="s">
        <v>324</v>
      </c>
      <c r="P439" s="195" t="s">
        <v>324</v>
      </c>
      <c r="Q439" s="195" t="s">
        <v>324</v>
      </c>
      <c r="R439" s="195">
        <v>18</v>
      </c>
      <c r="S439" s="195">
        <v>40</v>
      </c>
      <c r="T439" s="195" t="s">
        <v>324</v>
      </c>
      <c r="U439" s="195" t="s">
        <v>324</v>
      </c>
      <c r="V439" s="195" t="s">
        <v>3618</v>
      </c>
      <c r="W439" s="195"/>
      <c r="X439" s="195">
        <v>80</v>
      </c>
      <c r="Y439" s="195"/>
      <c r="Z439" s="195">
        <v>66</v>
      </c>
      <c r="AA439" s="195"/>
      <c r="AB439" s="195">
        <v>0</v>
      </c>
      <c r="AC439" s="195"/>
      <c r="AD439" s="195" t="s">
        <v>322</v>
      </c>
      <c r="AE439" s="195" t="s">
        <v>332</v>
      </c>
      <c r="AF439" s="195" t="s">
        <v>1472</v>
      </c>
      <c r="AG439" s="195" t="s">
        <v>324</v>
      </c>
      <c r="AH439" s="195" t="s">
        <v>316</v>
      </c>
      <c r="AI439" s="195" t="s">
        <v>324</v>
      </c>
      <c r="AJ439" s="195" t="s">
        <v>324</v>
      </c>
      <c r="AK439" s="195"/>
      <c r="AL439" s="195" t="s">
        <v>322</v>
      </c>
      <c r="AM439" s="199"/>
      <c r="AN439" s="195" t="s">
        <v>3619</v>
      </c>
      <c r="AO439" s="195" t="s">
        <v>3620</v>
      </c>
      <c r="AP439" s="195" t="s">
        <v>324</v>
      </c>
      <c r="AQ439" s="195" t="s">
        <v>3621</v>
      </c>
      <c r="AR439" s="220" t="s">
        <v>3359</v>
      </c>
      <c r="AS439" s="195" t="s">
        <v>308</v>
      </c>
      <c r="AT439" s="199"/>
      <c r="AU439" s="195" t="s">
        <v>3622</v>
      </c>
      <c r="AV439" s="195" t="s">
        <v>9</v>
      </c>
      <c r="AW439" s="195" t="str">
        <f ca="1">IFERROR(__xludf.DUMMYFUNCTION("IF(AND(IF(AS439=""Yes"",True,False),NOT(IFERROR(REGEXMATCH(AV439,ExclusionCategories),FALSE))),""Yes"", ""No"")"),"Yes")</f>
        <v>Yes</v>
      </c>
      <c r="AX439" s="195">
        <f ca="1">IFERROR(__xludf.DUMMYFUNCTION("IF(IFERROR(SEARCH(""Unclear"", Z439)) = 1, VALUE(REGEXEXTRACT(Z439,""\d+"")), Z439)"),66)</f>
        <v>66</v>
      </c>
      <c r="AY439" s="195">
        <v>66</v>
      </c>
      <c r="AZ439" s="195" t="str">
        <f ca="1">IFERROR(__xludf.DUMMYFUNCTION("IF(IFERROR(SEARCH(""Unclear"", AG439)) = 1, VALUE(REGEXEXTRACT(AG439,""\d+"")), AG439)"),"ND")</f>
        <v>ND</v>
      </c>
      <c r="BA439" s="195" t="s">
        <v>324</v>
      </c>
      <c r="BB439" s="195" t="str">
        <f ca="1">IFERROR(__xludf.DUMMYFUNCTION("IF(IFERROR(SEARCH(""Unclear"", AJ439)) = 1, VALUE(REGEXEXTRACT(AJ439,""\d+"")), AJ439)"),"ND")</f>
        <v>ND</v>
      </c>
      <c r="BC439" s="195" t="s">
        <v>324</v>
      </c>
      <c r="BD439" s="195" t="b">
        <f t="shared" si="2"/>
        <v>0</v>
      </c>
      <c r="BE439" s="195" t="b">
        <f t="shared" ref="BE439:BF439" si="461">IF(IFERROR(FIND("ND",AI439),0),FALSE,TRUE)</f>
        <v>0</v>
      </c>
      <c r="BF439" s="195" t="b">
        <f t="shared" si="461"/>
        <v>0</v>
      </c>
    </row>
    <row r="440" spans="1:58" ht="37.5" customHeight="1">
      <c r="A440" s="220" t="s">
        <v>3623</v>
      </c>
      <c r="B440" s="245">
        <v>2015</v>
      </c>
      <c r="C440" s="195" t="s">
        <v>359</v>
      </c>
      <c r="D440" s="4" t="s">
        <v>3624</v>
      </c>
      <c r="E440" s="245">
        <v>25730467</v>
      </c>
      <c r="F440" s="260" t="s">
        <v>3625</v>
      </c>
      <c r="G440" s="213" t="str">
        <f t="shared" si="419"/>
        <v>Habibi 2015</v>
      </c>
      <c r="H440" s="217">
        <v>2015</v>
      </c>
      <c r="I440" s="195"/>
      <c r="J440" s="197"/>
      <c r="K440" s="195">
        <v>61</v>
      </c>
      <c r="L440" s="4"/>
      <c r="M440" s="195">
        <v>35</v>
      </c>
      <c r="N440" s="195">
        <v>26</v>
      </c>
      <c r="O440" s="195">
        <v>22</v>
      </c>
      <c r="P440" s="195">
        <v>18</v>
      </c>
      <c r="Q440" s="195">
        <v>50</v>
      </c>
      <c r="R440" s="195">
        <v>18</v>
      </c>
      <c r="S440" s="195">
        <v>55</v>
      </c>
      <c r="T440" s="195" t="s">
        <v>324</v>
      </c>
      <c r="U440" s="195" t="s">
        <v>324</v>
      </c>
      <c r="V440" s="195" t="s">
        <v>3626</v>
      </c>
      <c r="W440" s="195"/>
      <c r="X440" s="195">
        <v>61</v>
      </c>
      <c r="Y440" s="195"/>
      <c r="Z440" s="195">
        <v>34</v>
      </c>
      <c r="AA440" s="195"/>
      <c r="AB440" s="195">
        <v>0</v>
      </c>
      <c r="AC440" s="195"/>
      <c r="AD440" s="195" t="s">
        <v>322</v>
      </c>
      <c r="AE440" s="195" t="s">
        <v>3627</v>
      </c>
      <c r="AF440" s="195" t="s">
        <v>3628</v>
      </c>
      <c r="AG440" s="195" t="s">
        <v>324</v>
      </c>
      <c r="AH440" s="195" t="s">
        <v>316</v>
      </c>
      <c r="AI440" s="195" t="s">
        <v>324</v>
      </c>
      <c r="AJ440" s="195" t="s">
        <v>324</v>
      </c>
      <c r="AK440" s="195"/>
      <c r="AL440" s="195" t="s">
        <v>322</v>
      </c>
      <c r="AM440" s="199"/>
      <c r="AN440" s="195" t="s">
        <v>332</v>
      </c>
      <c r="AO440" s="195" t="s">
        <v>3629</v>
      </c>
      <c r="AP440" s="195" t="s">
        <v>3630</v>
      </c>
      <c r="AQ440" s="195" t="s">
        <v>324</v>
      </c>
      <c r="AR440" s="220" t="s">
        <v>3359</v>
      </c>
      <c r="AS440" s="195" t="s">
        <v>308</v>
      </c>
      <c r="AT440" s="199"/>
      <c r="AU440" s="195" t="s">
        <v>3631</v>
      </c>
      <c r="AV440" s="195" t="s">
        <v>9</v>
      </c>
      <c r="AW440" s="195" t="str">
        <f ca="1">IFERROR(__xludf.DUMMYFUNCTION("IF(AND(IF(AS440=""Yes"",True,False),NOT(IFERROR(REGEXMATCH(AV440,ExclusionCategories),FALSE))),""Yes"", ""No"")"),"Yes")</f>
        <v>Yes</v>
      </c>
      <c r="AX440" s="195">
        <f ca="1">IFERROR(__xludf.DUMMYFUNCTION("IF(IFERROR(SEARCH(""Unclear"", Z440)) = 1, VALUE(REGEXEXTRACT(Z440,""\d+"")), Z440)"),34)</f>
        <v>34</v>
      </c>
      <c r="AY440" s="195">
        <v>34</v>
      </c>
      <c r="AZ440" s="195" t="str">
        <f ca="1">IFERROR(__xludf.DUMMYFUNCTION("IF(IFERROR(SEARCH(""Unclear"", AG440)) = 1, VALUE(REGEXEXTRACT(AG440,""\d+"")), AG440)"),"ND")</f>
        <v>ND</v>
      </c>
      <c r="BA440" s="195" t="s">
        <v>324</v>
      </c>
      <c r="BB440" s="195" t="str">
        <f ca="1">IFERROR(__xludf.DUMMYFUNCTION("IF(IFERROR(SEARCH(""Unclear"", AJ440)) = 1, VALUE(REGEXEXTRACT(AJ440,""\d+"")), AJ440)"),"ND")</f>
        <v>ND</v>
      </c>
      <c r="BC440" s="195" t="s">
        <v>324</v>
      </c>
      <c r="BD440" s="195" t="b">
        <f t="shared" si="2"/>
        <v>0</v>
      </c>
      <c r="BE440" s="195" t="b">
        <f t="shared" ref="BE440:BF440" si="462">IF(IFERROR(FIND("ND",AI440),0),FALSE,TRUE)</f>
        <v>0</v>
      </c>
      <c r="BF440" s="195" t="b">
        <f t="shared" si="462"/>
        <v>0</v>
      </c>
    </row>
    <row r="441" spans="1:58" ht="37.5" customHeight="1">
      <c r="A441" s="212" t="s">
        <v>3632</v>
      </c>
      <c r="B441" s="195">
        <v>2009</v>
      </c>
      <c r="C441" s="195" t="s">
        <v>457</v>
      </c>
      <c r="D441" s="4" t="s">
        <v>3633</v>
      </c>
      <c r="E441" s="245">
        <v>19368793</v>
      </c>
      <c r="F441" s="260" t="s">
        <v>3634</v>
      </c>
      <c r="G441" s="213" t="str">
        <f t="shared" si="419"/>
        <v>Jones 2009</v>
      </c>
      <c r="H441" s="217">
        <v>2009</v>
      </c>
      <c r="I441" s="199"/>
      <c r="J441" s="199"/>
      <c r="K441" s="195">
        <v>27</v>
      </c>
      <c r="L441" s="4" t="s">
        <v>3635</v>
      </c>
      <c r="M441" s="195">
        <v>26</v>
      </c>
      <c r="N441" s="195">
        <v>1</v>
      </c>
      <c r="O441" s="195">
        <v>30</v>
      </c>
      <c r="P441" s="195">
        <v>20</v>
      </c>
      <c r="Q441" s="195">
        <v>49</v>
      </c>
      <c r="R441" s="195">
        <v>18</v>
      </c>
      <c r="S441" s="195">
        <v>50</v>
      </c>
      <c r="T441" s="195">
        <v>32.9</v>
      </c>
      <c r="U441" s="195">
        <v>9.08</v>
      </c>
      <c r="V441" s="195" t="s">
        <v>3636</v>
      </c>
      <c r="W441" s="199"/>
      <c r="X441" s="195">
        <v>27</v>
      </c>
      <c r="Y441" s="199"/>
      <c r="Z441" s="195">
        <v>9</v>
      </c>
      <c r="AA441" s="199"/>
      <c r="AB441" s="195">
        <v>0</v>
      </c>
      <c r="AC441" s="199"/>
      <c r="AD441" s="195" t="s">
        <v>322</v>
      </c>
      <c r="AE441" s="195" t="s">
        <v>3637</v>
      </c>
      <c r="AF441" s="199"/>
      <c r="AG441" s="195" t="s">
        <v>394</v>
      </c>
      <c r="AH441" s="195" t="s">
        <v>316</v>
      </c>
      <c r="AI441" s="195">
        <v>0</v>
      </c>
      <c r="AJ441" s="195" t="s">
        <v>324</v>
      </c>
      <c r="AK441" s="195" t="s">
        <v>3638</v>
      </c>
      <c r="AL441" s="195" t="s">
        <v>322</v>
      </c>
      <c r="AM441" s="199"/>
      <c r="AN441" s="195" t="s">
        <v>3639</v>
      </c>
      <c r="AO441" s="195" t="s">
        <v>3640</v>
      </c>
      <c r="AP441" s="195" t="s">
        <v>3641</v>
      </c>
      <c r="AQ441" s="195" t="s">
        <v>3642</v>
      </c>
      <c r="AR441" s="220" t="s">
        <v>3359</v>
      </c>
      <c r="AS441" s="195" t="s">
        <v>316</v>
      </c>
      <c r="AT441" s="199"/>
      <c r="AU441" s="195" t="s">
        <v>3643</v>
      </c>
      <c r="AV441" s="195" t="s">
        <v>326</v>
      </c>
      <c r="AW441" s="195" t="str">
        <f ca="1">IFERROR(__xludf.DUMMYFUNCTION("IF(AND(IF(AS441=""Yes"",True,False),NOT(IFERROR(REGEXMATCH(AV441,ExclusionCategories),FALSE))),""Yes"", ""No"")"),"No")</f>
        <v>No</v>
      </c>
      <c r="AX441" s="195">
        <f ca="1">IFERROR(__xludf.DUMMYFUNCTION("IF(IFERROR(SEARCH(""Unclear"", Z441)) = 1, VALUE(REGEXEXTRACT(Z441,""\d+"")), Z441)"),9)</f>
        <v>9</v>
      </c>
      <c r="AY441" s="195">
        <v>9</v>
      </c>
      <c r="AZ441" s="195">
        <f ca="1">IFERROR(__xludf.DUMMYFUNCTION("IF(IFERROR(SEARCH(""Unclear"", AG441)) = 1, VALUE(REGEXEXTRACT(AG441,""\d+"")), AG441)"),0)</f>
        <v>0</v>
      </c>
      <c r="BA441" s="195">
        <v>27</v>
      </c>
      <c r="BB441" s="195" t="str">
        <f ca="1">IFERROR(__xludf.DUMMYFUNCTION("IF(IFERROR(SEARCH(""Unclear"", AJ441)) = 1, VALUE(REGEXEXTRACT(AJ441,""\d+"")), AJ441)"),"ND")</f>
        <v>ND</v>
      </c>
      <c r="BC441" s="195" t="s">
        <v>324</v>
      </c>
      <c r="BD441" s="195" t="b">
        <f t="shared" si="2"/>
        <v>1</v>
      </c>
      <c r="BE441" s="195" t="b">
        <f t="shared" ref="BE441:BF441" si="463">IF(IFERROR(FIND("ND",AI441),0),FALSE,TRUE)</f>
        <v>1</v>
      </c>
      <c r="BF441" s="195" t="b">
        <f t="shared" si="463"/>
        <v>0</v>
      </c>
    </row>
    <row r="442" spans="1:58" ht="37.5" customHeight="1">
      <c r="A442" s="212" t="s">
        <v>3632</v>
      </c>
      <c r="B442" s="195">
        <v>2009</v>
      </c>
      <c r="C442" s="195" t="s">
        <v>457</v>
      </c>
      <c r="D442" s="4" t="s">
        <v>3633</v>
      </c>
      <c r="E442" s="245">
        <v>19368793</v>
      </c>
      <c r="F442" s="260" t="s">
        <v>3634</v>
      </c>
      <c r="G442" s="213" t="str">
        <f t="shared" si="419"/>
        <v>Jones 2009</v>
      </c>
      <c r="H442" s="217">
        <v>2009</v>
      </c>
      <c r="I442" s="199"/>
      <c r="J442" s="199"/>
      <c r="K442" s="195">
        <v>32</v>
      </c>
      <c r="L442" s="4" t="s">
        <v>3644</v>
      </c>
      <c r="M442" s="195">
        <v>29</v>
      </c>
      <c r="N442" s="195">
        <v>3</v>
      </c>
      <c r="O442" s="195">
        <v>38.5</v>
      </c>
      <c r="P442" s="195">
        <v>23</v>
      </c>
      <c r="Q442" s="195">
        <v>48</v>
      </c>
      <c r="R442" s="195">
        <v>18</v>
      </c>
      <c r="S442" s="195">
        <v>50</v>
      </c>
      <c r="T442" s="195">
        <v>36.9</v>
      </c>
      <c r="U442" s="195">
        <v>8.44</v>
      </c>
      <c r="V442" s="195" t="s">
        <v>3636</v>
      </c>
      <c r="W442" s="199"/>
      <c r="X442" s="195">
        <v>32</v>
      </c>
      <c r="Y442" s="199"/>
      <c r="Z442" s="195">
        <v>16</v>
      </c>
      <c r="AA442" s="199"/>
      <c r="AB442" s="195">
        <v>0</v>
      </c>
      <c r="AC442" s="199"/>
      <c r="AD442" s="195" t="s">
        <v>322</v>
      </c>
      <c r="AE442" s="195" t="s">
        <v>3637</v>
      </c>
      <c r="AF442" s="199"/>
      <c r="AG442" s="195" t="s">
        <v>394</v>
      </c>
      <c r="AH442" s="195" t="s">
        <v>316</v>
      </c>
      <c r="AI442" s="195">
        <v>0</v>
      </c>
      <c r="AJ442" s="195" t="s">
        <v>324</v>
      </c>
      <c r="AK442" s="195" t="s">
        <v>3638</v>
      </c>
      <c r="AL442" s="195" t="s">
        <v>322</v>
      </c>
      <c r="AM442" s="199"/>
      <c r="AN442" s="195" t="s">
        <v>3645</v>
      </c>
      <c r="AO442" s="195" t="s">
        <v>3640</v>
      </c>
      <c r="AP442" s="195" t="s">
        <v>3641</v>
      </c>
      <c r="AQ442" s="195" t="s">
        <v>3642</v>
      </c>
      <c r="AR442" s="220" t="s">
        <v>3359</v>
      </c>
      <c r="AS442" s="195" t="s">
        <v>316</v>
      </c>
      <c r="AT442" s="199"/>
      <c r="AU442" s="195" t="s">
        <v>3643</v>
      </c>
      <c r="AV442" s="195" t="s">
        <v>326</v>
      </c>
      <c r="AW442" s="195" t="str">
        <f ca="1">IFERROR(__xludf.DUMMYFUNCTION("IF(AND(IF(AS442=""Yes"",True,False),NOT(IFERROR(REGEXMATCH(AV442,ExclusionCategories),FALSE))),""Yes"", ""No"")"),"No")</f>
        <v>No</v>
      </c>
      <c r="AX442" s="195">
        <f ca="1">IFERROR(__xludf.DUMMYFUNCTION("IF(IFERROR(SEARCH(""Unclear"", Z442)) = 1, VALUE(REGEXEXTRACT(Z442,""\d+"")), Z442)"),16)</f>
        <v>16</v>
      </c>
      <c r="AY442" s="195">
        <v>16</v>
      </c>
      <c r="AZ442" s="195">
        <f ca="1">IFERROR(__xludf.DUMMYFUNCTION("IF(IFERROR(SEARCH(""Unclear"", AG442)) = 1, VALUE(REGEXEXTRACT(AG442,""\d+"")), AG442)"),0)</f>
        <v>0</v>
      </c>
      <c r="BA442" s="195">
        <v>32</v>
      </c>
      <c r="BB442" s="195" t="str">
        <f ca="1">IFERROR(__xludf.DUMMYFUNCTION("IF(IFERROR(SEARCH(""Unclear"", AJ442)) = 1, VALUE(REGEXEXTRACT(AJ442,""\d+"")), AJ442)"),"ND")</f>
        <v>ND</v>
      </c>
      <c r="BC442" s="195" t="s">
        <v>324</v>
      </c>
      <c r="BD442" s="195" t="b">
        <f t="shared" si="2"/>
        <v>1</v>
      </c>
      <c r="BE442" s="195" t="b">
        <f t="shared" ref="BE442:BF442" si="464">IF(IFERROR(FIND("ND",AI442),0),FALSE,TRUE)</f>
        <v>1</v>
      </c>
      <c r="BF442" s="195" t="b">
        <f t="shared" si="464"/>
        <v>0</v>
      </c>
    </row>
    <row r="443" spans="1:58" ht="37.5" customHeight="1">
      <c r="A443" s="212" t="s">
        <v>3632</v>
      </c>
      <c r="B443" s="195">
        <v>2009</v>
      </c>
      <c r="C443" s="195" t="s">
        <v>457</v>
      </c>
      <c r="D443" s="4" t="s">
        <v>3633</v>
      </c>
      <c r="E443" s="245">
        <v>19368793</v>
      </c>
      <c r="F443" s="260" t="s">
        <v>3634</v>
      </c>
      <c r="G443" s="213" t="str">
        <f t="shared" si="419"/>
        <v>Jones 2009</v>
      </c>
      <c r="H443" s="217">
        <v>2009</v>
      </c>
      <c r="I443" s="199"/>
      <c r="J443" s="199"/>
      <c r="K443" s="195">
        <v>27</v>
      </c>
      <c r="L443" s="4" t="s">
        <v>3646</v>
      </c>
      <c r="M443" s="195">
        <v>24</v>
      </c>
      <c r="N443" s="195">
        <v>3</v>
      </c>
      <c r="O443" s="195">
        <v>31</v>
      </c>
      <c r="P443" s="195">
        <v>25</v>
      </c>
      <c r="Q443" s="195">
        <v>49</v>
      </c>
      <c r="R443" s="195">
        <v>18</v>
      </c>
      <c r="S443" s="195">
        <v>50</v>
      </c>
      <c r="T443" s="195">
        <v>35</v>
      </c>
      <c r="U443" s="195">
        <v>8.11</v>
      </c>
      <c r="V443" s="195" t="s">
        <v>3636</v>
      </c>
      <c r="W443" s="199"/>
      <c r="X443" s="195">
        <v>27</v>
      </c>
      <c r="Y443" s="199"/>
      <c r="Z443" s="195">
        <v>16</v>
      </c>
      <c r="AA443" s="199"/>
      <c r="AB443" s="195">
        <v>0</v>
      </c>
      <c r="AC443" s="199"/>
      <c r="AD443" s="195" t="s">
        <v>322</v>
      </c>
      <c r="AE443" s="195" t="s">
        <v>3637</v>
      </c>
      <c r="AF443" s="199"/>
      <c r="AG443" s="195" t="s">
        <v>394</v>
      </c>
      <c r="AH443" s="195" t="s">
        <v>316</v>
      </c>
      <c r="AI443" s="195">
        <v>0</v>
      </c>
      <c r="AJ443" s="195" t="s">
        <v>324</v>
      </c>
      <c r="AK443" s="195" t="s">
        <v>3638</v>
      </c>
      <c r="AL443" s="195" t="s">
        <v>322</v>
      </c>
      <c r="AM443" s="199"/>
      <c r="AN443" s="195" t="s">
        <v>890</v>
      </c>
      <c r="AO443" s="195" t="s">
        <v>3640</v>
      </c>
      <c r="AP443" s="195" t="s">
        <v>3641</v>
      </c>
      <c r="AQ443" s="195" t="s">
        <v>3642</v>
      </c>
      <c r="AR443" s="220" t="s">
        <v>3359</v>
      </c>
      <c r="AS443" s="195" t="s">
        <v>316</v>
      </c>
      <c r="AT443" s="199"/>
      <c r="AU443" s="195" t="s">
        <v>3643</v>
      </c>
      <c r="AV443" s="195" t="s">
        <v>326</v>
      </c>
      <c r="AW443" s="195" t="str">
        <f ca="1">IFERROR(__xludf.DUMMYFUNCTION("IF(AND(IF(AS443=""Yes"",True,False),NOT(IFERROR(REGEXMATCH(AV443,ExclusionCategories),FALSE))),""Yes"", ""No"")"),"No")</f>
        <v>No</v>
      </c>
      <c r="AX443" s="195">
        <f ca="1">IFERROR(__xludf.DUMMYFUNCTION("IF(IFERROR(SEARCH(""Unclear"", Z443)) = 1, VALUE(REGEXEXTRACT(Z443,""\d+"")), Z443)"),16)</f>
        <v>16</v>
      </c>
      <c r="AY443" s="195">
        <v>16</v>
      </c>
      <c r="AZ443" s="195">
        <f ca="1">IFERROR(__xludf.DUMMYFUNCTION("IF(IFERROR(SEARCH(""Unclear"", AG443)) = 1, VALUE(REGEXEXTRACT(AG443,""\d+"")), AG443)"),0)</f>
        <v>0</v>
      </c>
      <c r="BA443" s="195">
        <v>27</v>
      </c>
      <c r="BB443" s="195" t="str">
        <f ca="1">IFERROR(__xludf.DUMMYFUNCTION("IF(IFERROR(SEARCH(""Unclear"", AJ443)) = 1, VALUE(REGEXEXTRACT(AJ443,""\d+"")), AJ443)"),"ND")</f>
        <v>ND</v>
      </c>
      <c r="BC443" s="195" t="s">
        <v>324</v>
      </c>
      <c r="BD443" s="195" t="b">
        <f t="shared" si="2"/>
        <v>1</v>
      </c>
      <c r="BE443" s="195" t="b">
        <f t="shared" ref="BE443:BF443" si="465">IF(IFERROR(FIND("ND",AI443),0),FALSE,TRUE)</f>
        <v>1</v>
      </c>
      <c r="BF443" s="195" t="b">
        <f t="shared" si="465"/>
        <v>0</v>
      </c>
    </row>
    <row r="444" spans="1:58" ht="37.5" customHeight="1">
      <c r="A444" s="212" t="s">
        <v>3632</v>
      </c>
      <c r="B444" s="195">
        <v>2009</v>
      </c>
      <c r="C444" s="195" t="s">
        <v>457</v>
      </c>
      <c r="D444" s="4" t="s">
        <v>3633</v>
      </c>
      <c r="E444" s="245">
        <v>19368793</v>
      </c>
      <c r="F444" s="260" t="s">
        <v>3634</v>
      </c>
      <c r="G444" s="213" t="str">
        <f t="shared" si="419"/>
        <v>Jones 2009</v>
      </c>
      <c r="H444" s="217">
        <v>2009</v>
      </c>
      <c r="I444" s="199"/>
      <c r="J444" s="199"/>
      <c r="K444" s="195" t="s">
        <v>3647</v>
      </c>
      <c r="L444" s="4" t="s">
        <v>3648</v>
      </c>
      <c r="M444" s="195">
        <v>79</v>
      </c>
      <c r="N444" s="195">
        <v>7</v>
      </c>
      <c r="O444" s="195">
        <v>33</v>
      </c>
      <c r="P444" s="195">
        <v>20</v>
      </c>
      <c r="Q444" s="195">
        <v>49</v>
      </c>
      <c r="R444" s="195">
        <v>18</v>
      </c>
      <c r="S444" s="195">
        <v>50</v>
      </c>
      <c r="T444" s="195">
        <v>35</v>
      </c>
      <c r="U444" s="195">
        <v>8.61</v>
      </c>
      <c r="V444" s="195" t="s">
        <v>3636</v>
      </c>
      <c r="W444" s="199"/>
      <c r="X444" s="195">
        <v>86</v>
      </c>
      <c r="Y444" s="199"/>
      <c r="Z444" s="195">
        <v>41</v>
      </c>
      <c r="AA444" s="199"/>
      <c r="AB444" s="195">
        <v>0</v>
      </c>
      <c r="AC444" s="199"/>
      <c r="AD444" s="195" t="s">
        <v>322</v>
      </c>
      <c r="AE444" s="195" t="s">
        <v>3637</v>
      </c>
      <c r="AF444" s="195" t="s">
        <v>3649</v>
      </c>
      <c r="AG444" s="195" t="s">
        <v>394</v>
      </c>
      <c r="AH444" s="195" t="s">
        <v>316</v>
      </c>
      <c r="AI444" s="195">
        <v>0</v>
      </c>
      <c r="AJ444" s="195" t="s">
        <v>324</v>
      </c>
      <c r="AK444" s="195" t="s">
        <v>3638</v>
      </c>
      <c r="AL444" s="195" t="s">
        <v>322</v>
      </c>
      <c r="AM444" s="199"/>
      <c r="AN444" s="195" t="s">
        <v>3650</v>
      </c>
      <c r="AO444" s="195" t="s">
        <v>3640</v>
      </c>
      <c r="AP444" s="195" t="s">
        <v>3641</v>
      </c>
      <c r="AQ444" s="195" t="s">
        <v>3642</v>
      </c>
      <c r="AR444" s="220" t="s">
        <v>3359</v>
      </c>
      <c r="AS444" s="195" t="s">
        <v>308</v>
      </c>
      <c r="AT444" s="199"/>
      <c r="AU444" s="195" t="s">
        <v>3643</v>
      </c>
      <c r="AV444" s="195" t="s">
        <v>337</v>
      </c>
      <c r="AW444" s="195" t="str">
        <f ca="1">IFERROR(__xludf.DUMMYFUNCTION("IF(AND(IF(AS444=""Yes"",True,False),NOT(IFERROR(REGEXMATCH(AV444,ExclusionCategories),FALSE))),""Yes"", ""No"")"),"Yes")</f>
        <v>Yes</v>
      </c>
      <c r="AX444" s="195">
        <f ca="1">IFERROR(__xludf.DUMMYFUNCTION("IF(IFERROR(SEARCH(""Unclear"", Z444)) = 1, VALUE(REGEXEXTRACT(Z444,""\d+"")), Z444)"),41)</f>
        <v>41</v>
      </c>
      <c r="AY444" s="195">
        <v>41</v>
      </c>
      <c r="AZ444" s="195">
        <f ca="1">IFERROR(__xludf.DUMMYFUNCTION("IF(IFERROR(SEARCH(""Unclear"", AG444)) = 1, VALUE(REGEXEXTRACT(AG444,""\d+"")), AG444)"),0)</f>
        <v>0</v>
      </c>
      <c r="BA444" s="195">
        <v>86</v>
      </c>
      <c r="BB444" s="195" t="str">
        <f ca="1">IFERROR(__xludf.DUMMYFUNCTION("IF(IFERROR(SEARCH(""Unclear"", AJ444)) = 1, VALUE(REGEXEXTRACT(AJ444,""\d+"")), AJ444)"),"ND")</f>
        <v>ND</v>
      </c>
      <c r="BC444" s="195" t="s">
        <v>324</v>
      </c>
      <c r="BD444" s="195" t="b">
        <f t="shared" si="2"/>
        <v>1</v>
      </c>
      <c r="BE444" s="195" t="b">
        <f t="shared" ref="BE444:BF444" si="466">IF(IFERROR(FIND("ND",AI444),0),FALSE,TRUE)</f>
        <v>1</v>
      </c>
      <c r="BF444" s="195" t="b">
        <f t="shared" si="466"/>
        <v>0</v>
      </c>
    </row>
    <row r="445" spans="1:58" ht="37.5" customHeight="1">
      <c r="A445" s="212" t="s">
        <v>3651</v>
      </c>
      <c r="B445" s="195">
        <v>1990</v>
      </c>
      <c r="C445" s="195" t="s">
        <v>457</v>
      </c>
      <c r="D445" s="4" t="s">
        <v>3652</v>
      </c>
      <c r="E445" s="245">
        <v>2153185</v>
      </c>
      <c r="F445" s="260" t="s">
        <v>3653</v>
      </c>
      <c r="G445" s="213" t="str">
        <f t="shared" si="419"/>
        <v>Keitel 1990</v>
      </c>
      <c r="H445" s="217">
        <v>1990</v>
      </c>
      <c r="I445" s="199"/>
      <c r="J445" s="199"/>
      <c r="K445" s="195">
        <v>96</v>
      </c>
      <c r="L445" s="4" t="s">
        <v>3654</v>
      </c>
      <c r="M445" s="195" t="s">
        <v>324</v>
      </c>
      <c r="N445" s="195" t="s">
        <v>324</v>
      </c>
      <c r="O445" s="195" t="s">
        <v>324</v>
      </c>
      <c r="P445" s="195" t="s">
        <v>324</v>
      </c>
      <c r="Q445" s="195" t="s">
        <v>324</v>
      </c>
      <c r="R445" s="195">
        <v>18</v>
      </c>
      <c r="S445" s="195">
        <v>35</v>
      </c>
      <c r="T445" s="195" t="s">
        <v>324</v>
      </c>
      <c r="U445" s="195" t="s">
        <v>324</v>
      </c>
      <c r="V445" s="195" t="s">
        <v>3655</v>
      </c>
      <c r="W445" s="199"/>
      <c r="X445" s="195">
        <v>79</v>
      </c>
      <c r="Y445" s="199"/>
      <c r="Z445" s="195">
        <v>61</v>
      </c>
      <c r="AA445" s="195"/>
      <c r="AB445" s="195">
        <v>17</v>
      </c>
      <c r="AC445" s="199"/>
      <c r="AD445" s="195">
        <v>0</v>
      </c>
      <c r="AE445" s="195" t="s">
        <v>3656</v>
      </c>
      <c r="AF445" s="195" t="s">
        <v>1549</v>
      </c>
      <c r="AG445" s="195">
        <v>19</v>
      </c>
      <c r="AH445" s="195" t="s">
        <v>511</v>
      </c>
      <c r="AI445" s="195">
        <v>0</v>
      </c>
      <c r="AJ445" s="195" t="s">
        <v>324</v>
      </c>
      <c r="AK445" s="195" t="s">
        <v>499</v>
      </c>
      <c r="AL445" s="195">
        <v>0</v>
      </c>
      <c r="AM445" s="199"/>
      <c r="AN445" s="195" t="s">
        <v>332</v>
      </c>
      <c r="AO445" s="195" t="s">
        <v>3657</v>
      </c>
      <c r="AP445" s="195" t="s">
        <v>3658</v>
      </c>
      <c r="AQ445" s="195" t="s">
        <v>324</v>
      </c>
      <c r="AR445" s="220" t="s">
        <v>3359</v>
      </c>
      <c r="AS445" s="195" t="s">
        <v>316</v>
      </c>
      <c r="AT445" s="199"/>
      <c r="AU445" s="195" t="s">
        <v>3659</v>
      </c>
      <c r="AV445" s="195" t="s">
        <v>2173</v>
      </c>
      <c r="AW445" s="195" t="str">
        <f ca="1">IFERROR(__xludf.DUMMYFUNCTION("IF(AND(IF(AS445=""Yes"",True,False),NOT(IFERROR(REGEXMATCH(AV445,ExclusionCategories),FALSE))),""Yes"", ""No"")"),"No")</f>
        <v>No</v>
      </c>
      <c r="AX445" s="195">
        <f ca="1">IFERROR(__xludf.DUMMYFUNCTION("IF(IFERROR(SEARCH(""Unclear"", Z445)) = 1, VALUE(REGEXEXTRACT(Z445,""\d+"")), Z445)"),61)</f>
        <v>61</v>
      </c>
      <c r="AY445" s="195">
        <v>61</v>
      </c>
      <c r="AZ445" s="195">
        <f ca="1">IFERROR(__xludf.DUMMYFUNCTION("IF(IFERROR(SEARCH(""Unclear"", AG445)) = 1, VALUE(REGEXEXTRACT(AG445,""\d+"")), AG445)"),19)</f>
        <v>19</v>
      </c>
      <c r="BA445" s="195">
        <v>19</v>
      </c>
      <c r="BB445" s="195" t="str">
        <f ca="1">IFERROR(__xludf.DUMMYFUNCTION("IF(IFERROR(SEARCH(""Unclear"", AJ445)) = 1, VALUE(REGEXEXTRACT(AJ445,""\d+"")), AJ445)"),"ND")</f>
        <v>ND</v>
      </c>
      <c r="BC445" s="195" t="s">
        <v>324</v>
      </c>
      <c r="BD445" s="195" t="b">
        <f t="shared" si="2"/>
        <v>1</v>
      </c>
      <c r="BE445" s="195" t="b">
        <f t="shared" ref="BE445:BF445" si="467">IF(IFERROR(FIND("ND",AI445),0),FALSE,TRUE)</f>
        <v>1</v>
      </c>
      <c r="BF445" s="195" t="b">
        <f t="shared" si="467"/>
        <v>0</v>
      </c>
    </row>
    <row r="446" spans="1:58" ht="37.5" customHeight="1">
      <c r="A446" s="212" t="s">
        <v>3651</v>
      </c>
      <c r="B446" s="195">
        <v>1990</v>
      </c>
      <c r="C446" s="195" t="s">
        <v>457</v>
      </c>
      <c r="D446" s="4" t="s">
        <v>3660</v>
      </c>
      <c r="E446" s="245">
        <v>2153185</v>
      </c>
      <c r="F446" s="260" t="s">
        <v>3653</v>
      </c>
      <c r="G446" s="213" t="str">
        <f t="shared" si="419"/>
        <v>Keitel 1990</v>
      </c>
      <c r="H446" s="217">
        <v>1990</v>
      </c>
      <c r="I446" s="199"/>
      <c r="J446" s="199"/>
      <c r="K446" s="195">
        <v>16</v>
      </c>
      <c r="L446" s="4" t="s">
        <v>3661</v>
      </c>
      <c r="M446" s="195" t="s">
        <v>324</v>
      </c>
      <c r="N446" s="195" t="s">
        <v>324</v>
      </c>
      <c r="O446" s="195" t="s">
        <v>324</v>
      </c>
      <c r="P446" s="195" t="s">
        <v>324</v>
      </c>
      <c r="Q446" s="195" t="s">
        <v>324</v>
      </c>
      <c r="R446" s="195">
        <v>18</v>
      </c>
      <c r="S446" s="195">
        <v>35</v>
      </c>
      <c r="T446" s="195" t="s">
        <v>324</v>
      </c>
      <c r="U446" s="195" t="s">
        <v>324</v>
      </c>
      <c r="V446" s="195" t="s">
        <v>3655</v>
      </c>
      <c r="W446" s="199"/>
      <c r="X446" s="195">
        <v>16</v>
      </c>
      <c r="Y446" s="199"/>
      <c r="Z446" s="195">
        <v>16</v>
      </c>
      <c r="AA446" s="199"/>
      <c r="AB446" s="195">
        <v>0</v>
      </c>
      <c r="AC446" s="199"/>
      <c r="AD446" s="195" t="s">
        <v>322</v>
      </c>
      <c r="AE446" s="195" t="s">
        <v>3656</v>
      </c>
      <c r="AF446" s="195" t="s">
        <v>1549</v>
      </c>
      <c r="AG446" s="195">
        <v>6</v>
      </c>
      <c r="AH446" s="195" t="s">
        <v>511</v>
      </c>
      <c r="AI446" s="195">
        <v>0</v>
      </c>
      <c r="AJ446" s="195" t="s">
        <v>324</v>
      </c>
      <c r="AK446" s="195" t="s">
        <v>499</v>
      </c>
      <c r="AL446" s="195" t="s">
        <v>322</v>
      </c>
      <c r="AM446" s="199"/>
      <c r="AN446" s="195" t="s">
        <v>332</v>
      </c>
      <c r="AO446" s="195" t="s">
        <v>3657</v>
      </c>
      <c r="AP446" s="195" t="s">
        <v>3658</v>
      </c>
      <c r="AQ446" s="195" t="s">
        <v>324</v>
      </c>
      <c r="AR446" s="220" t="s">
        <v>3359</v>
      </c>
      <c r="AS446" s="195" t="s">
        <v>316</v>
      </c>
      <c r="AT446" s="199"/>
      <c r="AU446" s="195" t="s">
        <v>3659</v>
      </c>
      <c r="AV446" s="195" t="s">
        <v>1447</v>
      </c>
      <c r="AW446" s="195" t="str">
        <f ca="1">IFERROR(__xludf.DUMMYFUNCTION("IF(AND(IF(AS446=""Yes"",True,False),NOT(IFERROR(REGEXMATCH(AV446,ExclusionCategories),FALSE))),""Yes"", ""No"")"),"No")</f>
        <v>No</v>
      </c>
      <c r="AX446" s="195">
        <f ca="1">IFERROR(__xludf.DUMMYFUNCTION("IF(IFERROR(SEARCH(""Unclear"", Z446)) = 1, VALUE(REGEXEXTRACT(Z446,""\d+"")), Z446)"),16)</f>
        <v>16</v>
      </c>
      <c r="AY446" s="195">
        <v>16</v>
      </c>
      <c r="AZ446" s="195">
        <f ca="1">IFERROR(__xludf.DUMMYFUNCTION("IF(IFERROR(SEARCH(""Unclear"", AG446)) = 1, VALUE(REGEXEXTRACT(AG446,""\d+"")), AG446)"),6)</f>
        <v>6</v>
      </c>
      <c r="BA446" s="195">
        <v>6</v>
      </c>
      <c r="BB446" s="195" t="str">
        <f ca="1">IFERROR(__xludf.DUMMYFUNCTION("IF(IFERROR(SEARCH(""Unclear"", AJ446)) = 1, VALUE(REGEXEXTRACT(AJ446,""\d+"")), AJ446)"),"ND")</f>
        <v>ND</v>
      </c>
      <c r="BC446" s="195" t="s">
        <v>324</v>
      </c>
      <c r="BD446" s="195" t="b">
        <f t="shared" si="2"/>
        <v>1</v>
      </c>
      <c r="BE446" s="195" t="b">
        <f t="shared" ref="BE446:BF446" si="468">IF(IFERROR(FIND("ND",AI446),0),FALSE,TRUE)</f>
        <v>1</v>
      </c>
      <c r="BF446" s="195" t="b">
        <f t="shared" si="468"/>
        <v>0</v>
      </c>
    </row>
    <row r="447" spans="1:58" ht="37.5" customHeight="1">
      <c r="A447" s="212" t="s">
        <v>3651</v>
      </c>
      <c r="B447" s="195">
        <v>1990</v>
      </c>
      <c r="C447" s="195" t="s">
        <v>457</v>
      </c>
      <c r="D447" s="4" t="s">
        <v>3662</v>
      </c>
      <c r="E447" s="245">
        <v>2153185</v>
      </c>
      <c r="F447" s="260" t="s">
        <v>3653</v>
      </c>
      <c r="G447" s="213" t="str">
        <f t="shared" si="419"/>
        <v>Keitel 1990</v>
      </c>
      <c r="H447" s="217">
        <v>1990</v>
      </c>
      <c r="I447" s="199"/>
      <c r="J447" s="199"/>
      <c r="K447" s="195">
        <v>13</v>
      </c>
      <c r="L447" s="4" t="s">
        <v>882</v>
      </c>
      <c r="M447" s="195" t="s">
        <v>324</v>
      </c>
      <c r="N447" s="195" t="s">
        <v>324</v>
      </c>
      <c r="O447" s="195" t="s">
        <v>324</v>
      </c>
      <c r="P447" s="195" t="s">
        <v>324</v>
      </c>
      <c r="Q447" s="195" t="s">
        <v>324</v>
      </c>
      <c r="R447" s="195">
        <v>18</v>
      </c>
      <c r="S447" s="195">
        <v>35</v>
      </c>
      <c r="T447" s="195" t="s">
        <v>324</v>
      </c>
      <c r="U447" s="195" t="s">
        <v>324</v>
      </c>
      <c r="V447" s="195" t="s">
        <v>3655</v>
      </c>
      <c r="W447" s="199"/>
      <c r="X447" s="195">
        <v>13</v>
      </c>
      <c r="Y447" s="199"/>
      <c r="Z447" s="195">
        <v>6</v>
      </c>
      <c r="AA447" s="199"/>
      <c r="AB447" s="195">
        <v>0</v>
      </c>
      <c r="AC447" s="199"/>
      <c r="AD447" s="195" t="s">
        <v>322</v>
      </c>
      <c r="AE447" s="195" t="s">
        <v>3656</v>
      </c>
      <c r="AF447" s="195" t="s">
        <v>1549</v>
      </c>
      <c r="AG447" s="195">
        <v>0</v>
      </c>
      <c r="AH447" s="195" t="s">
        <v>308</v>
      </c>
      <c r="AI447" s="195">
        <v>0</v>
      </c>
      <c r="AJ447" s="195" t="s">
        <v>324</v>
      </c>
      <c r="AK447" s="195" t="s">
        <v>499</v>
      </c>
      <c r="AL447" s="195" t="s">
        <v>322</v>
      </c>
      <c r="AM447" s="199"/>
      <c r="AN447" s="195" t="s">
        <v>332</v>
      </c>
      <c r="AO447" s="195" t="s">
        <v>3657</v>
      </c>
      <c r="AP447" s="195" t="s">
        <v>3658</v>
      </c>
      <c r="AQ447" s="195" t="s">
        <v>324</v>
      </c>
      <c r="AR447" s="220" t="s">
        <v>3359</v>
      </c>
      <c r="AS447" s="195" t="s">
        <v>308</v>
      </c>
      <c r="AT447" s="199"/>
      <c r="AU447" s="195" t="s">
        <v>3659</v>
      </c>
      <c r="AV447" s="195" t="s">
        <v>2277</v>
      </c>
      <c r="AW447" s="195" t="str">
        <f ca="1">IFERROR(__xludf.DUMMYFUNCTION("IF(AND(IF(AS447=""Yes"",True,False),NOT(IFERROR(REGEXMATCH(AV447,ExclusionCategories),FALSE))),""Yes"", ""No"")"),"No")</f>
        <v>No</v>
      </c>
      <c r="AX447" s="195">
        <f ca="1">IFERROR(__xludf.DUMMYFUNCTION("IF(IFERROR(SEARCH(""Unclear"", Z447)) = 1, VALUE(REGEXEXTRACT(Z447,""\d+"")), Z447)"),6)</f>
        <v>6</v>
      </c>
      <c r="AY447" s="195">
        <v>6</v>
      </c>
      <c r="AZ447" s="195">
        <f ca="1">IFERROR(__xludf.DUMMYFUNCTION("IF(IFERROR(SEARCH(""Unclear"", AG447)) = 1, VALUE(REGEXEXTRACT(AG447,""\d+"")), AG447)"),0)</f>
        <v>0</v>
      </c>
      <c r="BA447" s="195">
        <v>0</v>
      </c>
      <c r="BB447" s="195" t="str">
        <f ca="1">IFERROR(__xludf.DUMMYFUNCTION("IF(IFERROR(SEARCH(""Unclear"", AJ447)) = 1, VALUE(REGEXEXTRACT(AJ447,""\d+"")), AJ447)"),"ND")</f>
        <v>ND</v>
      </c>
      <c r="BC447" s="195" t="s">
        <v>324</v>
      </c>
      <c r="BD447" s="195" t="b">
        <f t="shared" si="2"/>
        <v>1</v>
      </c>
      <c r="BE447" s="195" t="b">
        <f t="shared" ref="BE447:BF447" si="469">IF(IFERROR(FIND("ND",AI447),0),FALSE,TRUE)</f>
        <v>1</v>
      </c>
      <c r="BF447" s="195" t="b">
        <f t="shared" si="469"/>
        <v>0</v>
      </c>
    </row>
    <row r="448" spans="1:58" ht="37.5" customHeight="1">
      <c r="A448" s="212" t="s">
        <v>3651</v>
      </c>
      <c r="B448" s="195">
        <v>1990</v>
      </c>
      <c r="C448" s="195" t="s">
        <v>457</v>
      </c>
      <c r="D448" s="4" t="s">
        <v>3663</v>
      </c>
      <c r="E448" s="245">
        <v>2153185</v>
      </c>
      <c r="F448" s="260" t="s">
        <v>3653</v>
      </c>
      <c r="G448" s="213" t="str">
        <f t="shared" si="419"/>
        <v>Keitel 1990</v>
      </c>
      <c r="H448" s="217">
        <v>1990</v>
      </c>
      <c r="I448" s="199"/>
      <c r="J448" s="199"/>
      <c r="K448" s="195">
        <v>112</v>
      </c>
      <c r="L448" s="4" t="s">
        <v>3664</v>
      </c>
      <c r="M448" s="195" t="s">
        <v>324</v>
      </c>
      <c r="N448" s="195" t="s">
        <v>324</v>
      </c>
      <c r="O448" s="195" t="s">
        <v>324</v>
      </c>
      <c r="P448" s="195" t="s">
        <v>324</v>
      </c>
      <c r="Q448" s="195" t="s">
        <v>324</v>
      </c>
      <c r="R448" s="195">
        <v>18</v>
      </c>
      <c r="S448" s="195">
        <v>35</v>
      </c>
      <c r="T448" s="195" t="s">
        <v>324</v>
      </c>
      <c r="U448" s="195" t="s">
        <v>324</v>
      </c>
      <c r="V448" s="195" t="s">
        <v>3655</v>
      </c>
      <c r="W448" s="199"/>
      <c r="X448" s="195">
        <v>95</v>
      </c>
      <c r="Y448" s="199"/>
      <c r="Z448" s="195">
        <v>77</v>
      </c>
      <c r="AA448" s="199"/>
      <c r="AB448" s="195">
        <v>17</v>
      </c>
      <c r="AC448" s="199"/>
      <c r="AD448" s="195">
        <v>0</v>
      </c>
      <c r="AE448" s="195" t="s">
        <v>3656</v>
      </c>
      <c r="AF448" s="195" t="s">
        <v>1549</v>
      </c>
      <c r="AG448" s="195">
        <v>25</v>
      </c>
      <c r="AH448" s="195" t="s">
        <v>308</v>
      </c>
      <c r="AI448" s="195">
        <v>0</v>
      </c>
      <c r="AJ448" s="195" t="s">
        <v>324</v>
      </c>
      <c r="AK448" s="195" t="s">
        <v>499</v>
      </c>
      <c r="AL448" s="195">
        <v>0</v>
      </c>
      <c r="AM448" s="199"/>
      <c r="AN448" s="195" t="s">
        <v>332</v>
      </c>
      <c r="AO448" s="195" t="s">
        <v>3657</v>
      </c>
      <c r="AP448" s="195" t="s">
        <v>3658</v>
      </c>
      <c r="AQ448" s="195" t="s">
        <v>324</v>
      </c>
      <c r="AR448" s="220" t="s">
        <v>3359</v>
      </c>
      <c r="AS448" s="195" t="s">
        <v>308</v>
      </c>
      <c r="AT448" s="199"/>
      <c r="AU448" s="195" t="s">
        <v>3659</v>
      </c>
      <c r="AV448" s="195" t="s">
        <v>3665</v>
      </c>
      <c r="AW448" s="195" t="str">
        <f ca="1">IFERROR(__xludf.DUMMYFUNCTION("IF(AND(IF(AS448=""Yes"",True,False),NOT(IFERROR(REGEXMATCH(AV448,ExclusionCategories),FALSE))),""Yes"", ""No"")"),"Yes")</f>
        <v>Yes</v>
      </c>
      <c r="AX448" s="195">
        <f ca="1">IFERROR(__xludf.DUMMYFUNCTION("IF(IFERROR(SEARCH(""Unclear"", Z448)) = 1, VALUE(REGEXEXTRACT(Z448,""\d+"")), Z448)"),77)</f>
        <v>77</v>
      </c>
      <c r="AY448" s="195">
        <v>77</v>
      </c>
      <c r="AZ448" s="195">
        <f ca="1">IFERROR(__xludf.DUMMYFUNCTION("IF(IFERROR(SEARCH(""Unclear"", AG448)) = 1, VALUE(REGEXEXTRACT(AG448,""\d+"")), AG448)"),25)</f>
        <v>25</v>
      </c>
      <c r="BA448" s="195">
        <v>25</v>
      </c>
      <c r="BB448" s="195" t="str">
        <f ca="1">IFERROR(__xludf.DUMMYFUNCTION("IF(IFERROR(SEARCH(""Unclear"", AJ448)) = 1, VALUE(REGEXEXTRACT(AJ448,""\d+"")), AJ448)"),"ND")</f>
        <v>ND</v>
      </c>
      <c r="BC448" s="195" t="s">
        <v>324</v>
      </c>
      <c r="BD448" s="195" t="b">
        <f t="shared" si="2"/>
        <v>1</v>
      </c>
      <c r="BE448" s="195" t="b">
        <f t="shared" ref="BE448:BF448" si="470">IF(IFERROR(FIND("ND",AI448),0),FALSE,TRUE)</f>
        <v>1</v>
      </c>
      <c r="BF448" s="195" t="b">
        <f t="shared" si="470"/>
        <v>0</v>
      </c>
    </row>
    <row r="449" spans="1:58" ht="37.5" customHeight="1">
      <c r="A449" s="220" t="s">
        <v>3666</v>
      </c>
      <c r="B449" s="245">
        <v>2016</v>
      </c>
      <c r="C449" s="195" t="s">
        <v>2031</v>
      </c>
      <c r="D449" s="4" t="s">
        <v>3667</v>
      </c>
      <c r="E449" s="245">
        <v>27089205</v>
      </c>
      <c r="F449" s="260" t="s">
        <v>3668</v>
      </c>
      <c r="G449" s="213" t="str">
        <f t="shared" si="419"/>
        <v>Kirkpatrick 2016</v>
      </c>
      <c r="H449" s="195">
        <v>2014</v>
      </c>
      <c r="I449" s="195" t="s">
        <v>3669</v>
      </c>
      <c r="J449" s="198" t="s">
        <v>3670</v>
      </c>
      <c r="K449" s="195">
        <v>48</v>
      </c>
      <c r="L449" s="10"/>
      <c r="M449" s="195">
        <v>29</v>
      </c>
      <c r="N449" s="195">
        <v>19</v>
      </c>
      <c r="O449" s="195" t="s">
        <v>324</v>
      </c>
      <c r="P449" s="195" t="s">
        <v>324</v>
      </c>
      <c r="Q449" s="195" t="s">
        <v>324</v>
      </c>
      <c r="R449" s="195">
        <v>18</v>
      </c>
      <c r="S449" s="195">
        <v>50</v>
      </c>
      <c r="T449" s="195" t="s">
        <v>847</v>
      </c>
      <c r="U449" s="195">
        <v>1.7</v>
      </c>
      <c r="V449" s="195" t="s">
        <v>3671</v>
      </c>
      <c r="W449" s="199"/>
      <c r="X449" s="195">
        <v>41</v>
      </c>
      <c r="Y449" s="195" t="s">
        <v>3672</v>
      </c>
      <c r="Z449" s="195">
        <v>20</v>
      </c>
      <c r="AA449" s="195" t="s">
        <v>3673</v>
      </c>
      <c r="AB449" s="195">
        <v>0</v>
      </c>
      <c r="AC449" s="199"/>
      <c r="AD449" s="195" t="s">
        <v>322</v>
      </c>
      <c r="AE449" s="195" t="s">
        <v>3674</v>
      </c>
      <c r="AF449" s="195" t="s">
        <v>3675</v>
      </c>
      <c r="AG449" s="195" t="s">
        <v>3676</v>
      </c>
      <c r="AH449" s="195" t="s">
        <v>511</v>
      </c>
      <c r="AI449" s="195" t="s">
        <v>324</v>
      </c>
      <c r="AJ449" s="195" t="s">
        <v>324</v>
      </c>
      <c r="AK449" s="199"/>
      <c r="AL449" s="195" t="s">
        <v>322</v>
      </c>
      <c r="AM449" s="199"/>
      <c r="AN449" s="195" t="s">
        <v>3677</v>
      </c>
      <c r="AO449" s="195" t="s">
        <v>324</v>
      </c>
      <c r="AP449" s="195" t="s">
        <v>3678</v>
      </c>
      <c r="AQ449" s="195" t="s">
        <v>421</v>
      </c>
      <c r="AR449" s="220" t="s">
        <v>3359</v>
      </c>
      <c r="AS449" s="195" t="s">
        <v>308</v>
      </c>
      <c r="AT449" s="199"/>
      <c r="AU449" s="195" t="s">
        <v>3679</v>
      </c>
      <c r="AV449" s="195" t="s">
        <v>9</v>
      </c>
      <c r="AW449" s="195" t="str">
        <f ca="1">IFERROR(__xludf.DUMMYFUNCTION("IF(AND(IF(AS449=""Yes"",True,False),NOT(IFERROR(REGEXMATCH(AV449,ExclusionCategories),FALSE))),""Yes"", ""No"")"),"Yes")</f>
        <v>Yes</v>
      </c>
      <c r="AX449" s="195">
        <f ca="1">IFERROR(__xludf.DUMMYFUNCTION("IF(IFERROR(SEARCH(""Unclear"", Z449)) = 1, VALUE(REGEXEXTRACT(Z449,""\d+"")), Z449)"),20)</f>
        <v>20</v>
      </c>
      <c r="AY449" s="195">
        <v>20</v>
      </c>
      <c r="AZ449" s="195">
        <f ca="1">IFERROR(__xludf.DUMMYFUNCTION("IF(IFERROR(SEARCH(""Unclear"", AG449)) = 1, VALUE(REGEXEXTRACT(AG449,""\d+"")), AG449)"),25)</f>
        <v>25</v>
      </c>
      <c r="BA449" s="195">
        <v>41</v>
      </c>
      <c r="BB449" s="195" t="str">
        <f ca="1">IFERROR(__xludf.DUMMYFUNCTION("IF(IFERROR(SEARCH(""Unclear"", AJ449)) = 1, VALUE(REGEXEXTRACT(AJ449,""\d+"")), AJ449)"),"ND")</f>
        <v>ND</v>
      </c>
      <c r="BC449" s="195" t="s">
        <v>324</v>
      </c>
      <c r="BD449" s="195" t="b">
        <f t="shared" si="2"/>
        <v>1</v>
      </c>
      <c r="BE449" s="195" t="b">
        <f t="shared" ref="BE449:BF449" si="471">IF(IFERROR(FIND("ND",AI449),0),FALSE,TRUE)</f>
        <v>0</v>
      </c>
      <c r="BF449" s="195" t="b">
        <f t="shared" si="471"/>
        <v>0</v>
      </c>
    </row>
    <row r="450" spans="1:58" ht="37.5" customHeight="1">
      <c r="A450" s="220" t="s">
        <v>3680</v>
      </c>
      <c r="B450" s="245">
        <v>2003</v>
      </c>
      <c r="C450" s="195" t="s">
        <v>552</v>
      </c>
      <c r="D450" s="4" t="s">
        <v>3681</v>
      </c>
      <c r="E450" s="245">
        <v>12692541</v>
      </c>
      <c r="F450" s="264" t="s">
        <v>3682</v>
      </c>
      <c r="G450" s="213" t="str">
        <f t="shared" si="419"/>
        <v>Lindesmith 2003</v>
      </c>
      <c r="H450" s="195">
        <v>2002</v>
      </c>
      <c r="I450" s="199"/>
      <c r="J450" s="199"/>
      <c r="K450" s="195">
        <v>77</v>
      </c>
      <c r="L450" s="10"/>
      <c r="M450" s="195">
        <v>38</v>
      </c>
      <c r="N450" s="195">
        <v>39</v>
      </c>
      <c r="O450" s="195">
        <v>30</v>
      </c>
      <c r="P450" s="195">
        <v>20</v>
      </c>
      <c r="Q450" s="195">
        <v>49</v>
      </c>
      <c r="R450" s="195" t="s">
        <v>324</v>
      </c>
      <c r="S450" s="195" t="s">
        <v>324</v>
      </c>
      <c r="T450" s="195" t="s">
        <v>324</v>
      </c>
      <c r="U450" s="195" t="s">
        <v>324</v>
      </c>
      <c r="V450" s="195" t="s">
        <v>3683</v>
      </c>
      <c r="W450" s="199"/>
      <c r="X450" s="195">
        <v>77</v>
      </c>
      <c r="Y450" s="199"/>
      <c r="Z450" s="195">
        <v>34</v>
      </c>
      <c r="AA450" s="199"/>
      <c r="AB450" s="195">
        <v>0</v>
      </c>
      <c r="AC450" s="199"/>
      <c r="AD450" s="195" t="s">
        <v>322</v>
      </c>
      <c r="AE450" s="195" t="s">
        <v>1163</v>
      </c>
      <c r="AF450" s="199"/>
      <c r="AG450" s="195" t="s">
        <v>324</v>
      </c>
      <c r="AH450" s="195" t="s">
        <v>527</v>
      </c>
      <c r="AI450" s="195" t="s">
        <v>324</v>
      </c>
      <c r="AJ450" s="195" t="s">
        <v>324</v>
      </c>
      <c r="AK450" s="199"/>
      <c r="AL450" s="195" t="s">
        <v>322</v>
      </c>
      <c r="AM450" s="199"/>
      <c r="AN450" s="195" t="s">
        <v>1163</v>
      </c>
      <c r="AO450" s="195" t="s">
        <v>324</v>
      </c>
      <c r="AP450" s="195" t="s">
        <v>3684</v>
      </c>
      <c r="AQ450" s="195" t="s">
        <v>3685</v>
      </c>
      <c r="AR450" s="220" t="s">
        <v>3359</v>
      </c>
      <c r="AS450" s="195" t="s">
        <v>308</v>
      </c>
      <c r="AT450" s="199"/>
      <c r="AU450" s="220" t="s">
        <v>3686</v>
      </c>
      <c r="AV450" s="195" t="s">
        <v>9</v>
      </c>
      <c r="AW450" s="195" t="str">
        <f ca="1">IFERROR(__xludf.DUMMYFUNCTION("IF(AND(IF(AS450=""Yes"",True,False),NOT(IFERROR(REGEXMATCH(AV450,ExclusionCategories),FALSE))),""Yes"", ""No"")"),"Yes")</f>
        <v>Yes</v>
      </c>
      <c r="AX450" s="195">
        <f ca="1">IFERROR(__xludf.DUMMYFUNCTION("IF(IFERROR(SEARCH(""Unclear"", Z450)) = 1, VALUE(REGEXEXTRACT(Z450,""\d+"")), Z450)"),34)</f>
        <v>34</v>
      </c>
      <c r="AY450" s="195">
        <v>34</v>
      </c>
      <c r="AZ450" s="195" t="str">
        <f ca="1">IFERROR(__xludf.DUMMYFUNCTION("IF(IFERROR(SEARCH(""Unclear"", AG450)) = 1, VALUE(REGEXEXTRACT(AG450,""\d+"")), AG450)"),"ND")</f>
        <v>ND</v>
      </c>
      <c r="BA450" s="195" t="s">
        <v>324</v>
      </c>
      <c r="BB450" s="195" t="str">
        <f ca="1">IFERROR(__xludf.DUMMYFUNCTION("IF(IFERROR(SEARCH(""Unclear"", AJ450)) = 1, VALUE(REGEXEXTRACT(AJ450,""\d+"")), AJ450)"),"ND")</f>
        <v>ND</v>
      </c>
      <c r="BC450" s="195" t="s">
        <v>324</v>
      </c>
      <c r="BD450" s="195" t="b">
        <f t="shared" si="2"/>
        <v>0</v>
      </c>
      <c r="BE450" s="195" t="b">
        <f t="shared" ref="BE450:BF450" si="472">IF(IFERROR(FIND("ND",AI450),0),FALSE,TRUE)</f>
        <v>0</v>
      </c>
      <c r="BF450" s="195" t="b">
        <f t="shared" si="472"/>
        <v>0</v>
      </c>
    </row>
    <row r="451" spans="1:58" ht="37.5" customHeight="1">
      <c r="A451" s="212" t="s">
        <v>2051</v>
      </c>
      <c r="B451" s="245">
        <v>2012</v>
      </c>
      <c r="C451" s="195" t="s">
        <v>441</v>
      </c>
      <c r="D451" s="4" t="s">
        <v>1315</v>
      </c>
      <c r="E451" s="245">
        <v>23024024</v>
      </c>
      <c r="F451" s="260" t="s">
        <v>3687</v>
      </c>
      <c r="G451" s="213" t="str">
        <f t="shared" si="419"/>
        <v>Mallia 2012</v>
      </c>
      <c r="H451" s="265">
        <v>2012</v>
      </c>
      <c r="I451" s="199"/>
      <c r="J451" s="199"/>
      <c r="K451" s="195">
        <v>19</v>
      </c>
      <c r="L451" s="4" t="s">
        <v>3688</v>
      </c>
      <c r="M451" s="195">
        <v>4</v>
      </c>
      <c r="N451" s="195">
        <v>6</v>
      </c>
      <c r="O451" s="195">
        <v>62.2</v>
      </c>
      <c r="P451" s="195">
        <v>53</v>
      </c>
      <c r="Q451" s="195">
        <v>71</v>
      </c>
      <c r="R451" s="195" t="s">
        <v>324</v>
      </c>
      <c r="S451" s="195" t="s">
        <v>324</v>
      </c>
      <c r="T451" s="195" t="s">
        <v>324</v>
      </c>
      <c r="U451" s="195" t="s">
        <v>324</v>
      </c>
      <c r="V451" s="195" t="s">
        <v>3689</v>
      </c>
      <c r="W451" s="199"/>
      <c r="X451" s="195">
        <v>19</v>
      </c>
      <c r="Y451" s="199"/>
      <c r="Z451" s="195">
        <v>11</v>
      </c>
      <c r="AA451" s="199"/>
      <c r="AB451" s="195">
        <v>0</v>
      </c>
      <c r="AC451" s="199"/>
      <c r="AD451" s="195" t="s">
        <v>322</v>
      </c>
      <c r="AE451" s="195" t="s">
        <v>1163</v>
      </c>
      <c r="AF451" s="199"/>
      <c r="AG451" s="195" t="s">
        <v>324</v>
      </c>
      <c r="AH451" s="195" t="s">
        <v>527</v>
      </c>
      <c r="AI451" s="195" t="s">
        <v>324</v>
      </c>
      <c r="AJ451" s="195" t="s">
        <v>324</v>
      </c>
      <c r="AK451" s="199"/>
      <c r="AL451" s="195" t="s">
        <v>322</v>
      </c>
      <c r="AM451" s="199"/>
      <c r="AN451" s="195" t="s">
        <v>1163</v>
      </c>
      <c r="AO451" s="195" t="s">
        <v>324</v>
      </c>
      <c r="AP451" s="195" t="s">
        <v>3690</v>
      </c>
      <c r="AQ451" s="195" t="s">
        <v>324</v>
      </c>
      <c r="AR451" s="220" t="s">
        <v>3359</v>
      </c>
      <c r="AS451" s="195" t="s">
        <v>316</v>
      </c>
      <c r="AT451" s="199"/>
      <c r="AU451" s="220" t="s">
        <v>3691</v>
      </c>
      <c r="AV451" s="195" t="s">
        <v>326</v>
      </c>
      <c r="AW451" s="195" t="str">
        <f ca="1">IFERROR(__xludf.DUMMYFUNCTION("IF(AND(IF(AS451=""Yes"",True,False),NOT(IFERROR(REGEXMATCH(AV451,ExclusionCategories),FALSE))),""Yes"", ""No"")"),"No")</f>
        <v>No</v>
      </c>
      <c r="AX451" s="195">
        <f ca="1">IFERROR(__xludf.DUMMYFUNCTION("IF(IFERROR(SEARCH(""Unclear"", Z451)) = 1, VALUE(REGEXEXTRACT(Z451,""\d+"")), Z451)"),11)</f>
        <v>11</v>
      </c>
      <c r="AY451" s="195">
        <v>11</v>
      </c>
      <c r="AZ451" s="195" t="str">
        <f ca="1">IFERROR(__xludf.DUMMYFUNCTION("IF(IFERROR(SEARCH(""Unclear"", AG451)) = 1, VALUE(REGEXEXTRACT(AG451,""\d+"")), AG451)"),"ND")</f>
        <v>ND</v>
      </c>
      <c r="BA451" s="195" t="s">
        <v>324</v>
      </c>
      <c r="BB451" s="195" t="str">
        <f ca="1">IFERROR(__xludf.DUMMYFUNCTION("IF(IFERROR(SEARCH(""Unclear"", AJ451)) = 1, VALUE(REGEXEXTRACT(AJ451,""\d+"")), AJ451)"),"ND")</f>
        <v>ND</v>
      </c>
      <c r="BC451" s="195" t="s">
        <v>324</v>
      </c>
      <c r="BD451" s="195" t="b">
        <f t="shared" si="2"/>
        <v>0</v>
      </c>
      <c r="BE451" s="195" t="b">
        <f t="shared" ref="BE451:BF451" si="473">IF(IFERROR(FIND("ND",AI451),0),FALSE,TRUE)</f>
        <v>0</v>
      </c>
      <c r="BF451" s="195" t="b">
        <f t="shared" si="473"/>
        <v>0</v>
      </c>
    </row>
    <row r="452" spans="1:58" ht="37.5" customHeight="1">
      <c r="A452" s="212" t="s">
        <v>2051</v>
      </c>
      <c r="B452" s="245">
        <v>2012</v>
      </c>
      <c r="C452" s="195" t="s">
        <v>441</v>
      </c>
      <c r="D452" s="4" t="s">
        <v>1315</v>
      </c>
      <c r="E452" s="245">
        <v>23024024</v>
      </c>
      <c r="F452" s="260" t="s">
        <v>3687</v>
      </c>
      <c r="G452" s="213" t="str">
        <f t="shared" si="419"/>
        <v>Mallia 2012</v>
      </c>
      <c r="H452" s="265">
        <v>2012</v>
      </c>
      <c r="I452" s="199"/>
      <c r="J452" s="199"/>
      <c r="K452" s="195">
        <v>28</v>
      </c>
      <c r="L452" s="4" t="s">
        <v>3692</v>
      </c>
      <c r="M452" s="195">
        <v>10</v>
      </c>
      <c r="N452" s="195">
        <v>11</v>
      </c>
      <c r="O452" s="195">
        <v>50.81</v>
      </c>
      <c r="P452" s="195">
        <v>40</v>
      </c>
      <c r="Q452" s="195">
        <v>66</v>
      </c>
      <c r="R452" s="195" t="s">
        <v>324</v>
      </c>
      <c r="S452" s="195" t="s">
        <v>324</v>
      </c>
      <c r="T452" s="195" t="s">
        <v>324</v>
      </c>
      <c r="U452" s="195" t="s">
        <v>324</v>
      </c>
      <c r="V452" s="195" t="s">
        <v>3689</v>
      </c>
      <c r="W452" s="199"/>
      <c r="X452" s="195">
        <v>28</v>
      </c>
      <c r="Y452" s="199"/>
      <c r="Z452" s="195">
        <v>22</v>
      </c>
      <c r="AA452" s="199"/>
      <c r="AB452" s="195">
        <v>0</v>
      </c>
      <c r="AC452" s="199"/>
      <c r="AD452" s="195" t="s">
        <v>322</v>
      </c>
      <c r="AE452" s="195" t="s">
        <v>1163</v>
      </c>
      <c r="AF452" s="199"/>
      <c r="AG452" s="195" t="s">
        <v>324</v>
      </c>
      <c r="AH452" s="195" t="s">
        <v>527</v>
      </c>
      <c r="AI452" s="195" t="s">
        <v>324</v>
      </c>
      <c r="AJ452" s="195" t="s">
        <v>324</v>
      </c>
      <c r="AK452" s="199"/>
      <c r="AL452" s="195" t="s">
        <v>322</v>
      </c>
      <c r="AM452" s="199"/>
      <c r="AN452" s="195" t="s">
        <v>1163</v>
      </c>
      <c r="AO452" s="195" t="s">
        <v>324</v>
      </c>
      <c r="AP452" s="195" t="s">
        <v>3690</v>
      </c>
      <c r="AQ452" s="195" t="s">
        <v>324</v>
      </c>
      <c r="AR452" s="220" t="s">
        <v>3359</v>
      </c>
      <c r="AS452" s="195" t="s">
        <v>316</v>
      </c>
      <c r="AT452" s="199"/>
      <c r="AU452" s="220" t="s">
        <v>3691</v>
      </c>
      <c r="AV452" s="195" t="s">
        <v>326</v>
      </c>
      <c r="AW452" s="195" t="str">
        <f ca="1">IFERROR(__xludf.DUMMYFUNCTION("IF(AND(IF(AS452=""Yes"",True,False),NOT(IFERROR(REGEXMATCH(AV452,ExclusionCategories),FALSE))),""Yes"", ""No"")"),"No")</f>
        <v>No</v>
      </c>
      <c r="AX452" s="195">
        <f ca="1">IFERROR(__xludf.DUMMYFUNCTION("IF(IFERROR(SEARCH(""Unclear"", Z452)) = 1, VALUE(REGEXEXTRACT(Z452,""\d+"")), Z452)"),22)</f>
        <v>22</v>
      </c>
      <c r="AY452" s="195">
        <v>22</v>
      </c>
      <c r="AZ452" s="195" t="str">
        <f ca="1">IFERROR(__xludf.DUMMYFUNCTION("IF(IFERROR(SEARCH(""Unclear"", AG452)) = 1, VALUE(REGEXEXTRACT(AG452,""\d+"")), AG452)"),"ND")</f>
        <v>ND</v>
      </c>
      <c r="BA452" s="195" t="s">
        <v>324</v>
      </c>
      <c r="BB452" s="195" t="str">
        <f ca="1">IFERROR(__xludf.DUMMYFUNCTION("IF(IFERROR(SEARCH(""Unclear"", AJ452)) = 1, VALUE(REGEXEXTRACT(AJ452,""\d+"")), AJ452)"),"ND")</f>
        <v>ND</v>
      </c>
      <c r="BC452" s="195" t="s">
        <v>324</v>
      </c>
      <c r="BD452" s="195" t="b">
        <f t="shared" si="2"/>
        <v>0</v>
      </c>
      <c r="BE452" s="195" t="b">
        <f t="shared" ref="BE452:BF452" si="474">IF(IFERROR(FIND("ND",AI452),0),FALSE,TRUE)</f>
        <v>0</v>
      </c>
      <c r="BF452" s="195" t="b">
        <f t="shared" si="474"/>
        <v>0</v>
      </c>
    </row>
    <row r="453" spans="1:58" ht="37.5" customHeight="1">
      <c r="A453" s="212" t="s">
        <v>2051</v>
      </c>
      <c r="B453" s="245">
        <v>2012</v>
      </c>
      <c r="C453" s="195" t="s">
        <v>441</v>
      </c>
      <c r="D453" s="4" t="s">
        <v>1315</v>
      </c>
      <c r="E453" s="245">
        <v>23024024</v>
      </c>
      <c r="F453" s="260" t="s">
        <v>3687</v>
      </c>
      <c r="G453" s="213" t="str">
        <f t="shared" si="419"/>
        <v>Mallia 2012</v>
      </c>
      <c r="H453" s="265">
        <v>2012</v>
      </c>
      <c r="I453" s="199"/>
      <c r="J453" s="199"/>
      <c r="K453" s="195">
        <v>31</v>
      </c>
      <c r="L453" s="4" t="s">
        <v>3693</v>
      </c>
      <c r="M453" s="195">
        <v>13</v>
      </c>
      <c r="N453" s="195">
        <v>7</v>
      </c>
      <c r="O453" s="195">
        <v>59.74</v>
      </c>
      <c r="P453" s="195">
        <v>44</v>
      </c>
      <c r="Q453" s="195">
        <v>72</v>
      </c>
      <c r="R453" s="195" t="s">
        <v>324</v>
      </c>
      <c r="S453" s="195" t="s">
        <v>324</v>
      </c>
      <c r="T453" s="195" t="s">
        <v>324</v>
      </c>
      <c r="U453" s="195" t="s">
        <v>324</v>
      </c>
      <c r="V453" s="195" t="s">
        <v>3689</v>
      </c>
      <c r="W453" s="195" t="s">
        <v>3694</v>
      </c>
      <c r="X453" s="195">
        <v>30</v>
      </c>
      <c r="Y453" s="199"/>
      <c r="Z453" s="195">
        <v>20</v>
      </c>
      <c r="AA453" s="199"/>
      <c r="AB453" s="195">
        <v>0</v>
      </c>
      <c r="AC453" s="199"/>
      <c r="AD453" s="195" t="s">
        <v>322</v>
      </c>
      <c r="AE453" s="195" t="s">
        <v>1163</v>
      </c>
      <c r="AF453" s="199"/>
      <c r="AG453" s="195" t="s">
        <v>324</v>
      </c>
      <c r="AH453" s="195" t="s">
        <v>527</v>
      </c>
      <c r="AI453" s="195" t="s">
        <v>324</v>
      </c>
      <c r="AJ453" s="195" t="s">
        <v>324</v>
      </c>
      <c r="AK453" s="199"/>
      <c r="AL453" s="195" t="s">
        <v>322</v>
      </c>
      <c r="AM453" s="199"/>
      <c r="AN453" s="195" t="s">
        <v>1163</v>
      </c>
      <c r="AO453" s="195" t="s">
        <v>324</v>
      </c>
      <c r="AP453" s="195" t="s">
        <v>3690</v>
      </c>
      <c r="AQ453" s="195" t="s">
        <v>324</v>
      </c>
      <c r="AR453" s="220" t="s">
        <v>3359</v>
      </c>
      <c r="AS453" s="195" t="s">
        <v>316</v>
      </c>
      <c r="AT453" s="199"/>
      <c r="AU453" s="220" t="s">
        <v>3691</v>
      </c>
      <c r="AV453" s="195" t="s">
        <v>326</v>
      </c>
      <c r="AW453" s="195" t="str">
        <f ca="1">IFERROR(__xludf.DUMMYFUNCTION("IF(AND(IF(AS453=""Yes"",True,False),NOT(IFERROR(REGEXMATCH(AV453,ExclusionCategories),FALSE))),""Yes"", ""No"")"),"No")</f>
        <v>No</v>
      </c>
      <c r="AX453" s="195">
        <f ca="1">IFERROR(__xludf.DUMMYFUNCTION("IF(IFERROR(SEARCH(""Unclear"", Z453)) = 1, VALUE(REGEXEXTRACT(Z453,""\d+"")), Z453)"),20)</f>
        <v>20</v>
      </c>
      <c r="AY453" s="195">
        <v>20</v>
      </c>
      <c r="AZ453" s="195" t="str">
        <f ca="1">IFERROR(__xludf.DUMMYFUNCTION("IF(IFERROR(SEARCH(""Unclear"", AG453)) = 1, VALUE(REGEXEXTRACT(AG453,""\d+"")), AG453)"),"ND")</f>
        <v>ND</v>
      </c>
      <c r="BA453" s="195" t="s">
        <v>324</v>
      </c>
      <c r="BB453" s="195" t="str">
        <f ca="1">IFERROR(__xludf.DUMMYFUNCTION("IF(IFERROR(SEARCH(""Unclear"", AJ453)) = 1, VALUE(REGEXEXTRACT(AJ453,""\d+"")), AJ453)"),"ND")</f>
        <v>ND</v>
      </c>
      <c r="BC453" s="195" t="s">
        <v>324</v>
      </c>
      <c r="BD453" s="195" t="b">
        <f t="shared" si="2"/>
        <v>0</v>
      </c>
      <c r="BE453" s="195" t="b">
        <f t="shared" ref="BE453:BF453" si="475">IF(IFERROR(FIND("ND",AI453),0),FALSE,TRUE)</f>
        <v>0</v>
      </c>
      <c r="BF453" s="195" t="b">
        <f t="shared" si="475"/>
        <v>0</v>
      </c>
    </row>
    <row r="454" spans="1:58" ht="37.5" customHeight="1">
      <c r="A454" s="244" t="s">
        <v>2051</v>
      </c>
      <c r="B454" s="245">
        <v>2012</v>
      </c>
      <c r="C454" s="244" t="s">
        <v>441</v>
      </c>
      <c r="D454" s="246" t="s">
        <v>1315</v>
      </c>
      <c r="E454" s="245">
        <v>23024024</v>
      </c>
      <c r="F454" s="260" t="s">
        <v>3687</v>
      </c>
      <c r="G454" s="244" t="str">
        <f t="shared" si="419"/>
        <v>Mallia 2012</v>
      </c>
      <c r="H454" s="265">
        <v>2012</v>
      </c>
      <c r="I454" s="199"/>
      <c r="J454" s="199"/>
      <c r="K454" s="195" t="s">
        <v>3695</v>
      </c>
      <c r="L454" s="4" t="s">
        <v>1050</v>
      </c>
      <c r="M454" s="195">
        <v>27</v>
      </c>
      <c r="N454" s="195">
        <v>24</v>
      </c>
      <c r="O454" s="195" t="s">
        <v>324</v>
      </c>
      <c r="P454" s="195">
        <v>40</v>
      </c>
      <c r="Q454" s="195">
        <v>72</v>
      </c>
      <c r="R454" s="195" t="s">
        <v>324</v>
      </c>
      <c r="S454" s="195" t="s">
        <v>324</v>
      </c>
      <c r="T454" s="195" t="s">
        <v>324</v>
      </c>
      <c r="U454" s="195" t="s">
        <v>324</v>
      </c>
      <c r="V454" s="195" t="s">
        <v>3689</v>
      </c>
      <c r="W454" s="195"/>
      <c r="X454" s="195">
        <v>77</v>
      </c>
      <c r="Y454" s="199"/>
      <c r="Z454" s="195">
        <v>53</v>
      </c>
      <c r="AA454" s="199"/>
      <c r="AB454" s="195">
        <v>0</v>
      </c>
      <c r="AC454" s="199"/>
      <c r="AD454" s="195" t="s">
        <v>322</v>
      </c>
      <c r="AE454" s="195" t="s">
        <v>1163</v>
      </c>
      <c r="AF454" s="199"/>
      <c r="AG454" s="195" t="s">
        <v>324</v>
      </c>
      <c r="AH454" s="195" t="s">
        <v>527</v>
      </c>
      <c r="AI454" s="195" t="s">
        <v>324</v>
      </c>
      <c r="AJ454" s="195" t="s">
        <v>324</v>
      </c>
      <c r="AK454" s="199"/>
      <c r="AL454" s="195" t="s">
        <v>322</v>
      </c>
      <c r="AM454" s="199"/>
      <c r="AN454" s="195" t="s">
        <v>1163</v>
      </c>
      <c r="AO454" s="195" t="s">
        <v>324</v>
      </c>
      <c r="AP454" s="195" t="s">
        <v>3690</v>
      </c>
      <c r="AQ454" s="195" t="s">
        <v>324</v>
      </c>
      <c r="AR454" s="220" t="s">
        <v>3359</v>
      </c>
      <c r="AS454" s="195" t="s">
        <v>308</v>
      </c>
      <c r="AT454" s="199"/>
      <c r="AU454" s="220" t="s">
        <v>3691</v>
      </c>
      <c r="AV454" s="195" t="s">
        <v>337</v>
      </c>
      <c r="AW454" s="195" t="str">
        <f ca="1">IFERROR(__xludf.DUMMYFUNCTION("IF(AND(IF(AS454=""Yes"",True,False),NOT(IFERROR(REGEXMATCH(AV454,ExclusionCategories),FALSE))),""Yes"", ""No"")"),"Yes")</f>
        <v>Yes</v>
      </c>
      <c r="AX454" s="195">
        <f ca="1">IFERROR(__xludf.DUMMYFUNCTION("IF(IFERROR(SEARCH(""Unclear"", Z454)) = 1, VALUE(REGEXEXTRACT(Z454,""\d+"")), Z454)"),53)</f>
        <v>53</v>
      </c>
      <c r="AY454" s="195">
        <v>53</v>
      </c>
      <c r="AZ454" s="195" t="str">
        <f ca="1">IFERROR(__xludf.DUMMYFUNCTION("IF(IFERROR(SEARCH(""Unclear"", AG454)) = 1, VALUE(REGEXEXTRACT(AG454,""\d+"")), AG454)"),"ND")</f>
        <v>ND</v>
      </c>
      <c r="BA454" s="195" t="s">
        <v>324</v>
      </c>
      <c r="BB454" s="195" t="str">
        <f ca="1">IFERROR(__xludf.DUMMYFUNCTION("IF(IFERROR(SEARCH(""Unclear"", AJ454)) = 1, VALUE(REGEXEXTRACT(AJ454,""\d+"")), AJ454)"),"ND")</f>
        <v>ND</v>
      </c>
      <c r="BC454" s="195" t="s">
        <v>324</v>
      </c>
      <c r="BD454" s="195" t="b">
        <f t="shared" si="2"/>
        <v>0</v>
      </c>
      <c r="BE454" s="195" t="b">
        <f t="shared" ref="BE454:BF454" si="476">IF(IFERROR(FIND("ND",AI454),0),FALSE,TRUE)</f>
        <v>0</v>
      </c>
      <c r="BF454" s="195" t="b">
        <f t="shared" si="476"/>
        <v>0</v>
      </c>
    </row>
    <row r="455" spans="1:58" ht="37.5" customHeight="1">
      <c r="A455" s="212" t="s">
        <v>3696</v>
      </c>
      <c r="B455" s="195">
        <v>2014</v>
      </c>
      <c r="C455" s="195" t="s">
        <v>2031</v>
      </c>
      <c r="D455" s="4" t="s">
        <v>3697</v>
      </c>
      <c r="E455" s="245">
        <v>24468542</v>
      </c>
      <c r="F455" s="260" t="s">
        <v>3698</v>
      </c>
      <c r="G455" s="213" t="str">
        <f t="shared" si="419"/>
        <v>Mammen 2014</v>
      </c>
      <c r="H455" s="195">
        <v>2001</v>
      </c>
      <c r="I455" s="199"/>
      <c r="J455" s="199"/>
      <c r="K455" s="195">
        <v>15</v>
      </c>
      <c r="L455" s="10"/>
      <c r="M455" s="195" t="s">
        <v>324</v>
      </c>
      <c r="N455" s="195" t="s">
        <v>324</v>
      </c>
      <c r="O455" s="195" t="s">
        <v>324</v>
      </c>
      <c r="P455" s="195" t="s">
        <v>324</v>
      </c>
      <c r="Q455" s="195" t="s">
        <v>324</v>
      </c>
      <c r="R455" s="195">
        <v>18</v>
      </c>
      <c r="S455" s="195">
        <v>35</v>
      </c>
      <c r="T455" s="195" t="s">
        <v>324</v>
      </c>
      <c r="U455" s="195" t="s">
        <v>324</v>
      </c>
      <c r="V455" s="195" t="s">
        <v>3699</v>
      </c>
      <c r="W455" s="199"/>
      <c r="X455" s="195">
        <v>12</v>
      </c>
      <c r="Y455" s="199"/>
      <c r="Z455" s="195">
        <v>5</v>
      </c>
      <c r="AA455" s="199"/>
      <c r="AB455" s="195">
        <v>3</v>
      </c>
      <c r="AC455" s="199"/>
      <c r="AD455" s="195">
        <v>0</v>
      </c>
      <c r="AE455" s="195" t="s">
        <v>3700</v>
      </c>
      <c r="AF455" s="199"/>
      <c r="AG455" s="195" t="s">
        <v>324</v>
      </c>
      <c r="AH455" s="195" t="s">
        <v>511</v>
      </c>
      <c r="AI455" s="195">
        <v>0</v>
      </c>
      <c r="AJ455" s="199"/>
      <c r="AK455" s="195" t="s">
        <v>3701</v>
      </c>
      <c r="AL455" s="195">
        <v>0</v>
      </c>
      <c r="AM455" s="199"/>
      <c r="AN455" s="195" t="s">
        <v>1163</v>
      </c>
      <c r="AO455" s="195" t="s">
        <v>3702</v>
      </c>
      <c r="AP455" s="195" t="s">
        <v>3703</v>
      </c>
      <c r="AQ455" s="195" t="s">
        <v>3704</v>
      </c>
      <c r="AR455" s="220" t="s">
        <v>3359</v>
      </c>
      <c r="AS455" s="195" t="s">
        <v>308</v>
      </c>
      <c r="AT455" s="199"/>
      <c r="AU455" s="220" t="s">
        <v>3705</v>
      </c>
      <c r="AV455" s="195" t="s">
        <v>9</v>
      </c>
      <c r="AW455" s="195" t="str">
        <f ca="1">IFERROR(__xludf.DUMMYFUNCTION("IF(AND(IF(AS455=""Yes"",True,False),NOT(IFERROR(REGEXMATCH(AV455,ExclusionCategories),FALSE))),""Yes"", ""No"")"),"Yes")</f>
        <v>Yes</v>
      </c>
      <c r="AX455" s="195">
        <f ca="1">IFERROR(__xludf.DUMMYFUNCTION("IF(IFERROR(SEARCH(""Unclear"", Z455)) = 1, VALUE(REGEXEXTRACT(Z455,""\d+"")), Z455)"),5)</f>
        <v>5</v>
      </c>
      <c r="AY455" s="195">
        <v>5</v>
      </c>
      <c r="AZ455" s="195" t="str">
        <f ca="1">IFERROR(__xludf.DUMMYFUNCTION("IF(IFERROR(SEARCH(""Unclear"", AG455)) = 1, VALUE(REGEXEXTRACT(AG455,""\d+"")), AG455)"),"ND")</f>
        <v>ND</v>
      </c>
      <c r="BA455" s="195" t="s">
        <v>324</v>
      </c>
      <c r="BB455" s="195" t="str">
        <f ca="1">IFERROR(__xludf.DUMMYFUNCTION("IF(IFERROR(SEARCH(""Unclear"", AJ455)) = 1, VALUE(REGEXEXTRACT(AJ455,""\d+"")), AJ455)"),"")</f>
        <v/>
      </c>
      <c r="BC455" s="195" t="s">
        <v>19503</v>
      </c>
      <c r="BD455" s="195" t="b">
        <f t="shared" si="2"/>
        <v>0</v>
      </c>
      <c r="BE455" s="195" t="b">
        <f t="shared" ref="BE455:BF455" si="477">IF(IFERROR(FIND("ND",AI455),0),FALSE,TRUE)</f>
        <v>1</v>
      </c>
      <c r="BF455" s="195" t="b">
        <f t="shared" si="477"/>
        <v>1</v>
      </c>
    </row>
    <row r="456" spans="1:58" ht="37.5" customHeight="1">
      <c r="A456" s="212" t="s">
        <v>1130</v>
      </c>
      <c r="B456" s="195">
        <v>2017</v>
      </c>
      <c r="C456" s="195" t="s">
        <v>339</v>
      </c>
      <c r="D456" s="4" t="s">
        <v>3706</v>
      </c>
      <c r="E456" s="245">
        <v>28363636</v>
      </c>
      <c r="F456" s="264" t="s">
        <v>3707</v>
      </c>
      <c r="G456" s="213" t="str">
        <f t="shared" si="419"/>
        <v>McCarthy 2017</v>
      </c>
      <c r="H456" s="195">
        <v>2013</v>
      </c>
      <c r="I456" s="195" t="s">
        <v>3708</v>
      </c>
      <c r="J456" s="199"/>
      <c r="K456" s="195">
        <v>9</v>
      </c>
      <c r="L456" s="4" t="s">
        <v>3709</v>
      </c>
      <c r="M456" s="195">
        <v>9</v>
      </c>
      <c r="N456" s="195">
        <v>0</v>
      </c>
      <c r="O456" s="195" t="s">
        <v>324</v>
      </c>
      <c r="P456" s="195" t="s">
        <v>324</v>
      </c>
      <c r="Q456" s="195" t="s">
        <v>324</v>
      </c>
      <c r="R456" s="195">
        <v>18</v>
      </c>
      <c r="S456" s="195">
        <v>55</v>
      </c>
      <c r="T456" s="195">
        <v>24.8</v>
      </c>
      <c r="U456" s="195">
        <v>2.9</v>
      </c>
      <c r="V456" s="195" t="s">
        <v>806</v>
      </c>
      <c r="W456" s="199"/>
      <c r="X456" s="195">
        <v>9</v>
      </c>
      <c r="Y456" s="199"/>
      <c r="Z456" s="195">
        <v>9</v>
      </c>
      <c r="AA456" s="199"/>
      <c r="AB456" s="195">
        <v>0</v>
      </c>
      <c r="AC456" s="199"/>
      <c r="AD456" s="195" t="s">
        <v>322</v>
      </c>
      <c r="AE456" s="195" t="s">
        <v>3710</v>
      </c>
      <c r="AF456" s="199"/>
      <c r="AG456" s="195">
        <v>8</v>
      </c>
      <c r="AH456" s="195" t="s">
        <v>511</v>
      </c>
      <c r="AI456" s="195">
        <v>0</v>
      </c>
      <c r="AJ456" s="195" t="s">
        <v>324</v>
      </c>
      <c r="AK456" s="195" t="s">
        <v>3711</v>
      </c>
      <c r="AL456" s="195" t="s">
        <v>322</v>
      </c>
      <c r="AM456" s="199"/>
      <c r="AN456" s="195" t="s">
        <v>3712</v>
      </c>
      <c r="AO456" s="195" t="s">
        <v>3713</v>
      </c>
      <c r="AP456" s="195" t="s">
        <v>3714</v>
      </c>
      <c r="AQ456" s="195" t="s">
        <v>3715</v>
      </c>
      <c r="AR456" s="220" t="s">
        <v>3359</v>
      </c>
      <c r="AS456" s="195" t="s">
        <v>308</v>
      </c>
      <c r="AT456" s="199"/>
      <c r="AU456" s="220" t="s">
        <v>3716</v>
      </c>
      <c r="AV456" s="195" t="s">
        <v>9</v>
      </c>
      <c r="AW456" s="195" t="str">
        <f ca="1">IFERROR(__xludf.DUMMYFUNCTION("IF(AND(IF(AS456=""Yes"",True,False),NOT(IFERROR(REGEXMATCH(AV456,ExclusionCategories),FALSE))),""Yes"", ""No"")"),"Yes")</f>
        <v>Yes</v>
      </c>
      <c r="AX456" s="195">
        <f ca="1">IFERROR(__xludf.DUMMYFUNCTION("IF(IFERROR(SEARCH(""Unclear"", Z456)) = 1, VALUE(REGEXEXTRACT(Z456,""\d+"")), Z456)"),9)</f>
        <v>9</v>
      </c>
      <c r="AY456" s="195">
        <v>9</v>
      </c>
      <c r="AZ456" s="195">
        <f ca="1">IFERROR(__xludf.DUMMYFUNCTION("IF(IFERROR(SEARCH(""Unclear"", AG456)) = 1, VALUE(REGEXEXTRACT(AG456,""\d+"")), AG456)"),8)</f>
        <v>8</v>
      </c>
      <c r="BA456" s="195">
        <v>8</v>
      </c>
      <c r="BB456" s="195" t="str">
        <f ca="1">IFERROR(__xludf.DUMMYFUNCTION("IF(IFERROR(SEARCH(""Unclear"", AJ456)) = 1, VALUE(REGEXEXTRACT(AJ456,""\d+"")), AJ456)"),"ND")</f>
        <v>ND</v>
      </c>
      <c r="BC456" s="195" t="s">
        <v>324</v>
      </c>
      <c r="BD456" s="195" t="b">
        <f t="shared" si="2"/>
        <v>1</v>
      </c>
      <c r="BE456" s="195" t="b">
        <f t="shared" ref="BE456:BF456" si="478">IF(IFERROR(FIND("ND",AI456),0),FALSE,TRUE)</f>
        <v>1</v>
      </c>
      <c r="BF456" s="195" t="b">
        <f t="shared" si="478"/>
        <v>0</v>
      </c>
    </row>
    <row r="457" spans="1:58" ht="37.5" customHeight="1">
      <c r="A457" s="212" t="s">
        <v>1130</v>
      </c>
      <c r="B457" s="195">
        <v>2016</v>
      </c>
      <c r="C457" s="195" t="s">
        <v>339</v>
      </c>
      <c r="D457" s="4" t="s">
        <v>3717</v>
      </c>
      <c r="E457" s="245">
        <v>27624471</v>
      </c>
      <c r="F457" s="264" t="s">
        <v>3718</v>
      </c>
      <c r="G457" s="213" t="str">
        <f t="shared" si="419"/>
        <v>McCarthy 2016c</v>
      </c>
      <c r="H457" s="195">
        <v>2013</v>
      </c>
      <c r="I457" s="195" t="s">
        <v>3719</v>
      </c>
      <c r="J457" s="199"/>
      <c r="K457" s="195">
        <v>8</v>
      </c>
      <c r="L457" s="10"/>
      <c r="M457" s="195">
        <v>3</v>
      </c>
      <c r="N457" s="195">
        <v>5</v>
      </c>
      <c r="O457" s="195" t="s">
        <v>324</v>
      </c>
      <c r="P457" s="195" t="s">
        <v>324</v>
      </c>
      <c r="Q457" s="195" t="s">
        <v>324</v>
      </c>
      <c r="R457" s="195">
        <v>18</v>
      </c>
      <c r="S457" s="195">
        <v>50</v>
      </c>
      <c r="T457" s="195">
        <v>26</v>
      </c>
      <c r="U457" s="195">
        <v>6.4</v>
      </c>
      <c r="V457" s="195" t="s">
        <v>806</v>
      </c>
      <c r="W457" s="199"/>
      <c r="X457" s="195">
        <v>8</v>
      </c>
      <c r="Y457" s="199"/>
      <c r="Z457" s="195">
        <v>8</v>
      </c>
      <c r="AA457" s="199"/>
      <c r="AB457" s="195">
        <v>0</v>
      </c>
      <c r="AC457" s="199"/>
      <c r="AD457" s="195" t="s">
        <v>322</v>
      </c>
      <c r="AE457" s="195" t="s">
        <v>3720</v>
      </c>
      <c r="AF457" s="195" t="s">
        <v>3721</v>
      </c>
      <c r="AG457" s="195" t="s">
        <v>394</v>
      </c>
      <c r="AH457" s="195" t="s">
        <v>527</v>
      </c>
      <c r="AI457" s="195">
        <v>3</v>
      </c>
      <c r="AJ457" s="195" t="s">
        <v>324</v>
      </c>
      <c r="AK457" s="195" t="s">
        <v>3722</v>
      </c>
      <c r="AL457" s="195" t="s">
        <v>322</v>
      </c>
      <c r="AM457" s="199"/>
      <c r="AN457" s="195" t="s">
        <v>3723</v>
      </c>
      <c r="AO457" s="195" t="s">
        <v>3724</v>
      </c>
      <c r="AP457" s="195" t="s">
        <v>3725</v>
      </c>
      <c r="AQ457" s="195" t="s">
        <v>3726</v>
      </c>
      <c r="AR457" s="220" t="s">
        <v>3359</v>
      </c>
      <c r="AS457" s="195" t="s">
        <v>308</v>
      </c>
      <c r="AT457" s="199"/>
      <c r="AU457" s="220" t="s">
        <v>3727</v>
      </c>
      <c r="AV457" s="195" t="s">
        <v>9</v>
      </c>
      <c r="AW457" s="195" t="str">
        <f ca="1">IFERROR(__xludf.DUMMYFUNCTION("IF(AND(IF(AS457=""Yes"",True,False),NOT(IFERROR(REGEXMATCH(AV457,ExclusionCategories),FALSE))),""Yes"", ""No"")"),"Yes")</f>
        <v>Yes</v>
      </c>
      <c r="AX457" s="195">
        <f ca="1">IFERROR(__xludf.DUMMYFUNCTION("IF(IFERROR(SEARCH(""Unclear"", Z457)) = 1, VALUE(REGEXEXTRACT(Z457,""\d+"")), Z457)"),8)</f>
        <v>8</v>
      </c>
      <c r="AY457" s="195">
        <v>8</v>
      </c>
      <c r="AZ457" s="195">
        <f ca="1">IFERROR(__xludf.DUMMYFUNCTION("IF(IFERROR(SEARCH(""Unclear"", AG457)) = 1, VALUE(REGEXEXTRACT(AG457,""\d+"")), AG457)"),0)</f>
        <v>0</v>
      </c>
      <c r="BA457" s="195">
        <v>8</v>
      </c>
      <c r="BB457" s="195" t="str">
        <f ca="1">IFERROR(__xludf.DUMMYFUNCTION("IF(IFERROR(SEARCH(""Unclear"", AJ457)) = 1, VALUE(REGEXEXTRACT(AJ457,""\d+"")), AJ457)"),"ND")</f>
        <v>ND</v>
      </c>
      <c r="BC457" s="195" t="s">
        <v>324</v>
      </c>
      <c r="BD457" s="195" t="b">
        <f t="shared" si="2"/>
        <v>1</v>
      </c>
      <c r="BE457" s="195" t="b">
        <f t="shared" ref="BE457:BF457" si="479">IF(IFERROR(FIND("ND",AI457),0),FALSE,TRUE)</f>
        <v>1</v>
      </c>
      <c r="BF457" s="195" t="b">
        <f t="shared" si="479"/>
        <v>0</v>
      </c>
    </row>
    <row r="458" spans="1:58" ht="37.5" customHeight="1">
      <c r="A458" s="212" t="s">
        <v>3728</v>
      </c>
      <c r="B458" s="195">
        <v>2016</v>
      </c>
      <c r="C458" s="195" t="s">
        <v>457</v>
      </c>
      <c r="D458" s="4" t="s">
        <v>3729</v>
      </c>
      <c r="E458" s="245">
        <v>27094330</v>
      </c>
      <c r="F458" s="260" t="s">
        <v>3730</v>
      </c>
      <c r="G458" s="213" t="str">
        <f t="shared" si="419"/>
        <v>Memoli 2016</v>
      </c>
      <c r="H458" s="217">
        <v>2016</v>
      </c>
      <c r="I458" s="195" t="s">
        <v>3731</v>
      </c>
      <c r="J458" s="198" t="s">
        <v>3732</v>
      </c>
      <c r="K458" s="195">
        <v>31</v>
      </c>
      <c r="L458" s="4" t="s">
        <v>3733</v>
      </c>
      <c r="M458" s="195">
        <v>11</v>
      </c>
      <c r="N458" s="195">
        <v>14</v>
      </c>
      <c r="O458" s="195">
        <v>27</v>
      </c>
      <c r="P458" s="195" t="s">
        <v>324</v>
      </c>
      <c r="Q458" s="195" t="s">
        <v>324</v>
      </c>
      <c r="R458" s="195" t="s">
        <v>324</v>
      </c>
      <c r="S458" s="195" t="s">
        <v>324</v>
      </c>
      <c r="T458" s="195" t="s">
        <v>324</v>
      </c>
      <c r="U458" s="195" t="s">
        <v>324</v>
      </c>
      <c r="V458" s="195" t="s">
        <v>3734</v>
      </c>
      <c r="W458" s="199"/>
      <c r="X458" s="195">
        <v>31</v>
      </c>
      <c r="Y458" s="195" t="s">
        <v>3735</v>
      </c>
      <c r="Z458" s="195">
        <v>6</v>
      </c>
      <c r="AA458" s="199"/>
      <c r="AB458" s="195">
        <v>0</v>
      </c>
      <c r="AC458" s="199"/>
      <c r="AD458" s="195" t="s">
        <v>322</v>
      </c>
      <c r="AE458" s="195" t="s">
        <v>3736</v>
      </c>
      <c r="AF458" s="195" t="s">
        <v>2192</v>
      </c>
      <c r="AG458" s="195">
        <v>20</v>
      </c>
      <c r="AH458" s="195" t="s">
        <v>511</v>
      </c>
      <c r="AI458" s="195">
        <v>0</v>
      </c>
      <c r="AJ458" s="195" t="s">
        <v>324</v>
      </c>
      <c r="AK458" s="195" t="s">
        <v>499</v>
      </c>
      <c r="AL458" s="195" t="s">
        <v>322</v>
      </c>
      <c r="AM458" s="199"/>
      <c r="AN458" s="195" t="s">
        <v>1163</v>
      </c>
      <c r="AO458" s="195" t="s">
        <v>324</v>
      </c>
      <c r="AP458" s="195" t="s">
        <v>3737</v>
      </c>
      <c r="AQ458" s="195" t="s">
        <v>324</v>
      </c>
      <c r="AR458" s="220" t="s">
        <v>3359</v>
      </c>
      <c r="AS458" s="195" t="s">
        <v>316</v>
      </c>
      <c r="AT458" s="199"/>
      <c r="AU458" s="195" t="s">
        <v>3738</v>
      </c>
      <c r="AV458" s="195" t="s">
        <v>1447</v>
      </c>
      <c r="AW458" s="195" t="str">
        <f ca="1">IFERROR(__xludf.DUMMYFUNCTION("IF(AND(IF(AS458=""Yes"",True,False),NOT(IFERROR(REGEXMATCH(AV458,ExclusionCategories),FALSE))),""Yes"", ""No"")"),"No")</f>
        <v>No</v>
      </c>
      <c r="AX458" s="195">
        <f ca="1">IFERROR(__xludf.DUMMYFUNCTION("IF(IFERROR(SEARCH(""Unclear"", Z458)) = 1, VALUE(REGEXEXTRACT(Z458,""\d+"")), Z458)"),6)</f>
        <v>6</v>
      </c>
      <c r="AY458" s="195">
        <v>6</v>
      </c>
      <c r="AZ458" s="195">
        <f ca="1">IFERROR(__xludf.DUMMYFUNCTION("IF(IFERROR(SEARCH(""Unclear"", AG458)) = 1, VALUE(REGEXEXTRACT(AG458,""\d+"")), AG458)"),20)</f>
        <v>20</v>
      </c>
      <c r="BA458" s="195">
        <v>20</v>
      </c>
      <c r="BB458" s="195" t="str">
        <f ca="1">IFERROR(__xludf.DUMMYFUNCTION("IF(IFERROR(SEARCH(""Unclear"", AJ458)) = 1, VALUE(REGEXEXTRACT(AJ458,""\d+"")), AJ458)"),"ND")</f>
        <v>ND</v>
      </c>
      <c r="BC458" s="195" t="s">
        <v>324</v>
      </c>
      <c r="BD458" s="195" t="b">
        <f t="shared" si="2"/>
        <v>1</v>
      </c>
      <c r="BE458" s="195" t="b">
        <f t="shared" ref="BE458:BF458" si="480">IF(IFERROR(FIND("ND",AI458),0),FALSE,TRUE)</f>
        <v>1</v>
      </c>
      <c r="BF458" s="195" t="b">
        <f t="shared" si="480"/>
        <v>0</v>
      </c>
    </row>
    <row r="459" spans="1:58" ht="37.5" customHeight="1">
      <c r="A459" s="212" t="s">
        <v>3728</v>
      </c>
      <c r="B459" s="195">
        <v>2016</v>
      </c>
      <c r="C459" s="195" t="s">
        <v>457</v>
      </c>
      <c r="D459" s="4" t="s">
        <v>3729</v>
      </c>
      <c r="E459" s="245">
        <v>27094330</v>
      </c>
      <c r="F459" s="260" t="s">
        <v>3730</v>
      </c>
      <c r="G459" s="213" t="str">
        <f t="shared" si="419"/>
        <v>Memoli 2016</v>
      </c>
      <c r="H459" s="217">
        <v>2016</v>
      </c>
      <c r="I459" s="195" t="s">
        <v>3731</v>
      </c>
      <c r="J459" s="198" t="s">
        <v>3732</v>
      </c>
      <c r="K459" s="195">
        <v>40</v>
      </c>
      <c r="L459" s="4" t="s">
        <v>3739</v>
      </c>
      <c r="M459" s="195">
        <v>21</v>
      </c>
      <c r="N459" s="195">
        <v>19</v>
      </c>
      <c r="O459" s="195">
        <v>27.5</v>
      </c>
      <c r="P459" s="195" t="s">
        <v>324</v>
      </c>
      <c r="Q459" s="195" t="s">
        <v>324</v>
      </c>
      <c r="R459" s="195" t="s">
        <v>324</v>
      </c>
      <c r="S459" s="195" t="s">
        <v>324</v>
      </c>
      <c r="T459" s="195" t="s">
        <v>324</v>
      </c>
      <c r="U459" s="195" t="s">
        <v>324</v>
      </c>
      <c r="V459" s="195" t="s">
        <v>3734</v>
      </c>
      <c r="W459" s="199"/>
      <c r="X459" s="195">
        <v>40</v>
      </c>
      <c r="Y459" s="195"/>
      <c r="Z459" s="195">
        <v>29</v>
      </c>
      <c r="AA459" s="199"/>
      <c r="AB459" s="195">
        <v>0</v>
      </c>
      <c r="AC459" s="199"/>
      <c r="AD459" s="195" t="s">
        <v>322</v>
      </c>
      <c r="AE459" s="195" t="s">
        <v>3736</v>
      </c>
      <c r="AF459" s="195" t="s">
        <v>2192</v>
      </c>
      <c r="AG459" s="195">
        <v>35</v>
      </c>
      <c r="AH459" s="195" t="s">
        <v>511</v>
      </c>
      <c r="AI459" s="195">
        <v>0</v>
      </c>
      <c r="AJ459" s="195" t="s">
        <v>324</v>
      </c>
      <c r="AK459" s="195" t="s">
        <v>499</v>
      </c>
      <c r="AL459" s="195" t="s">
        <v>322</v>
      </c>
      <c r="AM459" s="199"/>
      <c r="AN459" s="195" t="s">
        <v>1163</v>
      </c>
      <c r="AO459" s="195" t="s">
        <v>324</v>
      </c>
      <c r="AP459" s="195" t="s">
        <v>3737</v>
      </c>
      <c r="AQ459" s="195" t="s">
        <v>324</v>
      </c>
      <c r="AR459" s="220" t="s">
        <v>3359</v>
      </c>
      <c r="AS459" s="195" t="s">
        <v>316</v>
      </c>
      <c r="AT459" s="199"/>
      <c r="AU459" s="195" t="s">
        <v>3738</v>
      </c>
      <c r="AV459" s="195" t="s">
        <v>1447</v>
      </c>
      <c r="AW459" s="195" t="str">
        <f ca="1">IFERROR(__xludf.DUMMYFUNCTION("IF(AND(IF(AS459=""Yes"",True,False),NOT(IFERROR(REGEXMATCH(AV459,ExclusionCategories),FALSE))),""Yes"", ""No"")"),"No")</f>
        <v>No</v>
      </c>
      <c r="AX459" s="195">
        <f ca="1">IFERROR(__xludf.DUMMYFUNCTION("IF(IFERROR(SEARCH(""Unclear"", Z459)) = 1, VALUE(REGEXEXTRACT(Z459,""\d+"")), Z459)"),29)</f>
        <v>29</v>
      </c>
      <c r="AY459" s="195">
        <v>29</v>
      </c>
      <c r="AZ459" s="195">
        <f ca="1">IFERROR(__xludf.DUMMYFUNCTION("IF(IFERROR(SEARCH(""Unclear"", AG459)) = 1, VALUE(REGEXEXTRACT(AG459,""\d+"")), AG459)"),35)</f>
        <v>35</v>
      </c>
      <c r="BA459" s="195">
        <v>35</v>
      </c>
      <c r="BB459" s="195" t="str">
        <f ca="1">IFERROR(__xludf.DUMMYFUNCTION("IF(IFERROR(SEARCH(""Unclear"", AJ459)) = 1, VALUE(REGEXEXTRACT(AJ459,""\d+"")), AJ459)"),"ND")</f>
        <v>ND</v>
      </c>
      <c r="BC459" s="195" t="s">
        <v>324</v>
      </c>
      <c r="BD459" s="195" t="b">
        <f t="shared" si="2"/>
        <v>1</v>
      </c>
      <c r="BE459" s="195" t="b">
        <f t="shared" ref="BE459:BF459" si="481">IF(IFERROR(FIND("ND",AI459),0),FALSE,TRUE)</f>
        <v>1</v>
      </c>
      <c r="BF459" s="195" t="b">
        <f t="shared" si="481"/>
        <v>0</v>
      </c>
    </row>
    <row r="460" spans="1:58" ht="37.5" customHeight="1">
      <c r="A460" s="212" t="s">
        <v>3728</v>
      </c>
      <c r="B460" s="195">
        <v>2016</v>
      </c>
      <c r="C460" s="195" t="s">
        <v>457</v>
      </c>
      <c r="D460" s="4" t="s">
        <v>3729</v>
      </c>
      <c r="E460" s="245">
        <v>27094330</v>
      </c>
      <c r="F460" s="260" t="s">
        <v>3730</v>
      </c>
      <c r="G460" s="213" t="str">
        <f t="shared" si="419"/>
        <v>Memoli 2016</v>
      </c>
      <c r="H460" s="217">
        <v>2016</v>
      </c>
      <c r="I460" s="195" t="s">
        <v>3731</v>
      </c>
      <c r="J460" s="198" t="s">
        <v>3732</v>
      </c>
      <c r="K460" s="195" t="s">
        <v>3740</v>
      </c>
      <c r="L460" s="4" t="s">
        <v>3741</v>
      </c>
      <c r="M460" s="195">
        <v>32</v>
      </c>
      <c r="N460" s="195">
        <v>33</v>
      </c>
      <c r="O460" s="195" t="s">
        <v>3742</v>
      </c>
      <c r="P460" s="195" t="s">
        <v>324</v>
      </c>
      <c r="Q460" s="195" t="s">
        <v>324</v>
      </c>
      <c r="R460" s="195" t="s">
        <v>324</v>
      </c>
      <c r="S460" s="195" t="s">
        <v>324</v>
      </c>
      <c r="T460" s="195" t="s">
        <v>324</v>
      </c>
      <c r="U460" s="195" t="s">
        <v>324</v>
      </c>
      <c r="V460" s="195" t="s">
        <v>3734</v>
      </c>
      <c r="W460" s="199"/>
      <c r="X460" s="195">
        <v>71</v>
      </c>
      <c r="Y460" s="195"/>
      <c r="Z460" s="195">
        <v>35</v>
      </c>
      <c r="AA460" s="199"/>
      <c r="AB460" s="195">
        <v>0</v>
      </c>
      <c r="AC460" s="199"/>
      <c r="AD460" s="195" t="s">
        <v>322</v>
      </c>
      <c r="AE460" s="195" t="s">
        <v>3736</v>
      </c>
      <c r="AF460" s="195" t="s">
        <v>2192</v>
      </c>
      <c r="AG460" s="195">
        <v>55</v>
      </c>
      <c r="AH460" s="195" t="s">
        <v>308</v>
      </c>
      <c r="AI460" s="195">
        <v>0</v>
      </c>
      <c r="AJ460" s="195" t="s">
        <v>324</v>
      </c>
      <c r="AK460" s="195" t="s">
        <v>499</v>
      </c>
      <c r="AL460" s="195" t="s">
        <v>322</v>
      </c>
      <c r="AM460" s="199"/>
      <c r="AN460" s="195" t="s">
        <v>1163</v>
      </c>
      <c r="AO460" s="195" t="s">
        <v>324</v>
      </c>
      <c r="AP460" s="195" t="s">
        <v>3737</v>
      </c>
      <c r="AQ460" s="195" t="s">
        <v>324</v>
      </c>
      <c r="AR460" s="220" t="s">
        <v>3359</v>
      </c>
      <c r="AS460" s="195" t="s">
        <v>308</v>
      </c>
      <c r="AT460" s="199"/>
      <c r="AU460" s="195" t="s">
        <v>3738</v>
      </c>
      <c r="AV460" s="195" t="s">
        <v>1556</v>
      </c>
      <c r="AW460" s="195" t="str">
        <f ca="1">IFERROR(__xludf.DUMMYFUNCTION("IF(AND(IF(AS460=""Yes"",True,False),NOT(IFERROR(REGEXMATCH(AV460,ExclusionCategories),FALSE))),""Yes"", ""No"")"),"Yes")</f>
        <v>Yes</v>
      </c>
      <c r="AX460" s="195">
        <f ca="1">IFERROR(__xludf.DUMMYFUNCTION("IF(IFERROR(SEARCH(""Unclear"", Z460)) = 1, VALUE(REGEXEXTRACT(Z460,""\d+"")), Z460)"),35)</f>
        <v>35</v>
      </c>
      <c r="AY460" s="195">
        <v>35</v>
      </c>
      <c r="AZ460" s="195">
        <f ca="1">IFERROR(__xludf.DUMMYFUNCTION("IF(IFERROR(SEARCH(""Unclear"", AG460)) = 1, VALUE(REGEXEXTRACT(AG460,""\d+"")), AG460)"),55)</f>
        <v>55</v>
      </c>
      <c r="BA460" s="195">
        <v>55</v>
      </c>
      <c r="BB460" s="195" t="str">
        <f ca="1">IFERROR(__xludf.DUMMYFUNCTION("IF(IFERROR(SEARCH(""Unclear"", AJ460)) = 1, VALUE(REGEXEXTRACT(AJ460,""\d+"")), AJ460)"),"ND")</f>
        <v>ND</v>
      </c>
      <c r="BC460" s="195" t="s">
        <v>324</v>
      </c>
      <c r="BD460" s="195" t="b">
        <f t="shared" si="2"/>
        <v>1</v>
      </c>
      <c r="BE460" s="195" t="b">
        <f t="shared" ref="BE460:BF460" si="482">IF(IFERROR(FIND("ND",AI460),0),FALSE,TRUE)</f>
        <v>1</v>
      </c>
      <c r="BF460" s="195" t="b">
        <f t="shared" si="482"/>
        <v>0</v>
      </c>
    </row>
    <row r="461" spans="1:58" ht="37.5" customHeight="1">
      <c r="A461" s="220" t="s">
        <v>3743</v>
      </c>
      <c r="B461" s="195">
        <v>2012</v>
      </c>
      <c r="C461" s="195" t="s">
        <v>481</v>
      </c>
      <c r="D461" s="4" t="s">
        <v>3744</v>
      </c>
      <c r="E461" s="245">
        <v>22396610</v>
      </c>
      <c r="F461" s="264" t="s">
        <v>3745</v>
      </c>
      <c r="G461" s="213" t="str">
        <f t="shared" si="419"/>
        <v>Minassian 2012</v>
      </c>
      <c r="H461" s="217">
        <v>2012</v>
      </c>
      <c r="I461" s="199"/>
      <c r="J461" s="199"/>
      <c r="K461" s="195">
        <v>28</v>
      </c>
      <c r="L461" s="4" t="s">
        <v>3746</v>
      </c>
      <c r="M461" s="195" t="s">
        <v>324</v>
      </c>
      <c r="N461" s="195" t="s">
        <v>324</v>
      </c>
      <c r="O461" s="195" t="s">
        <v>324</v>
      </c>
      <c r="P461" s="195" t="s">
        <v>324</v>
      </c>
      <c r="Q461" s="195" t="s">
        <v>324</v>
      </c>
      <c r="R461" s="195">
        <v>18</v>
      </c>
      <c r="S461" s="195">
        <v>50</v>
      </c>
      <c r="T461" s="195" t="s">
        <v>324</v>
      </c>
      <c r="U461" s="195" t="s">
        <v>324</v>
      </c>
      <c r="V461" s="195" t="s">
        <v>3747</v>
      </c>
      <c r="W461" s="199"/>
      <c r="X461" s="195">
        <v>28</v>
      </c>
      <c r="Y461" s="199"/>
      <c r="Z461" s="195">
        <v>28</v>
      </c>
      <c r="AA461" s="199"/>
      <c r="AB461" s="195">
        <v>0</v>
      </c>
      <c r="AC461" s="199"/>
      <c r="AD461" s="195" t="s">
        <v>322</v>
      </c>
      <c r="AE461" s="195" t="s">
        <v>3748</v>
      </c>
      <c r="AF461" s="199"/>
      <c r="AG461" s="195" t="s">
        <v>324</v>
      </c>
      <c r="AH461" s="195" t="s">
        <v>316</v>
      </c>
      <c r="AI461" s="195">
        <v>0</v>
      </c>
      <c r="AJ461" s="195" t="s">
        <v>324</v>
      </c>
      <c r="AK461" s="195" t="s">
        <v>3749</v>
      </c>
      <c r="AL461" s="195" t="s">
        <v>322</v>
      </c>
      <c r="AM461" s="199"/>
      <c r="AN461" s="195" t="s">
        <v>1163</v>
      </c>
      <c r="AO461" s="195" t="s">
        <v>3750</v>
      </c>
      <c r="AP461" s="195" t="s">
        <v>3751</v>
      </c>
      <c r="AQ461" s="195" t="s">
        <v>324</v>
      </c>
      <c r="AR461" s="220" t="s">
        <v>3359</v>
      </c>
      <c r="AS461" s="195" t="s">
        <v>316</v>
      </c>
      <c r="AT461" s="199"/>
      <c r="AU461" s="195" t="s">
        <v>3752</v>
      </c>
      <c r="AV461" s="195" t="s">
        <v>3753</v>
      </c>
      <c r="AW461" s="195" t="str">
        <f ca="1">IFERROR(__xludf.DUMMYFUNCTION("IF(AND(IF(AS461=""Yes"",True,False),NOT(IFERROR(REGEXMATCH(AV461,ExclusionCategories),FALSE))),""Yes"", ""No"")"),"No")</f>
        <v>No</v>
      </c>
      <c r="AX461" s="195">
        <f ca="1">IFERROR(__xludf.DUMMYFUNCTION("IF(IFERROR(SEARCH(""Unclear"", Z461)) = 1, VALUE(REGEXEXTRACT(Z461,""\d+"")), Z461)"),28)</f>
        <v>28</v>
      </c>
      <c r="AY461" s="195">
        <v>28</v>
      </c>
      <c r="AZ461" s="195" t="str">
        <f ca="1">IFERROR(__xludf.DUMMYFUNCTION("IF(IFERROR(SEARCH(""Unclear"", AG461)) = 1, VALUE(REGEXEXTRACT(AG461,""\d+"")), AG461)"),"ND")</f>
        <v>ND</v>
      </c>
      <c r="BA461" s="195" t="s">
        <v>324</v>
      </c>
      <c r="BB461" s="195" t="str">
        <f ca="1">IFERROR(__xludf.DUMMYFUNCTION("IF(IFERROR(SEARCH(""Unclear"", AJ461)) = 1, VALUE(REGEXEXTRACT(AJ461,""\d+"")), AJ461)"),"ND")</f>
        <v>ND</v>
      </c>
      <c r="BC461" s="195" t="s">
        <v>324</v>
      </c>
      <c r="BD461" s="195" t="b">
        <f t="shared" si="2"/>
        <v>0</v>
      </c>
      <c r="BE461" s="195" t="b">
        <f t="shared" ref="BE461:BF461" si="483">IF(IFERROR(FIND("ND",AI461),0),FALSE,TRUE)</f>
        <v>1</v>
      </c>
      <c r="BF461" s="195" t="b">
        <f t="shared" si="483"/>
        <v>0</v>
      </c>
    </row>
    <row r="462" spans="1:58" ht="37.5" customHeight="1">
      <c r="A462" s="220" t="s">
        <v>3743</v>
      </c>
      <c r="B462" s="195">
        <v>2012</v>
      </c>
      <c r="C462" s="195" t="s">
        <v>481</v>
      </c>
      <c r="D462" s="4" t="s">
        <v>3744</v>
      </c>
      <c r="E462" s="245">
        <v>22396610</v>
      </c>
      <c r="F462" s="264" t="s">
        <v>3745</v>
      </c>
      <c r="G462" s="213" t="str">
        <f t="shared" si="419"/>
        <v>Minassian 2012</v>
      </c>
      <c r="H462" s="217">
        <v>2012</v>
      </c>
      <c r="I462" s="199"/>
      <c r="J462" s="199"/>
      <c r="K462" s="195">
        <v>12</v>
      </c>
      <c r="L462" s="4" t="s">
        <v>3754</v>
      </c>
      <c r="M462" s="195" t="s">
        <v>324</v>
      </c>
      <c r="N462" s="195" t="s">
        <v>324</v>
      </c>
      <c r="O462" s="195" t="s">
        <v>324</v>
      </c>
      <c r="P462" s="195" t="s">
        <v>324</v>
      </c>
      <c r="Q462" s="195" t="s">
        <v>324</v>
      </c>
      <c r="R462" s="195">
        <v>18</v>
      </c>
      <c r="S462" s="195">
        <v>50</v>
      </c>
      <c r="T462" s="195" t="s">
        <v>324</v>
      </c>
      <c r="U462" s="195" t="s">
        <v>324</v>
      </c>
      <c r="V462" s="195" t="s">
        <v>3747</v>
      </c>
      <c r="W462" s="199"/>
      <c r="X462" s="195">
        <v>12</v>
      </c>
      <c r="Y462" s="199"/>
      <c r="Z462" s="195" t="s">
        <v>394</v>
      </c>
      <c r="AA462" s="195" t="s">
        <v>324</v>
      </c>
      <c r="AB462" s="195">
        <v>0</v>
      </c>
      <c r="AC462" s="199"/>
      <c r="AD462" s="195" t="s">
        <v>322</v>
      </c>
      <c r="AE462" s="195" t="s">
        <v>3748</v>
      </c>
      <c r="AF462" s="199"/>
      <c r="AG462" s="195" t="s">
        <v>324</v>
      </c>
      <c r="AH462" s="195" t="s">
        <v>316</v>
      </c>
      <c r="AI462" s="195">
        <v>0</v>
      </c>
      <c r="AJ462" s="195" t="s">
        <v>324</v>
      </c>
      <c r="AK462" s="195" t="s">
        <v>3749</v>
      </c>
      <c r="AL462" s="195" t="s">
        <v>322</v>
      </c>
      <c r="AM462" s="199"/>
      <c r="AN462" s="195" t="s">
        <v>1163</v>
      </c>
      <c r="AO462" s="195" t="s">
        <v>3750</v>
      </c>
      <c r="AP462" s="195" t="s">
        <v>3751</v>
      </c>
      <c r="AQ462" s="195" t="s">
        <v>324</v>
      </c>
      <c r="AR462" s="220" t="s">
        <v>3359</v>
      </c>
      <c r="AS462" s="195" t="s">
        <v>316</v>
      </c>
      <c r="AT462" s="199"/>
      <c r="AU462" s="195" t="s">
        <v>3752</v>
      </c>
      <c r="AV462" s="195" t="s">
        <v>3753</v>
      </c>
      <c r="AW462" s="195" t="str">
        <f ca="1">IFERROR(__xludf.DUMMYFUNCTION("IF(AND(IF(AS462=""Yes"",True,False),NOT(IFERROR(REGEXMATCH(AV462,ExclusionCategories),FALSE))),""Yes"", ""No"")"),"No")</f>
        <v>No</v>
      </c>
      <c r="AX462" s="195">
        <f ca="1">IFERROR(__xludf.DUMMYFUNCTION("IF(IFERROR(SEARCH(""Unclear"", Z462)) = 1, VALUE(REGEXEXTRACT(Z462,""\d+"")), Z462)"),0)</f>
        <v>0</v>
      </c>
      <c r="AY462" s="195">
        <v>12</v>
      </c>
      <c r="AZ462" s="195" t="str">
        <f ca="1">IFERROR(__xludf.DUMMYFUNCTION("IF(IFERROR(SEARCH(""Unclear"", AG462)) = 1, VALUE(REGEXEXTRACT(AG462,""\d+"")), AG462)"),"ND")</f>
        <v>ND</v>
      </c>
      <c r="BA462" s="195" t="s">
        <v>324</v>
      </c>
      <c r="BB462" s="195" t="str">
        <f ca="1">IFERROR(__xludf.DUMMYFUNCTION("IF(IFERROR(SEARCH(""Unclear"", AJ462)) = 1, VALUE(REGEXEXTRACT(AJ462,""\d+"")), AJ462)"),"ND")</f>
        <v>ND</v>
      </c>
      <c r="BC462" s="195" t="s">
        <v>324</v>
      </c>
      <c r="BD462" s="195" t="b">
        <f t="shared" si="2"/>
        <v>0</v>
      </c>
      <c r="BE462" s="195" t="b">
        <f t="shared" ref="BE462:BF462" si="484">IF(IFERROR(FIND("ND",AI462),0),FALSE,TRUE)</f>
        <v>1</v>
      </c>
      <c r="BF462" s="195" t="b">
        <f t="shared" si="484"/>
        <v>0</v>
      </c>
    </row>
    <row r="463" spans="1:58" ht="37.5" customHeight="1">
      <c r="A463" s="220" t="s">
        <v>3743</v>
      </c>
      <c r="B463" s="195">
        <v>2012</v>
      </c>
      <c r="C463" s="195" t="s">
        <v>481</v>
      </c>
      <c r="D463" s="4" t="s">
        <v>3744</v>
      </c>
      <c r="E463" s="245">
        <v>22396610</v>
      </c>
      <c r="F463" s="264" t="s">
        <v>3745</v>
      </c>
      <c r="G463" s="213" t="str">
        <f t="shared" si="419"/>
        <v>Minassian 2012</v>
      </c>
      <c r="H463" s="217">
        <v>2012</v>
      </c>
      <c r="I463" s="199"/>
      <c r="J463" s="199"/>
      <c r="K463" s="195">
        <v>40</v>
      </c>
      <c r="L463" s="4" t="s">
        <v>846</v>
      </c>
      <c r="M463" s="195" t="s">
        <v>324</v>
      </c>
      <c r="N463" s="195" t="s">
        <v>324</v>
      </c>
      <c r="O463" s="195" t="s">
        <v>324</v>
      </c>
      <c r="P463" s="195" t="s">
        <v>324</v>
      </c>
      <c r="Q463" s="195" t="s">
        <v>324</v>
      </c>
      <c r="R463" s="195">
        <v>18</v>
      </c>
      <c r="S463" s="195">
        <v>50</v>
      </c>
      <c r="T463" s="195" t="s">
        <v>324</v>
      </c>
      <c r="U463" s="195" t="s">
        <v>324</v>
      </c>
      <c r="V463" s="195" t="s">
        <v>3747</v>
      </c>
      <c r="W463" s="199"/>
      <c r="X463" s="195">
        <v>40</v>
      </c>
      <c r="Y463" s="199"/>
      <c r="Z463" s="195" t="s">
        <v>3755</v>
      </c>
      <c r="AA463" s="199"/>
      <c r="AB463" s="195">
        <v>0</v>
      </c>
      <c r="AC463" s="199"/>
      <c r="AD463" s="195" t="s">
        <v>322</v>
      </c>
      <c r="AE463" s="195" t="s">
        <v>3748</v>
      </c>
      <c r="AF463" s="199"/>
      <c r="AG463" s="195" t="s">
        <v>324</v>
      </c>
      <c r="AH463" s="195" t="s">
        <v>316</v>
      </c>
      <c r="AI463" s="195">
        <v>0</v>
      </c>
      <c r="AJ463" s="195" t="s">
        <v>324</v>
      </c>
      <c r="AK463" s="195" t="s">
        <v>3749</v>
      </c>
      <c r="AL463" s="195" t="s">
        <v>322</v>
      </c>
      <c r="AM463" s="199"/>
      <c r="AN463" s="195" t="s">
        <v>1163</v>
      </c>
      <c r="AO463" s="195" t="s">
        <v>3750</v>
      </c>
      <c r="AP463" s="195" t="s">
        <v>3751</v>
      </c>
      <c r="AQ463" s="195" t="s">
        <v>324</v>
      </c>
      <c r="AR463" s="220" t="s">
        <v>3359</v>
      </c>
      <c r="AS463" s="195" t="s">
        <v>308</v>
      </c>
      <c r="AT463" s="199"/>
      <c r="AU463" s="195" t="s">
        <v>3752</v>
      </c>
      <c r="AV463" s="195" t="s">
        <v>3756</v>
      </c>
      <c r="AW463" s="195" t="str">
        <f ca="1">IFERROR(__xludf.DUMMYFUNCTION("IF(AND(IF(AS463=""Yes"",True,False),NOT(IFERROR(REGEXMATCH(AV463,ExclusionCategories),FALSE))),""Yes"", ""No"")"),"Yes")</f>
        <v>Yes</v>
      </c>
      <c r="AX463" s="195">
        <f ca="1">IFERROR(__xludf.DUMMYFUNCTION("IF(IFERROR(SEARCH(""Unclear"", Z463)) = 1, VALUE(REGEXEXTRACT(Z463,""\d+"")), Z463)"),28)</f>
        <v>28</v>
      </c>
      <c r="AY463" s="195">
        <v>40</v>
      </c>
      <c r="AZ463" s="195" t="str">
        <f ca="1">IFERROR(__xludf.DUMMYFUNCTION("IF(IFERROR(SEARCH(""Unclear"", AG463)) = 1, VALUE(REGEXEXTRACT(AG463,""\d+"")), AG463)"),"ND")</f>
        <v>ND</v>
      </c>
      <c r="BA463" s="195" t="s">
        <v>324</v>
      </c>
      <c r="BB463" s="195" t="str">
        <f ca="1">IFERROR(__xludf.DUMMYFUNCTION("IF(IFERROR(SEARCH(""Unclear"", AJ463)) = 1, VALUE(REGEXEXTRACT(AJ463,""\d+"")), AJ463)"),"ND")</f>
        <v>ND</v>
      </c>
      <c r="BC463" s="195" t="s">
        <v>324</v>
      </c>
      <c r="BD463" s="195" t="b">
        <f t="shared" si="2"/>
        <v>0</v>
      </c>
      <c r="BE463" s="195" t="b">
        <f t="shared" ref="BE463:BF463" si="485">IF(IFERROR(FIND("ND",AI463),0),FALSE,TRUE)</f>
        <v>1</v>
      </c>
      <c r="BF463" s="195" t="b">
        <f t="shared" si="485"/>
        <v>0</v>
      </c>
    </row>
    <row r="464" spans="1:58" ht="37.5" customHeight="1">
      <c r="A464" s="220" t="s">
        <v>3757</v>
      </c>
      <c r="B464" s="195">
        <v>2016</v>
      </c>
      <c r="C464" s="195" t="s">
        <v>520</v>
      </c>
      <c r="D464" s="4" t="s">
        <v>3758</v>
      </c>
      <c r="E464" s="245">
        <v>27579859</v>
      </c>
      <c r="F464" s="260" t="s">
        <v>3759</v>
      </c>
      <c r="G464" s="213" t="str">
        <f t="shared" si="419"/>
        <v>Mitsi 2016</v>
      </c>
      <c r="H464" s="195">
        <v>2012</v>
      </c>
      <c r="I464" s="199"/>
      <c r="J464" s="195"/>
      <c r="K464" s="195">
        <v>96</v>
      </c>
      <c r="L464" s="10"/>
      <c r="M464" s="195" t="s">
        <v>324</v>
      </c>
      <c r="N464" s="195" t="s">
        <v>324</v>
      </c>
      <c r="O464" s="195" t="s">
        <v>324</v>
      </c>
      <c r="P464" s="195">
        <v>18</v>
      </c>
      <c r="Q464" s="195">
        <v>50</v>
      </c>
      <c r="R464" s="195">
        <v>18</v>
      </c>
      <c r="S464" s="195">
        <v>50</v>
      </c>
      <c r="T464" s="195" t="s">
        <v>324</v>
      </c>
      <c r="U464" s="195" t="s">
        <v>324</v>
      </c>
      <c r="V464" s="195" t="s">
        <v>332</v>
      </c>
      <c r="W464" s="199"/>
      <c r="X464" s="195" t="s">
        <v>324</v>
      </c>
      <c r="Y464" s="199"/>
      <c r="Z464" s="195" t="s">
        <v>394</v>
      </c>
      <c r="AA464" s="195" t="s">
        <v>324</v>
      </c>
      <c r="AB464" s="195" t="s">
        <v>324</v>
      </c>
      <c r="AC464" s="199"/>
      <c r="AD464" s="195">
        <v>0</v>
      </c>
      <c r="AE464" s="195" t="s">
        <v>1163</v>
      </c>
      <c r="AF464" s="199"/>
      <c r="AG464" s="195" t="s">
        <v>324</v>
      </c>
      <c r="AH464" s="195" t="s">
        <v>527</v>
      </c>
      <c r="AI464" s="195" t="s">
        <v>324</v>
      </c>
      <c r="AJ464" s="195" t="s">
        <v>324</v>
      </c>
      <c r="AK464" s="199"/>
      <c r="AL464" s="195" t="s">
        <v>322</v>
      </c>
      <c r="AM464" s="199"/>
      <c r="AN464" s="195" t="s">
        <v>3760</v>
      </c>
      <c r="AO464" s="195" t="s">
        <v>324</v>
      </c>
      <c r="AP464" s="195" t="s">
        <v>3761</v>
      </c>
      <c r="AQ464" s="195" t="s">
        <v>324</v>
      </c>
      <c r="AR464" s="220" t="s">
        <v>3359</v>
      </c>
      <c r="AS464" s="195" t="s">
        <v>316</v>
      </c>
      <c r="AT464" s="199"/>
      <c r="AU464" s="195" t="s">
        <v>3762</v>
      </c>
      <c r="AV464" s="195" t="s">
        <v>326</v>
      </c>
      <c r="AW464" s="195" t="str">
        <f ca="1">IFERROR(__xludf.DUMMYFUNCTION("IF(AND(IF(AS464=""Yes"",True,False),NOT(IFERROR(REGEXMATCH(AV464,ExclusionCategories),FALSE))),""Yes"", ""No"")"),"No")</f>
        <v>No</v>
      </c>
      <c r="AX464" s="195">
        <f ca="1">IFERROR(__xludf.DUMMYFUNCTION("IF(IFERROR(SEARCH(""Unclear"", Z464)) = 1, VALUE(REGEXEXTRACT(Z464,""\d+"")), Z464)"),0)</f>
        <v>0</v>
      </c>
      <c r="AY464" s="195" t="s">
        <v>324</v>
      </c>
      <c r="AZ464" s="195" t="str">
        <f ca="1">IFERROR(__xludf.DUMMYFUNCTION("IF(IFERROR(SEARCH(""Unclear"", AG464)) = 1, VALUE(REGEXEXTRACT(AG464,""\d+"")), AG464)"),"ND")</f>
        <v>ND</v>
      </c>
      <c r="BA464" s="195" t="s">
        <v>324</v>
      </c>
      <c r="BB464" s="195" t="str">
        <f ca="1">IFERROR(__xludf.DUMMYFUNCTION("IF(IFERROR(SEARCH(""Unclear"", AJ464)) = 1, VALUE(REGEXEXTRACT(AJ464,""\d+"")), AJ464)"),"ND")</f>
        <v>ND</v>
      </c>
      <c r="BC464" s="195" t="s">
        <v>324</v>
      </c>
      <c r="BD464" s="195" t="b">
        <f t="shared" si="2"/>
        <v>0</v>
      </c>
      <c r="BE464" s="195" t="b">
        <f t="shared" ref="BE464:BF464" si="486">IF(IFERROR(FIND("ND",AI464),0),FALSE,TRUE)</f>
        <v>0</v>
      </c>
      <c r="BF464" s="195" t="b">
        <f t="shared" si="486"/>
        <v>0</v>
      </c>
    </row>
    <row r="465" spans="1:58" ht="37.5" customHeight="1">
      <c r="A465" s="212" t="s">
        <v>3763</v>
      </c>
      <c r="B465" s="195">
        <v>2017</v>
      </c>
      <c r="C465" s="195" t="s">
        <v>339</v>
      </c>
      <c r="D465" s="4" t="s">
        <v>1185</v>
      </c>
      <c r="E465" s="245">
        <v>28199305</v>
      </c>
      <c r="F465" s="260" t="s">
        <v>3764</v>
      </c>
      <c r="G465" s="213" t="str">
        <f t="shared" si="419"/>
        <v>Mordmuller 2017</v>
      </c>
      <c r="H465" s="195">
        <v>2016</v>
      </c>
      <c r="I465" s="195" t="s">
        <v>3765</v>
      </c>
      <c r="J465" s="198" t="s">
        <v>3766</v>
      </c>
      <c r="K465" s="195">
        <v>42</v>
      </c>
      <c r="L465" s="10"/>
      <c r="M465" s="195" t="s">
        <v>324</v>
      </c>
      <c r="N465" s="195" t="s">
        <v>324</v>
      </c>
      <c r="O465" s="195" t="s">
        <v>324</v>
      </c>
      <c r="P465" s="195" t="s">
        <v>324</v>
      </c>
      <c r="Q465" s="195" t="s">
        <v>324</v>
      </c>
      <c r="R465" s="195">
        <v>18</v>
      </c>
      <c r="S465" s="195">
        <v>45</v>
      </c>
      <c r="T465" s="195" t="s">
        <v>324</v>
      </c>
      <c r="U465" s="195" t="s">
        <v>324</v>
      </c>
      <c r="V465" s="195" t="s">
        <v>3767</v>
      </c>
      <c r="W465" s="195" t="s">
        <v>3768</v>
      </c>
      <c r="X465" s="195">
        <v>40</v>
      </c>
      <c r="Y465" s="195"/>
      <c r="Z465" s="195">
        <v>22</v>
      </c>
      <c r="AA465" s="199"/>
      <c r="AB465" s="195">
        <v>0</v>
      </c>
      <c r="AC465" s="199"/>
      <c r="AD465" s="195" t="s">
        <v>322</v>
      </c>
      <c r="AE465" s="195" t="s">
        <v>3769</v>
      </c>
      <c r="AF465" s="195" t="s">
        <v>3770</v>
      </c>
      <c r="AG465" s="195">
        <v>40</v>
      </c>
      <c r="AH465" s="195" t="s">
        <v>308</v>
      </c>
      <c r="AI465" s="195" t="s">
        <v>324</v>
      </c>
      <c r="AJ465" s="195">
        <v>6</v>
      </c>
      <c r="AK465" s="195" t="s">
        <v>3771</v>
      </c>
      <c r="AL465" s="195" t="s">
        <v>322</v>
      </c>
      <c r="AM465" s="199"/>
      <c r="AN465" s="195" t="s">
        <v>1364</v>
      </c>
      <c r="AO465" s="195" t="s">
        <v>3772</v>
      </c>
      <c r="AP465" s="195" t="s">
        <v>3773</v>
      </c>
      <c r="AQ465" s="195" t="s">
        <v>3490</v>
      </c>
      <c r="AR465" s="220" t="s">
        <v>3359</v>
      </c>
      <c r="AS465" s="195" t="s">
        <v>308</v>
      </c>
      <c r="AT465" s="199"/>
      <c r="AU465" s="195" t="s">
        <v>3774</v>
      </c>
      <c r="AV465" s="195" t="s">
        <v>9</v>
      </c>
      <c r="AW465" s="195" t="str">
        <f ca="1">IFERROR(__xludf.DUMMYFUNCTION("IF(AND(IF(AS465=""Yes"",True,False),NOT(IFERROR(REGEXMATCH(AV465,ExclusionCategories),FALSE))),""Yes"", ""No"")"),"Yes")</f>
        <v>Yes</v>
      </c>
      <c r="AX465" s="195">
        <f ca="1">IFERROR(__xludf.DUMMYFUNCTION("IF(IFERROR(SEARCH(""Unclear"", Z465)) = 1, VALUE(REGEXEXTRACT(Z465,""\d+"")), Z465)"),22)</f>
        <v>22</v>
      </c>
      <c r="AY465" s="195">
        <v>22</v>
      </c>
      <c r="AZ465" s="195">
        <f ca="1">IFERROR(__xludf.DUMMYFUNCTION("IF(IFERROR(SEARCH(""Unclear"", AG465)) = 1, VALUE(REGEXEXTRACT(AG465,""\d+"")), AG465)"),40)</f>
        <v>40</v>
      </c>
      <c r="BA465" s="195">
        <v>40</v>
      </c>
      <c r="BB465" s="195">
        <f ca="1">IFERROR(__xludf.DUMMYFUNCTION("IF(IFERROR(SEARCH(""Unclear"", AJ465)) = 1, VALUE(REGEXEXTRACT(AJ465,""\d+"")), AJ465)"),6)</f>
        <v>6</v>
      </c>
      <c r="BC465" s="195">
        <v>6</v>
      </c>
      <c r="BD465" s="195" t="b">
        <f t="shared" si="2"/>
        <v>1</v>
      </c>
      <c r="BE465" s="195" t="b">
        <f t="shared" ref="BE465:BF465" si="487">IF(IFERROR(FIND("ND",AI465),0),FALSE,TRUE)</f>
        <v>0</v>
      </c>
      <c r="BF465" s="195" t="b">
        <f t="shared" si="487"/>
        <v>1</v>
      </c>
    </row>
    <row r="466" spans="1:58" ht="37.5" customHeight="1">
      <c r="A466" s="220" t="s">
        <v>3775</v>
      </c>
      <c r="B466" s="195">
        <v>2016</v>
      </c>
      <c r="C466" s="195" t="s">
        <v>441</v>
      </c>
      <c r="D466" s="4" t="s">
        <v>3776</v>
      </c>
      <c r="E466" s="245">
        <v>27591323</v>
      </c>
      <c r="F466" s="264" t="s">
        <v>3777</v>
      </c>
      <c r="G466" s="213" t="str">
        <f t="shared" si="419"/>
        <v>Muehling  2016</v>
      </c>
      <c r="H466" s="195">
        <v>2017</v>
      </c>
      <c r="I466" s="195" t="s">
        <v>3778</v>
      </c>
      <c r="J466" s="229" t="s">
        <v>3779</v>
      </c>
      <c r="K466" s="195">
        <v>61</v>
      </c>
      <c r="L466" s="10"/>
      <c r="M466" s="195" t="s">
        <v>324</v>
      </c>
      <c r="N466" s="195" t="s">
        <v>324</v>
      </c>
      <c r="O466" s="195" t="s">
        <v>324</v>
      </c>
      <c r="P466" s="195" t="s">
        <v>324</v>
      </c>
      <c r="Q466" s="28" t="s">
        <v>324</v>
      </c>
      <c r="R466" s="195">
        <v>18</v>
      </c>
      <c r="S466" s="195">
        <v>45</v>
      </c>
      <c r="T466" s="195" t="s">
        <v>324</v>
      </c>
      <c r="U466" s="195" t="s">
        <v>324</v>
      </c>
      <c r="V466" s="195" t="s">
        <v>3780</v>
      </c>
      <c r="W466" s="199"/>
      <c r="X466" s="195">
        <v>4</v>
      </c>
      <c r="Y466" s="199"/>
      <c r="Z466" s="195">
        <v>4</v>
      </c>
      <c r="AA466" s="195" t="s">
        <v>3781</v>
      </c>
      <c r="AB466" s="195">
        <v>0</v>
      </c>
      <c r="AC466" s="199"/>
      <c r="AD466" s="195" t="s">
        <v>322</v>
      </c>
      <c r="AE466" s="195" t="s">
        <v>3782</v>
      </c>
      <c r="AF466" s="195" t="s">
        <v>3783</v>
      </c>
      <c r="AG466" s="195">
        <v>4</v>
      </c>
      <c r="AH466" s="195" t="s">
        <v>527</v>
      </c>
      <c r="AI466" s="195">
        <v>0</v>
      </c>
      <c r="AJ466" s="195" t="s">
        <v>324</v>
      </c>
      <c r="AK466" s="195" t="s">
        <v>499</v>
      </c>
      <c r="AL466" s="195" t="s">
        <v>322</v>
      </c>
      <c r="AM466" s="199"/>
      <c r="AN466" s="195" t="s">
        <v>332</v>
      </c>
      <c r="AO466" s="195" t="s">
        <v>324</v>
      </c>
      <c r="AP466" s="195" t="s">
        <v>3784</v>
      </c>
      <c r="AQ466" s="195" t="s">
        <v>324</v>
      </c>
      <c r="AR466" s="220" t="s">
        <v>3359</v>
      </c>
      <c r="AS466" s="195" t="s">
        <v>308</v>
      </c>
      <c r="AT466" s="199"/>
      <c r="AU466" s="195" t="s">
        <v>3785</v>
      </c>
      <c r="AV466" s="195" t="s">
        <v>571</v>
      </c>
      <c r="AW466" s="195" t="str">
        <f ca="1">IFERROR(__xludf.DUMMYFUNCTION("IF(AND(IF(AS466=""Yes"",True,False),NOT(IFERROR(REGEXMATCH(AV466,ExclusionCategories),FALSE))),""Yes"", ""No"")"),"Yes")</f>
        <v>Yes</v>
      </c>
      <c r="AX466" s="195">
        <f ca="1">IFERROR(__xludf.DUMMYFUNCTION("IF(IFERROR(SEARCH(""Unclear"", Z466)) = 1, VALUE(REGEXEXTRACT(Z466,""\d+"")), Z466)"),4)</f>
        <v>4</v>
      </c>
      <c r="AY466" s="195">
        <v>4</v>
      </c>
      <c r="AZ466" s="195">
        <f ca="1">IFERROR(__xludf.DUMMYFUNCTION("IF(IFERROR(SEARCH(""Unclear"", AG466)) = 1, VALUE(REGEXEXTRACT(AG466,""\d+"")), AG466)"),4)</f>
        <v>4</v>
      </c>
      <c r="BA466" s="195">
        <v>4</v>
      </c>
      <c r="BB466" s="195" t="str">
        <f ca="1">IFERROR(__xludf.DUMMYFUNCTION("IF(IFERROR(SEARCH(""Unclear"", AJ466)) = 1, VALUE(REGEXEXTRACT(AJ466,""\d+"")), AJ466)"),"ND")</f>
        <v>ND</v>
      </c>
      <c r="BC466" s="195" t="s">
        <v>324</v>
      </c>
      <c r="BD466" s="195" t="b">
        <f t="shared" si="2"/>
        <v>1</v>
      </c>
      <c r="BE466" s="195" t="b">
        <f t="shared" ref="BE466:BF466" si="488">IF(IFERROR(FIND("ND",AI466),0),FALSE,TRUE)</f>
        <v>1</v>
      </c>
      <c r="BF466" s="195" t="b">
        <f t="shared" si="488"/>
        <v>0</v>
      </c>
    </row>
    <row r="467" spans="1:58" ht="37.5" customHeight="1">
      <c r="A467" s="220" t="s">
        <v>3786</v>
      </c>
      <c r="B467" s="195">
        <v>1990</v>
      </c>
      <c r="C467" s="195" t="s">
        <v>3787</v>
      </c>
      <c r="D467" s="4" t="s">
        <v>3788</v>
      </c>
      <c r="E467" s="245">
        <v>2341723</v>
      </c>
      <c r="F467" s="260" t="s">
        <v>3789</v>
      </c>
      <c r="G467" s="213" t="str">
        <f t="shared" si="419"/>
        <v>Nash 1990</v>
      </c>
      <c r="H467" s="217">
        <v>1990</v>
      </c>
      <c r="I467" s="199"/>
      <c r="J467" s="199"/>
      <c r="K467" s="195">
        <v>19</v>
      </c>
      <c r="L467" s="10"/>
      <c r="M467" s="195" t="s">
        <v>324</v>
      </c>
      <c r="N467" s="195" t="s">
        <v>324</v>
      </c>
      <c r="O467" s="195" t="s">
        <v>324</v>
      </c>
      <c r="P467" s="195" t="s">
        <v>324</v>
      </c>
      <c r="Q467" s="195" t="s">
        <v>324</v>
      </c>
      <c r="R467" s="195">
        <v>18</v>
      </c>
      <c r="S467" s="195">
        <v>35</v>
      </c>
      <c r="T467" s="195" t="s">
        <v>324</v>
      </c>
      <c r="U467" s="195" t="s">
        <v>324</v>
      </c>
      <c r="V467" s="195" t="s">
        <v>3790</v>
      </c>
      <c r="W467" s="199"/>
      <c r="X467" s="195">
        <v>19</v>
      </c>
      <c r="Y467" s="199"/>
      <c r="Z467" s="195">
        <v>5</v>
      </c>
      <c r="AA467" s="199"/>
      <c r="AB467" s="195">
        <v>0</v>
      </c>
      <c r="AC467" s="199"/>
      <c r="AD467" s="195" t="s">
        <v>322</v>
      </c>
      <c r="AE467" s="195" t="s">
        <v>1163</v>
      </c>
      <c r="AF467" s="199"/>
      <c r="AG467" s="195" t="s">
        <v>324</v>
      </c>
      <c r="AH467" s="195" t="s">
        <v>527</v>
      </c>
      <c r="AI467" s="195" t="s">
        <v>324</v>
      </c>
      <c r="AJ467" s="195" t="s">
        <v>324</v>
      </c>
      <c r="AK467" s="199"/>
      <c r="AL467" s="195" t="s">
        <v>322</v>
      </c>
      <c r="AM467" s="199"/>
      <c r="AN467" s="195" t="s">
        <v>3791</v>
      </c>
      <c r="AO467" s="195" t="s">
        <v>3792</v>
      </c>
      <c r="AP467" s="195" t="s">
        <v>3793</v>
      </c>
      <c r="AQ467" s="195" t="s">
        <v>324</v>
      </c>
      <c r="AR467" s="220" t="s">
        <v>3359</v>
      </c>
      <c r="AS467" s="195" t="s">
        <v>308</v>
      </c>
      <c r="AT467" s="199"/>
      <c r="AU467" s="195" t="s">
        <v>3794</v>
      </c>
      <c r="AV467" s="195" t="s">
        <v>9</v>
      </c>
      <c r="AW467" s="195" t="str">
        <f ca="1">IFERROR(__xludf.DUMMYFUNCTION("IF(AND(IF(AS467=""Yes"",True,False),NOT(IFERROR(REGEXMATCH(AV467,ExclusionCategories),FALSE))),""Yes"", ""No"")"),"Yes")</f>
        <v>Yes</v>
      </c>
      <c r="AX467" s="195">
        <f ca="1">IFERROR(__xludf.DUMMYFUNCTION("IF(IFERROR(SEARCH(""Unclear"", Z467)) = 1, VALUE(REGEXEXTRACT(Z467,""\d+"")), Z467)"),5)</f>
        <v>5</v>
      </c>
      <c r="AY467" s="195">
        <v>5</v>
      </c>
      <c r="AZ467" s="195" t="str">
        <f ca="1">IFERROR(__xludf.DUMMYFUNCTION("IF(IFERROR(SEARCH(""Unclear"", AG467)) = 1, VALUE(REGEXEXTRACT(AG467,""\d+"")), AG467)"),"ND")</f>
        <v>ND</v>
      </c>
      <c r="BA467" s="195" t="s">
        <v>324</v>
      </c>
      <c r="BB467" s="195" t="str">
        <f ca="1">IFERROR(__xludf.DUMMYFUNCTION("IF(IFERROR(SEARCH(""Unclear"", AJ467)) = 1, VALUE(REGEXEXTRACT(AJ467,""\d+"")), AJ467)"),"ND")</f>
        <v>ND</v>
      </c>
      <c r="BC467" s="195" t="s">
        <v>324</v>
      </c>
      <c r="BD467" s="195" t="b">
        <f t="shared" si="2"/>
        <v>0</v>
      </c>
      <c r="BE467" s="195" t="b">
        <f t="shared" ref="BE467:BF467" si="489">IF(IFERROR(FIND("ND",AI467),0),FALSE,TRUE)</f>
        <v>0</v>
      </c>
      <c r="BF467" s="195" t="b">
        <f t="shared" si="489"/>
        <v>0</v>
      </c>
    </row>
    <row r="468" spans="1:58" ht="37.5" customHeight="1">
      <c r="A468" s="212" t="s">
        <v>3795</v>
      </c>
      <c r="B468" s="245">
        <v>2016</v>
      </c>
      <c r="C468" s="195" t="s">
        <v>339</v>
      </c>
      <c r="D468" s="4" t="s">
        <v>3796</v>
      </c>
      <c r="E468" s="245">
        <v>27056954</v>
      </c>
      <c r="F468" s="264" t="s">
        <v>3797</v>
      </c>
      <c r="G468" s="213" t="str">
        <f t="shared" si="419"/>
        <v>Pasay 2016</v>
      </c>
      <c r="H468" s="195">
        <v>2014</v>
      </c>
      <c r="I468" s="195" t="s">
        <v>3798</v>
      </c>
      <c r="J468" s="199"/>
      <c r="K468" s="195">
        <v>24</v>
      </c>
      <c r="L468" s="10"/>
      <c r="M468" s="195">
        <v>15</v>
      </c>
      <c r="N468" s="195">
        <v>9</v>
      </c>
      <c r="O468" s="195" t="s">
        <v>324</v>
      </c>
      <c r="P468" s="195">
        <v>18</v>
      </c>
      <c r="Q468" s="195">
        <v>31</v>
      </c>
      <c r="R468" s="195">
        <v>18</v>
      </c>
      <c r="S468" s="195">
        <v>50</v>
      </c>
      <c r="T468" s="195">
        <v>22.9</v>
      </c>
      <c r="U468" s="195">
        <v>3.5</v>
      </c>
      <c r="V468" s="195" t="s">
        <v>3799</v>
      </c>
      <c r="W468" s="199"/>
      <c r="X468" s="195">
        <v>24</v>
      </c>
      <c r="Y468" s="199"/>
      <c r="Z468" s="195">
        <v>24</v>
      </c>
      <c r="AA468" s="199"/>
      <c r="AB468" s="195">
        <v>0</v>
      </c>
      <c r="AC468" s="199"/>
      <c r="AD468" s="195" t="s">
        <v>322</v>
      </c>
      <c r="AE468" s="195" t="s">
        <v>3800</v>
      </c>
      <c r="AF468" s="195" t="s">
        <v>3801</v>
      </c>
      <c r="AG468" s="195" t="s">
        <v>394</v>
      </c>
      <c r="AH468" s="195" t="s">
        <v>308</v>
      </c>
      <c r="AI468" s="195" t="s">
        <v>324</v>
      </c>
      <c r="AJ468" s="195">
        <v>3</v>
      </c>
      <c r="AK468" s="195" t="s">
        <v>3802</v>
      </c>
      <c r="AL468" s="195" t="s">
        <v>322</v>
      </c>
      <c r="AM468" s="199"/>
      <c r="AN468" s="195" t="s">
        <v>3803</v>
      </c>
      <c r="AO468" s="195" t="s">
        <v>3804</v>
      </c>
      <c r="AP468" s="195" t="s">
        <v>3805</v>
      </c>
      <c r="AQ468" s="195" t="s">
        <v>3806</v>
      </c>
      <c r="AR468" s="220" t="s">
        <v>3359</v>
      </c>
      <c r="AS468" s="195" t="s">
        <v>308</v>
      </c>
      <c r="AT468" s="199"/>
      <c r="AU468" s="195" t="s">
        <v>3807</v>
      </c>
      <c r="AV468" s="195" t="s">
        <v>9</v>
      </c>
      <c r="AW468" s="195" t="str">
        <f ca="1">IFERROR(__xludf.DUMMYFUNCTION("IF(AND(IF(AS468=""Yes"",True,False),NOT(IFERROR(REGEXMATCH(AV468,ExclusionCategories),FALSE))),""Yes"", ""No"")"),"Yes")</f>
        <v>Yes</v>
      </c>
      <c r="AX468" s="195">
        <f ca="1">IFERROR(__xludf.DUMMYFUNCTION("IF(IFERROR(SEARCH(""Unclear"", Z468)) = 1, VALUE(REGEXEXTRACT(Z468,""\d+"")), Z468)"),24)</f>
        <v>24</v>
      </c>
      <c r="AY468" s="195">
        <v>24</v>
      </c>
      <c r="AZ468" s="195">
        <f ca="1">IFERROR(__xludf.DUMMYFUNCTION("IF(IFERROR(SEARCH(""Unclear"", AG468)) = 1, VALUE(REGEXEXTRACT(AG468,""\d+"")), AG468)"),0)</f>
        <v>0</v>
      </c>
      <c r="BA468" s="195">
        <v>24</v>
      </c>
      <c r="BB468" s="195">
        <f ca="1">IFERROR(__xludf.DUMMYFUNCTION("IF(IFERROR(SEARCH(""Unclear"", AJ468)) = 1, VALUE(REGEXEXTRACT(AJ468,""\d+"")), AJ468)"),3)</f>
        <v>3</v>
      </c>
      <c r="BC468" s="195">
        <v>3</v>
      </c>
      <c r="BD468" s="195" t="b">
        <f t="shared" si="2"/>
        <v>1</v>
      </c>
      <c r="BE468" s="195" t="b">
        <f t="shared" ref="BE468:BF468" si="490">IF(IFERROR(FIND("ND",AI468),0),FALSE,TRUE)</f>
        <v>0</v>
      </c>
      <c r="BF468" s="195" t="b">
        <f t="shared" si="490"/>
        <v>1</v>
      </c>
    </row>
    <row r="469" spans="1:58" ht="37.5" customHeight="1">
      <c r="A469" s="220" t="s">
        <v>3808</v>
      </c>
      <c r="B469" s="245">
        <v>2016</v>
      </c>
      <c r="C469" s="195" t="s">
        <v>520</v>
      </c>
      <c r="D469" s="4" t="s">
        <v>3809</v>
      </c>
      <c r="E469" s="245">
        <v>27403678</v>
      </c>
      <c r="F469" s="264" t="s">
        <v>3810</v>
      </c>
      <c r="G469" s="213" t="str">
        <f t="shared" si="419"/>
        <v>Pennington 2016</v>
      </c>
      <c r="H469" s="195">
        <v>2013</v>
      </c>
      <c r="I469" s="199"/>
      <c r="J469" s="199"/>
      <c r="K469" s="195">
        <v>8</v>
      </c>
      <c r="L469" s="4" t="s">
        <v>3811</v>
      </c>
      <c r="M469" s="195">
        <v>4</v>
      </c>
      <c r="N469" s="195">
        <v>4</v>
      </c>
      <c r="O469" s="195" t="s">
        <v>324</v>
      </c>
      <c r="P469" s="195" t="s">
        <v>324</v>
      </c>
      <c r="Q469" s="195" t="s">
        <v>324</v>
      </c>
      <c r="R469" s="195">
        <v>18</v>
      </c>
      <c r="S469" s="195">
        <v>60</v>
      </c>
      <c r="T469" s="195">
        <v>28</v>
      </c>
      <c r="U469" s="195">
        <v>14</v>
      </c>
      <c r="V469" s="195" t="s">
        <v>3812</v>
      </c>
      <c r="W469" s="199"/>
      <c r="X469" s="195">
        <v>8</v>
      </c>
      <c r="Y469" s="199"/>
      <c r="Z469" s="195">
        <v>4</v>
      </c>
      <c r="AA469" s="199"/>
      <c r="AB469" s="195">
        <v>0</v>
      </c>
      <c r="AC469" s="199"/>
      <c r="AD469" s="195" t="s">
        <v>322</v>
      </c>
      <c r="AE469" s="195" t="s">
        <v>1163</v>
      </c>
      <c r="AF469" s="199"/>
      <c r="AG469" s="195" t="s">
        <v>324</v>
      </c>
      <c r="AH469" s="195" t="s">
        <v>527</v>
      </c>
      <c r="AI469" s="195" t="s">
        <v>324</v>
      </c>
      <c r="AJ469" s="195" t="s">
        <v>324</v>
      </c>
      <c r="AK469" s="199"/>
      <c r="AL469" s="195" t="s">
        <v>322</v>
      </c>
      <c r="AM469" s="199"/>
      <c r="AN469" s="195" t="s">
        <v>332</v>
      </c>
      <c r="AO469" s="195" t="s">
        <v>3813</v>
      </c>
      <c r="AP469" s="195" t="s">
        <v>3814</v>
      </c>
      <c r="AQ469" s="195" t="s">
        <v>324</v>
      </c>
      <c r="AR469" s="220" t="s">
        <v>3359</v>
      </c>
      <c r="AS469" s="195" t="s">
        <v>316</v>
      </c>
      <c r="AT469" s="199"/>
      <c r="AU469" s="195" t="s">
        <v>3815</v>
      </c>
      <c r="AV469" s="195" t="s">
        <v>326</v>
      </c>
      <c r="AW469" s="195" t="str">
        <f ca="1">IFERROR(__xludf.DUMMYFUNCTION("IF(AND(IF(AS469=""Yes"",True,False),NOT(IFERROR(REGEXMATCH(AV469,ExclusionCategories),FALSE))),""Yes"", ""No"")"),"No")</f>
        <v>No</v>
      </c>
      <c r="AX469" s="195">
        <f ca="1">IFERROR(__xludf.DUMMYFUNCTION("IF(IFERROR(SEARCH(""Unclear"", Z469)) = 1, VALUE(REGEXEXTRACT(Z469,""\d+"")), Z469)"),4)</f>
        <v>4</v>
      </c>
      <c r="AY469" s="195">
        <v>4</v>
      </c>
      <c r="AZ469" s="195" t="str">
        <f ca="1">IFERROR(__xludf.DUMMYFUNCTION("IF(IFERROR(SEARCH(""Unclear"", AG469)) = 1, VALUE(REGEXEXTRACT(AG469,""\d+"")), AG469)"),"ND")</f>
        <v>ND</v>
      </c>
      <c r="BA469" s="195" t="s">
        <v>324</v>
      </c>
      <c r="BB469" s="195" t="str">
        <f ca="1">IFERROR(__xludf.DUMMYFUNCTION("IF(IFERROR(SEARCH(""Unclear"", AJ469)) = 1, VALUE(REGEXEXTRACT(AJ469,""\d+"")), AJ469)"),"ND")</f>
        <v>ND</v>
      </c>
      <c r="BC469" s="195" t="s">
        <v>324</v>
      </c>
      <c r="BD469" s="195" t="b">
        <f t="shared" si="2"/>
        <v>0</v>
      </c>
      <c r="BE469" s="195" t="b">
        <f t="shared" ref="BE469:BF469" si="491">IF(IFERROR(FIND("ND",AI469),0),FALSE,TRUE)</f>
        <v>0</v>
      </c>
      <c r="BF469" s="195" t="b">
        <f t="shared" si="491"/>
        <v>0</v>
      </c>
    </row>
    <row r="470" spans="1:58" ht="37.5" customHeight="1">
      <c r="A470" s="220" t="s">
        <v>3808</v>
      </c>
      <c r="B470" s="245">
        <v>2016</v>
      </c>
      <c r="C470" s="195" t="s">
        <v>520</v>
      </c>
      <c r="D470" s="4" t="s">
        <v>3809</v>
      </c>
      <c r="E470" s="245">
        <v>27403678</v>
      </c>
      <c r="F470" s="264" t="s">
        <v>3810</v>
      </c>
      <c r="G470" s="213" t="str">
        <f t="shared" si="419"/>
        <v>Pennington 2016</v>
      </c>
      <c r="H470" s="195">
        <v>2012</v>
      </c>
      <c r="I470" s="199"/>
      <c r="J470" s="199"/>
      <c r="K470" s="195">
        <v>24</v>
      </c>
      <c r="L470" s="4" t="s">
        <v>788</v>
      </c>
      <c r="M470" s="195">
        <v>9</v>
      </c>
      <c r="N470" s="195">
        <v>15</v>
      </c>
      <c r="O470" s="195" t="s">
        <v>324</v>
      </c>
      <c r="P470" s="195" t="s">
        <v>324</v>
      </c>
      <c r="Q470" s="195" t="s">
        <v>324</v>
      </c>
      <c r="R470" s="195">
        <v>18</v>
      </c>
      <c r="S470" s="195">
        <v>60</v>
      </c>
      <c r="T470" s="195">
        <v>23</v>
      </c>
      <c r="U470" s="195">
        <v>3</v>
      </c>
      <c r="V470" s="195" t="s">
        <v>3812</v>
      </c>
      <c r="W470" s="199"/>
      <c r="X470" s="195">
        <v>24</v>
      </c>
      <c r="Y470" s="199"/>
      <c r="Z470" s="195">
        <v>10</v>
      </c>
      <c r="AA470" s="199"/>
      <c r="AB470" s="195">
        <v>0</v>
      </c>
      <c r="AC470" s="199"/>
      <c r="AD470" s="195" t="s">
        <v>322</v>
      </c>
      <c r="AE470" s="195" t="s">
        <v>1163</v>
      </c>
      <c r="AF470" s="199"/>
      <c r="AG470" s="195" t="s">
        <v>324</v>
      </c>
      <c r="AH470" s="195" t="s">
        <v>527</v>
      </c>
      <c r="AI470" s="195" t="s">
        <v>324</v>
      </c>
      <c r="AJ470" s="195" t="s">
        <v>324</v>
      </c>
      <c r="AK470" s="199"/>
      <c r="AL470" s="195" t="s">
        <v>322</v>
      </c>
      <c r="AM470" s="199"/>
      <c r="AN470" s="195" t="s">
        <v>332</v>
      </c>
      <c r="AO470" s="195" t="s">
        <v>3813</v>
      </c>
      <c r="AP470" s="195" t="s">
        <v>3814</v>
      </c>
      <c r="AQ470" s="195" t="s">
        <v>324</v>
      </c>
      <c r="AR470" s="220" t="s">
        <v>3359</v>
      </c>
      <c r="AS470" s="195" t="s">
        <v>316</v>
      </c>
      <c r="AT470" s="199"/>
      <c r="AU470" s="195" t="s">
        <v>3815</v>
      </c>
      <c r="AV470" s="195" t="s">
        <v>326</v>
      </c>
      <c r="AW470" s="195" t="str">
        <f ca="1">IFERROR(__xludf.DUMMYFUNCTION("IF(AND(IF(AS470=""Yes"",True,False),NOT(IFERROR(REGEXMATCH(AV470,ExclusionCategories),FALSE))),""Yes"", ""No"")"),"No")</f>
        <v>No</v>
      </c>
      <c r="AX470" s="195">
        <f ca="1">IFERROR(__xludf.DUMMYFUNCTION("IF(IFERROR(SEARCH(""Unclear"", Z470)) = 1, VALUE(REGEXEXTRACT(Z470,""\d+"")), Z470)"),10)</f>
        <v>10</v>
      </c>
      <c r="AY470" s="195">
        <v>10</v>
      </c>
      <c r="AZ470" s="195" t="str">
        <f ca="1">IFERROR(__xludf.DUMMYFUNCTION("IF(IFERROR(SEARCH(""Unclear"", AG470)) = 1, VALUE(REGEXEXTRACT(AG470,""\d+"")), AG470)"),"ND")</f>
        <v>ND</v>
      </c>
      <c r="BA470" s="195" t="s">
        <v>324</v>
      </c>
      <c r="BB470" s="195" t="str">
        <f ca="1">IFERROR(__xludf.DUMMYFUNCTION("IF(IFERROR(SEARCH(""Unclear"", AJ470)) = 1, VALUE(REGEXEXTRACT(AJ470,""\d+"")), AJ470)"),"ND")</f>
        <v>ND</v>
      </c>
      <c r="BC470" s="195" t="s">
        <v>324</v>
      </c>
      <c r="BD470" s="195" t="b">
        <f t="shared" si="2"/>
        <v>0</v>
      </c>
      <c r="BE470" s="195" t="b">
        <f t="shared" ref="BE470:BF470" si="492">IF(IFERROR(FIND("ND",AI470),0),FALSE,TRUE)</f>
        <v>0</v>
      </c>
      <c r="BF470" s="195" t="b">
        <f t="shared" si="492"/>
        <v>0</v>
      </c>
    </row>
    <row r="471" spans="1:58" ht="37.5" customHeight="1">
      <c r="A471" s="220" t="s">
        <v>3808</v>
      </c>
      <c r="B471" s="245">
        <v>2016</v>
      </c>
      <c r="C471" s="195" t="s">
        <v>520</v>
      </c>
      <c r="D471" s="4" t="s">
        <v>3809</v>
      </c>
      <c r="E471" s="245">
        <v>27403678</v>
      </c>
      <c r="F471" s="264" t="s">
        <v>3810</v>
      </c>
      <c r="G471" s="213" t="str">
        <f t="shared" si="419"/>
        <v>Pennington 2016</v>
      </c>
      <c r="H471" s="195">
        <v>2013</v>
      </c>
      <c r="I471" s="199"/>
      <c r="J471" s="199"/>
      <c r="K471" s="195">
        <v>32</v>
      </c>
      <c r="L471" s="4" t="s">
        <v>846</v>
      </c>
      <c r="M471" s="195">
        <v>13</v>
      </c>
      <c r="N471" s="195">
        <v>19</v>
      </c>
      <c r="O471" s="195" t="s">
        <v>324</v>
      </c>
      <c r="P471" s="195" t="s">
        <v>324</v>
      </c>
      <c r="Q471" s="195" t="s">
        <v>324</v>
      </c>
      <c r="R471" s="195">
        <v>18</v>
      </c>
      <c r="S471" s="195">
        <v>60</v>
      </c>
      <c r="T471" s="195">
        <v>23.25</v>
      </c>
      <c r="U471" s="195" t="s">
        <v>3816</v>
      </c>
      <c r="V471" s="195" t="s">
        <v>3812</v>
      </c>
      <c r="W471" s="199"/>
      <c r="X471" s="195">
        <v>32</v>
      </c>
      <c r="Y471" s="199"/>
      <c r="Z471" s="195">
        <v>14</v>
      </c>
      <c r="AA471" s="199"/>
      <c r="AB471" s="195">
        <v>0</v>
      </c>
      <c r="AC471" s="199"/>
      <c r="AD471" s="195" t="s">
        <v>322</v>
      </c>
      <c r="AE471" s="195" t="s">
        <v>1163</v>
      </c>
      <c r="AF471" s="199"/>
      <c r="AG471" s="195" t="s">
        <v>324</v>
      </c>
      <c r="AH471" s="195" t="s">
        <v>527</v>
      </c>
      <c r="AI471" s="195" t="s">
        <v>324</v>
      </c>
      <c r="AJ471" s="195" t="s">
        <v>324</v>
      </c>
      <c r="AK471" s="199"/>
      <c r="AL471" s="195" t="s">
        <v>322</v>
      </c>
      <c r="AM471" s="199"/>
      <c r="AN471" s="195" t="s">
        <v>332</v>
      </c>
      <c r="AO471" s="195" t="s">
        <v>3813</v>
      </c>
      <c r="AP471" s="195" t="s">
        <v>3814</v>
      </c>
      <c r="AQ471" s="195" t="s">
        <v>324</v>
      </c>
      <c r="AR471" s="220" t="s">
        <v>3359</v>
      </c>
      <c r="AS471" s="195" t="s">
        <v>308</v>
      </c>
      <c r="AT471" s="199"/>
      <c r="AU471" s="195" t="s">
        <v>3815</v>
      </c>
      <c r="AV471" s="195" t="s">
        <v>337</v>
      </c>
      <c r="AW471" s="195" t="str">
        <f ca="1">IFERROR(__xludf.DUMMYFUNCTION("IF(AND(IF(AS471=""Yes"",True,False),NOT(IFERROR(REGEXMATCH(AV471,ExclusionCategories),FALSE))),""Yes"", ""No"")"),"Yes")</f>
        <v>Yes</v>
      </c>
      <c r="AX471" s="195">
        <f ca="1">IFERROR(__xludf.DUMMYFUNCTION("IF(IFERROR(SEARCH(""Unclear"", Z471)) = 1, VALUE(REGEXEXTRACT(Z471,""\d+"")), Z471)"),14)</f>
        <v>14</v>
      </c>
      <c r="AY471" s="195">
        <v>14</v>
      </c>
      <c r="AZ471" s="195" t="str">
        <f ca="1">IFERROR(__xludf.DUMMYFUNCTION("IF(IFERROR(SEARCH(""Unclear"", AG471)) = 1, VALUE(REGEXEXTRACT(AG471,""\d+"")), AG471)"),"ND")</f>
        <v>ND</v>
      </c>
      <c r="BA471" s="195" t="s">
        <v>324</v>
      </c>
      <c r="BB471" s="195" t="str">
        <f ca="1">IFERROR(__xludf.DUMMYFUNCTION("IF(IFERROR(SEARCH(""Unclear"", AJ471)) = 1, VALUE(REGEXEXTRACT(AJ471,""\d+"")), AJ471)"),"ND")</f>
        <v>ND</v>
      </c>
      <c r="BC471" s="195" t="s">
        <v>324</v>
      </c>
      <c r="BD471" s="195" t="b">
        <f t="shared" si="2"/>
        <v>0</v>
      </c>
      <c r="BE471" s="195" t="b">
        <f t="shared" ref="BE471:BF471" si="493">IF(IFERROR(FIND("ND",AI471),0),FALSE,TRUE)</f>
        <v>0</v>
      </c>
      <c r="BF471" s="195" t="b">
        <f t="shared" si="493"/>
        <v>0</v>
      </c>
    </row>
    <row r="472" spans="1:58" ht="37.5" customHeight="1">
      <c r="A472" s="212" t="s">
        <v>3817</v>
      </c>
      <c r="B472" s="245">
        <v>2015</v>
      </c>
      <c r="C472" s="195" t="s">
        <v>457</v>
      </c>
      <c r="D472" s="4" t="s">
        <v>3818</v>
      </c>
      <c r="E472" s="259">
        <v>25281755</v>
      </c>
      <c r="F472" s="264" t="s">
        <v>3819</v>
      </c>
      <c r="G472" s="213" t="str">
        <f t="shared" si="419"/>
        <v>Ramos 2015</v>
      </c>
      <c r="H472" s="217">
        <v>2015</v>
      </c>
      <c r="I472" s="195" t="s">
        <v>3820</v>
      </c>
      <c r="J472" s="229" t="s">
        <v>3821</v>
      </c>
      <c r="K472" s="195" t="s">
        <v>3822</v>
      </c>
      <c r="L472" s="4" t="s">
        <v>3823</v>
      </c>
      <c r="M472" s="195">
        <v>47</v>
      </c>
      <c r="N472" s="195">
        <v>13</v>
      </c>
      <c r="O472" s="195">
        <v>30</v>
      </c>
      <c r="P472" s="195">
        <v>19</v>
      </c>
      <c r="Q472" s="195">
        <v>45</v>
      </c>
      <c r="R472" s="195">
        <v>18</v>
      </c>
      <c r="S472" s="195">
        <v>45</v>
      </c>
      <c r="T472" s="195" t="s">
        <v>324</v>
      </c>
      <c r="U472" s="195" t="s">
        <v>324</v>
      </c>
      <c r="V472" s="195" t="s">
        <v>3824</v>
      </c>
      <c r="W472" s="199"/>
      <c r="X472" s="195">
        <v>61</v>
      </c>
      <c r="Y472" s="195" t="s">
        <v>3825</v>
      </c>
      <c r="Z472" s="195">
        <v>48</v>
      </c>
      <c r="AA472" s="199"/>
      <c r="AB472" s="195">
        <v>0</v>
      </c>
      <c r="AC472" s="199"/>
      <c r="AD472" s="195" t="s">
        <v>322</v>
      </c>
      <c r="AE472" s="195" t="s">
        <v>3826</v>
      </c>
      <c r="AF472" s="195" t="s">
        <v>3827</v>
      </c>
      <c r="AG472" s="195">
        <v>53</v>
      </c>
      <c r="AH472" s="195" t="s">
        <v>308</v>
      </c>
      <c r="AI472" s="195">
        <v>0</v>
      </c>
      <c r="AJ472" s="195">
        <v>1</v>
      </c>
      <c r="AK472" s="195" t="s">
        <v>3828</v>
      </c>
      <c r="AL472" s="195" t="s">
        <v>322</v>
      </c>
      <c r="AM472" s="199"/>
      <c r="AN472" s="195" t="s">
        <v>3829</v>
      </c>
      <c r="AO472" s="195" t="s">
        <v>3830</v>
      </c>
      <c r="AP472" s="195" t="s">
        <v>3831</v>
      </c>
      <c r="AQ472" s="195" t="s">
        <v>2308</v>
      </c>
      <c r="AR472" s="220" t="s">
        <v>3359</v>
      </c>
      <c r="AS472" s="195" t="s">
        <v>308</v>
      </c>
      <c r="AT472" s="199"/>
      <c r="AU472" s="195" t="s">
        <v>3832</v>
      </c>
      <c r="AV472" s="195" t="s">
        <v>9</v>
      </c>
      <c r="AW472" s="195" t="str">
        <f ca="1">IFERROR(__xludf.DUMMYFUNCTION("IF(AND(IF(AS472=""Yes"",True,False),NOT(IFERROR(REGEXMATCH(AV472,ExclusionCategories),FALSE))),""Yes"", ""No"")"),"Yes")</f>
        <v>Yes</v>
      </c>
      <c r="AX472" s="195">
        <f ca="1">IFERROR(__xludf.DUMMYFUNCTION("IF(IFERROR(SEARCH(""Unclear"", Z472)) = 1, VALUE(REGEXEXTRACT(Z472,""\d+"")), Z472)"),48)</f>
        <v>48</v>
      </c>
      <c r="AY472" s="195">
        <v>48</v>
      </c>
      <c r="AZ472" s="195">
        <f ca="1">IFERROR(__xludf.DUMMYFUNCTION("IF(IFERROR(SEARCH(""Unclear"", AG472)) = 1, VALUE(REGEXEXTRACT(AG472,""\d+"")), AG472)"),53)</f>
        <v>53</v>
      </c>
      <c r="BA472" s="195">
        <v>53</v>
      </c>
      <c r="BB472" s="195">
        <f ca="1">IFERROR(__xludf.DUMMYFUNCTION("IF(IFERROR(SEARCH(""Unclear"", AJ472)) = 1, VALUE(REGEXEXTRACT(AJ472,""\d+"")), AJ472)"),1)</f>
        <v>1</v>
      </c>
      <c r="BC472" s="195">
        <v>1</v>
      </c>
      <c r="BD472" s="195" t="b">
        <f t="shared" si="2"/>
        <v>1</v>
      </c>
      <c r="BE472" s="195" t="b">
        <f t="shared" ref="BE472:BF472" si="494">IF(IFERROR(FIND("ND",AI472),0),FALSE,TRUE)</f>
        <v>1</v>
      </c>
      <c r="BF472" s="195" t="b">
        <f t="shared" si="494"/>
        <v>1</v>
      </c>
    </row>
    <row r="473" spans="1:58" ht="37.5" customHeight="1">
      <c r="A473" s="212" t="s">
        <v>3833</v>
      </c>
      <c r="B473" s="195">
        <v>2013</v>
      </c>
      <c r="C473" s="195" t="s">
        <v>339</v>
      </c>
      <c r="D473" s="4" t="s">
        <v>3834</v>
      </c>
      <c r="E473" s="245">
        <v>23929949</v>
      </c>
      <c r="F473" s="264" t="s">
        <v>3835</v>
      </c>
      <c r="G473" s="213" t="str">
        <f t="shared" si="419"/>
        <v>Seder 2013</v>
      </c>
      <c r="H473" s="195">
        <v>2012</v>
      </c>
      <c r="I473" s="195" t="s">
        <v>3836</v>
      </c>
      <c r="J473" s="229" t="s">
        <v>3837</v>
      </c>
      <c r="K473" s="195">
        <v>57</v>
      </c>
      <c r="L473" s="10"/>
      <c r="M473" s="195">
        <v>27</v>
      </c>
      <c r="N473" s="195">
        <v>30</v>
      </c>
      <c r="O473" s="195" t="s">
        <v>324</v>
      </c>
      <c r="P473" s="195">
        <v>20</v>
      </c>
      <c r="Q473" s="195">
        <v>44</v>
      </c>
      <c r="R473" s="195">
        <v>18</v>
      </c>
      <c r="S473" s="195">
        <v>45</v>
      </c>
      <c r="T473" s="195">
        <v>29</v>
      </c>
      <c r="U473" s="195" t="s">
        <v>324</v>
      </c>
      <c r="V473" s="195" t="s">
        <v>806</v>
      </c>
      <c r="W473" s="199"/>
      <c r="X473" s="195">
        <v>44</v>
      </c>
      <c r="Y473" s="199"/>
      <c r="Z473" s="195">
        <v>30</v>
      </c>
      <c r="AA473" s="199"/>
      <c r="AB473" s="195">
        <v>0</v>
      </c>
      <c r="AC473" s="199"/>
      <c r="AD473" s="195" t="s">
        <v>322</v>
      </c>
      <c r="AE473" s="195" t="s">
        <v>3838</v>
      </c>
      <c r="AF473" s="195" t="s">
        <v>3010</v>
      </c>
      <c r="AG473" s="195" t="s">
        <v>324</v>
      </c>
      <c r="AH473" s="195" t="s">
        <v>308</v>
      </c>
      <c r="AI473" s="195">
        <v>0</v>
      </c>
      <c r="AJ473" s="195" t="s">
        <v>324</v>
      </c>
      <c r="AK473" s="195" t="s">
        <v>3839</v>
      </c>
      <c r="AL473" s="195" t="s">
        <v>322</v>
      </c>
      <c r="AM473" s="199"/>
      <c r="AN473" s="195" t="s">
        <v>3840</v>
      </c>
      <c r="AO473" s="195" t="s">
        <v>3841</v>
      </c>
      <c r="AP473" s="195" t="s">
        <v>3842</v>
      </c>
      <c r="AQ473" s="195" t="s">
        <v>3843</v>
      </c>
      <c r="AR473" s="220" t="s">
        <v>3359</v>
      </c>
      <c r="AS473" s="195" t="s">
        <v>308</v>
      </c>
      <c r="AT473" s="199"/>
      <c r="AU473" s="195" t="s">
        <v>3844</v>
      </c>
      <c r="AV473" s="195" t="s">
        <v>9</v>
      </c>
      <c r="AW473" s="195" t="str">
        <f ca="1">IFERROR(__xludf.DUMMYFUNCTION("IF(AND(IF(AS473=""Yes"",True,False),NOT(IFERROR(REGEXMATCH(AV473,ExclusionCategories),FALSE))),""Yes"", ""No"")"),"Yes")</f>
        <v>Yes</v>
      </c>
      <c r="AX473" s="195">
        <f ca="1">IFERROR(__xludf.DUMMYFUNCTION("IF(IFERROR(SEARCH(""Unclear"", Z473)) = 1, VALUE(REGEXEXTRACT(Z473,""\d+"")), Z473)"),30)</f>
        <v>30</v>
      </c>
      <c r="AY473" s="195">
        <v>30</v>
      </c>
      <c r="AZ473" s="195" t="str">
        <f ca="1">IFERROR(__xludf.DUMMYFUNCTION("IF(IFERROR(SEARCH(""Unclear"", AG473)) = 1, VALUE(REGEXEXTRACT(AG473,""\d+"")), AG473)"),"ND")</f>
        <v>ND</v>
      </c>
      <c r="BA473" s="195" t="s">
        <v>324</v>
      </c>
      <c r="BB473" s="195" t="str">
        <f ca="1">IFERROR(__xludf.DUMMYFUNCTION("IF(IFERROR(SEARCH(""Unclear"", AJ473)) = 1, VALUE(REGEXEXTRACT(AJ473,""\d+"")), AJ473)"),"ND")</f>
        <v>ND</v>
      </c>
      <c r="BC473" s="195" t="s">
        <v>324</v>
      </c>
      <c r="BD473" s="195" t="b">
        <f t="shared" si="2"/>
        <v>0</v>
      </c>
      <c r="BE473" s="195" t="b">
        <f t="shared" ref="BE473:BF473" si="495">IF(IFERROR(FIND("ND",AI473),0),FALSE,TRUE)</f>
        <v>1</v>
      </c>
      <c r="BF473" s="195" t="b">
        <f t="shared" si="495"/>
        <v>0</v>
      </c>
    </row>
    <row r="474" spans="1:58" ht="37.5" customHeight="1">
      <c r="A474" s="220" t="s">
        <v>3845</v>
      </c>
      <c r="B474" s="245">
        <v>2017</v>
      </c>
      <c r="C474" s="195" t="s">
        <v>605</v>
      </c>
      <c r="D474" s="4" t="s">
        <v>3846</v>
      </c>
      <c r="E474" s="245">
        <v>27927680</v>
      </c>
      <c r="F474" s="264" t="s">
        <v>3847</v>
      </c>
      <c r="G474" s="213" t="str">
        <f t="shared" si="419"/>
        <v>Shimanovich 2017</v>
      </c>
      <c r="H474" s="265">
        <v>2017</v>
      </c>
      <c r="I474" s="199"/>
      <c r="J474" s="199"/>
      <c r="K474" s="195">
        <v>15</v>
      </c>
      <c r="L474" s="4" t="s">
        <v>3848</v>
      </c>
      <c r="M474" s="195" t="s">
        <v>324</v>
      </c>
      <c r="N474" s="195" t="s">
        <v>324</v>
      </c>
      <c r="O474" s="195" t="s">
        <v>324</v>
      </c>
      <c r="P474" s="195" t="s">
        <v>324</v>
      </c>
      <c r="Q474" s="195" t="s">
        <v>324</v>
      </c>
      <c r="R474" s="195">
        <v>18</v>
      </c>
      <c r="S474" s="195" t="s">
        <v>324</v>
      </c>
      <c r="T474" s="195" t="s">
        <v>324</v>
      </c>
      <c r="U474" s="195" t="s">
        <v>324</v>
      </c>
      <c r="V474" s="195" t="s">
        <v>332</v>
      </c>
      <c r="W474" s="199"/>
      <c r="X474" s="195">
        <v>15</v>
      </c>
      <c r="Y474" s="199"/>
      <c r="Z474" s="195">
        <v>15</v>
      </c>
      <c r="AA474" s="199"/>
      <c r="AB474" s="195">
        <v>0</v>
      </c>
      <c r="AC474" s="199"/>
      <c r="AD474" s="195" t="s">
        <v>322</v>
      </c>
      <c r="AE474" s="195" t="s">
        <v>1163</v>
      </c>
      <c r="AF474" s="199"/>
      <c r="AG474" s="195" t="s">
        <v>324</v>
      </c>
      <c r="AH474" s="195" t="s">
        <v>308</v>
      </c>
      <c r="AI474" s="195" t="s">
        <v>324</v>
      </c>
      <c r="AJ474" s="195">
        <v>8</v>
      </c>
      <c r="AK474" s="195" t="s">
        <v>3849</v>
      </c>
      <c r="AL474" s="195" t="s">
        <v>322</v>
      </c>
      <c r="AM474" s="199"/>
      <c r="AN474" s="195" t="s">
        <v>3850</v>
      </c>
      <c r="AO474" s="195" t="s">
        <v>3851</v>
      </c>
      <c r="AP474" s="195" t="s">
        <v>324</v>
      </c>
      <c r="AQ474" s="195" t="s">
        <v>3852</v>
      </c>
      <c r="AR474" s="220" t="s">
        <v>3359</v>
      </c>
      <c r="AS474" s="195" t="s">
        <v>316</v>
      </c>
      <c r="AT474" s="199"/>
      <c r="AU474" s="195" t="s">
        <v>3853</v>
      </c>
      <c r="AV474" s="195" t="s">
        <v>326</v>
      </c>
      <c r="AW474" s="195" t="str">
        <f ca="1">IFERROR(__xludf.DUMMYFUNCTION("IF(AND(IF(AS474=""Yes"",True,False),NOT(IFERROR(REGEXMATCH(AV474,ExclusionCategories),FALSE))),""Yes"", ""No"")"),"No")</f>
        <v>No</v>
      </c>
      <c r="AX474" s="195">
        <f ca="1">IFERROR(__xludf.DUMMYFUNCTION("IF(IFERROR(SEARCH(""Unclear"", Z474)) = 1, VALUE(REGEXEXTRACT(Z474,""\d+"")), Z474)"),15)</f>
        <v>15</v>
      </c>
      <c r="AY474" s="195">
        <v>15</v>
      </c>
      <c r="AZ474" s="195" t="str">
        <f ca="1">IFERROR(__xludf.DUMMYFUNCTION("IF(IFERROR(SEARCH(""Unclear"", AG474)) = 1, VALUE(REGEXEXTRACT(AG474,""\d+"")), AG474)"),"ND")</f>
        <v>ND</v>
      </c>
      <c r="BA474" s="195" t="s">
        <v>324</v>
      </c>
      <c r="BB474" s="195">
        <f ca="1">IFERROR(__xludf.DUMMYFUNCTION("IF(IFERROR(SEARCH(""Unclear"", AJ474)) = 1, VALUE(REGEXEXTRACT(AJ474,""\d+"")), AJ474)"),8)</f>
        <v>8</v>
      </c>
      <c r="BC474" s="195">
        <v>8</v>
      </c>
      <c r="BD474" s="195" t="b">
        <f t="shared" si="2"/>
        <v>0</v>
      </c>
      <c r="BE474" s="195" t="b">
        <f t="shared" ref="BE474:BF474" si="496">IF(IFERROR(FIND("ND",AI474),0),FALSE,TRUE)</f>
        <v>0</v>
      </c>
      <c r="BF474" s="195" t="b">
        <f t="shared" si="496"/>
        <v>1</v>
      </c>
    </row>
    <row r="475" spans="1:58" ht="37.5" customHeight="1">
      <c r="A475" s="220" t="s">
        <v>3845</v>
      </c>
      <c r="B475" s="245">
        <v>2017</v>
      </c>
      <c r="C475" s="195" t="s">
        <v>605</v>
      </c>
      <c r="D475" s="4" t="s">
        <v>3846</v>
      </c>
      <c r="E475" s="245">
        <v>27927680</v>
      </c>
      <c r="F475" s="264" t="s">
        <v>3847</v>
      </c>
      <c r="G475" s="213" t="str">
        <f t="shared" si="419"/>
        <v>Shimanovich 2017</v>
      </c>
      <c r="H475" s="265">
        <v>2017</v>
      </c>
      <c r="I475" s="199"/>
      <c r="J475" s="199"/>
      <c r="K475" s="195">
        <v>13</v>
      </c>
      <c r="L475" s="4" t="s">
        <v>3854</v>
      </c>
      <c r="M475" s="195" t="s">
        <v>324</v>
      </c>
      <c r="N475" s="195" t="s">
        <v>324</v>
      </c>
      <c r="O475" s="195" t="s">
        <v>324</v>
      </c>
      <c r="P475" s="195" t="s">
        <v>324</v>
      </c>
      <c r="Q475" s="195" t="s">
        <v>324</v>
      </c>
      <c r="R475" s="195">
        <v>18</v>
      </c>
      <c r="S475" s="195" t="s">
        <v>324</v>
      </c>
      <c r="T475" s="195" t="s">
        <v>324</v>
      </c>
      <c r="U475" s="195" t="s">
        <v>324</v>
      </c>
      <c r="V475" s="195" t="s">
        <v>332</v>
      </c>
      <c r="W475" s="199"/>
      <c r="X475" s="195">
        <v>13</v>
      </c>
      <c r="Y475" s="199"/>
      <c r="Z475" s="195">
        <v>13</v>
      </c>
      <c r="AA475" s="199"/>
      <c r="AB475" s="195">
        <v>0</v>
      </c>
      <c r="AC475" s="199"/>
      <c r="AD475" s="195" t="s">
        <v>322</v>
      </c>
      <c r="AE475" s="195" t="s">
        <v>1163</v>
      </c>
      <c r="AF475" s="199"/>
      <c r="AG475" s="195" t="s">
        <v>324</v>
      </c>
      <c r="AH475" s="195" t="s">
        <v>308</v>
      </c>
      <c r="AI475" s="195" t="s">
        <v>324</v>
      </c>
      <c r="AJ475" s="195">
        <v>6</v>
      </c>
      <c r="AK475" s="195" t="s">
        <v>3849</v>
      </c>
      <c r="AL475" s="195" t="s">
        <v>322</v>
      </c>
      <c r="AM475" s="199"/>
      <c r="AN475" s="195" t="s">
        <v>332</v>
      </c>
      <c r="AO475" s="195" t="s">
        <v>3851</v>
      </c>
      <c r="AP475" s="195" t="s">
        <v>324</v>
      </c>
      <c r="AQ475" s="195" t="s">
        <v>3852</v>
      </c>
      <c r="AR475" s="220" t="s">
        <v>3359</v>
      </c>
      <c r="AS475" s="195" t="s">
        <v>316</v>
      </c>
      <c r="AT475" s="199"/>
      <c r="AU475" s="195" t="s">
        <v>3853</v>
      </c>
      <c r="AV475" s="195" t="s">
        <v>326</v>
      </c>
      <c r="AW475" s="195" t="str">
        <f ca="1">IFERROR(__xludf.DUMMYFUNCTION("IF(AND(IF(AS475=""Yes"",True,False),NOT(IFERROR(REGEXMATCH(AV475,ExclusionCategories),FALSE))),""Yes"", ""No"")"),"No")</f>
        <v>No</v>
      </c>
      <c r="AX475" s="195">
        <f ca="1">IFERROR(__xludf.DUMMYFUNCTION("IF(IFERROR(SEARCH(""Unclear"", Z475)) = 1, VALUE(REGEXEXTRACT(Z475,""\d+"")), Z475)"),13)</f>
        <v>13</v>
      </c>
      <c r="AY475" s="195">
        <v>13</v>
      </c>
      <c r="AZ475" s="195" t="str">
        <f ca="1">IFERROR(__xludf.DUMMYFUNCTION("IF(IFERROR(SEARCH(""Unclear"", AG475)) = 1, VALUE(REGEXEXTRACT(AG475,""\d+"")), AG475)"),"ND")</f>
        <v>ND</v>
      </c>
      <c r="BA475" s="195" t="s">
        <v>324</v>
      </c>
      <c r="BB475" s="195">
        <f ca="1">IFERROR(__xludf.DUMMYFUNCTION("IF(IFERROR(SEARCH(""Unclear"", AJ475)) = 1, VALUE(REGEXEXTRACT(AJ475,""\d+"")), AJ475)"),6)</f>
        <v>6</v>
      </c>
      <c r="BC475" s="195">
        <v>6</v>
      </c>
      <c r="BD475" s="195" t="b">
        <f t="shared" si="2"/>
        <v>0</v>
      </c>
      <c r="BE475" s="195" t="b">
        <f t="shared" ref="BE475:BF475" si="497">IF(IFERROR(FIND("ND",AI475),0),FALSE,TRUE)</f>
        <v>0</v>
      </c>
      <c r="BF475" s="195" t="b">
        <f t="shared" si="497"/>
        <v>1</v>
      </c>
    </row>
    <row r="476" spans="1:58" ht="37.5" customHeight="1">
      <c r="A476" s="212" t="s">
        <v>3855</v>
      </c>
      <c r="B476" s="195">
        <v>2017</v>
      </c>
      <c r="C476" s="195" t="s">
        <v>339</v>
      </c>
      <c r="D476" s="4" t="s">
        <v>3856</v>
      </c>
      <c r="E476" s="245">
        <v>28176804</v>
      </c>
      <c r="F476" s="264" t="s">
        <v>3857</v>
      </c>
      <c r="G476" s="213" t="str">
        <f t="shared" si="419"/>
        <v>Smith 2017</v>
      </c>
      <c r="H476" s="195">
        <v>2015</v>
      </c>
      <c r="I476" s="195" t="s">
        <v>3858</v>
      </c>
      <c r="J476" s="229" t="s">
        <v>3859</v>
      </c>
      <c r="K476" s="195">
        <v>7</v>
      </c>
      <c r="L476" s="10"/>
      <c r="M476" s="195">
        <v>7</v>
      </c>
      <c r="N476" s="195">
        <v>0</v>
      </c>
      <c r="O476" s="195" t="s">
        <v>324</v>
      </c>
      <c r="P476" s="195">
        <v>18</v>
      </c>
      <c r="Q476" s="195">
        <v>52</v>
      </c>
      <c r="R476" s="195">
        <v>18</v>
      </c>
      <c r="S476" s="195">
        <v>55</v>
      </c>
      <c r="T476" s="195">
        <v>27.4</v>
      </c>
      <c r="U476" s="195">
        <v>11.2</v>
      </c>
      <c r="V476" s="195" t="s">
        <v>806</v>
      </c>
      <c r="W476" s="199"/>
      <c r="X476" s="195">
        <v>7</v>
      </c>
      <c r="Y476" s="199"/>
      <c r="Z476" s="195">
        <v>7</v>
      </c>
      <c r="AA476" s="199"/>
      <c r="AB476" s="195">
        <v>0</v>
      </c>
      <c r="AC476" s="195" t="s">
        <v>3860</v>
      </c>
      <c r="AD476" s="195" t="s">
        <v>322</v>
      </c>
      <c r="AE476" s="195" t="s">
        <v>3861</v>
      </c>
      <c r="AF476" s="199"/>
      <c r="AG476" s="195">
        <v>6</v>
      </c>
      <c r="AH476" s="195" t="s">
        <v>308</v>
      </c>
      <c r="AI476" s="195">
        <v>0</v>
      </c>
      <c r="AJ476" s="195" t="s">
        <v>324</v>
      </c>
      <c r="AK476" s="195" t="s">
        <v>3862</v>
      </c>
      <c r="AL476" s="195" t="s">
        <v>322</v>
      </c>
      <c r="AM476" s="199"/>
      <c r="AN476" s="195" t="s">
        <v>3863</v>
      </c>
      <c r="AO476" s="195" t="s">
        <v>324</v>
      </c>
      <c r="AP476" s="195" t="s">
        <v>3864</v>
      </c>
      <c r="AQ476" s="195" t="s">
        <v>3865</v>
      </c>
      <c r="AR476" s="220" t="s">
        <v>3359</v>
      </c>
      <c r="AS476" s="195" t="s">
        <v>308</v>
      </c>
      <c r="AT476" s="199"/>
      <c r="AU476" s="195" t="s">
        <v>3866</v>
      </c>
      <c r="AV476" s="195" t="s">
        <v>9</v>
      </c>
      <c r="AW476" s="195" t="str">
        <f ca="1">IFERROR(__xludf.DUMMYFUNCTION("IF(AND(IF(AS476=""Yes"",True,False),NOT(IFERROR(REGEXMATCH(AV476,ExclusionCategories),FALSE))),""Yes"", ""No"")"),"Yes")</f>
        <v>Yes</v>
      </c>
      <c r="AX476" s="195">
        <f ca="1">IFERROR(__xludf.DUMMYFUNCTION("IF(IFERROR(SEARCH(""Unclear"", Z476)) = 1, VALUE(REGEXEXTRACT(Z476,""\d+"")), Z476)"),7)</f>
        <v>7</v>
      </c>
      <c r="AY476" s="195">
        <v>7</v>
      </c>
      <c r="AZ476" s="195">
        <f ca="1">IFERROR(__xludf.DUMMYFUNCTION("IF(IFERROR(SEARCH(""Unclear"", AG476)) = 1, VALUE(REGEXEXTRACT(AG476,""\d+"")), AG476)"),6)</f>
        <v>6</v>
      </c>
      <c r="BA476" s="195">
        <v>6</v>
      </c>
      <c r="BB476" s="195" t="str">
        <f ca="1">IFERROR(__xludf.DUMMYFUNCTION("IF(IFERROR(SEARCH(""Unclear"", AJ476)) = 1, VALUE(REGEXEXTRACT(AJ476,""\d+"")), AJ476)"),"ND")</f>
        <v>ND</v>
      </c>
      <c r="BC476" s="195" t="s">
        <v>324</v>
      </c>
      <c r="BD476" s="195" t="b">
        <f t="shared" si="2"/>
        <v>1</v>
      </c>
      <c r="BE476" s="195" t="b">
        <f t="shared" ref="BE476:BF476" si="498">IF(IFERROR(FIND("ND",AI476),0),FALSE,TRUE)</f>
        <v>1</v>
      </c>
      <c r="BF476" s="195" t="b">
        <f t="shared" si="498"/>
        <v>0</v>
      </c>
    </row>
    <row r="477" spans="1:58" ht="37.5" customHeight="1">
      <c r="A477" s="220" t="s">
        <v>2918</v>
      </c>
      <c r="B477" s="195">
        <v>2003</v>
      </c>
      <c r="C477" s="195" t="s">
        <v>952</v>
      </c>
      <c r="D477" s="4" t="s">
        <v>3867</v>
      </c>
      <c r="E477" s="195">
        <v>14573692</v>
      </c>
      <c r="F477" s="264" t="s">
        <v>3868</v>
      </c>
      <c r="G477" s="213" t="str">
        <f t="shared" si="419"/>
        <v>Spinola 2003</v>
      </c>
      <c r="H477" s="217">
        <v>2003</v>
      </c>
      <c r="I477" s="199"/>
      <c r="J477" s="199"/>
      <c r="K477" s="195">
        <v>10</v>
      </c>
      <c r="L477" s="4" t="s">
        <v>3869</v>
      </c>
      <c r="M477" s="195">
        <v>1</v>
      </c>
      <c r="N477" s="195">
        <v>9</v>
      </c>
      <c r="O477" s="195" t="s">
        <v>324</v>
      </c>
      <c r="P477" s="195" t="s">
        <v>324</v>
      </c>
      <c r="Q477" s="195" t="s">
        <v>324</v>
      </c>
      <c r="R477" s="195" t="s">
        <v>324</v>
      </c>
      <c r="S477" s="195" t="s">
        <v>324</v>
      </c>
      <c r="T477" s="195">
        <v>33</v>
      </c>
      <c r="U477" s="195">
        <v>10</v>
      </c>
      <c r="V477" s="195" t="s">
        <v>954</v>
      </c>
      <c r="W477" s="199"/>
      <c r="X477" s="195">
        <v>10</v>
      </c>
      <c r="Y477" s="199"/>
      <c r="Z477" s="195">
        <v>4</v>
      </c>
      <c r="AA477" s="199"/>
      <c r="AB477" s="195">
        <v>0</v>
      </c>
      <c r="AC477" s="199"/>
      <c r="AD477" s="195" t="s">
        <v>322</v>
      </c>
      <c r="AE477" s="195" t="s">
        <v>1163</v>
      </c>
      <c r="AF477" s="199"/>
      <c r="AG477" s="195" t="s">
        <v>324</v>
      </c>
      <c r="AH477" s="195" t="s">
        <v>316</v>
      </c>
      <c r="AI477" s="195" t="s">
        <v>324</v>
      </c>
      <c r="AJ477" s="195" t="s">
        <v>324</v>
      </c>
      <c r="AK477" s="199"/>
      <c r="AL477" s="195" t="s">
        <v>322</v>
      </c>
      <c r="AM477" s="199"/>
      <c r="AN477" s="195" t="s">
        <v>332</v>
      </c>
      <c r="AO477" s="195" t="s">
        <v>324</v>
      </c>
      <c r="AP477" s="195" t="s">
        <v>3870</v>
      </c>
      <c r="AQ477" s="195" t="s">
        <v>3871</v>
      </c>
      <c r="AR477" s="220" t="s">
        <v>3359</v>
      </c>
      <c r="AS477" s="195" t="s">
        <v>316</v>
      </c>
      <c r="AT477" s="199"/>
      <c r="AU477" s="220" t="s">
        <v>3872</v>
      </c>
      <c r="AV477" s="195" t="s">
        <v>2593</v>
      </c>
      <c r="AW477" s="195" t="str">
        <f ca="1">IFERROR(__xludf.DUMMYFUNCTION("IF(AND(IF(AS477=""Yes"",True,False),NOT(IFERROR(REGEXMATCH(AV477,ExclusionCategories),FALSE))),""Yes"", ""No"")"),"No")</f>
        <v>No</v>
      </c>
      <c r="AX477" s="195">
        <f ca="1">IFERROR(__xludf.DUMMYFUNCTION("IF(IFERROR(SEARCH(""Unclear"", Z477)) = 1, VALUE(REGEXEXTRACT(Z477,""\d+"")), Z477)"),4)</f>
        <v>4</v>
      </c>
      <c r="AY477" s="195">
        <v>4</v>
      </c>
      <c r="AZ477" s="195" t="str">
        <f ca="1">IFERROR(__xludf.DUMMYFUNCTION("IF(IFERROR(SEARCH(""Unclear"", AG477)) = 1, VALUE(REGEXEXTRACT(AG477,""\d+"")), AG477)"),"ND")</f>
        <v>ND</v>
      </c>
      <c r="BA477" s="195" t="s">
        <v>324</v>
      </c>
      <c r="BB477" s="195" t="str">
        <f ca="1">IFERROR(__xludf.DUMMYFUNCTION("IF(IFERROR(SEARCH(""Unclear"", AJ477)) = 1, VALUE(REGEXEXTRACT(AJ477,""\d+"")), AJ477)"),"ND")</f>
        <v>ND</v>
      </c>
      <c r="BC477" s="195" t="s">
        <v>324</v>
      </c>
      <c r="BD477" s="195" t="b">
        <f t="shared" si="2"/>
        <v>0</v>
      </c>
      <c r="BE477" s="195" t="b">
        <f t="shared" ref="BE477:BF477" si="499">IF(IFERROR(FIND("ND",AI477),0),FALSE,TRUE)</f>
        <v>0</v>
      </c>
      <c r="BF477" s="195" t="b">
        <f t="shared" si="499"/>
        <v>0</v>
      </c>
    </row>
    <row r="478" spans="1:58" ht="37.5" customHeight="1">
      <c r="A478" s="220" t="s">
        <v>2918</v>
      </c>
      <c r="B478" s="195">
        <v>2003</v>
      </c>
      <c r="C478" s="195" t="s">
        <v>952</v>
      </c>
      <c r="D478" s="4" t="s">
        <v>3867</v>
      </c>
      <c r="E478" s="195">
        <v>14573692</v>
      </c>
      <c r="F478" s="264" t="s">
        <v>3868</v>
      </c>
      <c r="G478" s="213" t="str">
        <f t="shared" si="419"/>
        <v>Spinola 2003</v>
      </c>
      <c r="H478" s="217">
        <v>2003</v>
      </c>
      <c r="I478" s="199"/>
      <c r="J478" s="199"/>
      <c r="K478" s="195">
        <v>11</v>
      </c>
      <c r="L478" s="4" t="s">
        <v>3873</v>
      </c>
      <c r="M478" s="195">
        <v>2</v>
      </c>
      <c r="N478" s="195">
        <v>9</v>
      </c>
      <c r="O478" s="195" t="s">
        <v>324</v>
      </c>
      <c r="P478" s="195" t="s">
        <v>324</v>
      </c>
      <c r="Q478" s="195" t="s">
        <v>324</v>
      </c>
      <c r="R478" s="195" t="s">
        <v>324</v>
      </c>
      <c r="S478" s="195" t="s">
        <v>324</v>
      </c>
      <c r="T478" s="195">
        <v>42</v>
      </c>
      <c r="U478" s="195">
        <v>10</v>
      </c>
      <c r="V478" s="195" t="s">
        <v>954</v>
      </c>
      <c r="W478" s="199"/>
      <c r="X478" s="195">
        <v>11</v>
      </c>
      <c r="Y478" s="199"/>
      <c r="Z478" s="195">
        <v>8</v>
      </c>
      <c r="AA478" s="199"/>
      <c r="AB478" s="195">
        <v>0</v>
      </c>
      <c r="AC478" s="199"/>
      <c r="AD478" s="195" t="s">
        <v>322</v>
      </c>
      <c r="AE478" s="195" t="s">
        <v>1163</v>
      </c>
      <c r="AF478" s="199"/>
      <c r="AG478" s="195" t="s">
        <v>324</v>
      </c>
      <c r="AH478" s="195" t="s">
        <v>316</v>
      </c>
      <c r="AI478" s="195" t="s">
        <v>324</v>
      </c>
      <c r="AJ478" s="195" t="s">
        <v>324</v>
      </c>
      <c r="AK478" s="199"/>
      <c r="AL478" s="195" t="s">
        <v>322</v>
      </c>
      <c r="AM478" s="199"/>
      <c r="AN478" s="195" t="s">
        <v>332</v>
      </c>
      <c r="AO478" s="195" t="s">
        <v>324</v>
      </c>
      <c r="AP478" s="195" t="s">
        <v>3870</v>
      </c>
      <c r="AQ478" s="195" t="s">
        <v>3871</v>
      </c>
      <c r="AR478" s="220" t="s">
        <v>3359</v>
      </c>
      <c r="AS478" s="195" t="s">
        <v>316</v>
      </c>
      <c r="AT478" s="199"/>
      <c r="AU478" s="220" t="s">
        <v>3872</v>
      </c>
      <c r="AV478" s="195" t="s">
        <v>2593</v>
      </c>
      <c r="AW478" s="195" t="str">
        <f ca="1">IFERROR(__xludf.DUMMYFUNCTION("IF(AND(IF(AS478=""Yes"",True,False),NOT(IFERROR(REGEXMATCH(AV478,ExclusionCategories),FALSE))),""Yes"", ""No"")"),"No")</f>
        <v>No</v>
      </c>
      <c r="AX478" s="195">
        <f ca="1">IFERROR(__xludf.DUMMYFUNCTION("IF(IFERROR(SEARCH(""Unclear"", Z478)) = 1, VALUE(REGEXEXTRACT(Z478,""\d+"")), Z478)"),8)</f>
        <v>8</v>
      </c>
      <c r="AY478" s="195">
        <v>8</v>
      </c>
      <c r="AZ478" s="195" t="str">
        <f ca="1">IFERROR(__xludf.DUMMYFUNCTION("IF(IFERROR(SEARCH(""Unclear"", AG478)) = 1, VALUE(REGEXEXTRACT(AG478,""\d+"")), AG478)"),"ND")</f>
        <v>ND</v>
      </c>
      <c r="BA478" s="195" t="s">
        <v>324</v>
      </c>
      <c r="BB478" s="195" t="str">
        <f ca="1">IFERROR(__xludf.DUMMYFUNCTION("IF(IFERROR(SEARCH(""Unclear"", AJ478)) = 1, VALUE(REGEXEXTRACT(AJ478,""\d+"")), AJ478)"),"ND")</f>
        <v>ND</v>
      </c>
      <c r="BC478" s="195" t="s">
        <v>324</v>
      </c>
      <c r="BD478" s="195" t="b">
        <f t="shared" si="2"/>
        <v>0</v>
      </c>
      <c r="BE478" s="195" t="b">
        <f t="shared" ref="BE478:BF478" si="500">IF(IFERROR(FIND("ND",AI478),0),FALSE,TRUE)</f>
        <v>0</v>
      </c>
      <c r="BF478" s="195" t="b">
        <f t="shared" si="500"/>
        <v>0</v>
      </c>
    </row>
    <row r="479" spans="1:58" ht="37.5" customHeight="1">
      <c r="A479" s="220" t="s">
        <v>2918</v>
      </c>
      <c r="B479" s="195">
        <v>2003</v>
      </c>
      <c r="C479" s="195" t="s">
        <v>952</v>
      </c>
      <c r="D479" s="4" t="s">
        <v>3867</v>
      </c>
      <c r="E479" s="195">
        <v>14573692</v>
      </c>
      <c r="F479" s="264" t="s">
        <v>3868</v>
      </c>
      <c r="G479" s="213" t="str">
        <f t="shared" si="419"/>
        <v>Spinola 2003</v>
      </c>
      <c r="H479" s="217">
        <v>2003</v>
      </c>
      <c r="I479" s="199"/>
      <c r="J479" s="199"/>
      <c r="K479" s="195">
        <v>21</v>
      </c>
      <c r="L479" s="4" t="s">
        <v>846</v>
      </c>
      <c r="M479" s="195">
        <v>3</v>
      </c>
      <c r="N479" s="195">
        <v>18</v>
      </c>
      <c r="O479" s="195" t="s">
        <v>324</v>
      </c>
      <c r="P479" s="195" t="s">
        <v>324</v>
      </c>
      <c r="Q479" s="195" t="s">
        <v>324</v>
      </c>
      <c r="R479" s="195" t="s">
        <v>324</v>
      </c>
      <c r="S479" s="195" t="s">
        <v>324</v>
      </c>
      <c r="T479" s="195">
        <v>37.700000000000003</v>
      </c>
      <c r="U479" s="195" t="s">
        <v>3874</v>
      </c>
      <c r="V479" s="195" t="s">
        <v>954</v>
      </c>
      <c r="W479" s="199"/>
      <c r="X479" s="195">
        <v>21</v>
      </c>
      <c r="Y479" s="199"/>
      <c r="Z479" s="195">
        <v>12</v>
      </c>
      <c r="AA479" s="199"/>
      <c r="AB479" s="195">
        <v>0</v>
      </c>
      <c r="AC479" s="199"/>
      <c r="AD479" s="195" t="s">
        <v>322</v>
      </c>
      <c r="AE479" s="195" t="s">
        <v>1163</v>
      </c>
      <c r="AF479" s="199"/>
      <c r="AG479" s="195" t="s">
        <v>324</v>
      </c>
      <c r="AH479" s="195" t="s">
        <v>316</v>
      </c>
      <c r="AI479" s="195" t="s">
        <v>324</v>
      </c>
      <c r="AJ479" s="195" t="s">
        <v>324</v>
      </c>
      <c r="AK479" s="199"/>
      <c r="AL479" s="195" t="s">
        <v>322</v>
      </c>
      <c r="AM479" s="199"/>
      <c r="AN479" s="195" t="s">
        <v>332</v>
      </c>
      <c r="AO479" s="195" t="s">
        <v>324</v>
      </c>
      <c r="AP479" s="195" t="s">
        <v>3870</v>
      </c>
      <c r="AQ479" s="195" t="s">
        <v>3871</v>
      </c>
      <c r="AR479" s="220" t="s">
        <v>3359</v>
      </c>
      <c r="AS479" s="195" t="s">
        <v>308</v>
      </c>
      <c r="AT479" s="199"/>
      <c r="AU479" s="220" t="s">
        <v>3872</v>
      </c>
      <c r="AV479" s="195" t="s">
        <v>3875</v>
      </c>
      <c r="AW479" s="195" t="str">
        <f ca="1">IFERROR(__xludf.DUMMYFUNCTION("IF(AND(IF(AS479=""Yes"",True,False),NOT(IFERROR(REGEXMATCH(AV479,ExclusionCategories),FALSE))),""Yes"", ""No"")"),"No")</f>
        <v>No</v>
      </c>
      <c r="AX479" s="195">
        <f ca="1">IFERROR(__xludf.DUMMYFUNCTION("IF(IFERROR(SEARCH(""Unclear"", Z479)) = 1, VALUE(REGEXEXTRACT(Z479,""\d+"")), Z479)"),12)</f>
        <v>12</v>
      </c>
      <c r="AY479" s="195">
        <v>12</v>
      </c>
      <c r="AZ479" s="195" t="str">
        <f ca="1">IFERROR(__xludf.DUMMYFUNCTION("IF(IFERROR(SEARCH(""Unclear"", AG479)) = 1, VALUE(REGEXEXTRACT(AG479,""\d+"")), AG479)"),"ND")</f>
        <v>ND</v>
      </c>
      <c r="BA479" s="195" t="s">
        <v>324</v>
      </c>
      <c r="BB479" s="195" t="str">
        <f ca="1">IFERROR(__xludf.DUMMYFUNCTION("IF(IFERROR(SEARCH(""Unclear"", AJ479)) = 1, VALUE(REGEXEXTRACT(AJ479,""\d+"")), AJ479)"),"ND")</f>
        <v>ND</v>
      </c>
      <c r="BC479" s="195" t="s">
        <v>324</v>
      </c>
      <c r="BD479" s="195" t="b">
        <f t="shared" si="2"/>
        <v>0</v>
      </c>
      <c r="BE479" s="195" t="b">
        <f t="shared" ref="BE479:BF479" si="501">IF(IFERROR(FIND("ND",AI479),0),FALSE,TRUE)</f>
        <v>0</v>
      </c>
      <c r="BF479" s="195" t="b">
        <f t="shared" si="501"/>
        <v>0</v>
      </c>
    </row>
    <row r="480" spans="1:58" ht="37.5" customHeight="1">
      <c r="A480" s="212" t="s">
        <v>3876</v>
      </c>
      <c r="B480" s="195">
        <v>2009</v>
      </c>
      <c r="C480" s="195" t="s">
        <v>339</v>
      </c>
      <c r="D480" s="4" t="s">
        <v>1185</v>
      </c>
      <c r="E480" s="195">
        <v>19390585</v>
      </c>
      <c r="F480" s="264" t="s">
        <v>3877</v>
      </c>
      <c r="G480" s="213" t="str">
        <f t="shared" si="419"/>
        <v>Spring 2009</v>
      </c>
      <c r="H480" s="195">
        <v>2007</v>
      </c>
      <c r="I480" s="195" t="s">
        <v>3878</v>
      </c>
      <c r="J480" s="229" t="s">
        <v>3879</v>
      </c>
      <c r="K480" s="195">
        <v>41</v>
      </c>
      <c r="L480" s="10"/>
      <c r="M480" s="195">
        <v>20</v>
      </c>
      <c r="N480" s="195">
        <v>21</v>
      </c>
      <c r="O480" s="195" t="s">
        <v>324</v>
      </c>
      <c r="P480" s="195" t="s">
        <v>324</v>
      </c>
      <c r="Q480" s="195" t="s">
        <v>324</v>
      </c>
      <c r="R480" s="195">
        <v>18</v>
      </c>
      <c r="S480" s="195">
        <v>50</v>
      </c>
      <c r="T480" s="195">
        <v>29.2</v>
      </c>
      <c r="U480" s="195">
        <v>7.8</v>
      </c>
      <c r="V480" s="195" t="s">
        <v>3880</v>
      </c>
      <c r="W480" s="199"/>
      <c r="X480" s="195">
        <v>22</v>
      </c>
      <c r="Y480" s="195" t="s">
        <v>3881</v>
      </c>
      <c r="Z480" s="195">
        <v>22</v>
      </c>
      <c r="AA480" s="195" t="s">
        <v>3882</v>
      </c>
      <c r="AB480" s="195">
        <v>0</v>
      </c>
      <c r="AC480" s="199"/>
      <c r="AD480" s="195" t="s">
        <v>322</v>
      </c>
      <c r="AE480" s="195" t="s">
        <v>3883</v>
      </c>
      <c r="AF480" s="195" t="s">
        <v>899</v>
      </c>
      <c r="AG480" s="195" t="s">
        <v>324</v>
      </c>
      <c r="AH480" s="195" t="s">
        <v>308</v>
      </c>
      <c r="AI480" s="195" t="s">
        <v>324</v>
      </c>
      <c r="AJ480" s="195" t="s">
        <v>324</v>
      </c>
      <c r="AK480" s="195" t="s">
        <v>3884</v>
      </c>
      <c r="AL480" s="195" t="s">
        <v>322</v>
      </c>
      <c r="AM480" s="199"/>
      <c r="AN480" s="195" t="s">
        <v>3885</v>
      </c>
      <c r="AO480" s="195" t="s">
        <v>3886</v>
      </c>
      <c r="AP480" s="195" t="s">
        <v>3887</v>
      </c>
      <c r="AQ480" s="195" t="s">
        <v>3888</v>
      </c>
      <c r="AR480" s="220" t="s">
        <v>3359</v>
      </c>
      <c r="AS480" s="195" t="s">
        <v>308</v>
      </c>
      <c r="AT480" s="199"/>
      <c r="AU480" s="195" t="s">
        <v>3889</v>
      </c>
      <c r="AV480" s="195" t="s">
        <v>9</v>
      </c>
      <c r="AW480" s="195" t="str">
        <f ca="1">IFERROR(__xludf.DUMMYFUNCTION("IF(AND(IF(AS480=""Yes"",True,False),NOT(IFERROR(REGEXMATCH(AV480,ExclusionCategories),FALSE))),""Yes"", ""No"")"),"Yes")</f>
        <v>Yes</v>
      </c>
      <c r="AX480" s="195">
        <f ca="1">IFERROR(__xludf.DUMMYFUNCTION("IF(IFERROR(SEARCH(""Unclear"", Z480)) = 1, VALUE(REGEXEXTRACT(Z480,""\d+"")), Z480)"),22)</f>
        <v>22</v>
      </c>
      <c r="AY480" s="195">
        <v>22</v>
      </c>
      <c r="AZ480" s="195" t="str">
        <f ca="1">IFERROR(__xludf.DUMMYFUNCTION("IF(IFERROR(SEARCH(""Unclear"", AG480)) = 1, VALUE(REGEXEXTRACT(AG480,""\d+"")), AG480)"),"ND")</f>
        <v>ND</v>
      </c>
      <c r="BA480" s="195" t="s">
        <v>324</v>
      </c>
      <c r="BB480" s="195" t="str">
        <f ca="1">IFERROR(__xludf.DUMMYFUNCTION("IF(IFERROR(SEARCH(""Unclear"", AJ480)) = 1, VALUE(REGEXEXTRACT(AJ480,""\d+"")), AJ480)"),"ND")</f>
        <v>ND</v>
      </c>
      <c r="BC480" s="195" t="s">
        <v>324</v>
      </c>
      <c r="BD480" s="195" t="b">
        <f t="shared" si="2"/>
        <v>0</v>
      </c>
      <c r="BE480" s="195" t="b">
        <f t="shared" ref="BE480:BF480" si="502">IF(IFERROR(FIND("ND",AI480),0),FALSE,TRUE)</f>
        <v>0</v>
      </c>
      <c r="BF480" s="195" t="b">
        <f t="shared" si="502"/>
        <v>0</v>
      </c>
    </row>
    <row r="481" spans="1:58" ht="37.5" customHeight="1">
      <c r="A481" s="212" t="s">
        <v>3890</v>
      </c>
      <c r="B481" s="195">
        <v>2017</v>
      </c>
      <c r="C481" s="195" t="s">
        <v>339</v>
      </c>
      <c r="D481" s="4" t="s">
        <v>3891</v>
      </c>
      <c r="E481" s="195">
        <v>28363637</v>
      </c>
      <c r="F481" s="264" t="s">
        <v>3892</v>
      </c>
      <c r="G481" s="213" t="str">
        <f t="shared" si="419"/>
        <v>Sulyok 2017</v>
      </c>
      <c r="H481" s="195">
        <v>2016</v>
      </c>
      <c r="I481" s="195" t="s">
        <v>3893</v>
      </c>
      <c r="J481" s="229" t="s">
        <v>3894</v>
      </c>
      <c r="K481" s="195">
        <v>6</v>
      </c>
      <c r="L481" s="4" t="s">
        <v>3895</v>
      </c>
      <c r="M481" s="195">
        <v>4</v>
      </c>
      <c r="N481" s="195">
        <v>2</v>
      </c>
      <c r="O481" s="195">
        <v>25</v>
      </c>
      <c r="P481" s="195">
        <v>22</v>
      </c>
      <c r="Q481" s="195">
        <v>28</v>
      </c>
      <c r="R481" s="195">
        <v>18</v>
      </c>
      <c r="S481" s="195">
        <v>45</v>
      </c>
      <c r="T481" s="195" t="s">
        <v>324</v>
      </c>
      <c r="U481" s="195" t="s">
        <v>324</v>
      </c>
      <c r="V481" s="195" t="s">
        <v>3896</v>
      </c>
      <c r="W481" s="199"/>
      <c r="X481" s="195">
        <v>6</v>
      </c>
      <c r="Y481" s="199"/>
      <c r="Z481" s="195">
        <v>0</v>
      </c>
      <c r="AA481" s="199"/>
      <c r="AB481" s="195">
        <v>0</v>
      </c>
      <c r="AC481" s="199"/>
      <c r="AD481" s="195" t="s">
        <v>322</v>
      </c>
      <c r="AE481" s="195" t="s">
        <v>3897</v>
      </c>
      <c r="AF481" s="195" t="s">
        <v>3898</v>
      </c>
      <c r="AG481" s="195" t="s">
        <v>407</v>
      </c>
      <c r="AH481" s="195" t="s">
        <v>308</v>
      </c>
      <c r="AI481" s="195">
        <v>0</v>
      </c>
      <c r="AJ481" s="195">
        <v>0</v>
      </c>
      <c r="AK481" s="195" t="s">
        <v>3899</v>
      </c>
      <c r="AL481" s="195" t="s">
        <v>322</v>
      </c>
      <c r="AM481" s="199"/>
      <c r="AN481" s="195" t="s">
        <v>1195</v>
      </c>
      <c r="AO481" s="195" t="s">
        <v>3900</v>
      </c>
      <c r="AP481" s="195" t="s">
        <v>3901</v>
      </c>
      <c r="AQ481" s="195" t="s">
        <v>3902</v>
      </c>
      <c r="AR481" s="220" t="s">
        <v>3359</v>
      </c>
      <c r="AS481" s="195" t="s">
        <v>316</v>
      </c>
      <c r="AT481" s="199"/>
      <c r="AU481" s="195" t="s">
        <v>3903</v>
      </c>
      <c r="AV481" s="195" t="s">
        <v>326</v>
      </c>
      <c r="AW481" s="195" t="str">
        <f ca="1">IFERROR(__xludf.DUMMYFUNCTION("IF(AND(IF(AS481=""Yes"",True,False),NOT(IFERROR(REGEXMATCH(AV481,ExclusionCategories),FALSE))),""Yes"", ""No"")"),"No")</f>
        <v>No</v>
      </c>
      <c r="AX481" s="195">
        <f ca="1">IFERROR(__xludf.DUMMYFUNCTION("IF(IFERROR(SEARCH(""Unclear"", Z481)) = 1, VALUE(REGEXEXTRACT(Z481,""\d+"")), Z481)"),0)</f>
        <v>0</v>
      </c>
      <c r="AY481" s="195">
        <v>0</v>
      </c>
      <c r="AZ481" s="195">
        <f ca="1">IFERROR(__xludf.DUMMYFUNCTION("IF(IFERROR(SEARCH(""Unclear"", AG481)) = 1, VALUE(REGEXEXTRACT(AG481,""\d+"")), AG481)"),2)</f>
        <v>2</v>
      </c>
      <c r="BA481" s="195">
        <v>6</v>
      </c>
      <c r="BB481" s="195">
        <f ca="1">IFERROR(__xludf.DUMMYFUNCTION("IF(IFERROR(SEARCH(""Unclear"", AJ481)) = 1, VALUE(REGEXEXTRACT(AJ481,""\d+"")), AJ481)"),0)</f>
        <v>0</v>
      </c>
      <c r="BC481" s="195">
        <v>0</v>
      </c>
      <c r="BD481" s="195" t="b">
        <f t="shared" si="2"/>
        <v>1</v>
      </c>
      <c r="BE481" s="195" t="b">
        <f t="shared" ref="BE481:BF481" si="503">IF(IFERROR(FIND("ND",AI481),0),FALSE,TRUE)</f>
        <v>1</v>
      </c>
      <c r="BF481" s="195" t="b">
        <f t="shared" si="503"/>
        <v>1</v>
      </c>
    </row>
    <row r="482" spans="1:58" ht="37.5" customHeight="1">
      <c r="A482" s="212" t="s">
        <v>3890</v>
      </c>
      <c r="B482" s="195">
        <v>2017</v>
      </c>
      <c r="C482" s="195" t="s">
        <v>339</v>
      </c>
      <c r="D482" s="4" t="s">
        <v>3891</v>
      </c>
      <c r="E482" s="195">
        <v>28363637</v>
      </c>
      <c r="F482" s="264" t="s">
        <v>3892</v>
      </c>
      <c r="G482" s="213" t="str">
        <f t="shared" si="419"/>
        <v>Sulyok 2017</v>
      </c>
      <c r="H482" s="195">
        <v>2016</v>
      </c>
      <c r="I482" s="195" t="s">
        <v>3893</v>
      </c>
      <c r="J482" s="229" t="s">
        <v>3894</v>
      </c>
      <c r="K482" s="195">
        <v>2</v>
      </c>
      <c r="L482" s="4" t="s">
        <v>3904</v>
      </c>
      <c r="M482" s="195">
        <v>1</v>
      </c>
      <c r="N482" s="195">
        <v>1</v>
      </c>
      <c r="O482" s="195">
        <v>27</v>
      </c>
      <c r="P482" s="195">
        <v>25</v>
      </c>
      <c r="Q482" s="195">
        <v>29</v>
      </c>
      <c r="R482" s="195">
        <v>18</v>
      </c>
      <c r="S482" s="195">
        <v>45</v>
      </c>
      <c r="T482" s="195" t="s">
        <v>324</v>
      </c>
      <c r="U482" s="195" t="s">
        <v>324</v>
      </c>
      <c r="V482" s="195" t="s">
        <v>3896</v>
      </c>
      <c r="W482" s="199"/>
      <c r="X482" s="195">
        <v>2</v>
      </c>
      <c r="Y482" s="199"/>
      <c r="Z482" s="195">
        <v>2</v>
      </c>
      <c r="AA482" s="199"/>
      <c r="AB482" s="195">
        <v>0</v>
      </c>
      <c r="AC482" s="199"/>
      <c r="AD482" s="195" t="s">
        <v>322</v>
      </c>
      <c r="AE482" s="195" t="s">
        <v>3897</v>
      </c>
      <c r="AF482" s="195" t="s">
        <v>3898</v>
      </c>
      <c r="AG482" s="195">
        <v>2</v>
      </c>
      <c r="AH482" s="195" t="s">
        <v>308</v>
      </c>
      <c r="AI482" s="195">
        <v>0</v>
      </c>
      <c r="AJ482" s="195">
        <v>0</v>
      </c>
      <c r="AK482" s="199"/>
      <c r="AL482" s="195" t="s">
        <v>322</v>
      </c>
      <c r="AM482" s="199"/>
      <c r="AN482" s="195" t="s">
        <v>3905</v>
      </c>
      <c r="AO482" s="195" t="s">
        <v>3900</v>
      </c>
      <c r="AP482" s="195" t="s">
        <v>3901</v>
      </c>
      <c r="AQ482" s="195" t="s">
        <v>3902</v>
      </c>
      <c r="AR482" s="220" t="s">
        <v>3359</v>
      </c>
      <c r="AS482" s="195" t="s">
        <v>316</v>
      </c>
      <c r="AT482" s="199"/>
      <c r="AU482" s="195" t="s">
        <v>3903</v>
      </c>
      <c r="AV482" s="195" t="s">
        <v>326</v>
      </c>
      <c r="AW482" s="195" t="str">
        <f ca="1">IFERROR(__xludf.DUMMYFUNCTION("IF(AND(IF(AS482=""Yes"",True,False),NOT(IFERROR(REGEXMATCH(AV482,ExclusionCategories),FALSE))),""Yes"", ""No"")"),"No")</f>
        <v>No</v>
      </c>
      <c r="AX482" s="195">
        <f ca="1">IFERROR(__xludf.DUMMYFUNCTION("IF(IFERROR(SEARCH(""Unclear"", Z482)) = 1, VALUE(REGEXEXTRACT(Z482,""\d+"")), Z482)"),2)</f>
        <v>2</v>
      </c>
      <c r="AY482" s="195">
        <v>2</v>
      </c>
      <c r="AZ482" s="195">
        <f ca="1">IFERROR(__xludf.DUMMYFUNCTION("IF(IFERROR(SEARCH(""Unclear"", AG482)) = 1, VALUE(REGEXEXTRACT(AG482,""\d+"")), AG482)"),2)</f>
        <v>2</v>
      </c>
      <c r="BA482" s="195">
        <v>2</v>
      </c>
      <c r="BB482" s="195">
        <f ca="1">IFERROR(__xludf.DUMMYFUNCTION("IF(IFERROR(SEARCH(""Unclear"", AJ482)) = 1, VALUE(REGEXEXTRACT(AJ482,""\d+"")), AJ482)"),0)</f>
        <v>0</v>
      </c>
      <c r="BC482" s="195">
        <v>0</v>
      </c>
      <c r="BD482" s="195" t="b">
        <f t="shared" si="2"/>
        <v>1</v>
      </c>
      <c r="BE482" s="195" t="b">
        <f t="shared" ref="BE482:BF482" si="504">IF(IFERROR(FIND("ND",AI482),0),FALSE,TRUE)</f>
        <v>1</v>
      </c>
      <c r="BF482" s="195" t="b">
        <f t="shared" si="504"/>
        <v>1</v>
      </c>
    </row>
    <row r="483" spans="1:58" ht="37.5" customHeight="1">
      <c r="A483" s="212" t="s">
        <v>3890</v>
      </c>
      <c r="B483" s="195">
        <v>2017</v>
      </c>
      <c r="C483" s="195" t="s">
        <v>339</v>
      </c>
      <c r="D483" s="4" t="s">
        <v>3891</v>
      </c>
      <c r="E483" s="195">
        <v>28363637</v>
      </c>
      <c r="F483" s="264" t="s">
        <v>3892</v>
      </c>
      <c r="G483" s="213" t="str">
        <f t="shared" si="419"/>
        <v>Sulyok 2017</v>
      </c>
      <c r="H483" s="195">
        <v>2016</v>
      </c>
      <c r="I483" s="195" t="s">
        <v>3893</v>
      </c>
      <c r="J483" s="229" t="s">
        <v>3894</v>
      </c>
      <c r="K483" s="195">
        <v>6</v>
      </c>
      <c r="L483" s="4" t="s">
        <v>3906</v>
      </c>
      <c r="M483" s="195">
        <v>4</v>
      </c>
      <c r="N483" s="195">
        <v>2</v>
      </c>
      <c r="O483" s="195">
        <v>25.5</v>
      </c>
      <c r="P483" s="195">
        <v>23.5</v>
      </c>
      <c r="Q483" s="195">
        <v>29.8</v>
      </c>
      <c r="R483" s="195">
        <v>18</v>
      </c>
      <c r="S483" s="195">
        <v>45</v>
      </c>
      <c r="T483" s="195" t="s">
        <v>324</v>
      </c>
      <c r="U483" s="195" t="s">
        <v>324</v>
      </c>
      <c r="V483" s="195" t="s">
        <v>3896</v>
      </c>
      <c r="W483" s="199"/>
      <c r="X483" s="195">
        <v>6</v>
      </c>
      <c r="Y483" s="199"/>
      <c r="Z483" s="195">
        <v>0</v>
      </c>
      <c r="AA483" s="199"/>
      <c r="AB483" s="195">
        <v>0</v>
      </c>
      <c r="AC483" s="199"/>
      <c r="AD483" s="195" t="s">
        <v>322</v>
      </c>
      <c r="AE483" s="195" t="s">
        <v>3897</v>
      </c>
      <c r="AF483" s="195" t="s">
        <v>3898</v>
      </c>
      <c r="AG483" s="195" t="s">
        <v>612</v>
      </c>
      <c r="AH483" s="195" t="s">
        <v>308</v>
      </c>
      <c r="AI483" s="195">
        <v>0</v>
      </c>
      <c r="AJ483" s="195">
        <v>0</v>
      </c>
      <c r="AK483" s="199"/>
      <c r="AL483" s="195" t="s">
        <v>322</v>
      </c>
      <c r="AM483" s="199"/>
      <c r="AN483" s="195" t="s">
        <v>3907</v>
      </c>
      <c r="AO483" s="195" t="s">
        <v>3900</v>
      </c>
      <c r="AP483" s="195" t="s">
        <v>3901</v>
      </c>
      <c r="AQ483" s="195" t="s">
        <v>3902</v>
      </c>
      <c r="AR483" s="220" t="s">
        <v>3359</v>
      </c>
      <c r="AS483" s="195" t="s">
        <v>316</v>
      </c>
      <c r="AT483" s="199"/>
      <c r="AU483" s="195" t="s">
        <v>3903</v>
      </c>
      <c r="AV483" s="195" t="s">
        <v>326</v>
      </c>
      <c r="AW483" s="195" t="str">
        <f ca="1">IFERROR(__xludf.DUMMYFUNCTION("IF(AND(IF(AS483=""Yes"",True,False),NOT(IFERROR(REGEXMATCH(AV483,ExclusionCategories),FALSE))),""Yes"", ""No"")"),"No")</f>
        <v>No</v>
      </c>
      <c r="AX483" s="195">
        <f ca="1">IFERROR(__xludf.DUMMYFUNCTION("IF(IFERROR(SEARCH(""Unclear"", Z483)) = 1, VALUE(REGEXEXTRACT(Z483,""\d+"")), Z483)"),0)</f>
        <v>0</v>
      </c>
      <c r="AY483" s="195">
        <v>0</v>
      </c>
      <c r="AZ483" s="195">
        <f ca="1">IFERROR(__xludf.DUMMYFUNCTION("IF(IFERROR(SEARCH(""Unclear"", AG483)) = 1, VALUE(REGEXEXTRACT(AG483,""\d+"")), AG483)"),5)</f>
        <v>5</v>
      </c>
      <c r="BA483" s="195">
        <v>6</v>
      </c>
      <c r="BB483" s="195">
        <f ca="1">IFERROR(__xludf.DUMMYFUNCTION("IF(IFERROR(SEARCH(""Unclear"", AJ483)) = 1, VALUE(REGEXEXTRACT(AJ483,""\d+"")), AJ483)"),0)</f>
        <v>0</v>
      </c>
      <c r="BC483" s="195">
        <v>0</v>
      </c>
      <c r="BD483" s="195" t="b">
        <f t="shared" si="2"/>
        <v>1</v>
      </c>
      <c r="BE483" s="195" t="b">
        <f t="shared" ref="BE483:BF483" si="505">IF(IFERROR(FIND("ND",AI483),0),FALSE,TRUE)</f>
        <v>1</v>
      </c>
      <c r="BF483" s="195" t="b">
        <f t="shared" si="505"/>
        <v>1</v>
      </c>
    </row>
    <row r="484" spans="1:58" ht="37.5" customHeight="1">
      <c r="A484" s="212" t="s">
        <v>3890</v>
      </c>
      <c r="B484" s="195">
        <v>2017</v>
      </c>
      <c r="C484" s="195" t="s">
        <v>339</v>
      </c>
      <c r="D484" s="4" t="s">
        <v>3891</v>
      </c>
      <c r="E484" s="195">
        <v>28363637</v>
      </c>
      <c r="F484" s="264" t="s">
        <v>3892</v>
      </c>
      <c r="G484" s="213" t="str">
        <f t="shared" si="419"/>
        <v>Sulyok 2017</v>
      </c>
      <c r="H484" s="195">
        <v>2016</v>
      </c>
      <c r="I484" s="195" t="s">
        <v>3893</v>
      </c>
      <c r="J484" s="229" t="s">
        <v>3894</v>
      </c>
      <c r="K484" s="195">
        <v>6</v>
      </c>
      <c r="L484" s="4" t="s">
        <v>3908</v>
      </c>
      <c r="M484" s="195">
        <v>4</v>
      </c>
      <c r="N484" s="195">
        <v>2</v>
      </c>
      <c r="O484" s="195">
        <v>25.5</v>
      </c>
      <c r="P484" s="195">
        <v>22.3</v>
      </c>
      <c r="Q484" s="195">
        <v>28.8</v>
      </c>
      <c r="R484" s="195">
        <v>18</v>
      </c>
      <c r="S484" s="195">
        <v>45</v>
      </c>
      <c r="T484" s="195" t="s">
        <v>324</v>
      </c>
      <c r="U484" s="195" t="s">
        <v>324</v>
      </c>
      <c r="V484" s="195" t="s">
        <v>3896</v>
      </c>
      <c r="W484" s="199"/>
      <c r="X484" s="195">
        <v>6</v>
      </c>
      <c r="Y484" s="199"/>
      <c r="Z484" s="195">
        <v>6</v>
      </c>
      <c r="AA484" s="195" t="s">
        <v>3909</v>
      </c>
      <c r="AB484" s="195">
        <v>0</v>
      </c>
      <c r="AC484" s="199"/>
      <c r="AD484" s="195" t="s">
        <v>322</v>
      </c>
      <c r="AE484" s="195" t="s">
        <v>3897</v>
      </c>
      <c r="AF484" s="195" t="s">
        <v>3898</v>
      </c>
      <c r="AG484" s="195" t="s">
        <v>612</v>
      </c>
      <c r="AH484" s="195" t="s">
        <v>308</v>
      </c>
      <c r="AI484" s="195">
        <v>0</v>
      </c>
      <c r="AJ484" s="195">
        <v>0</v>
      </c>
      <c r="AK484" s="195"/>
      <c r="AL484" s="195" t="s">
        <v>322</v>
      </c>
      <c r="AM484" s="199"/>
      <c r="AN484" s="195" t="s">
        <v>1195</v>
      </c>
      <c r="AO484" s="195" t="s">
        <v>3900</v>
      </c>
      <c r="AP484" s="195" t="s">
        <v>3901</v>
      </c>
      <c r="AQ484" s="195" t="s">
        <v>3902</v>
      </c>
      <c r="AR484" s="220" t="s">
        <v>3359</v>
      </c>
      <c r="AS484" s="195" t="s">
        <v>316</v>
      </c>
      <c r="AT484" s="199"/>
      <c r="AU484" s="195" t="s">
        <v>3903</v>
      </c>
      <c r="AV484" s="195" t="s">
        <v>326</v>
      </c>
      <c r="AW484" s="195" t="str">
        <f ca="1">IFERROR(__xludf.DUMMYFUNCTION("IF(AND(IF(AS484=""Yes"",True,False),NOT(IFERROR(REGEXMATCH(AV484,ExclusionCategories),FALSE))),""Yes"", ""No"")"),"No")</f>
        <v>No</v>
      </c>
      <c r="AX484" s="195">
        <f ca="1">IFERROR(__xludf.DUMMYFUNCTION("IF(IFERROR(SEARCH(""Unclear"", Z484)) = 1, VALUE(REGEXEXTRACT(Z484,""\d+"")), Z484)"),6)</f>
        <v>6</v>
      </c>
      <c r="AY484" s="195">
        <v>6</v>
      </c>
      <c r="AZ484" s="195">
        <f ca="1">IFERROR(__xludf.DUMMYFUNCTION("IF(IFERROR(SEARCH(""Unclear"", AG484)) = 1, VALUE(REGEXEXTRACT(AG484,""\d+"")), AG484)"),5)</f>
        <v>5</v>
      </c>
      <c r="BA484" s="195">
        <v>6</v>
      </c>
      <c r="BB484" s="195">
        <f ca="1">IFERROR(__xludf.DUMMYFUNCTION("IF(IFERROR(SEARCH(""Unclear"", AJ484)) = 1, VALUE(REGEXEXTRACT(AJ484,""\d+"")), AJ484)"),0)</f>
        <v>0</v>
      </c>
      <c r="BC484" s="195">
        <v>0</v>
      </c>
      <c r="BD484" s="195" t="b">
        <f t="shared" si="2"/>
        <v>1</v>
      </c>
      <c r="BE484" s="195" t="b">
        <f t="shared" ref="BE484:BF484" si="506">IF(IFERROR(FIND("ND",AI484),0),FALSE,TRUE)</f>
        <v>1</v>
      </c>
      <c r="BF484" s="195" t="b">
        <f t="shared" si="506"/>
        <v>1</v>
      </c>
    </row>
    <row r="485" spans="1:58" ht="37.5" customHeight="1">
      <c r="A485" s="212" t="s">
        <v>3890</v>
      </c>
      <c r="B485" s="195">
        <v>2017</v>
      </c>
      <c r="C485" s="195" t="s">
        <v>339</v>
      </c>
      <c r="D485" s="4" t="s">
        <v>3891</v>
      </c>
      <c r="E485" s="195">
        <v>28363637</v>
      </c>
      <c r="F485" s="264" t="s">
        <v>3892</v>
      </c>
      <c r="G485" s="213" t="str">
        <f t="shared" si="419"/>
        <v>Sulyok 2017</v>
      </c>
      <c r="H485" s="195">
        <v>2016</v>
      </c>
      <c r="I485" s="195" t="s">
        <v>3893</v>
      </c>
      <c r="J485" s="229" t="s">
        <v>3894</v>
      </c>
      <c r="K485" s="195">
        <v>2</v>
      </c>
      <c r="L485" s="4" t="s">
        <v>3910</v>
      </c>
      <c r="M485" s="195">
        <v>1</v>
      </c>
      <c r="N485" s="195">
        <v>1</v>
      </c>
      <c r="O485" s="195">
        <v>25</v>
      </c>
      <c r="P485" s="195">
        <v>23.5</v>
      </c>
      <c r="Q485" s="195">
        <v>26.5</v>
      </c>
      <c r="R485" s="195">
        <v>18</v>
      </c>
      <c r="S485" s="195">
        <v>45</v>
      </c>
      <c r="T485" s="195" t="s">
        <v>324</v>
      </c>
      <c r="U485" s="195" t="s">
        <v>324</v>
      </c>
      <c r="V485" s="195" t="s">
        <v>3896</v>
      </c>
      <c r="W485" s="199"/>
      <c r="X485" s="195">
        <v>2</v>
      </c>
      <c r="Y485" s="199"/>
      <c r="Z485" s="195">
        <v>2</v>
      </c>
      <c r="AA485" s="199"/>
      <c r="AB485" s="195">
        <v>0</v>
      </c>
      <c r="AC485" s="199"/>
      <c r="AD485" s="195" t="s">
        <v>322</v>
      </c>
      <c r="AE485" s="195" t="s">
        <v>3897</v>
      </c>
      <c r="AF485" s="195" t="s">
        <v>3898</v>
      </c>
      <c r="AG485" s="195">
        <v>2</v>
      </c>
      <c r="AH485" s="195" t="s">
        <v>308</v>
      </c>
      <c r="AI485" s="195">
        <v>0</v>
      </c>
      <c r="AJ485" s="195">
        <v>0</v>
      </c>
      <c r="AK485" s="199"/>
      <c r="AL485" s="195" t="s">
        <v>322</v>
      </c>
      <c r="AM485" s="199"/>
      <c r="AN485" s="195" t="s">
        <v>3905</v>
      </c>
      <c r="AO485" s="195" t="s">
        <v>3900</v>
      </c>
      <c r="AP485" s="195" t="s">
        <v>3901</v>
      </c>
      <c r="AQ485" s="195" t="s">
        <v>3902</v>
      </c>
      <c r="AR485" s="220" t="s">
        <v>3359</v>
      </c>
      <c r="AS485" s="195" t="s">
        <v>316</v>
      </c>
      <c r="AT485" s="199"/>
      <c r="AU485" s="195" t="s">
        <v>3903</v>
      </c>
      <c r="AV485" s="195" t="s">
        <v>326</v>
      </c>
      <c r="AW485" s="195" t="str">
        <f ca="1">IFERROR(__xludf.DUMMYFUNCTION("IF(AND(IF(AS485=""Yes"",True,False),NOT(IFERROR(REGEXMATCH(AV485,ExclusionCategories),FALSE))),""Yes"", ""No"")"),"No")</f>
        <v>No</v>
      </c>
      <c r="AX485" s="195">
        <f ca="1">IFERROR(__xludf.DUMMYFUNCTION("IF(IFERROR(SEARCH(""Unclear"", Z485)) = 1, VALUE(REGEXEXTRACT(Z485,""\d+"")), Z485)"),2)</f>
        <v>2</v>
      </c>
      <c r="AY485" s="195">
        <v>2</v>
      </c>
      <c r="AZ485" s="195">
        <f ca="1">IFERROR(__xludf.DUMMYFUNCTION("IF(IFERROR(SEARCH(""Unclear"", AG485)) = 1, VALUE(REGEXEXTRACT(AG485,""\d+"")), AG485)"),2)</f>
        <v>2</v>
      </c>
      <c r="BA485" s="195">
        <v>2</v>
      </c>
      <c r="BB485" s="195">
        <f ca="1">IFERROR(__xludf.DUMMYFUNCTION("IF(IFERROR(SEARCH(""Unclear"", AJ485)) = 1, VALUE(REGEXEXTRACT(AJ485,""\d+"")), AJ485)"),0)</f>
        <v>0</v>
      </c>
      <c r="BC485" s="195">
        <v>0</v>
      </c>
      <c r="BD485" s="195" t="b">
        <f t="shared" si="2"/>
        <v>1</v>
      </c>
      <c r="BE485" s="195" t="b">
        <f t="shared" ref="BE485:BF485" si="507">IF(IFERROR(FIND("ND",AI485),0),FALSE,TRUE)</f>
        <v>1</v>
      </c>
      <c r="BF485" s="195" t="b">
        <f t="shared" si="507"/>
        <v>1</v>
      </c>
    </row>
    <row r="486" spans="1:58" ht="37.5" customHeight="1">
      <c r="A486" s="212" t="s">
        <v>3890</v>
      </c>
      <c r="B486" s="195">
        <v>2017</v>
      </c>
      <c r="C486" s="195" t="s">
        <v>339</v>
      </c>
      <c r="D486" s="4" t="s">
        <v>3891</v>
      </c>
      <c r="E486" s="195">
        <v>28363637</v>
      </c>
      <c r="F486" s="264" t="s">
        <v>3892</v>
      </c>
      <c r="G486" s="213" t="str">
        <f t="shared" si="419"/>
        <v>Sulyok 2017</v>
      </c>
      <c r="H486" s="195">
        <v>2016</v>
      </c>
      <c r="I486" s="195" t="s">
        <v>3893</v>
      </c>
      <c r="J486" s="229" t="s">
        <v>3894</v>
      </c>
      <c r="K486" s="195">
        <v>22</v>
      </c>
      <c r="L486" s="4" t="s">
        <v>1050</v>
      </c>
      <c r="M486" s="195">
        <v>14</v>
      </c>
      <c r="N486" s="195">
        <v>8</v>
      </c>
      <c r="O486" s="195" t="s">
        <v>3911</v>
      </c>
      <c r="P486" s="195">
        <v>22</v>
      </c>
      <c r="Q486" s="195">
        <v>29.8</v>
      </c>
      <c r="R486" s="195">
        <v>18</v>
      </c>
      <c r="S486" s="195">
        <v>45</v>
      </c>
      <c r="T486" s="195" t="s">
        <v>324</v>
      </c>
      <c r="U486" s="195" t="s">
        <v>324</v>
      </c>
      <c r="V486" s="195" t="s">
        <v>3896</v>
      </c>
      <c r="W486" s="199"/>
      <c r="X486" s="195">
        <v>22</v>
      </c>
      <c r="Y486" s="199"/>
      <c r="Z486" s="195">
        <v>10</v>
      </c>
      <c r="AA486" s="199"/>
      <c r="AB486" s="195">
        <v>0</v>
      </c>
      <c r="AC486" s="199"/>
      <c r="AD486" s="195" t="s">
        <v>322</v>
      </c>
      <c r="AE486" s="195" t="s">
        <v>3897</v>
      </c>
      <c r="AF486" s="195" t="s">
        <v>3898</v>
      </c>
      <c r="AG486" s="195" t="s">
        <v>433</v>
      </c>
      <c r="AH486" s="195" t="s">
        <v>308</v>
      </c>
      <c r="AI486" s="195">
        <v>0</v>
      </c>
      <c r="AJ486" s="195">
        <v>0</v>
      </c>
      <c r="AK486" s="195" t="s">
        <v>3899</v>
      </c>
      <c r="AL486" s="195" t="s">
        <v>322</v>
      </c>
      <c r="AM486" s="199"/>
      <c r="AN486" s="195" t="s">
        <v>3912</v>
      </c>
      <c r="AO486" s="195" t="s">
        <v>3900</v>
      </c>
      <c r="AP486" s="195" t="s">
        <v>3901</v>
      </c>
      <c r="AQ486" s="195" t="s">
        <v>3902</v>
      </c>
      <c r="AR486" s="220" t="s">
        <v>3359</v>
      </c>
      <c r="AS486" s="195" t="s">
        <v>308</v>
      </c>
      <c r="AT486" s="199"/>
      <c r="AU486" s="195" t="s">
        <v>3903</v>
      </c>
      <c r="AV486" s="195" t="s">
        <v>337</v>
      </c>
      <c r="AW486" s="195" t="str">
        <f ca="1">IFERROR(__xludf.DUMMYFUNCTION("IF(AND(IF(AS486=""Yes"",True,False),NOT(IFERROR(REGEXMATCH(AV486,ExclusionCategories),FALSE))),""Yes"", ""No"")"),"Yes")</f>
        <v>Yes</v>
      </c>
      <c r="AX486" s="195">
        <f ca="1">IFERROR(__xludf.DUMMYFUNCTION("IF(IFERROR(SEARCH(""Unclear"", Z486)) = 1, VALUE(REGEXEXTRACT(Z486,""\d+"")), Z486)"),10)</f>
        <v>10</v>
      </c>
      <c r="AY486" s="195">
        <v>10</v>
      </c>
      <c r="AZ486" s="195">
        <f ca="1">IFERROR(__xludf.DUMMYFUNCTION("IF(IFERROR(SEARCH(""Unclear"", AG486)) = 1, VALUE(REGEXEXTRACT(AG486,""\d+"")), AG486)"),16)</f>
        <v>16</v>
      </c>
      <c r="BA486" s="195">
        <v>22</v>
      </c>
      <c r="BB486" s="195">
        <f ca="1">IFERROR(__xludf.DUMMYFUNCTION("IF(IFERROR(SEARCH(""Unclear"", AJ486)) = 1, VALUE(REGEXEXTRACT(AJ486,""\d+"")), AJ486)"),0)</f>
        <v>0</v>
      </c>
      <c r="BC486" s="195">
        <v>0</v>
      </c>
      <c r="BD486" s="195" t="b">
        <f t="shared" si="2"/>
        <v>1</v>
      </c>
      <c r="BE486" s="195" t="b">
        <f t="shared" ref="BE486:BF486" si="508">IF(IFERROR(FIND("ND",AI486),0),FALSE,TRUE)</f>
        <v>1</v>
      </c>
      <c r="BF486" s="195" t="b">
        <f t="shared" si="508"/>
        <v>1</v>
      </c>
    </row>
    <row r="487" spans="1:58" ht="37.5" customHeight="1">
      <c r="A487" s="220" t="s">
        <v>2354</v>
      </c>
      <c r="B487" s="195">
        <v>2009</v>
      </c>
      <c r="C487" s="195" t="s">
        <v>2355</v>
      </c>
      <c r="D487" s="4" t="s">
        <v>3913</v>
      </c>
      <c r="E487" s="195">
        <v>19842970</v>
      </c>
      <c r="F487" s="264" t="s">
        <v>3914</v>
      </c>
      <c r="G487" s="213" t="str">
        <f t="shared" si="419"/>
        <v>Tribble 2009</v>
      </c>
      <c r="H487" s="217">
        <v>2009</v>
      </c>
      <c r="I487" s="199"/>
      <c r="J487" s="199"/>
      <c r="K487" s="195">
        <v>23</v>
      </c>
      <c r="L487" s="10"/>
      <c r="M487" s="195">
        <v>12</v>
      </c>
      <c r="N487" s="195">
        <v>11</v>
      </c>
      <c r="O487" s="195">
        <v>23</v>
      </c>
      <c r="P487" s="195" t="s">
        <v>324</v>
      </c>
      <c r="Q487" s="195" t="s">
        <v>324</v>
      </c>
      <c r="R487" s="195">
        <v>18</v>
      </c>
      <c r="S487" s="195">
        <v>50</v>
      </c>
      <c r="T487" s="195" t="s">
        <v>324</v>
      </c>
      <c r="U487" s="195" t="s">
        <v>324</v>
      </c>
      <c r="V487" s="195" t="s">
        <v>3915</v>
      </c>
      <c r="W487" s="199"/>
      <c r="X487" s="195">
        <v>23</v>
      </c>
      <c r="Y487" s="199"/>
      <c r="Z487" s="195">
        <v>22</v>
      </c>
      <c r="AA487" s="199"/>
      <c r="AB487" s="195">
        <v>0</v>
      </c>
      <c r="AC487" s="199"/>
      <c r="AD487" s="195" t="s">
        <v>322</v>
      </c>
      <c r="AE487" s="195" t="s">
        <v>3916</v>
      </c>
      <c r="AF487" s="195" t="s">
        <v>3249</v>
      </c>
      <c r="AG487" s="195">
        <v>22</v>
      </c>
      <c r="AH487" s="195" t="s">
        <v>308</v>
      </c>
      <c r="AI487" s="195">
        <v>0</v>
      </c>
      <c r="AJ487" s="195">
        <v>17</v>
      </c>
      <c r="AK487" s="195" t="s">
        <v>3917</v>
      </c>
      <c r="AL487" s="195" t="s">
        <v>322</v>
      </c>
      <c r="AM487" s="199"/>
      <c r="AN487" s="195" t="s">
        <v>3918</v>
      </c>
      <c r="AO487" s="195" t="s">
        <v>3919</v>
      </c>
      <c r="AP487" s="195" t="s">
        <v>3920</v>
      </c>
      <c r="AQ487" s="195" t="s">
        <v>3921</v>
      </c>
      <c r="AR487" s="220" t="s">
        <v>3359</v>
      </c>
      <c r="AS487" s="195" t="s">
        <v>308</v>
      </c>
      <c r="AT487" s="199"/>
      <c r="AU487" s="220" t="s">
        <v>3922</v>
      </c>
      <c r="AV487" s="195" t="s">
        <v>738</v>
      </c>
      <c r="AW487" s="195" t="str">
        <f ca="1">IFERROR(__xludf.DUMMYFUNCTION("IF(AND(IF(AS487=""Yes"",True,False),NOT(IFERROR(REGEXMATCH(AV487,ExclusionCategories),FALSE))),""Yes"", ""No"")"),"Yes")</f>
        <v>Yes</v>
      </c>
      <c r="AX487" s="195">
        <f ca="1">IFERROR(__xludf.DUMMYFUNCTION("IF(IFERROR(SEARCH(""Unclear"", Z487)) = 1, VALUE(REGEXEXTRACT(Z487,""\d+"")), Z487)"),22)</f>
        <v>22</v>
      </c>
      <c r="AY487" s="195">
        <v>22</v>
      </c>
      <c r="AZ487" s="195">
        <f ca="1">IFERROR(__xludf.DUMMYFUNCTION("IF(IFERROR(SEARCH(""Unclear"", AG487)) = 1, VALUE(REGEXEXTRACT(AG487,""\d+"")), AG487)"),22)</f>
        <v>22</v>
      </c>
      <c r="BA487" s="195">
        <v>22</v>
      </c>
      <c r="BB487" s="195">
        <f ca="1">IFERROR(__xludf.DUMMYFUNCTION("IF(IFERROR(SEARCH(""Unclear"", AJ487)) = 1, VALUE(REGEXEXTRACT(AJ487,""\d+"")), AJ487)"),17)</f>
        <v>17</v>
      </c>
      <c r="BC487" s="195">
        <v>17</v>
      </c>
      <c r="BD487" s="195" t="b">
        <f t="shared" si="2"/>
        <v>1</v>
      </c>
      <c r="BE487" s="195" t="b">
        <f t="shared" ref="BE487:BF487" si="509">IF(IFERROR(FIND("ND",AI487),0),FALSE,TRUE)</f>
        <v>1</v>
      </c>
      <c r="BF487" s="195" t="b">
        <f t="shared" si="509"/>
        <v>1</v>
      </c>
    </row>
    <row r="488" spans="1:58" ht="37.5" customHeight="1">
      <c r="A488" s="195" t="s">
        <v>3923</v>
      </c>
      <c r="B488" s="195">
        <v>2014</v>
      </c>
      <c r="C488" s="195" t="s">
        <v>668</v>
      </c>
      <c r="D488" s="4" t="s">
        <v>683</v>
      </c>
      <c r="E488" s="195">
        <v>24519873</v>
      </c>
      <c r="F488" s="224" t="s">
        <v>3924</v>
      </c>
      <c r="G488" s="213" t="str">
        <f t="shared" si="419"/>
        <v>Waddington 2014</v>
      </c>
      <c r="H488" s="195">
        <v>2011</v>
      </c>
      <c r="I488" s="199"/>
      <c r="J488" s="199"/>
      <c r="K488" s="195">
        <v>21</v>
      </c>
      <c r="L488" s="4" t="s">
        <v>3925</v>
      </c>
      <c r="M488" s="195">
        <v>17</v>
      </c>
      <c r="N488" s="195">
        <v>4</v>
      </c>
      <c r="O488" s="195" t="s">
        <v>324</v>
      </c>
      <c r="P488" s="195" t="s">
        <v>324</v>
      </c>
      <c r="Q488" s="195" t="s">
        <v>324</v>
      </c>
      <c r="R488" s="195">
        <v>18</v>
      </c>
      <c r="S488" s="195">
        <v>60</v>
      </c>
      <c r="T488" s="195">
        <v>29.8</v>
      </c>
      <c r="U488" s="195">
        <v>9.4</v>
      </c>
      <c r="V488" s="195" t="s">
        <v>3926</v>
      </c>
      <c r="W488" s="199"/>
      <c r="X488" s="195">
        <v>21</v>
      </c>
      <c r="Y488" s="195" t="s">
        <v>3927</v>
      </c>
      <c r="Z488" s="195">
        <v>11</v>
      </c>
      <c r="AA488" s="199"/>
      <c r="AB488" s="195">
        <v>0</v>
      </c>
      <c r="AC488" s="199"/>
      <c r="AD488" s="195" t="s">
        <v>322</v>
      </c>
      <c r="AE488" s="195" t="s">
        <v>2485</v>
      </c>
      <c r="AF488" s="195" t="s">
        <v>2192</v>
      </c>
      <c r="AG488" s="195" t="s">
        <v>892</v>
      </c>
      <c r="AH488" s="195" t="s">
        <v>308</v>
      </c>
      <c r="AI488" s="195">
        <v>0</v>
      </c>
      <c r="AJ488" s="195">
        <v>8</v>
      </c>
      <c r="AK488" s="195" t="s">
        <v>3928</v>
      </c>
      <c r="AL488" s="195" t="s">
        <v>322</v>
      </c>
      <c r="AM488" s="199"/>
      <c r="AN488" s="195" t="s">
        <v>3929</v>
      </c>
      <c r="AO488" s="195" t="s">
        <v>3930</v>
      </c>
      <c r="AP488" s="195" t="s">
        <v>3931</v>
      </c>
      <c r="AQ488" s="195" t="s">
        <v>3932</v>
      </c>
      <c r="AR488" s="220" t="s">
        <v>3359</v>
      </c>
      <c r="AS488" s="195" t="s">
        <v>316</v>
      </c>
      <c r="AT488" s="199"/>
      <c r="AU488" s="195" t="s">
        <v>3933</v>
      </c>
      <c r="AV488" s="195" t="s">
        <v>1447</v>
      </c>
      <c r="AW488" s="195" t="str">
        <f ca="1">IFERROR(__xludf.DUMMYFUNCTION("IF(AND(IF(AS488=""Yes"",True,False),NOT(IFERROR(REGEXMATCH(AV488,ExclusionCategories),FALSE))),""Yes"", ""No"")"),"No")</f>
        <v>No</v>
      </c>
      <c r="AX488" s="195">
        <f ca="1">IFERROR(__xludf.DUMMYFUNCTION("IF(IFERROR(SEARCH(""Unclear"", Z488)) = 1, VALUE(REGEXEXTRACT(Z488,""\d+"")), Z488)"),11)</f>
        <v>11</v>
      </c>
      <c r="AY488" s="195">
        <v>11</v>
      </c>
      <c r="AZ488" s="195">
        <f ca="1">IFERROR(__xludf.DUMMYFUNCTION("IF(IFERROR(SEARCH(""Unclear"", AG488)) = 1, VALUE(REGEXEXTRACT(AG488,""\d+"")), AG488)"),17)</f>
        <v>17</v>
      </c>
      <c r="BA488" s="195">
        <v>21</v>
      </c>
      <c r="BB488" s="195">
        <f ca="1">IFERROR(__xludf.DUMMYFUNCTION("IF(IFERROR(SEARCH(""Unclear"", AJ488)) = 1, VALUE(REGEXEXTRACT(AJ488,""\d+"")), AJ488)"),8)</f>
        <v>8</v>
      </c>
      <c r="BC488" s="195">
        <v>8</v>
      </c>
      <c r="BD488" s="195" t="b">
        <f t="shared" si="2"/>
        <v>1</v>
      </c>
      <c r="BE488" s="195" t="b">
        <f t="shared" ref="BE488:BF488" si="510">IF(IFERROR(FIND("ND",AI488),0),FALSE,TRUE)</f>
        <v>1</v>
      </c>
      <c r="BF488" s="195" t="b">
        <f t="shared" si="510"/>
        <v>1</v>
      </c>
    </row>
    <row r="489" spans="1:58" ht="37.5" customHeight="1">
      <c r="A489" s="195" t="s">
        <v>3923</v>
      </c>
      <c r="B489" s="195">
        <v>2014</v>
      </c>
      <c r="C489" s="195" t="s">
        <v>668</v>
      </c>
      <c r="D489" s="4" t="s">
        <v>683</v>
      </c>
      <c r="E489" s="195">
        <v>24519873</v>
      </c>
      <c r="F489" s="224" t="s">
        <v>3924</v>
      </c>
      <c r="G489" s="213" t="str">
        <f t="shared" si="419"/>
        <v>Waddington 2014</v>
      </c>
      <c r="H489" s="195">
        <v>2011</v>
      </c>
      <c r="I489" s="199"/>
      <c r="J489" s="199"/>
      <c r="K489" s="195">
        <v>20</v>
      </c>
      <c r="L489" s="4" t="s">
        <v>3934</v>
      </c>
      <c r="M489" s="195">
        <v>12</v>
      </c>
      <c r="N489" s="195">
        <v>8</v>
      </c>
      <c r="O489" s="195" t="s">
        <v>324</v>
      </c>
      <c r="P489" s="195" t="s">
        <v>324</v>
      </c>
      <c r="Q489" s="195" t="s">
        <v>324</v>
      </c>
      <c r="R489" s="195">
        <v>18</v>
      </c>
      <c r="S489" s="195">
        <v>60</v>
      </c>
      <c r="T489" s="195">
        <v>30.2</v>
      </c>
      <c r="U489" s="195">
        <v>8.8000000000000007</v>
      </c>
      <c r="V489" s="195" t="s">
        <v>3926</v>
      </c>
      <c r="W489" s="199"/>
      <c r="X489" s="195">
        <v>20</v>
      </c>
      <c r="Y489" s="199"/>
      <c r="Z489" s="195">
        <v>13</v>
      </c>
      <c r="AA489" s="199"/>
      <c r="AB489" s="195">
        <v>0</v>
      </c>
      <c r="AC489" s="199"/>
      <c r="AD489" s="195" t="s">
        <v>322</v>
      </c>
      <c r="AE489" s="195" t="s">
        <v>2485</v>
      </c>
      <c r="AF489" s="195" t="s">
        <v>2192</v>
      </c>
      <c r="AG489" s="195" t="s">
        <v>560</v>
      </c>
      <c r="AH489" s="195" t="s">
        <v>308</v>
      </c>
      <c r="AI489" s="195">
        <v>0</v>
      </c>
      <c r="AJ489" s="195">
        <v>10</v>
      </c>
      <c r="AK489" s="195" t="s">
        <v>3928</v>
      </c>
      <c r="AL489" s="195" t="s">
        <v>322</v>
      </c>
      <c r="AM489" s="199"/>
      <c r="AN489" s="195" t="s">
        <v>3929</v>
      </c>
      <c r="AO489" s="195" t="s">
        <v>3930</v>
      </c>
      <c r="AP489" s="195" t="s">
        <v>3931</v>
      </c>
      <c r="AQ489" s="195" t="s">
        <v>3932</v>
      </c>
      <c r="AR489" s="220" t="s">
        <v>3359</v>
      </c>
      <c r="AS489" s="195" t="s">
        <v>316</v>
      </c>
      <c r="AT489" s="199"/>
      <c r="AU489" s="195" t="s">
        <v>3933</v>
      </c>
      <c r="AV489" s="195" t="s">
        <v>1447</v>
      </c>
      <c r="AW489" s="195" t="str">
        <f ca="1">IFERROR(__xludf.DUMMYFUNCTION("IF(AND(IF(AS489=""Yes"",True,False),NOT(IFERROR(REGEXMATCH(AV489,ExclusionCategories),FALSE))),""Yes"", ""No"")"),"No")</f>
        <v>No</v>
      </c>
      <c r="AX489" s="195">
        <f ca="1">IFERROR(__xludf.DUMMYFUNCTION("IF(IFERROR(SEARCH(""Unclear"", Z489)) = 1, VALUE(REGEXEXTRACT(Z489,""\d+"")), Z489)"),13)</f>
        <v>13</v>
      </c>
      <c r="AY489" s="195">
        <v>13</v>
      </c>
      <c r="AZ489" s="195">
        <f ca="1">IFERROR(__xludf.DUMMYFUNCTION("IF(IFERROR(SEARCH(""Unclear"", AG489)) = 1, VALUE(REGEXEXTRACT(AG489,""\d+"")), AG489)"),18)</f>
        <v>18</v>
      </c>
      <c r="BA489" s="195">
        <v>20</v>
      </c>
      <c r="BB489" s="195">
        <f ca="1">IFERROR(__xludf.DUMMYFUNCTION("IF(IFERROR(SEARCH(""Unclear"", AJ489)) = 1, VALUE(REGEXEXTRACT(AJ489,""\d+"")), AJ489)"),10)</f>
        <v>10</v>
      </c>
      <c r="BC489" s="195">
        <v>10</v>
      </c>
      <c r="BD489" s="195" t="b">
        <f t="shared" si="2"/>
        <v>1</v>
      </c>
      <c r="BE489" s="195" t="b">
        <f t="shared" ref="BE489:BF489" si="511">IF(IFERROR(FIND("ND",AI489),0),FALSE,TRUE)</f>
        <v>1</v>
      </c>
      <c r="BF489" s="195" t="b">
        <f t="shared" si="511"/>
        <v>1</v>
      </c>
    </row>
    <row r="490" spans="1:58" ht="37.5" customHeight="1">
      <c r="A490" s="195" t="s">
        <v>3923</v>
      </c>
      <c r="B490" s="195">
        <v>2014</v>
      </c>
      <c r="C490" s="195" t="s">
        <v>668</v>
      </c>
      <c r="D490" s="4" t="s">
        <v>683</v>
      </c>
      <c r="E490" s="195">
        <v>24519873</v>
      </c>
      <c r="F490" s="224" t="s">
        <v>3924</v>
      </c>
      <c r="G490" s="213" t="str">
        <f t="shared" si="419"/>
        <v>Waddington 2014</v>
      </c>
      <c r="H490" s="195">
        <v>2011</v>
      </c>
      <c r="I490" s="199"/>
      <c r="J490" s="199"/>
      <c r="K490" s="195">
        <v>41</v>
      </c>
      <c r="L490" s="4" t="s">
        <v>846</v>
      </c>
      <c r="M490" s="195">
        <v>29</v>
      </c>
      <c r="N490" s="195">
        <v>12</v>
      </c>
      <c r="O490" s="195" t="s">
        <v>324</v>
      </c>
      <c r="P490" s="195" t="s">
        <v>324</v>
      </c>
      <c r="Q490" s="195" t="s">
        <v>324</v>
      </c>
      <c r="R490" s="195">
        <v>18</v>
      </c>
      <c r="S490" s="195">
        <v>60</v>
      </c>
      <c r="T490" s="195">
        <v>30</v>
      </c>
      <c r="U490" s="195">
        <v>9</v>
      </c>
      <c r="V490" s="195" t="s">
        <v>3926</v>
      </c>
      <c r="W490" s="199"/>
      <c r="X490" s="195">
        <v>41</v>
      </c>
      <c r="Y490" s="199"/>
      <c r="Z490" s="195">
        <v>24</v>
      </c>
      <c r="AA490" s="199"/>
      <c r="AB490" s="195">
        <v>0</v>
      </c>
      <c r="AC490" s="199"/>
      <c r="AD490" s="195" t="s">
        <v>322</v>
      </c>
      <c r="AE490" s="195" t="s">
        <v>2485</v>
      </c>
      <c r="AF490" s="195" t="s">
        <v>2192</v>
      </c>
      <c r="AG490" s="195" t="s">
        <v>3935</v>
      </c>
      <c r="AH490" s="195" t="s">
        <v>308</v>
      </c>
      <c r="AI490" s="195">
        <v>0</v>
      </c>
      <c r="AJ490" s="195">
        <v>18</v>
      </c>
      <c r="AK490" s="195" t="s">
        <v>3928</v>
      </c>
      <c r="AL490" s="195" t="s">
        <v>322</v>
      </c>
      <c r="AM490" s="199"/>
      <c r="AN490" s="195" t="s">
        <v>3929</v>
      </c>
      <c r="AO490" s="195" t="s">
        <v>3930</v>
      </c>
      <c r="AP490" s="195" t="s">
        <v>3931</v>
      </c>
      <c r="AQ490" s="195" t="s">
        <v>3932</v>
      </c>
      <c r="AR490" s="220" t="s">
        <v>3359</v>
      </c>
      <c r="AS490" s="195" t="s">
        <v>308</v>
      </c>
      <c r="AT490" s="199"/>
      <c r="AU490" s="195" t="s">
        <v>3933</v>
      </c>
      <c r="AV490" s="195" t="s">
        <v>1556</v>
      </c>
      <c r="AW490" s="195" t="str">
        <f ca="1">IFERROR(__xludf.DUMMYFUNCTION("IF(AND(IF(AS490=""Yes"",True,False),NOT(IFERROR(REGEXMATCH(AV490,ExclusionCategories),FALSE))),""Yes"", ""No"")"),"Yes")</f>
        <v>Yes</v>
      </c>
      <c r="AX490" s="195">
        <f ca="1">IFERROR(__xludf.DUMMYFUNCTION("IF(IFERROR(SEARCH(""Unclear"", Z490)) = 1, VALUE(REGEXEXTRACT(Z490,""\d+"")), Z490)"),24)</f>
        <v>24</v>
      </c>
      <c r="AY490" s="195">
        <v>24</v>
      </c>
      <c r="AZ490" s="195">
        <f ca="1">IFERROR(__xludf.DUMMYFUNCTION("IF(IFERROR(SEARCH(""Unclear"", AG490)) = 1, VALUE(REGEXEXTRACT(AG490,""\d+"")), AG490)"),35)</f>
        <v>35</v>
      </c>
      <c r="BA490" s="195">
        <v>41</v>
      </c>
      <c r="BB490" s="195">
        <f ca="1">IFERROR(__xludf.DUMMYFUNCTION("IF(IFERROR(SEARCH(""Unclear"", AJ490)) = 1, VALUE(REGEXEXTRACT(AJ490,""\d+"")), AJ490)"),18)</f>
        <v>18</v>
      </c>
      <c r="BC490" s="195">
        <v>18</v>
      </c>
      <c r="BD490" s="195" t="b">
        <f t="shared" si="2"/>
        <v>1</v>
      </c>
      <c r="BE490" s="195" t="b">
        <f t="shared" ref="BE490:BF490" si="512">IF(IFERROR(FIND("ND",AI490),0),FALSE,TRUE)</f>
        <v>1</v>
      </c>
      <c r="BF490" s="195" t="b">
        <f t="shared" si="512"/>
        <v>1</v>
      </c>
    </row>
    <row r="491" spans="1:58" ht="37.5" customHeight="1">
      <c r="A491" s="195" t="s">
        <v>3936</v>
      </c>
      <c r="B491" s="195">
        <v>2012</v>
      </c>
      <c r="C491" s="195" t="s">
        <v>457</v>
      </c>
      <c r="D491" s="4" t="s">
        <v>3937</v>
      </c>
      <c r="E491" s="195">
        <v>22286307</v>
      </c>
      <c r="F491" s="264" t="s">
        <v>3938</v>
      </c>
      <c r="G491" s="213" t="str">
        <f t="shared" si="419"/>
        <v>Wilkinson 2012</v>
      </c>
      <c r="H491" s="217">
        <v>2012</v>
      </c>
      <c r="I491" s="199"/>
      <c r="J491" s="199"/>
      <c r="K491" s="195">
        <v>17</v>
      </c>
      <c r="L491" s="4" t="s">
        <v>3939</v>
      </c>
      <c r="M491" s="195">
        <v>9</v>
      </c>
      <c r="N491" s="195">
        <v>8</v>
      </c>
      <c r="O491" s="195">
        <v>26.5</v>
      </c>
      <c r="P491" s="195">
        <v>22</v>
      </c>
      <c r="Q491" s="195">
        <v>41</v>
      </c>
      <c r="R491" s="195">
        <v>18</v>
      </c>
      <c r="S491" s="195">
        <v>45</v>
      </c>
      <c r="T491" s="195" t="s">
        <v>324</v>
      </c>
      <c r="U491" s="195" t="s">
        <v>324</v>
      </c>
      <c r="V491" s="195" t="s">
        <v>3940</v>
      </c>
      <c r="W491" s="199"/>
      <c r="X491" s="195">
        <v>17</v>
      </c>
      <c r="Y491" s="199"/>
      <c r="Z491" s="195">
        <v>14</v>
      </c>
      <c r="AA491" s="195" t="s">
        <v>3941</v>
      </c>
      <c r="AB491" s="195">
        <v>0</v>
      </c>
      <c r="AC491" s="199"/>
      <c r="AD491" s="195" t="s">
        <v>322</v>
      </c>
      <c r="AE491" s="195" t="s">
        <v>3942</v>
      </c>
      <c r="AF491" s="195" t="s">
        <v>3943</v>
      </c>
      <c r="AG491" s="195">
        <v>11</v>
      </c>
      <c r="AH491" s="195" t="s">
        <v>308</v>
      </c>
      <c r="AI491" s="195">
        <v>0</v>
      </c>
      <c r="AJ491" s="195" t="s">
        <v>324</v>
      </c>
      <c r="AK491" s="195" t="s">
        <v>499</v>
      </c>
      <c r="AL491" s="195" t="s">
        <v>322</v>
      </c>
      <c r="AM491" s="199"/>
      <c r="AN491" s="195" t="s">
        <v>332</v>
      </c>
      <c r="AO491" s="195" t="s">
        <v>3944</v>
      </c>
      <c r="AP491" s="195" t="s">
        <v>3945</v>
      </c>
      <c r="AQ491" s="195" t="s">
        <v>3946</v>
      </c>
      <c r="AR491" s="220" t="s">
        <v>3359</v>
      </c>
      <c r="AS491" s="195" t="s">
        <v>316</v>
      </c>
      <c r="AT491" s="199"/>
      <c r="AU491" s="220" t="s">
        <v>3947</v>
      </c>
      <c r="AV491" s="195" t="s">
        <v>1447</v>
      </c>
      <c r="AW491" s="195" t="str">
        <f ca="1">IFERROR(__xludf.DUMMYFUNCTION("IF(AND(IF(AS491=""Yes"",True,False),NOT(IFERROR(REGEXMATCH(AV491,ExclusionCategories),FALSE))),""Yes"", ""No"")"),"No")</f>
        <v>No</v>
      </c>
      <c r="AX491" s="195">
        <f ca="1">IFERROR(__xludf.DUMMYFUNCTION("IF(IFERROR(SEARCH(""Unclear"", Z491)) = 1, VALUE(REGEXEXTRACT(Z491,""\d+"")), Z491)"),14)</f>
        <v>14</v>
      </c>
      <c r="AY491" s="195">
        <v>14</v>
      </c>
      <c r="AZ491" s="195">
        <f ca="1">IFERROR(__xludf.DUMMYFUNCTION("IF(IFERROR(SEARCH(""Unclear"", AG491)) = 1, VALUE(REGEXEXTRACT(AG491,""\d+"")), AG491)"),11)</f>
        <v>11</v>
      </c>
      <c r="BA491" s="195">
        <v>11</v>
      </c>
      <c r="BB491" s="195" t="str">
        <f ca="1">IFERROR(__xludf.DUMMYFUNCTION("IF(IFERROR(SEARCH(""Unclear"", AJ491)) = 1, VALUE(REGEXEXTRACT(AJ491,""\d+"")), AJ491)"),"ND")</f>
        <v>ND</v>
      </c>
      <c r="BC491" s="195" t="s">
        <v>324</v>
      </c>
      <c r="BD491" s="195" t="b">
        <f t="shared" si="2"/>
        <v>1</v>
      </c>
      <c r="BE491" s="195" t="b">
        <f t="shared" ref="BE491:BF491" si="513">IF(IFERROR(FIND("ND",AI491),0),FALSE,TRUE)</f>
        <v>1</v>
      </c>
      <c r="BF491" s="195" t="b">
        <f t="shared" si="513"/>
        <v>0</v>
      </c>
    </row>
    <row r="492" spans="1:58" ht="37.5" customHeight="1">
      <c r="A492" s="195" t="s">
        <v>3936</v>
      </c>
      <c r="B492" s="195">
        <v>2012</v>
      </c>
      <c r="C492" s="195" t="s">
        <v>457</v>
      </c>
      <c r="D492" s="4" t="s">
        <v>3948</v>
      </c>
      <c r="E492" s="195">
        <v>22286307</v>
      </c>
      <c r="F492" s="264" t="s">
        <v>3938</v>
      </c>
      <c r="G492" s="213" t="str">
        <f t="shared" si="419"/>
        <v>Wilkinson 2012</v>
      </c>
      <c r="H492" s="217">
        <v>2012</v>
      </c>
      <c r="I492" s="199"/>
      <c r="J492" s="199"/>
      <c r="K492" s="195">
        <v>24</v>
      </c>
      <c r="L492" s="4" t="s">
        <v>3949</v>
      </c>
      <c r="M492" s="195">
        <v>17</v>
      </c>
      <c r="N492" s="195">
        <v>7</v>
      </c>
      <c r="O492" s="195">
        <v>24</v>
      </c>
      <c r="P492" s="195">
        <v>19</v>
      </c>
      <c r="Q492" s="195">
        <v>35</v>
      </c>
      <c r="R492" s="195">
        <v>18</v>
      </c>
      <c r="S492" s="195">
        <v>45</v>
      </c>
      <c r="T492" s="195" t="s">
        <v>324</v>
      </c>
      <c r="U492" s="195" t="s">
        <v>324</v>
      </c>
      <c r="V492" s="195" t="s">
        <v>3940</v>
      </c>
      <c r="W492" s="199"/>
      <c r="X492" s="195">
        <v>24</v>
      </c>
      <c r="Y492" s="199"/>
      <c r="Z492" s="195">
        <v>9</v>
      </c>
      <c r="AA492" s="195" t="s">
        <v>3950</v>
      </c>
      <c r="AB492" s="195">
        <v>0</v>
      </c>
      <c r="AC492" s="199"/>
      <c r="AD492" s="195" t="s">
        <v>322</v>
      </c>
      <c r="AE492" s="195" t="s">
        <v>3942</v>
      </c>
      <c r="AF492" s="195" t="s">
        <v>3943</v>
      </c>
      <c r="AG492" s="195">
        <v>8</v>
      </c>
      <c r="AH492" s="195" t="s">
        <v>308</v>
      </c>
      <c r="AI492" s="195">
        <v>0</v>
      </c>
      <c r="AJ492" s="195" t="s">
        <v>324</v>
      </c>
      <c r="AK492" s="195" t="s">
        <v>499</v>
      </c>
      <c r="AL492" s="195" t="s">
        <v>322</v>
      </c>
      <c r="AM492" s="199"/>
      <c r="AN492" s="195" t="s">
        <v>332</v>
      </c>
      <c r="AO492" s="195" t="s">
        <v>3944</v>
      </c>
      <c r="AP492" s="195" t="s">
        <v>3945</v>
      </c>
      <c r="AQ492" s="195" t="s">
        <v>3946</v>
      </c>
      <c r="AR492" s="220" t="s">
        <v>3359</v>
      </c>
      <c r="AS492" s="195" t="s">
        <v>316</v>
      </c>
      <c r="AT492" s="199"/>
      <c r="AU492" s="220" t="s">
        <v>3947</v>
      </c>
      <c r="AV492" s="195" t="s">
        <v>1447</v>
      </c>
      <c r="AW492" s="195" t="str">
        <f ca="1">IFERROR(__xludf.DUMMYFUNCTION("IF(AND(IF(AS492=""Yes"",True,False),NOT(IFERROR(REGEXMATCH(AV492,ExclusionCategories),FALSE))),""Yes"", ""No"")"),"No")</f>
        <v>No</v>
      </c>
      <c r="AX492" s="195">
        <f ca="1">IFERROR(__xludf.DUMMYFUNCTION("IF(IFERROR(SEARCH(""Unclear"", Z492)) = 1, VALUE(REGEXEXTRACT(Z492,""\d+"")), Z492)"),9)</f>
        <v>9</v>
      </c>
      <c r="AY492" s="195">
        <v>9</v>
      </c>
      <c r="AZ492" s="195">
        <f ca="1">IFERROR(__xludf.DUMMYFUNCTION("IF(IFERROR(SEARCH(""Unclear"", AG492)) = 1, VALUE(REGEXEXTRACT(AG492,""\d+"")), AG492)"),8)</f>
        <v>8</v>
      </c>
      <c r="BA492" s="195">
        <v>8</v>
      </c>
      <c r="BB492" s="195" t="str">
        <f ca="1">IFERROR(__xludf.DUMMYFUNCTION("IF(IFERROR(SEARCH(""Unclear"", AJ492)) = 1, VALUE(REGEXEXTRACT(AJ492,""\d+"")), AJ492)"),"ND")</f>
        <v>ND</v>
      </c>
      <c r="BC492" s="195" t="s">
        <v>324</v>
      </c>
      <c r="BD492" s="195" t="b">
        <f t="shared" si="2"/>
        <v>1</v>
      </c>
      <c r="BE492" s="195" t="b">
        <f t="shared" ref="BE492:BF492" si="514">IF(IFERROR(FIND("ND",AI492),0),FALSE,TRUE)</f>
        <v>1</v>
      </c>
      <c r="BF492" s="195" t="b">
        <f t="shared" si="514"/>
        <v>0</v>
      </c>
    </row>
    <row r="493" spans="1:58" ht="37.5" customHeight="1">
      <c r="A493" s="195" t="s">
        <v>3936</v>
      </c>
      <c r="B493" s="195">
        <v>2012</v>
      </c>
      <c r="C493" s="195" t="s">
        <v>457</v>
      </c>
      <c r="D493" s="4" t="s">
        <v>3951</v>
      </c>
      <c r="E493" s="195">
        <v>22286307</v>
      </c>
      <c r="F493" s="264" t="s">
        <v>3938</v>
      </c>
      <c r="G493" s="213" t="str">
        <f t="shared" si="419"/>
        <v>Wilkinson 2012</v>
      </c>
      <c r="H493" s="217">
        <v>2012</v>
      </c>
      <c r="I493" s="199"/>
      <c r="J493" s="199"/>
      <c r="K493" s="195">
        <v>41</v>
      </c>
      <c r="L493" s="4" t="s">
        <v>846</v>
      </c>
      <c r="M493" s="195">
        <v>26</v>
      </c>
      <c r="N493" s="195">
        <v>15</v>
      </c>
      <c r="O493" s="195" t="s">
        <v>3742</v>
      </c>
      <c r="P493" s="195">
        <v>19</v>
      </c>
      <c r="Q493" s="195">
        <v>41</v>
      </c>
      <c r="R493" s="195">
        <v>18</v>
      </c>
      <c r="S493" s="195">
        <v>45</v>
      </c>
      <c r="T493" s="195" t="s">
        <v>324</v>
      </c>
      <c r="U493" s="195" t="s">
        <v>324</v>
      </c>
      <c r="V493" s="195" t="s">
        <v>3940</v>
      </c>
      <c r="W493" s="199"/>
      <c r="X493" s="195">
        <v>41</v>
      </c>
      <c r="Y493" s="199"/>
      <c r="Z493" s="195">
        <v>23</v>
      </c>
      <c r="AA493" s="195"/>
      <c r="AB493" s="195">
        <v>0</v>
      </c>
      <c r="AC493" s="199"/>
      <c r="AD493" s="195" t="s">
        <v>322</v>
      </c>
      <c r="AE493" s="195" t="s">
        <v>3942</v>
      </c>
      <c r="AF493" s="195" t="s">
        <v>3943</v>
      </c>
      <c r="AG493" s="195">
        <v>19</v>
      </c>
      <c r="AH493" s="195" t="s">
        <v>308</v>
      </c>
      <c r="AI493" s="195">
        <v>0</v>
      </c>
      <c r="AJ493" s="195" t="s">
        <v>324</v>
      </c>
      <c r="AK493" s="195" t="s">
        <v>499</v>
      </c>
      <c r="AL493" s="195" t="s">
        <v>322</v>
      </c>
      <c r="AM493" s="199"/>
      <c r="AN493" s="195" t="s">
        <v>332</v>
      </c>
      <c r="AO493" s="195" t="s">
        <v>3944</v>
      </c>
      <c r="AP493" s="195" t="s">
        <v>3945</v>
      </c>
      <c r="AQ493" s="195" t="s">
        <v>3946</v>
      </c>
      <c r="AR493" s="220" t="s">
        <v>3359</v>
      </c>
      <c r="AS493" s="195" t="s">
        <v>308</v>
      </c>
      <c r="AT493" s="199"/>
      <c r="AU493" s="220" t="s">
        <v>3947</v>
      </c>
      <c r="AV493" s="195" t="s">
        <v>1556</v>
      </c>
      <c r="AW493" s="195" t="str">
        <f ca="1">IFERROR(__xludf.DUMMYFUNCTION("IF(AND(IF(AS493=""Yes"",True,False),NOT(IFERROR(REGEXMATCH(AV493,ExclusionCategories),FALSE))),""Yes"", ""No"")"),"Yes")</f>
        <v>Yes</v>
      </c>
      <c r="AX493" s="195">
        <f ca="1">IFERROR(__xludf.DUMMYFUNCTION("IF(IFERROR(SEARCH(""Unclear"", Z493)) = 1, VALUE(REGEXEXTRACT(Z493,""\d+"")), Z493)"),23)</f>
        <v>23</v>
      </c>
      <c r="AY493" s="195">
        <v>23</v>
      </c>
      <c r="AZ493" s="195">
        <f ca="1">IFERROR(__xludf.DUMMYFUNCTION("IF(IFERROR(SEARCH(""Unclear"", AG493)) = 1, VALUE(REGEXEXTRACT(AG493,""\d+"")), AG493)"),19)</f>
        <v>19</v>
      </c>
      <c r="BA493" s="195">
        <v>19</v>
      </c>
      <c r="BB493" s="195" t="str">
        <f ca="1">IFERROR(__xludf.DUMMYFUNCTION("IF(IFERROR(SEARCH(""Unclear"", AJ493)) = 1, VALUE(REGEXEXTRACT(AJ493,""\d+"")), AJ493)"),"ND")</f>
        <v>ND</v>
      </c>
      <c r="BC493" s="195" t="s">
        <v>324</v>
      </c>
      <c r="BD493" s="195" t="b">
        <f t="shared" si="2"/>
        <v>1</v>
      </c>
      <c r="BE493" s="195" t="b">
        <f t="shared" ref="BE493:BF493" si="515">IF(IFERROR(FIND("ND",AI493),0),FALSE,TRUE)</f>
        <v>1</v>
      </c>
      <c r="BF493" s="195" t="b">
        <f t="shared" si="515"/>
        <v>0</v>
      </c>
    </row>
    <row r="494" spans="1:58" ht="37.5" customHeight="1">
      <c r="A494" s="195" t="s">
        <v>3952</v>
      </c>
      <c r="B494" s="195">
        <v>2013</v>
      </c>
      <c r="C494" s="195" t="s">
        <v>3953</v>
      </c>
      <c r="D494" s="4" t="s">
        <v>3954</v>
      </c>
      <c r="E494" s="195">
        <v>23715660</v>
      </c>
      <c r="F494" s="264" t="s">
        <v>3955</v>
      </c>
      <c r="G494" s="213" t="str">
        <f t="shared" si="419"/>
        <v>Winokur 2013</v>
      </c>
      <c r="H494" s="195">
        <v>2012</v>
      </c>
      <c r="I494" s="199"/>
      <c r="J494" s="199"/>
      <c r="K494" s="195">
        <v>15</v>
      </c>
      <c r="L494" s="10"/>
      <c r="M494" s="195">
        <v>9</v>
      </c>
      <c r="N494" s="195">
        <v>6</v>
      </c>
      <c r="O494" s="195" t="s">
        <v>324</v>
      </c>
      <c r="P494" s="195">
        <v>21</v>
      </c>
      <c r="Q494" s="195">
        <v>34</v>
      </c>
      <c r="R494" s="195">
        <v>18</v>
      </c>
      <c r="S494" s="195">
        <v>40</v>
      </c>
      <c r="T494" s="195">
        <v>27</v>
      </c>
      <c r="U494" s="195" t="s">
        <v>324</v>
      </c>
      <c r="V494" s="195" t="s">
        <v>3956</v>
      </c>
      <c r="W494" s="199"/>
      <c r="X494" s="195">
        <v>15</v>
      </c>
      <c r="Y494" s="199"/>
      <c r="Z494" s="195">
        <v>9</v>
      </c>
      <c r="AA494" s="195"/>
      <c r="AB494" s="195">
        <v>0</v>
      </c>
      <c r="AC494" s="199"/>
      <c r="AD494" s="195" t="s">
        <v>322</v>
      </c>
      <c r="AE494" s="195" t="s">
        <v>3957</v>
      </c>
      <c r="AF494" s="199"/>
      <c r="AG494" s="195" t="s">
        <v>1059</v>
      </c>
      <c r="AH494" s="195" t="s">
        <v>308</v>
      </c>
      <c r="AI494" s="195" t="s">
        <v>324</v>
      </c>
      <c r="AJ494" s="195">
        <v>0</v>
      </c>
      <c r="AK494" s="195" t="s">
        <v>3958</v>
      </c>
      <c r="AL494" s="195" t="s">
        <v>322</v>
      </c>
      <c r="AM494" s="199"/>
      <c r="AN494" s="195" t="s">
        <v>3959</v>
      </c>
      <c r="AO494" s="195" t="s">
        <v>3960</v>
      </c>
      <c r="AP494" s="195" t="s">
        <v>3961</v>
      </c>
      <c r="AQ494" s="195" t="s">
        <v>3962</v>
      </c>
      <c r="AR494" s="220" t="s">
        <v>3359</v>
      </c>
      <c r="AS494" s="195" t="s">
        <v>308</v>
      </c>
      <c r="AT494" s="199"/>
      <c r="AU494" s="195" t="s">
        <v>3963</v>
      </c>
      <c r="AV494" s="195" t="s">
        <v>9</v>
      </c>
      <c r="AW494" s="195" t="str">
        <f ca="1">IFERROR(__xludf.DUMMYFUNCTION("IF(AND(IF(AS494=""Yes"",True,False),NOT(IFERROR(REGEXMATCH(AV494,ExclusionCategories),FALSE))),""Yes"", ""No"")"),"Yes")</f>
        <v>Yes</v>
      </c>
      <c r="AX494" s="195">
        <f ca="1">IFERROR(__xludf.DUMMYFUNCTION("IF(IFERROR(SEARCH(""Unclear"", Z494)) = 1, VALUE(REGEXEXTRACT(Z494,""\d+"")), Z494)"),9)</f>
        <v>9</v>
      </c>
      <c r="AY494" s="195">
        <v>9</v>
      </c>
      <c r="AZ494" s="195">
        <f ca="1">IFERROR(__xludf.DUMMYFUNCTION("IF(IFERROR(SEARCH(""Unclear"", AG494)) = 1, VALUE(REGEXEXTRACT(AG494,""\d+"")), AG494)"),10)</f>
        <v>10</v>
      </c>
      <c r="BA494" s="195">
        <v>15</v>
      </c>
      <c r="BB494" s="195">
        <f ca="1">IFERROR(__xludf.DUMMYFUNCTION("IF(IFERROR(SEARCH(""Unclear"", AJ494)) = 1, VALUE(REGEXEXTRACT(AJ494,""\d+"")), AJ494)"),0)</f>
        <v>0</v>
      </c>
      <c r="BC494" s="195">
        <v>0</v>
      </c>
      <c r="BD494" s="195" t="b">
        <f t="shared" si="2"/>
        <v>1</v>
      </c>
      <c r="BE494" s="195" t="b">
        <f t="shared" ref="BE494:BF494" si="516">IF(IFERROR(FIND("ND",AI494),0),FALSE,TRUE)</f>
        <v>0</v>
      </c>
      <c r="BF494" s="195" t="b">
        <f t="shared" si="516"/>
        <v>1</v>
      </c>
    </row>
    <row r="495" spans="1:58" ht="37.5" customHeight="1">
      <c r="A495" s="195" t="s">
        <v>3964</v>
      </c>
      <c r="B495" s="195">
        <v>2012</v>
      </c>
      <c r="C495" s="195" t="s">
        <v>520</v>
      </c>
      <c r="D495" s="4" t="s">
        <v>3965</v>
      </c>
      <c r="E495" s="195">
        <v>22496648</v>
      </c>
      <c r="F495" s="264" t="s">
        <v>3966</v>
      </c>
      <c r="G495" s="213" t="str">
        <f t="shared" si="419"/>
        <v>Wright 2012</v>
      </c>
      <c r="H495" s="195">
        <v>2011</v>
      </c>
      <c r="I495" s="199"/>
      <c r="J495" s="199"/>
      <c r="K495" s="195" t="s">
        <v>3967</v>
      </c>
      <c r="L495" s="4" t="s">
        <v>3968</v>
      </c>
      <c r="M495" s="195">
        <v>8</v>
      </c>
      <c r="N495" s="195">
        <v>11</v>
      </c>
      <c r="O495" s="195" t="s">
        <v>324</v>
      </c>
      <c r="P495" s="195" t="s">
        <v>324</v>
      </c>
      <c r="Q495" s="195" t="s">
        <v>324</v>
      </c>
      <c r="R495" s="195">
        <v>18</v>
      </c>
      <c r="S495" s="195">
        <v>60</v>
      </c>
      <c r="T495" s="195">
        <v>27.5</v>
      </c>
      <c r="U495" s="195" t="s">
        <v>365</v>
      </c>
      <c r="V495" s="195" t="s">
        <v>3969</v>
      </c>
      <c r="W495" s="195" t="s">
        <v>3970</v>
      </c>
      <c r="X495" s="195">
        <v>20</v>
      </c>
      <c r="Y495" s="199"/>
      <c r="Z495" s="195">
        <v>1</v>
      </c>
      <c r="AA495" s="199"/>
      <c r="AB495" s="195">
        <v>0</v>
      </c>
      <c r="AC495" s="199"/>
      <c r="AD495" s="195" t="s">
        <v>322</v>
      </c>
      <c r="AE495" s="195" t="s">
        <v>3971</v>
      </c>
      <c r="AF495" s="195"/>
      <c r="AG495" s="195">
        <v>0</v>
      </c>
      <c r="AH495" s="195" t="s">
        <v>316</v>
      </c>
      <c r="AI495" s="195">
        <v>0</v>
      </c>
      <c r="AJ495" s="195">
        <v>0</v>
      </c>
      <c r="AK495" s="195" t="s">
        <v>3972</v>
      </c>
      <c r="AL495" s="195" t="s">
        <v>322</v>
      </c>
      <c r="AM495" s="199"/>
      <c r="AN495" s="195" t="s">
        <v>332</v>
      </c>
      <c r="AO495" s="195" t="s">
        <v>3973</v>
      </c>
      <c r="AP495" s="195" t="s">
        <v>3974</v>
      </c>
      <c r="AQ495" s="195" t="s">
        <v>324</v>
      </c>
      <c r="AR495" s="220" t="s">
        <v>3359</v>
      </c>
      <c r="AS495" s="195" t="s">
        <v>308</v>
      </c>
      <c r="AT495" s="199"/>
      <c r="AU495" s="195" t="s">
        <v>3975</v>
      </c>
      <c r="AV495" s="195" t="s">
        <v>9</v>
      </c>
      <c r="AW495" s="195" t="str">
        <f ca="1">IFERROR(__xludf.DUMMYFUNCTION("IF(AND(IF(AS495=""Yes"",True,False),NOT(IFERROR(REGEXMATCH(AV495,ExclusionCategories),FALSE))),""Yes"", ""No"")"),"Yes")</f>
        <v>Yes</v>
      </c>
      <c r="AX495" s="195">
        <f ca="1">IFERROR(__xludf.DUMMYFUNCTION("IF(IFERROR(SEARCH(""Unclear"", Z495)) = 1, VALUE(REGEXEXTRACT(Z495,""\d+"")), Z495)"),1)</f>
        <v>1</v>
      </c>
      <c r="AY495" s="195">
        <v>1</v>
      </c>
      <c r="AZ495" s="195">
        <f ca="1">IFERROR(__xludf.DUMMYFUNCTION("IF(IFERROR(SEARCH(""Unclear"", AG495)) = 1, VALUE(REGEXEXTRACT(AG495,""\d+"")), AG495)"),0)</f>
        <v>0</v>
      </c>
      <c r="BA495" s="195">
        <v>0</v>
      </c>
      <c r="BB495" s="195">
        <f ca="1">IFERROR(__xludf.DUMMYFUNCTION("IF(IFERROR(SEARCH(""Unclear"", AJ495)) = 1, VALUE(REGEXEXTRACT(AJ495,""\d+"")), AJ495)"),0)</f>
        <v>0</v>
      </c>
      <c r="BC495" s="195">
        <v>0</v>
      </c>
      <c r="BD495" s="195" t="b">
        <f t="shared" si="2"/>
        <v>1</v>
      </c>
      <c r="BE495" s="195" t="b">
        <f t="shared" ref="BE495:BF495" si="517">IF(IFERROR(FIND("ND",AI495),0),FALSE,TRUE)</f>
        <v>1</v>
      </c>
      <c r="BF495" s="195" t="b">
        <f t="shared" si="517"/>
        <v>1</v>
      </c>
    </row>
    <row r="496" spans="1:58" ht="37.5" customHeight="1">
      <c r="A496" s="195" t="s">
        <v>3976</v>
      </c>
      <c r="B496" s="195">
        <v>2014</v>
      </c>
      <c r="C496" s="195" t="s">
        <v>441</v>
      </c>
      <c r="D496" s="4" t="s">
        <v>1529</v>
      </c>
      <c r="E496" s="195">
        <v>24457412</v>
      </c>
      <c r="F496" s="264" t="s">
        <v>3977</v>
      </c>
      <c r="G496" s="213" t="str">
        <f t="shared" si="419"/>
        <v>Zhu 2014</v>
      </c>
      <c r="H496" s="217">
        <v>2013</v>
      </c>
      <c r="I496" s="199"/>
      <c r="J496" s="199"/>
      <c r="K496" s="195">
        <v>25</v>
      </c>
      <c r="L496" s="4" t="s">
        <v>3978</v>
      </c>
      <c r="M496" s="195">
        <v>10</v>
      </c>
      <c r="N496" s="195">
        <v>15</v>
      </c>
      <c r="O496" s="195" t="s">
        <v>324</v>
      </c>
      <c r="P496" s="195" t="s">
        <v>324</v>
      </c>
      <c r="Q496" s="195" t="s">
        <v>324</v>
      </c>
      <c r="R496" s="195" t="s">
        <v>324</v>
      </c>
      <c r="S496" s="195" t="s">
        <v>324</v>
      </c>
      <c r="T496" s="195" t="s">
        <v>3979</v>
      </c>
      <c r="U496" s="195" t="s">
        <v>3980</v>
      </c>
      <c r="V496" s="195" t="s">
        <v>3981</v>
      </c>
      <c r="W496" s="195" t="s">
        <v>3982</v>
      </c>
      <c r="X496" s="195">
        <v>25</v>
      </c>
      <c r="Y496" s="199"/>
      <c r="Z496" s="195">
        <v>25</v>
      </c>
      <c r="AA496" s="199"/>
      <c r="AB496" s="195">
        <v>0</v>
      </c>
      <c r="AC496" s="199"/>
      <c r="AD496" s="195" t="s">
        <v>322</v>
      </c>
      <c r="AE496" s="195" t="s">
        <v>332</v>
      </c>
      <c r="AF496" s="195" t="s">
        <v>1472</v>
      </c>
      <c r="AG496" s="195" t="s">
        <v>324</v>
      </c>
      <c r="AH496" s="195" t="s">
        <v>316</v>
      </c>
      <c r="AI496" s="195" t="s">
        <v>324</v>
      </c>
      <c r="AJ496" s="195" t="s">
        <v>324</v>
      </c>
      <c r="AK496" s="199"/>
      <c r="AL496" s="195" t="s">
        <v>322</v>
      </c>
      <c r="AM496" s="199"/>
      <c r="AN496" s="195" t="s">
        <v>332</v>
      </c>
      <c r="AO496" s="195" t="s">
        <v>324</v>
      </c>
      <c r="AP496" s="195" t="s">
        <v>3983</v>
      </c>
      <c r="AQ496" s="195" t="s">
        <v>324</v>
      </c>
      <c r="AR496" s="220" t="s">
        <v>3359</v>
      </c>
      <c r="AS496" s="195" t="s">
        <v>316</v>
      </c>
      <c r="AT496" s="199"/>
      <c r="AU496" s="195" t="s">
        <v>3984</v>
      </c>
      <c r="AV496" s="195" t="s">
        <v>6</v>
      </c>
      <c r="AW496" s="195" t="str">
        <f ca="1">IFERROR(__xludf.DUMMYFUNCTION("IF(AND(IF(AS496=""Yes"",True,False),NOT(IFERROR(REGEXMATCH(AV496,ExclusionCategories),FALSE))),""Yes"", ""No"")"),"No")</f>
        <v>No</v>
      </c>
      <c r="AX496" s="195">
        <f ca="1">IFERROR(__xludf.DUMMYFUNCTION("IF(IFERROR(SEARCH(""Unclear"", Z496)) = 1, VALUE(REGEXEXTRACT(Z496,""\d+"")), Z496)"),25)</f>
        <v>25</v>
      </c>
      <c r="AY496" s="195">
        <v>25</v>
      </c>
      <c r="AZ496" s="195" t="str">
        <f ca="1">IFERROR(__xludf.DUMMYFUNCTION("IF(IFERROR(SEARCH(""Unclear"", AG496)) = 1, VALUE(REGEXEXTRACT(AG496,""\d+"")), AG496)"),"ND")</f>
        <v>ND</v>
      </c>
      <c r="BA496" s="195" t="s">
        <v>324</v>
      </c>
      <c r="BB496" s="195" t="str">
        <f ca="1">IFERROR(__xludf.DUMMYFUNCTION("IF(IFERROR(SEARCH(""Unclear"", AJ496)) = 1, VALUE(REGEXEXTRACT(AJ496,""\d+"")), AJ496)"),"ND")</f>
        <v>ND</v>
      </c>
      <c r="BC496" s="195" t="s">
        <v>324</v>
      </c>
      <c r="BD496" s="195" t="b">
        <f t="shared" si="2"/>
        <v>0</v>
      </c>
      <c r="BE496" s="195" t="b">
        <f t="shared" ref="BE496:BF496" si="518">IF(IFERROR(FIND("ND",AI496),0),FALSE,TRUE)</f>
        <v>0</v>
      </c>
      <c r="BF496" s="195" t="b">
        <f t="shared" si="518"/>
        <v>0</v>
      </c>
    </row>
    <row r="497" spans="3:58" ht="12.75">
      <c r="C497" s="10"/>
      <c r="D497" s="10"/>
      <c r="E497" s="266"/>
      <c r="F497" s="267"/>
      <c r="G497" s="10"/>
      <c r="H497" s="45"/>
      <c r="J497" s="10"/>
      <c r="K497" s="45"/>
      <c r="L497" s="10"/>
      <c r="V497" s="10"/>
      <c r="AB497" s="45"/>
      <c r="AN497" s="10"/>
      <c r="AO497" s="10"/>
      <c r="AP497" s="10"/>
      <c r="AQ497" s="10"/>
      <c r="AR497" s="92"/>
      <c r="AS497" s="45"/>
      <c r="AT497" s="45"/>
      <c r="AV497" s="10"/>
      <c r="AW497" s="45"/>
      <c r="AX497" s="195"/>
      <c r="AY497" s="195"/>
      <c r="AZ497" s="195"/>
      <c r="BA497" s="195"/>
      <c r="BB497" s="195"/>
      <c r="BC497" s="195"/>
      <c r="BD497" s="195"/>
      <c r="BE497" s="195"/>
      <c r="BF497" s="195"/>
    </row>
    <row r="498" spans="3:58" ht="12.75">
      <c r="C498" s="10"/>
      <c r="D498" s="10"/>
      <c r="E498" s="266"/>
      <c r="F498" s="267"/>
      <c r="G498" s="10"/>
      <c r="H498" s="45"/>
      <c r="J498" s="10"/>
      <c r="K498" s="45"/>
      <c r="L498" s="10"/>
      <c r="V498" s="10"/>
      <c r="AB498" s="45"/>
      <c r="AN498" s="10"/>
      <c r="AO498" s="10"/>
      <c r="AP498" s="10"/>
      <c r="AQ498" s="10"/>
      <c r="AR498" s="92"/>
      <c r="AS498" s="45"/>
      <c r="AT498" s="45"/>
      <c r="AV498" s="10"/>
      <c r="AW498" s="45"/>
      <c r="AX498" s="195"/>
      <c r="AY498" s="195"/>
      <c r="AZ498" s="195"/>
      <c r="BA498" s="195"/>
      <c r="BB498" s="195"/>
      <c r="BC498" s="195"/>
      <c r="BD498" s="195"/>
      <c r="BE498" s="195"/>
      <c r="BF498" s="195"/>
    </row>
    <row r="499" spans="3:58" ht="12.75">
      <c r="C499" s="10"/>
      <c r="D499" s="10"/>
      <c r="E499" s="266"/>
      <c r="F499" s="267"/>
      <c r="G499" s="10"/>
      <c r="H499" s="45"/>
      <c r="J499" s="10"/>
      <c r="K499" s="45"/>
      <c r="L499" s="10"/>
      <c r="V499" s="10"/>
      <c r="AB499" s="45"/>
      <c r="AN499" s="10"/>
      <c r="AO499" s="10"/>
      <c r="AP499" s="10"/>
      <c r="AQ499" s="10"/>
      <c r="AR499" s="92"/>
      <c r="AS499" s="45"/>
      <c r="AT499" s="45"/>
      <c r="AV499" s="10"/>
      <c r="AW499" s="45"/>
      <c r="AX499" s="195"/>
      <c r="AY499" s="195"/>
      <c r="AZ499" s="195"/>
      <c r="BA499" s="195"/>
      <c r="BB499" s="195"/>
      <c r="BC499" s="195"/>
      <c r="BD499" s="195"/>
      <c r="BE499" s="195"/>
      <c r="BF499" s="195"/>
    </row>
    <row r="500" spans="3:58" ht="12.75">
      <c r="C500" s="10"/>
      <c r="D500" s="10"/>
      <c r="E500" s="266"/>
      <c r="F500" s="267"/>
      <c r="G500" s="10"/>
      <c r="H500" s="45"/>
      <c r="J500" s="10"/>
      <c r="K500" s="45"/>
      <c r="L500" s="10"/>
      <c r="V500" s="10"/>
      <c r="AB500" s="45"/>
      <c r="AN500" s="10"/>
      <c r="AO500" s="10"/>
      <c r="AP500" s="10"/>
      <c r="AQ500" s="10"/>
      <c r="AR500" s="92"/>
      <c r="AS500" s="45"/>
      <c r="AT500" s="45"/>
      <c r="AV500" s="10"/>
      <c r="AW500" s="45"/>
      <c r="AX500" s="195"/>
      <c r="AY500" s="195"/>
      <c r="AZ500" s="195"/>
      <c r="BA500" s="195"/>
      <c r="BB500" s="195"/>
      <c r="BC500" s="195"/>
      <c r="BD500" s="195"/>
      <c r="BE500" s="195"/>
      <c r="BF500" s="195"/>
    </row>
  </sheetData>
  <customSheetViews>
    <customSheetView guid="{D8ECF7FC-5E3A-4DFB-B628-6DD3CD0CC9C8}" filter="1" showAutoFilter="1">
      <pageMargins left="0.7" right="0.7" top="0.75" bottom="0.75" header="0.3" footer="0.3"/>
      <autoFilter ref="A1:BF496" xr:uid="{F9140D31-8302-4E00-9B64-D7DAF35CDDBF}">
        <filterColumn colId="34">
          <filters blank="1">
            <filter val="1"/>
            <filter val="2"/>
            <filter val="3"/>
            <filter val="4"/>
            <filter val="REVIEW"/>
            <filter val="Unclear"/>
          </filters>
        </filterColumn>
        <filterColumn colId="44">
          <filters>
            <filter val="Yes"/>
          </filters>
        </filterColumn>
      </autoFilter>
    </customSheetView>
  </customSheetViews>
  <dataValidations count="4">
    <dataValidation type="decimal" operator="greaterThan" allowBlank="1" showDropDown="1" sqref="H2:H397 H411:H450 H455:H473 H476:H500" xr:uid="{00000000-0002-0000-0D00-000000000000}">
      <formula1>1900</formula1>
    </dataValidation>
    <dataValidation type="custom" allowBlank="1" showDropDown="1" sqref="F2:F40 F42:F56 F58:F126 F128:F183 F185:F206 F208:F237 F239:F244 F248:F279 F288:F299 F302:F321 F325 F356:F362 F367:F387 F389:F397 F441:F500 AT2:AT500" xr:uid="{00000000-0002-0000-0D00-000002000000}">
      <formula1>IFERROR(ISURL(F2), TRUE)</formula1>
    </dataValidation>
    <dataValidation type="decimal" operator="greaterThanOrEqual" allowBlank="1" showDropDown="1" sqref="O395:Q397 O445:Q448 T445:U448 O451:O454 O455:Q455 T450:U455 T472:U472 O473:U475 AD476 K2:K491 K494:K500 AB2:AB500" xr:uid="{00000000-0002-0000-0D00-000003000000}">
      <formula1>0</formula1>
    </dataValidation>
    <dataValidation type="list" allowBlank="1" sqref="AS2:AS500 AW2:AW500" xr:uid="{00000000-0002-0000-0D00-000006000000}">
      <formula1>"Yes,No,REVIEW"</formula1>
    </dataValidation>
  </dataValidations>
  <hyperlinks>
    <hyperlink ref="J1" r:id="rId1" xr:uid="{00000000-0004-0000-0D00-000000000000}"/>
    <hyperlink ref="J2" r:id="rId2" xr:uid="{00000000-0004-0000-0D00-000001000000}"/>
    <hyperlink ref="AP2" r:id="rId3" xr:uid="{00000000-0004-0000-0D00-000002000000}"/>
    <hyperlink ref="J3" r:id="rId4" xr:uid="{00000000-0004-0000-0D00-000003000000}"/>
    <hyperlink ref="AP3" r:id="rId5" xr:uid="{00000000-0004-0000-0D00-000004000000}"/>
    <hyperlink ref="J4" r:id="rId6" xr:uid="{00000000-0004-0000-0D00-000005000000}"/>
    <hyperlink ref="AP4" r:id="rId7" xr:uid="{00000000-0004-0000-0D00-000006000000}"/>
    <hyperlink ref="J5" r:id="rId8" xr:uid="{00000000-0004-0000-0D00-000007000000}"/>
    <hyperlink ref="AP5" r:id="rId9" xr:uid="{00000000-0004-0000-0D00-000008000000}"/>
    <hyperlink ref="J6" r:id="rId10" xr:uid="{00000000-0004-0000-0D00-000009000000}"/>
    <hyperlink ref="AP6" r:id="rId11" xr:uid="{00000000-0004-0000-0D00-00000A000000}"/>
    <hyperlink ref="J7" r:id="rId12" xr:uid="{00000000-0004-0000-0D00-00000B000000}"/>
    <hyperlink ref="J8" r:id="rId13" xr:uid="{00000000-0004-0000-0D00-00000C000000}"/>
    <hyperlink ref="J9" r:id="rId14" xr:uid="{00000000-0004-0000-0D00-00000D000000}"/>
    <hyperlink ref="J10" r:id="rId15" xr:uid="{00000000-0004-0000-0D00-00000E000000}"/>
    <hyperlink ref="J13" r:id="rId16" xr:uid="{00000000-0004-0000-0D00-00000F000000}"/>
    <hyperlink ref="J14" r:id="rId17" xr:uid="{00000000-0004-0000-0D00-000010000000}"/>
    <hyperlink ref="J16" r:id="rId18" xr:uid="{00000000-0004-0000-0D00-000011000000}"/>
    <hyperlink ref="J17" r:id="rId19" xr:uid="{00000000-0004-0000-0D00-000012000000}"/>
    <hyperlink ref="J18" r:id="rId20" xr:uid="{00000000-0004-0000-0D00-000013000000}"/>
    <hyperlink ref="J19" r:id="rId21" xr:uid="{00000000-0004-0000-0D00-000014000000}"/>
    <hyperlink ref="J20" r:id="rId22" xr:uid="{00000000-0004-0000-0D00-000015000000}"/>
    <hyperlink ref="J22" r:id="rId23" xr:uid="{00000000-0004-0000-0D00-000016000000}"/>
    <hyperlink ref="J23" r:id="rId24" xr:uid="{00000000-0004-0000-0D00-000017000000}"/>
    <hyperlink ref="J24" r:id="rId25" xr:uid="{00000000-0004-0000-0D00-000018000000}"/>
    <hyperlink ref="J25" r:id="rId26" xr:uid="{00000000-0004-0000-0D00-000019000000}"/>
    <hyperlink ref="J26" r:id="rId27" xr:uid="{00000000-0004-0000-0D00-00001A000000}"/>
    <hyperlink ref="J27" r:id="rId28" xr:uid="{00000000-0004-0000-0D00-00001B000000}"/>
    <hyperlink ref="J28" r:id="rId29" xr:uid="{00000000-0004-0000-0D00-00001C000000}"/>
    <hyperlink ref="J29" r:id="rId30" xr:uid="{00000000-0004-0000-0D00-00001D000000}"/>
    <hyperlink ref="J31" r:id="rId31" xr:uid="{00000000-0004-0000-0D00-00001E000000}"/>
    <hyperlink ref="J32" r:id="rId32" xr:uid="{00000000-0004-0000-0D00-00001F000000}"/>
    <hyperlink ref="J33" r:id="rId33" xr:uid="{00000000-0004-0000-0D00-000020000000}"/>
    <hyperlink ref="J36" r:id="rId34" xr:uid="{00000000-0004-0000-0D00-000021000000}"/>
    <hyperlink ref="J37" r:id="rId35" xr:uid="{00000000-0004-0000-0D00-000022000000}"/>
    <hyperlink ref="J38" r:id="rId36" xr:uid="{00000000-0004-0000-0D00-000023000000}"/>
    <hyperlink ref="J39" r:id="rId37" xr:uid="{00000000-0004-0000-0D00-000024000000}"/>
    <hyperlink ref="J40" r:id="rId38" xr:uid="{00000000-0004-0000-0D00-000025000000}"/>
    <hyperlink ref="J43" r:id="rId39" xr:uid="{00000000-0004-0000-0D00-000026000000}"/>
    <hyperlink ref="J44" r:id="rId40" xr:uid="{00000000-0004-0000-0D00-000027000000}"/>
    <hyperlink ref="AP45" r:id="rId41" xr:uid="{00000000-0004-0000-0D00-000028000000}"/>
    <hyperlink ref="J46" r:id="rId42" xr:uid="{00000000-0004-0000-0D00-000029000000}"/>
    <hyperlink ref="J47" r:id="rId43" xr:uid="{00000000-0004-0000-0D00-00002A000000}"/>
    <hyperlink ref="J48" r:id="rId44" xr:uid="{00000000-0004-0000-0D00-00002B000000}"/>
    <hyperlink ref="J49" r:id="rId45" xr:uid="{00000000-0004-0000-0D00-00002C000000}"/>
    <hyperlink ref="J53" r:id="rId46" xr:uid="{00000000-0004-0000-0D00-00002D000000}"/>
    <hyperlink ref="J54" r:id="rId47" xr:uid="{00000000-0004-0000-0D00-00002E000000}"/>
    <hyperlink ref="J55" r:id="rId48" xr:uid="{00000000-0004-0000-0D00-00002F000000}"/>
    <hyperlink ref="F56" r:id="rId49" xr:uid="{00000000-0004-0000-0D00-000030000000}"/>
    <hyperlink ref="J56" r:id="rId50" xr:uid="{00000000-0004-0000-0D00-000031000000}"/>
    <hyperlink ref="J57" r:id="rId51" xr:uid="{00000000-0004-0000-0D00-000032000000}"/>
    <hyperlink ref="J60" r:id="rId52" xr:uid="{00000000-0004-0000-0D00-000033000000}"/>
    <hyperlink ref="J61" r:id="rId53" xr:uid="{00000000-0004-0000-0D00-000034000000}"/>
    <hyperlink ref="J62" r:id="rId54" xr:uid="{00000000-0004-0000-0D00-000035000000}"/>
    <hyperlink ref="J63" r:id="rId55" xr:uid="{00000000-0004-0000-0D00-000036000000}"/>
    <hyperlink ref="J66" r:id="rId56" xr:uid="{00000000-0004-0000-0D00-000037000000}"/>
    <hyperlink ref="J68" r:id="rId57" xr:uid="{00000000-0004-0000-0D00-000038000000}"/>
    <hyperlink ref="J69" r:id="rId58" xr:uid="{00000000-0004-0000-0D00-000039000000}"/>
    <hyperlink ref="AP69" r:id="rId59" xr:uid="{00000000-0004-0000-0D00-00003A000000}"/>
    <hyperlink ref="J71" r:id="rId60" xr:uid="{00000000-0004-0000-0D00-00003B000000}"/>
    <hyperlink ref="J72" r:id="rId61" xr:uid="{00000000-0004-0000-0D00-00003C000000}"/>
    <hyperlink ref="J73" r:id="rId62" xr:uid="{00000000-0004-0000-0D00-00003D000000}"/>
    <hyperlink ref="AP73" r:id="rId63" xr:uid="{00000000-0004-0000-0D00-00003E000000}"/>
    <hyperlink ref="J74" r:id="rId64" xr:uid="{00000000-0004-0000-0D00-00003F000000}"/>
    <hyperlink ref="J75" r:id="rId65" xr:uid="{00000000-0004-0000-0D00-000040000000}"/>
    <hyperlink ref="J76" r:id="rId66" xr:uid="{00000000-0004-0000-0D00-000041000000}"/>
    <hyperlink ref="J77" r:id="rId67" xr:uid="{00000000-0004-0000-0D00-000042000000}"/>
    <hyperlink ref="J78" r:id="rId68" xr:uid="{00000000-0004-0000-0D00-000043000000}"/>
    <hyperlink ref="J79" r:id="rId69" xr:uid="{00000000-0004-0000-0D00-000044000000}"/>
    <hyperlink ref="J80" r:id="rId70" xr:uid="{00000000-0004-0000-0D00-000045000000}"/>
    <hyperlink ref="J81" r:id="rId71" xr:uid="{00000000-0004-0000-0D00-000046000000}"/>
    <hyperlink ref="F82" r:id="rId72" xr:uid="{00000000-0004-0000-0D00-000047000000}"/>
    <hyperlink ref="J82" r:id="rId73" xr:uid="{00000000-0004-0000-0D00-000048000000}"/>
    <hyperlink ref="J83" r:id="rId74" xr:uid="{00000000-0004-0000-0D00-000049000000}"/>
    <hyperlink ref="AP83" r:id="rId75" xr:uid="{00000000-0004-0000-0D00-00004A000000}"/>
    <hyperlink ref="J84" r:id="rId76" xr:uid="{00000000-0004-0000-0D00-00004B000000}"/>
    <hyperlink ref="J89" r:id="rId77" xr:uid="{00000000-0004-0000-0D00-00004C000000}"/>
    <hyperlink ref="J90" r:id="rId78" xr:uid="{00000000-0004-0000-0D00-00004D000000}"/>
    <hyperlink ref="AP91" r:id="rId79" xr:uid="{00000000-0004-0000-0D00-00004E000000}"/>
    <hyperlink ref="J92" r:id="rId80" xr:uid="{00000000-0004-0000-0D00-00004F000000}"/>
    <hyperlink ref="J93" r:id="rId81" xr:uid="{00000000-0004-0000-0D00-000050000000}"/>
    <hyperlink ref="J94" r:id="rId82" xr:uid="{00000000-0004-0000-0D00-000051000000}"/>
    <hyperlink ref="J95" r:id="rId83" xr:uid="{00000000-0004-0000-0D00-000052000000}"/>
    <hyperlink ref="AP105" r:id="rId84" xr:uid="{00000000-0004-0000-0D00-000053000000}"/>
    <hyperlink ref="AP106" r:id="rId85" xr:uid="{00000000-0004-0000-0D00-000054000000}"/>
    <hyperlink ref="AP107" r:id="rId86" xr:uid="{00000000-0004-0000-0D00-000055000000}"/>
    <hyperlink ref="J150" r:id="rId87" xr:uid="{00000000-0004-0000-0D00-000056000000}"/>
    <hyperlink ref="J151" r:id="rId88" xr:uid="{00000000-0004-0000-0D00-000057000000}"/>
    <hyperlink ref="J228" r:id="rId89" xr:uid="{00000000-0004-0000-0D00-000058000000}"/>
    <hyperlink ref="J229" r:id="rId90" xr:uid="{00000000-0004-0000-0D00-000059000000}"/>
    <hyperlink ref="J280" r:id="rId91" xr:uid="{00000000-0004-0000-0D00-00005A000000}"/>
    <hyperlink ref="J281" r:id="rId92" xr:uid="{00000000-0004-0000-0D00-00005B000000}"/>
    <hyperlink ref="J286" r:id="rId93" xr:uid="{00000000-0004-0000-0D00-00005C000000}"/>
    <hyperlink ref="J287" r:id="rId94" xr:uid="{00000000-0004-0000-0D00-00005D000000}"/>
    <hyperlink ref="F288" r:id="rId95" xr:uid="{00000000-0004-0000-0D00-00005E000000}"/>
    <hyperlink ref="F289" r:id="rId96" xr:uid="{00000000-0004-0000-0D00-00005F000000}"/>
    <hyperlink ref="F290" r:id="rId97" xr:uid="{00000000-0004-0000-0D00-000060000000}"/>
    <hyperlink ref="F291" r:id="rId98" xr:uid="{00000000-0004-0000-0D00-000061000000}"/>
    <hyperlink ref="F292" r:id="rId99" xr:uid="{00000000-0004-0000-0D00-000062000000}"/>
    <hyperlink ref="F293" r:id="rId100" xr:uid="{00000000-0004-0000-0D00-000063000000}"/>
    <hyperlink ref="F294" r:id="rId101" xr:uid="{00000000-0004-0000-0D00-000064000000}"/>
    <hyperlink ref="F295" r:id="rId102" xr:uid="{00000000-0004-0000-0D00-000065000000}"/>
    <hyperlink ref="F296" r:id="rId103" xr:uid="{00000000-0004-0000-0D00-000066000000}"/>
    <hyperlink ref="F297" r:id="rId104" xr:uid="{00000000-0004-0000-0D00-000067000000}"/>
    <hyperlink ref="F298" r:id="rId105" xr:uid="{00000000-0004-0000-0D00-000068000000}"/>
    <hyperlink ref="F299" r:id="rId106" xr:uid="{00000000-0004-0000-0D00-000069000000}"/>
    <hyperlink ref="F300" r:id="rId107" xr:uid="{00000000-0004-0000-0D00-00006A000000}"/>
    <hyperlink ref="F301" r:id="rId108" xr:uid="{00000000-0004-0000-0D00-00006B000000}"/>
    <hyperlink ref="F302" r:id="rId109" xr:uid="{00000000-0004-0000-0D00-00006C000000}"/>
    <hyperlink ref="J302" r:id="rId110" xr:uid="{00000000-0004-0000-0D00-00006D000000}"/>
    <hyperlink ref="F303" r:id="rId111" xr:uid="{00000000-0004-0000-0D00-00006E000000}"/>
    <hyperlink ref="J303" r:id="rId112" xr:uid="{00000000-0004-0000-0D00-00006F000000}"/>
    <hyperlink ref="F304" r:id="rId113" xr:uid="{00000000-0004-0000-0D00-000070000000}"/>
    <hyperlink ref="J304" r:id="rId114" xr:uid="{00000000-0004-0000-0D00-000071000000}"/>
    <hyperlink ref="F305" r:id="rId115" xr:uid="{00000000-0004-0000-0D00-000072000000}"/>
    <hyperlink ref="J305" r:id="rId116" xr:uid="{00000000-0004-0000-0D00-000073000000}"/>
    <hyperlink ref="F306" r:id="rId117" xr:uid="{00000000-0004-0000-0D00-000074000000}"/>
    <hyperlink ref="J306" r:id="rId118" xr:uid="{00000000-0004-0000-0D00-000075000000}"/>
    <hyperlink ref="F307" r:id="rId119" xr:uid="{00000000-0004-0000-0D00-000076000000}"/>
    <hyperlink ref="J307" r:id="rId120" xr:uid="{00000000-0004-0000-0D00-000077000000}"/>
    <hyperlink ref="F308" r:id="rId121" xr:uid="{00000000-0004-0000-0D00-000078000000}"/>
    <hyperlink ref="J308" r:id="rId122" xr:uid="{00000000-0004-0000-0D00-000079000000}"/>
    <hyperlink ref="F309" r:id="rId123" xr:uid="{00000000-0004-0000-0D00-00007A000000}"/>
    <hyperlink ref="J309" r:id="rId124" xr:uid="{00000000-0004-0000-0D00-00007B000000}"/>
    <hyperlink ref="F310" r:id="rId125" xr:uid="{00000000-0004-0000-0D00-00007C000000}"/>
    <hyperlink ref="J310" r:id="rId126" xr:uid="{00000000-0004-0000-0D00-00007D000000}"/>
    <hyperlink ref="F311" r:id="rId127" xr:uid="{00000000-0004-0000-0D00-00007E000000}"/>
    <hyperlink ref="J311" r:id="rId128" xr:uid="{00000000-0004-0000-0D00-00007F000000}"/>
    <hyperlink ref="F312" r:id="rId129" xr:uid="{00000000-0004-0000-0D00-000080000000}"/>
    <hyperlink ref="J312" r:id="rId130" xr:uid="{00000000-0004-0000-0D00-000081000000}"/>
    <hyperlink ref="F313" r:id="rId131" xr:uid="{00000000-0004-0000-0D00-000082000000}"/>
    <hyperlink ref="J313" r:id="rId132" xr:uid="{00000000-0004-0000-0D00-000083000000}"/>
    <hyperlink ref="F314" r:id="rId133" xr:uid="{00000000-0004-0000-0D00-000084000000}"/>
    <hyperlink ref="J314" r:id="rId134" xr:uid="{00000000-0004-0000-0D00-000085000000}"/>
    <hyperlink ref="F315" r:id="rId135" xr:uid="{00000000-0004-0000-0D00-000086000000}"/>
    <hyperlink ref="J315" r:id="rId136" xr:uid="{00000000-0004-0000-0D00-000087000000}"/>
    <hyperlink ref="F316" r:id="rId137" xr:uid="{00000000-0004-0000-0D00-000088000000}"/>
    <hyperlink ref="F317" r:id="rId138" xr:uid="{00000000-0004-0000-0D00-000089000000}"/>
    <hyperlink ref="F318" r:id="rId139" xr:uid="{00000000-0004-0000-0D00-00008A000000}"/>
    <hyperlink ref="F319" r:id="rId140" xr:uid="{00000000-0004-0000-0D00-00008B000000}"/>
    <hyperlink ref="F320" r:id="rId141" xr:uid="{00000000-0004-0000-0D00-00008C000000}"/>
    <hyperlink ref="F321" r:id="rId142" xr:uid="{00000000-0004-0000-0D00-00008D000000}"/>
    <hyperlink ref="F322" r:id="rId143" xr:uid="{00000000-0004-0000-0D00-00008E000000}"/>
    <hyperlink ref="F323" r:id="rId144" xr:uid="{00000000-0004-0000-0D00-00008F000000}"/>
    <hyperlink ref="F324" r:id="rId145" xr:uid="{00000000-0004-0000-0D00-000090000000}"/>
    <hyperlink ref="F325" r:id="rId146" xr:uid="{00000000-0004-0000-0D00-000091000000}"/>
    <hyperlink ref="F326" r:id="rId147" xr:uid="{00000000-0004-0000-0D00-000092000000}"/>
    <hyperlink ref="F327" r:id="rId148" xr:uid="{00000000-0004-0000-0D00-000093000000}"/>
    <hyperlink ref="F328" r:id="rId149" xr:uid="{00000000-0004-0000-0D00-000094000000}"/>
    <hyperlink ref="F329" r:id="rId150" xr:uid="{00000000-0004-0000-0D00-000095000000}"/>
    <hyperlink ref="F330" r:id="rId151" xr:uid="{00000000-0004-0000-0D00-000096000000}"/>
    <hyperlink ref="F331" r:id="rId152" xr:uid="{00000000-0004-0000-0D00-000097000000}"/>
    <hyperlink ref="F332" r:id="rId153" xr:uid="{00000000-0004-0000-0D00-000098000000}"/>
    <hyperlink ref="F333" r:id="rId154" xr:uid="{00000000-0004-0000-0D00-000099000000}"/>
    <hyperlink ref="F334" r:id="rId155" xr:uid="{00000000-0004-0000-0D00-00009A000000}"/>
    <hyperlink ref="F335" r:id="rId156" xr:uid="{00000000-0004-0000-0D00-00009B000000}"/>
    <hyperlink ref="F336" r:id="rId157" xr:uid="{00000000-0004-0000-0D00-00009C000000}"/>
    <hyperlink ref="F337" r:id="rId158" xr:uid="{00000000-0004-0000-0D00-00009D000000}"/>
    <hyperlink ref="F338" r:id="rId159" xr:uid="{00000000-0004-0000-0D00-00009E000000}"/>
    <hyperlink ref="F339" r:id="rId160" xr:uid="{00000000-0004-0000-0D00-00009F000000}"/>
    <hyperlink ref="F340" r:id="rId161" xr:uid="{00000000-0004-0000-0D00-0000A0000000}"/>
    <hyperlink ref="F341" r:id="rId162" xr:uid="{00000000-0004-0000-0D00-0000A1000000}"/>
    <hyperlink ref="F342" r:id="rId163" xr:uid="{00000000-0004-0000-0D00-0000A2000000}"/>
    <hyperlink ref="F343" r:id="rId164" xr:uid="{00000000-0004-0000-0D00-0000A3000000}"/>
    <hyperlink ref="F344" r:id="rId165" xr:uid="{00000000-0004-0000-0D00-0000A4000000}"/>
    <hyperlink ref="F345" r:id="rId166" xr:uid="{00000000-0004-0000-0D00-0000A5000000}"/>
    <hyperlink ref="F346" r:id="rId167" xr:uid="{00000000-0004-0000-0D00-0000A6000000}"/>
    <hyperlink ref="F347" r:id="rId168" xr:uid="{00000000-0004-0000-0D00-0000A7000000}"/>
    <hyperlink ref="F348" r:id="rId169" xr:uid="{00000000-0004-0000-0D00-0000A8000000}"/>
    <hyperlink ref="F349" r:id="rId170" xr:uid="{00000000-0004-0000-0D00-0000A9000000}"/>
    <hyperlink ref="F350" r:id="rId171" xr:uid="{00000000-0004-0000-0D00-0000AA000000}"/>
    <hyperlink ref="F351" r:id="rId172" xr:uid="{00000000-0004-0000-0D00-0000AB000000}"/>
    <hyperlink ref="F352" r:id="rId173" xr:uid="{00000000-0004-0000-0D00-0000AC000000}"/>
    <hyperlink ref="F353" r:id="rId174" xr:uid="{00000000-0004-0000-0D00-0000AD000000}"/>
    <hyperlink ref="F354" r:id="rId175" xr:uid="{00000000-0004-0000-0D00-0000AE000000}"/>
    <hyperlink ref="F355" r:id="rId176" xr:uid="{00000000-0004-0000-0D00-0000AF000000}"/>
    <hyperlink ref="F356" r:id="rId177" xr:uid="{00000000-0004-0000-0D00-0000B0000000}"/>
    <hyperlink ref="F357" r:id="rId178" xr:uid="{00000000-0004-0000-0D00-0000B1000000}"/>
    <hyperlink ref="J357" r:id="rId179" xr:uid="{00000000-0004-0000-0D00-0000B2000000}"/>
    <hyperlink ref="F358" r:id="rId180" xr:uid="{00000000-0004-0000-0D00-0000B3000000}"/>
    <hyperlink ref="J358" r:id="rId181" xr:uid="{00000000-0004-0000-0D00-0000B4000000}"/>
    <hyperlink ref="F359" r:id="rId182" xr:uid="{00000000-0004-0000-0D00-0000B5000000}"/>
    <hyperlink ref="J359" r:id="rId183" xr:uid="{00000000-0004-0000-0D00-0000B6000000}"/>
    <hyperlink ref="F360" r:id="rId184" xr:uid="{00000000-0004-0000-0D00-0000B7000000}"/>
    <hyperlink ref="J360" r:id="rId185" xr:uid="{00000000-0004-0000-0D00-0000B8000000}"/>
    <hyperlink ref="F361" r:id="rId186" xr:uid="{00000000-0004-0000-0D00-0000B9000000}"/>
    <hyperlink ref="J361" r:id="rId187" xr:uid="{00000000-0004-0000-0D00-0000BA000000}"/>
    <hyperlink ref="F362" r:id="rId188" xr:uid="{00000000-0004-0000-0D00-0000BB000000}"/>
    <hyperlink ref="F363" r:id="rId189" xr:uid="{00000000-0004-0000-0D00-0000BC000000}"/>
    <hyperlink ref="F364" r:id="rId190" xr:uid="{00000000-0004-0000-0D00-0000BD000000}"/>
    <hyperlink ref="F365" r:id="rId191" xr:uid="{00000000-0004-0000-0D00-0000BE000000}"/>
    <hyperlink ref="F366" r:id="rId192" xr:uid="{00000000-0004-0000-0D00-0000BF000000}"/>
    <hyperlink ref="F367" r:id="rId193" xr:uid="{00000000-0004-0000-0D00-0000C0000000}"/>
    <hyperlink ref="F368" r:id="rId194" xr:uid="{00000000-0004-0000-0D00-0000C1000000}"/>
    <hyperlink ref="F369" r:id="rId195" xr:uid="{00000000-0004-0000-0D00-0000C2000000}"/>
    <hyperlink ref="F370" r:id="rId196" xr:uid="{00000000-0004-0000-0D00-0000C3000000}"/>
    <hyperlink ref="F371" r:id="rId197" xr:uid="{00000000-0004-0000-0D00-0000C4000000}"/>
    <hyperlink ref="F372" r:id="rId198" xr:uid="{00000000-0004-0000-0D00-0000C5000000}"/>
    <hyperlink ref="F373" r:id="rId199" xr:uid="{00000000-0004-0000-0D00-0000C6000000}"/>
    <hyperlink ref="F374" r:id="rId200" xr:uid="{00000000-0004-0000-0D00-0000C7000000}"/>
    <hyperlink ref="F375" r:id="rId201" xr:uid="{00000000-0004-0000-0D00-0000C8000000}"/>
    <hyperlink ref="F376" r:id="rId202" xr:uid="{00000000-0004-0000-0D00-0000C9000000}"/>
    <hyperlink ref="F377" r:id="rId203" xr:uid="{00000000-0004-0000-0D00-0000CA000000}"/>
    <hyperlink ref="F378" r:id="rId204" xr:uid="{00000000-0004-0000-0D00-0000CB000000}"/>
    <hyperlink ref="F379" r:id="rId205" xr:uid="{00000000-0004-0000-0D00-0000CC000000}"/>
    <hyperlink ref="F380" r:id="rId206" xr:uid="{00000000-0004-0000-0D00-0000CD000000}"/>
    <hyperlink ref="F381" r:id="rId207" xr:uid="{00000000-0004-0000-0D00-0000CE000000}"/>
    <hyperlink ref="F382" r:id="rId208" xr:uid="{00000000-0004-0000-0D00-0000CF000000}"/>
    <hyperlink ref="F383" r:id="rId209" xr:uid="{00000000-0004-0000-0D00-0000D0000000}"/>
    <hyperlink ref="F384" r:id="rId210" xr:uid="{00000000-0004-0000-0D00-0000D1000000}"/>
    <hyperlink ref="F385" r:id="rId211" xr:uid="{00000000-0004-0000-0D00-0000D2000000}"/>
    <hyperlink ref="F386" r:id="rId212" xr:uid="{00000000-0004-0000-0D00-0000D3000000}"/>
    <hyperlink ref="F387" r:id="rId213" xr:uid="{00000000-0004-0000-0D00-0000D4000000}"/>
    <hyperlink ref="F388" r:id="rId214" xr:uid="{00000000-0004-0000-0D00-0000D5000000}"/>
    <hyperlink ref="J388" r:id="rId215" xr:uid="{00000000-0004-0000-0D00-0000D6000000}"/>
    <hyperlink ref="F389" r:id="rId216" xr:uid="{00000000-0004-0000-0D00-0000D7000000}"/>
    <hyperlink ref="F390" r:id="rId217" xr:uid="{00000000-0004-0000-0D00-0000D8000000}"/>
    <hyperlink ref="J390" r:id="rId218" xr:uid="{00000000-0004-0000-0D00-0000D9000000}"/>
    <hyperlink ref="F391" r:id="rId219" xr:uid="{00000000-0004-0000-0D00-0000DA000000}"/>
    <hyperlink ref="J391" r:id="rId220" xr:uid="{00000000-0004-0000-0D00-0000DB000000}"/>
    <hyperlink ref="F392" r:id="rId221" xr:uid="{00000000-0004-0000-0D00-0000DC000000}"/>
    <hyperlink ref="J392" r:id="rId222" xr:uid="{00000000-0004-0000-0D00-0000DD000000}"/>
    <hyperlink ref="F393" r:id="rId223" xr:uid="{00000000-0004-0000-0D00-0000DE000000}"/>
    <hyperlink ref="J393" r:id="rId224" xr:uid="{00000000-0004-0000-0D00-0000DF000000}"/>
    <hyperlink ref="F394" r:id="rId225" xr:uid="{00000000-0004-0000-0D00-0000E0000000}"/>
    <hyperlink ref="F395" r:id="rId226" xr:uid="{00000000-0004-0000-0D00-0000E1000000}"/>
    <hyperlink ref="F396" r:id="rId227" xr:uid="{00000000-0004-0000-0D00-0000E2000000}"/>
    <hyperlink ref="F397" r:id="rId228" xr:uid="{00000000-0004-0000-0D00-0000E3000000}"/>
    <hyperlink ref="F398" r:id="rId229" xr:uid="{00000000-0004-0000-0D00-0000E4000000}"/>
    <hyperlink ref="J398" r:id="rId230" xr:uid="{00000000-0004-0000-0D00-0000E5000000}"/>
    <hyperlink ref="AP398" r:id="rId231" xr:uid="{00000000-0004-0000-0D00-0000E6000000}"/>
    <hyperlink ref="F399" r:id="rId232" xr:uid="{00000000-0004-0000-0D00-0000E7000000}"/>
    <hyperlink ref="J399" r:id="rId233" xr:uid="{00000000-0004-0000-0D00-0000E8000000}"/>
    <hyperlink ref="F400" r:id="rId234" xr:uid="{00000000-0004-0000-0D00-0000E9000000}"/>
    <hyperlink ref="F401" r:id="rId235" xr:uid="{00000000-0004-0000-0D00-0000EA000000}"/>
    <hyperlink ref="F402" r:id="rId236" xr:uid="{00000000-0004-0000-0D00-0000EB000000}"/>
    <hyperlink ref="F403" r:id="rId237" xr:uid="{00000000-0004-0000-0D00-0000EC000000}"/>
    <hyperlink ref="J403" r:id="rId238" xr:uid="{00000000-0004-0000-0D00-0000ED000000}"/>
    <hyperlink ref="F404" r:id="rId239" xr:uid="{00000000-0004-0000-0D00-0000EE000000}"/>
    <hyperlink ref="J404" r:id="rId240" xr:uid="{00000000-0004-0000-0D00-0000EF000000}"/>
    <hyperlink ref="F405" r:id="rId241" xr:uid="{00000000-0004-0000-0D00-0000F0000000}"/>
    <hyperlink ref="F406" r:id="rId242" xr:uid="{00000000-0004-0000-0D00-0000F1000000}"/>
    <hyperlink ref="F407" r:id="rId243" xr:uid="{00000000-0004-0000-0D00-0000F2000000}"/>
    <hyperlink ref="F408" r:id="rId244" xr:uid="{00000000-0004-0000-0D00-0000F3000000}"/>
    <hyperlink ref="F409" r:id="rId245" xr:uid="{00000000-0004-0000-0D00-0000F4000000}"/>
    <hyperlink ref="F410" r:id="rId246" xr:uid="{00000000-0004-0000-0D00-0000F5000000}"/>
    <hyperlink ref="F411" r:id="rId247" xr:uid="{00000000-0004-0000-0D00-0000F6000000}"/>
    <hyperlink ref="J411" r:id="rId248" xr:uid="{00000000-0004-0000-0D00-0000F7000000}"/>
    <hyperlink ref="F412" r:id="rId249" xr:uid="{00000000-0004-0000-0D00-0000F8000000}"/>
    <hyperlink ref="F413" r:id="rId250" xr:uid="{00000000-0004-0000-0D00-0000F9000000}"/>
    <hyperlink ref="F414" r:id="rId251" xr:uid="{00000000-0004-0000-0D00-0000FA000000}"/>
    <hyperlink ref="F415" r:id="rId252" xr:uid="{00000000-0004-0000-0D00-0000FB000000}"/>
    <hyperlink ref="F416" r:id="rId253" xr:uid="{00000000-0004-0000-0D00-0000FC000000}"/>
    <hyperlink ref="J416" r:id="rId254" xr:uid="{00000000-0004-0000-0D00-0000FD000000}"/>
    <hyperlink ref="F417" r:id="rId255" xr:uid="{00000000-0004-0000-0D00-0000FE000000}"/>
    <hyperlink ref="F418" r:id="rId256" xr:uid="{00000000-0004-0000-0D00-0000FF000000}"/>
    <hyperlink ref="F419" r:id="rId257" xr:uid="{00000000-0004-0000-0D00-000000010000}"/>
    <hyperlink ref="J419" r:id="rId258" xr:uid="{00000000-0004-0000-0D00-000001010000}"/>
    <hyperlink ref="F420" r:id="rId259" xr:uid="{00000000-0004-0000-0D00-000002010000}"/>
    <hyperlink ref="J420" r:id="rId260" xr:uid="{00000000-0004-0000-0D00-000003010000}"/>
    <hyperlink ref="F421" r:id="rId261" xr:uid="{00000000-0004-0000-0D00-000004010000}"/>
    <hyperlink ref="J421" r:id="rId262" xr:uid="{00000000-0004-0000-0D00-000005010000}"/>
    <hyperlink ref="F422" r:id="rId263" xr:uid="{00000000-0004-0000-0D00-000006010000}"/>
    <hyperlink ref="J422" r:id="rId264" xr:uid="{00000000-0004-0000-0D00-000007010000}"/>
    <hyperlink ref="F423" r:id="rId265" xr:uid="{00000000-0004-0000-0D00-000008010000}"/>
    <hyperlink ref="J423" r:id="rId266" xr:uid="{00000000-0004-0000-0D00-000009010000}"/>
    <hyperlink ref="F424" r:id="rId267" xr:uid="{00000000-0004-0000-0D00-00000A010000}"/>
    <hyperlink ref="J424" r:id="rId268" xr:uid="{00000000-0004-0000-0D00-00000B010000}"/>
    <hyperlink ref="F425" r:id="rId269" xr:uid="{00000000-0004-0000-0D00-00000C010000}"/>
    <hyperlink ref="F426" r:id="rId270" xr:uid="{00000000-0004-0000-0D00-00000D010000}"/>
    <hyperlink ref="F427" r:id="rId271" xr:uid="{00000000-0004-0000-0D00-00000E010000}"/>
    <hyperlink ref="F428" r:id="rId272" xr:uid="{00000000-0004-0000-0D00-00000F010000}"/>
    <hyperlink ref="F429" r:id="rId273" xr:uid="{00000000-0004-0000-0D00-000010010000}"/>
    <hyperlink ref="F430" r:id="rId274" xr:uid="{00000000-0004-0000-0D00-000011010000}"/>
    <hyperlink ref="F431" r:id="rId275" xr:uid="{00000000-0004-0000-0D00-000012010000}"/>
    <hyperlink ref="J431" r:id="rId276" xr:uid="{00000000-0004-0000-0D00-000013010000}"/>
    <hyperlink ref="F432" r:id="rId277" xr:uid="{00000000-0004-0000-0D00-000014010000}"/>
    <hyperlink ref="F433" r:id="rId278" xr:uid="{00000000-0004-0000-0D00-000015010000}"/>
    <hyperlink ref="F434" r:id="rId279" xr:uid="{00000000-0004-0000-0D00-000016010000}"/>
    <hyperlink ref="F435" r:id="rId280" xr:uid="{00000000-0004-0000-0D00-000017010000}"/>
    <hyperlink ref="F436" r:id="rId281" xr:uid="{00000000-0004-0000-0D00-000018010000}"/>
    <hyperlink ref="F437" r:id="rId282" xr:uid="{00000000-0004-0000-0D00-000019010000}"/>
    <hyperlink ref="F438" r:id="rId283" xr:uid="{00000000-0004-0000-0D00-00001A010000}"/>
    <hyperlink ref="F439" r:id="rId284" xr:uid="{00000000-0004-0000-0D00-00001B010000}"/>
    <hyperlink ref="F440" r:id="rId285" xr:uid="{00000000-0004-0000-0D00-00001C010000}"/>
    <hyperlink ref="F441" r:id="rId286" xr:uid="{00000000-0004-0000-0D00-00001D010000}"/>
    <hyperlink ref="F442" r:id="rId287" xr:uid="{00000000-0004-0000-0D00-00001E010000}"/>
    <hyperlink ref="F443" r:id="rId288" xr:uid="{00000000-0004-0000-0D00-00001F010000}"/>
    <hyperlink ref="F444" r:id="rId289" xr:uid="{00000000-0004-0000-0D00-000020010000}"/>
    <hyperlink ref="F445" r:id="rId290" xr:uid="{00000000-0004-0000-0D00-000021010000}"/>
    <hyperlink ref="F446" r:id="rId291" xr:uid="{00000000-0004-0000-0D00-000022010000}"/>
    <hyperlink ref="F447" r:id="rId292" xr:uid="{00000000-0004-0000-0D00-000023010000}"/>
    <hyperlink ref="F448" r:id="rId293" xr:uid="{00000000-0004-0000-0D00-000024010000}"/>
    <hyperlink ref="F449" r:id="rId294" xr:uid="{00000000-0004-0000-0D00-000025010000}"/>
    <hyperlink ref="J449" r:id="rId295" xr:uid="{00000000-0004-0000-0D00-000026010000}"/>
    <hyperlink ref="F450" r:id="rId296" xr:uid="{00000000-0004-0000-0D00-000027010000}"/>
    <hyperlink ref="F451" r:id="rId297" xr:uid="{00000000-0004-0000-0D00-000028010000}"/>
    <hyperlink ref="F452" r:id="rId298" xr:uid="{00000000-0004-0000-0D00-000029010000}"/>
    <hyperlink ref="F453" r:id="rId299" xr:uid="{00000000-0004-0000-0D00-00002A010000}"/>
    <hyperlink ref="F454" r:id="rId300" xr:uid="{00000000-0004-0000-0D00-00002B010000}"/>
    <hyperlink ref="F455" r:id="rId301" xr:uid="{00000000-0004-0000-0D00-00002C010000}"/>
    <hyperlink ref="F456" r:id="rId302" xr:uid="{00000000-0004-0000-0D00-00002D010000}"/>
    <hyperlink ref="F457" r:id="rId303" xr:uid="{00000000-0004-0000-0D00-00002E010000}"/>
    <hyperlink ref="F458" r:id="rId304" xr:uid="{00000000-0004-0000-0D00-00002F010000}"/>
    <hyperlink ref="J458" r:id="rId305" xr:uid="{00000000-0004-0000-0D00-000030010000}"/>
    <hyperlink ref="F459" r:id="rId306" xr:uid="{00000000-0004-0000-0D00-000031010000}"/>
    <hyperlink ref="J459" r:id="rId307" xr:uid="{00000000-0004-0000-0D00-000032010000}"/>
    <hyperlink ref="F460" r:id="rId308" xr:uid="{00000000-0004-0000-0D00-000033010000}"/>
    <hyperlink ref="J460" r:id="rId309" xr:uid="{00000000-0004-0000-0D00-000034010000}"/>
    <hyperlink ref="F461" r:id="rId310" xr:uid="{00000000-0004-0000-0D00-000035010000}"/>
    <hyperlink ref="F462" r:id="rId311" xr:uid="{00000000-0004-0000-0D00-000036010000}"/>
    <hyperlink ref="F463" r:id="rId312" xr:uid="{00000000-0004-0000-0D00-000037010000}"/>
    <hyperlink ref="F464" r:id="rId313" xr:uid="{00000000-0004-0000-0D00-000038010000}"/>
    <hyperlink ref="F465" r:id="rId314" xr:uid="{00000000-0004-0000-0D00-000039010000}"/>
    <hyperlink ref="J465" r:id="rId315" xr:uid="{00000000-0004-0000-0D00-00003A010000}"/>
    <hyperlink ref="F466" r:id="rId316" xr:uid="{00000000-0004-0000-0D00-00003B010000}"/>
    <hyperlink ref="J466" r:id="rId317" xr:uid="{00000000-0004-0000-0D00-00003C010000}"/>
    <hyperlink ref="F467" r:id="rId318" xr:uid="{00000000-0004-0000-0D00-00003D010000}"/>
    <hyperlink ref="F468" r:id="rId319" xr:uid="{00000000-0004-0000-0D00-00003E010000}"/>
    <hyperlink ref="F469" r:id="rId320" xr:uid="{00000000-0004-0000-0D00-00003F010000}"/>
    <hyperlink ref="F470" r:id="rId321" xr:uid="{00000000-0004-0000-0D00-000040010000}"/>
    <hyperlink ref="F471" r:id="rId322" xr:uid="{00000000-0004-0000-0D00-000041010000}"/>
    <hyperlink ref="F472" r:id="rId323" xr:uid="{00000000-0004-0000-0D00-000042010000}"/>
    <hyperlink ref="J472" r:id="rId324" xr:uid="{00000000-0004-0000-0D00-000043010000}"/>
    <hyperlink ref="F473" r:id="rId325" xr:uid="{00000000-0004-0000-0D00-000044010000}"/>
    <hyperlink ref="J473" r:id="rId326" xr:uid="{00000000-0004-0000-0D00-000045010000}"/>
    <hyperlink ref="F474" r:id="rId327" xr:uid="{00000000-0004-0000-0D00-000046010000}"/>
    <hyperlink ref="F475" r:id="rId328" xr:uid="{00000000-0004-0000-0D00-000047010000}"/>
    <hyperlink ref="F476" r:id="rId329" xr:uid="{00000000-0004-0000-0D00-000048010000}"/>
    <hyperlink ref="J476" r:id="rId330" xr:uid="{00000000-0004-0000-0D00-000049010000}"/>
    <hyperlink ref="F477" r:id="rId331" xr:uid="{00000000-0004-0000-0D00-00004A010000}"/>
    <hyperlink ref="F478" r:id="rId332" xr:uid="{00000000-0004-0000-0D00-00004B010000}"/>
    <hyperlink ref="F479" r:id="rId333" xr:uid="{00000000-0004-0000-0D00-00004C010000}"/>
    <hyperlink ref="F480" r:id="rId334" xr:uid="{00000000-0004-0000-0D00-00004D010000}"/>
    <hyperlink ref="J480" r:id="rId335" xr:uid="{00000000-0004-0000-0D00-00004E010000}"/>
    <hyperlink ref="F481" r:id="rId336" xr:uid="{00000000-0004-0000-0D00-00004F010000}"/>
    <hyperlink ref="J481" r:id="rId337" xr:uid="{00000000-0004-0000-0D00-000050010000}"/>
    <hyperlink ref="F482" r:id="rId338" xr:uid="{00000000-0004-0000-0D00-000051010000}"/>
    <hyperlink ref="J482" r:id="rId339" xr:uid="{00000000-0004-0000-0D00-000052010000}"/>
    <hyperlink ref="F483" r:id="rId340" xr:uid="{00000000-0004-0000-0D00-000053010000}"/>
    <hyperlink ref="J483" r:id="rId341" xr:uid="{00000000-0004-0000-0D00-000054010000}"/>
    <hyperlink ref="F484" r:id="rId342" xr:uid="{00000000-0004-0000-0D00-000055010000}"/>
    <hyperlink ref="J484" r:id="rId343" xr:uid="{00000000-0004-0000-0D00-000056010000}"/>
    <hyperlink ref="F485" r:id="rId344" xr:uid="{00000000-0004-0000-0D00-000057010000}"/>
    <hyperlink ref="J485" r:id="rId345" xr:uid="{00000000-0004-0000-0D00-000058010000}"/>
    <hyperlink ref="F486" r:id="rId346" xr:uid="{00000000-0004-0000-0D00-000059010000}"/>
    <hyperlink ref="J486" r:id="rId347" xr:uid="{00000000-0004-0000-0D00-00005A010000}"/>
    <hyperlink ref="F487" r:id="rId348" xr:uid="{00000000-0004-0000-0D00-00005B010000}"/>
    <hyperlink ref="F488" r:id="rId349" xr:uid="{00000000-0004-0000-0D00-00005C010000}"/>
    <hyperlink ref="F489" r:id="rId350" xr:uid="{00000000-0004-0000-0D00-00005D010000}"/>
    <hyperlink ref="F490" r:id="rId351" xr:uid="{00000000-0004-0000-0D00-00005E010000}"/>
    <hyperlink ref="F491" r:id="rId352" xr:uid="{00000000-0004-0000-0D00-00005F010000}"/>
    <hyperlink ref="F492" r:id="rId353" xr:uid="{00000000-0004-0000-0D00-000060010000}"/>
    <hyperlink ref="F493" r:id="rId354" xr:uid="{00000000-0004-0000-0D00-000061010000}"/>
    <hyperlink ref="F494" r:id="rId355" xr:uid="{00000000-0004-0000-0D00-000062010000}"/>
    <hyperlink ref="F495" r:id="rId356" xr:uid="{00000000-0004-0000-0D00-000063010000}"/>
    <hyperlink ref="F496" r:id="rId357" xr:uid="{00000000-0004-0000-0D00-000064010000}"/>
  </hyperlink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xr:uid="{00000000-0002-0000-0D00-000001000000}">
          <x14:formula1>
            <xm:f>SearchType!$A$1:$A500</xm:f>
          </x14:formula1>
          <xm:sqref>AR2:AR500</xm:sqref>
        </x14:dataValidation>
        <x14:dataValidation type="list" allowBlank="1" xr:uid="{00000000-0002-0000-0D00-000004000000}">
          <x14:formula1>
            <xm:f>CatTag!$A$1:$A500</xm:f>
          </x14:formula1>
          <xm:sqref>AV2:AV500</xm:sqref>
        </x14:dataValidation>
        <x14:dataValidation type="list" allowBlank="1" xr:uid="{00000000-0002-0000-0D00-000005000000}">
          <x14:formula1>
            <xm:f>Pathogen!$A$1:$A500</xm:f>
          </x14:formula1>
          <xm:sqref>C2:C500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ummaryRight="0"/>
  </sheetPr>
  <dimension ref="A1:AE426"/>
  <sheetViews>
    <sheetView workbookViewId="0">
      <pane ySplit="2" topLeftCell="A3" activePane="bottomLeft" state="frozen"/>
      <selection pane="bottomLeft"/>
    </sheetView>
  </sheetViews>
  <sheetFormatPr defaultColWidth="14.42578125" defaultRowHeight="15.75" customHeight="1"/>
  <cols>
    <col min="1" max="1" width="20.5703125" customWidth="1"/>
    <col min="2" max="2" width="16" customWidth="1"/>
    <col min="3" max="3" width="6.28515625" customWidth="1"/>
    <col min="4" max="4" width="12.42578125" customWidth="1"/>
    <col min="5" max="5" width="6" customWidth="1"/>
    <col min="6" max="6" width="15.7109375" customWidth="1"/>
    <col min="7" max="7" width="9.28515625" customWidth="1"/>
    <col min="8" max="8" width="10.5703125" customWidth="1"/>
    <col min="9" max="9" width="19" customWidth="1"/>
    <col min="10" max="10" width="9.42578125" customWidth="1"/>
    <col min="11" max="12" width="9.85546875" customWidth="1"/>
    <col min="13" max="13" width="17.28515625" customWidth="1"/>
  </cols>
  <sheetData>
    <row r="1" spans="1:14" ht="15.75" customHeight="1">
      <c r="A1" s="227"/>
      <c r="B1" s="227"/>
      <c r="C1" s="268"/>
      <c r="D1" s="268" t="s">
        <v>3985</v>
      </c>
      <c r="E1" s="269">
        <f>COUNTA(B3:B426)</f>
        <v>424</v>
      </c>
      <c r="F1" s="270" t="s">
        <v>3986</v>
      </c>
      <c r="G1" s="271">
        <f>(COUNTA(G3:G426))/E1</f>
        <v>1</v>
      </c>
      <c r="H1" s="97">
        <f>COUNTA(H3:H426)</f>
        <v>148</v>
      </c>
      <c r="I1" s="270" t="s">
        <v>3987</v>
      </c>
      <c r="J1" s="271">
        <f>COUNTA(J3:J426)/COUNTA(G3:G426)</f>
        <v>0.65094339622641506</v>
      </c>
      <c r="K1" s="272">
        <f>COUNTA(J3:J426)</f>
        <v>276</v>
      </c>
      <c r="L1" s="272"/>
      <c r="M1" s="273" t="s">
        <v>3988</v>
      </c>
      <c r="N1" s="274" t="s">
        <v>3989</v>
      </c>
    </row>
    <row r="2" spans="1:14" ht="12.75">
      <c r="A2" s="225" t="s">
        <v>3990</v>
      </c>
      <c r="B2" s="227" t="s">
        <v>247</v>
      </c>
      <c r="C2" s="226" t="s">
        <v>3991</v>
      </c>
      <c r="D2" s="225" t="s">
        <v>3992</v>
      </c>
      <c r="E2" s="225" t="s">
        <v>251</v>
      </c>
      <c r="F2" s="226" t="s">
        <v>252</v>
      </c>
      <c r="G2" s="226" t="s">
        <v>3993</v>
      </c>
      <c r="H2" s="226" t="s">
        <v>3994</v>
      </c>
      <c r="I2" s="226" t="s">
        <v>3995</v>
      </c>
      <c r="J2" s="226" t="s">
        <v>3996</v>
      </c>
      <c r="K2" s="226" t="s">
        <v>257</v>
      </c>
      <c r="L2" s="226" t="s">
        <v>3997</v>
      </c>
      <c r="M2" s="273" t="s">
        <v>3998</v>
      </c>
      <c r="N2" s="274" t="s">
        <v>3999</v>
      </c>
    </row>
    <row r="3" spans="1:14" ht="12.75">
      <c r="A3" s="275" t="s">
        <v>315</v>
      </c>
      <c r="B3" s="276" t="s">
        <v>4000</v>
      </c>
      <c r="C3" s="277">
        <v>2009</v>
      </c>
      <c r="D3" s="277">
        <v>19843481</v>
      </c>
      <c r="E3" s="278" t="str">
        <f t="shared" ref="E3:E13" si="0">"https://pubmed.ncbi.nlm.nih.gov/"&amp;D3</f>
        <v>https://pubmed.ncbi.nlm.nih.gov/19843481</v>
      </c>
      <c r="G3" s="28" t="s">
        <v>4001</v>
      </c>
      <c r="H3" s="28" t="s">
        <v>308</v>
      </c>
      <c r="I3" s="28" t="s">
        <v>4002</v>
      </c>
      <c r="M3" s="97"/>
      <c r="N3" s="97"/>
    </row>
    <row r="4" spans="1:14" ht="12.75">
      <c r="A4" s="275" t="s">
        <v>315</v>
      </c>
      <c r="B4" s="276" t="s">
        <v>4003</v>
      </c>
      <c r="C4" s="277">
        <v>2017</v>
      </c>
      <c r="D4" s="277">
        <v>28457665</v>
      </c>
      <c r="E4" s="278" t="str">
        <f t="shared" si="0"/>
        <v>https://pubmed.ncbi.nlm.nih.gov/28457665</v>
      </c>
      <c r="F4" s="28" t="s">
        <v>4004</v>
      </c>
      <c r="G4" s="28" t="s">
        <v>4001</v>
      </c>
      <c r="H4" s="28" t="s">
        <v>308</v>
      </c>
      <c r="I4" s="28" t="s">
        <v>4005</v>
      </c>
      <c r="M4" s="97"/>
      <c r="N4" s="97"/>
    </row>
    <row r="5" spans="1:14" ht="12.75">
      <c r="A5" s="275" t="s">
        <v>315</v>
      </c>
      <c r="B5" s="276" t="s">
        <v>4006</v>
      </c>
      <c r="C5" s="277">
        <v>2015</v>
      </c>
      <c r="D5" s="277">
        <v>26252534</v>
      </c>
      <c r="E5" s="278" t="str">
        <f t="shared" si="0"/>
        <v>https://pubmed.ncbi.nlm.nih.gov/26252534</v>
      </c>
      <c r="G5" s="28" t="s">
        <v>4001</v>
      </c>
      <c r="H5" s="28" t="s">
        <v>308</v>
      </c>
      <c r="I5" s="28" t="s">
        <v>4002</v>
      </c>
      <c r="M5" s="97"/>
      <c r="N5" s="97"/>
    </row>
    <row r="6" spans="1:14" ht="12.75">
      <c r="A6" s="275" t="s">
        <v>315</v>
      </c>
      <c r="B6" s="276" t="s">
        <v>296</v>
      </c>
      <c r="C6" s="277">
        <v>2016</v>
      </c>
      <c r="D6" s="277">
        <v>27001804</v>
      </c>
      <c r="E6" s="278" t="str">
        <f t="shared" si="0"/>
        <v>https://pubmed.ncbi.nlm.nih.gov/27001804</v>
      </c>
      <c r="F6" s="28" t="s">
        <v>317</v>
      </c>
      <c r="G6" s="28" t="s">
        <v>4001</v>
      </c>
      <c r="J6" s="28" t="s">
        <v>308</v>
      </c>
      <c r="K6" s="28" t="s">
        <v>4007</v>
      </c>
      <c r="L6" s="28" t="s">
        <v>4008</v>
      </c>
      <c r="M6" s="97"/>
      <c r="N6" s="97"/>
    </row>
    <row r="7" spans="1:14" ht="12.75">
      <c r="A7" s="275" t="s">
        <v>315</v>
      </c>
      <c r="B7" s="276" t="s">
        <v>338</v>
      </c>
      <c r="C7" s="277">
        <v>2013</v>
      </c>
      <c r="D7" s="277">
        <v>23457473</v>
      </c>
      <c r="E7" s="278" t="str">
        <f t="shared" si="0"/>
        <v>https://pubmed.ncbi.nlm.nih.gov/23457473</v>
      </c>
      <c r="F7" s="28" t="s">
        <v>351</v>
      </c>
      <c r="G7" s="28" t="s">
        <v>4001</v>
      </c>
      <c r="J7" s="28" t="s">
        <v>308</v>
      </c>
      <c r="K7" s="28" t="s">
        <v>4009</v>
      </c>
      <c r="L7" s="28" t="s">
        <v>4008</v>
      </c>
      <c r="M7" s="97"/>
      <c r="N7" s="97"/>
    </row>
    <row r="8" spans="1:14" ht="12.75">
      <c r="A8" s="275" t="s">
        <v>315</v>
      </c>
      <c r="B8" s="276" t="s">
        <v>632</v>
      </c>
      <c r="C8" s="277">
        <v>2018</v>
      </c>
      <c r="D8" s="277">
        <v>29389671</v>
      </c>
      <c r="E8" s="278" t="str">
        <f t="shared" si="0"/>
        <v>https://pubmed.ncbi.nlm.nih.gov/29389671</v>
      </c>
      <c r="F8" s="28" t="s">
        <v>4010</v>
      </c>
      <c r="G8" s="28" t="s">
        <v>4001</v>
      </c>
      <c r="H8" s="28" t="s">
        <v>308</v>
      </c>
      <c r="I8" s="28" t="s">
        <v>4011</v>
      </c>
      <c r="M8" s="97"/>
      <c r="N8" s="97"/>
    </row>
    <row r="9" spans="1:14" ht="12.75">
      <c r="A9" s="275" t="s">
        <v>315</v>
      </c>
      <c r="B9" s="276" t="s">
        <v>704</v>
      </c>
      <c r="C9" s="277">
        <v>2020</v>
      </c>
      <c r="D9" s="277">
        <v>31712214</v>
      </c>
      <c r="E9" s="278" t="str">
        <f t="shared" si="0"/>
        <v>https://pubmed.ncbi.nlm.nih.gov/31712214</v>
      </c>
      <c r="F9" s="28" t="s">
        <v>4010</v>
      </c>
      <c r="G9" s="28" t="s">
        <v>4001</v>
      </c>
      <c r="H9" s="28" t="s">
        <v>308</v>
      </c>
      <c r="I9" s="28" t="s">
        <v>4012</v>
      </c>
      <c r="M9" s="97"/>
      <c r="N9" s="97"/>
    </row>
    <row r="10" spans="1:14" ht="12.75">
      <c r="A10" s="275" t="s">
        <v>315</v>
      </c>
      <c r="B10" s="276" t="s">
        <v>358</v>
      </c>
      <c r="C10" s="277">
        <v>2015</v>
      </c>
      <c r="D10" s="277">
        <v>26580997</v>
      </c>
      <c r="E10" s="278" t="str">
        <f t="shared" si="0"/>
        <v>https://pubmed.ncbi.nlm.nih.gov/26580997</v>
      </c>
      <c r="F10" s="28" t="s">
        <v>390</v>
      </c>
      <c r="G10" s="28" t="s">
        <v>4001</v>
      </c>
      <c r="J10" s="28" t="s">
        <v>308</v>
      </c>
      <c r="K10" s="28" t="s">
        <v>4013</v>
      </c>
      <c r="L10" s="28" t="s">
        <v>4008</v>
      </c>
      <c r="M10" s="97"/>
      <c r="N10" s="97"/>
    </row>
    <row r="11" spans="1:14" ht="12.75">
      <c r="A11" s="275" t="s">
        <v>315</v>
      </c>
      <c r="B11" s="276" t="s">
        <v>358</v>
      </c>
      <c r="C11" s="277">
        <v>2014</v>
      </c>
      <c r="D11" s="277">
        <v>25140957</v>
      </c>
      <c r="E11" s="278" t="str">
        <f t="shared" si="0"/>
        <v>https://pubmed.ncbi.nlm.nih.gov/25140957</v>
      </c>
      <c r="F11" s="28" t="s">
        <v>377</v>
      </c>
      <c r="G11" s="28" t="s">
        <v>4001</v>
      </c>
      <c r="J11" s="28" t="s">
        <v>308</v>
      </c>
      <c r="K11" s="28" t="s">
        <v>4013</v>
      </c>
      <c r="L11" s="28" t="s">
        <v>4008</v>
      </c>
      <c r="M11" s="97"/>
      <c r="N11" s="97"/>
    </row>
    <row r="12" spans="1:14" ht="12.75">
      <c r="A12" s="275" t="s">
        <v>315</v>
      </c>
      <c r="B12" s="276" t="s">
        <v>4014</v>
      </c>
      <c r="C12" s="277">
        <v>2017</v>
      </c>
      <c r="D12" s="277">
        <v>28464026</v>
      </c>
      <c r="E12" s="278" t="str">
        <f t="shared" si="0"/>
        <v>https://pubmed.ncbi.nlm.nih.gov/28464026</v>
      </c>
      <c r="F12" s="28" t="s">
        <v>4015</v>
      </c>
      <c r="G12" s="28" t="s">
        <v>4001</v>
      </c>
      <c r="H12" s="28" t="s">
        <v>308</v>
      </c>
      <c r="I12" s="28" t="s">
        <v>4016</v>
      </c>
      <c r="M12" s="97"/>
      <c r="N12" s="97"/>
    </row>
    <row r="13" spans="1:14" ht="12.75">
      <c r="A13" s="275" t="s">
        <v>315</v>
      </c>
      <c r="B13" s="276" t="s">
        <v>4017</v>
      </c>
      <c r="C13" s="277">
        <v>2019</v>
      </c>
      <c r="D13" s="277">
        <v>30675854</v>
      </c>
      <c r="E13" s="278" t="str">
        <f t="shared" si="0"/>
        <v>https://pubmed.ncbi.nlm.nih.gov/30675854</v>
      </c>
      <c r="F13" s="28" t="s">
        <v>2582</v>
      </c>
      <c r="G13" s="28" t="s">
        <v>4001</v>
      </c>
      <c r="H13" s="28" t="s">
        <v>308</v>
      </c>
      <c r="I13" s="28" t="s">
        <v>4018</v>
      </c>
      <c r="L13" s="28" t="s">
        <v>4019</v>
      </c>
      <c r="M13" s="97"/>
      <c r="N13" s="97"/>
    </row>
    <row r="14" spans="1:14" ht="12.75">
      <c r="A14" s="275" t="s">
        <v>2582</v>
      </c>
      <c r="B14" s="275" t="s">
        <v>2572</v>
      </c>
      <c r="C14" s="279">
        <v>1973</v>
      </c>
      <c r="D14" s="279">
        <v>4583408</v>
      </c>
      <c r="E14" s="280" t="s">
        <v>2574</v>
      </c>
      <c r="F14" s="28" t="s">
        <v>2583</v>
      </c>
      <c r="G14" s="28" t="s">
        <v>4001</v>
      </c>
      <c r="H14" s="28" t="s">
        <v>308</v>
      </c>
      <c r="I14" s="28" t="s">
        <v>4020</v>
      </c>
      <c r="K14" s="28" t="s">
        <v>4021</v>
      </c>
      <c r="L14" s="28"/>
      <c r="M14" s="97"/>
      <c r="N14" s="97"/>
    </row>
    <row r="15" spans="1:14" ht="12.75">
      <c r="A15" s="275" t="s">
        <v>2582</v>
      </c>
      <c r="B15" s="275" t="s">
        <v>2572</v>
      </c>
      <c r="C15" s="279">
        <v>1973</v>
      </c>
      <c r="D15" s="279">
        <v>4590095</v>
      </c>
      <c r="E15" s="280" t="s">
        <v>4022</v>
      </c>
      <c r="F15" s="28" t="s">
        <v>4023</v>
      </c>
      <c r="G15" s="28" t="s">
        <v>4001</v>
      </c>
      <c r="H15" s="28" t="s">
        <v>308</v>
      </c>
      <c r="I15" s="28" t="s">
        <v>4024</v>
      </c>
      <c r="M15" s="97"/>
      <c r="N15" s="97"/>
    </row>
    <row r="16" spans="1:14" ht="12.75">
      <c r="A16" s="275" t="s">
        <v>2582</v>
      </c>
      <c r="B16" s="275" t="s">
        <v>2572</v>
      </c>
      <c r="C16" s="279">
        <v>1975</v>
      </c>
      <c r="D16" s="279">
        <v>808142</v>
      </c>
      <c r="E16" s="280" t="s">
        <v>4025</v>
      </c>
      <c r="F16" s="28" t="s">
        <v>4026</v>
      </c>
      <c r="G16" s="28" t="s">
        <v>4001</v>
      </c>
      <c r="H16" s="28" t="s">
        <v>308</v>
      </c>
      <c r="I16" s="28" t="s">
        <v>4027</v>
      </c>
      <c r="M16" s="97"/>
      <c r="N16" s="97"/>
    </row>
    <row r="17" spans="1:14" ht="12.75">
      <c r="A17" s="275" t="s">
        <v>2582</v>
      </c>
      <c r="B17" s="275" t="s">
        <v>2594</v>
      </c>
      <c r="C17" s="279">
        <v>1992</v>
      </c>
      <c r="D17" s="279">
        <v>1346766</v>
      </c>
      <c r="E17" s="280" t="s">
        <v>2596</v>
      </c>
      <c r="F17" s="28" t="s">
        <v>2600</v>
      </c>
      <c r="G17" s="28" t="s">
        <v>4001</v>
      </c>
      <c r="I17" s="28"/>
      <c r="J17" s="28" t="s">
        <v>308</v>
      </c>
      <c r="K17" s="28" t="s">
        <v>4028</v>
      </c>
      <c r="L17" s="28" t="s">
        <v>4008</v>
      </c>
      <c r="M17" s="97"/>
      <c r="N17" s="97"/>
    </row>
    <row r="18" spans="1:14" ht="12.75">
      <c r="A18" s="275" t="s">
        <v>2582</v>
      </c>
      <c r="B18" s="275" t="s">
        <v>2601</v>
      </c>
      <c r="C18" s="279">
        <v>1993</v>
      </c>
      <c r="D18" s="279">
        <v>8376823</v>
      </c>
      <c r="E18" s="280" t="s">
        <v>2603</v>
      </c>
      <c r="F18" s="28" t="s">
        <v>2609</v>
      </c>
      <c r="G18" s="28" t="s">
        <v>4001</v>
      </c>
      <c r="I18" s="28"/>
      <c r="J18" s="28" t="s">
        <v>308</v>
      </c>
      <c r="K18" s="28" t="s">
        <v>4029</v>
      </c>
      <c r="L18" s="28" t="s">
        <v>4008</v>
      </c>
      <c r="M18" s="97"/>
      <c r="N18" s="97"/>
    </row>
    <row r="19" spans="1:14" ht="12.75">
      <c r="A19" s="275" t="s">
        <v>2582</v>
      </c>
      <c r="B19" s="275" t="s">
        <v>2616</v>
      </c>
      <c r="C19" s="279">
        <v>2011</v>
      </c>
      <c r="D19" s="279">
        <v>21903775</v>
      </c>
      <c r="E19" s="280" t="s">
        <v>2618</v>
      </c>
      <c r="F19" s="28" t="s">
        <v>2623</v>
      </c>
      <c r="G19" s="28" t="s">
        <v>4001</v>
      </c>
      <c r="I19" s="28"/>
      <c r="J19" s="28" t="s">
        <v>308</v>
      </c>
      <c r="K19" s="28" t="s">
        <v>4030</v>
      </c>
      <c r="L19" s="28" t="s">
        <v>4008</v>
      </c>
      <c r="M19" s="97"/>
      <c r="N19" s="97"/>
    </row>
    <row r="20" spans="1:14" ht="12.75">
      <c r="A20" s="275" t="s">
        <v>2582</v>
      </c>
      <c r="B20" s="275" t="s">
        <v>1922</v>
      </c>
      <c r="C20" s="279">
        <v>1987</v>
      </c>
      <c r="D20" s="279">
        <v>2439920</v>
      </c>
      <c r="E20" s="280" t="s">
        <v>2630</v>
      </c>
      <c r="F20" s="28" t="s">
        <v>2635</v>
      </c>
      <c r="G20" s="28" t="s">
        <v>4001</v>
      </c>
      <c r="I20" s="28"/>
      <c r="J20" s="28" t="s">
        <v>308</v>
      </c>
      <c r="K20" s="28" t="s">
        <v>4030</v>
      </c>
      <c r="L20" s="28" t="s">
        <v>4008</v>
      </c>
      <c r="M20" s="97"/>
      <c r="N20" s="97"/>
    </row>
    <row r="21" spans="1:14" ht="12.75">
      <c r="A21" s="275" t="s">
        <v>2582</v>
      </c>
      <c r="B21" s="275" t="s">
        <v>1922</v>
      </c>
      <c r="C21" s="279">
        <v>1988</v>
      </c>
      <c r="D21" s="279">
        <v>3043855</v>
      </c>
      <c r="E21" s="280" t="s">
        <v>4031</v>
      </c>
      <c r="F21" s="28" t="s">
        <v>4032</v>
      </c>
      <c r="G21" s="28" t="s">
        <v>4001</v>
      </c>
      <c r="H21" s="28" t="s">
        <v>308</v>
      </c>
      <c r="I21" s="28" t="s">
        <v>4033</v>
      </c>
      <c r="M21" s="97"/>
      <c r="N21" s="97"/>
    </row>
    <row r="22" spans="1:14" ht="12.75">
      <c r="A22" s="275" t="s">
        <v>2582</v>
      </c>
      <c r="B22" s="275" t="s">
        <v>1922</v>
      </c>
      <c r="C22" s="279">
        <v>1990</v>
      </c>
      <c r="D22" s="279">
        <v>2094588</v>
      </c>
      <c r="E22" s="280" t="s">
        <v>2640</v>
      </c>
      <c r="F22" s="28" t="s">
        <v>2645</v>
      </c>
      <c r="G22" s="28" t="s">
        <v>4001</v>
      </c>
      <c r="I22" s="28"/>
      <c r="J22" s="28" t="s">
        <v>308</v>
      </c>
      <c r="K22" s="28" t="s">
        <v>4034</v>
      </c>
      <c r="L22" s="28" t="s">
        <v>4008</v>
      </c>
      <c r="M22" s="97"/>
      <c r="N22" s="97"/>
    </row>
    <row r="23" spans="1:14" ht="12.75">
      <c r="A23" s="275" t="s">
        <v>2582</v>
      </c>
      <c r="B23" s="275" t="s">
        <v>1922</v>
      </c>
      <c r="C23" s="279">
        <v>1991</v>
      </c>
      <c r="D23" s="279">
        <v>1951863</v>
      </c>
      <c r="E23" s="280" t="s">
        <v>2647</v>
      </c>
      <c r="F23" s="28" t="s">
        <v>2655</v>
      </c>
      <c r="G23" s="28" t="s">
        <v>4001</v>
      </c>
      <c r="J23" s="28" t="s">
        <v>308</v>
      </c>
      <c r="K23" s="28" t="s">
        <v>4035</v>
      </c>
      <c r="L23" s="28" t="s">
        <v>4008</v>
      </c>
      <c r="M23" s="97"/>
      <c r="N23" s="97"/>
    </row>
    <row r="24" spans="1:14" ht="12.75">
      <c r="A24" s="275" t="s">
        <v>2582</v>
      </c>
      <c r="B24" s="275" t="s">
        <v>2656</v>
      </c>
      <c r="C24" s="279">
        <v>1994</v>
      </c>
      <c r="D24" s="279">
        <v>7985753</v>
      </c>
      <c r="E24" s="280" t="s">
        <v>2658</v>
      </c>
      <c r="F24" s="28" t="s">
        <v>2668</v>
      </c>
      <c r="G24" s="28" t="s">
        <v>4001</v>
      </c>
      <c r="J24" s="28" t="s">
        <v>308</v>
      </c>
      <c r="K24" s="28" t="s">
        <v>335</v>
      </c>
      <c r="L24" s="28" t="s">
        <v>4008</v>
      </c>
      <c r="M24" s="97"/>
      <c r="N24" s="97"/>
    </row>
    <row r="25" spans="1:14" ht="12.75">
      <c r="A25" s="275" t="s">
        <v>2582</v>
      </c>
      <c r="B25" s="275" t="s">
        <v>2669</v>
      </c>
      <c r="C25" s="279">
        <v>2016</v>
      </c>
      <c r="D25" s="279">
        <v>27158907</v>
      </c>
      <c r="E25" s="280" t="s">
        <v>2671</v>
      </c>
      <c r="F25" s="28" t="s">
        <v>2683</v>
      </c>
      <c r="G25" s="28" t="s">
        <v>4001</v>
      </c>
      <c r="I25" s="28"/>
      <c r="J25" s="28" t="s">
        <v>308</v>
      </c>
      <c r="K25" s="28" t="s">
        <v>4036</v>
      </c>
      <c r="L25" s="28" t="s">
        <v>4008</v>
      </c>
      <c r="M25" s="97"/>
      <c r="N25" s="97"/>
    </row>
    <row r="26" spans="1:14" ht="12.75">
      <c r="A26" s="275" t="s">
        <v>2582</v>
      </c>
      <c r="B26" s="275" t="s">
        <v>4037</v>
      </c>
      <c r="C26" s="279">
        <v>2013</v>
      </c>
      <c r="D26" s="279">
        <v>23874828</v>
      </c>
      <c r="E26" s="280" t="s">
        <v>4038</v>
      </c>
      <c r="F26" s="28" t="s">
        <v>4010</v>
      </c>
      <c r="G26" s="28" t="s">
        <v>4001</v>
      </c>
      <c r="H26" s="28" t="s">
        <v>4039</v>
      </c>
      <c r="I26" s="28" t="s">
        <v>4040</v>
      </c>
      <c r="M26" s="97"/>
      <c r="N26" s="97"/>
    </row>
    <row r="27" spans="1:14" ht="12.75">
      <c r="A27" s="275" t="s">
        <v>2582</v>
      </c>
      <c r="B27" s="275" t="s">
        <v>1084</v>
      </c>
      <c r="C27" s="279">
        <v>2010</v>
      </c>
      <c r="D27" s="279">
        <v>21042404</v>
      </c>
      <c r="E27" s="280" t="s">
        <v>4041</v>
      </c>
      <c r="F27" s="28" t="s">
        <v>4010</v>
      </c>
      <c r="G27" s="28" t="s">
        <v>4001</v>
      </c>
      <c r="H27" s="28" t="s">
        <v>308</v>
      </c>
      <c r="I27" s="28" t="s">
        <v>4042</v>
      </c>
      <c r="M27" s="97"/>
      <c r="N27" s="97"/>
    </row>
    <row r="28" spans="1:14" ht="12.75">
      <c r="A28" s="275" t="s">
        <v>2582</v>
      </c>
      <c r="B28" s="275" t="s">
        <v>1084</v>
      </c>
      <c r="C28" s="279">
        <v>2015</v>
      </c>
      <c r="D28" s="279">
        <v>26416102</v>
      </c>
      <c r="E28" s="280" t="s">
        <v>2706</v>
      </c>
      <c r="F28" s="28" t="s">
        <v>2717</v>
      </c>
      <c r="G28" s="28" t="s">
        <v>4001</v>
      </c>
      <c r="I28" s="28"/>
      <c r="J28" s="28" t="s">
        <v>308</v>
      </c>
      <c r="L28" s="28" t="s">
        <v>4008</v>
      </c>
      <c r="M28" s="97"/>
      <c r="N28" s="97"/>
    </row>
    <row r="29" spans="1:14" ht="12.75">
      <c r="A29" s="275" t="s">
        <v>2582</v>
      </c>
      <c r="B29" s="275" t="s">
        <v>1084</v>
      </c>
      <c r="C29" s="279">
        <v>2017</v>
      </c>
      <c r="D29" s="279">
        <v>28223498</v>
      </c>
      <c r="E29" s="280" t="s">
        <v>2718</v>
      </c>
      <c r="F29" s="28" t="s">
        <v>2725</v>
      </c>
      <c r="G29" s="28" t="s">
        <v>4001</v>
      </c>
      <c r="I29" s="28"/>
      <c r="J29" s="28" t="s">
        <v>308</v>
      </c>
      <c r="K29" s="28" t="s">
        <v>4043</v>
      </c>
      <c r="L29" s="28" t="s">
        <v>4008</v>
      </c>
      <c r="M29" s="97"/>
      <c r="N29" s="97"/>
    </row>
    <row r="30" spans="1:14" ht="12.75">
      <c r="A30" s="275" t="s">
        <v>315</v>
      </c>
      <c r="B30" s="276" t="s">
        <v>391</v>
      </c>
      <c r="C30" s="277">
        <v>2016</v>
      </c>
      <c r="D30" s="277">
        <v>27448805</v>
      </c>
      <c r="E30" s="278" t="str">
        <f t="shared" ref="E30:E37" si="1">"https://pubmed.ncbi.nlm.nih.gov/"&amp;D30</f>
        <v>https://pubmed.ncbi.nlm.nih.gov/27448805</v>
      </c>
      <c r="F30" s="28" t="s">
        <v>402</v>
      </c>
      <c r="G30" s="28" t="s">
        <v>4001</v>
      </c>
      <c r="J30" s="28" t="s">
        <v>308</v>
      </c>
      <c r="K30" s="28" t="s">
        <v>4044</v>
      </c>
      <c r="L30" s="28" t="s">
        <v>4008</v>
      </c>
      <c r="M30" s="97"/>
      <c r="N30" s="97"/>
    </row>
    <row r="31" spans="1:14" ht="12.75">
      <c r="A31" s="275" t="s">
        <v>315</v>
      </c>
      <c r="B31" s="276" t="s">
        <v>408</v>
      </c>
      <c r="C31" s="277">
        <v>2021</v>
      </c>
      <c r="D31" s="277">
        <v>32645714</v>
      </c>
      <c r="E31" s="278" t="str">
        <f t="shared" si="1"/>
        <v>https://pubmed.ncbi.nlm.nih.gov/32645714</v>
      </c>
      <c r="F31" s="28" t="s">
        <v>422</v>
      </c>
      <c r="G31" s="28" t="s">
        <v>4001</v>
      </c>
      <c r="J31" s="28" t="s">
        <v>308</v>
      </c>
      <c r="L31" s="28" t="s">
        <v>4008</v>
      </c>
      <c r="M31" s="97"/>
      <c r="N31" s="97"/>
    </row>
    <row r="32" spans="1:14" ht="12.75">
      <c r="A32" s="275" t="s">
        <v>315</v>
      </c>
      <c r="B32" s="276" t="s">
        <v>4045</v>
      </c>
      <c r="C32" s="277">
        <v>2019</v>
      </c>
      <c r="D32" s="277">
        <v>31494096</v>
      </c>
      <c r="E32" s="278" t="str">
        <f t="shared" si="1"/>
        <v>https://pubmed.ncbi.nlm.nih.gov/31494096</v>
      </c>
      <c r="F32" s="28" t="s">
        <v>4046</v>
      </c>
      <c r="G32" s="28" t="s">
        <v>4001</v>
      </c>
      <c r="H32" s="28" t="s">
        <v>308</v>
      </c>
      <c r="I32" s="28" t="s">
        <v>4047</v>
      </c>
      <c r="M32" s="97"/>
      <c r="N32" s="97"/>
    </row>
    <row r="33" spans="1:14" ht="12.75">
      <c r="A33" s="275" t="s">
        <v>315</v>
      </c>
      <c r="B33" s="276" t="s">
        <v>423</v>
      </c>
      <c r="C33" s="277">
        <v>2020</v>
      </c>
      <c r="D33" s="277">
        <v>32066978</v>
      </c>
      <c r="E33" s="278" t="str">
        <f t="shared" si="1"/>
        <v>https://pubmed.ncbi.nlm.nih.gov/32066978</v>
      </c>
      <c r="F33" s="28" t="s">
        <v>439</v>
      </c>
      <c r="G33" s="28" t="s">
        <v>4001</v>
      </c>
      <c r="J33" s="28" t="s">
        <v>308</v>
      </c>
      <c r="L33" s="28" t="s">
        <v>4008</v>
      </c>
      <c r="M33" s="97"/>
      <c r="N33" s="97"/>
    </row>
    <row r="34" spans="1:14" ht="12.75">
      <c r="A34" s="275" t="s">
        <v>315</v>
      </c>
      <c r="B34" s="276" t="s">
        <v>1071</v>
      </c>
      <c r="C34" s="277">
        <v>2020</v>
      </c>
      <c r="D34" s="277">
        <v>32938444</v>
      </c>
      <c r="E34" s="278" t="str">
        <f t="shared" si="1"/>
        <v>https://pubmed.ncbi.nlm.nih.gov/32938444</v>
      </c>
      <c r="F34" s="28" t="s">
        <v>4010</v>
      </c>
      <c r="G34" s="28" t="s">
        <v>4001</v>
      </c>
      <c r="H34" s="28" t="s">
        <v>308</v>
      </c>
      <c r="I34" s="28" t="s">
        <v>4048</v>
      </c>
      <c r="M34" s="97"/>
      <c r="N34" s="97"/>
    </row>
    <row r="35" spans="1:14" ht="12.75">
      <c r="A35" s="275" t="s">
        <v>315</v>
      </c>
      <c r="B35" s="276" t="s">
        <v>440</v>
      </c>
      <c r="C35" s="277">
        <v>2018</v>
      </c>
      <c r="D35" s="277">
        <v>29567461</v>
      </c>
      <c r="E35" s="278" t="str">
        <f t="shared" si="1"/>
        <v>https://pubmed.ncbi.nlm.nih.gov/29567461</v>
      </c>
      <c r="F35" s="28" t="s">
        <v>456</v>
      </c>
      <c r="G35" s="28" t="s">
        <v>4001</v>
      </c>
      <c r="J35" s="28" t="s">
        <v>308</v>
      </c>
      <c r="K35" s="28" t="s">
        <v>4049</v>
      </c>
      <c r="L35" s="28" t="s">
        <v>4008</v>
      </c>
      <c r="M35" s="97"/>
      <c r="N35" s="97"/>
    </row>
    <row r="36" spans="1:14" ht="12.75">
      <c r="A36" s="275" t="s">
        <v>315</v>
      </c>
      <c r="B36" s="276" t="s">
        <v>4050</v>
      </c>
      <c r="C36" s="277">
        <v>1999</v>
      </c>
      <c r="D36" s="277">
        <v>10411194</v>
      </c>
      <c r="E36" s="278" t="str">
        <f t="shared" si="1"/>
        <v>https://pubmed.ncbi.nlm.nih.gov/10411194</v>
      </c>
      <c r="F36" s="28" t="s">
        <v>4051</v>
      </c>
      <c r="G36" s="28" t="s">
        <v>4001</v>
      </c>
      <c r="H36" s="28" t="s">
        <v>308</v>
      </c>
      <c r="I36" s="28" t="s">
        <v>4052</v>
      </c>
      <c r="M36" s="97"/>
      <c r="N36" s="97"/>
    </row>
    <row r="37" spans="1:14" ht="12.75">
      <c r="A37" s="275" t="s">
        <v>315</v>
      </c>
      <c r="B37" s="276" t="s">
        <v>4053</v>
      </c>
      <c r="C37" s="277">
        <v>2018</v>
      </c>
      <c r="D37" s="277">
        <v>29590182</v>
      </c>
      <c r="E37" s="278" t="str">
        <f t="shared" si="1"/>
        <v>https://pubmed.ncbi.nlm.nih.gov/29590182</v>
      </c>
      <c r="F37" s="28" t="s">
        <v>2743</v>
      </c>
      <c r="G37" s="28" t="s">
        <v>4001</v>
      </c>
      <c r="H37" s="28" t="s">
        <v>308</v>
      </c>
      <c r="I37" s="28" t="s">
        <v>4018</v>
      </c>
      <c r="L37" s="28" t="s">
        <v>4019</v>
      </c>
      <c r="M37" s="97"/>
      <c r="N37" s="97"/>
    </row>
    <row r="38" spans="1:14" ht="12.75">
      <c r="A38" s="275" t="s">
        <v>2743</v>
      </c>
      <c r="B38" s="275" t="s">
        <v>1616</v>
      </c>
      <c r="C38" s="279">
        <v>1999</v>
      </c>
      <c r="D38" s="279">
        <v>10377124</v>
      </c>
      <c r="E38" s="281" t="s">
        <v>2734</v>
      </c>
      <c r="F38" s="28" t="s">
        <v>2744</v>
      </c>
      <c r="G38" s="28" t="s">
        <v>4001</v>
      </c>
      <c r="I38" s="28"/>
      <c r="J38" s="28" t="s">
        <v>308</v>
      </c>
      <c r="K38" s="28" t="s">
        <v>4028</v>
      </c>
      <c r="L38" s="28" t="s">
        <v>4008</v>
      </c>
      <c r="M38" s="97"/>
      <c r="N38" s="97"/>
    </row>
    <row r="39" spans="1:14" ht="12.75">
      <c r="A39" s="275" t="s">
        <v>2743</v>
      </c>
      <c r="B39" s="275" t="s">
        <v>2745</v>
      </c>
      <c r="C39" s="279">
        <v>1972</v>
      </c>
      <c r="D39" s="279">
        <v>4550416</v>
      </c>
      <c r="E39" s="281" t="s">
        <v>2746</v>
      </c>
      <c r="F39" s="28" t="s">
        <v>2755</v>
      </c>
      <c r="G39" s="28" t="s">
        <v>4001</v>
      </c>
      <c r="H39" s="28" t="s">
        <v>308</v>
      </c>
      <c r="I39" s="282" t="s">
        <v>4020</v>
      </c>
      <c r="K39" s="28" t="s">
        <v>4054</v>
      </c>
      <c r="L39" s="28"/>
      <c r="M39" s="97"/>
      <c r="N39" s="97"/>
    </row>
    <row r="40" spans="1:14" ht="12.75">
      <c r="A40" s="275" t="s">
        <v>2743</v>
      </c>
      <c r="B40" s="275" t="s">
        <v>4055</v>
      </c>
      <c r="C40" s="279">
        <v>2001</v>
      </c>
      <c r="D40" s="283" t="s">
        <v>4056</v>
      </c>
      <c r="E40" s="28"/>
      <c r="F40" s="28" t="s">
        <v>4057</v>
      </c>
      <c r="G40" s="28" t="s">
        <v>4001</v>
      </c>
      <c r="H40" s="28" t="s">
        <v>308</v>
      </c>
      <c r="I40" s="28" t="s">
        <v>4058</v>
      </c>
      <c r="M40" s="97"/>
      <c r="N40" s="97"/>
    </row>
    <row r="41" spans="1:14" ht="12.75">
      <c r="A41" s="275" t="s">
        <v>2743</v>
      </c>
      <c r="B41" s="275" t="s">
        <v>872</v>
      </c>
      <c r="C41" s="279">
        <v>2009</v>
      </c>
      <c r="D41" s="283" t="s">
        <v>4059</v>
      </c>
      <c r="E41" s="28"/>
      <c r="F41" s="28" t="s">
        <v>4057</v>
      </c>
      <c r="G41" s="28" t="s">
        <v>4001</v>
      </c>
      <c r="H41" s="28" t="s">
        <v>308</v>
      </c>
      <c r="I41" s="28" t="s">
        <v>4058</v>
      </c>
      <c r="M41" s="97"/>
      <c r="N41" s="97"/>
    </row>
    <row r="42" spans="1:14" ht="12.75">
      <c r="A42" s="275" t="s">
        <v>2743</v>
      </c>
      <c r="B42" s="275" t="s">
        <v>1922</v>
      </c>
      <c r="C42" s="279">
        <v>1990</v>
      </c>
      <c r="D42" s="279">
        <v>2204243</v>
      </c>
      <c r="E42" s="281" t="s">
        <v>4060</v>
      </c>
      <c r="F42" s="28" t="s">
        <v>4010</v>
      </c>
      <c r="G42" s="28" t="s">
        <v>4001</v>
      </c>
      <c r="H42" s="28" t="s">
        <v>308</v>
      </c>
      <c r="I42" s="28" t="s">
        <v>4061</v>
      </c>
      <c r="M42" s="97"/>
      <c r="N42" s="97"/>
    </row>
    <row r="43" spans="1:14" ht="12.75">
      <c r="A43" s="275" t="s">
        <v>2743</v>
      </c>
      <c r="B43" s="275" t="s">
        <v>1980</v>
      </c>
      <c r="C43" s="279">
        <v>1995</v>
      </c>
      <c r="D43" s="279">
        <v>7639017</v>
      </c>
      <c r="E43" s="281" t="s">
        <v>2761</v>
      </c>
      <c r="F43" s="28" t="s">
        <v>2770</v>
      </c>
      <c r="G43" s="28" t="s">
        <v>4001</v>
      </c>
      <c r="I43" s="28"/>
      <c r="J43" s="28" t="s">
        <v>308</v>
      </c>
      <c r="K43" s="28" t="s">
        <v>4062</v>
      </c>
      <c r="L43" s="28" t="s">
        <v>4008</v>
      </c>
      <c r="M43" s="97"/>
      <c r="N43" s="97"/>
    </row>
    <row r="44" spans="1:14" ht="12.75">
      <c r="A44" s="275" t="s">
        <v>2743</v>
      </c>
      <c r="B44" s="275" t="s">
        <v>1980</v>
      </c>
      <c r="C44" s="279">
        <v>1995</v>
      </c>
      <c r="D44" s="279">
        <v>8578831</v>
      </c>
      <c r="E44" s="281" t="s">
        <v>4063</v>
      </c>
      <c r="F44" s="28" t="s">
        <v>4010</v>
      </c>
      <c r="G44" s="28" t="s">
        <v>4001</v>
      </c>
      <c r="H44" s="28" t="s">
        <v>4039</v>
      </c>
      <c r="I44" s="28" t="s">
        <v>4064</v>
      </c>
      <c r="M44" s="97"/>
      <c r="N44" s="97"/>
    </row>
    <row r="45" spans="1:14" ht="12.75">
      <c r="A45" s="275" t="s">
        <v>2743</v>
      </c>
      <c r="B45" s="275" t="s">
        <v>1221</v>
      </c>
      <c r="C45" s="279">
        <v>2016</v>
      </c>
      <c r="D45" s="279">
        <v>27146000</v>
      </c>
      <c r="E45" s="281" t="s">
        <v>4065</v>
      </c>
      <c r="F45" s="28" t="s">
        <v>4010</v>
      </c>
      <c r="G45" s="28" t="s">
        <v>4001</v>
      </c>
      <c r="H45" s="28" t="s">
        <v>308</v>
      </c>
      <c r="I45" s="28" t="s">
        <v>4066</v>
      </c>
      <c r="M45" s="97"/>
      <c r="N45" s="97"/>
    </row>
    <row r="46" spans="1:14" ht="12.75">
      <c r="A46" s="275" t="s">
        <v>2743</v>
      </c>
      <c r="B46" s="275" t="s">
        <v>2319</v>
      </c>
      <c r="C46" s="279">
        <v>1992</v>
      </c>
      <c r="D46" s="279">
        <v>1524140</v>
      </c>
      <c r="E46" s="281" t="s">
        <v>2771</v>
      </c>
      <c r="F46" s="28" t="s">
        <v>2779</v>
      </c>
      <c r="G46" s="28" t="s">
        <v>4001</v>
      </c>
      <c r="J46" s="28" t="s">
        <v>308</v>
      </c>
      <c r="K46" s="28" t="s">
        <v>4067</v>
      </c>
      <c r="L46" s="28" t="s">
        <v>4008</v>
      </c>
      <c r="M46" s="97"/>
      <c r="N46" s="97"/>
    </row>
    <row r="47" spans="1:14" ht="12.75">
      <c r="A47" s="275" t="s">
        <v>2743</v>
      </c>
      <c r="B47" s="275" t="s">
        <v>1331</v>
      </c>
      <c r="C47" s="279">
        <v>2017</v>
      </c>
      <c r="D47" s="284" t="s">
        <v>4068</v>
      </c>
      <c r="E47" s="28"/>
      <c r="F47" s="28" t="s">
        <v>4057</v>
      </c>
      <c r="G47" s="28" t="s">
        <v>4001</v>
      </c>
      <c r="H47" s="28" t="s">
        <v>308</v>
      </c>
      <c r="I47" s="28" t="s">
        <v>4058</v>
      </c>
      <c r="M47" s="97"/>
      <c r="N47" s="97"/>
    </row>
    <row r="48" spans="1:14" ht="12.75">
      <c r="A48" s="275" t="s">
        <v>2743</v>
      </c>
      <c r="B48" s="275" t="s">
        <v>2783</v>
      </c>
      <c r="C48" s="279">
        <v>2006</v>
      </c>
      <c r="D48" s="285">
        <v>16586388</v>
      </c>
      <c r="E48" s="280" t="s">
        <v>2784</v>
      </c>
      <c r="F48" s="28" t="s">
        <v>2794</v>
      </c>
      <c r="G48" s="28" t="s">
        <v>4001</v>
      </c>
      <c r="I48" s="28"/>
      <c r="J48" s="28" t="s">
        <v>308</v>
      </c>
      <c r="L48" s="28" t="s">
        <v>4008</v>
      </c>
      <c r="M48" s="97"/>
      <c r="N48" s="97"/>
    </row>
    <row r="49" spans="1:31" ht="12.75">
      <c r="A49" s="275" t="s">
        <v>2743</v>
      </c>
      <c r="B49" s="275" t="s">
        <v>4069</v>
      </c>
      <c r="C49" s="279">
        <v>1946</v>
      </c>
      <c r="D49" s="285">
        <v>20998311</v>
      </c>
      <c r="E49" s="280" t="s">
        <v>4070</v>
      </c>
      <c r="F49" s="28" t="s">
        <v>4071</v>
      </c>
      <c r="G49" s="28" t="s">
        <v>4001</v>
      </c>
      <c r="H49" s="28" t="s">
        <v>308</v>
      </c>
      <c r="I49" s="282" t="s">
        <v>4020</v>
      </c>
      <c r="M49" s="97"/>
      <c r="N49" s="97"/>
    </row>
    <row r="50" spans="1:31" ht="12.75">
      <c r="A50" s="275" t="s">
        <v>315</v>
      </c>
      <c r="B50" s="276" t="s">
        <v>1255</v>
      </c>
      <c r="C50" s="277">
        <v>2018</v>
      </c>
      <c r="D50" s="277">
        <v>29482720</v>
      </c>
      <c r="E50" s="278" t="str">
        <f t="shared" ref="E50:E63" si="2">"https://pubmed.ncbi.nlm.nih.gov/"&amp;D50</f>
        <v>https://pubmed.ncbi.nlm.nih.gov/29482720</v>
      </c>
      <c r="F50" s="28" t="s">
        <v>4010</v>
      </c>
      <c r="G50" s="28" t="s">
        <v>4001</v>
      </c>
      <c r="H50" s="28" t="s">
        <v>308</v>
      </c>
      <c r="I50" s="28" t="s">
        <v>4072</v>
      </c>
      <c r="M50" s="97"/>
      <c r="N50" s="97"/>
    </row>
    <row r="51" spans="1:31" ht="12.75">
      <c r="A51" s="275" t="s">
        <v>315</v>
      </c>
      <c r="B51" s="276" t="s">
        <v>4073</v>
      </c>
      <c r="C51" s="277">
        <v>2011</v>
      </c>
      <c r="D51" s="277">
        <v>21639872</v>
      </c>
      <c r="E51" s="278" t="str">
        <f t="shared" si="2"/>
        <v>https://pubmed.ncbi.nlm.nih.gov/21639872</v>
      </c>
      <c r="F51" s="28" t="s">
        <v>4074</v>
      </c>
      <c r="G51" s="28" t="s">
        <v>4001</v>
      </c>
      <c r="H51" s="28" t="s">
        <v>308</v>
      </c>
      <c r="I51" s="28" t="s">
        <v>4075</v>
      </c>
      <c r="M51" s="97"/>
      <c r="N51" s="97"/>
    </row>
    <row r="52" spans="1:31" ht="12.75">
      <c r="A52" s="275" t="s">
        <v>315</v>
      </c>
      <c r="B52" s="276" t="s">
        <v>464</v>
      </c>
      <c r="C52" s="277">
        <v>2018</v>
      </c>
      <c r="D52" s="277">
        <v>29684148</v>
      </c>
      <c r="E52" s="278" t="str">
        <f t="shared" si="2"/>
        <v>https://pubmed.ncbi.nlm.nih.gov/29684148</v>
      </c>
      <c r="F52" s="28" t="s">
        <v>479</v>
      </c>
      <c r="G52" s="28" t="s">
        <v>4001</v>
      </c>
      <c r="J52" s="28" t="s">
        <v>308</v>
      </c>
      <c r="K52" s="28" t="s">
        <v>4076</v>
      </c>
      <c r="L52" s="28" t="s">
        <v>4008</v>
      </c>
      <c r="M52" s="97"/>
      <c r="N52" s="97"/>
    </row>
    <row r="53" spans="1:31" ht="12.75">
      <c r="A53" s="275" t="s">
        <v>315</v>
      </c>
      <c r="B53" s="276" t="s">
        <v>480</v>
      </c>
      <c r="C53" s="277">
        <v>2019</v>
      </c>
      <c r="D53" s="277">
        <v>30787276</v>
      </c>
      <c r="E53" s="278" t="str">
        <f t="shared" si="2"/>
        <v>https://pubmed.ncbi.nlm.nih.gov/30787276</v>
      </c>
      <c r="F53" s="28" t="s">
        <v>490</v>
      </c>
      <c r="G53" s="28" t="s">
        <v>4001</v>
      </c>
      <c r="J53" s="28" t="s">
        <v>308</v>
      </c>
      <c r="K53" s="28" t="s">
        <v>4077</v>
      </c>
      <c r="L53" s="28" t="s">
        <v>4008</v>
      </c>
      <c r="M53" s="97"/>
      <c r="N53" s="97"/>
    </row>
    <row r="54" spans="1:31" ht="12.75">
      <c r="A54" s="286" t="s">
        <v>315</v>
      </c>
      <c r="B54" s="287" t="s">
        <v>1404</v>
      </c>
      <c r="C54" s="288">
        <v>2020</v>
      </c>
      <c r="D54" s="288">
        <v>32822347</v>
      </c>
      <c r="E54" s="289" t="str">
        <f t="shared" si="2"/>
        <v>https://pubmed.ncbi.nlm.nih.gov/32822347</v>
      </c>
      <c r="F54" s="113" t="s">
        <v>4010</v>
      </c>
      <c r="G54" s="113" t="s">
        <v>4001</v>
      </c>
      <c r="H54" s="113" t="s">
        <v>308</v>
      </c>
      <c r="I54" s="113" t="s">
        <v>4078</v>
      </c>
      <c r="J54" s="290"/>
      <c r="K54" s="290"/>
      <c r="L54" s="290"/>
      <c r="M54" s="291"/>
      <c r="N54" s="291"/>
      <c r="O54" s="290"/>
      <c r="P54" s="290"/>
      <c r="Q54" s="290"/>
      <c r="R54" s="290"/>
      <c r="S54" s="290"/>
      <c r="T54" s="290"/>
      <c r="U54" s="290"/>
      <c r="V54" s="290"/>
      <c r="W54" s="290"/>
      <c r="X54" s="290"/>
      <c r="Y54" s="290"/>
      <c r="Z54" s="290"/>
      <c r="AA54" s="290"/>
      <c r="AB54" s="290"/>
      <c r="AC54" s="290"/>
      <c r="AD54" s="290"/>
      <c r="AE54" s="290"/>
    </row>
    <row r="55" spans="1:31" ht="12.75">
      <c r="A55" s="225" t="s">
        <v>517</v>
      </c>
      <c r="B55" s="225" t="s">
        <v>502</v>
      </c>
      <c r="C55" s="226">
        <v>2020</v>
      </c>
      <c r="D55" s="225">
        <v>31402382</v>
      </c>
      <c r="E55" s="228" t="str">
        <f t="shared" si="2"/>
        <v>https://pubmed.ncbi.nlm.nih.gov/31402382</v>
      </c>
      <c r="F55" s="226" t="s">
        <v>518</v>
      </c>
      <c r="G55" s="226" t="s">
        <v>4079</v>
      </c>
      <c r="H55" s="226"/>
      <c r="I55" s="97"/>
      <c r="J55" s="226" t="s">
        <v>308</v>
      </c>
      <c r="K55" s="97"/>
      <c r="L55" s="28" t="s">
        <v>4008</v>
      </c>
      <c r="M55" s="97"/>
      <c r="N55" s="97"/>
    </row>
    <row r="56" spans="1:31" ht="12.75">
      <c r="A56" s="225" t="s">
        <v>517</v>
      </c>
      <c r="B56" s="225" t="s">
        <v>519</v>
      </c>
      <c r="C56" s="226">
        <v>2021</v>
      </c>
      <c r="D56" s="88">
        <v>32941735</v>
      </c>
      <c r="E56" s="228" t="str">
        <f t="shared" si="2"/>
        <v>https://pubmed.ncbi.nlm.nih.gov/32941735</v>
      </c>
      <c r="F56" s="226" t="s">
        <v>532</v>
      </c>
      <c r="G56" s="226" t="s">
        <v>4001</v>
      </c>
      <c r="H56" s="226"/>
      <c r="I56" s="97"/>
      <c r="J56" s="226" t="s">
        <v>308</v>
      </c>
      <c r="K56" s="226" t="s">
        <v>4080</v>
      </c>
      <c r="L56" s="28" t="s">
        <v>4008</v>
      </c>
      <c r="M56" s="97"/>
      <c r="N56" s="97"/>
    </row>
    <row r="57" spans="1:31" ht="12.75">
      <c r="A57" s="225" t="s">
        <v>517</v>
      </c>
      <c r="B57" s="225" t="s">
        <v>533</v>
      </c>
      <c r="C57" s="226">
        <v>2016</v>
      </c>
      <c r="D57" s="88">
        <v>26711509</v>
      </c>
      <c r="E57" s="228" t="str">
        <f t="shared" si="2"/>
        <v>https://pubmed.ncbi.nlm.nih.gov/26711509</v>
      </c>
      <c r="F57" s="226" t="s">
        <v>545</v>
      </c>
      <c r="G57" s="226" t="s">
        <v>4001</v>
      </c>
      <c r="H57" s="226"/>
      <c r="I57" s="97"/>
      <c r="J57" s="226" t="s">
        <v>308</v>
      </c>
      <c r="K57" s="226" t="s">
        <v>4081</v>
      </c>
      <c r="L57" s="28" t="s">
        <v>4008</v>
      </c>
      <c r="M57" s="97"/>
      <c r="N57" s="97"/>
    </row>
    <row r="58" spans="1:31" ht="12.75">
      <c r="A58" s="225" t="s">
        <v>517</v>
      </c>
      <c r="B58" s="292" t="s">
        <v>551</v>
      </c>
      <c r="C58" s="28">
        <v>2015</v>
      </c>
      <c r="D58" s="293">
        <v>25210140</v>
      </c>
      <c r="E58" s="228" t="str">
        <f t="shared" si="2"/>
        <v>https://pubmed.ncbi.nlm.nih.gov/25210140</v>
      </c>
      <c r="F58" s="226" t="s">
        <v>564</v>
      </c>
      <c r="G58" s="226" t="s">
        <v>4001</v>
      </c>
      <c r="H58" s="226"/>
      <c r="I58" s="97"/>
      <c r="J58" s="226" t="s">
        <v>308</v>
      </c>
      <c r="K58" s="226" t="s">
        <v>4082</v>
      </c>
      <c r="L58" s="28" t="s">
        <v>4008</v>
      </c>
      <c r="M58" s="97"/>
      <c r="N58" s="97"/>
    </row>
    <row r="59" spans="1:31" ht="12.75">
      <c r="A59" s="225" t="s">
        <v>517</v>
      </c>
      <c r="B59" s="275" t="s">
        <v>572</v>
      </c>
      <c r="C59" s="28">
        <v>2014</v>
      </c>
      <c r="D59" s="88">
        <v>24872326</v>
      </c>
      <c r="E59" s="228" t="str">
        <f t="shared" si="2"/>
        <v>https://pubmed.ncbi.nlm.nih.gov/24872326</v>
      </c>
      <c r="F59" s="226" t="s">
        <v>598</v>
      </c>
      <c r="G59" s="226" t="s">
        <v>4083</v>
      </c>
      <c r="H59" s="226"/>
      <c r="I59" s="226"/>
      <c r="J59" s="226" t="s">
        <v>511</v>
      </c>
      <c r="K59" s="226" t="s">
        <v>4081</v>
      </c>
      <c r="L59" s="28" t="s">
        <v>4008</v>
      </c>
      <c r="M59" s="97"/>
      <c r="N59" s="97"/>
    </row>
    <row r="60" spans="1:31" ht="12.75">
      <c r="A60" s="225" t="s">
        <v>517</v>
      </c>
      <c r="B60" s="275" t="s">
        <v>572</v>
      </c>
      <c r="C60" s="226">
        <v>2013</v>
      </c>
      <c r="D60" s="293">
        <v>23599283</v>
      </c>
      <c r="E60" s="228" t="str">
        <f t="shared" si="2"/>
        <v>https://pubmed.ncbi.nlm.nih.gov/23599283</v>
      </c>
      <c r="F60" s="226" t="s">
        <v>584</v>
      </c>
      <c r="G60" s="226" t="s">
        <v>4001</v>
      </c>
      <c r="H60" s="226"/>
      <c r="I60" s="97"/>
      <c r="J60" s="226" t="s">
        <v>308</v>
      </c>
      <c r="K60" s="226" t="s">
        <v>4081</v>
      </c>
      <c r="L60" s="28" t="s">
        <v>4008</v>
      </c>
      <c r="M60" s="97"/>
      <c r="N60" s="97"/>
    </row>
    <row r="61" spans="1:31" ht="12.75">
      <c r="A61" s="225" t="s">
        <v>517</v>
      </c>
      <c r="B61" s="292" t="s">
        <v>604</v>
      </c>
      <c r="C61" s="28">
        <v>2012</v>
      </c>
      <c r="D61" s="88">
        <v>23069701</v>
      </c>
      <c r="E61" s="228" t="str">
        <f t="shared" si="2"/>
        <v>https://pubmed.ncbi.nlm.nih.gov/23069701</v>
      </c>
      <c r="F61" s="226" t="s">
        <v>617</v>
      </c>
      <c r="G61" s="226" t="s">
        <v>4001</v>
      </c>
      <c r="H61" s="226"/>
      <c r="I61" s="226"/>
      <c r="J61" s="226" t="s">
        <v>511</v>
      </c>
      <c r="K61" s="226"/>
      <c r="L61" s="28" t="s">
        <v>4008</v>
      </c>
      <c r="M61" s="97"/>
      <c r="N61" s="97"/>
    </row>
    <row r="62" spans="1:31" ht="12.75">
      <c r="A62" s="225" t="s">
        <v>517</v>
      </c>
      <c r="B62" s="225" t="s">
        <v>4084</v>
      </c>
      <c r="C62" s="226">
        <v>2015</v>
      </c>
      <c r="D62" s="294">
        <v>25589649</v>
      </c>
      <c r="E62" s="228" t="str">
        <f t="shared" si="2"/>
        <v>https://pubmed.ncbi.nlm.nih.gov/25589649</v>
      </c>
      <c r="F62" s="226" t="s">
        <v>4085</v>
      </c>
      <c r="G62" s="226" t="s">
        <v>4001</v>
      </c>
      <c r="H62" s="226" t="s">
        <v>308</v>
      </c>
      <c r="I62" s="226" t="s">
        <v>4086</v>
      </c>
      <c r="J62" s="97"/>
      <c r="K62" s="97"/>
      <c r="L62" s="97"/>
      <c r="M62" s="97"/>
      <c r="N62" s="97"/>
    </row>
    <row r="63" spans="1:31" ht="12.75">
      <c r="A63" s="225" t="s">
        <v>517</v>
      </c>
      <c r="B63" s="225" t="s">
        <v>4087</v>
      </c>
      <c r="C63" s="226">
        <v>2021</v>
      </c>
      <c r="D63" s="227" t="s">
        <v>4088</v>
      </c>
      <c r="E63" s="228" t="str">
        <f t="shared" si="2"/>
        <v>https://pubmed.ncbi.nlm.nih.gov/PMC8017236</v>
      </c>
      <c r="F63" s="226" t="s">
        <v>4089</v>
      </c>
      <c r="G63" s="226" t="s">
        <v>4001</v>
      </c>
      <c r="H63" s="226" t="s">
        <v>308</v>
      </c>
      <c r="I63" s="28" t="s">
        <v>4018</v>
      </c>
      <c r="J63" s="97"/>
      <c r="K63" s="97"/>
      <c r="L63" s="28" t="s">
        <v>4019</v>
      </c>
      <c r="M63" s="97"/>
      <c r="N63" s="97"/>
    </row>
    <row r="64" spans="1:31" ht="12.75">
      <c r="A64" s="225" t="s">
        <v>4089</v>
      </c>
      <c r="B64" s="225" t="s">
        <v>4090</v>
      </c>
      <c r="C64" s="226">
        <v>2020</v>
      </c>
      <c r="D64" s="227"/>
      <c r="E64" s="97"/>
      <c r="F64" s="226" t="s">
        <v>4091</v>
      </c>
      <c r="G64" s="226" t="s">
        <v>4001</v>
      </c>
      <c r="H64" s="226" t="s">
        <v>308</v>
      </c>
      <c r="I64" s="226" t="s">
        <v>4092</v>
      </c>
      <c r="J64" s="97"/>
      <c r="K64" s="97"/>
      <c r="L64" s="97"/>
      <c r="M64" s="97"/>
      <c r="N64" s="97"/>
    </row>
    <row r="65" spans="1:14" ht="12.75">
      <c r="A65" s="225" t="s">
        <v>4089</v>
      </c>
      <c r="B65" s="225" t="s">
        <v>1179</v>
      </c>
      <c r="C65" s="226">
        <v>2018</v>
      </c>
      <c r="D65" s="227"/>
      <c r="E65" s="97"/>
      <c r="F65" s="226" t="s">
        <v>4091</v>
      </c>
      <c r="G65" s="226" t="s">
        <v>4001</v>
      </c>
      <c r="H65" s="226" t="s">
        <v>308</v>
      </c>
      <c r="I65" s="226" t="s">
        <v>4093</v>
      </c>
      <c r="J65" s="97"/>
      <c r="K65" s="97"/>
      <c r="L65" s="97"/>
      <c r="M65" s="97"/>
      <c r="N65" s="97"/>
    </row>
    <row r="66" spans="1:14" ht="12.75">
      <c r="A66" s="225" t="s">
        <v>517</v>
      </c>
      <c r="B66" s="225" t="s">
        <v>618</v>
      </c>
      <c r="C66" s="226">
        <v>2018</v>
      </c>
      <c r="D66" s="227" t="s">
        <v>4094</v>
      </c>
      <c r="E66" s="228" t="str">
        <f t="shared" ref="E66:E91" si="3">"https://pubmed.ncbi.nlm.nih.gov/"&amp;D66</f>
        <v>https://pubmed.ncbi.nlm.nih.gov/PMC5942845</v>
      </c>
      <c r="F66" s="226" t="s">
        <v>631</v>
      </c>
      <c r="G66" s="226" t="s">
        <v>4001</v>
      </c>
      <c r="H66" s="226"/>
      <c r="I66" s="97"/>
      <c r="J66" s="226" t="s">
        <v>308</v>
      </c>
      <c r="K66" s="226"/>
      <c r="L66" s="28" t="s">
        <v>4008</v>
      </c>
      <c r="M66" s="97"/>
      <c r="N66" s="97"/>
    </row>
    <row r="67" spans="1:14" ht="12.75">
      <c r="A67" s="225" t="s">
        <v>517</v>
      </c>
      <c r="B67" s="225" t="s">
        <v>632</v>
      </c>
      <c r="C67" s="226">
        <v>2018</v>
      </c>
      <c r="D67" s="227" t="s">
        <v>4095</v>
      </c>
      <c r="E67" s="228" t="str">
        <f t="shared" si="3"/>
        <v>https://pubmed.ncbi.nlm.nih.gov/PMC5873858</v>
      </c>
      <c r="F67" s="226" t="s">
        <v>647</v>
      </c>
      <c r="G67" s="226" t="s">
        <v>4001</v>
      </c>
      <c r="H67" s="226"/>
      <c r="I67" s="97"/>
      <c r="J67" s="226" t="s">
        <v>308</v>
      </c>
      <c r="K67" s="226" t="s">
        <v>4096</v>
      </c>
      <c r="L67" s="28" t="s">
        <v>4008</v>
      </c>
      <c r="M67" s="97"/>
      <c r="N67" s="97"/>
    </row>
    <row r="68" spans="1:14" ht="12.75">
      <c r="A68" s="225" t="s">
        <v>517</v>
      </c>
      <c r="B68" s="225" t="s">
        <v>4097</v>
      </c>
      <c r="C68" s="226">
        <v>2017</v>
      </c>
      <c r="D68" s="227" t="s">
        <v>4098</v>
      </c>
      <c r="E68" s="228" t="str">
        <f t="shared" si="3"/>
        <v>https://pubmed.ncbi.nlm.nih.gov/PMC5531165</v>
      </c>
      <c r="F68" s="226" t="s">
        <v>4099</v>
      </c>
      <c r="G68" s="226" t="s">
        <v>4083</v>
      </c>
      <c r="H68" s="226" t="s">
        <v>308</v>
      </c>
      <c r="I68" s="226" t="s">
        <v>4100</v>
      </c>
      <c r="J68" s="97"/>
      <c r="K68" s="97"/>
      <c r="L68" s="97"/>
      <c r="M68" s="97"/>
      <c r="N68" s="97"/>
    </row>
    <row r="69" spans="1:14" ht="12.75">
      <c r="A69" s="225" t="s">
        <v>517</v>
      </c>
      <c r="B69" s="225" t="s">
        <v>653</v>
      </c>
      <c r="C69" s="226">
        <v>2012</v>
      </c>
      <c r="D69" s="227" t="s">
        <v>4101</v>
      </c>
      <c r="E69" s="228" t="str">
        <f t="shared" si="3"/>
        <v>https://pubmed.ncbi.nlm.nih.gov/PMC3535858</v>
      </c>
      <c r="F69" s="226" t="s">
        <v>662</v>
      </c>
      <c r="G69" s="226" t="s">
        <v>4001</v>
      </c>
      <c r="H69" s="226"/>
      <c r="I69" s="97"/>
      <c r="J69" s="226" t="s">
        <v>308</v>
      </c>
      <c r="K69" s="226" t="s">
        <v>4081</v>
      </c>
      <c r="L69" s="28" t="s">
        <v>4008</v>
      </c>
      <c r="M69" s="97"/>
      <c r="N69" s="97"/>
    </row>
    <row r="70" spans="1:14" ht="12.75">
      <c r="A70" s="225" t="s">
        <v>517</v>
      </c>
      <c r="B70" s="225" t="s">
        <v>667</v>
      </c>
      <c r="C70" s="226">
        <v>2016</v>
      </c>
      <c r="D70" s="227" t="s">
        <v>4102</v>
      </c>
      <c r="E70" s="228" t="str">
        <f t="shared" si="3"/>
        <v>https://pubmed.ncbi.nlm.nih.gov/PMC4988630</v>
      </c>
      <c r="F70" s="226" t="s">
        <v>682</v>
      </c>
      <c r="G70" s="226" t="s">
        <v>4083</v>
      </c>
      <c r="H70" s="226"/>
      <c r="I70" s="97"/>
      <c r="J70" s="226" t="s">
        <v>308</v>
      </c>
      <c r="K70" s="226" t="s">
        <v>4081</v>
      </c>
      <c r="L70" s="28" t="s">
        <v>4008</v>
      </c>
      <c r="M70" s="97"/>
      <c r="N70" s="97"/>
    </row>
    <row r="71" spans="1:14" ht="12.75">
      <c r="A71" s="225" t="s">
        <v>517</v>
      </c>
      <c r="B71" s="225" t="s">
        <v>686</v>
      </c>
      <c r="C71" s="226">
        <v>2020</v>
      </c>
      <c r="D71" s="227" t="s">
        <v>4103</v>
      </c>
      <c r="E71" s="228" t="str">
        <f t="shared" si="3"/>
        <v>https://pubmed.ncbi.nlm.nih.gov/PMC7353841</v>
      </c>
      <c r="F71" s="226" t="s">
        <v>703</v>
      </c>
      <c r="G71" s="226" t="s">
        <v>4079</v>
      </c>
      <c r="H71" s="226"/>
      <c r="I71" s="97"/>
      <c r="J71" s="226" t="s">
        <v>308</v>
      </c>
      <c r="K71" s="97"/>
      <c r="L71" s="28" t="s">
        <v>4008</v>
      </c>
      <c r="M71" s="97"/>
      <c r="N71" s="97"/>
    </row>
    <row r="72" spans="1:14" ht="12.75">
      <c r="A72" s="225" t="s">
        <v>517</v>
      </c>
      <c r="B72" s="225" t="s">
        <v>704</v>
      </c>
      <c r="C72" s="226">
        <v>2020</v>
      </c>
      <c r="D72" s="227" t="s">
        <v>4104</v>
      </c>
      <c r="E72" s="228" t="str">
        <f t="shared" si="3"/>
        <v>https://pubmed.ncbi.nlm.nih.gov/PMC6985722</v>
      </c>
      <c r="F72" s="226" t="s">
        <v>714</v>
      </c>
      <c r="G72" s="226" t="s">
        <v>4083</v>
      </c>
      <c r="H72" s="226"/>
      <c r="I72" s="226"/>
      <c r="J72" s="226" t="s">
        <v>308</v>
      </c>
      <c r="K72" s="226"/>
      <c r="L72" s="28" t="s">
        <v>4008</v>
      </c>
      <c r="M72" s="97"/>
      <c r="N72" s="97"/>
    </row>
    <row r="73" spans="1:14" ht="12.75">
      <c r="A73" s="225" t="s">
        <v>517</v>
      </c>
      <c r="B73" s="225" t="s">
        <v>715</v>
      </c>
      <c r="C73" s="226">
        <v>2020</v>
      </c>
      <c r="D73" s="227" t="s">
        <v>4105</v>
      </c>
      <c r="E73" s="228" t="str">
        <f t="shared" si="3"/>
        <v>https://pubmed.ncbi.nlm.nih.gov/PMC7714523</v>
      </c>
      <c r="F73" s="226" t="s">
        <v>726</v>
      </c>
      <c r="G73" s="226" t="s">
        <v>4083</v>
      </c>
      <c r="H73" s="226" t="s">
        <v>308</v>
      </c>
      <c r="I73" s="226" t="s">
        <v>4106</v>
      </c>
      <c r="J73" s="295"/>
      <c r="K73" s="226"/>
      <c r="L73" s="28" t="s">
        <v>4019</v>
      </c>
      <c r="M73" s="97"/>
      <c r="N73" s="97"/>
    </row>
    <row r="74" spans="1:14" ht="12.75">
      <c r="A74" s="225" t="s">
        <v>517</v>
      </c>
      <c r="B74" s="225" t="s">
        <v>727</v>
      </c>
      <c r="C74" s="226">
        <v>2019</v>
      </c>
      <c r="D74" s="227" t="s">
        <v>729</v>
      </c>
      <c r="E74" s="228" t="str">
        <f t="shared" si="3"/>
        <v>https://pubmed.ncbi.nlm.nih.gov/PMC6810285</v>
      </c>
      <c r="F74" s="226" t="s">
        <v>737</v>
      </c>
      <c r="G74" s="226" t="s">
        <v>4001</v>
      </c>
      <c r="H74" s="226"/>
      <c r="I74" s="226"/>
      <c r="J74" s="226" t="s">
        <v>308</v>
      </c>
      <c r="K74" s="226" t="s">
        <v>4107</v>
      </c>
      <c r="L74" s="28" t="s">
        <v>4008</v>
      </c>
      <c r="M74" s="97"/>
      <c r="N74" s="97"/>
    </row>
    <row r="75" spans="1:14" ht="12.75">
      <c r="A75" s="225" t="s">
        <v>517</v>
      </c>
      <c r="B75" s="225" t="s">
        <v>739</v>
      </c>
      <c r="C75" s="226">
        <v>2013</v>
      </c>
      <c r="D75" s="227" t="s">
        <v>4108</v>
      </c>
      <c r="E75" s="228" t="str">
        <f t="shared" si="3"/>
        <v>https://pubmed.ncbi.nlm.nih.gov/PMC3707375</v>
      </c>
      <c r="F75" s="226" t="s">
        <v>749</v>
      </c>
      <c r="G75" s="226" t="s">
        <v>4079</v>
      </c>
      <c r="H75" s="226"/>
      <c r="I75" s="226"/>
      <c r="J75" s="226" t="s">
        <v>511</v>
      </c>
      <c r="K75" s="97"/>
      <c r="L75" s="28" t="s">
        <v>4008</v>
      </c>
      <c r="M75" s="97"/>
      <c r="N75" s="97"/>
    </row>
    <row r="76" spans="1:14" ht="12.75">
      <c r="A76" s="225" t="s">
        <v>517</v>
      </c>
      <c r="B76" s="225" t="s">
        <v>750</v>
      </c>
      <c r="C76" s="226">
        <v>2016</v>
      </c>
      <c r="D76" s="227" t="s">
        <v>4109</v>
      </c>
      <c r="E76" s="228" t="str">
        <f t="shared" si="3"/>
        <v>https://pubmed.ncbi.nlm.nih.gov/PMC4711822</v>
      </c>
      <c r="F76" s="226" t="s">
        <v>761</v>
      </c>
      <c r="G76" s="226" t="s">
        <v>4083</v>
      </c>
      <c r="J76" s="226" t="s">
        <v>308</v>
      </c>
      <c r="K76" s="226"/>
      <c r="L76" s="28" t="s">
        <v>4008</v>
      </c>
      <c r="M76" s="97"/>
      <c r="N76" s="97"/>
    </row>
    <row r="77" spans="1:14" ht="12.75">
      <c r="A77" s="225" t="s">
        <v>517</v>
      </c>
      <c r="B77" s="225" t="s">
        <v>750</v>
      </c>
      <c r="C77" s="226">
        <v>2016</v>
      </c>
      <c r="D77" s="227" t="s">
        <v>4110</v>
      </c>
      <c r="E77" s="228" t="str">
        <f t="shared" si="3"/>
        <v>https://pubmed.ncbi.nlm.nih.gov/PMC5147828</v>
      </c>
      <c r="F77" s="226" t="s">
        <v>772</v>
      </c>
      <c r="G77" s="226" t="s">
        <v>4001</v>
      </c>
      <c r="H77" s="226"/>
      <c r="I77" s="97"/>
      <c r="J77" s="226" t="s">
        <v>308</v>
      </c>
      <c r="K77" s="226" t="s">
        <v>4111</v>
      </c>
      <c r="L77" s="28" t="s">
        <v>4008</v>
      </c>
      <c r="M77" s="97"/>
      <c r="N77" s="97"/>
    </row>
    <row r="78" spans="1:14" ht="12.75">
      <c r="A78" s="225" t="s">
        <v>517</v>
      </c>
      <c r="B78" s="225" t="s">
        <v>773</v>
      </c>
      <c r="C78" s="226">
        <v>2020</v>
      </c>
      <c r="D78" s="227" t="s">
        <v>4112</v>
      </c>
      <c r="E78" s="228" t="str">
        <f t="shared" si="3"/>
        <v>https://pubmed.ncbi.nlm.nih.gov/PMC7598925</v>
      </c>
      <c r="F78" s="226" t="s">
        <v>797</v>
      </c>
      <c r="G78" s="226" t="s">
        <v>4001</v>
      </c>
      <c r="H78" s="226"/>
      <c r="I78" s="226"/>
      <c r="J78" s="226" t="s">
        <v>308</v>
      </c>
      <c r="K78" s="226" t="s">
        <v>4113</v>
      </c>
      <c r="L78" s="28" t="s">
        <v>4008</v>
      </c>
      <c r="M78" s="97"/>
      <c r="N78" s="97"/>
    </row>
    <row r="79" spans="1:14" ht="12.75">
      <c r="A79" s="225" t="s">
        <v>517</v>
      </c>
      <c r="B79" s="225" t="s">
        <v>773</v>
      </c>
      <c r="C79" s="226">
        <v>2019</v>
      </c>
      <c r="D79" s="227" t="s">
        <v>4114</v>
      </c>
      <c r="E79" s="228" t="str">
        <f t="shared" si="3"/>
        <v>https://pubmed.ncbi.nlm.nih.gov/PMC6892374</v>
      </c>
      <c r="F79" s="226" t="s">
        <v>784</v>
      </c>
      <c r="G79" s="226" t="s">
        <v>4079</v>
      </c>
      <c r="H79" s="97"/>
      <c r="I79" s="97"/>
      <c r="J79" s="226" t="s">
        <v>511</v>
      </c>
      <c r="K79" s="97"/>
      <c r="L79" s="28" t="s">
        <v>4008</v>
      </c>
      <c r="M79" s="97"/>
      <c r="N79" s="97"/>
    </row>
    <row r="80" spans="1:14" ht="12.75">
      <c r="A80" s="225" t="s">
        <v>517</v>
      </c>
      <c r="B80" s="225" t="s">
        <v>801</v>
      </c>
      <c r="C80" s="226">
        <v>2015</v>
      </c>
      <c r="D80" s="227" t="s">
        <v>4115</v>
      </c>
      <c r="E80" s="228" t="str">
        <f t="shared" si="3"/>
        <v>https://pubmed.ncbi.nlm.nih.gov/PMC4527105</v>
      </c>
      <c r="F80" s="226" t="s">
        <v>813</v>
      </c>
      <c r="G80" s="226" t="s">
        <v>4079</v>
      </c>
      <c r="H80" s="97"/>
      <c r="I80" s="97"/>
      <c r="J80" s="226" t="s">
        <v>511</v>
      </c>
      <c r="K80" s="226"/>
      <c r="L80" s="28" t="s">
        <v>4008</v>
      </c>
      <c r="M80" s="97"/>
      <c r="N80" s="97"/>
    </row>
    <row r="81" spans="1:14" ht="12.75">
      <c r="A81" s="225" t="s">
        <v>517</v>
      </c>
      <c r="B81" s="225" t="s">
        <v>814</v>
      </c>
      <c r="C81" s="226">
        <v>2020</v>
      </c>
      <c r="D81" s="227" t="s">
        <v>4116</v>
      </c>
      <c r="E81" s="228" t="str">
        <f t="shared" si="3"/>
        <v>https://pubmed.ncbi.nlm.nih.gov/PMC7045083</v>
      </c>
      <c r="F81" s="226" t="s">
        <v>826</v>
      </c>
      <c r="G81" s="226" t="s">
        <v>4083</v>
      </c>
      <c r="H81" s="97"/>
      <c r="I81" s="97"/>
      <c r="J81" s="226" t="s">
        <v>308</v>
      </c>
      <c r="K81" s="226" t="s">
        <v>4117</v>
      </c>
      <c r="L81" s="28" t="s">
        <v>4008</v>
      </c>
      <c r="M81" s="97"/>
      <c r="N81" s="97"/>
    </row>
    <row r="82" spans="1:14" ht="12.75">
      <c r="A82" s="225" t="s">
        <v>517</v>
      </c>
      <c r="B82" s="225" t="s">
        <v>854</v>
      </c>
      <c r="C82" s="226">
        <v>2014</v>
      </c>
      <c r="D82" s="227" t="s">
        <v>856</v>
      </c>
      <c r="E82" s="228" t="str">
        <f t="shared" si="3"/>
        <v>https://pubmed.ncbi.nlm.nih.gov/PMC3969545</v>
      </c>
      <c r="F82" s="226" t="s">
        <v>870</v>
      </c>
      <c r="G82" s="226" t="s">
        <v>4001</v>
      </c>
      <c r="H82" s="226"/>
      <c r="I82" s="226"/>
      <c r="J82" s="226" t="s">
        <v>308</v>
      </c>
      <c r="K82" s="226" t="s">
        <v>4118</v>
      </c>
      <c r="L82" s="28" t="s">
        <v>4008</v>
      </c>
      <c r="M82" s="97"/>
      <c r="N82" s="97"/>
    </row>
    <row r="83" spans="1:14" ht="12.75">
      <c r="A83" s="225" t="s">
        <v>517</v>
      </c>
      <c r="B83" s="225" t="s">
        <v>872</v>
      </c>
      <c r="C83" s="226">
        <v>2019</v>
      </c>
      <c r="D83" s="227" t="s">
        <v>4119</v>
      </c>
      <c r="E83" s="228" t="str">
        <f t="shared" si="3"/>
        <v>https://pubmed.ncbi.nlm.nih.gov/PMC6434318</v>
      </c>
      <c r="F83" s="226" t="s">
        <v>896</v>
      </c>
      <c r="G83" s="226" t="s">
        <v>4001</v>
      </c>
      <c r="J83" s="226" t="s">
        <v>308</v>
      </c>
      <c r="K83" s="226" t="s">
        <v>899</v>
      </c>
      <c r="L83" s="28" t="s">
        <v>4008</v>
      </c>
      <c r="M83" s="97"/>
      <c r="N83" s="97"/>
    </row>
    <row r="84" spans="1:14" ht="12.75">
      <c r="A84" s="225" t="s">
        <v>517</v>
      </c>
      <c r="B84" s="225" t="s">
        <v>872</v>
      </c>
      <c r="C84" s="226">
        <v>2011</v>
      </c>
      <c r="D84" s="227" t="s">
        <v>4120</v>
      </c>
      <c r="E84" s="228" t="str">
        <f t="shared" si="3"/>
        <v>https://pubmed.ncbi.nlm.nih.gov/PMC3232709</v>
      </c>
      <c r="F84" s="226" t="s">
        <v>4121</v>
      </c>
      <c r="G84" s="226" t="s">
        <v>4079</v>
      </c>
      <c r="H84" s="226" t="s">
        <v>511</v>
      </c>
      <c r="I84" s="226" t="s">
        <v>4122</v>
      </c>
      <c r="J84" s="97"/>
      <c r="K84" s="97"/>
      <c r="L84" s="97"/>
      <c r="M84" s="97"/>
      <c r="N84" s="97"/>
    </row>
    <row r="85" spans="1:14" ht="12.75">
      <c r="A85" s="225" t="s">
        <v>517</v>
      </c>
      <c r="B85" s="225" t="s">
        <v>872</v>
      </c>
      <c r="C85" s="226">
        <v>2011</v>
      </c>
      <c r="D85" s="227" t="s">
        <v>4123</v>
      </c>
      <c r="E85" s="228" t="str">
        <f t="shared" si="3"/>
        <v>https://pubmed.ncbi.nlm.nih.gov/PMC3187035</v>
      </c>
      <c r="F85" s="226" t="s">
        <v>881</v>
      </c>
      <c r="G85" s="226" t="s">
        <v>4083</v>
      </c>
      <c r="J85" s="226" t="s">
        <v>308</v>
      </c>
      <c r="K85" s="226" t="s">
        <v>4124</v>
      </c>
      <c r="L85" s="28" t="s">
        <v>4008</v>
      </c>
      <c r="M85" s="97"/>
      <c r="N85" s="97"/>
    </row>
    <row r="86" spans="1:14" ht="12.75">
      <c r="A86" s="225" t="s">
        <v>517</v>
      </c>
      <c r="B86" s="225" t="s">
        <v>900</v>
      </c>
      <c r="C86" s="226">
        <v>2020</v>
      </c>
      <c r="D86" s="227" t="s">
        <v>4125</v>
      </c>
      <c r="E86" s="228" t="str">
        <f t="shared" si="3"/>
        <v>https://pubmed.ncbi.nlm.nih.gov/PMC7486848</v>
      </c>
      <c r="F86" s="226" t="s">
        <v>914</v>
      </c>
      <c r="G86" s="226" t="s">
        <v>4083</v>
      </c>
      <c r="H86" s="97"/>
      <c r="I86" s="97"/>
      <c r="J86" s="226" t="s">
        <v>511</v>
      </c>
      <c r="K86" s="226" t="s">
        <v>4081</v>
      </c>
      <c r="L86" s="28" t="s">
        <v>4008</v>
      </c>
      <c r="M86" s="97"/>
      <c r="N86" s="97"/>
    </row>
    <row r="87" spans="1:14" ht="12.75">
      <c r="A87" s="225" t="s">
        <v>517</v>
      </c>
      <c r="B87" s="225" t="s">
        <v>919</v>
      </c>
      <c r="C87" s="226">
        <v>2011</v>
      </c>
      <c r="D87" s="227" t="s">
        <v>4126</v>
      </c>
      <c r="E87" s="228" t="str">
        <f t="shared" si="3"/>
        <v>https://pubmed.ncbi.nlm.nih.gov/PMC3032484</v>
      </c>
      <c r="F87" s="226" t="s">
        <v>928</v>
      </c>
      <c r="G87" s="226" t="s">
        <v>4079</v>
      </c>
      <c r="H87" s="97"/>
      <c r="I87" s="97"/>
      <c r="J87" s="226" t="s">
        <v>511</v>
      </c>
      <c r="K87" s="226"/>
      <c r="L87" s="28" t="s">
        <v>4008</v>
      </c>
      <c r="M87" s="97"/>
      <c r="N87" s="97"/>
    </row>
    <row r="88" spans="1:14" ht="12.75">
      <c r="A88" s="225" t="s">
        <v>517</v>
      </c>
      <c r="B88" s="225" t="s">
        <v>929</v>
      </c>
      <c r="C88" s="226">
        <v>2015</v>
      </c>
      <c r="D88" s="227" t="s">
        <v>4127</v>
      </c>
      <c r="E88" s="228" t="str">
        <f t="shared" si="3"/>
        <v>https://pubmed.ncbi.nlm.nih.gov/PMC4354983</v>
      </c>
      <c r="F88" s="226" t="s">
        <v>950</v>
      </c>
      <c r="G88" s="226" t="s">
        <v>4128</v>
      </c>
      <c r="H88" s="226"/>
      <c r="I88" s="97"/>
      <c r="J88" s="226" t="s">
        <v>511</v>
      </c>
      <c r="K88" s="226" t="s">
        <v>4129</v>
      </c>
      <c r="L88" s="28" t="s">
        <v>4008</v>
      </c>
      <c r="M88" s="97"/>
      <c r="N88" s="97"/>
    </row>
    <row r="89" spans="1:14" ht="12.75">
      <c r="A89" s="225" t="s">
        <v>517</v>
      </c>
      <c r="B89" s="225" t="s">
        <v>929</v>
      </c>
      <c r="C89" s="226">
        <v>2015</v>
      </c>
      <c r="D89" s="227" t="s">
        <v>4130</v>
      </c>
      <c r="E89" s="228" t="str">
        <f t="shared" si="3"/>
        <v>https://pubmed.ncbi.nlm.nih.gov/PMC4416324</v>
      </c>
      <c r="F89" s="226" t="s">
        <v>4131</v>
      </c>
      <c r="G89" s="226" t="s">
        <v>4001</v>
      </c>
      <c r="H89" s="226" t="s">
        <v>308</v>
      </c>
      <c r="I89" s="226" t="s">
        <v>4132</v>
      </c>
      <c r="J89" s="97"/>
      <c r="K89" s="97"/>
      <c r="L89" s="28" t="s">
        <v>4019</v>
      </c>
      <c r="M89" s="97"/>
      <c r="N89" s="97"/>
    </row>
    <row r="90" spans="1:14" ht="12.75">
      <c r="A90" s="225" t="s">
        <v>517</v>
      </c>
      <c r="B90" s="225" t="s">
        <v>929</v>
      </c>
      <c r="C90" s="226">
        <v>2014</v>
      </c>
      <c r="D90" s="227" t="s">
        <v>4133</v>
      </c>
      <c r="E90" s="228" t="str">
        <f t="shared" si="3"/>
        <v>https://pubmed.ncbi.nlm.nih.gov/PMC4264479</v>
      </c>
      <c r="F90" s="226" t="s">
        <v>938</v>
      </c>
      <c r="G90" s="226" t="s">
        <v>4001</v>
      </c>
      <c r="H90" s="226"/>
      <c r="I90" s="226"/>
      <c r="J90" s="226" t="s">
        <v>511</v>
      </c>
      <c r="K90" s="226" t="s">
        <v>4134</v>
      </c>
      <c r="L90" s="28" t="s">
        <v>4008</v>
      </c>
      <c r="M90" s="97"/>
      <c r="N90" s="97"/>
    </row>
    <row r="91" spans="1:14" ht="12.75">
      <c r="A91" s="225" t="s">
        <v>517</v>
      </c>
      <c r="B91" s="225" t="s">
        <v>951</v>
      </c>
      <c r="C91" s="226">
        <v>2009</v>
      </c>
      <c r="D91" s="227" t="s">
        <v>4135</v>
      </c>
      <c r="E91" s="228" t="str">
        <f t="shared" si="3"/>
        <v>https://pubmed.ncbi.nlm.nih.gov/PMC2682218</v>
      </c>
      <c r="F91" s="226" t="s">
        <v>958</v>
      </c>
      <c r="G91" s="226" t="s">
        <v>4083</v>
      </c>
      <c r="H91" s="226" t="s">
        <v>308</v>
      </c>
      <c r="I91" s="226" t="s">
        <v>4136</v>
      </c>
      <c r="J91" s="295"/>
      <c r="K91" s="226"/>
      <c r="L91" s="28" t="s">
        <v>4019</v>
      </c>
      <c r="M91" s="97"/>
      <c r="N91" s="97"/>
    </row>
    <row r="92" spans="1:14" ht="12.75">
      <c r="A92" s="225" t="s">
        <v>958</v>
      </c>
      <c r="B92" s="225" t="s">
        <v>2795</v>
      </c>
      <c r="C92" s="226">
        <v>1998</v>
      </c>
      <c r="D92" s="225">
        <v>9815220</v>
      </c>
      <c r="E92" s="253" t="s">
        <v>2797</v>
      </c>
      <c r="F92" s="226" t="s">
        <v>2806</v>
      </c>
      <c r="G92" s="226" t="s">
        <v>4001</v>
      </c>
      <c r="H92" s="226"/>
      <c r="I92" s="226"/>
      <c r="J92" s="226" t="s">
        <v>308</v>
      </c>
      <c r="K92" s="226" t="s">
        <v>4137</v>
      </c>
      <c r="L92" s="28" t="s">
        <v>4008</v>
      </c>
      <c r="M92" s="97"/>
      <c r="N92" s="97"/>
    </row>
    <row r="93" spans="1:14" ht="12.75">
      <c r="A93" s="225" t="s">
        <v>958</v>
      </c>
      <c r="B93" s="225" t="s">
        <v>2795</v>
      </c>
      <c r="C93" s="226">
        <v>1999</v>
      </c>
      <c r="D93" s="225">
        <v>10191238</v>
      </c>
      <c r="E93" s="253" t="s">
        <v>2808</v>
      </c>
      <c r="F93" s="226" t="s">
        <v>2812</v>
      </c>
      <c r="G93" s="226" t="s">
        <v>4001</v>
      </c>
      <c r="H93" s="226"/>
      <c r="I93" s="226"/>
      <c r="J93" s="226" t="s">
        <v>308</v>
      </c>
      <c r="K93" s="226" t="s">
        <v>4138</v>
      </c>
      <c r="L93" s="28" t="s">
        <v>4008</v>
      </c>
      <c r="M93" s="97"/>
      <c r="N93" s="97"/>
    </row>
    <row r="94" spans="1:14" ht="12.75">
      <c r="A94" s="225" t="s">
        <v>958</v>
      </c>
      <c r="B94" s="225" t="s">
        <v>2795</v>
      </c>
      <c r="C94" s="226">
        <v>2000</v>
      </c>
      <c r="D94" s="225">
        <v>10720550</v>
      </c>
      <c r="E94" s="253" t="s">
        <v>2816</v>
      </c>
      <c r="F94" s="226" t="s">
        <v>2822</v>
      </c>
      <c r="G94" s="226" t="s">
        <v>4001</v>
      </c>
      <c r="H94" s="226"/>
      <c r="I94" s="226"/>
      <c r="J94" s="226" t="s">
        <v>308</v>
      </c>
      <c r="K94" s="226" t="s">
        <v>4139</v>
      </c>
      <c r="L94" s="28" t="s">
        <v>4008</v>
      </c>
      <c r="M94" s="97"/>
      <c r="N94" s="97"/>
    </row>
    <row r="95" spans="1:14" ht="12.75">
      <c r="A95" s="225" t="s">
        <v>958</v>
      </c>
      <c r="B95" s="225" t="s">
        <v>2795</v>
      </c>
      <c r="C95" s="226">
        <v>2000</v>
      </c>
      <c r="D95" s="225">
        <v>10720530</v>
      </c>
      <c r="E95" s="253" t="s">
        <v>2824</v>
      </c>
      <c r="F95" s="226" t="s">
        <v>2830</v>
      </c>
      <c r="G95" s="226" t="s">
        <v>4001</v>
      </c>
      <c r="H95" s="226"/>
      <c r="I95" s="226"/>
      <c r="J95" s="226" t="s">
        <v>308</v>
      </c>
      <c r="K95" s="226" t="s">
        <v>4140</v>
      </c>
      <c r="L95" s="28" t="s">
        <v>4008</v>
      </c>
      <c r="M95" s="97"/>
      <c r="N95" s="97"/>
    </row>
    <row r="96" spans="1:14" ht="12.75">
      <c r="A96" s="225" t="s">
        <v>958</v>
      </c>
      <c r="B96" s="225" t="s">
        <v>2831</v>
      </c>
      <c r="C96" s="226">
        <v>2007</v>
      </c>
      <c r="D96" s="225">
        <v>17923525</v>
      </c>
      <c r="E96" s="253" t="s">
        <v>4141</v>
      </c>
      <c r="F96" s="226" t="s">
        <v>4142</v>
      </c>
      <c r="G96" s="226" t="s">
        <v>4001</v>
      </c>
      <c r="H96" s="226" t="s">
        <v>308</v>
      </c>
      <c r="I96" s="226" t="s">
        <v>4143</v>
      </c>
      <c r="J96" s="226"/>
      <c r="K96" s="226"/>
      <c r="L96" s="28" t="s">
        <v>4019</v>
      </c>
      <c r="M96" s="97"/>
      <c r="N96" s="97"/>
    </row>
    <row r="97" spans="1:14" ht="12.75">
      <c r="A97" s="225" t="s">
        <v>958</v>
      </c>
      <c r="B97" s="225" t="s">
        <v>2831</v>
      </c>
      <c r="C97" s="226">
        <v>2008</v>
      </c>
      <c r="D97" s="225">
        <v>18422457</v>
      </c>
      <c r="E97" s="253" t="s">
        <v>2833</v>
      </c>
      <c r="F97" s="226" t="s">
        <v>2836</v>
      </c>
      <c r="G97" s="226" t="s">
        <v>4001</v>
      </c>
      <c r="H97" s="226"/>
      <c r="I97" s="226"/>
      <c r="J97" s="226" t="s">
        <v>308</v>
      </c>
      <c r="K97" s="226" t="s">
        <v>4140</v>
      </c>
      <c r="L97" s="28" t="s">
        <v>4008</v>
      </c>
      <c r="M97" s="97"/>
      <c r="N97" s="97"/>
    </row>
    <row r="98" spans="1:14" ht="12.75">
      <c r="A98" s="225" t="s">
        <v>958</v>
      </c>
      <c r="B98" s="225" t="s">
        <v>2837</v>
      </c>
      <c r="C98" s="226">
        <v>2000</v>
      </c>
      <c r="D98" s="225">
        <v>10722634</v>
      </c>
      <c r="E98" s="253" t="s">
        <v>4144</v>
      </c>
      <c r="F98" s="226" t="s">
        <v>4145</v>
      </c>
      <c r="G98" s="226" t="s">
        <v>4001</v>
      </c>
      <c r="H98" s="226" t="s">
        <v>308</v>
      </c>
      <c r="I98" s="226" t="s">
        <v>4146</v>
      </c>
      <c r="J98" s="226"/>
      <c r="K98" s="226"/>
      <c r="L98" s="28" t="s">
        <v>4019</v>
      </c>
      <c r="M98" s="97"/>
      <c r="N98" s="97"/>
    </row>
    <row r="99" spans="1:14" ht="12.75">
      <c r="A99" s="225" t="s">
        <v>958</v>
      </c>
      <c r="B99" s="225" t="s">
        <v>2837</v>
      </c>
      <c r="C99" s="226">
        <v>2009</v>
      </c>
      <c r="D99" s="225">
        <v>19199547</v>
      </c>
      <c r="E99" s="254" t="s">
        <v>2839</v>
      </c>
      <c r="F99" s="226" t="s">
        <v>2842</v>
      </c>
      <c r="G99" s="226" t="s">
        <v>4001</v>
      </c>
      <c r="H99" s="226"/>
      <c r="I99" s="226"/>
      <c r="J99" s="226" t="s">
        <v>308</v>
      </c>
      <c r="K99" s="226" t="s">
        <v>4140</v>
      </c>
      <c r="L99" s="28" t="s">
        <v>4008</v>
      </c>
      <c r="M99" s="97"/>
      <c r="N99" s="97"/>
    </row>
    <row r="100" spans="1:14" ht="12.75">
      <c r="A100" s="225" t="s">
        <v>958</v>
      </c>
      <c r="B100" s="225" t="s">
        <v>2843</v>
      </c>
      <c r="C100" s="226">
        <v>2001</v>
      </c>
      <c r="D100" s="225">
        <v>11179317</v>
      </c>
      <c r="E100" s="254" t="s">
        <v>2845</v>
      </c>
      <c r="F100" s="226" t="s">
        <v>2850</v>
      </c>
      <c r="G100" s="226" t="s">
        <v>4001</v>
      </c>
      <c r="H100" s="226"/>
      <c r="I100" s="226"/>
      <c r="J100" s="226" t="s">
        <v>308</v>
      </c>
      <c r="K100" s="226" t="s">
        <v>4140</v>
      </c>
      <c r="L100" s="28" t="s">
        <v>4008</v>
      </c>
      <c r="M100" s="97"/>
      <c r="N100" s="97"/>
    </row>
    <row r="101" spans="1:14" ht="12.75">
      <c r="A101" s="225" t="s">
        <v>958</v>
      </c>
      <c r="B101" s="225" t="s">
        <v>2843</v>
      </c>
      <c r="C101" s="226">
        <v>2002</v>
      </c>
      <c r="D101" s="225">
        <v>11818898</v>
      </c>
      <c r="E101" s="253" t="s">
        <v>4147</v>
      </c>
      <c r="F101" s="226" t="s">
        <v>4148</v>
      </c>
      <c r="G101" s="226" t="s">
        <v>4001</v>
      </c>
      <c r="H101" s="226" t="s">
        <v>308</v>
      </c>
      <c r="I101" s="226" t="s">
        <v>4149</v>
      </c>
      <c r="J101" s="226"/>
      <c r="K101" s="226"/>
      <c r="L101" s="28" t="s">
        <v>4019</v>
      </c>
      <c r="M101" s="97"/>
      <c r="N101" s="97"/>
    </row>
    <row r="102" spans="1:14" ht="12.75">
      <c r="A102" s="225" t="s">
        <v>958</v>
      </c>
      <c r="B102" s="225" t="s">
        <v>2843</v>
      </c>
      <c r="C102" s="226">
        <v>2002</v>
      </c>
      <c r="D102" s="225">
        <v>11854222</v>
      </c>
      <c r="E102" s="253" t="s">
        <v>2852</v>
      </c>
      <c r="F102" s="226" t="s">
        <v>2855</v>
      </c>
      <c r="G102" s="226" t="s">
        <v>4001</v>
      </c>
      <c r="H102" s="226"/>
      <c r="I102" s="226"/>
      <c r="J102" s="226" t="s">
        <v>308</v>
      </c>
      <c r="K102" s="226" t="s">
        <v>4140</v>
      </c>
      <c r="L102" s="28" t="s">
        <v>4008</v>
      </c>
      <c r="M102" s="97"/>
      <c r="N102" s="97"/>
    </row>
    <row r="103" spans="1:14" ht="12.75">
      <c r="A103" s="225" t="s">
        <v>958</v>
      </c>
      <c r="B103" s="225" t="s">
        <v>2856</v>
      </c>
      <c r="C103" s="226">
        <v>2000</v>
      </c>
      <c r="D103" s="225">
        <v>11035757</v>
      </c>
      <c r="E103" s="254" t="s">
        <v>2858</v>
      </c>
      <c r="F103" s="226" t="s">
        <v>2863</v>
      </c>
      <c r="G103" s="226" t="s">
        <v>4001</v>
      </c>
      <c r="H103" s="226"/>
      <c r="I103" s="226"/>
      <c r="J103" s="226" t="s">
        <v>308</v>
      </c>
      <c r="K103" s="226" t="s">
        <v>4137</v>
      </c>
      <c r="L103" s="28" t="s">
        <v>4008</v>
      </c>
      <c r="M103" s="97"/>
      <c r="N103" s="97"/>
    </row>
    <row r="104" spans="1:14" ht="12.75">
      <c r="A104" s="225" t="s">
        <v>958</v>
      </c>
      <c r="B104" s="225" t="s">
        <v>2864</v>
      </c>
      <c r="C104" s="226">
        <v>2006</v>
      </c>
      <c r="D104" s="225">
        <v>16622201</v>
      </c>
      <c r="E104" s="253" t="s">
        <v>2866</v>
      </c>
      <c r="F104" s="226" t="s">
        <v>2869</v>
      </c>
      <c r="G104" s="226" t="s">
        <v>4001</v>
      </c>
      <c r="H104" s="226"/>
      <c r="I104" s="226"/>
      <c r="J104" s="226" t="s">
        <v>308</v>
      </c>
      <c r="K104" s="226" t="s">
        <v>4140</v>
      </c>
      <c r="L104" s="28" t="s">
        <v>4008</v>
      </c>
      <c r="M104" s="97"/>
      <c r="N104" s="97"/>
    </row>
    <row r="105" spans="1:14" ht="12.75">
      <c r="A105" s="225" t="s">
        <v>958</v>
      </c>
      <c r="B105" s="225" t="s">
        <v>4150</v>
      </c>
      <c r="C105" s="226">
        <v>2001</v>
      </c>
      <c r="D105" s="225">
        <v>11401958</v>
      </c>
      <c r="E105" s="253" t="s">
        <v>4151</v>
      </c>
      <c r="F105" s="226" t="s">
        <v>4152</v>
      </c>
      <c r="G105" s="226" t="s">
        <v>4001</v>
      </c>
      <c r="H105" s="226" t="s">
        <v>308</v>
      </c>
      <c r="I105" s="226" t="s">
        <v>4153</v>
      </c>
      <c r="J105" s="226"/>
      <c r="K105" s="226"/>
      <c r="L105" s="28" t="s">
        <v>4019</v>
      </c>
      <c r="M105" s="97"/>
      <c r="N105" s="97"/>
    </row>
    <row r="106" spans="1:14" ht="12.75">
      <c r="A106" s="225" t="s">
        <v>958</v>
      </c>
      <c r="B106" s="225" t="s">
        <v>2870</v>
      </c>
      <c r="C106" s="226">
        <v>2002</v>
      </c>
      <c r="D106" s="225">
        <v>12444138</v>
      </c>
      <c r="E106" s="253" t="s">
        <v>2871</v>
      </c>
      <c r="F106" s="226" t="s">
        <v>2874</v>
      </c>
      <c r="G106" s="226" t="s">
        <v>4001</v>
      </c>
      <c r="H106" s="226"/>
      <c r="I106" s="226"/>
      <c r="J106" s="226" t="s">
        <v>308</v>
      </c>
      <c r="K106" s="226" t="s">
        <v>4154</v>
      </c>
      <c r="L106" s="28" t="s">
        <v>4008</v>
      </c>
      <c r="M106" s="97"/>
      <c r="N106" s="97"/>
    </row>
    <row r="107" spans="1:14" ht="12.75">
      <c r="A107" s="225" t="s">
        <v>958</v>
      </c>
      <c r="B107" s="225" t="s">
        <v>2870</v>
      </c>
      <c r="C107" s="226">
        <v>2007</v>
      </c>
      <c r="D107" s="225">
        <v>17893130</v>
      </c>
      <c r="E107" s="253" t="s">
        <v>2875</v>
      </c>
      <c r="F107" s="226" t="s">
        <v>2880</v>
      </c>
      <c r="G107" s="226" t="s">
        <v>4001</v>
      </c>
      <c r="H107" s="226"/>
      <c r="I107" s="226"/>
      <c r="J107" s="226" t="s">
        <v>308</v>
      </c>
      <c r="K107" s="226" t="s">
        <v>4155</v>
      </c>
      <c r="L107" s="28" t="s">
        <v>4008</v>
      </c>
      <c r="M107" s="97"/>
      <c r="N107" s="97"/>
    </row>
    <row r="108" spans="1:14" ht="12.75">
      <c r="A108" s="225" t="s">
        <v>958</v>
      </c>
      <c r="B108" s="225" t="s">
        <v>951</v>
      </c>
      <c r="C108" s="226">
        <v>2004</v>
      </c>
      <c r="D108" s="225">
        <v>15271912</v>
      </c>
      <c r="E108" s="253" t="s">
        <v>2882</v>
      </c>
      <c r="F108" s="226" t="s">
        <v>2886</v>
      </c>
      <c r="G108" s="226" t="s">
        <v>4001</v>
      </c>
      <c r="H108" s="226"/>
      <c r="I108" s="226"/>
      <c r="J108" s="226" t="s">
        <v>308</v>
      </c>
      <c r="K108" s="226" t="s">
        <v>4140</v>
      </c>
      <c r="L108" s="28" t="s">
        <v>4008</v>
      </c>
      <c r="M108" s="97"/>
      <c r="N108" s="97"/>
    </row>
    <row r="109" spans="1:14" ht="12.75">
      <c r="A109" s="225" t="s">
        <v>958</v>
      </c>
      <c r="B109" s="225" t="s">
        <v>951</v>
      </c>
      <c r="C109" s="226">
        <v>2006</v>
      </c>
      <c r="D109" s="225">
        <v>16428791</v>
      </c>
      <c r="E109" s="253" t="s">
        <v>2888</v>
      </c>
      <c r="F109" s="226" t="s">
        <v>2892</v>
      </c>
      <c r="G109" s="226" t="s">
        <v>4001</v>
      </c>
      <c r="H109" s="226"/>
      <c r="I109" s="226"/>
      <c r="J109" s="226" t="s">
        <v>308</v>
      </c>
      <c r="K109" s="226" t="s">
        <v>4140</v>
      </c>
      <c r="L109" s="28" t="s">
        <v>4008</v>
      </c>
      <c r="M109" s="97"/>
      <c r="N109" s="97"/>
    </row>
    <row r="110" spans="1:14" ht="12.75">
      <c r="A110" s="225" t="s">
        <v>958</v>
      </c>
      <c r="B110" s="225" t="s">
        <v>951</v>
      </c>
      <c r="C110" s="226">
        <v>2006</v>
      </c>
      <c r="D110" s="225">
        <v>16426809</v>
      </c>
      <c r="E110" s="254" t="s">
        <v>2894</v>
      </c>
      <c r="F110" s="226" t="s">
        <v>2897</v>
      </c>
      <c r="G110" s="226" t="s">
        <v>4001</v>
      </c>
      <c r="H110" s="226"/>
      <c r="I110" s="226"/>
      <c r="J110" s="226" t="s">
        <v>308</v>
      </c>
      <c r="K110" s="226" t="s">
        <v>4140</v>
      </c>
      <c r="L110" s="28" t="s">
        <v>4008</v>
      </c>
      <c r="M110" s="97"/>
      <c r="N110" s="97"/>
    </row>
    <row r="111" spans="1:14" ht="12.75">
      <c r="A111" s="225" t="s">
        <v>958</v>
      </c>
      <c r="B111" s="225" t="s">
        <v>951</v>
      </c>
      <c r="C111" s="226">
        <v>2007</v>
      </c>
      <c r="D111" s="225">
        <v>17436224</v>
      </c>
      <c r="E111" s="253" t="s">
        <v>2898</v>
      </c>
      <c r="F111" s="226" t="s">
        <v>2904</v>
      </c>
      <c r="G111" s="226" t="s">
        <v>4001</v>
      </c>
      <c r="H111" s="226"/>
      <c r="I111" s="226"/>
      <c r="J111" s="226" t="s">
        <v>308</v>
      </c>
      <c r="K111" s="226" t="s">
        <v>4140</v>
      </c>
      <c r="L111" s="28" t="s">
        <v>4008</v>
      </c>
      <c r="M111" s="97"/>
      <c r="N111" s="97"/>
    </row>
    <row r="112" spans="1:14" ht="12.75">
      <c r="A112" s="225" t="s">
        <v>958</v>
      </c>
      <c r="B112" s="225" t="s">
        <v>2905</v>
      </c>
      <c r="C112" s="226">
        <v>2008</v>
      </c>
      <c r="D112" s="225">
        <v>18462159</v>
      </c>
      <c r="E112" s="254" t="s">
        <v>2907</v>
      </c>
      <c r="F112" s="226" t="s">
        <v>2909</v>
      </c>
      <c r="G112" s="226" t="s">
        <v>4001</v>
      </c>
      <c r="H112" s="226"/>
      <c r="I112" s="226"/>
      <c r="J112" s="226" t="s">
        <v>308</v>
      </c>
      <c r="K112" s="226" t="s">
        <v>4140</v>
      </c>
      <c r="L112" s="28" t="s">
        <v>4008</v>
      </c>
      <c r="M112" s="97"/>
      <c r="N112" s="97"/>
    </row>
    <row r="113" spans="1:14" ht="12.75">
      <c r="A113" s="225" t="s">
        <v>958</v>
      </c>
      <c r="B113" s="225" t="s">
        <v>2910</v>
      </c>
      <c r="C113" s="226">
        <v>1998</v>
      </c>
      <c r="D113" s="225">
        <v>9815221</v>
      </c>
      <c r="E113" s="254" t="s">
        <v>4156</v>
      </c>
      <c r="F113" s="226" t="s">
        <v>4157</v>
      </c>
      <c r="G113" s="226" t="s">
        <v>4001</v>
      </c>
      <c r="H113" s="226" t="s">
        <v>308</v>
      </c>
      <c r="I113" s="226" t="s">
        <v>4153</v>
      </c>
      <c r="J113" s="226"/>
      <c r="K113" s="226"/>
      <c r="L113" s="28" t="s">
        <v>4019</v>
      </c>
      <c r="M113" s="97"/>
      <c r="N113" s="97"/>
    </row>
    <row r="114" spans="1:14" ht="12.75">
      <c r="A114" s="225" t="s">
        <v>958</v>
      </c>
      <c r="B114" s="225" t="s">
        <v>2910</v>
      </c>
      <c r="C114" s="226">
        <v>1998</v>
      </c>
      <c r="D114" s="225">
        <v>9652440</v>
      </c>
      <c r="E114" s="254" t="s">
        <v>2912</v>
      </c>
      <c r="F114" s="226" t="s">
        <v>2917</v>
      </c>
      <c r="G114" s="226" t="s">
        <v>4001</v>
      </c>
      <c r="H114" s="226"/>
      <c r="I114" s="226"/>
      <c r="J114" s="226" t="s">
        <v>308</v>
      </c>
      <c r="K114" s="226" t="s">
        <v>4140</v>
      </c>
      <c r="L114" s="28" t="s">
        <v>4008</v>
      </c>
      <c r="M114" s="97"/>
      <c r="N114" s="97"/>
    </row>
    <row r="115" spans="1:14" ht="12.75">
      <c r="A115" s="225" t="s">
        <v>958</v>
      </c>
      <c r="B115" s="225" t="s">
        <v>2918</v>
      </c>
      <c r="C115" s="226">
        <v>1994</v>
      </c>
      <c r="D115" s="225">
        <v>8169411</v>
      </c>
      <c r="E115" s="253" t="s">
        <v>2920</v>
      </c>
      <c r="F115" s="226" t="s">
        <v>2924</v>
      </c>
      <c r="G115" s="226" t="s">
        <v>4001</v>
      </c>
      <c r="H115" s="226"/>
      <c r="I115" s="226"/>
      <c r="J115" s="226" t="s">
        <v>308</v>
      </c>
      <c r="K115" s="226" t="s">
        <v>4138</v>
      </c>
      <c r="L115" s="28" t="s">
        <v>4008</v>
      </c>
      <c r="M115" s="97"/>
      <c r="N115" s="97"/>
    </row>
    <row r="116" spans="1:14" ht="12.75">
      <c r="A116" s="225" t="s">
        <v>958</v>
      </c>
      <c r="B116" s="225" t="s">
        <v>2918</v>
      </c>
      <c r="C116" s="226">
        <v>2003</v>
      </c>
      <c r="D116" s="225">
        <v>14573692</v>
      </c>
      <c r="E116" s="253" t="s">
        <v>3868</v>
      </c>
      <c r="F116" s="226" t="s">
        <v>4010</v>
      </c>
      <c r="G116" s="226" t="s">
        <v>4001</v>
      </c>
      <c r="H116" s="226" t="s">
        <v>308</v>
      </c>
      <c r="I116" s="226" t="s">
        <v>4158</v>
      </c>
      <c r="J116" s="226"/>
      <c r="K116" s="226"/>
      <c r="L116" s="226"/>
      <c r="M116" s="97"/>
      <c r="N116" s="97"/>
    </row>
    <row r="117" spans="1:14" ht="12.75">
      <c r="A117" s="225" t="s">
        <v>958</v>
      </c>
      <c r="B117" s="225" t="s">
        <v>2918</v>
      </c>
      <c r="C117" s="226">
        <v>2003</v>
      </c>
      <c r="D117" s="225">
        <v>14638812</v>
      </c>
      <c r="E117" s="254" t="s">
        <v>2927</v>
      </c>
      <c r="F117" s="226" t="s">
        <v>2931</v>
      </c>
      <c r="G117" s="226" t="s">
        <v>4001</v>
      </c>
      <c r="H117" s="226"/>
      <c r="I117" s="226"/>
      <c r="J117" s="226" t="s">
        <v>308</v>
      </c>
      <c r="K117" s="226" t="s">
        <v>4140</v>
      </c>
      <c r="L117" s="28" t="s">
        <v>4008</v>
      </c>
      <c r="M117" s="97"/>
      <c r="N117" s="97"/>
    </row>
    <row r="118" spans="1:14" ht="12.75">
      <c r="A118" s="225" t="s">
        <v>958</v>
      </c>
      <c r="B118" s="225" t="s">
        <v>2932</v>
      </c>
      <c r="C118" s="226">
        <v>1998</v>
      </c>
      <c r="D118" s="225">
        <v>9607840</v>
      </c>
      <c r="E118" s="253" t="s">
        <v>2933</v>
      </c>
      <c r="F118" s="226" t="s">
        <v>2942</v>
      </c>
      <c r="G118" s="226" t="s">
        <v>4001</v>
      </c>
      <c r="H118" s="226"/>
      <c r="I118" s="226"/>
      <c r="J118" s="226" t="s">
        <v>308</v>
      </c>
      <c r="K118" s="226" t="s">
        <v>4159</v>
      </c>
      <c r="L118" s="28" t="s">
        <v>4008</v>
      </c>
      <c r="M118" s="97"/>
      <c r="N118" s="97"/>
    </row>
    <row r="119" spans="1:14" ht="12.75">
      <c r="A119" s="225" t="s">
        <v>958</v>
      </c>
      <c r="B119" s="225" t="s">
        <v>2947</v>
      </c>
      <c r="C119" s="226">
        <v>2000</v>
      </c>
      <c r="D119" s="225">
        <v>10768950</v>
      </c>
      <c r="E119" s="253" t="s">
        <v>2949</v>
      </c>
      <c r="F119" s="226" t="s">
        <v>2953</v>
      </c>
      <c r="G119" s="226" t="s">
        <v>4001</v>
      </c>
      <c r="H119" s="226"/>
      <c r="I119" s="226"/>
      <c r="J119" s="226" t="s">
        <v>308</v>
      </c>
      <c r="K119" s="226" t="s">
        <v>4140</v>
      </c>
      <c r="L119" s="28" t="s">
        <v>4008</v>
      </c>
      <c r="M119" s="97"/>
      <c r="N119" s="97"/>
    </row>
    <row r="120" spans="1:14" ht="12.75">
      <c r="A120" s="225" t="s">
        <v>958</v>
      </c>
      <c r="B120" s="225" t="s">
        <v>2954</v>
      </c>
      <c r="C120" s="226">
        <v>1999</v>
      </c>
      <c r="D120" s="225">
        <v>10569746</v>
      </c>
      <c r="E120" s="253" t="s">
        <v>2956</v>
      </c>
      <c r="F120" s="226" t="s">
        <v>2962</v>
      </c>
      <c r="G120" s="226" t="s">
        <v>4001</v>
      </c>
      <c r="H120" s="226"/>
      <c r="I120" s="226"/>
      <c r="J120" s="226" t="s">
        <v>308</v>
      </c>
      <c r="K120" s="226" t="s">
        <v>4160</v>
      </c>
      <c r="L120" s="28" t="s">
        <v>4008</v>
      </c>
      <c r="M120" s="97"/>
      <c r="N120" s="97"/>
    </row>
    <row r="121" spans="1:14" ht="12.75">
      <c r="A121" s="225" t="s">
        <v>958</v>
      </c>
      <c r="B121" s="225" t="s">
        <v>2954</v>
      </c>
      <c r="C121" s="226">
        <v>2001</v>
      </c>
      <c r="D121" s="225">
        <v>11349097</v>
      </c>
      <c r="E121" s="253" t="s">
        <v>2966</v>
      </c>
      <c r="F121" s="226" t="s">
        <v>2972</v>
      </c>
      <c r="G121" s="226" t="s">
        <v>4001</v>
      </c>
      <c r="H121" s="226"/>
      <c r="I121" s="226"/>
      <c r="J121" s="226" t="s">
        <v>308</v>
      </c>
      <c r="K121" s="226" t="s">
        <v>4140</v>
      </c>
      <c r="L121" s="28" t="s">
        <v>4008</v>
      </c>
      <c r="M121" s="97"/>
      <c r="N121" s="97"/>
    </row>
    <row r="122" spans="1:14" ht="12.75">
      <c r="A122" s="225" t="s">
        <v>958</v>
      </c>
      <c r="B122" s="225" t="s">
        <v>2954</v>
      </c>
      <c r="C122" s="226">
        <v>2001</v>
      </c>
      <c r="D122" s="225">
        <v>11179379</v>
      </c>
      <c r="E122" s="253" t="s">
        <v>2974</v>
      </c>
      <c r="F122" s="226" t="s">
        <v>2977</v>
      </c>
      <c r="G122" s="226" t="s">
        <v>4001</v>
      </c>
      <c r="H122" s="226"/>
      <c r="I122" s="226"/>
      <c r="J122" s="226" t="s">
        <v>308</v>
      </c>
      <c r="K122" s="226" t="s">
        <v>4160</v>
      </c>
      <c r="L122" s="28" t="s">
        <v>4008</v>
      </c>
      <c r="M122" s="97"/>
      <c r="N122" s="97"/>
    </row>
    <row r="123" spans="1:14" ht="12.75">
      <c r="A123" s="225" t="s">
        <v>517</v>
      </c>
      <c r="B123" s="225" t="s">
        <v>959</v>
      </c>
      <c r="C123" s="226">
        <v>2017</v>
      </c>
      <c r="D123" s="227" t="s">
        <v>4161</v>
      </c>
      <c r="E123" s="228" t="str">
        <f t="shared" ref="E123:E177" si="4">"https://pubmed.ncbi.nlm.nih.gov/"&amp;D123</f>
        <v>https://pubmed.ncbi.nlm.nih.gov/PMC5720597</v>
      </c>
      <c r="F123" s="226" t="s">
        <v>974</v>
      </c>
      <c r="G123" s="226" t="s">
        <v>4083</v>
      </c>
      <c r="H123" s="226"/>
      <c r="I123" s="226"/>
      <c r="J123" s="226" t="s">
        <v>308</v>
      </c>
      <c r="K123" s="226" t="s">
        <v>4162</v>
      </c>
      <c r="L123" s="28" t="s">
        <v>4008</v>
      </c>
      <c r="M123" s="97"/>
      <c r="N123" s="97"/>
    </row>
    <row r="124" spans="1:14" ht="12.75">
      <c r="A124" s="225" t="s">
        <v>517</v>
      </c>
      <c r="B124" s="225" t="s">
        <v>959</v>
      </c>
      <c r="C124" s="226">
        <v>2019</v>
      </c>
      <c r="D124" s="227" t="s">
        <v>4163</v>
      </c>
      <c r="E124" s="228" t="str">
        <f t="shared" si="4"/>
        <v>https://pubmed.ncbi.nlm.nih.gov/PMC6948818</v>
      </c>
      <c r="F124" s="226" t="s">
        <v>986</v>
      </c>
      <c r="G124" s="226" t="s">
        <v>4083</v>
      </c>
      <c r="H124" s="28" t="s">
        <v>308</v>
      </c>
      <c r="I124" s="28" t="s">
        <v>4164</v>
      </c>
      <c r="J124" s="295"/>
      <c r="K124" s="296"/>
      <c r="L124" s="28" t="s">
        <v>4019</v>
      </c>
      <c r="M124" s="97"/>
      <c r="N124" s="97"/>
    </row>
    <row r="125" spans="1:14" ht="12.75">
      <c r="A125" s="225" t="s">
        <v>517</v>
      </c>
      <c r="B125" s="225" t="s">
        <v>987</v>
      </c>
      <c r="C125" s="226">
        <v>2016</v>
      </c>
      <c r="D125" s="227" t="s">
        <v>4165</v>
      </c>
      <c r="E125" s="228" t="str">
        <f t="shared" si="4"/>
        <v>https://pubmed.ncbi.nlm.nih.gov/PMC4972157</v>
      </c>
      <c r="F125" s="226" t="s">
        <v>996</v>
      </c>
      <c r="G125" s="226" t="s">
        <v>4001</v>
      </c>
      <c r="H125" s="226"/>
      <c r="I125" s="226"/>
      <c r="J125" s="226" t="s">
        <v>308</v>
      </c>
      <c r="K125" s="97"/>
      <c r="L125" s="28" t="s">
        <v>4008</v>
      </c>
      <c r="M125" s="97"/>
      <c r="N125" s="97"/>
    </row>
    <row r="126" spans="1:14" ht="12.75">
      <c r="A126" s="225" t="s">
        <v>517</v>
      </c>
      <c r="B126" s="225" t="s">
        <v>997</v>
      </c>
      <c r="C126" s="226">
        <v>2016</v>
      </c>
      <c r="D126" s="227" t="s">
        <v>4166</v>
      </c>
      <c r="E126" s="228" t="str">
        <f t="shared" si="4"/>
        <v>https://pubmed.ncbi.nlm.nih.gov/PMC5179046</v>
      </c>
      <c r="F126" s="226" t="s">
        <v>1011</v>
      </c>
      <c r="G126" s="226" t="s">
        <v>4001</v>
      </c>
      <c r="H126" s="226"/>
      <c r="I126" s="97"/>
      <c r="J126" s="226" t="s">
        <v>308</v>
      </c>
      <c r="K126" s="97"/>
      <c r="L126" s="28" t="s">
        <v>4008</v>
      </c>
      <c r="M126" s="97"/>
      <c r="N126" s="97"/>
    </row>
    <row r="127" spans="1:14" ht="12.75">
      <c r="A127" s="225" t="s">
        <v>517</v>
      </c>
      <c r="B127" s="225" t="s">
        <v>423</v>
      </c>
      <c r="C127" s="226">
        <v>2018</v>
      </c>
      <c r="D127" s="227" t="s">
        <v>4167</v>
      </c>
      <c r="E127" s="228" t="str">
        <f t="shared" si="4"/>
        <v>https://pubmed.ncbi.nlm.nih.gov/PMC6169176</v>
      </c>
      <c r="F127" s="226" t="s">
        <v>1022</v>
      </c>
      <c r="G127" s="226" t="s">
        <v>4001</v>
      </c>
      <c r="H127" s="226"/>
      <c r="I127" s="97"/>
      <c r="J127" s="226" t="s">
        <v>308</v>
      </c>
      <c r="K127" s="97"/>
      <c r="L127" s="28" t="s">
        <v>4008</v>
      </c>
      <c r="M127" s="97"/>
      <c r="N127" s="97"/>
    </row>
    <row r="128" spans="1:14" ht="12.75">
      <c r="A128" s="225" t="s">
        <v>517</v>
      </c>
      <c r="B128" s="225" t="s">
        <v>1023</v>
      </c>
      <c r="C128" s="226">
        <v>2013</v>
      </c>
      <c r="D128" s="227" t="s">
        <v>4168</v>
      </c>
      <c r="E128" s="228" t="str">
        <f t="shared" si="4"/>
        <v>https://pubmed.ncbi.nlm.nih.gov/PMC3712927</v>
      </c>
      <c r="F128" s="226" t="s">
        <v>1034</v>
      </c>
      <c r="G128" s="226" t="s">
        <v>4001</v>
      </c>
      <c r="J128" s="226" t="s">
        <v>308</v>
      </c>
      <c r="K128" s="226" t="s">
        <v>4169</v>
      </c>
      <c r="L128" s="28" t="s">
        <v>4008</v>
      </c>
      <c r="M128" s="97"/>
      <c r="N128" s="97"/>
    </row>
    <row r="129" spans="1:14" ht="12.75">
      <c r="A129" s="225" t="s">
        <v>517</v>
      </c>
      <c r="B129" s="225" t="s">
        <v>1035</v>
      </c>
      <c r="C129" s="226">
        <v>2018</v>
      </c>
      <c r="D129" s="227" t="s">
        <v>4170</v>
      </c>
      <c r="E129" s="228" t="str">
        <f t="shared" si="4"/>
        <v>https://pubmed.ncbi.nlm.nih.gov/PMC5929186</v>
      </c>
      <c r="F129" s="226" t="s">
        <v>1047</v>
      </c>
      <c r="G129" s="226" t="s">
        <v>4001</v>
      </c>
      <c r="H129" s="226"/>
      <c r="I129" s="226"/>
      <c r="J129" s="226" t="s">
        <v>308</v>
      </c>
      <c r="K129" s="226" t="s">
        <v>4171</v>
      </c>
      <c r="L129" s="28" t="s">
        <v>4008</v>
      </c>
      <c r="M129" s="97"/>
      <c r="N129" s="97"/>
    </row>
    <row r="130" spans="1:14" ht="12.75">
      <c r="A130" s="225" t="s">
        <v>517</v>
      </c>
      <c r="B130" s="225" t="s">
        <v>1052</v>
      </c>
      <c r="C130" s="226">
        <v>2012</v>
      </c>
      <c r="D130" s="227" t="s">
        <v>4172</v>
      </c>
      <c r="E130" s="228" t="str">
        <f t="shared" si="4"/>
        <v>https://pubmed.ncbi.nlm.nih.gov/PMC3778896</v>
      </c>
      <c r="F130" s="226" t="s">
        <v>1063</v>
      </c>
      <c r="G130" s="226" t="s">
        <v>4083</v>
      </c>
      <c r="H130" s="97"/>
      <c r="I130" s="97"/>
      <c r="J130" s="226" t="s">
        <v>511</v>
      </c>
      <c r="K130" s="226" t="s">
        <v>4173</v>
      </c>
      <c r="L130" s="28" t="s">
        <v>4008</v>
      </c>
      <c r="M130" s="97"/>
      <c r="N130" s="97"/>
    </row>
    <row r="131" spans="1:14" ht="12.75">
      <c r="A131" s="225" t="s">
        <v>517</v>
      </c>
      <c r="B131" s="225" t="s">
        <v>1071</v>
      </c>
      <c r="C131" s="226">
        <v>2020</v>
      </c>
      <c r="D131" s="227" t="s">
        <v>4174</v>
      </c>
      <c r="E131" s="228" t="str">
        <f t="shared" si="4"/>
        <v>https://pubmed.ncbi.nlm.nih.gov/PMC7493140</v>
      </c>
      <c r="F131" s="226" t="s">
        <v>1083</v>
      </c>
      <c r="G131" s="226" t="s">
        <v>4079</v>
      </c>
      <c r="H131" s="97"/>
      <c r="I131" s="97"/>
      <c r="J131" s="226" t="s">
        <v>511</v>
      </c>
      <c r="K131" s="226" t="s">
        <v>4175</v>
      </c>
      <c r="L131" s="28" t="s">
        <v>4008</v>
      </c>
      <c r="M131" s="97"/>
      <c r="N131" s="97"/>
    </row>
    <row r="132" spans="1:14" ht="12.75">
      <c r="A132" s="225" t="s">
        <v>517</v>
      </c>
      <c r="B132" s="225" t="s">
        <v>1084</v>
      </c>
      <c r="C132" s="226">
        <v>2010</v>
      </c>
      <c r="D132" s="227" t="s">
        <v>4176</v>
      </c>
      <c r="E132" s="228" t="str">
        <f t="shared" si="4"/>
        <v>https://pubmed.ncbi.nlm.nih.gov/PMC2958836</v>
      </c>
      <c r="F132" s="226" t="s">
        <v>1092</v>
      </c>
      <c r="G132" s="226" t="s">
        <v>4001</v>
      </c>
      <c r="H132" s="226"/>
      <c r="I132" s="97"/>
      <c r="J132" s="226" t="s">
        <v>308</v>
      </c>
      <c r="K132" s="226" t="s">
        <v>4177</v>
      </c>
      <c r="L132" s="28" t="s">
        <v>4008</v>
      </c>
      <c r="M132" s="97"/>
      <c r="N132" s="97"/>
    </row>
    <row r="133" spans="1:14" ht="12.75">
      <c r="A133" s="225" t="s">
        <v>517</v>
      </c>
      <c r="B133" s="225" t="s">
        <v>4178</v>
      </c>
      <c r="C133" s="226">
        <v>2020</v>
      </c>
      <c r="D133" s="227" t="s">
        <v>4179</v>
      </c>
      <c r="E133" s="228" t="str">
        <f t="shared" si="4"/>
        <v>https://pubmed.ncbi.nlm.nih.gov/PMC7108198</v>
      </c>
      <c r="F133" s="226" t="s">
        <v>4180</v>
      </c>
      <c r="G133" s="226" t="s">
        <v>4001</v>
      </c>
      <c r="H133" s="226" t="s">
        <v>308</v>
      </c>
      <c r="I133" s="226" t="s">
        <v>4181</v>
      </c>
      <c r="J133" s="97"/>
      <c r="K133" s="97"/>
      <c r="L133" s="97"/>
      <c r="M133" s="97"/>
      <c r="N133" s="97"/>
    </row>
    <row r="134" spans="1:14" ht="12.75">
      <c r="A134" s="225" t="s">
        <v>517</v>
      </c>
      <c r="B134" s="225" t="s">
        <v>1106</v>
      </c>
      <c r="C134" s="226">
        <v>2020</v>
      </c>
      <c r="D134" s="227" t="s">
        <v>4182</v>
      </c>
      <c r="E134" s="228" t="str">
        <f t="shared" si="4"/>
        <v>https://pubmed.ncbi.nlm.nih.gov/PMC7050988</v>
      </c>
      <c r="F134" s="226" t="s">
        <v>1117</v>
      </c>
      <c r="G134" s="226" t="s">
        <v>4001</v>
      </c>
      <c r="H134" s="226"/>
      <c r="I134" s="226"/>
      <c r="J134" s="226" t="s">
        <v>511</v>
      </c>
      <c r="K134" s="226"/>
      <c r="L134" s="28" t="s">
        <v>4008</v>
      </c>
      <c r="M134" s="97"/>
      <c r="N134" s="97"/>
    </row>
    <row r="135" spans="1:14" ht="12.75">
      <c r="A135" s="225" t="s">
        <v>517</v>
      </c>
      <c r="B135" s="225" t="s">
        <v>4183</v>
      </c>
      <c r="C135" s="226">
        <v>2015</v>
      </c>
      <c r="D135" s="227" t="s">
        <v>4184</v>
      </c>
      <c r="E135" s="228" t="str">
        <f t="shared" si="4"/>
        <v>https://pubmed.ncbi.nlm.nih.gov/PMC4392868</v>
      </c>
      <c r="F135" s="226" t="s">
        <v>4185</v>
      </c>
      <c r="G135" s="226" t="s">
        <v>4001</v>
      </c>
      <c r="H135" s="226" t="s">
        <v>308</v>
      </c>
      <c r="I135" s="226" t="s">
        <v>4186</v>
      </c>
      <c r="J135" s="226"/>
      <c r="K135" s="97"/>
      <c r="L135" s="28" t="s">
        <v>4019</v>
      </c>
      <c r="M135" s="97"/>
      <c r="N135" s="97"/>
    </row>
    <row r="136" spans="1:14" ht="12.75">
      <c r="A136" s="225" t="s">
        <v>517</v>
      </c>
      <c r="B136" s="225" t="s">
        <v>4187</v>
      </c>
      <c r="C136" s="226">
        <v>2017</v>
      </c>
      <c r="D136" s="227" t="s">
        <v>4188</v>
      </c>
      <c r="E136" s="228" t="str">
        <f t="shared" si="4"/>
        <v>https://pubmed.ncbi.nlm.nih.gov/PMC5216439</v>
      </c>
      <c r="F136" s="226" t="s">
        <v>4189</v>
      </c>
      <c r="G136" s="226" t="s">
        <v>4001</v>
      </c>
      <c r="H136" s="226" t="s">
        <v>308</v>
      </c>
      <c r="I136" s="226" t="s">
        <v>4190</v>
      </c>
      <c r="J136" s="97"/>
      <c r="K136" s="97"/>
      <c r="L136" s="28" t="s">
        <v>4019</v>
      </c>
      <c r="M136" s="97"/>
      <c r="N136" s="97"/>
    </row>
    <row r="137" spans="1:14" ht="12.75">
      <c r="A137" s="225" t="s">
        <v>517</v>
      </c>
      <c r="B137" s="225" t="s">
        <v>1118</v>
      </c>
      <c r="C137" s="226">
        <v>2017</v>
      </c>
      <c r="D137" s="227" t="s">
        <v>4191</v>
      </c>
      <c r="E137" s="228" t="str">
        <f t="shared" si="4"/>
        <v>https://pubmed.ncbi.nlm.nih.gov/PMC5655070</v>
      </c>
      <c r="F137" s="226" t="s">
        <v>1129</v>
      </c>
      <c r="G137" s="226" t="s">
        <v>4079</v>
      </c>
      <c r="H137" s="97"/>
      <c r="I137" s="97"/>
      <c r="J137" s="226" t="s">
        <v>511</v>
      </c>
      <c r="K137" s="226"/>
      <c r="L137" s="28" t="s">
        <v>4008</v>
      </c>
      <c r="M137" s="97"/>
      <c r="N137" s="97"/>
    </row>
    <row r="138" spans="1:14" ht="12.75">
      <c r="A138" s="225" t="s">
        <v>517</v>
      </c>
      <c r="B138" s="225" t="s">
        <v>1130</v>
      </c>
      <c r="C138" s="226">
        <v>2016</v>
      </c>
      <c r="D138" s="227" t="s">
        <v>4192</v>
      </c>
      <c r="E138" s="228" t="str">
        <f t="shared" si="4"/>
        <v>https://pubmed.ncbi.nlm.nih.gov/PMC4879391</v>
      </c>
      <c r="F138" s="226" t="s">
        <v>1149</v>
      </c>
      <c r="G138" s="226" t="s">
        <v>4083</v>
      </c>
      <c r="H138" s="226"/>
      <c r="I138" s="226" t="s">
        <v>4193</v>
      </c>
      <c r="J138" s="226" t="s">
        <v>308</v>
      </c>
      <c r="K138" s="226"/>
      <c r="L138" s="28" t="s">
        <v>4008</v>
      </c>
      <c r="M138" s="97"/>
      <c r="N138" s="97"/>
    </row>
    <row r="139" spans="1:14" ht="12.75">
      <c r="A139" s="225" t="s">
        <v>517</v>
      </c>
      <c r="B139" s="225" t="s">
        <v>1130</v>
      </c>
      <c r="C139" s="226">
        <v>2016</v>
      </c>
      <c r="D139" s="227" t="s">
        <v>4194</v>
      </c>
      <c r="E139" s="228" t="str">
        <f t="shared" si="4"/>
        <v>https://pubmed.ncbi.nlm.nih.gov/PMC4992851</v>
      </c>
      <c r="F139" s="226" t="s">
        <v>1159</v>
      </c>
      <c r="G139" s="226" t="s">
        <v>4083</v>
      </c>
      <c r="H139" s="226"/>
      <c r="I139" s="226" t="s">
        <v>4193</v>
      </c>
      <c r="J139" s="226" t="s">
        <v>308</v>
      </c>
      <c r="K139" s="226"/>
      <c r="L139" s="28" t="s">
        <v>4008</v>
      </c>
      <c r="M139" s="97"/>
      <c r="N139" s="97"/>
    </row>
    <row r="140" spans="1:14" ht="12.75">
      <c r="A140" s="225" t="s">
        <v>517</v>
      </c>
      <c r="B140" s="225" t="s">
        <v>1130</v>
      </c>
      <c r="C140" s="226">
        <v>2013</v>
      </c>
      <c r="D140" s="227" t="s">
        <v>4195</v>
      </c>
      <c r="E140" s="228" t="str">
        <f t="shared" si="4"/>
        <v>https://pubmed.ncbi.nlm.nih.gov/PMC3888148</v>
      </c>
      <c r="F140" s="226" t="s">
        <v>1139</v>
      </c>
      <c r="G140" s="226" t="s">
        <v>4083</v>
      </c>
      <c r="H140" s="226"/>
      <c r="I140" s="226"/>
      <c r="J140" s="226" t="s">
        <v>308</v>
      </c>
      <c r="K140" s="226" t="s">
        <v>4196</v>
      </c>
      <c r="L140" s="28" t="s">
        <v>4008</v>
      </c>
      <c r="M140" s="97"/>
      <c r="N140" s="97"/>
    </row>
    <row r="141" spans="1:14" ht="12.75">
      <c r="A141" s="225" t="s">
        <v>517</v>
      </c>
      <c r="B141" s="225" t="s">
        <v>1160</v>
      </c>
      <c r="C141" s="226">
        <v>2016</v>
      </c>
      <c r="D141" s="227" t="s">
        <v>4197</v>
      </c>
      <c r="E141" s="228" t="str">
        <f t="shared" si="4"/>
        <v>https://pubmed.ncbi.nlm.nih.gov/PMC4750592</v>
      </c>
      <c r="F141" s="226" t="s">
        <v>1168</v>
      </c>
      <c r="G141" s="226" t="s">
        <v>4083</v>
      </c>
      <c r="H141" s="97"/>
      <c r="I141" s="97"/>
      <c r="J141" s="226" t="s">
        <v>511</v>
      </c>
      <c r="K141" s="97"/>
      <c r="L141" s="28" t="s">
        <v>4008</v>
      </c>
      <c r="M141" s="97"/>
      <c r="N141" s="97"/>
    </row>
    <row r="142" spans="1:14" ht="12.75">
      <c r="A142" s="225" t="s">
        <v>517</v>
      </c>
      <c r="B142" s="225" t="s">
        <v>1169</v>
      </c>
      <c r="C142" s="226">
        <v>2016</v>
      </c>
      <c r="D142" s="227" t="s">
        <v>4198</v>
      </c>
      <c r="E142" s="228" t="str">
        <f t="shared" si="4"/>
        <v>https://pubmed.ncbi.nlm.nih.gov/PMC4747614</v>
      </c>
      <c r="F142" s="226" t="s">
        <v>1178</v>
      </c>
      <c r="G142" s="226" t="s">
        <v>4083</v>
      </c>
      <c r="H142" s="97"/>
      <c r="I142" s="97"/>
      <c r="J142" s="226" t="s">
        <v>308</v>
      </c>
      <c r="K142" s="226"/>
      <c r="L142" s="28" t="s">
        <v>4008</v>
      </c>
      <c r="M142" s="97"/>
      <c r="N142" s="97"/>
    </row>
    <row r="143" spans="1:14" ht="12.75">
      <c r="A143" s="225" t="s">
        <v>517</v>
      </c>
      <c r="B143" s="225" t="s">
        <v>4199</v>
      </c>
      <c r="C143" s="226">
        <v>2004</v>
      </c>
      <c r="D143" s="227" t="s">
        <v>4200</v>
      </c>
      <c r="E143" s="228" t="str">
        <f t="shared" si="4"/>
        <v>https://pubmed.ncbi.nlm.nih.gov/PMC524376</v>
      </c>
      <c r="F143" s="226" t="s">
        <v>4201</v>
      </c>
      <c r="G143" s="226" t="s">
        <v>4079</v>
      </c>
      <c r="H143" s="226" t="s">
        <v>511</v>
      </c>
      <c r="I143" s="226" t="s">
        <v>4202</v>
      </c>
      <c r="J143" s="226"/>
      <c r="K143" s="97"/>
      <c r="L143" s="97"/>
      <c r="M143" s="97"/>
      <c r="N143" s="97"/>
    </row>
    <row r="144" spans="1:14" ht="12.75">
      <c r="A144" s="225" t="s">
        <v>517</v>
      </c>
      <c r="B144" s="225" t="s">
        <v>1179</v>
      </c>
      <c r="C144" s="226">
        <v>2015</v>
      </c>
      <c r="D144" s="227" t="s">
        <v>4203</v>
      </c>
      <c r="E144" s="228" t="str">
        <f t="shared" si="4"/>
        <v>https://pubmed.ncbi.nlm.nih.gov/PMC4371633</v>
      </c>
      <c r="F144" s="226" t="s">
        <v>1189</v>
      </c>
      <c r="G144" s="226" t="s">
        <v>4079</v>
      </c>
      <c r="H144" s="97"/>
      <c r="I144" s="97"/>
      <c r="J144" s="226" t="s">
        <v>511</v>
      </c>
      <c r="K144" s="97"/>
      <c r="L144" s="28" t="s">
        <v>4008</v>
      </c>
      <c r="M144" s="97"/>
      <c r="N144" s="97"/>
    </row>
    <row r="145" spans="1:14" ht="12.75">
      <c r="A145" s="225" t="s">
        <v>517</v>
      </c>
      <c r="B145" s="225" t="s">
        <v>4204</v>
      </c>
      <c r="C145" s="226">
        <v>2020</v>
      </c>
      <c r="D145" s="227" t="s">
        <v>4205</v>
      </c>
      <c r="E145" s="228" t="str">
        <f t="shared" si="4"/>
        <v>https://pubmed.ncbi.nlm.nih.gov/PMC7194502</v>
      </c>
      <c r="F145" s="226" t="s">
        <v>4206</v>
      </c>
      <c r="G145" s="226" t="s">
        <v>4079</v>
      </c>
      <c r="H145" s="226" t="s">
        <v>511</v>
      </c>
      <c r="I145" s="226" t="s">
        <v>4207</v>
      </c>
      <c r="J145" s="97"/>
      <c r="K145" s="97"/>
      <c r="L145" s="97"/>
      <c r="M145" s="97"/>
      <c r="N145" s="97"/>
    </row>
    <row r="146" spans="1:14" ht="12.75">
      <c r="A146" s="225" t="s">
        <v>517</v>
      </c>
      <c r="B146" s="225" t="s">
        <v>1190</v>
      </c>
      <c r="C146" s="226">
        <v>2018</v>
      </c>
      <c r="D146" s="227" t="s">
        <v>4208</v>
      </c>
      <c r="E146" s="228" t="str">
        <f t="shared" si="4"/>
        <v>https://pubmed.ncbi.nlm.nih.gov/PMC5853383</v>
      </c>
      <c r="F146" s="226" t="s">
        <v>1199</v>
      </c>
      <c r="G146" s="226" t="s">
        <v>4079</v>
      </c>
      <c r="H146" s="97"/>
      <c r="I146" s="97"/>
      <c r="J146" s="226" t="s">
        <v>511</v>
      </c>
      <c r="K146" s="226"/>
      <c r="L146" s="28" t="s">
        <v>4008</v>
      </c>
      <c r="M146" s="97"/>
      <c r="N146" s="97"/>
    </row>
    <row r="147" spans="1:14" ht="12.75">
      <c r="A147" s="225" t="s">
        <v>517</v>
      </c>
      <c r="B147" s="225" t="s">
        <v>1200</v>
      </c>
      <c r="C147" s="226">
        <v>2020</v>
      </c>
      <c r="D147" s="227" t="s">
        <v>4209</v>
      </c>
      <c r="E147" s="228" t="str">
        <f t="shared" si="4"/>
        <v>https://pubmed.ncbi.nlm.nih.gov/PMC7390452</v>
      </c>
      <c r="F147" s="226" t="s">
        <v>1207</v>
      </c>
      <c r="G147" s="226" t="s">
        <v>4083</v>
      </c>
      <c r="H147" s="97"/>
      <c r="I147" s="97"/>
      <c r="J147" s="226" t="s">
        <v>308</v>
      </c>
      <c r="K147" s="226" t="s">
        <v>4210</v>
      </c>
      <c r="L147" s="28" t="s">
        <v>4008</v>
      </c>
      <c r="M147" s="97"/>
      <c r="N147" s="97"/>
    </row>
    <row r="148" spans="1:14" ht="12.75">
      <c r="A148" s="225" t="s">
        <v>517</v>
      </c>
      <c r="B148" s="225" t="s">
        <v>1208</v>
      </c>
      <c r="C148" s="226">
        <v>2019</v>
      </c>
      <c r="D148" s="227" t="s">
        <v>4211</v>
      </c>
      <c r="E148" s="228" t="str">
        <f t="shared" si="4"/>
        <v>https://pubmed.ncbi.nlm.nih.gov/PMC4857475</v>
      </c>
      <c r="F148" s="226" t="s">
        <v>1220</v>
      </c>
      <c r="G148" s="226" t="s">
        <v>4083</v>
      </c>
      <c r="H148" s="97"/>
      <c r="I148" s="97"/>
      <c r="J148" s="226" t="s">
        <v>511</v>
      </c>
      <c r="K148" s="226"/>
      <c r="L148" s="28" t="s">
        <v>4008</v>
      </c>
      <c r="M148" s="97"/>
      <c r="N148" s="97"/>
    </row>
    <row r="149" spans="1:14" ht="12.75">
      <c r="A149" s="225" t="s">
        <v>517</v>
      </c>
      <c r="B149" s="225" t="s">
        <v>1221</v>
      </c>
      <c r="C149" s="226">
        <v>2016</v>
      </c>
      <c r="D149" s="227" t="s">
        <v>4212</v>
      </c>
      <c r="E149" s="228" t="str">
        <f t="shared" si="4"/>
        <v>https://pubmed.ncbi.nlm.nih.gov/PMC4933782</v>
      </c>
      <c r="F149" s="226" t="s">
        <v>1236</v>
      </c>
      <c r="G149" s="226" t="s">
        <v>4001</v>
      </c>
      <c r="H149" s="226"/>
      <c r="I149" s="97"/>
      <c r="J149" s="226" t="s">
        <v>308</v>
      </c>
      <c r="K149" s="226" t="s">
        <v>4213</v>
      </c>
      <c r="L149" s="28" t="s">
        <v>4008</v>
      </c>
      <c r="M149" s="97"/>
      <c r="N149" s="97"/>
    </row>
    <row r="150" spans="1:14" ht="12.75">
      <c r="A150" s="225" t="s">
        <v>517</v>
      </c>
      <c r="B150" s="225" t="s">
        <v>1242</v>
      </c>
      <c r="C150" s="226">
        <v>2020</v>
      </c>
      <c r="D150" s="227" t="s">
        <v>4214</v>
      </c>
      <c r="E150" s="228" t="str">
        <f t="shared" si="4"/>
        <v>https://pubmed.ncbi.nlm.nih.gov/PMC7069936</v>
      </c>
      <c r="F150" s="226" t="s">
        <v>1254</v>
      </c>
      <c r="G150" s="226" t="s">
        <v>4001</v>
      </c>
      <c r="H150" s="226"/>
      <c r="I150" s="97"/>
      <c r="J150" s="226" t="s">
        <v>308</v>
      </c>
      <c r="K150" s="97"/>
      <c r="L150" s="28" t="s">
        <v>4008</v>
      </c>
      <c r="M150" s="97"/>
      <c r="N150" s="97"/>
    </row>
    <row r="151" spans="1:14" ht="12.75">
      <c r="A151" s="225" t="s">
        <v>517</v>
      </c>
      <c r="B151" s="225" t="s">
        <v>1255</v>
      </c>
      <c r="C151" s="226">
        <v>2018</v>
      </c>
      <c r="D151" s="227" t="s">
        <v>4215</v>
      </c>
      <c r="E151" s="228" t="str">
        <f t="shared" si="4"/>
        <v>https://pubmed.ncbi.nlm.nih.gov/PMC5828662</v>
      </c>
      <c r="F151" s="226" t="s">
        <v>1264</v>
      </c>
      <c r="G151" s="226" t="s">
        <v>4001</v>
      </c>
      <c r="H151" s="226"/>
      <c r="I151" s="97"/>
      <c r="J151" s="226" t="s">
        <v>308</v>
      </c>
      <c r="K151" s="97"/>
      <c r="L151" s="28" t="s">
        <v>4008</v>
      </c>
      <c r="M151" s="97"/>
      <c r="N151" s="97"/>
    </row>
    <row r="152" spans="1:14" ht="12.75">
      <c r="A152" s="225" t="s">
        <v>517</v>
      </c>
      <c r="B152" s="225" t="s">
        <v>1265</v>
      </c>
      <c r="C152" s="226">
        <v>2012</v>
      </c>
      <c r="D152" s="227" t="s">
        <v>4216</v>
      </c>
      <c r="E152" s="228" t="str">
        <f t="shared" si="4"/>
        <v>https://pubmed.ncbi.nlm.nih.gov/PMC3372522</v>
      </c>
      <c r="F152" s="226" t="s">
        <v>4217</v>
      </c>
      <c r="G152" s="226" t="s">
        <v>4001</v>
      </c>
      <c r="H152" s="226" t="s">
        <v>308</v>
      </c>
      <c r="I152" s="226" t="s">
        <v>4218</v>
      </c>
      <c r="J152" s="97"/>
      <c r="K152" s="97"/>
      <c r="L152" s="226" t="s">
        <v>4019</v>
      </c>
      <c r="M152" s="97"/>
      <c r="N152" s="97"/>
    </row>
    <row r="153" spans="1:14" ht="12.75">
      <c r="A153" s="225" t="s">
        <v>517</v>
      </c>
      <c r="B153" s="225" t="s">
        <v>1265</v>
      </c>
      <c r="C153" s="226">
        <v>2013</v>
      </c>
      <c r="D153" s="227" t="s">
        <v>4219</v>
      </c>
      <c r="E153" s="228" t="str">
        <f t="shared" si="4"/>
        <v>https://pubmed.ncbi.nlm.nih.gov/PMC3541746</v>
      </c>
      <c r="F153" s="226" t="s">
        <v>1274</v>
      </c>
      <c r="G153" s="226" t="s">
        <v>4001</v>
      </c>
      <c r="H153" s="226"/>
      <c r="I153" s="97"/>
      <c r="J153" s="226" t="s">
        <v>308</v>
      </c>
      <c r="K153" s="97"/>
      <c r="L153" s="28" t="s">
        <v>4008</v>
      </c>
      <c r="M153" s="97"/>
      <c r="N153" s="97"/>
    </row>
    <row r="154" spans="1:14" ht="12.75">
      <c r="A154" s="225" t="s">
        <v>517</v>
      </c>
      <c r="B154" s="225" t="s">
        <v>829</v>
      </c>
      <c r="C154" s="226">
        <v>2019</v>
      </c>
      <c r="D154" s="227" t="s">
        <v>4220</v>
      </c>
      <c r="E154" s="228" t="str">
        <f t="shared" si="4"/>
        <v>https://pubmed.ncbi.nlm.nih.gov/PMC6515882</v>
      </c>
      <c r="F154" s="226" t="s">
        <v>842</v>
      </c>
      <c r="G154" s="226" t="s">
        <v>4083</v>
      </c>
      <c r="H154" s="97"/>
      <c r="I154" s="97"/>
      <c r="J154" s="226" t="s">
        <v>308</v>
      </c>
      <c r="K154" s="226" t="s">
        <v>4221</v>
      </c>
      <c r="L154" s="28" t="s">
        <v>4008</v>
      </c>
      <c r="M154" s="97"/>
      <c r="N154" s="97"/>
    </row>
    <row r="155" spans="1:14" ht="12.75">
      <c r="A155" s="225" t="s">
        <v>517</v>
      </c>
      <c r="B155" s="225" t="s">
        <v>1275</v>
      </c>
      <c r="C155" s="226">
        <v>2019</v>
      </c>
      <c r="D155" s="227" t="s">
        <v>4222</v>
      </c>
      <c r="E155" s="228" t="str">
        <f t="shared" si="4"/>
        <v>https://pubmed.ncbi.nlm.nih.gov/PMC6844497</v>
      </c>
      <c r="F155" s="226" t="s">
        <v>1285</v>
      </c>
      <c r="G155" s="226" t="s">
        <v>4001</v>
      </c>
      <c r="H155" s="226"/>
      <c r="I155" s="226"/>
      <c r="J155" s="226" t="s">
        <v>308</v>
      </c>
      <c r="K155" s="226"/>
      <c r="L155" s="28" t="s">
        <v>4008</v>
      </c>
      <c r="M155" s="97"/>
      <c r="N155" s="97"/>
    </row>
    <row r="156" spans="1:14" ht="12.75">
      <c r="A156" s="225" t="s">
        <v>517</v>
      </c>
      <c r="B156" s="225" t="s">
        <v>1275</v>
      </c>
      <c r="C156" s="226">
        <v>2019</v>
      </c>
      <c r="D156" s="227" t="s">
        <v>4223</v>
      </c>
      <c r="E156" s="228" t="str">
        <f t="shared" si="4"/>
        <v>https://pubmed.ncbi.nlm.nih.gov/PMC6630672</v>
      </c>
      <c r="F156" s="226" t="s">
        <v>1292</v>
      </c>
      <c r="G156" s="226" t="s">
        <v>4001</v>
      </c>
      <c r="H156" s="226"/>
      <c r="I156" s="226"/>
      <c r="J156" s="226" t="s">
        <v>308</v>
      </c>
      <c r="K156" s="226"/>
      <c r="L156" s="28" t="s">
        <v>4008</v>
      </c>
      <c r="M156" s="97"/>
      <c r="N156" s="97"/>
    </row>
    <row r="157" spans="1:14" ht="12.75">
      <c r="A157" s="225" t="s">
        <v>517</v>
      </c>
      <c r="B157" s="225" t="s">
        <v>1293</v>
      </c>
      <c r="C157" s="226">
        <v>2011</v>
      </c>
      <c r="D157" s="227" t="s">
        <v>4224</v>
      </c>
      <c r="E157" s="228" t="str">
        <f t="shared" si="4"/>
        <v>https://pubmed.ncbi.nlm.nih.gov/PMC3187119</v>
      </c>
      <c r="F157" s="226" t="s">
        <v>1301</v>
      </c>
      <c r="G157" s="226" t="s">
        <v>4001</v>
      </c>
      <c r="H157" s="226"/>
      <c r="I157" s="226"/>
      <c r="J157" s="226" t="s">
        <v>308</v>
      </c>
      <c r="K157" s="226" t="s">
        <v>4225</v>
      </c>
      <c r="L157" s="28" t="s">
        <v>4008</v>
      </c>
      <c r="M157" s="97"/>
      <c r="N157" s="97"/>
    </row>
    <row r="158" spans="1:14" ht="12.75">
      <c r="A158" s="225" t="s">
        <v>517</v>
      </c>
      <c r="B158" s="225" t="s">
        <v>1302</v>
      </c>
      <c r="C158" s="226">
        <v>2013</v>
      </c>
      <c r="D158" s="227" t="s">
        <v>4226</v>
      </c>
      <c r="E158" s="228" t="str">
        <f t="shared" si="4"/>
        <v>https://pubmed.ncbi.nlm.nih.gov/PMC3688861</v>
      </c>
      <c r="F158" s="226" t="s">
        <v>1313</v>
      </c>
      <c r="G158" s="226" t="s">
        <v>4001</v>
      </c>
      <c r="H158" s="226"/>
      <c r="I158" s="97"/>
      <c r="J158" s="226" t="s">
        <v>308</v>
      </c>
      <c r="K158" s="226"/>
      <c r="L158" s="28" t="s">
        <v>4008</v>
      </c>
      <c r="M158" s="97"/>
      <c r="N158" s="97"/>
    </row>
    <row r="159" spans="1:14" ht="12.75">
      <c r="A159" s="225" t="s">
        <v>517</v>
      </c>
      <c r="B159" s="225" t="s">
        <v>1314</v>
      </c>
      <c r="C159" s="226">
        <v>2019</v>
      </c>
      <c r="D159" s="227" t="s">
        <v>4227</v>
      </c>
      <c r="E159" s="228" t="str">
        <f t="shared" si="4"/>
        <v>https://pubmed.ncbi.nlm.nih.gov/PMC6877087</v>
      </c>
      <c r="F159" s="226" t="s">
        <v>1322</v>
      </c>
      <c r="G159" s="226" t="s">
        <v>4001</v>
      </c>
      <c r="H159" s="226"/>
      <c r="I159" s="226"/>
      <c r="J159" s="226" t="s">
        <v>308</v>
      </c>
      <c r="K159" s="226" t="s">
        <v>4228</v>
      </c>
      <c r="L159" s="28" t="s">
        <v>4008</v>
      </c>
      <c r="M159" s="97"/>
      <c r="N159" s="97"/>
    </row>
    <row r="160" spans="1:14" ht="12.75">
      <c r="A160" s="225" t="s">
        <v>517</v>
      </c>
      <c r="B160" s="225" t="s">
        <v>1323</v>
      </c>
      <c r="C160" s="226">
        <v>2014</v>
      </c>
      <c r="D160" s="227" t="s">
        <v>4229</v>
      </c>
      <c r="E160" s="228" t="str">
        <f t="shared" si="4"/>
        <v>https://pubmed.ncbi.nlm.nih.gov/PMC4165915</v>
      </c>
      <c r="F160" s="226" t="s">
        <v>1330</v>
      </c>
      <c r="G160" s="226" t="s">
        <v>4001</v>
      </c>
      <c r="H160" s="226"/>
      <c r="I160" s="226"/>
      <c r="J160" s="226" t="s">
        <v>308</v>
      </c>
      <c r="K160" s="226" t="s">
        <v>4230</v>
      </c>
      <c r="L160" s="28" t="s">
        <v>4008</v>
      </c>
      <c r="M160" s="97"/>
      <c r="N160" s="97"/>
    </row>
    <row r="161" spans="1:14" ht="12.75">
      <c r="A161" s="225" t="s">
        <v>517</v>
      </c>
      <c r="B161" s="225" t="s">
        <v>1331</v>
      </c>
      <c r="C161" s="226">
        <v>2020</v>
      </c>
      <c r="D161" s="227" t="s">
        <v>4231</v>
      </c>
      <c r="E161" s="228" t="str">
        <f t="shared" si="4"/>
        <v>https://pubmed.ncbi.nlm.nih.gov/PMC7710093</v>
      </c>
      <c r="F161" s="226" t="s">
        <v>1345</v>
      </c>
      <c r="G161" s="226" t="s">
        <v>4001</v>
      </c>
      <c r="H161" s="226"/>
      <c r="I161" s="226"/>
      <c r="J161" s="226" t="s">
        <v>511</v>
      </c>
      <c r="K161" s="226"/>
      <c r="L161" s="28" t="s">
        <v>4008</v>
      </c>
      <c r="M161" s="97"/>
      <c r="N161" s="97"/>
    </row>
    <row r="162" spans="1:14" ht="12.75">
      <c r="A162" s="225" t="s">
        <v>517</v>
      </c>
      <c r="B162" s="225" t="s">
        <v>1331</v>
      </c>
      <c r="C162" s="226">
        <v>2020</v>
      </c>
      <c r="D162" s="227" t="s">
        <v>4232</v>
      </c>
      <c r="E162" s="228" t="str">
        <f t="shared" si="4"/>
        <v>https://pubmed.ncbi.nlm.nih.gov/PMC7524165</v>
      </c>
      <c r="F162" s="226" t="s">
        <v>1359</v>
      </c>
      <c r="G162" s="226" t="s">
        <v>4001</v>
      </c>
      <c r="H162" s="226"/>
      <c r="I162" s="226"/>
      <c r="J162" s="226" t="s">
        <v>511</v>
      </c>
      <c r="K162" s="226" t="s">
        <v>4228</v>
      </c>
      <c r="L162" s="28" t="s">
        <v>4008</v>
      </c>
      <c r="M162" s="97"/>
      <c r="N162" s="97"/>
    </row>
    <row r="163" spans="1:14" ht="12.75">
      <c r="A163" s="225" t="s">
        <v>517</v>
      </c>
      <c r="B163" s="225" t="s">
        <v>1360</v>
      </c>
      <c r="C163" s="226">
        <v>2014</v>
      </c>
      <c r="D163" s="227" t="s">
        <v>4233</v>
      </c>
      <c r="E163" s="228" t="str">
        <f t="shared" si="4"/>
        <v>https://pubmed.ncbi.nlm.nih.gov/PMC4236046</v>
      </c>
      <c r="F163" s="226" t="s">
        <v>1368</v>
      </c>
      <c r="G163" s="226" t="s">
        <v>4001</v>
      </c>
      <c r="H163" s="226"/>
      <c r="I163" s="97"/>
      <c r="J163" s="226" t="s">
        <v>308</v>
      </c>
      <c r="K163" s="226" t="s">
        <v>4234</v>
      </c>
      <c r="L163" s="28" t="s">
        <v>4008</v>
      </c>
      <c r="M163" s="97"/>
      <c r="N163" s="97"/>
    </row>
    <row r="164" spans="1:14" ht="12.75">
      <c r="A164" s="225" t="s">
        <v>517</v>
      </c>
      <c r="B164" s="225" t="s">
        <v>1369</v>
      </c>
      <c r="C164" s="226">
        <v>2013</v>
      </c>
      <c r="D164" s="227" t="s">
        <v>4235</v>
      </c>
      <c r="E164" s="228" t="str">
        <f t="shared" si="4"/>
        <v>https://pubmed.ncbi.nlm.nih.gov/PMC3549599</v>
      </c>
      <c r="F164" s="226" t="s">
        <v>1379</v>
      </c>
      <c r="G164" s="226" t="s">
        <v>4079</v>
      </c>
      <c r="H164" s="97"/>
      <c r="I164" s="97"/>
      <c r="J164" s="226" t="s">
        <v>308</v>
      </c>
      <c r="K164" s="226" t="s">
        <v>4228</v>
      </c>
      <c r="L164" s="28" t="s">
        <v>4008</v>
      </c>
      <c r="M164" s="97"/>
      <c r="N164" s="97"/>
    </row>
    <row r="165" spans="1:14" ht="12.75">
      <c r="A165" s="225" t="s">
        <v>517</v>
      </c>
      <c r="B165" s="225" t="s">
        <v>1380</v>
      </c>
      <c r="C165" s="226">
        <v>2021</v>
      </c>
      <c r="D165" s="227" t="s">
        <v>4236</v>
      </c>
      <c r="E165" s="228" t="str">
        <f t="shared" si="4"/>
        <v>https://pubmed.ncbi.nlm.nih.gov/PMC7960709</v>
      </c>
      <c r="F165" s="226" t="s">
        <v>1391</v>
      </c>
      <c r="G165" s="226" t="s">
        <v>4001</v>
      </c>
      <c r="H165" s="226"/>
      <c r="I165" s="226"/>
      <c r="J165" s="226" t="s">
        <v>511</v>
      </c>
      <c r="K165" s="97"/>
      <c r="L165" s="28" t="s">
        <v>4008</v>
      </c>
      <c r="M165" s="97"/>
      <c r="N165" s="97"/>
    </row>
    <row r="166" spans="1:14" ht="12.75">
      <c r="A166" s="225" t="s">
        <v>517</v>
      </c>
      <c r="B166" s="225" t="s">
        <v>4237</v>
      </c>
      <c r="C166" s="226">
        <v>2017</v>
      </c>
      <c r="D166" s="227" t="s">
        <v>4238</v>
      </c>
      <c r="E166" s="228" t="str">
        <f t="shared" si="4"/>
        <v>https://pubmed.ncbi.nlm.nih.gov/PMC5681833</v>
      </c>
      <c r="F166" s="226" t="s">
        <v>4239</v>
      </c>
      <c r="G166" s="226" t="s">
        <v>4001</v>
      </c>
      <c r="H166" s="226" t="s">
        <v>308</v>
      </c>
      <c r="I166" s="28" t="s">
        <v>4240</v>
      </c>
      <c r="J166" s="97"/>
      <c r="K166" s="97"/>
      <c r="L166" s="28" t="s">
        <v>4019</v>
      </c>
      <c r="M166" s="97"/>
      <c r="N166" s="97"/>
    </row>
    <row r="167" spans="1:14" ht="12.75">
      <c r="A167" s="225" t="s">
        <v>4239</v>
      </c>
      <c r="B167" s="225" t="s">
        <v>2980</v>
      </c>
      <c r="C167" s="226">
        <v>2017</v>
      </c>
      <c r="D167" s="225">
        <v>28637923</v>
      </c>
      <c r="E167" s="228" t="str">
        <f t="shared" si="4"/>
        <v>https://pubmed.ncbi.nlm.nih.gov/28637923</v>
      </c>
      <c r="F167" s="226" t="s">
        <v>2992</v>
      </c>
      <c r="G167" s="226" t="s">
        <v>4001</v>
      </c>
      <c r="H167" s="226"/>
      <c r="I167" s="28"/>
      <c r="J167" s="226" t="s">
        <v>308</v>
      </c>
      <c r="K167" s="226" t="s">
        <v>4241</v>
      </c>
      <c r="L167" s="28" t="s">
        <v>4008</v>
      </c>
      <c r="M167" s="97"/>
      <c r="N167" s="97"/>
    </row>
    <row r="168" spans="1:14" ht="12.75">
      <c r="A168" s="225" t="s">
        <v>517</v>
      </c>
      <c r="B168" s="225" t="s">
        <v>480</v>
      </c>
      <c r="C168" s="226">
        <v>2016</v>
      </c>
      <c r="D168" s="227" t="s">
        <v>4242</v>
      </c>
      <c r="E168" s="228" t="str">
        <f t="shared" si="4"/>
        <v>https://pubmed.ncbi.nlm.nih.gov/PMC4974752</v>
      </c>
      <c r="F168" s="226" t="s">
        <v>3006</v>
      </c>
      <c r="G168" s="226" t="s">
        <v>4001</v>
      </c>
      <c r="H168" s="226" t="s">
        <v>308</v>
      </c>
      <c r="I168" s="28" t="s">
        <v>4018</v>
      </c>
      <c r="J168" s="97"/>
      <c r="K168" s="97"/>
      <c r="L168" s="28" t="s">
        <v>4019</v>
      </c>
      <c r="M168" s="97"/>
      <c r="N168" s="97"/>
    </row>
    <row r="169" spans="1:14" ht="12.75">
      <c r="A169" s="225" t="s">
        <v>3006</v>
      </c>
      <c r="B169" s="225" t="s">
        <v>533</v>
      </c>
      <c r="C169" s="226">
        <v>2016</v>
      </c>
      <c r="D169" s="225">
        <v>26711509</v>
      </c>
      <c r="E169" s="228" t="str">
        <f t="shared" si="4"/>
        <v>https://pubmed.ncbi.nlm.nih.gov/26711509</v>
      </c>
      <c r="F169" s="226" t="s">
        <v>4010</v>
      </c>
      <c r="G169" s="226" t="s">
        <v>4001</v>
      </c>
      <c r="H169" s="226" t="s">
        <v>308</v>
      </c>
      <c r="I169" s="28" t="s">
        <v>4243</v>
      </c>
      <c r="J169" s="97"/>
      <c r="K169" s="97"/>
      <c r="L169" s="97"/>
      <c r="M169" s="97"/>
      <c r="N169" s="97"/>
    </row>
    <row r="170" spans="1:14" ht="12.75">
      <c r="A170" s="225" t="s">
        <v>3006</v>
      </c>
      <c r="B170" s="225" t="s">
        <v>572</v>
      </c>
      <c r="C170" s="226">
        <v>2013</v>
      </c>
      <c r="D170" s="225">
        <v>23599283</v>
      </c>
      <c r="E170" s="228" t="str">
        <f t="shared" si="4"/>
        <v>https://pubmed.ncbi.nlm.nih.gov/23599283</v>
      </c>
      <c r="F170" s="226" t="s">
        <v>4010</v>
      </c>
      <c r="G170" s="226" t="s">
        <v>4001</v>
      </c>
      <c r="H170" s="226" t="s">
        <v>308</v>
      </c>
      <c r="I170" s="28" t="s">
        <v>4244</v>
      </c>
      <c r="J170" s="97"/>
      <c r="K170" s="97"/>
      <c r="L170" s="97"/>
      <c r="M170" s="97"/>
      <c r="N170" s="97"/>
    </row>
    <row r="171" spans="1:14" ht="12.75">
      <c r="A171" s="225" t="s">
        <v>3006</v>
      </c>
      <c r="B171" s="225" t="s">
        <v>572</v>
      </c>
      <c r="C171" s="226">
        <v>2014</v>
      </c>
      <c r="D171" s="225">
        <v>25396417</v>
      </c>
      <c r="E171" s="228" t="str">
        <f t="shared" si="4"/>
        <v>https://pubmed.ncbi.nlm.nih.gov/25396417</v>
      </c>
      <c r="F171" s="226" t="s">
        <v>3007</v>
      </c>
      <c r="G171" s="226" t="s">
        <v>4001</v>
      </c>
      <c r="H171" s="226"/>
      <c r="I171" s="28"/>
      <c r="J171" s="226" t="s">
        <v>308</v>
      </c>
      <c r="K171" s="226" t="s">
        <v>4245</v>
      </c>
      <c r="L171" s="28" t="s">
        <v>4008</v>
      </c>
      <c r="M171" s="97"/>
      <c r="N171" s="97"/>
    </row>
    <row r="172" spans="1:14" ht="12.75">
      <c r="A172" s="225" t="s">
        <v>3006</v>
      </c>
      <c r="B172" s="225" t="s">
        <v>572</v>
      </c>
      <c r="C172" s="226">
        <v>2014</v>
      </c>
      <c r="D172" s="225">
        <v>24872326</v>
      </c>
      <c r="E172" s="228" t="str">
        <f t="shared" si="4"/>
        <v>https://pubmed.ncbi.nlm.nih.gov/24872326</v>
      </c>
      <c r="F172" s="226" t="s">
        <v>4010</v>
      </c>
      <c r="G172" s="226" t="s">
        <v>4001</v>
      </c>
      <c r="H172" s="226" t="s">
        <v>308</v>
      </c>
      <c r="I172" s="28" t="s">
        <v>4246</v>
      </c>
      <c r="J172" s="97"/>
      <c r="K172" s="97"/>
      <c r="L172" s="97"/>
      <c r="M172" s="97"/>
      <c r="N172" s="97"/>
    </row>
    <row r="173" spans="1:14" ht="12.75">
      <c r="A173" s="225" t="s">
        <v>3006</v>
      </c>
      <c r="B173" s="225" t="s">
        <v>1265</v>
      </c>
      <c r="C173" s="226">
        <v>2009</v>
      </c>
      <c r="D173" s="225">
        <v>19641203</v>
      </c>
      <c r="E173" s="228" t="str">
        <f t="shared" si="4"/>
        <v>https://pubmed.ncbi.nlm.nih.gov/19641203</v>
      </c>
      <c r="F173" s="226" t="s">
        <v>4010</v>
      </c>
      <c r="G173" s="226" t="s">
        <v>4001</v>
      </c>
      <c r="H173" s="226" t="s">
        <v>308</v>
      </c>
      <c r="I173" s="28" t="s">
        <v>4247</v>
      </c>
      <c r="J173" s="97"/>
      <c r="K173" s="97"/>
      <c r="L173" s="97"/>
      <c r="M173" s="97"/>
      <c r="N173" s="97"/>
    </row>
    <row r="174" spans="1:14" ht="12.75">
      <c r="A174" s="225" t="s">
        <v>3006</v>
      </c>
      <c r="B174" s="225" t="s">
        <v>4248</v>
      </c>
      <c r="C174" s="226">
        <v>2011</v>
      </c>
      <c r="D174" s="225">
        <v>21514658</v>
      </c>
      <c r="E174" s="228" t="str">
        <f t="shared" si="4"/>
        <v>https://pubmed.ncbi.nlm.nih.gov/21514658</v>
      </c>
      <c r="F174" s="226" t="s">
        <v>3024</v>
      </c>
      <c r="G174" s="226" t="s">
        <v>4001</v>
      </c>
      <c r="H174" s="226"/>
      <c r="I174" s="28"/>
      <c r="J174" s="226" t="s">
        <v>308</v>
      </c>
      <c r="K174" s="226" t="s">
        <v>4249</v>
      </c>
      <c r="L174" s="28" t="s">
        <v>4008</v>
      </c>
      <c r="M174" s="97"/>
      <c r="N174" s="97"/>
    </row>
    <row r="175" spans="1:14" ht="12.75">
      <c r="A175" s="225" t="s">
        <v>3006</v>
      </c>
      <c r="B175" s="225" t="s">
        <v>1369</v>
      </c>
      <c r="C175" s="226">
        <v>2013</v>
      </c>
      <c r="D175" s="225">
        <v>23186785</v>
      </c>
      <c r="E175" s="228" t="str">
        <f t="shared" si="4"/>
        <v>https://pubmed.ncbi.nlm.nih.gov/23186785</v>
      </c>
      <c r="F175" s="226" t="s">
        <v>4010</v>
      </c>
      <c r="G175" s="226" t="s">
        <v>4001</v>
      </c>
      <c r="H175" s="226" t="s">
        <v>308</v>
      </c>
      <c r="I175" s="28" t="s">
        <v>4250</v>
      </c>
      <c r="J175" s="97"/>
      <c r="K175" s="97"/>
      <c r="L175" s="97"/>
      <c r="M175" s="97"/>
      <c r="N175" s="97"/>
    </row>
    <row r="176" spans="1:14" ht="12.75">
      <c r="A176" s="225" t="s">
        <v>517</v>
      </c>
      <c r="B176" s="225" t="s">
        <v>1392</v>
      </c>
      <c r="C176" s="226">
        <v>2015</v>
      </c>
      <c r="D176" s="227" t="s">
        <v>4251</v>
      </c>
      <c r="E176" s="228" t="str">
        <f t="shared" si="4"/>
        <v>https://pubmed.ncbi.nlm.nih.gov/PMC4322439</v>
      </c>
      <c r="F176" s="226" t="s">
        <v>1403</v>
      </c>
      <c r="G176" s="226" t="s">
        <v>4001</v>
      </c>
      <c r="H176" s="226"/>
      <c r="I176" s="97"/>
      <c r="J176" s="226" t="s">
        <v>308</v>
      </c>
      <c r="K176" s="226" t="s">
        <v>4252</v>
      </c>
      <c r="L176" s="28" t="s">
        <v>4008</v>
      </c>
      <c r="M176" s="97"/>
      <c r="N176" s="97"/>
    </row>
    <row r="177" spans="1:15" ht="12.75">
      <c r="A177" s="297" t="s">
        <v>517</v>
      </c>
      <c r="B177" s="297" t="s">
        <v>1404</v>
      </c>
      <c r="C177" s="298">
        <v>2020</v>
      </c>
      <c r="D177" s="299" t="s">
        <v>4253</v>
      </c>
      <c r="E177" s="228" t="str">
        <f t="shared" si="4"/>
        <v>https://pubmed.ncbi.nlm.nih.gov/PMC7444516</v>
      </c>
      <c r="F177" s="298" t="s">
        <v>1415</v>
      </c>
      <c r="G177" s="298" t="s">
        <v>4083</v>
      </c>
      <c r="H177" s="291"/>
      <c r="I177" s="291"/>
      <c r="J177" s="298" t="s">
        <v>308</v>
      </c>
      <c r="K177" s="298" t="s">
        <v>4254</v>
      </c>
      <c r="L177" s="28" t="s">
        <v>4008</v>
      </c>
      <c r="M177" s="291"/>
      <c r="N177" s="291"/>
      <c r="O177" s="290"/>
    </row>
    <row r="178" spans="1:15" ht="12.75">
      <c r="A178" s="225" t="s">
        <v>1431</v>
      </c>
      <c r="B178" s="227" t="s">
        <v>4255</v>
      </c>
      <c r="C178" s="243">
        <v>2000</v>
      </c>
      <c r="D178" s="243">
        <v>10781777</v>
      </c>
      <c r="E178" s="300" t="str">
        <f t="shared" ref="E178:E195" si="5">"https://pubmed.ncbi.nlm.nih.gov/?term="&amp;D178</f>
        <v>https://pubmed.ncbi.nlm.nih.gov/?term=10781777</v>
      </c>
      <c r="F178" s="226" t="s">
        <v>1432</v>
      </c>
      <c r="G178" s="226" t="s">
        <v>4083</v>
      </c>
      <c r="H178" s="97"/>
      <c r="I178" s="97"/>
      <c r="J178" s="226" t="s">
        <v>308</v>
      </c>
      <c r="K178" s="226" t="s">
        <v>4028</v>
      </c>
      <c r="L178" s="28" t="s">
        <v>4008</v>
      </c>
      <c r="M178" s="97"/>
      <c r="N178" s="97"/>
      <c r="O178" s="97"/>
    </row>
    <row r="179" spans="1:15" ht="12.75">
      <c r="A179" s="225" t="s">
        <v>1431</v>
      </c>
      <c r="B179" s="227" t="s">
        <v>4255</v>
      </c>
      <c r="C179" s="243">
        <v>2000</v>
      </c>
      <c r="D179" s="243">
        <v>10781777</v>
      </c>
      <c r="E179" s="228" t="str">
        <f t="shared" si="5"/>
        <v>https://pubmed.ncbi.nlm.nih.gov/?term=10781777</v>
      </c>
      <c r="F179" s="226" t="s">
        <v>4010</v>
      </c>
      <c r="G179" s="226" t="s">
        <v>4079</v>
      </c>
      <c r="H179" s="226" t="s">
        <v>511</v>
      </c>
      <c r="I179" s="226" t="s">
        <v>4256</v>
      </c>
      <c r="J179" s="97"/>
      <c r="K179" s="97"/>
      <c r="L179" s="97"/>
      <c r="M179" s="97"/>
      <c r="N179" s="97"/>
      <c r="O179" s="97"/>
    </row>
    <row r="180" spans="1:15" ht="12.75">
      <c r="A180" s="225" t="s">
        <v>1431</v>
      </c>
      <c r="B180" s="227" t="s">
        <v>4257</v>
      </c>
      <c r="C180" s="243">
        <v>1986</v>
      </c>
      <c r="D180" s="243">
        <v>3531141</v>
      </c>
      <c r="E180" s="228" t="str">
        <f t="shared" si="5"/>
        <v>https://pubmed.ncbi.nlm.nih.gov/?term=3531141</v>
      </c>
      <c r="F180" s="226" t="s">
        <v>1446</v>
      </c>
      <c r="G180" s="226" t="s">
        <v>4083</v>
      </c>
      <c r="H180" s="97"/>
      <c r="I180" s="97"/>
      <c r="J180" s="226" t="s">
        <v>308</v>
      </c>
      <c r="K180" s="226" t="s">
        <v>4258</v>
      </c>
      <c r="L180" s="28" t="s">
        <v>4008</v>
      </c>
      <c r="M180" s="97"/>
      <c r="N180" s="97"/>
      <c r="O180" s="97"/>
    </row>
    <row r="181" spans="1:15" ht="12.75">
      <c r="A181" s="225" t="s">
        <v>1431</v>
      </c>
      <c r="B181" s="227" t="s">
        <v>4257</v>
      </c>
      <c r="C181" s="243">
        <v>1987</v>
      </c>
      <c r="D181" s="243">
        <v>3326874</v>
      </c>
      <c r="E181" s="228" t="str">
        <f t="shared" si="5"/>
        <v>https://pubmed.ncbi.nlm.nih.gov/?term=3326874</v>
      </c>
      <c r="F181" s="226" t="s">
        <v>1466</v>
      </c>
      <c r="G181" s="226" t="s">
        <v>4083</v>
      </c>
      <c r="H181" s="97"/>
      <c r="I181" s="97"/>
      <c r="J181" s="226" t="s">
        <v>308</v>
      </c>
      <c r="K181" s="226" t="s">
        <v>4259</v>
      </c>
      <c r="L181" s="28" t="s">
        <v>4008</v>
      </c>
      <c r="M181" s="97"/>
      <c r="N181" s="97"/>
      <c r="O181" s="97"/>
    </row>
    <row r="182" spans="1:15" ht="12.75">
      <c r="A182" s="225" t="s">
        <v>1431</v>
      </c>
      <c r="B182" s="227" t="s">
        <v>1467</v>
      </c>
      <c r="C182" s="243">
        <v>1996</v>
      </c>
      <c r="D182" s="243">
        <v>8849805</v>
      </c>
      <c r="E182" s="228" t="str">
        <f t="shared" si="5"/>
        <v>https://pubmed.ncbi.nlm.nih.gov/?term=8849805</v>
      </c>
      <c r="F182" s="226" t="s">
        <v>1475</v>
      </c>
      <c r="G182" s="226" t="s">
        <v>4083</v>
      </c>
      <c r="H182" s="226"/>
      <c r="I182" s="101"/>
      <c r="J182" s="28" t="s">
        <v>308</v>
      </c>
      <c r="K182" s="226" t="s">
        <v>4260</v>
      </c>
      <c r="L182" s="28" t="s">
        <v>4008</v>
      </c>
      <c r="M182" s="97"/>
      <c r="N182" s="97"/>
      <c r="O182" s="97"/>
    </row>
    <row r="183" spans="1:15" ht="12.75">
      <c r="A183" s="225" t="s">
        <v>1431</v>
      </c>
      <c r="B183" s="227" t="s">
        <v>4261</v>
      </c>
      <c r="C183" s="243">
        <v>2010</v>
      </c>
      <c r="D183" s="243">
        <v>20720206</v>
      </c>
      <c r="E183" s="228" t="str">
        <f t="shared" si="5"/>
        <v>https://pubmed.ncbi.nlm.nih.gov/?term=20720206</v>
      </c>
      <c r="F183" s="226" t="s">
        <v>4262</v>
      </c>
      <c r="G183" s="226" t="s">
        <v>4079</v>
      </c>
      <c r="H183" s="226" t="s">
        <v>511</v>
      </c>
      <c r="I183" s="226" t="s">
        <v>4263</v>
      </c>
      <c r="J183" s="97"/>
      <c r="K183" s="97"/>
      <c r="L183" s="97"/>
      <c r="M183" s="97"/>
      <c r="N183" s="97"/>
      <c r="O183" s="97"/>
    </row>
    <row r="184" spans="1:15" ht="12.75">
      <c r="A184" s="225" t="s">
        <v>1431</v>
      </c>
      <c r="B184" s="227" t="s">
        <v>4264</v>
      </c>
      <c r="C184" s="243">
        <v>1985</v>
      </c>
      <c r="D184" s="243">
        <v>2993431</v>
      </c>
      <c r="E184" s="228" t="str">
        <f t="shared" si="5"/>
        <v>https://pubmed.ncbi.nlm.nih.gov/?term=2993431</v>
      </c>
      <c r="F184" s="226" t="s">
        <v>1484</v>
      </c>
      <c r="G184" s="226" t="s">
        <v>4079</v>
      </c>
      <c r="H184" s="97"/>
      <c r="I184" s="97"/>
      <c r="J184" s="226" t="s">
        <v>511</v>
      </c>
      <c r="K184" s="97"/>
      <c r="L184" s="28" t="s">
        <v>4008</v>
      </c>
      <c r="M184" s="97"/>
      <c r="N184" s="97"/>
      <c r="O184" s="97"/>
    </row>
    <row r="185" spans="1:15" ht="12.75">
      <c r="A185" s="225" t="s">
        <v>1431</v>
      </c>
      <c r="B185" s="227" t="s">
        <v>4265</v>
      </c>
      <c r="C185" s="243">
        <v>1988</v>
      </c>
      <c r="D185" s="243">
        <v>3183640</v>
      </c>
      <c r="E185" s="228" t="str">
        <f t="shared" si="5"/>
        <v>https://pubmed.ncbi.nlm.nih.gov/?term=3183640</v>
      </c>
      <c r="F185" s="226" t="s">
        <v>4266</v>
      </c>
      <c r="G185" s="28" t="s">
        <v>4083</v>
      </c>
      <c r="H185" s="28" t="s">
        <v>308</v>
      </c>
      <c r="I185" s="28" t="s">
        <v>4267</v>
      </c>
      <c r="J185" s="104"/>
      <c r="K185" s="226"/>
      <c r="L185" s="226"/>
      <c r="M185" s="97"/>
      <c r="N185" s="97"/>
      <c r="O185" s="97"/>
    </row>
    <row r="186" spans="1:15" ht="12.75">
      <c r="A186" s="225" t="s">
        <v>1431</v>
      </c>
      <c r="B186" s="227" t="s">
        <v>4265</v>
      </c>
      <c r="C186" s="243">
        <v>1977</v>
      </c>
      <c r="D186" s="243">
        <v>925382</v>
      </c>
      <c r="E186" s="228" t="str">
        <f t="shared" si="5"/>
        <v>https://pubmed.ncbi.nlm.nih.gov/?term=925382</v>
      </c>
      <c r="F186" s="226" t="s">
        <v>1495</v>
      </c>
      <c r="G186" s="226" t="s">
        <v>4083</v>
      </c>
      <c r="H186" s="226" t="s">
        <v>308</v>
      </c>
      <c r="I186" s="226" t="s">
        <v>4020</v>
      </c>
      <c r="J186" s="226"/>
      <c r="K186" s="226" t="s">
        <v>4268</v>
      </c>
      <c r="L186" s="226"/>
      <c r="M186" s="97"/>
      <c r="N186" s="97"/>
      <c r="O186" s="97"/>
    </row>
    <row r="187" spans="1:15" ht="12.75">
      <c r="A187" s="225" t="s">
        <v>1431</v>
      </c>
      <c r="B187" s="227" t="s">
        <v>4269</v>
      </c>
      <c r="C187" s="243">
        <v>1991</v>
      </c>
      <c r="D187" s="243">
        <v>2024815</v>
      </c>
      <c r="E187" s="228" t="str">
        <f t="shared" si="5"/>
        <v>https://pubmed.ncbi.nlm.nih.gov/?term=2024815</v>
      </c>
      <c r="F187" s="226" t="s">
        <v>1503</v>
      </c>
      <c r="G187" s="226" t="s">
        <v>4083</v>
      </c>
      <c r="H187" s="97"/>
      <c r="I187" s="97"/>
      <c r="J187" s="226" t="s">
        <v>511</v>
      </c>
      <c r="K187" s="226" t="s">
        <v>4028</v>
      </c>
      <c r="L187" s="28" t="s">
        <v>4008</v>
      </c>
      <c r="M187" s="97"/>
      <c r="N187" s="97"/>
      <c r="O187" s="97"/>
    </row>
    <row r="188" spans="1:15" ht="12.75">
      <c r="A188" s="225" t="s">
        <v>1431</v>
      </c>
      <c r="B188" s="227" t="s">
        <v>4270</v>
      </c>
      <c r="C188" s="243">
        <v>2002</v>
      </c>
      <c r="D188" s="243">
        <v>11893972</v>
      </c>
      <c r="E188" s="228" t="str">
        <f t="shared" si="5"/>
        <v>https://pubmed.ncbi.nlm.nih.gov/?term=11893972</v>
      </c>
      <c r="F188" s="226" t="s">
        <v>1514</v>
      </c>
      <c r="G188" s="226" t="s">
        <v>4083</v>
      </c>
      <c r="H188" s="97"/>
      <c r="I188" s="97"/>
      <c r="J188" s="226" t="s">
        <v>511</v>
      </c>
      <c r="K188" s="226" t="s">
        <v>4028</v>
      </c>
      <c r="L188" s="28" t="s">
        <v>4008</v>
      </c>
      <c r="M188" s="97"/>
      <c r="N188" s="97"/>
      <c r="O188" s="97"/>
    </row>
    <row r="189" spans="1:15" ht="12.75">
      <c r="A189" s="225" t="s">
        <v>1431</v>
      </c>
      <c r="B189" s="227" t="s">
        <v>4271</v>
      </c>
      <c r="C189" s="243">
        <v>1999</v>
      </c>
      <c r="D189" s="243">
        <v>10390212</v>
      </c>
      <c r="E189" s="228" t="str">
        <f t="shared" si="5"/>
        <v>https://pubmed.ncbi.nlm.nih.gov/?term=10390212</v>
      </c>
      <c r="F189" s="226" t="s">
        <v>1527</v>
      </c>
      <c r="G189" s="226" t="s">
        <v>4083</v>
      </c>
      <c r="H189" s="97"/>
      <c r="I189" s="97"/>
      <c r="J189" s="226" t="s">
        <v>511</v>
      </c>
      <c r="K189" s="97"/>
      <c r="L189" s="28" t="s">
        <v>4008</v>
      </c>
      <c r="M189" s="97"/>
      <c r="N189" s="97"/>
      <c r="O189" s="97"/>
    </row>
    <row r="190" spans="1:15" ht="12.75">
      <c r="A190" s="225" t="s">
        <v>1431</v>
      </c>
      <c r="B190" s="227" t="s">
        <v>4271</v>
      </c>
      <c r="C190" s="243">
        <v>1999</v>
      </c>
      <c r="D190" s="243">
        <v>12731753</v>
      </c>
      <c r="E190" s="228" t="str">
        <f t="shared" si="5"/>
        <v>https://pubmed.ncbi.nlm.nih.gov/?term=12731753</v>
      </c>
      <c r="F190" s="226" t="s">
        <v>4010</v>
      </c>
      <c r="G190" s="226" t="s">
        <v>4079</v>
      </c>
      <c r="H190" s="226" t="s">
        <v>511</v>
      </c>
      <c r="I190" s="226" t="s">
        <v>4256</v>
      </c>
      <c r="J190" s="97"/>
      <c r="K190" s="97"/>
      <c r="L190" s="97"/>
      <c r="M190" s="97"/>
      <c r="N190" s="97"/>
      <c r="O190" s="97"/>
    </row>
    <row r="191" spans="1:15" ht="12.75">
      <c r="A191" s="225" t="s">
        <v>1431</v>
      </c>
      <c r="B191" s="227" t="s">
        <v>4272</v>
      </c>
      <c r="C191" s="243">
        <v>1991</v>
      </c>
      <c r="D191" s="243">
        <v>1720601</v>
      </c>
      <c r="E191" s="228" t="str">
        <f t="shared" si="5"/>
        <v>https://pubmed.ncbi.nlm.nih.gov/?term=1720601</v>
      </c>
      <c r="F191" s="226" t="s">
        <v>1537</v>
      </c>
      <c r="G191" s="226" t="s">
        <v>4083</v>
      </c>
      <c r="H191" s="97"/>
      <c r="I191" s="97"/>
      <c r="J191" s="226" t="s">
        <v>511</v>
      </c>
      <c r="K191" s="226" t="s">
        <v>4028</v>
      </c>
      <c r="L191" s="28" t="s">
        <v>4008</v>
      </c>
      <c r="M191" s="97"/>
      <c r="N191" s="97"/>
      <c r="O191" s="97"/>
    </row>
    <row r="192" spans="1:15" ht="12.75">
      <c r="A192" s="225" t="s">
        <v>1431</v>
      </c>
      <c r="B192" s="227" t="s">
        <v>4273</v>
      </c>
      <c r="C192" s="243">
        <v>2011</v>
      </c>
      <c r="D192" s="243">
        <v>21191031</v>
      </c>
      <c r="E192" s="228" t="str">
        <f t="shared" si="5"/>
        <v>https://pubmed.ncbi.nlm.nih.gov/?term=21191031</v>
      </c>
      <c r="F192" s="226" t="s">
        <v>4274</v>
      </c>
      <c r="G192" s="226" t="s">
        <v>4083</v>
      </c>
      <c r="H192" s="226" t="s">
        <v>308</v>
      </c>
      <c r="I192" s="226" t="s">
        <v>4275</v>
      </c>
      <c r="J192" s="97"/>
      <c r="K192" s="97"/>
      <c r="L192" s="97"/>
      <c r="M192" s="97"/>
      <c r="N192" s="97"/>
      <c r="O192" s="97"/>
    </row>
    <row r="193" spans="1:15" ht="12.75">
      <c r="A193" s="225" t="s">
        <v>1431</v>
      </c>
      <c r="B193" s="227" t="s">
        <v>1538</v>
      </c>
      <c r="C193" s="243">
        <v>1990</v>
      </c>
      <c r="D193" s="243">
        <v>2295861</v>
      </c>
      <c r="E193" s="228" t="str">
        <f t="shared" si="5"/>
        <v>https://pubmed.ncbi.nlm.nih.gov/?term=2295861</v>
      </c>
      <c r="F193" s="226" t="s">
        <v>1541</v>
      </c>
      <c r="G193" s="226" t="s">
        <v>4083</v>
      </c>
      <c r="H193" s="295"/>
      <c r="I193" s="226"/>
      <c r="J193" s="226" t="s">
        <v>308</v>
      </c>
      <c r="K193" s="226" t="s">
        <v>4276</v>
      </c>
      <c r="L193" s="28" t="s">
        <v>4008</v>
      </c>
      <c r="M193" s="97"/>
      <c r="N193" s="97"/>
      <c r="O193" s="97"/>
    </row>
    <row r="194" spans="1:15" ht="12.75">
      <c r="A194" s="225" t="s">
        <v>1431</v>
      </c>
      <c r="B194" s="227" t="s">
        <v>1542</v>
      </c>
      <c r="C194" s="243">
        <v>1982</v>
      </c>
      <c r="D194" s="243">
        <v>7141686</v>
      </c>
      <c r="E194" s="228" t="str">
        <f t="shared" si="5"/>
        <v>https://pubmed.ncbi.nlm.nih.gov/?term=7141686</v>
      </c>
      <c r="F194" s="226" t="s">
        <v>1553</v>
      </c>
      <c r="G194" s="226" t="s">
        <v>4083</v>
      </c>
      <c r="H194" s="226"/>
      <c r="I194" s="226"/>
      <c r="J194" s="226" t="s">
        <v>308</v>
      </c>
      <c r="K194" s="226" t="s">
        <v>4277</v>
      </c>
      <c r="L194" s="28" t="s">
        <v>4008</v>
      </c>
      <c r="M194" s="97"/>
      <c r="N194" s="97"/>
      <c r="O194" s="97"/>
    </row>
    <row r="195" spans="1:15" ht="12.75">
      <c r="A195" s="225" t="s">
        <v>1431</v>
      </c>
      <c r="B195" s="227" t="s">
        <v>4278</v>
      </c>
      <c r="C195" s="243">
        <v>1997</v>
      </c>
      <c r="D195" s="243">
        <v>9086149</v>
      </c>
      <c r="E195" s="228" t="str">
        <f t="shared" si="5"/>
        <v>https://pubmed.ncbi.nlm.nih.gov/?term=9086149</v>
      </c>
      <c r="F195" s="226" t="s">
        <v>3034</v>
      </c>
      <c r="G195" s="226" t="s">
        <v>4083</v>
      </c>
      <c r="H195" s="226" t="s">
        <v>511</v>
      </c>
      <c r="I195" s="28" t="s">
        <v>4018</v>
      </c>
      <c r="J195" s="97"/>
      <c r="K195" s="97"/>
      <c r="L195" s="28" t="s">
        <v>4019</v>
      </c>
      <c r="M195" s="97"/>
      <c r="N195" s="97"/>
      <c r="O195" s="97"/>
    </row>
    <row r="196" spans="1:15" ht="12.75">
      <c r="A196" s="225" t="s">
        <v>3034</v>
      </c>
      <c r="B196" s="225" t="s">
        <v>3025</v>
      </c>
      <c r="C196" s="301">
        <v>1987</v>
      </c>
      <c r="D196" s="301">
        <v>2884410</v>
      </c>
      <c r="E196" s="253" t="s">
        <v>3026</v>
      </c>
      <c r="F196" s="226" t="s">
        <v>3035</v>
      </c>
      <c r="G196" s="226" t="s">
        <v>4001</v>
      </c>
      <c r="H196" s="226"/>
      <c r="I196" s="28"/>
      <c r="J196" s="226" t="s">
        <v>308</v>
      </c>
      <c r="K196" s="226" t="s">
        <v>4279</v>
      </c>
      <c r="L196" s="28" t="s">
        <v>4008</v>
      </c>
      <c r="M196" s="97"/>
      <c r="N196" s="97"/>
      <c r="O196" s="97"/>
    </row>
    <row r="197" spans="1:15" ht="12.75">
      <c r="A197" s="225" t="s">
        <v>3034</v>
      </c>
      <c r="B197" s="275" t="s">
        <v>2601</v>
      </c>
      <c r="C197" s="279">
        <v>1993</v>
      </c>
      <c r="D197" s="279">
        <v>8376823</v>
      </c>
      <c r="E197" s="280" t="s">
        <v>2603</v>
      </c>
      <c r="F197" s="28" t="s">
        <v>4010</v>
      </c>
      <c r="G197" s="226" t="s">
        <v>4001</v>
      </c>
      <c r="H197" s="226" t="s">
        <v>308</v>
      </c>
      <c r="I197" s="28" t="s">
        <v>4280</v>
      </c>
      <c r="J197" s="97"/>
      <c r="K197" s="97"/>
      <c r="L197" s="97"/>
      <c r="M197" s="97"/>
      <c r="N197" s="97"/>
      <c r="O197" s="97"/>
    </row>
    <row r="198" spans="1:15" ht="12.75">
      <c r="A198" s="225" t="s">
        <v>3034</v>
      </c>
      <c r="B198" s="225" t="s">
        <v>3036</v>
      </c>
      <c r="C198" s="301">
        <v>1993</v>
      </c>
      <c r="D198" s="301">
        <v>8357078</v>
      </c>
      <c r="E198" s="253" t="s">
        <v>3038</v>
      </c>
      <c r="F198" s="226" t="s">
        <v>3044</v>
      </c>
      <c r="G198" s="225" t="s">
        <v>4001</v>
      </c>
      <c r="H198" s="226"/>
      <c r="J198" s="226" t="s">
        <v>308</v>
      </c>
      <c r="K198" s="226" t="s">
        <v>4281</v>
      </c>
      <c r="L198" s="28" t="s">
        <v>4008</v>
      </c>
      <c r="M198" s="97"/>
      <c r="N198" s="97"/>
      <c r="O198" s="97"/>
    </row>
    <row r="199" spans="1:15" ht="12.75">
      <c r="A199" s="225" t="s">
        <v>3034</v>
      </c>
      <c r="B199" s="225" t="s">
        <v>3052</v>
      </c>
      <c r="C199" s="301">
        <v>1992</v>
      </c>
      <c r="D199" s="301">
        <v>1563771</v>
      </c>
      <c r="E199" s="253" t="s">
        <v>3053</v>
      </c>
      <c r="F199" s="226" t="s">
        <v>3061</v>
      </c>
      <c r="G199" s="226" t="s">
        <v>4001</v>
      </c>
      <c r="H199" s="226"/>
      <c r="I199" s="28"/>
      <c r="J199" s="226" t="s">
        <v>308</v>
      </c>
      <c r="K199" s="226" t="s">
        <v>4282</v>
      </c>
      <c r="L199" s="28" t="s">
        <v>4008</v>
      </c>
      <c r="M199" s="97"/>
      <c r="N199" s="97"/>
      <c r="O199" s="97"/>
    </row>
    <row r="200" spans="1:15" ht="12.75">
      <c r="A200" s="225" t="s">
        <v>3034</v>
      </c>
      <c r="B200" s="225" t="s">
        <v>3063</v>
      </c>
      <c r="C200" s="301">
        <v>1995</v>
      </c>
      <c r="D200" s="301">
        <v>7769295</v>
      </c>
      <c r="E200" s="253" t="s">
        <v>3064</v>
      </c>
      <c r="F200" s="226" t="s">
        <v>3072</v>
      </c>
      <c r="G200" s="226" t="s">
        <v>4001</v>
      </c>
      <c r="H200" s="226"/>
      <c r="I200" s="28"/>
      <c r="J200" s="226" t="s">
        <v>308</v>
      </c>
      <c r="K200" s="226" t="s">
        <v>4283</v>
      </c>
      <c r="L200" s="28" t="s">
        <v>4008</v>
      </c>
      <c r="M200" s="97"/>
      <c r="N200" s="97"/>
      <c r="O200" s="97"/>
    </row>
    <row r="201" spans="1:15" ht="12.75">
      <c r="A201" s="225" t="s">
        <v>3034</v>
      </c>
      <c r="B201" s="275" t="s">
        <v>1922</v>
      </c>
      <c r="C201" s="301">
        <v>1987</v>
      </c>
      <c r="D201" s="301">
        <v>2439920</v>
      </c>
      <c r="E201" s="253" t="s">
        <v>2630</v>
      </c>
      <c r="F201" s="226" t="s">
        <v>4010</v>
      </c>
      <c r="G201" s="226" t="s">
        <v>4001</v>
      </c>
      <c r="H201" s="226" t="s">
        <v>308</v>
      </c>
      <c r="I201" s="28" t="s">
        <v>4284</v>
      </c>
      <c r="J201" s="97"/>
      <c r="K201" s="97"/>
      <c r="L201" s="97"/>
      <c r="M201" s="97"/>
      <c r="N201" s="97"/>
      <c r="O201" s="97"/>
    </row>
    <row r="202" spans="1:15" ht="12.75">
      <c r="A202" s="225" t="s">
        <v>3034</v>
      </c>
      <c r="B202" s="275" t="s">
        <v>1922</v>
      </c>
      <c r="C202" s="279">
        <v>1988</v>
      </c>
      <c r="D202" s="279">
        <v>3043855</v>
      </c>
      <c r="E202" s="280" t="s">
        <v>4031</v>
      </c>
      <c r="F202" s="28" t="s">
        <v>4010</v>
      </c>
      <c r="G202" s="28" t="s">
        <v>4001</v>
      </c>
      <c r="H202" s="28" t="s">
        <v>308</v>
      </c>
      <c r="I202" s="28" t="s">
        <v>4010</v>
      </c>
      <c r="J202" s="97"/>
      <c r="K202" s="97"/>
      <c r="L202" s="97"/>
      <c r="M202" s="97"/>
      <c r="N202" s="97"/>
      <c r="O202" s="97"/>
    </row>
    <row r="203" spans="1:15" ht="12.75">
      <c r="A203" s="225" t="s">
        <v>3034</v>
      </c>
      <c r="B203" s="275" t="s">
        <v>1922</v>
      </c>
      <c r="C203" s="279">
        <v>1990</v>
      </c>
      <c r="D203" s="279">
        <v>2094588</v>
      </c>
      <c r="E203" s="280" t="s">
        <v>2640</v>
      </c>
      <c r="F203" s="28" t="s">
        <v>4010</v>
      </c>
      <c r="G203" s="28" t="s">
        <v>4001</v>
      </c>
      <c r="H203" s="28" t="s">
        <v>308</v>
      </c>
      <c r="I203" s="28" t="s">
        <v>4285</v>
      </c>
      <c r="J203" s="97"/>
      <c r="K203" s="97"/>
      <c r="L203" s="97"/>
      <c r="M203" s="97"/>
      <c r="N203" s="97"/>
      <c r="O203" s="97"/>
    </row>
    <row r="204" spans="1:15" ht="12.75">
      <c r="A204" s="225" t="s">
        <v>3034</v>
      </c>
      <c r="B204" s="275" t="s">
        <v>1922</v>
      </c>
      <c r="C204" s="279">
        <v>1991</v>
      </c>
      <c r="D204" s="279">
        <v>1951863</v>
      </c>
      <c r="E204" s="280" t="s">
        <v>2647</v>
      </c>
      <c r="F204" s="28" t="s">
        <v>4010</v>
      </c>
      <c r="G204" s="28" t="s">
        <v>4001</v>
      </c>
      <c r="H204" s="28" t="s">
        <v>308</v>
      </c>
      <c r="I204" s="28" t="s">
        <v>4286</v>
      </c>
      <c r="J204" s="97"/>
      <c r="K204" s="97"/>
      <c r="L204" s="97"/>
      <c r="M204" s="97"/>
      <c r="N204" s="97"/>
      <c r="O204" s="97"/>
    </row>
    <row r="205" spans="1:15" ht="12.75">
      <c r="A205" s="225" t="s">
        <v>3034</v>
      </c>
      <c r="B205" s="275" t="s">
        <v>2656</v>
      </c>
      <c r="C205" s="279">
        <v>1994</v>
      </c>
      <c r="D205" s="279">
        <v>7985753</v>
      </c>
      <c r="E205" s="280" t="s">
        <v>2658</v>
      </c>
      <c r="F205" s="28" t="s">
        <v>4010</v>
      </c>
      <c r="G205" s="28" t="s">
        <v>4001</v>
      </c>
      <c r="H205" s="28" t="s">
        <v>308</v>
      </c>
      <c r="I205" s="28" t="s">
        <v>4287</v>
      </c>
      <c r="J205" s="97"/>
      <c r="K205" s="97"/>
      <c r="L205" s="97"/>
      <c r="M205" s="97"/>
      <c r="N205" s="97"/>
      <c r="O205" s="97"/>
    </row>
    <row r="206" spans="1:15" ht="12.75">
      <c r="A206" s="225" t="s">
        <v>3034</v>
      </c>
      <c r="B206" s="275" t="s">
        <v>3076</v>
      </c>
      <c r="C206" s="279">
        <v>1990</v>
      </c>
      <c r="D206" s="279">
        <v>2240371</v>
      </c>
      <c r="E206" s="280" t="s">
        <v>3078</v>
      </c>
      <c r="F206" s="28" t="s">
        <v>3086</v>
      </c>
      <c r="G206" s="28" t="s">
        <v>4001</v>
      </c>
      <c r="I206" s="28"/>
      <c r="J206" s="226" t="s">
        <v>308</v>
      </c>
      <c r="K206" s="226" t="s">
        <v>4288</v>
      </c>
      <c r="L206" s="28" t="s">
        <v>4008</v>
      </c>
      <c r="M206" s="97"/>
      <c r="N206" s="97"/>
      <c r="O206" s="97"/>
    </row>
    <row r="207" spans="1:15" ht="12.75">
      <c r="A207" s="225" t="s">
        <v>3034</v>
      </c>
      <c r="B207" s="275" t="s">
        <v>3087</v>
      </c>
      <c r="C207" s="279">
        <v>1994</v>
      </c>
      <c r="D207" s="279">
        <v>8291822</v>
      </c>
      <c r="E207" s="280" t="s">
        <v>3088</v>
      </c>
      <c r="F207" s="28" t="s">
        <v>3095</v>
      </c>
      <c r="G207" s="28" t="s">
        <v>4001</v>
      </c>
      <c r="I207" s="28"/>
      <c r="J207" s="226" t="s">
        <v>308</v>
      </c>
      <c r="K207" s="226" t="s">
        <v>4289</v>
      </c>
      <c r="L207" s="28" t="s">
        <v>4008</v>
      </c>
      <c r="M207" s="97"/>
      <c r="N207" s="97"/>
      <c r="O207" s="97"/>
    </row>
    <row r="208" spans="1:15" ht="12.75">
      <c r="A208" s="225" t="s">
        <v>1431</v>
      </c>
      <c r="B208" s="227" t="s">
        <v>1557</v>
      </c>
      <c r="C208" s="243">
        <v>1986</v>
      </c>
      <c r="D208" s="243">
        <v>3722363</v>
      </c>
      <c r="E208" s="228" t="str">
        <f t="shared" ref="E208:E210" si="6">"https://pubmed.ncbi.nlm.nih.gov/?term="&amp;D208</f>
        <v>https://pubmed.ncbi.nlm.nih.gov/?term=3722363</v>
      </c>
      <c r="F208" s="226" t="s">
        <v>4290</v>
      </c>
      <c r="G208" s="226" t="s">
        <v>4001</v>
      </c>
      <c r="H208" s="226" t="s">
        <v>308</v>
      </c>
      <c r="I208" s="28" t="s">
        <v>4018</v>
      </c>
      <c r="J208" s="97"/>
      <c r="K208" s="97"/>
      <c r="L208" s="28" t="s">
        <v>4019</v>
      </c>
      <c r="M208" s="97"/>
      <c r="N208" s="97"/>
      <c r="O208" s="97"/>
    </row>
    <row r="209" spans="1:15" ht="12.75">
      <c r="A209" s="225" t="s">
        <v>4290</v>
      </c>
      <c r="B209" s="227" t="s">
        <v>1557</v>
      </c>
      <c r="C209" s="243">
        <v>1984</v>
      </c>
      <c r="D209" s="243">
        <v>6143042</v>
      </c>
      <c r="E209" s="228" t="str">
        <f t="shared" si="6"/>
        <v>https://pubmed.ncbi.nlm.nih.gov/?term=6143042</v>
      </c>
      <c r="F209" s="226" t="s">
        <v>4010</v>
      </c>
      <c r="G209" s="226" t="s">
        <v>4001</v>
      </c>
      <c r="H209" s="226" t="s">
        <v>308</v>
      </c>
      <c r="I209" s="28" t="s">
        <v>4291</v>
      </c>
      <c r="J209" s="97"/>
      <c r="K209" s="97"/>
      <c r="L209" s="97"/>
      <c r="M209" s="97"/>
      <c r="N209" s="97"/>
      <c r="O209" s="97"/>
    </row>
    <row r="210" spans="1:15" ht="12.75">
      <c r="A210" s="225" t="s">
        <v>4290</v>
      </c>
      <c r="B210" s="227" t="s">
        <v>1557</v>
      </c>
      <c r="C210" s="243">
        <v>1986</v>
      </c>
      <c r="D210" s="243">
        <v>3700611</v>
      </c>
      <c r="E210" s="228" t="str">
        <f t="shared" si="6"/>
        <v>https://pubmed.ncbi.nlm.nih.gov/?term=3700611</v>
      </c>
      <c r="F210" s="226" t="s">
        <v>4010</v>
      </c>
      <c r="G210" s="226" t="s">
        <v>4001</v>
      </c>
      <c r="H210" s="226" t="s">
        <v>308</v>
      </c>
      <c r="I210" s="28" t="s">
        <v>4292</v>
      </c>
      <c r="J210" s="97"/>
      <c r="K210" s="97"/>
      <c r="L210" s="97"/>
      <c r="M210" s="97"/>
      <c r="N210" s="97"/>
      <c r="O210" s="97"/>
    </row>
    <row r="211" spans="1:15" ht="12.75">
      <c r="A211" s="225" t="s">
        <v>4290</v>
      </c>
      <c r="B211" s="225" t="s">
        <v>1557</v>
      </c>
      <c r="C211" s="301">
        <v>1986</v>
      </c>
      <c r="D211" s="301">
        <v>3700610</v>
      </c>
      <c r="E211" s="253" t="s">
        <v>4293</v>
      </c>
      <c r="F211" s="226" t="s">
        <v>4294</v>
      </c>
      <c r="G211" s="226" t="s">
        <v>4001</v>
      </c>
      <c r="H211" s="226" t="s">
        <v>308</v>
      </c>
      <c r="I211" s="28" t="s">
        <v>4295</v>
      </c>
      <c r="J211" s="97"/>
      <c r="K211" s="97"/>
      <c r="L211" s="97"/>
      <c r="M211" s="97"/>
      <c r="N211" s="97"/>
      <c r="O211" s="97"/>
    </row>
    <row r="212" spans="1:15" ht="12.75">
      <c r="A212" s="225" t="s">
        <v>1431</v>
      </c>
      <c r="B212" s="227" t="s">
        <v>1557</v>
      </c>
      <c r="C212" s="243">
        <v>1984</v>
      </c>
      <c r="D212" s="243">
        <v>6143042</v>
      </c>
      <c r="E212" s="228" t="str">
        <f t="shared" ref="E212:E227" si="7">"https://pubmed.ncbi.nlm.nih.gov/?term="&amp;D212</f>
        <v>https://pubmed.ncbi.nlm.nih.gov/?term=6143042</v>
      </c>
      <c r="F212" s="226" t="s">
        <v>1580</v>
      </c>
      <c r="G212" s="226" t="s">
        <v>4001</v>
      </c>
      <c r="H212" s="226"/>
      <c r="I212" s="226"/>
      <c r="J212" s="226" t="s">
        <v>308</v>
      </c>
      <c r="K212" s="226" t="s">
        <v>4296</v>
      </c>
      <c r="L212" s="28" t="s">
        <v>4008</v>
      </c>
      <c r="M212" s="97"/>
      <c r="N212" s="97"/>
      <c r="O212" s="97"/>
    </row>
    <row r="213" spans="1:15" ht="12.75">
      <c r="A213" s="225" t="s">
        <v>1431</v>
      </c>
      <c r="B213" s="227" t="s">
        <v>1557</v>
      </c>
      <c r="C213" s="243">
        <v>1986</v>
      </c>
      <c r="D213" s="243">
        <v>3700611</v>
      </c>
      <c r="E213" s="228" t="str">
        <f t="shared" si="7"/>
        <v>https://pubmed.ncbi.nlm.nih.gov/?term=3700611</v>
      </c>
      <c r="F213" s="226" t="s">
        <v>1589</v>
      </c>
      <c r="G213" s="226" t="s">
        <v>4001</v>
      </c>
      <c r="H213" s="226"/>
      <c r="I213" s="226"/>
      <c r="J213" s="226" t="s">
        <v>308</v>
      </c>
      <c r="K213" s="226" t="s">
        <v>4297</v>
      </c>
      <c r="L213" s="28" t="s">
        <v>4008</v>
      </c>
      <c r="M213" s="97"/>
      <c r="N213" s="97"/>
      <c r="O213" s="97"/>
    </row>
    <row r="214" spans="1:15" ht="12.75">
      <c r="A214" s="225" t="s">
        <v>1431</v>
      </c>
      <c r="B214" s="227" t="s">
        <v>1557</v>
      </c>
      <c r="C214" s="243">
        <v>1990</v>
      </c>
      <c r="D214" s="243">
        <v>2324538</v>
      </c>
      <c r="E214" s="228" t="str">
        <f t="shared" si="7"/>
        <v>https://pubmed.ncbi.nlm.nih.gov/?term=2324538</v>
      </c>
      <c r="F214" s="226" t="s">
        <v>1596</v>
      </c>
      <c r="G214" s="226" t="s">
        <v>4083</v>
      </c>
      <c r="H214" s="226"/>
      <c r="I214" s="226"/>
      <c r="J214" s="226" t="s">
        <v>308</v>
      </c>
      <c r="K214" s="226" t="s">
        <v>4298</v>
      </c>
      <c r="L214" s="28" t="s">
        <v>4008</v>
      </c>
      <c r="M214" s="97"/>
      <c r="N214" s="97"/>
      <c r="O214" s="97"/>
    </row>
    <row r="215" spans="1:15" ht="12.75">
      <c r="A215" s="225" t="s">
        <v>1431</v>
      </c>
      <c r="B215" s="227" t="s">
        <v>1557</v>
      </c>
      <c r="C215" s="243">
        <v>1983</v>
      </c>
      <c r="D215" s="243">
        <v>6852910</v>
      </c>
      <c r="E215" s="228" t="str">
        <f t="shared" si="7"/>
        <v>https://pubmed.ncbi.nlm.nih.gov/?term=6852910</v>
      </c>
      <c r="F215" s="226" t="s">
        <v>1566</v>
      </c>
      <c r="G215" s="226" t="s">
        <v>4083</v>
      </c>
      <c r="H215" s="226"/>
      <c r="I215" s="226"/>
      <c r="J215" s="226" t="s">
        <v>308</v>
      </c>
      <c r="K215" s="226" t="s">
        <v>4299</v>
      </c>
      <c r="L215" s="28" t="s">
        <v>4008</v>
      </c>
      <c r="M215" s="97"/>
      <c r="N215" s="97"/>
      <c r="O215" s="97"/>
    </row>
    <row r="216" spans="1:15" ht="12.75">
      <c r="A216" s="225" t="s">
        <v>1431</v>
      </c>
      <c r="B216" s="227" t="s">
        <v>1557</v>
      </c>
      <c r="C216" s="243">
        <v>1991</v>
      </c>
      <c r="D216" s="243">
        <v>1650789</v>
      </c>
      <c r="E216" s="228" t="str">
        <f t="shared" si="7"/>
        <v>https://pubmed.ncbi.nlm.nih.gov/?term=1650789</v>
      </c>
      <c r="F216" s="226" t="s">
        <v>1606</v>
      </c>
      <c r="G216" s="226" t="s">
        <v>4001</v>
      </c>
      <c r="H216" s="226"/>
      <c r="I216" s="226"/>
      <c r="J216" s="226" t="s">
        <v>308</v>
      </c>
      <c r="K216" s="226" t="s">
        <v>4300</v>
      </c>
      <c r="L216" s="28" t="s">
        <v>4008</v>
      </c>
      <c r="M216" s="97"/>
      <c r="N216" s="97"/>
      <c r="O216" s="97"/>
    </row>
    <row r="217" spans="1:15" ht="12.75">
      <c r="A217" s="225" t="s">
        <v>1431</v>
      </c>
      <c r="B217" s="227" t="s">
        <v>1557</v>
      </c>
      <c r="C217" s="243">
        <v>1990</v>
      </c>
      <c r="D217" s="243">
        <v>2324538</v>
      </c>
      <c r="E217" s="228" t="str">
        <f t="shared" si="7"/>
        <v>https://pubmed.ncbi.nlm.nih.gov/?term=2324538</v>
      </c>
      <c r="F217" s="226" t="s">
        <v>4010</v>
      </c>
      <c r="G217" s="226" t="s">
        <v>4079</v>
      </c>
      <c r="H217" s="226" t="s">
        <v>511</v>
      </c>
      <c r="I217" s="226" t="s">
        <v>4256</v>
      </c>
      <c r="J217" s="97"/>
      <c r="K217" s="97"/>
      <c r="L217" s="97"/>
      <c r="M217" s="97"/>
      <c r="N217" s="97"/>
      <c r="O217" s="97"/>
    </row>
    <row r="218" spans="1:15" ht="12.75">
      <c r="A218" s="225" t="s">
        <v>1431</v>
      </c>
      <c r="B218" s="227" t="s">
        <v>1609</v>
      </c>
      <c r="C218" s="243">
        <v>1999</v>
      </c>
      <c r="D218" s="243">
        <v>10204970</v>
      </c>
      <c r="E218" s="228" t="str">
        <f t="shared" si="7"/>
        <v>https://pubmed.ncbi.nlm.nih.gov/?term=10204970</v>
      </c>
      <c r="F218" s="226" t="s">
        <v>1615</v>
      </c>
      <c r="G218" s="226" t="s">
        <v>4001</v>
      </c>
      <c r="H218" s="226"/>
      <c r="I218" s="226"/>
      <c r="J218" s="226" t="s">
        <v>308</v>
      </c>
      <c r="K218" s="226" t="s">
        <v>4301</v>
      </c>
      <c r="L218" s="28" t="s">
        <v>4008</v>
      </c>
      <c r="M218" s="97"/>
      <c r="N218" s="97"/>
      <c r="O218" s="97"/>
    </row>
    <row r="219" spans="1:15" ht="12.75">
      <c r="A219" s="225" t="s">
        <v>1431</v>
      </c>
      <c r="B219" s="227" t="s">
        <v>1616</v>
      </c>
      <c r="C219" s="243">
        <v>2007</v>
      </c>
      <c r="D219" s="243">
        <v>17074855</v>
      </c>
      <c r="E219" s="228" t="str">
        <f t="shared" si="7"/>
        <v>https://pubmed.ncbi.nlm.nih.gov/?term=17074855</v>
      </c>
      <c r="F219" s="226" t="s">
        <v>1625</v>
      </c>
      <c r="G219" s="226" t="s">
        <v>4001</v>
      </c>
      <c r="H219" s="226"/>
      <c r="I219" s="226"/>
      <c r="J219" s="226" t="s">
        <v>308</v>
      </c>
      <c r="K219" s="226" t="s">
        <v>4302</v>
      </c>
      <c r="L219" s="28" t="s">
        <v>4008</v>
      </c>
      <c r="M219" s="97"/>
      <c r="N219" s="97"/>
      <c r="O219" s="97"/>
    </row>
    <row r="220" spans="1:15" ht="12.75">
      <c r="A220" s="225" t="s">
        <v>1431</v>
      </c>
      <c r="B220" s="227" t="s">
        <v>1626</v>
      </c>
      <c r="C220" s="243">
        <v>1978</v>
      </c>
      <c r="D220" s="243">
        <v>730356</v>
      </c>
      <c r="E220" s="228" t="str">
        <f t="shared" si="7"/>
        <v>https://pubmed.ncbi.nlm.nih.gov/?term=730356</v>
      </c>
      <c r="F220" s="226" t="s">
        <v>1634</v>
      </c>
      <c r="G220" s="226" t="s">
        <v>4001</v>
      </c>
      <c r="H220" s="226" t="s">
        <v>308</v>
      </c>
      <c r="I220" s="226" t="s">
        <v>4020</v>
      </c>
      <c r="J220" s="226"/>
      <c r="K220" s="226" t="s">
        <v>4268</v>
      </c>
      <c r="L220" s="226"/>
      <c r="M220" s="97"/>
      <c r="N220" s="97"/>
      <c r="O220" s="97"/>
    </row>
    <row r="221" spans="1:15" ht="12.75">
      <c r="A221" s="225" t="s">
        <v>1431</v>
      </c>
      <c r="B221" s="227" t="s">
        <v>1635</v>
      </c>
      <c r="C221" s="243">
        <v>2010</v>
      </c>
      <c r="D221" s="243">
        <v>19737527</v>
      </c>
      <c r="E221" s="228" t="str">
        <f t="shared" si="7"/>
        <v>https://pubmed.ncbi.nlm.nih.gov/?term=19737527</v>
      </c>
      <c r="F221" s="226" t="s">
        <v>1648</v>
      </c>
      <c r="G221" s="226" t="s">
        <v>4001</v>
      </c>
      <c r="H221" s="97"/>
      <c r="I221" s="97"/>
      <c r="J221" s="226" t="s">
        <v>511</v>
      </c>
      <c r="K221" s="226" t="s">
        <v>4303</v>
      </c>
      <c r="L221" s="28" t="s">
        <v>4008</v>
      </c>
      <c r="M221" s="97"/>
      <c r="N221" s="97"/>
      <c r="O221" s="97"/>
    </row>
    <row r="222" spans="1:15" ht="12.75">
      <c r="A222" s="225" t="s">
        <v>1431</v>
      </c>
      <c r="B222" s="227" t="s">
        <v>4304</v>
      </c>
      <c r="C222" s="243">
        <v>2009</v>
      </c>
      <c r="D222" s="243">
        <v>19563295</v>
      </c>
      <c r="E222" s="228" t="str">
        <f t="shared" si="7"/>
        <v>https://pubmed.ncbi.nlm.nih.gov/?term=19563295</v>
      </c>
      <c r="F222" s="226" t="s">
        <v>4305</v>
      </c>
      <c r="G222" s="226" t="s">
        <v>4001</v>
      </c>
      <c r="H222" s="226" t="s">
        <v>308</v>
      </c>
      <c r="I222" s="226" t="s">
        <v>4306</v>
      </c>
      <c r="J222" s="97"/>
      <c r="K222" s="97"/>
      <c r="L222" s="97"/>
      <c r="M222" s="97"/>
      <c r="N222" s="97"/>
      <c r="O222" s="97"/>
    </row>
    <row r="223" spans="1:15" ht="12.75">
      <c r="A223" s="225" t="s">
        <v>1431</v>
      </c>
      <c r="B223" s="227" t="s">
        <v>1654</v>
      </c>
      <c r="C223" s="243">
        <v>1998</v>
      </c>
      <c r="D223" s="243">
        <v>9423838</v>
      </c>
      <c r="E223" s="228" t="str">
        <f t="shared" si="7"/>
        <v>https://pubmed.ncbi.nlm.nih.gov/?term=9423838</v>
      </c>
      <c r="F223" s="226" t="s">
        <v>1663</v>
      </c>
      <c r="G223" s="226" t="s">
        <v>4001</v>
      </c>
      <c r="H223" s="226"/>
      <c r="I223" s="226"/>
      <c r="J223" s="226" t="s">
        <v>308</v>
      </c>
      <c r="K223" s="226" t="s">
        <v>4307</v>
      </c>
      <c r="L223" s="28" t="s">
        <v>4008</v>
      </c>
      <c r="M223" s="97"/>
      <c r="N223" s="97"/>
      <c r="O223" s="97"/>
    </row>
    <row r="224" spans="1:15" ht="12.75">
      <c r="A224" s="225" t="s">
        <v>1431</v>
      </c>
      <c r="B224" s="227" t="s">
        <v>1672</v>
      </c>
      <c r="C224" s="243">
        <v>1979</v>
      </c>
      <c r="D224" s="243">
        <v>500204</v>
      </c>
      <c r="E224" s="228" t="str">
        <f t="shared" si="7"/>
        <v>https://pubmed.ncbi.nlm.nih.gov/?term=500204</v>
      </c>
      <c r="F224" s="226" t="s">
        <v>1689</v>
      </c>
      <c r="G224" s="226" t="s">
        <v>4001</v>
      </c>
      <c r="H224" s="226" t="s">
        <v>308</v>
      </c>
      <c r="I224" s="282" t="s">
        <v>4020</v>
      </c>
      <c r="J224" s="226"/>
      <c r="K224" s="226" t="s">
        <v>4308</v>
      </c>
      <c r="L224" s="226"/>
      <c r="M224" s="97"/>
      <c r="N224" s="97"/>
      <c r="O224" s="97"/>
    </row>
    <row r="225" spans="1:15" ht="12.75">
      <c r="A225" s="225" t="s">
        <v>1431</v>
      </c>
      <c r="B225" s="227" t="s">
        <v>1672</v>
      </c>
      <c r="C225" s="243">
        <v>1975</v>
      </c>
      <c r="D225" s="243">
        <v>1211921</v>
      </c>
      <c r="E225" s="228" t="str">
        <f t="shared" si="7"/>
        <v>https://pubmed.ncbi.nlm.nih.gov/?term=1211921</v>
      </c>
      <c r="F225" s="226" t="s">
        <v>1683</v>
      </c>
      <c r="G225" s="226" t="s">
        <v>4001</v>
      </c>
      <c r="H225" s="226" t="s">
        <v>308</v>
      </c>
      <c r="I225" s="282" t="s">
        <v>4020</v>
      </c>
      <c r="J225" s="226"/>
      <c r="K225" s="226" t="s">
        <v>4309</v>
      </c>
      <c r="L225" s="226"/>
      <c r="M225" s="97"/>
      <c r="N225" s="97"/>
      <c r="O225" s="97"/>
    </row>
    <row r="226" spans="1:15" ht="12.75">
      <c r="A226" s="225" t="s">
        <v>1431</v>
      </c>
      <c r="B226" s="227" t="s">
        <v>1690</v>
      </c>
      <c r="C226" s="243">
        <v>1994</v>
      </c>
      <c r="D226" s="243">
        <v>8291861</v>
      </c>
      <c r="E226" s="228" t="str">
        <f t="shared" si="7"/>
        <v>https://pubmed.ncbi.nlm.nih.gov/?term=8291861</v>
      </c>
      <c r="F226" s="226" t="s">
        <v>1710</v>
      </c>
      <c r="G226" s="226" t="s">
        <v>4001</v>
      </c>
      <c r="H226" s="226"/>
      <c r="I226" s="226"/>
      <c r="J226" s="226" t="s">
        <v>308</v>
      </c>
      <c r="K226" s="226" t="s">
        <v>4310</v>
      </c>
      <c r="L226" s="28" t="s">
        <v>4008</v>
      </c>
      <c r="M226" s="97"/>
      <c r="N226" s="97"/>
      <c r="O226" s="97"/>
    </row>
    <row r="227" spans="1:15" ht="12.75">
      <c r="A227" s="225" t="s">
        <v>1431</v>
      </c>
      <c r="B227" s="227" t="s">
        <v>1690</v>
      </c>
      <c r="C227" s="243">
        <v>1999</v>
      </c>
      <c r="D227" s="243">
        <v>10890787</v>
      </c>
      <c r="E227" s="228" t="str">
        <f t="shared" si="7"/>
        <v>https://pubmed.ncbi.nlm.nih.gov/?term=10890787</v>
      </c>
      <c r="F227" s="226" t="s">
        <v>3104</v>
      </c>
      <c r="G227" s="226" t="s">
        <v>4001</v>
      </c>
      <c r="H227" s="226" t="s">
        <v>308</v>
      </c>
      <c r="I227" s="28" t="s">
        <v>4018</v>
      </c>
      <c r="J227" s="97"/>
      <c r="K227" s="226"/>
      <c r="L227" s="28" t="s">
        <v>4019</v>
      </c>
      <c r="M227" s="226"/>
      <c r="N227" s="97"/>
      <c r="O227" s="97"/>
    </row>
    <row r="228" spans="1:15" ht="12.75">
      <c r="A228" s="225" t="s">
        <v>3104</v>
      </c>
      <c r="B228" s="225" t="s">
        <v>1609</v>
      </c>
      <c r="C228" s="301">
        <v>1997</v>
      </c>
      <c r="D228" s="301">
        <v>9200634</v>
      </c>
      <c r="E228" s="253" t="s">
        <v>3096</v>
      </c>
      <c r="F228" s="226" t="s">
        <v>3105</v>
      </c>
      <c r="G228" s="226" t="s">
        <v>4001</v>
      </c>
      <c r="H228" s="226"/>
      <c r="I228" s="28"/>
      <c r="J228" s="226" t="s">
        <v>308</v>
      </c>
      <c r="K228" s="226" t="s">
        <v>4028</v>
      </c>
      <c r="L228" s="28" t="s">
        <v>4008</v>
      </c>
      <c r="M228" s="226"/>
      <c r="N228" s="97"/>
      <c r="O228" s="97"/>
    </row>
    <row r="229" spans="1:15" ht="12.75">
      <c r="A229" s="225" t="s">
        <v>3104</v>
      </c>
      <c r="B229" s="225" t="s">
        <v>1690</v>
      </c>
      <c r="C229" s="301">
        <v>1998</v>
      </c>
      <c r="D229" s="301">
        <v>9593010</v>
      </c>
      <c r="E229" s="253" t="s">
        <v>3107</v>
      </c>
      <c r="F229" s="226" t="s">
        <v>3116</v>
      </c>
      <c r="G229" s="226" t="s">
        <v>4001</v>
      </c>
      <c r="H229" s="226"/>
      <c r="I229" s="28"/>
      <c r="J229" s="226" t="s">
        <v>308</v>
      </c>
      <c r="K229" s="226" t="s">
        <v>335</v>
      </c>
      <c r="L229" s="28" t="s">
        <v>4008</v>
      </c>
      <c r="M229" s="226"/>
      <c r="N229" s="97"/>
      <c r="O229" s="97"/>
    </row>
    <row r="230" spans="1:15" ht="12.75">
      <c r="A230" s="225" t="s">
        <v>1431</v>
      </c>
      <c r="B230" s="227" t="s">
        <v>1690</v>
      </c>
      <c r="C230" s="243">
        <v>1993</v>
      </c>
      <c r="D230" s="243">
        <v>8392820</v>
      </c>
      <c r="E230" s="228" t="str">
        <f t="shared" ref="E230:E242" si="8">"https://pubmed.ncbi.nlm.nih.gov/?term="&amp;D230</f>
        <v>https://pubmed.ncbi.nlm.nih.gov/?term=8392820</v>
      </c>
      <c r="F230" s="226" t="s">
        <v>1700</v>
      </c>
      <c r="G230" s="226" t="s">
        <v>4001</v>
      </c>
      <c r="H230" s="226"/>
      <c r="I230" s="226"/>
      <c r="J230" s="226" t="s">
        <v>308</v>
      </c>
      <c r="K230" s="226" t="s">
        <v>4311</v>
      </c>
      <c r="L230" s="28" t="s">
        <v>4008</v>
      </c>
      <c r="M230" s="97"/>
      <c r="N230" s="97"/>
      <c r="O230" s="97"/>
    </row>
    <row r="231" spans="1:15" ht="12.75">
      <c r="A231" s="225" t="s">
        <v>1431</v>
      </c>
      <c r="B231" s="227" t="s">
        <v>1690</v>
      </c>
      <c r="C231" s="243">
        <v>2006</v>
      </c>
      <c r="D231" s="243">
        <v>16023829</v>
      </c>
      <c r="E231" s="228" t="str">
        <f t="shared" si="8"/>
        <v>https://pubmed.ncbi.nlm.nih.gov/?term=16023829</v>
      </c>
      <c r="F231" s="226" t="s">
        <v>1723</v>
      </c>
      <c r="G231" s="226" t="s">
        <v>4001</v>
      </c>
      <c r="H231" s="226"/>
      <c r="I231" s="226"/>
      <c r="J231" s="226" t="s">
        <v>308</v>
      </c>
      <c r="K231" s="226" t="s">
        <v>4312</v>
      </c>
      <c r="L231" s="28" t="s">
        <v>4008</v>
      </c>
      <c r="M231" s="97"/>
      <c r="N231" s="97"/>
      <c r="O231" s="97"/>
    </row>
    <row r="232" spans="1:15" ht="12.75">
      <c r="A232" s="225" t="s">
        <v>1431</v>
      </c>
      <c r="B232" s="227" t="s">
        <v>1724</v>
      </c>
      <c r="C232" s="243">
        <v>2000</v>
      </c>
      <c r="D232" s="243">
        <v>11134688</v>
      </c>
      <c r="E232" s="228" t="str">
        <f t="shared" si="8"/>
        <v>https://pubmed.ncbi.nlm.nih.gov/?term=11134688</v>
      </c>
      <c r="F232" s="226" t="s">
        <v>1732</v>
      </c>
      <c r="G232" s="226" t="s">
        <v>4001</v>
      </c>
      <c r="H232" s="226"/>
      <c r="I232" s="226"/>
      <c r="J232" s="226" t="s">
        <v>308</v>
      </c>
      <c r="K232" s="226" t="s">
        <v>4313</v>
      </c>
      <c r="L232" s="28" t="s">
        <v>4008</v>
      </c>
      <c r="M232" s="97"/>
      <c r="N232" s="97"/>
      <c r="O232" s="97"/>
    </row>
    <row r="233" spans="1:15" ht="12.75">
      <c r="A233" s="225" t="s">
        <v>1431</v>
      </c>
      <c r="B233" s="227" t="s">
        <v>1724</v>
      </c>
      <c r="C233" s="243">
        <v>2000</v>
      </c>
      <c r="D233" s="243">
        <v>11134688</v>
      </c>
      <c r="E233" s="228" t="str">
        <f t="shared" si="8"/>
        <v>https://pubmed.ncbi.nlm.nih.gov/?term=11134688</v>
      </c>
      <c r="F233" s="226" t="s">
        <v>4010</v>
      </c>
      <c r="G233" s="226" t="s">
        <v>4079</v>
      </c>
      <c r="H233" s="226" t="s">
        <v>511</v>
      </c>
      <c r="I233" s="226" t="s">
        <v>4256</v>
      </c>
      <c r="J233" s="97"/>
      <c r="K233" s="97"/>
      <c r="L233" s="97"/>
      <c r="M233" s="97"/>
      <c r="N233" s="97"/>
      <c r="O233" s="97"/>
    </row>
    <row r="234" spans="1:15" ht="12.75">
      <c r="A234" s="225" t="s">
        <v>1431</v>
      </c>
      <c r="B234" s="227" t="s">
        <v>1733</v>
      </c>
      <c r="C234" s="243">
        <v>1999</v>
      </c>
      <c r="D234" s="243">
        <v>10474212</v>
      </c>
      <c r="E234" s="228" t="str">
        <f t="shared" si="8"/>
        <v>https://pubmed.ncbi.nlm.nih.gov/?term=10474212</v>
      </c>
      <c r="F234" s="226" t="s">
        <v>1739</v>
      </c>
      <c r="G234" s="226" t="s">
        <v>4001</v>
      </c>
      <c r="H234" s="226"/>
      <c r="I234" s="226"/>
      <c r="J234" s="226" t="s">
        <v>308</v>
      </c>
      <c r="K234" s="226" t="s">
        <v>4312</v>
      </c>
      <c r="L234" s="28" t="s">
        <v>4008</v>
      </c>
      <c r="M234" s="97"/>
      <c r="N234" s="97"/>
      <c r="O234" s="97"/>
    </row>
    <row r="235" spans="1:15" ht="12.75">
      <c r="A235" s="225" t="s">
        <v>1431</v>
      </c>
      <c r="B235" s="227" t="s">
        <v>1740</v>
      </c>
      <c r="C235" s="243">
        <v>2003</v>
      </c>
      <c r="D235" s="243">
        <v>14533659</v>
      </c>
      <c r="E235" s="228" t="str">
        <f t="shared" si="8"/>
        <v>https://pubmed.ncbi.nlm.nih.gov/?term=14533659</v>
      </c>
      <c r="F235" s="226" t="s">
        <v>1746</v>
      </c>
      <c r="G235" s="226" t="s">
        <v>4001</v>
      </c>
      <c r="H235" s="226"/>
      <c r="I235" s="226"/>
      <c r="J235" s="226" t="s">
        <v>308</v>
      </c>
      <c r="K235" s="226" t="s">
        <v>4314</v>
      </c>
      <c r="L235" s="28" t="s">
        <v>4008</v>
      </c>
      <c r="M235" s="97"/>
      <c r="N235" s="97"/>
      <c r="O235" s="97"/>
    </row>
    <row r="236" spans="1:15" ht="12.75">
      <c r="A236" s="225" t="s">
        <v>1431</v>
      </c>
      <c r="B236" s="227" t="s">
        <v>1750</v>
      </c>
      <c r="C236" s="243">
        <v>2008</v>
      </c>
      <c r="D236" s="243">
        <v>17625517</v>
      </c>
      <c r="E236" s="228" t="str">
        <f t="shared" si="8"/>
        <v>https://pubmed.ncbi.nlm.nih.gov/?term=17625517</v>
      </c>
      <c r="F236" s="226" t="s">
        <v>1760</v>
      </c>
      <c r="G236" s="226" t="s">
        <v>4001</v>
      </c>
      <c r="H236" s="97"/>
      <c r="I236" s="97"/>
      <c r="J236" s="226" t="s">
        <v>511</v>
      </c>
      <c r="K236" s="226" t="s">
        <v>4315</v>
      </c>
      <c r="L236" s="28" t="s">
        <v>4008</v>
      </c>
      <c r="M236" s="97"/>
      <c r="N236" s="97"/>
      <c r="O236" s="97"/>
    </row>
    <row r="237" spans="1:15" ht="12.75">
      <c r="A237" s="225" t="s">
        <v>1431</v>
      </c>
      <c r="B237" s="227" t="s">
        <v>4316</v>
      </c>
      <c r="C237" s="243">
        <v>1962</v>
      </c>
      <c r="D237" s="243">
        <v>13901335</v>
      </c>
      <c r="E237" s="228" t="str">
        <f t="shared" si="8"/>
        <v>https://pubmed.ncbi.nlm.nih.gov/?term=13901335</v>
      </c>
      <c r="F237" s="226" t="s">
        <v>1774</v>
      </c>
      <c r="G237" s="226" t="s">
        <v>4083</v>
      </c>
      <c r="H237" s="226" t="s">
        <v>308</v>
      </c>
      <c r="I237" s="282" t="s">
        <v>4020</v>
      </c>
      <c r="J237" s="295"/>
      <c r="K237" s="226"/>
      <c r="L237" s="226"/>
      <c r="M237" s="97"/>
      <c r="N237" s="97"/>
      <c r="O237" s="97"/>
    </row>
    <row r="238" spans="1:15" ht="12.75">
      <c r="A238" s="225" t="s">
        <v>1431</v>
      </c>
      <c r="B238" s="227" t="s">
        <v>1788</v>
      </c>
      <c r="C238" s="243">
        <v>2001</v>
      </c>
      <c r="D238" s="243">
        <v>11734429</v>
      </c>
      <c r="E238" s="228" t="str">
        <f t="shared" si="8"/>
        <v>https://pubmed.ncbi.nlm.nih.gov/?term=11734429</v>
      </c>
      <c r="F238" s="226" t="s">
        <v>1799</v>
      </c>
      <c r="G238" s="226" t="s">
        <v>4083</v>
      </c>
      <c r="H238" s="97"/>
      <c r="I238" s="97"/>
      <c r="J238" s="226" t="s">
        <v>511</v>
      </c>
      <c r="K238" s="226" t="s">
        <v>4028</v>
      </c>
      <c r="L238" s="28" t="s">
        <v>4008</v>
      </c>
      <c r="M238" s="97"/>
      <c r="N238" s="97"/>
      <c r="O238" s="97"/>
    </row>
    <row r="239" spans="1:15" ht="12.75">
      <c r="A239" s="225" t="s">
        <v>1431</v>
      </c>
      <c r="B239" s="227" t="s">
        <v>1775</v>
      </c>
      <c r="C239" s="243">
        <v>1996</v>
      </c>
      <c r="D239" s="243">
        <v>8655877</v>
      </c>
      <c r="E239" s="228" t="str">
        <f t="shared" si="8"/>
        <v>https://pubmed.ncbi.nlm.nih.gov/?term=8655877</v>
      </c>
      <c r="F239" s="226" t="s">
        <v>1787</v>
      </c>
      <c r="G239" s="226" t="s">
        <v>4083</v>
      </c>
      <c r="H239" s="226"/>
      <c r="I239" s="226"/>
      <c r="J239" s="226" t="s">
        <v>308</v>
      </c>
      <c r="K239" s="226" t="s">
        <v>4313</v>
      </c>
      <c r="L239" s="28" t="s">
        <v>4008</v>
      </c>
      <c r="M239" s="97"/>
      <c r="N239" s="97"/>
      <c r="O239" s="97"/>
    </row>
    <row r="240" spans="1:15" ht="12.75">
      <c r="A240" s="225" t="s">
        <v>1431</v>
      </c>
      <c r="B240" s="227" t="s">
        <v>1800</v>
      </c>
      <c r="C240" s="243">
        <v>1997</v>
      </c>
      <c r="D240" s="243">
        <v>9402380</v>
      </c>
      <c r="E240" s="228" t="str">
        <f t="shared" si="8"/>
        <v>https://pubmed.ncbi.nlm.nih.gov/?term=9402380</v>
      </c>
      <c r="F240" s="226" t="s">
        <v>1826</v>
      </c>
      <c r="G240" s="226" t="s">
        <v>4083</v>
      </c>
      <c r="H240" s="97"/>
      <c r="I240" s="97"/>
      <c r="J240" s="226" t="s">
        <v>511</v>
      </c>
      <c r="K240" s="97"/>
      <c r="L240" s="28" t="s">
        <v>4008</v>
      </c>
      <c r="M240" s="97"/>
      <c r="N240" s="97"/>
      <c r="O240" s="97"/>
    </row>
    <row r="241" spans="1:15" ht="12.75">
      <c r="A241" s="225" t="s">
        <v>1431</v>
      </c>
      <c r="B241" s="227" t="s">
        <v>1800</v>
      </c>
      <c r="C241" s="243">
        <v>1996</v>
      </c>
      <c r="D241" s="243">
        <v>8729205</v>
      </c>
      <c r="E241" s="228" t="str">
        <f t="shared" si="8"/>
        <v>https://pubmed.ncbi.nlm.nih.gov/?term=8729205</v>
      </c>
      <c r="F241" s="226" t="s">
        <v>1812</v>
      </c>
      <c r="G241" s="226" t="s">
        <v>4083</v>
      </c>
      <c r="H241" s="226"/>
      <c r="I241" s="226"/>
      <c r="J241" s="226" t="s">
        <v>308</v>
      </c>
      <c r="K241" s="226" t="s">
        <v>4313</v>
      </c>
      <c r="L241" s="28" t="s">
        <v>4008</v>
      </c>
      <c r="M241" s="97"/>
      <c r="N241" s="97"/>
      <c r="O241" s="97"/>
    </row>
    <row r="242" spans="1:15" ht="12.75">
      <c r="A242" s="225" t="s">
        <v>1431</v>
      </c>
      <c r="B242" s="227" t="s">
        <v>1800</v>
      </c>
      <c r="C242" s="243">
        <v>2003</v>
      </c>
      <c r="D242" s="243">
        <v>12627355</v>
      </c>
      <c r="E242" s="228" t="str">
        <f t="shared" si="8"/>
        <v>https://pubmed.ncbi.nlm.nih.gov/?term=12627355</v>
      </c>
      <c r="F242" s="226" t="s">
        <v>3125</v>
      </c>
      <c r="G242" s="226" t="s">
        <v>4083</v>
      </c>
      <c r="H242" s="226" t="s">
        <v>511</v>
      </c>
      <c r="I242" s="28" t="s">
        <v>4018</v>
      </c>
      <c r="J242" s="97"/>
      <c r="K242" s="97"/>
      <c r="L242" s="28" t="s">
        <v>4019</v>
      </c>
      <c r="M242" s="97"/>
      <c r="N242" s="97"/>
      <c r="O242" s="97"/>
    </row>
    <row r="243" spans="1:15" ht="12.75">
      <c r="A243" s="225" t="s">
        <v>3125</v>
      </c>
      <c r="B243" s="225" t="s">
        <v>1800</v>
      </c>
      <c r="C243" s="301">
        <v>1967</v>
      </c>
      <c r="D243" s="301">
        <v>4293015</v>
      </c>
      <c r="E243" s="253" t="s">
        <v>4317</v>
      </c>
      <c r="F243" s="226" t="s">
        <v>4318</v>
      </c>
      <c r="G243" s="226" t="s">
        <v>4001</v>
      </c>
      <c r="H243" s="226" t="s">
        <v>308</v>
      </c>
      <c r="I243" s="282" t="s">
        <v>4020</v>
      </c>
      <c r="J243" s="97"/>
      <c r="K243" s="97"/>
      <c r="L243" s="97"/>
      <c r="M243" s="97"/>
      <c r="N243" s="97"/>
      <c r="O243" s="97"/>
    </row>
    <row r="244" spans="1:15" ht="12.75">
      <c r="A244" s="225" t="s">
        <v>3125</v>
      </c>
      <c r="B244" s="227" t="s">
        <v>1800</v>
      </c>
      <c r="C244" s="243">
        <v>1996</v>
      </c>
      <c r="D244" s="243">
        <v>8729205</v>
      </c>
      <c r="E244" s="228" t="str">
        <f t="shared" ref="E244:E245" si="9">"https://pubmed.ncbi.nlm.nih.gov/?term="&amp;D244</f>
        <v>https://pubmed.ncbi.nlm.nih.gov/?term=8729205</v>
      </c>
      <c r="F244" s="226" t="s">
        <v>4010</v>
      </c>
      <c r="G244" s="226" t="s">
        <v>4001</v>
      </c>
      <c r="H244" s="226" t="s">
        <v>308</v>
      </c>
      <c r="I244" s="28" t="s">
        <v>4319</v>
      </c>
      <c r="J244" s="97"/>
      <c r="K244" s="97"/>
      <c r="L244" s="97"/>
      <c r="M244" s="97"/>
      <c r="N244" s="97"/>
      <c r="O244" s="97"/>
    </row>
    <row r="245" spans="1:15" ht="12.75">
      <c r="A245" s="225" t="s">
        <v>3125</v>
      </c>
      <c r="B245" s="227" t="s">
        <v>1800</v>
      </c>
      <c r="C245" s="243">
        <v>1997</v>
      </c>
      <c r="D245" s="243">
        <v>9402380</v>
      </c>
      <c r="E245" s="228" t="str">
        <f t="shared" si="9"/>
        <v>https://pubmed.ncbi.nlm.nih.gov/?term=9402380</v>
      </c>
      <c r="F245" s="226" t="s">
        <v>4010</v>
      </c>
      <c r="G245" s="226" t="s">
        <v>4001</v>
      </c>
      <c r="H245" s="226" t="s">
        <v>308</v>
      </c>
      <c r="I245" s="28" t="s">
        <v>4320</v>
      </c>
      <c r="J245" s="97"/>
      <c r="K245" s="97"/>
      <c r="L245" s="97"/>
      <c r="M245" s="97"/>
      <c r="N245" s="97"/>
      <c r="O245" s="97"/>
    </row>
    <row r="246" spans="1:15" ht="12.75">
      <c r="A246" s="225" t="s">
        <v>3125</v>
      </c>
      <c r="B246" s="225" t="s">
        <v>1800</v>
      </c>
      <c r="C246" s="301">
        <v>2000</v>
      </c>
      <c r="D246" s="302" t="s">
        <v>4321</v>
      </c>
      <c r="E246" s="97"/>
      <c r="F246" s="226" t="s">
        <v>4057</v>
      </c>
      <c r="G246" s="226" t="s">
        <v>4001</v>
      </c>
      <c r="H246" s="226" t="s">
        <v>308</v>
      </c>
      <c r="I246" s="28" t="s">
        <v>4322</v>
      </c>
      <c r="J246" s="97"/>
      <c r="K246" s="97"/>
      <c r="L246" s="97"/>
      <c r="M246" s="97"/>
      <c r="N246" s="97"/>
      <c r="O246" s="97"/>
    </row>
    <row r="247" spans="1:15" ht="12.75">
      <c r="A247" s="225" t="s">
        <v>3125</v>
      </c>
      <c r="B247" s="225" t="s">
        <v>1800</v>
      </c>
      <c r="C247" s="301">
        <v>2001</v>
      </c>
      <c r="D247" s="302" t="s">
        <v>4323</v>
      </c>
      <c r="E247" s="97"/>
      <c r="F247" s="226" t="s">
        <v>4057</v>
      </c>
      <c r="G247" s="226" t="s">
        <v>4001</v>
      </c>
      <c r="H247" s="226" t="s">
        <v>308</v>
      </c>
      <c r="I247" s="28" t="s">
        <v>4322</v>
      </c>
      <c r="J247" s="97"/>
      <c r="K247" s="97"/>
      <c r="L247" s="97"/>
      <c r="M247" s="97"/>
      <c r="N247" s="97"/>
      <c r="O247" s="97"/>
    </row>
    <row r="248" spans="1:15" ht="12.75">
      <c r="A248" s="225" t="s">
        <v>3125</v>
      </c>
      <c r="B248" s="225" t="s">
        <v>1800</v>
      </c>
      <c r="C248" s="301">
        <v>2002</v>
      </c>
      <c r="D248" s="301">
        <v>12134249</v>
      </c>
      <c r="E248" s="253" t="s">
        <v>3117</v>
      </c>
      <c r="F248" s="226" t="s">
        <v>3126</v>
      </c>
      <c r="G248" s="226" t="s">
        <v>4001</v>
      </c>
      <c r="H248" s="226"/>
      <c r="I248" s="28"/>
      <c r="J248" s="226" t="s">
        <v>308</v>
      </c>
      <c r="K248" s="226" t="s">
        <v>4028</v>
      </c>
      <c r="L248" s="28" t="s">
        <v>4008</v>
      </c>
      <c r="M248" s="97"/>
      <c r="N248" s="97"/>
      <c r="O248" s="97"/>
    </row>
    <row r="249" spans="1:15" ht="12.75">
      <c r="A249" s="225" t="s">
        <v>3125</v>
      </c>
      <c r="B249" s="227" t="s">
        <v>2289</v>
      </c>
      <c r="C249" s="243">
        <v>1992</v>
      </c>
      <c r="D249" s="243">
        <v>1317694</v>
      </c>
      <c r="E249" s="228" t="str">
        <f t="shared" ref="E249:E261" si="10">"https://pubmed.ncbi.nlm.nih.gov/?term="&amp;D249</f>
        <v>https://pubmed.ncbi.nlm.nih.gov/?term=1317694</v>
      </c>
      <c r="F249" s="226" t="s">
        <v>4010</v>
      </c>
      <c r="G249" s="226" t="s">
        <v>4001</v>
      </c>
      <c r="H249" s="226" t="s">
        <v>308</v>
      </c>
      <c r="I249" s="28" t="s">
        <v>4324</v>
      </c>
      <c r="J249" s="97"/>
      <c r="K249" s="97"/>
      <c r="L249" s="97"/>
      <c r="M249" s="97"/>
      <c r="N249" s="97"/>
      <c r="O249" s="97"/>
    </row>
    <row r="250" spans="1:15" ht="12.75">
      <c r="A250" s="225" t="s">
        <v>3125</v>
      </c>
      <c r="B250" s="227" t="s">
        <v>2371</v>
      </c>
      <c r="C250" s="243">
        <v>1999</v>
      </c>
      <c r="D250" s="243">
        <v>10340366</v>
      </c>
      <c r="E250" s="228" t="str">
        <f t="shared" si="10"/>
        <v>https://pubmed.ncbi.nlm.nih.gov/?term=10340366</v>
      </c>
      <c r="F250" s="226" t="s">
        <v>4010</v>
      </c>
      <c r="G250" s="226" t="s">
        <v>4001</v>
      </c>
      <c r="H250" s="226" t="s">
        <v>308</v>
      </c>
      <c r="I250" s="28" t="s">
        <v>4325</v>
      </c>
      <c r="J250" s="97"/>
      <c r="K250" s="97"/>
      <c r="L250" s="97"/>
      <c r="M250" s="97"/>
      <c r="N250" s="97"/>
      <c r="O250" s="97"/>
    </row>
    <row r="251" spans="1:15" ht="12.75">
      <c r="A251" s="225" t="s">
        <v>1431</v>
      </c>
      <c r="B251" s="227" t="s">
        <v>1827</v>
      </c>
      <c r="C251" s="243">
        <v>1996</v>
      </c>
      <c r="D251" s="243">
        <v>8953073</v>
      </c>
      <c r="E251" s="228" t="str">
        <f t="shared" si="10"/>
        <v>https://pubmed.ncbi.nlm.nih.gov/?term=8953073</v>
      </c>
      <c r="F251" s="226" t="s">
        <v>1834</v>
      </c>
      <c r="G251" s="226" t="s">
        <v>4083</v>
      </c>
      <c r="H251" s="226"/>
      <c r="I251" s="226"/>
      <c r="J251" s="226" t="s">
        <v>308</v>
      </c>
      <c r="K251" s="226" t="s">
        <v>4313</v>
      </c>
      <c r="L251" s="28" t="s">
        <v>4008</v>
      </c>
      <c r="M251" s="97"/>
      <c r="N251" s="97"/>
      <c r="O251" s="97"/>
    </row>
    <row r="252" spans="1:15" ht="12.75">
      <c r="A252" s="225" t="s">
        <v>1431</v>
      </c>
      <c r="B252" s="227" t="s">
        <v>1835</v>
      </c>
      <c r="C252" s="243">
        <v>1982</v>
      </c>
      <c r="D252" s="243">
        <v>7137990</v>
      </c>
      <c r="E252" s="228" t="str">
        <f t="shared" si="10"/>
        <v>https://pubmed.ncbi.nlm.nih.gov/?term=7137990</v>
      </c>
      <c r="F252" s="226" t="s">
        <v>1841</v>
      </c>
      <c r="G252" s="226" t="s">
        <v>4083</v>
      </c>
      <c r="H252" s="226"/>
      <c r="I252" s="226"/>
      <c r="J252" s="226" t="s">
        <v>308</v>
      </c>
      <c r="K252" s="226" t="s">
        <v>4313</v>
      </c>
      <c r="L252" s="28" t="s">
        <v>4008</v>
      </c>
      <c r="M252" s="97"/>
      <c r="N252" s="97"/>
      <c r="O252" s="97"/>
    </row>
    <row r="253" spans="1:15" ht="12.75">
      <c r="A253" s="225" t="s">
        <v>1431</v>
      </c>
      <c r="B253" s="227" t="s">
        <v>1835</v>
      </c>
      <c r="C253" s="243">
        <v>1988</v>
      </c>
      <c r="D253" s="243">
        <v>2849376</v>
      </c>
      <c r="E253" s="228" t="str">
        <f t="shared" si="10"/>
        <v>https://pubmed.ncbi.nlm.nih.gov/?term=2849376</v>
      </c>
      <c r="F253" s="226" t="s">
        <v>1853</v>
      </c>
      <c r="G253" s="226" t="s">
        <v>4083</v>
      </c>
      <c r="H253" s="226"/>
      <c r="I253" s="226"/>
      <c r="J253" s="226" t="s">
        <v>308</v>
      </c>
      <c r="K253" s="226" t="s">
        <v>4326</v>
      </c>
      <c r="L253" s="28" t="s">
        <v>4008</v>
      </c>
      <c r="M253" s="97"/>
      <c r="N253" s="97"/>
      <c r="O253" s="97"/>
    </row>
    <row r="254" spans="1:15" ht="12.75">
      <c r="A254" s="225" t="s">
        <v>1431</v>
      </c>
      <c r="B254" s="227" t="s">
        <v>1835</v>
      </c>
      <c r="C254" s="243">
        <v>1996</v>
      </c>
      <c r="D254" s="243">
        <v>8544269</v>
      </c>
      <c r="E254" s="228" t="str">
        <f t="shared" si="10"/>
        <v>https://pubmed.ncbi.nlm.nih.gov/?term=8544269</v>
      </c>
      <c r="F254" s="226" t="s">
        <v>1902</v>
      </c>
      <c r="G254" s="226" t="s">
        <v>4083</v>
      </c>
      <c r="H254" s="295"/>
      <c r="I254" s="226"/>
      <c r="J254" s="226" t="s">
        <v>308</v>
      </c>
      <c r="K254" s="226" t="s">
        <v>4327</v>
      </c>
      <c r="L254" s="28" t="s">
        <v>4008</v>
      </c>
      <c r="M254" s="97"/>
      <c r="N254" s="97"/>
      <c r="O254" s="97"/>
    </row>
    <row r="255" spans="1:15" ht="12.75">
      <c r="A255" s="225" t="s">
        <v>1431</v>
      </c>
      <c r="B255" s="227" t="s">
        <v>1835</v>
      </c>
      <c r="C255" s="243">
        <v>1992</v>
      </c>
      <c r="D255" s="243">
        <v>1503435</v>
      </c>
      <c r="E255" s="228" t="str">
        <f t="shared" si="10"/>
        <v>https://pubmed.ncbi.nlm.nih.gov/?term=1503435</v>
      </c>
      <c r="F255" s="226" t="s">
        <v>1871</v>
      </c>
      <c r="G255" s="226" t="s">
        <v>4083</v>
      </c>
      <c r="H255" s="226"/>
      <c r="I255" s="226"/>
      <c r="J255" s="226" t="s">
        <v>308</v>
      </c>
      <c r="K255" s="226" t="s">
        <v>4328</v>
      </c>
      <c r="L255" s="28" t="s">
        <v>4008</v>
      </c>
      <c r="M255" s="97"/>
      <c r="N255" s="97"/>
      <c r="O255" s="97"/>
    </row>
    <row r="256" spans="1:15" ht="12.75">
      <c r="A256" s="225" t="s">
        <v>1431</v>
      </c>
      <c r="B256" s="227" t="s">
        <v>1835</v>
      </c>
      <c r="C256" s="243">
        <v>1994</v>
      </c>
      <c r="D256" s="243">
        <v>8067760</v>
      </c>
      <c r="E256" s="228" t="str">
        <f t="shared" si="10"/>
        <v>https://pubmed.ncbi.nlm.nih.gov/?term=8067760</v>
      </c>
      <c r="F256" s="226" t="s">
        <v>1893</v>
      </c>
      <c r="G256" s="226" t="s">
        <v>4083</v>
      </c>
      <c r="H256" s="226"/>
      <c r="I256" s="226"/>
      <c r="J256" s="226" t="s">
        <v>308</v>
      </c>
      <c r="K256" s="226" t="s">
        <v>4313</v>
      </c>
      <c r="L256" s="28" t="s">
        <v>4008</v>
      </c>
      <c r="M256" s="97"/>
      <c r="N256" s="97"/>
      <c r="O256" s="97"/>
    </row>
    <row r="257" spans="1:15" ht="12.75">
      <c r="A257" s="225" t="s">
        <v>1431</v>
      </c>
      <c r="B257" s="227" t="s">
        <v>1835</v>
      </c>
      <c r="C257" s="243">
        <v>1997</v>
      </c>
      <c r="D257" s="243">
        <v>9302301</v>
      </c>
      <c r="E257" s="228" t="str">
        <f t="shared" si="10"/>
        <v>https://pubmed.ncbi.nlm.nih.gov/?term=9302301</v>
      </c>
      <c r="F257" s="226" t="s">
        <v>4329</v>
      </c>
      <c r="G257" s="226" t="s">
        <v>4083</v>
      </c>
      <c r="H257" s="226" t="s">
        <v>511</v>
      </c>
      <c r="I257" s="226" t="s">
        <v>4330</v>
      </c>
      <c r="J257" s="97"/>
      <c r="K257" s="97"/>
      <c r="L257" s="97"/>
      <c r="M257" s="97"/>
      <c r="N257" s="97"/>
      <c r="O257" s="97"/>
    </row>
    <row r="258" spans="1:15" ht="12.75">
      <c r="A258" s="225" t="s">
        <v>1431</v>
      </c>
      <c r="B258" s="227" t="s">
        <v>1835</v>
      </c>
      <c r="C258" s="243">
        <v>1999</v>
      </c>
      <c r="D258" s="243">
        <v>10517426</v>
      </c>
      <c r="E258" s="228" t="str">
        <f t="shared" si="10"/>
        <v>https://pubmed.ncbi.nlm.nih.gov/?term=10517426</v>
      </c>
      <c r="F258" s="226" t="s">
        <v>1915</v>
      </c>
      <c r="G258" s="226" t="s">
        <v>4083</v>
      </c>
      <c r="H258" s="226"/>
      <c r="I258" s="226"/>
      <c r="J258" s="226" t="s">
        <v>308</v>
      </c>
      <c r="K258" s="226" t="s">
        <v>4331</v>
      </c>
      <c r="L258" s="28" t="s">
        <v>4008</v>
      </c>
      <c r="M258" s="97"/>
      <c r="N258" s="97"/>
      <c r="O258" s="97"/>
    </row>
    <row r="259" spans="1:15" ht="12.75">
      <c r="A259" s="225" t="s">
        <v>1431</v>
      </c>
      <c r="B259" s="227" t="s">
        <v>1922</v>
      </c>
      <c r="C259" s="243">
        <v>1990</v>
      </c>
      <c r="D259" s="243">
        <v>2204243</v>
      </c>
      <c r="E259" s="228" t="str">
        <f t="shared" si="10"/>
        <v>https://pubmed.ncbi.nlm.nih.gov/?term=2204243</v>
      </c>
      <c r="F259" s="226" t="s">
        <v>1933</v>
      </c>
      <c r="G259" s="226" t="s">
        <v>4083</v>
      </c>
      <c r="H259" s="226"/>
      <c r="I259" s="226"/>
      <c r="J259" s="226" t="s">
        <v>308</v>
      </c>
      <c r="K259" s="226" t="s">
        <v>4332</v>
      </c>
      <c r="L259" s="28" t="s">
        <v>4008</v>
      </c>
      <c r="M259" s="97"/>
      <c r="N259" s="97"/>
      <c r="O259" s="97"/>
    </row>
    <row r="260" spans="1:15" ht="12.75">
      <c r="A260" s="225" t="s">
        <v>1431</v>
      </c>
      <c r="B260" s="227" t="s">
        <v>1922</v>
      </c>
      <c r="C260" s="243">
        <v>1990</v>
      </c>
      <c r="D260" s="243">
        <v>2204243</v>
      </c>
      <c r="E260" s="228" t="str">
        <f t="shared" si="10"/>
        <v>https://pubmed.ncbi.nlm.nih.gov/?term=2204243</v>
      </c>
      <c r="F260" s="226" t="s">
        <v>4010</v>
      </c>
      <c r="G260" s="226" t="s">
        <v>4079</v>
      </c>
      <c r="H260" s="226" t="s">
        <v>511</v>
      </c>
      <c r="I260" s="226" t="s">
        <v>4256</v>
      </c>
      <c r="J260" s="97"/>
      <c r="K260" s="97"/>
      <c r="L260" s="97"/>
      <c r="M260" s="97"/>
      <c r="N260" s="97"/>
      <c r="O260" s="97"/>
    </row>
    <row r="261" spans="1:15" ht="12.75">
      <c r="A261" s="225" t="s">
        <v>1431</v>
      </c>
      <c r="B261" s="227" t="s">
        <v>4333</v>
      </c>
      <c r="C261" s="243">
        <v>2010</v>
      </c>
      <c r="D261" s="243">
        <v>20525715</v>
      </c>
      <c r="E261" s="228" t="str">
        <f t="shared" si="10"/>
        <v>https://pubmed.ncbi.nlm.nih.gov/?term=20525715</v>
      </c>
      <c r="F261" s="226" t="s">
        <v>3135</v>
      </c>
      <c r="G261" s="226" t="s">
        <v>4083</v>
      </c>
      <c r="H261" s="226" t="s">
        <v>308</v>
      </c>
      <c r="I261" s="226" t="s">
        <v>4334</v>
      </c>
      <c r="J261" s="97"/>
      <c r="K261" s="226"/>
      <c r="L261" s="28" t="s">
        <v>4019</v>
      </c>
      <c r="M261" s="97"/>
      <c r="N261" s="97"/>
      <c r="O261" s="97"/>
    </row>
    <row r="262" spans="1:15" ht="12.75">
      <c r="A262" s="225" t="s">
        <v>3135</v>
      </c>
      <c r="B262" s="225" t="s">
        <v>3127</v>
      </c>
      <c r="C262" s="301">
        <v>2008</v>
      </c>
      <c r="D262" s="301">
        <v>18768794</v>
      </c>
      <c r="E262" s="253" t="s">
        <v>3128</v>
      </c>
      <c r="F262" s="226" t="s">
        <v>3136</v>
      </c>
      <c r="G262" s="226" t="s">
        <v>4001</v>
      </c>
      <c r="H262" s="226"/>
      <c r="I262" s="226"/>
      <c r="J262" s="226" t="s">
        <v>308</v>
      </c>
      <c r="K262" s="226" t="s">
        <v>4335</v>
      </c>
      <c r="L262" s="28" t="s">
        <v>4008</v>
      </c>
      <c r="M262" s="97"/>
      <c r="N262" s="97"/>
      <c r="O262" s="97"/>
    </row>
    <row r="263" spans="1:15" ht="12.75">
      <c r="A263" s="225" t="s">
        <v>1431</v>
      </c>
      <c r="B263" s="227" t="s">
        <v>1938</v>
      </c>
      <c r="C263" s="243">
        <v>1988</v>
      </c>
      <c r="D263" s="243">
        <v>2853194</v>
      </c>
      <c r="E263" s="228" t="str">
        <f t="shared" ref="E263:E277" si="11">"https://pubmed.ncbi.nlm.nih.gov/?term="&amp;D263</f>
        <v>https://pubmed.ncbi.nlm.nih.gov/?term=2853194</v>
      </c>
      <c r="F263" s="226" t="s">
        <v>1952</v>
      </c>
      <c r="G263" s="226" t="s">
        <v>4083</v>
      </c>
      <c r="H263" s="226"/>
      <c r="I263" s="226"/>
      <c r="J263" s="226" t="s">
        <v>308</v>
      </c>
      <c r="K263" s="226" t="s">
        <v>4313</v>
      </c>
      <c r="L263" s="28" t="s">
        <v>4008</v>
      </c>
      <c r="M263" s="97"/>
      <c r="N263" s="97"/>
      <c r="O263" s="97"/>
    </row>
    <row r="264" spans="1:15" ht="12.75">
      <c r="A264" s="225" t="s">
        <v>1431</v>
      </c>
      <c r="B264" s="227" t="s">
        <v>4336</v>
      </c>
      <c r="C264" s="243">
        <v>1982</v>
      </c>
      <c r="D264" s="243">
        <v>6750006</v>
      </c>
      <c r="E264" s="228" t="str">
        <f t="shared" si="11"/>
        <v>https://pubmed.ncbi.nlm.nih.gov/?term=6750006</v>
      </c>
      <c r="F264" s="226" t="s">
        <v>1962</v>
      </c>
      <c r="G264" s="226" t="s">
        <v>4083</v>
      </c>
      <c r="H264" s="97"/>
      <c r="I264" s="97"/>
      <c r="J264" s="226" t="s">
        <v>308</v>
      </c>
      <c r="K264" s="226" t="s">
        <v>4337</v>
      </c>
      <c r="L264" s="28" t="s">
        <v>4008</v>
      </c>
      <c r="M264" s="97"/>
      <c r="N264" s="97"/>
      <c r="O264" s="97"/>
    </row>
    <row r="265" spans="1:15" ht="12.75">
      <c r="A265" s="225" t="s">
        <v>1431</v>
      </c>
      <c r="B265" s="227" t="s">
        <v>4338</v>
      </c>
      <c r="C265" s="243">
        <v>2007</v>
      </c>
      <c r="D265" s="243">
        <v>17055218</v>
      </c>
      <c r="E265" s="228" t="str">
        <f t="shared" si="11"/>
        <v>https://pubmed.ncbi.nlm.nih.gov/?term=17055218</v>
      </c>
      <c r="F265" s="226" t="s">
        <v>4339</v>
      </c>
      <c r="G265" s="226" t="s">
        <v>4083</v>
      </c>
      <c r="H265" s="226" t="s">
        <v>308</v>
      </c>
      <c r="I265" s="226" t="s">
        <v>4340</v>
      </c>
      <c r="J265" s="97"/>
      <c r="K265" s="97"/>
      <c r="L265" s="28" t="s">
        <v>4019</v>
      </c>
      <c r="M265" s="97"/>
      <c r="N265" s="97"/>
      <c r="O265" s="97"/>
    </row>
    <row r="266" spans="1:15" ht="12.75">
      <c r="A266" s="225" t="s">
        <v>1431</v>
      </c>
      <c r="B266" s="227" t="s">
        <v>4341</v>
      </c>
      <c r="C266" s="243">
        <v>2001</v>
      </c>
      <c r="D266" s="243">
        <v>11424113</v>
      </c>
      <c r="E266" s="228" t="str">
        <f t="shared" si="11"/>
        <v>https://pubmed.ncbi.nlm.nih.gov/?term=11424113</v>
      </c>
      <c r="F266" s="226" t="s">
        <v>4342</v>
      </c>
      <c r="G266" s="226" t="s">
        <v>4083</v>
      </c>
      <c r="H266" s="226" t="s">
        <v>511</v>
      </c>
      <c r="I266" s="226" t="s">
        <v>4343</v>
      </c>
      <c r="J266" s="97"/>
      <c r="K266" s="97"/>
      <c r="L266" s="97"/>
      <c r="M266" s="97"/>
      <c r="N266" s="97"/>
      <c r="O266" s="97"/>
    </row>
    <row r="267" spans="1:15" ht="12.75">
      <c r="A267" s="225" t="s">
        <v>1431</v>
      </c>
      <c r="B267" s="227" t="s">
        <v>1967</v>
      </c>
      <c r="C267" s="243">
        <v>1969</v>
      </c>
      <c r="D267" s="243">
        <v>5309454</v>
      </c>
      <c r="E267" s="228" t="str">
        <f t="shared" si="11"/>
        <v>https://pubmed.ncbi.nlm.nih.gov/?term=5309454</v>
      </c>
      <c r="F267" s="226" t="s">
        <v>1974</v>
      </c>
      <c r="G267" s="226" t="s">
        <v>4083</v>
      </c>
      <c r="H267" s="226" t="s">
        <v>308</v>
      </c>
      <c r="I267" s="282" t="s">
        <v>4020</v>
      </c>
      <c r="J267" s="295"/>
      <c r="K267" s="226"/>
      <c r="L267" s="226"/>
      <c r="M267" s="97"/>
      <c r="N267" s="97"/>
      <c r="O267" s="97"/>
    </row>
    <row r="268" spans="1:15" ht="12.75">
      <c r="A268" s="225" t="s">
        <v>1431</v>
      </c>
      <c r="B268" s="227" t="s">
        <v>4344</v>
      </c>
      <c r="C268" s="243">
        <v>1990</v>
      </c>
      <c r="D268" s="243">
        <v>2162116</v>
      </c>
      <c r="E268" s="228" t="str">
        <f t="shared" si="11"/>
        <v>https://pubmed.ncbi.nlm.nih.gov/?term=2162116</v>
      </c>
      <c r="F268" s="226" t="s">
        <v>4345</v>
      </c>
      <c r="G268" s="226" t="s">
        <v>4079</v>
      </c>
      <c r="H268" s="226" t="s">
        <v>511</v>
      </c>
      <c r="I268" s="226" t="s">
        <v>4346</v>
      </c>
      <c r="J268" s="97"/>
      <c r="K268" s="97"/>
      <c r="L268" s="97"/>
      <c r="M268" s="97"/>
      <c r="N268" s="97"/>
      <c r="O268" s="97"/>
    </row>
    <row r="269" spans="1:15" ht="12.75">
      <c r="A269" s="225" t="s">
        <v>1431</v>
      </c>
      <c r="B269" s="227" t="s">
        <v>1980</v>
      </c>
      <c r="C269" s="243">
        <v>1995</v>
      </c>
      <c r="D269" s="243">
        <v>8578831</v>
      </c>
      <c r="E269" s="228" t="str">
        <f t="shared" si="11"/>
        <v>https://pubmed.ncbi.nlm.nih.gov/?term=8578831</v>
      </c>
      <c r="F269" s="226" t="s">
        <v>2003</v>
      </c>
      <c r="G269" s="226" t="s">
        <v>4083</v>
      </c>
      <c r="H269" s="97"/>
      <c r="I269" s="97"/>
      <c r="J269" s="226" t="s">
        <v>511</v>
      </c>
      <c r="K269" s="226" t="s">
        <v>4347</v>
      </c>
      <c r="L269" s="28" t="s">
        <v>4008</v>
      </c>
      <c r="M269" s="97"/>
      <c r="N269" s="97"/>
      <c r="O269" s="97"/>
    </row>
    <row r="270" spans="1:15" ht="12.75">
      <c r="A270" s="225" t="s">
        <v>1431</v>
      </c>
      <c r="B270" s="227" t="s">
        <v>1980</v>
      </c>
      <c r="C270" s="243">
        <v>1992</v>
      </c>
      <c r="D270" s="243">
        <v>1587589</v>
      </c>
      <c r="E270" s="228" t="str">
        <f t="shared" si="11"/>
        <v>https://pubmed.ncbi.nlm.nih.gov/?term=1587589</v>
      </c>
      <c r="F270" s="226" t="s">
        <v>1989</v>
      </c>
      <c r="G270" s="226" t="s">
        <v>4083</v>
      </c>
      <c r="H270" s="226"/>
      <c r="I270" s="226"/>
      <c r="J270" s="226" t="s">
        <v>308</v>
      </c>
      <c r="K270" s="226" t="s">
        <v>4348</v>
      </c>
      <c r="L270" s="28" t="s">
        <v>4008</v>
      </c>
      <c r="M270" s="97"/>
      <c r="N270" s="97"/>
      <c r="O270" s="97"/>
    </row>
    <row r="271" spans="1:15" ht="12.75">
      <c r="A271" s="225" t="s">
        <v>1431</v>
      </c>
      <c r="B271" s="227" t="s">
        <v>4349</v>
      </c>
      <c r="C271" s="243">
        <v>1989</v>
      </c>
      <c r="D271" s="243">
        <v>2536042</v>
      </c>
      <c r="E271" s="228" t="str">
        <f t="shared" si="11"/>
        <v>https://pubmed.ncbi.nlm.nih.gov/?term=2536042</v>
      </c>
      <c r="F271" s="226" t="s">
        <v>2013</v>
      </c>
      <c r="G271" s="226" t="s">
        <v>4083</v>
      </c>
      <c r="H271" s="97"/>
      <c r="I271" s="97"/>
      <c r="J271" s="226" t="s">
        <v>511</v>
      </c>
      <c r="K271" s="226" t="s">
        <v>4028</v>
      </c>
      <c r="L271" s="28" t="s">
        <v>4008</v>
      </c>
      <c r="M271" s="97"/>
      <c r="N271" s="97"/>
      <c r="O271" s="97"/>
    </row>
    <row r="272" spans="1:15" ht="12.75">
      <c r="A272" s="225" t="s">
        <v>1431</v>
      </c>
      <c r="B272" s="227" t="s">
        <v>2014</v>
      </c>
      <c r="C272" s="243">
        <v>1979</v>
      </c>
      <c r="D272" s="243">
        <v>479857</v>
      </c>
      <c r="E272" s="228" t="str">
        <f t="shared" si="11"/>
        <v>https://pubmed.ncbi.nlm.nih.gov/?term=479857</v>
      </c>
      <c r="F272" s="226" t="s">
        <v>2020</v>
      </c>
      <c r="G272" s="226" t="s">
        <v>4083</v>
      </c>
      <c r="H272" s="226" t="s">
        <v>308</v>
      </c>
      <c r="I272" s="282" t="s">
        <v>4020</v>
      </c>
      <c r="J272" s="226"/>
      <c r="K272" s="226" t="s">
        <v>4309</v>
      </c>
      <c r="L272" s="226"/>
      <c r="M272" s="97"/>
      <c r="N272" s="97"/>
      <c r="O272" s="97"/>
    </row>
    <row r="273" spans="1:15" ht="12.75">
      <c r="A273" s="225" t="s">
        <v>1431</v>
      </c>
      <c r="B273" s="227" t="s">
        <v>2021</v>
      </c>
      <c r="C273" s="243">
        <v>1992</v>
      </c>
      <c r="D273" s="243">
        <v>1402032</v>
      </c>
      <c r="E273" s="228" t="str">
        <f t="shared" si="11"/>
        <v>https://pubmed.ncbi.nlm.nih.gov/?term=1402032</v>
      </c>
      <c r="F273" s="226" t="s">
        <v>2030</v>
      </c>
      <c r="G273" s="226" t="s">
        <v>4083</v>
      </c>
      <c r="H273" s="226"/>
      <c r="I273" s="226"/>
      <c r="J273" s="226" t="s">
        <v>308</v>
      </c>
      <c r="K273" s="226" t="s">
        <v>4313</v>
      </c>
      <c r="L273" s="28" t="s">
        <v>4008</v>
      </c>
      <c r="M273" s="97"/>
      <c r="N273" s="97"/>
      <c r="O273" s="97"/>
    </row>
    <row r="274" spans="1:15" ht="12.75">
      <c r="A274" s="225" t="s">
        <v>1431</v>
      </c>
      <c r="B274" s="227" t="s">
        <v>2021</v>
      </c>
      <c r="C274" s="243">
        <v>1994</v>
      </c>
      <c r="D274" s="243">
        <v>7893886</v>
      </c>
      <c r="E274" s="228" t="str">
        <f t="shared" si="11"/>
        <v>https://pubmed.ncbi.nlm.nih.gov/?term=7893886</v>
      </c>
      <c r="F274" s="226" t="s">
        <v>2038</v>
      </c>
      <c r="G274" s="226" t="s">
        <v>4083</v>
      </c>
      <c r="H274" s="226"/>
      <c r="I274" s="226"/>
      <c r="J274" s="226" t="s">
        <v>308</v>
      </c>
      <c r="K274" s="226" t="s">
        <v>4350</v>
      </c>
      <c r="L274" s="28" t="s">
        <v>4008</v>
      </c>
      <c r="M274" s="97"/>
      <c r="N274" s="97"/>
      <c r="O274" s="97"/>
    </row>
    <row r="275" spans="1:15" ht="12.75">
      <c r="A275" s="225" t="s">
        <v>1431</v>
      </c>
      <c r="B275" s="227" t="s">
        <v>2039</v>
      </c>
      <c r="C275" s="243">
        <v>1977</v>
      </c>
      <c r="D275" s="243">
        <v>921245</v>
      </c>
      <c r="E275" s="228" t="str">
        <f t="shared" si="11"/>
        <v>https://pubmed.ncbi.nlm.nih.gov/?term=921245</v>
      </c>
      <c r="F275" s="226" t="s">
        <v>2050</v>
      </c>
      <c r="G275" s="226" t="s">
        <v>4083</v>
      </c>
      <c r="H275" s="226" t="s">
        <v>308</v>
      </c>
      <c r="I275" s="282" t="s">
        <v>4020</v>
      </c>
      <c r="J275" s="226"/>
      <c r="K275" s="226" t="s">
        <v>4309</v>
      </c>
      <c r="L275" s="226"/>
      <c r="M275" s="97"/>
      <c r="N275" s="97"/>
      <c r="O275" s="97"/>
    </row>
    <row r="276" spans="1:15" ht="12.75">
      <c r="A276" s="225" t="s">
        <v>1431</v>
      </c>
      <c r="B276" s="227" t="s">
        <v>2051</v>
      </c>
      <c r="C276" s="243">
        <v>2006</v>
      </c>
      <c r="D276" s="243">
        <v>16956406</v>
      </c>
      <c r="E276" s="228" t="str">
        <f t="shared" si="11"/>
        <v>https://pubmed.ncbi.nlm.nih.gov/?term=16956406</v>
      </c>
      <c r="F276" s="226" t="s">
        <v>2059</v>
      </c>
      <c r="G276" s="226" t="s">
        <v>4083</v>
      </c>
      <c r="H276" s="97"/>
      <c r="I276" s="97"/>
      <c r="J276" s="226" t="s">
        <v>511</v>
      </c>
      <c r="K276" s="97"/>
      <c r="L276" s="28" t="s">
        <v>4008</v>
      </c>
      <c r="M276" s="97"/>
      <c r="N276" s="97"/>
      <c r="O276" s="97"/>
    </row>
    <row r="277" spans="1:15" ht="12.75">
      <c r="A277" s="225" t="s">
        <v>1431</v>
      </c>
      <c r="B277" s="227" t="s">
        <v>4351</v>
      </c>
      <c r="C277" s="243">
        <v>1996</v>
      </c>
      <c r="D277" s="243">
        <v>8856377</v>
      </c>
      <c r="E277" s="228" t="str">
        <f t="shared" si="11"/>
        <v>https://pubmed.ncbi.nlm.nih.gov/?term=8856377</v>
      </c>
      <c r="F277" s="226" t="s">
        <v>3145</v>
      </c>
      <c r="G277" s="226" t="s">
        <v>4083</v>
      </c>
      <c r="H277" s="226" t="s">
        <v>511</v>
      </c>
      <c r="I277" s="28" t="s">
        <v>4352</v>
      </c>
      <c r="J277" s="97"/>
      <c r="K277" s="97"/>
      <c r="L277" s="28" t="s">
        <v>4019</v>
      </c>
      <c r="M277" s="97"/>
      <c r="N277" s="97"/>
      <c r="O277" s="97"/>
    </row>
    <row r="278" spans="1:15" ht="12.75">
      <c r="A278" s="225" t="s">
        <v>3145</v>
      </c>
      <c r="B278" s="225" t="s">
        <v>3137</v>
      </c>
      <c r="C278" s="301">
        <v>1988</v>
      </c>
      <c r="D278" s="301">
        <v>3343522</v>
      </c>
      <c r="E278" s="253" t="s">
        <v>3139</v>
      </c>
      <c r="F278" s="226" t="s">
        <v>3146</v>
      </c>
      <c r="G278" s="226" t="s">
        <v>4001</v>
      </c>
      <c r="H278" s="226"/>
      <c r="I278" s="28"/>
      <c r="J278" s="226" t="s">
        <v>308</v>
      </c>
      <c r="K278" s="226" t="s">
        <v>4353</v>
      </c>
      <c r="L278" s="28" t="s">
        <v>4008</v>
      </c>
      <c r="M278" s="97"/>
      <c r="N278" s="97"/>
      <c r="O278" s="97"/>
    </row>
    <row r="279" spans="1:15" ht="12.75">
      <c r="A279" s="225" t="s">
        <v>1431</v>
      </c>
      <c r="B279" s="227" t="s">
        <v>4354</v>
      </c>
      <c r="C279" s="243">
        <v>2009</v>
      </c>
      <c r="D279" s="243">
        <v>18643847</v>
      </c>
      <c r="E279" s="228" t="str">
        <f t="shared" ref="E279:E291" si="12">"https://pubmed.ncbi.nlm.nih.gov/?term="&amp;D279</f>
        <v>https://pubmed.ncbi.nlm.nih.gov/?term=18643847</v>
      </c>
      <c r="F279" s="226" t="s">
        <v>4355</v>
      </c>
      <c r="G279" s="226" t="s">
        <v>4079</v>
      </c>
      <c r="H279" s="226" t="s">
        <v>511</v>
      </c>
      <c r="I279" s="226" t="s">
        <v>4356</v>
      </c>
      <c r="J279" s="97"/>
      <c r="K279" s="97"/>
      <c r="L279" s="97"/>
      <c r="M279" s="97"/>
      <c r="N279" s="97"/>
      <c r="O279" s="97"/>
    </row>
    <row r="280" spans="1:15" ht="12.75">
      <c r="A280" s="225" t="s">
        <v>1431</v>
      </c>
      <c r="B280" s="227" t="s">
        <v>4357</v>
      </c>
      <c r="C280" s="243">
        <v>1999</v>
      </c>
      <c r="D280" s="243">
        <v>10404908</v>
      </c>
      <c r="E280" s="228" t="str">
        <f t="shared" si="12"/>
        <v>https://pubmed.ncbi.nlm.nih.gov/?term=10404908</v>
      </c>
      <c r="F280" s="226" t="s">
        <v>4358</v>
      </c>
      <c r="G280" s="226" t="s">
        <v>4079</v>
      </c>
      <c r="H280" s="226" t="s">
        <v>511</v>
      </c>
      <c r="I280" s="226" t="s">
        <v>4359</v>
      </c>
      <c r="J280" s="97"/>
      <c r="K280" s="97"/>
      <c r="L280" s="97"/>
      <c r="M280" s="97"/>
      <c r="N280" s="97"/>
      <c r="O280" s="97"/>
    </row>
    <row r="281" spans="1:15" ht="12.75">
      <c r="A281" s="225" t="s">
        <v>1431</v>
      </c>
      <c r="B281" s="227" t="s">
        <v>2060</v>
      </c>
      <c r="C281" s="243">
        <v>1998</v>
      </c>
      <c r="D281" s="243">
        <v>9728553</v>
      </c>
      <c r="E281" s="228" t="str">
        <f t="shared" si="12"/>
        <v>https://pubmed.ncbi.nlm.nih.gov/?term=9728553</v>
      </c>
      <c r="F281" s="226" t="s">
        <v>2068</v>
      </c>
      <c r="G281" s="226" t="s">
        <v>4083</v>
      </c>
      <c r="H281" s="226"/>
      <c r="I281" s="226"/>
      <c r="J281" s="226" t="s">
        <v>308</v>
      </c>
      <c r="K281" s="226" t="s">
        <v>4313</v>
      </c>
      <c r="L281" s="28" t="s">
        <v>4008</v>
      </c>
      <c r="M281" s="97"/>
      <c r="N281" s="97"/>
      <c r="O281" s="97"/>
    </row>
    <row r="282" spans="1:15" ht="12.75">
      <c r="A282" s="225" t="s">
        <v>1431</v>
      </c>
      <c r="B282" s="227" t="s">
        <v>2069</v>
      </c>
      <c r="C282" s="243">
        <v>1998</v>
      </c>
      <c r="D282" s="243">
        <v>9726729</v>
      </c>
      <c r="E282" s="228" t="str">
        <f t="shared" si="12"/>
        <v>https://pubmed.ncbi.nlm.nih.gov/?term=9726729</v>
      </c>
      <c r="F282" s="226" t="s">
        <v>2076</v>
      </c>
      <c r="G282" s="226" t="s">
        <v>4083</v>
      </c>
      <c r="H282" s="226"/>
      <c r="I282" s="226"/>
      <c r="J282" s="226" t="s">
        <v>308</v>
      </c>
      <c r="K282" s="226" t="s">
        <v>4360</v>
      </c>
      <c r="L282" s="28" t="s">
        <v>4008</v>
      </c>
      <c r="M282" s="97"/>
      <c r="N282" s="97"/>
      <c r="O282" s="97"/>
    </row>
    <row r="283" spans="1:15" ht="12.75">
      <c r="A283" s="225" t="s">
        <v>1431</v>
      </c>
      <c r="B283" s="227" t="s">
        <v>2077</v>
      </c>
      <c r="C283" s="243">
        <v>1978</v>
      </c>
      <c r="D283" s="243">
        <v>669819</v>
      </c>
      <c r="E283" s="228" t="str">
        <f t="shared" si="12"/>
        <v>https://pubmed.ncbi.nlm.nih.gov/?term=669819</v>
      </c>
      <c r="F283" s="226" t="s">
        <v>2084</v>
      </c>
      <c r="G283" s="226" t="s">
        <v>4083</v>
      </c>
      <c r="H283" s="226" t="s">
        <v>308</v>
      </c>
      <c r="I283" s="282" t="s">
        <v>4020</v>
      </c>
      <c r="J283" s="295"/>
      <c r="K283" s="226" t="s">
        <v>4361</v>
      </c>
      <c r="L283" s="226"/>
      <c r="M283" s="97"/>
      <c r="N283" s="97"/>
      <c r="O283" s="97"/>
    </row>
    <row r="284" spans="1:15" ht="12.75">
      <c r="A284" s="225" t="s">
        <v>1431</v>
      </c>
      <c r="B284" s="227" t="s">
        <v>2091</v>
      </c>
      <c r="C284" s="243">
        <v>2000</v>
      </c>
      <c r="D284" s="243">
        <v>10998316</v>
      </c>
      <c r="E284" s="228" t="str">
        <f t="shared" si="12"/>
        <v>https://pubmed.ncbi.nlm.nih.gov/?term=10998316</v>
      </c>
      <c r="F284" s="226" t="s">
        <v>2099</v>
      </c>
      <c r="G284" s="226" t="s">
        <v>4083</v>
      </c>
      <c r="H284" s="226"/>
      <c r="I284" s="226"/>
      <c r="J284" s="226" t="s">
        <v>308</v>
      </c>
      <c r="K284" s="226" t="s">
        <v>4362</v>
      </c>
      <c r="L284" s="28" t="s">
        <v>4008</v>
      </c>
      <c r="M284" s="97"/>
      <c r="N284" s="97"/>
      <c r="O284" s="97"/>
    </row>
    <row r="285" spans="1:15" ht="12.75">
      <c r="A285" s="225" t="s">
        <v>1431</v>
      </c>
      <c r="B285" s="227" t="s">
        <v>2091</v>
      </c>
      <c r="C285" s="243">
        <v>2000</v>
      </c>
      <c r="D285" s="243">
        <v>10998316</v>
      </c>
      <c r="E285" s="228" t="str">
        <f t="shared" si="12"/>
        <v>https://pubmed.ncbi.nlm.nih.gov/?term=10998316</v>
      </c>
      <c r="F285" s="226" t="s">
        <v>4010</v>
      </c>
      <c r="G285" s="226" t="s">
        <v>4079</v>
      </c>
      <c r="H285" s="226" t="s">
        <v>511</v>
      </c>
      <c r="I285" s="226" t="s">
        <v>4256</v>
      </c>
      <c r="J285" s="97"/>
      <c r="K285" s="97"/>
      <c r="L285" s="97"/>
      <c r="M285" s="97"/>
      <c r="N285" s="97"/>
      <c r="O285" s="97"/>
    </row>
    <row r="286" spans="1:15" ht="12.75">
      <c r="A286" s="225" t="s">
        <v>1431</v>
      </c>
      <c r="B286" s="227" t="s">
        <v>4363</v>
      </c>
      <c r="C286" s="243">
        <v>1990</v>
      </c>
      <c r="D286" s="243">
        <v>2180233</v>
      </c>
      <c r="E286" s="228" t="str">
        <f t="shared" si="12"/>
        <v>https://pubmed.ncbi.nlm.nih.gov/?term=2180233</v>
      </c>
      <c r="F286" s="226" t="s">
        <v>4364</v>
      </c>
      <c r="G286" s="226" t="s">
        <v>4083</v>
      </c>
      <c r="H286" s="226" t="s">
        <v>511</v>
      </c>
      <c r="I286" s="226" t="s">
        <v>4365</v>
      </c>
      <c r="J286" s="97"/>
      <c r="K286" s="97"/>
      <c r="L286" s="97"/>
      <c r="M286" s="97"/>
      <c r="N286" s="97"/>
      <c r="O286" s="97"/>
    </row>
    <row r="287" spans="1:15" ht="12.75">
      <c r="A287" s="225" t="s">
        <v>1431</v>
      </c>
      <c r="B287" s="227" t="s">
        <v>2100</v>
      </c>
      <c r="C287" s="243">
        <v>1990</v>
      </c>
      <c r="D287" s="243">
        <v>2310304</v>
      </c>
      <c r="E287" s="228" t="str">
        <f t="shared" si="12"/>
        <v>https://pubmed.ncbi.nlm.nih.gov/?term=2310304</v>
      </c>
      <c r="F287" s="226" t="s">
        <v>2108</v>
      </c>
      <c r="G287" s="226" t="s">
        <v>4083</v>
      </c>
      <c r="H287" s="226"/>
      <c r="I287" s="226"/>
      <c r="J287" s="226" t="s">
        <v>308</v>
      </c>
      <c r="K287" s="226" t="s">
        <v>4366</v>
      </c>
      <c r="L287" s="28" t="s">
        <v>4008</v>
      </c>
      <c r="M287" s="97"/>
      <c r="N287" s="97"/>
      <c r="O287" s="97"/>
    </row>
    <row r="288" spans="1:15" ht="12.75">
      <c r="A288" s="225" t="s">
        <v>1431</v>
      </c>
      <c r="B288" s="227" t="s">
        <v>2116</v>
      </c>
      <c r="C288" s="243">
        <v>1974</v>
      </c>
      <c r="D288" s="243">
        <v>15825396</v>
      </c>
      <c r="E288" s="228" t="str">
        <f t="shared" si="12"/>
        <v>https://pubmed.ncbi.nlm.nih.gov/?term=15825396</v>
      </c>
      <c r="F288" s="226" t="s">
        <v>2127</v>
      </c>
      <c r="G288" s="226" t="s">
        <v>4001</v>
      </c>
      <c r="H288" s="226" t="s">
        <v>308</v>
      </c>
      <c r="I288" s="282" t="s">
        <v>4020</v>
      </c>
      <c r="J288" s="226"/>
      <c r="K288" s="226" t="s">
        <v>4268</v>
      </c>
      <c r="L288" s="226"/>
      <c r="M288" s="97"/>
      <c r="N288" s="97"/>
      <c r="O288" s="97"/>
    </row>
    <row r="289" spans="1:15" ht="12.75">
      <c r="A289" s="225" t="s">
        <v>1431</v>
      </c>
      <c r="B289" s="227" t="s">
        <v>4367</v>
      </c>
      <c r="C289" s="243">
        <v>1999</v>
      </c>
      <c r="D289" s="243">
        <v>10605976</v>
      </c>
      <c r="E289" s="228" t="str">
        <f t="shared" si="12"/>
        <v>https://pubmed.ncbi.nlm.nih.gov/?term=10605976</v>
      </c>
      <c r="F289" s="226" t="s">
        <v>4368</v>
      </c>
      <c r="G289" s="226" t="s">
        <v>4001</v>
      </c>
      <c r="H289" s="226" t="s">
        <v>308</v>
      </c>
      <c r="I289" s="226" t="s">
        <v>4369</v>
      </c>
      <c r="J289" s="97"/>
      <c r="K289" s="97"/>
      <c r="L289" s="97"/>
      <c r="M289" s="97"/>
      <c r="N289" s="97"/>
      <c r="O289" s="97"/>
    </row>
    <row r="290" spans="1:15" ht="12.75">
      <c r="A290" s="225" t="s">
        <v>1431</v>
      </c>
      <c r="B290" s="227" t="s">
        <v>2128</v>
      </c>
      <c r="C290" s="243">
        <v>2009</v>
      </c>
      <c r="D290" s="243">
        <v>19320235</v>
      </c>
      <c r="E290" s="228" t="str">
        <f t="shared" si="12"/>
        <v>https://pubmed.ncbi.nlm.nih.gov/?term=19320235</v>
      </c>
      <c r="F290" s="226" t="s">
        <v>2138</v>
      </c>
      <c r="G290" s="226" t="s">
        <v>4001</v>
      </c>
      <c r="H290" s="97"/>
      <c r="I290" s="97"/>
      <c r="J290" s="226" t="s">
        <v>511</v>
      </c>
      <c r="K290" s="226" t="s">
        <v>4370</v>
      </c>
      <c r="L290" s="28" t="s">
        <v>4008</v>
      </c>
      <c r="M290" s="97"/>
      <c r="N290" s="97"/>
      <c r="O290" s="97"/>
    </row>
    <row r="291" spans="1:15" ht="12.75">
      <c r="A291" s="225" t="s">
        <v>1431</v>
      </c>
      <c r="B291" s="227" t="s">
        <v>4371</v>
      </c>
      <c r="C291" s="243">
        <v>2000</v>
      </c>
      <c r="D291" s="243">
        <v>11130213</v>
      </c>
      <c r="E291" s="228" t="str">
        <f t="shared" si="12"/>
        <v>https://pubmed.ncbi.nlm.nih.gov/?term=11130213</v>
      </c>
      <c r="F291" s="226" t="s">
        <v>3164</v>
      </c>
      <c r="G291" s="226" t="s">
        <v>4001</v>
      </c>
      <c r="H291" s="226" t="s">
        <v>308</v>
      </c>
      <c r="I291" s="28" t="s">
        <v>4018</v>
      </c>
      <c r="J291" s="226"/>
      <c r="K291" s="303"/>
      <c r="L291" s="28" t="s">
        <v>4019</v>
      </c>
      <c r="M291" s="303"/>
      <c r="N291" s="97"/>
      <c r="O291" s="97"/>
    </row>
    <row r="292" spans="1:15" ht="12.75">
      <c r="A292" s="225" t="s">
        <v>3164</v>
      </c>
      <c r="B292" s="225" t="s">
        <v>3137</v>
      </c>
      <c r="C292" s="301">
        <v>1987</v>
      </c>
      <c r="D292" s="301">
        <v>2437220</v>
      </c>
      <c r="E292" s="253" t="s">
        <v>3156</v>
      </c>
      <c r="F292" s="226" t="s">
        <v>3165</v>
      </c>
      <c r="G292" s="226" t="s">
        <v>4001</v>
      </c>
      <c r="H292" s="226"/>
      <c r="J292" s="226" t="s">
        <v>308</v>
      </c>
      <c r="K292" s="226" t="s">
        <v>4372</v>
      </c>
      <c r="L292" s="28" t="s">
        <v>4008</v>
      </c>
      <c r="M292" s="303"/>
      <c r="N292" s="97"/>
      <c r="O292" s="97"/>
    </row>
    <row r="293" spans="1:15" ht="12.75">
      <c r="A293" s="225" t="s">
        <v>3164</v>
      </c>
      <c r="B293" s="225" t="s">
        <v>1557</v>
      </c>
      <c r="C293" s="301">
        <v>1983</v>
      </c>
      <c r="D293" s="301">
        <v>6415182</v>
      </c>
      <c r="E293" s="253" t="s">
        <v>3168</v>
      </c>
      <c r="F293" s="226" t="s">
        <v>3178</v>
      </c>
      <c r="G293" s="226" t="s">
        <v>4001</v>
      </c>
      <c r="H293" s="226"/>
      <c r="I293" s="28"/>
      <c r="J293" s="226" t="s">
        <v>308</v>
      </c>
      <c r="K293" s="226" t="s">
        <v>4028</v>
      </c>
      <c r="L293" s="28" t="s">
        <v>4008</v>
      </c>
      <c r="M293" s="303"/>
      <c r="N293" s="97"/>
      <c r="O293" s="97"/>
    </row>
    <row r="294" spans="1:15" ht="12.75">
      <c r="A294" s="225" t="s">
        <v>3164</v>
      </c>
      <c r="B294" s="275" t="s">
        <v>1922</v>
      </c>
      <c r="C294" s="279">
        <v>1990</v>
      </c>
      <c r="D294" s="279">
        <v>2204243</v>
      </c>
      <c r="E294" s="281" t="s">
        <v>4060</v>
      </c>
      <c r="F294" s="28" t="s">
        <v>4010</v>
      </c>
      <c r="G294" s="28" t="s">
        <v>4001</v>
      </c>
      <c r="H294" s="28" t="s">
        <v>308</v>
      </c>
      <c r="I294" s="28" t="s">
        <v>4061</v>
      </c>
      <c r="J294" s="226"/>
      <c r="K294" s="226"/>
      <c r="L294" s="226"/>
      <c r="M294" s="303"/>
      <c r="N294" s="97"/>
      <c r="O294" s="97"/>
    </row>
    <row r="295" spans="1:15" ht="12.75">
      <c r="A295" s="225" t="s">
        <v>3164</v>
      </c>
      <c r="B295" s="225" t="s">
        <v>2077</v>
      </c>
      <c r="C295" s="301">
        <v>1981</v>
      </c>
      <c r="D295" s="301">
        <v>7251144</v>
      </c>
      <c r="E295" s="253" t="s">
        <v>3180</v>
      </c>
      <c r="F295" s="226" t="s">
        <v>3185</v>
      </c>
      <c r="G295" s="226" t="s">
        <v>4001</v>
      </c>
      <c r="H295" s="226"/>
      <c r="I295" s="28"/>
      <c r="J295" s="226" t="s">
        <v>308</v>
      </c>
      <c r="K295" s="226" t="s">
        <v>4373</v>
      </c>
      <c r="L295" s="28" t="s">
        <v>4008</v>
      </c>
      <c r="M295" s="303"/>
      <c r="N295" s="97"/>
      <c r="O295" s="97"/>
    </row>
    <row r="296" spans="1:15" ht="12.75">
      <c r="A296" s="225" t="s">
        <v>1431</v>
      </c>
      <c r="B296" s="227" t="s">
        <v>4371</v>
      </c>
      <c r="C296" s="243">
        <v>2000</v>
      </c>
      <c r="D296" s="243">
        <v>11130213</v>
      </c>
      <c r="E296" s="228" t="str">
        <f t="shared" ref="E296:E297" si="13">"https://pubmed.ncbi.nlm.nih.gov/?term="&amp;D296</f>
        <v>https://pubmed.ncbi.nlm.nih.gov/?term=11130213</v>
      </c>
      <c r="F296" s="226" t="s">
        <v>4010</v>
      </c>
      <c r="G296" s="226" t="s">
        <v>4079</v>
      </c>
      <c r="H296" s="226" t="s">
        <v>511</v>
      </c>
      <c r="I296" s="226" t="s">
        <v>4256</v>
      </c>
      <c r="J296" s="97"/>
      <c r="K296" s="97"/>
      <c r="L296" s="97"/>
      <c r="M296" s="97"/>
      <c r="N296" s="97"/>
      <c r="O296" s="97"/>
    </row>
    <row r="297" spans="1:15" ht="12.75">
      <c r="A297" s="225" t="s">
        <v>1431</v>
      </c>
      <c r="B297" s="227" t="s">
        <v>4374</v>
      </c>
      <c r="C297" s="243">
        <v>2010</v>
      </c>
      <c r="D297" s="243">
        <v>20815703</v>
      </c>
      <c r="E297" s="228" t="str">
        <f t="shared" si="13"/>
        <v>https://pubmed.ncbi.nlm.nih.gov/?term=20815703</v>
      </c>
      <c r="F297" s="226" t="s">
        <v>3202</v>
      </c>
      <c r="G297" s="226" t="s">
        <v>4001</v>
      </c>
      <c r="H297" s="226" t="s">
        <v>308</v>
      </c>
      <c r="I297" s="28" t="s">
        <v>4352</v>
      </c>
      <c r="J297" s="226"/>
      <c r="K297" s="97"/>
      <c r="L297" s="28" t="s">
        <v>4019</v>
      </c>
      <c r="M297" s="97"/>
      <c r="N297" s="97"/>
      <c r="O297" s="97"/>
    </row>
    <row r="298" spans="1:15" ht="12.75">
      <c r="A298" s="225" t="s">
        <v>3202</v>
      </c>
      <c r="B298" s="225" t="s">
        <v>3188</v>
      </c>
      <c r="C298" s="301">
        <v>2008</v>
      </c>
      <c r="D298" s="301">
        <v>18826818</v>
      </c>
      <c r="E298" s="253" t="s">
        <v>4375</v>
      </c>
      <c r="F298" s="226" t="s">
        <v>4376</v>
      </c>
      <c r="G298" s="226" t="s">
        <v>4001</v>
      </c>
      <c r="H298" s="226"/>
      <c r="I298" s="295"/>
      <c r="J298" s="226" t="s">
        <v>308</v>
      </c>
      <c r="K298" s="226" t="s">
        <v>4377</v>
      </c>
      <c r="L298" s="28" t="s">
        <v>4008</v>
      </c>
      <c r="M298" s="97"/>
      <c r="N298" s="97"/>
      <c r="O298" s="97"/>
    </row>
    <row r="299" spans="1:15" ht="12.75">
      <c r="A299" s="225" t="s">
        <v>4378</v>
      </c>
      <c r="B299" s="225" t="s">
        <v>3188</v>
      </c>
      <c r="C299" s="301">
        <v>2014</v>
      </c>
      <c r="D299" s="301">
        <v>24253285</v>
      </c>
      <c r="E299" s="253" t="s">
        <v>4379</v>
      </c>
      <c r="F299" s="226" t="s">
        <v>4380</v>
      </c>
      <c r="G299" s="226" t="s">
        <v>4001</v>
      </c>
      <c r="H299" s="226"/>
      <c r="I299" s="295"/>
      <c r="J299" s="226" t="s">
        <v>308</v>
      </c>
      <c r="K299" s="226" t="s">
        <v>4381</v>
      </c>
      <c r="L299" s="28" t="s">
        <v>4008</v>
      </c>
      <c r="M299" s="97"/>
      <c r="N299" s="97"/>
      <c r="O299" s="97"/>
    </row>
    <row r="300" spans="1:15" ht="12.75">
      <c r="A300" s="225" t="s">
        <v>1431</v>
      </c>
      <c r="B300" s="227" t="s">
        <v>2142</v>
      </c>
      <c r="C300" s="243">
        <v>2001</v>
      </c>
      <c r="D300" s="243">
        <v>11343523</v>
      </c>
      <c r="E300" s="228" t="str">
        <f t="shared" ref="E300:E332" si="14">"https://pubmed.ncbi.nlm.nih.gov/?term="&amp;D300</f>
        <v>https://pubmed.ncbi.nlm.nih.gov/?term=11343523</v>
      </c>
      <c r="F300" s="226" t="s">
        <v>2151</v>
      </c>
      <c r="G300" s="226" t="s">
        <v>4001</v>
      </c>
      <c r="H300" s="226"/>
      <c r="I300" s="226"/>
      <c r="J300" s="226" t="s">
        <v>308</v>
      </c>
      <c r="K300" s="226" t="s">
        <v>4382</v>
      </c>
      <c r="L300" s="28" t="s">
        <v>4008</v>
      </c>
      <c r="M300" s="97"/>
      <c r="N300" s="97"/>
      <c r="O300" s="97"/>
    </row>
    <row r="301" spans="1:15" ht="12.75">
      <c r="A301" s="225" t="s">
        <v>1431</v>
      </c>
      <c r="B301" s="227" t="s">
        <v>2152</v>
      </c>
      <c r="C301" s="243">
        <v>1989</v>
      </c>
      <c r="D301" s="243">
        <v>2712549</v>
      </c>
      <c r="E301" s="228" t="str">
        <f t="shared" si="14"/>
        <v>https://pubmed.ncbi.nlm.nih.gov/?term=2712549</v>
      </c>
      <c r="F301" s="226" t="s">
        <v>2161</v>
      </c>
      <c r="G301" s="226" t="s">
        <v>4001</v>
      </c>
      <c r="H301" s="97"/>
      <c r="I301" s="97"/>
      <c r="J301" s="226" t="s">
        <v>511</v>
      </c>
      <c r="K301" s="226" t="s">
        <v>4383</v>
      </c>
      <c r="L301" s="28" t="s">
        <v>4008</v>
      </c>
      <c r="M301" s="97"/>
      <c r="N301" s="97"/>
      <c r="O301" s="97"/>
    </row>
    <row r="302" spans="1:15" ht="12.75">
      <c r="A302" s="225" t="s">
        <v>1431</v>
      </c>
      <c r="B302" s="227" t="s">
        <v>2162</v>
      </c>
      <c r="C302" s="243">
        <v>1977</v>
      </c>
      <c r="D302" s="243">
        <v>894078</v>
      </c>
      <c r="E302" s="228" t="str">
        <f t="shared" si="14"/>
        <v>https://pubmed.ncbi.nlm.nih.gov/?term=894078</v>
      </c>
      <c r="F302" s="226" t="s">
        <v>2169</v>
      </c>
      <c r="G302" s="226" t="s">
        <v>4001</v>
      </c>
      <c r="H302" s="226" t="s">
        <v>308</v>
      </c>
      <c r="I302" s="226" t="s">
        <v>4020</v>
      </c>
      <c r="J302" s="295"/>
      <c r="K302" s="226" t="s">
        <v>4384</v>
      </c>
      <c r="L302" s="226"/>
      <c r="M302" s="97"/>
      <c r="N302" s="97"/>
      <c r="O302" s="97"/>
    </row>
    <row r="303" spans="1:15" ht="12.75">
      <c r="A303" s="225" t="s">
        <v>1431</v>
      </c>
      <c r="B303" s="227" t="s">
        <v>1265</v>
      </c>
      <c r="C303" s="243">
        <v>2009</v>
      </c>
      <c r="D303" s="243">
        <v>19641203</v>
      </c>
      <c r="E303" s="228" t="str">
        <f t="shared" si="14"/>
        <v>https://pubmed.ncbi.nlm.nih.gov/?term=19641203</v>
      </c>
      <c r="F303" s="226" t="s">
        <v>2184</v>
      </c>
      <c r="G303" s="226" t="s">
        <v>4001</v>
      </c>
      <c r="H303" s="97"/>
      <c r="I303" s="97"/>
      <c r="J303" s="226" t="s">
        <v>308</v>
      </c>
      <c r="K303" s="226" t="s">
        <v>4081</v>
      </c>
      <c r="L303" s="28" t="s">
        <v>4008</v>
      </c>
      <c r="M303" s="97"/>
      <c r="N303" s="97"/>
      <c r="O303" s="97"/>
    </row>
    <row r="304" spans="1:15" ht="12.75">
      <c r="A304" s="225" t="s">
        <v>1431</v>
      </c>
      <c r="B304" s="227" t="s">
        <v>4385</v>
      </c>
      <c r="C304" s="243">
        <v>1989</v>
      </c>
      <c r="D304" s="243">
        <v>2707853</v>
      </c>
      <c r="E304" s="228" t="str">
        <f t="shared" si="14"/>
        <v>https://pubmed.ncbi.nlm.nih.gov/?term=2707853</v>
      </c>
      <c r="F304" s="226" t="s">
        <v>4386</v>
      </c>
      <c r="G304" s="226" t="s">
        <v>4001</v>
      </c>
      <c r="H304" s="226" t="s">
        <v>308</v>
      </c>
      <c r="I304" s="226" t="s">
        <v>87</v>
      </c>
      <c r="J304" s="97"/>
      <c r="K304" s="97"/>
      <c r="L304" s="97"/>
      <c r="M304" s="97"/>
      <c r="N304" s="97"/>
      <c r="O304" s="97"/>
    </row>
    <row r="305" spans="1:15" ht="12.75">
      <c r="A305" s="225" t="s">
        <v>1431</v>
      </c>
      <c r="B305" s="227" t="s">
        <v>2186</v>
      </c>
      <c r="C305" s="243">
        <v>1975</v>
      </c>
      <c r="D305" s="243">
        <v>1202110</v>
      </c>
      <c r="E305" s="228" t="str">
        <f t="shared" si="14"/>
        <v>https://pubmed.ncbi.nlm.nih.gov/?term=1202110</v>
      </c>
      <c r="F305" s="226" t="s">
        <v>2196</v>
      </c>
      <c r="G305" s="226" t="s">
        <v>4001</v>
      </c>
      <c r="H305" s="226" t="s">
        <v>308</v>
      </c>
      <c r="I305" s="282" t="s">
        <v>4020</v>
      </c>
      <c r="J305" s="226"/>
      <c r="K305" s="226" t="s">
        <v>4387</v>
      </c>
      <c r="L305" s="226"/>
      <c r="M305" s="97"/>
      <c r="N305" s="97"/>
      <c r="O305" s="97"/>
    </row>
    <row r="306" spans="1:15" ht="12.75">
      <c r="A306" s="225" t="s">
        <v>1431</v>
      </c>
      <c r="B306" s="227" t="s">
        <v>2202</v>
      </c>
      <c r="C306" s="243">
        <v>1976</v>
      </c>
      <c r="D306" s="243">
        <v>1083484</v>
      </c>
      <c r="E306" s="228" t="str">
        <f t="shared" si="14"/>
        <v>https://pubmed.ncbi.nlm.nih.gov/?term=1083484</v>
      </c>
      <c r="F306" s="226" t="s">
        <v>2209</v>
      </c>
      <c r="G306" s="226" t="s">
        <v>4001</v>
      </c>
      <c r="H306" s="226" t="s">
        <v>308</v>
      </c>
      <c r="I306" s="282" t="s">
        <v>4020</v>
      </c>
      <c r="J306" s="226"/>
      <c r="K306" s="226" t="s">
        <v>4388</v>
      </c>
      <c r="L306" s="226"/>
      <c r="M306" s="97"/>
      <c r="N306" s="97"/>
      <c r="O306" s="97"/>
    </row>
    <row r="307" spans="1:15" ht="12.75">
      <c r="A307" s="225" t="s">
        <v>1431</v>
      </c>
      <c r="B307" s="227" t="s">
        <v>2213</v>
      </c>
      <c r="C307" s="243">
        <v>1985</v>
      </c>
      <c r="D307" s="243">
        <v>4001723</v>
      </c>
      <c r="E307" s="228" t="str">
        <f t="shared" si="14"/>
        <v>https://pubmed.ncbi.nlm.nih.gov/?term=4001723</v>
      </c>
      <c r="F307" s="226" t="s">
        <v>2222</v>
      </c>
      <c r="G307" s="226" t="s">
        <v>4001</v>
      </c>
      <c r="H307" s="226"/>
      <c r="I307" s="226"/>
      <c r="J307" s="226" t="s">
        <v>308</v>
      </c>
      <c r="K307" s="226" t="s">
        <v>4389</v>
      </c>
      <c r="L307" s="28" t="s">
        <v>4008</v>
      </c>
      <c r="M307" s="97"/>
      <c r="N307" s="97"/>
      <c r="O307" s="97"/>
    </row>
    <row r="308" spans="1:15" ht="12.75">
      <c r="A308" s="225" t="s">
        <v>1431</v>
      </c>
      <c r="B308" s="227" t="s">
        <v>2213</v>
      </c>
      <c r="C308" s="243">
        <v>2000</v>
      </c>
      <c r="D308" s="243">
        <v>10608746</v>
      </c>
      <c r="E308" s="228" t="str">
        <f t="shared" si="14"/>
        <v>https://pubmed.ncbi.nlm.nih.gov/?term=10608746</v>
      </c>
      <c r="F308" s="226" t="s">
        <v>2236</v>
      </c>
      <c r="G308" s="226" t="s">
        <v>4001</v>
      </c>
      <c r="H308" s="97"/>
      <c r="I308" s="97"/>
      <c r="J308" s="226" t="s">
        <v>308</v>
      </c>
      <c r="K308" s="226" t="s">
        <v>4390</v>
      </c>
      <c r="L308" s="28" t="s">
        <v>4008</v>
      </c>
      <c r="M308" s="97"/>
      <c r="N308" s="97"/>
      <c r="O308" s="97"/>
    </row>
    <row r="309" spans="1:15" ht="12.75">
      <c r="A309" s="225" t="s">
        <v>1431</v>
      </c>
      <c r="B309" s="227" t="s">
        <v>2213</v>
      </c>
      <c r="C309" s="243">
        <v>2000</v>
      </c>
      <c r="D309" s="243">
        <v>10608746</v>
      </c>
      <c r="E309" s="228" t="str">
        <f t="shared" si="14"/>
        <v>https://pubmed.ncbi.nlm.nih.gov/?term=10608746</v>
      </c>
      <c r="F309" s="226" t="s">
        <v>4010</v>
      </c>
      <c r="G309" s="226" t="s">
        <v>4079</v>
      </c>
      <c r="H309" s="226" t="s">
        <v>511</v>
      </c>
      <c r="I309" s="226" t="s">
        <v>4256</v>
      </c>
      <c r="J309" s="97"/>
      <c r="K309" s="97"/>
      <c r="L309" s="97"/>
      <c r="M309" s="97"/>
      <c r="N309" s="97"/>
      <c r="O309" s="97"/>
    </row>
    <row r="310" spans="1:15" ht="12.75">
      <c r="A310" s="225" t="s">
        <v>1431</v>
      </c>
      <c r="B310" s="227" t="s">
        <v>2237</v>
      </c>
      <c r="C310" s="243">
        <v>1987</v>
      </c>
      <c r="D310" s="243">
        <v>3435099</v>
      </c>
      <c r="E310" s="228" t="str">
        <f t="shared" si="14"/>
        <v>https://pubmed.ncbi.nlm.nih.gov/?term=3435099</v>
      </c>
      <c r="F310" s="226" t="s">
        <v>2248</v>
      </c>
      <c r="G310" s="226" t="s">
        <v>4001</v>
      </c>
      <c r="H310" s="226"/>
      <c r="I310" s="226"/>
      <c r="J310" s="226" t="s">
        <v>308</v>
      </c>
      <c r="K310" s="226" t="s">
        <v>4313</v>
      </c>
      <c r="L310" s="28" t="s">
        <v>4008</v>
      </c>
      <c r="M310" s="97"/>
      <c r="N310" s="97"/>
      <c r="O310" s="97"/>
    </row>
    <row r="311" spans="1:15" ht="12.75">
      <c r="A311" s="225" t="s">
        <v>1431</v>
      </c>
      <c r="B311" s="227" t="s">
        <v>2249</v>
      </c>
      <c r="C311" s="243">
        <v>1985</v>
      </c>
      <c r="D311" s="243">
        <v>4056002</v>
      </c>
      <c r="E311" s="228" t="str">
        <f t="shared" si="14"/>
        <v>https://pubmed.ncbi.nlm.nih.gov/?term=4056002</v>
      </c>
      <c r="F311" s="226" t="s">
        <v>4391</v>
      </c>
      <c r="G311" s="226" t="s">
        <v>4001</v>
      </c>
      <c r="H311" s="295"/>
      <c r="I311" s="226"/>
      <c r="J311" s="226" t="s">
        <v>308</v>
      </c>
      <c r="K311" s="226" t="s">
        <v>4028</v>
      </c>
      <c r="L311" s="28" t="s">
        <v>4008</v>
      </c>
      <c r="M311" s="97"/>
      <c r="N311" s="97"/>
      <c r="O311" s="97"/>
    </row>
    <row r="312" spans="1:15" ht="12.75">
      <c r="A312" s="225" t="s">
        <v>1431</v>
      </c>
      <c r="B312" s="227" t="s">
        <v>2249</v>
      </c>
      <c r="C312" s="243">
        <v>1986</v>
      </c>
      <c r="D312" s="243">
        <v>3711273</v>
      </c>
      <c r="E312" s="228" t="str">
        <f t="shared" si="14"/>
        <v>https://pubmed.ncbi.nlm.nih.gov/?term=3711273</v>
      </c>
      <c r="F312" s="226" t="s">
        <v>2263</v>
      </c>
      <c r="G312" s="226" t="s">
        <v>4001</v>
      </c>
      <c r="H312" s="226"/>
      <c r="I312" s="226"/>
      <c r="J312" s="226" t="s">
        <v>308</v>
      </c>
      <c r="K312" s="226" t="s">
        <v>4392</v>
      </c>
      <c r="L312" s="28" t="s">
        <v>4008</v>
      </c>
      <c r="M312" s="97"/>
      <c r="N312" s="97"/>
      <c r="O312" s="97"/>
    </row>
    <row r="313" spans="1:15" ht="12.75">
      <c r="A313" s="225" t="s">
        <v>1431</v>
      </c>
      <c r="B313" s="227" t="s">
        <v>2249</v>
      </c>
      <c r="C313" s="243">
        <v>1988</v>
      </c>
      <c r="D313" s="243">
        <v>3336068</v>
      </c>
      <c r="E313" s="228" t="str">
        <f t="shared" si="14"/>
        <v>https://pubmed.ncbi.nlm.nih.gov/?term=3336068</v>
      </c>
      <c r="F313" s="226" t="s">
        <v>2284</v>
      </c>
      <c r="G313" s="226" t="s">
        <v>4001</v>
      </c>
      <c r="H313" s="295"/>
      <c r="I313" s="226"/>
      <c r="J313" s="226" t="s">
        <v>308</v>
      </c>
      <c r="K313" s="226" t="s">
        <v>4393</v>
      </c>
      <c r="L313" s="28" t="s">
        <v>4008</v>
      </c>
      <c r="M313" s="97"/>
      <c r="N313" s="97"/>
      <c r="O313" s="97"/>
    </row>
    <row r="314" spans="1:15" ht="12.75">
      <c r="A314" s="225" t="s">
        <v>1431</v>
      </c>
      <c r="B314" s="227" t="s">
        <v>2289</v>
      </c>
      <c r="C314" s="243">
        <v>1992</v>
      </c>
      <c r="D314" s="243">
        <v>1317694</v>
      </c>
      <c r="E314" s="228" t="str">
        <f t="shared" si="14"/>
        <v>https://pubmed.ncbi.nlm.nih.gov/?term=1317694</v>
      </c>
      <c r="F314" s="226" t="s">
        <v>2299</v>
      </c>
      <c r="G314" s="226" t="s">
        <v>4001</v>
      </c>
      <c r="H314" s="226"/>
      <c r="I314" s="226"/>
      <c r="J314" s="226" t="s">
        <v>308</v>
      </c>
      <c r="K314" s="226" t="s">
        <v>4313</v>
      </c>
      <c r="L314" s="28" t="s">
        <v>4008</v>
      </c>
      <c r="M314" s="97"/>
      <c r="N314" s="97"/>
      <c r="O314" s="97"/>
    </row>
    <row r="315" spans="1:15" ht="12.75">
      <c r="A315" s="225" t="s">
        <v>1431</v>
      </c>
      <c r="B315" s="227" t="s">
        <v>2289</v>
      </c>
      <c r="C315" s="243">
        <v>1992</v>
      </c>
      <c r="D315" s="243">
        <v>1323974</v>
      </c>
      <c r="E315" s="228" t="str">
        <f t="shared" si="14"/>
        <v>https://pubmed.ncbi.nlm.nih.gov/?term=1323974</v>
      </c>
      <c r="F315" s="226" t="s">
        <v>2309</v>
      </c>
      <c r="G315" s="226" t="s">
        <v>4001</v>
      </c>
      <c r="H315" s="226"/>
      <c r="I315" s="226"/>
      <c r="J315" s="226" t="s">
        <v>308</v>
      </c>
      <c r="K315" s="226" t="s">
        <v>4313</v>
      </c>
      <c r="L315" s="28" t="s">
        <v>4008</v>
      </c>
      <c r="M315" s="97"/>
      <c r="N315" s="97"/>
      <c r="O315" s="97"/>
    </row>
    <row r="316" spans="1:15" ht="12.75">
      <c r="A316" s="225" t="s">
        <v>1431</v>
      </c>
      <c r="B316" s="227" t="s">
        <v>2289</v>
      </c>
      <c r="C316" s="243">
        <v>2004</v>
      </c>
      <c r="D316" s="243">
        <v>15156472</v>
      </c>
      <c r="E316" s="228" t="str">
        <f t="shared" si="14"/>
        <v>https://pubmed.ncbi.nlm.nih.gov/?term=15156472</v>
      </c>
      <c r="F316" s="226" t="s">
        <v>2318</v>
      </c>
      <c r="G316" s="226" t="s">
        <v>4001</v>
      </c>
      <c r="H316" s="97"/>
      <c r="I316" s="97"/>
      <c r="J316" s="226" t="s">
        <v>308</v>
      </c>
      <c r="K316" s="97"/>
      <c r="L316" s="28" t="s">
        <v>4008</v>
      </c>
      <c r="M316" s="97"/>
      <c r="N316" s="97"/>
      <c r="O316" s="97"/>
    </row>
    <row r="317" spans="1:15" ht="12.75">
      <c r="A317" s="225" t="s">
        <v>1431</v>
      </c>
      <c r="B317" s="227" t="s">
        <v>2319</v>
      </c>
      <c r="C317" s="243">
        <v>1990</v>
      </c>
      <c r="D317" s="243">
        <v>1692807</v>
      </c>
      <c r="E317" s="228" t="str">
        <f t="shared" si="14"/>
        <v>https://pubmed.ncbi.nlm.nih.gov/?term=1692807</v>
      </c>
      <c r="F317" s="226" t="s">
        <v>2328</v>
      </c>
      <c r="G317" s="226" t="s">
        <v>4001</v>
      </c>
      <c r="H317" s="226"/>
      <c r="I317" s="226"/>
      <c r="J317" s="226" t="s">
        <v>308</v>
      </c>
      <c r="K317" s="226" t="s">
        <v>4394</v>
      </c>
      <c r="L317" s="28" t="s">
        <v>4008</v>
      </c>
      <c r="M317" s="97"/>
      <c r="N317" s="97"/>
      <c r="O317" s="97"/>
    </row>
    <row r="318" spans="1:15" ht="12.75">
      <c r="A318" s="225" t="s">
        <v>1431</v>
      </c>
      <c r="B318" s="227" t="s">
        <v>2333</v>
      </c>
      <c r="C318" s="243">
        <v>1984</v>
      </c>
      <c r="D318" s="243">
        <v>6531960</v>
      </c>
      <c r="E318" s="228" t="str">
        <f t="shared" si="14"/>
        <v>https://pubmed.ncbi.nlm.nih.gov/?term=6531960</v>
      </c>
      <c r="F318" s="226" t="s">
        <v>2338</v>
      </c>
      <c r="G318" s="226" t="s">
        <v>4001</v>
      </c>
      <c r="H318" s="226"/>
      <c r="I318" s="226"/>
      <c r="J318" s="226" t="s">
        <v>308</v>
      </c>
      <c r="K318" s="226" t="s">
        <v>4395</v>
      </c>
      <c r="L318" s="28" t="s">
        <v>4008</v>
      </c>
      <c r="M318" s="97"/>
      <c r="N318" s="97"/>
      <c r="O318" s="97"/>
    </row>
    <row r="319" spans="1:15" ht="12.75">
      <c r="A319" s="225" t="s">
        <v>1431</v>
      </c>
      <c r="B319" s="227" t="s">
        <v>2344</v>
      </c>
      <c r="C319" s="243">
        <v>1973</v>
      </c>
      <c r="D319" s="243">
        <v>4367686</v>
      </c>
      <c r="E319" s="228" t="str">
        <f t="shared" si="14"/>
        <v>https://pubmed.ncbi.nlm.nih.gov/?term=4367686</v>
      </c>
      <c r="F319" s="226" t="s">
        <v>2352</v>
      </c>
      <c r="G319" s="226" t="s">
        <v>4001</v>
      </c>
      <c r="H319" s="226" t="s">
        <v>308</v>
      </c>
      <c r="I319" s="282" t="s">
        <v>4020</v>
      </c>
      <c r="J319" s="226"/>
      <c r="K319" s="226" t="s">
        <v>4268</v>
      </c>
      <c r="L319" s="226"/>
      <c r="M319" s="97"/>
      <c r="N319" s="97"/>
      <c r="O319" s="97"/>
    </row>
    <row r="320" spans="1:15" ht="12.75">
      <c r="A320" s="225" t="s">
        <v>1431</v>
      </c>
      <c r="B320" s="227" t="s">
        <v>4396</v>
      </c>
      <c r="C320" s="243">
        <v>2003</v>
      </c>
      <c r="D320" s="243">
        <v>15088780</v>
      </c>
      <c r="E320" s="228" t="str">
        <f t="shared" si="14"/>
        <v>https://pubmed.ncbi.nlm.nih.gov/?term=15088780</v>
      </c>
      <c r="F320" s="226" t="s">
        <v>4397</v>
      </c>
      <c r="G320" s="226" t="s">
        <v>4001</v>
      </c>
      <c r="H320" s="226" t="s">
        <v>511</v>
      </c>
      <c r="I320" s="226" t="s">
        <v>4398</v>
      </c>
      <c r="J320" s="97"/>
      <c r="K320" s="97"/>
      <c r="L320" s="97"/>
      <c r="M320" s="97"/>
      <c r="N320" s="97"/>
      <c r="O320" s="97"/>
    </row>
    <row r="321" spans="1:15" ht="12.75">
      <c r="A321" s="225" t="s">
        <v>1431</v>
      </c>
      <c r="B321" s="227" t="s">
        <v>4399</v>
      </c>
      <c r="C321" s="243">
        <v>2000</v>
      </c>
      <c r="D321" s="243">
        <v>10697061</v>
      </c>
      <c r="E321" s="228" t="str">
        <f t="shared" si="14"/>
        <v>https://pubmed.ncbi.nlm.nih.gov/?term=10697061</v>
      </c>
      <c r="F321" s="226" t="s">
        <v>4400</v>
      </c>
      <c r="G321" s="226" t="s">
        <v>4001</v>
      </c>
      <c r="H321" s="226" t="s">
        <v>308</v>
      </c>
      <c r="I321" s="226" t="s">
        <v>4369</v>
      </c>
      <c r="J321" s="97"/>
      <c r="K321" s="97"/>
      <c r="L321" s="97"/>
      <c r="M321" s="97"/>
      <c r="N321" s="97"/>
      <c r="O321" s="97"/>
    </row>
    <row r="322" spans="1:15" ht="12.75">
      <c r="A322" s="225" t="s">
        <v>1431</v>
      </c>
      <c r="B322" s="227" t="s">
        <v>4399</v>
      </c>
      <c r="C322" s="243">
        <v>2007</v>
      </c>
      <c r="D322" s="243">
        <v>17426277</v>
      </c>
      <c r="E322" s="228" t="str">
        <f t="shared" si="14"/>
        <v>https://pubmed.ncbi.nlm.nih.gov/?term=17426277</v>
      </c>
      <c r="F322" s="226" t="s">
        <v>4401</v>
      </c>
      <c r="G322" s="226" t="s">
        <v>4001</v>
      </c>
      <c r="H322" s="226" t="s">
        <v>308</v>
      </c>
      <c r="I322" s="226" t="s">
        <v>4369</v>
      </c>
      <c r="J322" s="97"/>
      <c r="K322" s="97"/>
      <c r="L322" s="97"/>
      <c r="M322" s="97"/>
      <c r="N322" s="97"/>
      <c r="O322" s="97"/>
    </row>
    <row r="323" spans="1:15" ht="12.75">
      <c r="A323" s="225" t="s">
        <v>1431</v>
      </c>
      <c r="B323" s="227" t="s">
        <v>2354</v>
      </c>
      <c r="C323" s="243">
        <v>2010</v>
      </c>
      <c r="D323" s="243">
        <v>20086085</v>
      </c>
      <c r="E323" s="228" t="str">
        <f t="shared" si="14"/>
        <v>https://pubmed.ncbi.nlm.nih.gov/?term=20086085</v>
      </c>
      <c r="F323" s="226" t="s">
        <v>2365</v>
      </c>
      <c r="G323" s="226" t="s">
        <v>4001</v>
      </c>
      <c r="H323" s="226"/>
      <c r="I323" s="226"/>
      <c r="J323" s="226" t="s">
        <v>308</v>
      </c>
      <c r="K323" s="226" t="s">
        <v>4402</v>
      </c>
      <c r="L323" s="28" t="s">
        <v>4008</v>
      </c>
      <c r="M323" s="97"/>
      <c r="N323" s="97"/>
      <c r="O323" s="97"/>
    </row>
    <row r="324" spans="1:15" ht="12.75">
      <c r="A324" s="225" t="s">
        <v>1431</v>
      </c>
      <c r="B324" s="227" t="s">
        <v>2371</v>
      </c>
      <c r="C324" s="243">
        <v>1984</v>
      </c>
      <c r="D324" s="243">
        <v>6099954</v>
      </c>
      <c r="E324" s="228" t="str">
        <f t="shared" si="14"/>
        <v>https://pubmed.ncbi.nlm.nih.gov/?term=6099954</v>
      </c>
      <c r="F324" s="226" t="s">
        <v>2377</v>
      </c>
      <c r="G324" s="226" t="s">
        <v>4001</v>
      </c>
      <c r="H324" s="226"/>
      <c r="I324" s="226"/>
      <c r="J324" s="226" t="s">
        <v>308</v>
      </c>
      <c r="K324" s="226" t="s">
        <v>4403</v>
      </c>
      <c r="L324" s="28" t="s">
        <v>4008</v>
      </c>
      <c r="M324" s="97"/>
      <c r="N324" s="97"/>
      <c r="O324" s="97"/>
    </row>
    <row r="325" spans="1:15" ht="12.75">
      <c r="A325" s="225" t="s">
        <v>1431</v>
      </c>
      <c r="B325" s="227" t="s">
        <v>2371</v>
      </c>
      <c r="C325" s="243">
        <v>2000</v>
      </c>
      <c r="D325" s="243">
        <v>11073753</v>
      </c>
      <c r="E325" s="228" t="str">
        <f t="shared" si="14"/>
        <v>https://pubmed.ncbi.nlm.nih.gov/?term=11073753</v>
      </c>
      <c r="F325" s="226" t="s">
        <v>2409</v>
      </c>
      <c r="G325" s="226" t="s">
        <v>4001</v>
      </c>
      <c r="H325" s="226"/>
      <c r="I325" s="226"/>
      <c r="J325" s="226" t="s">
        <v>308</v>
      </c>
      <c r="K325" s="226" t="s">
        <v>4404</v>
      </c>
      <c r="L325" s="28" t="s">
        <v>4008</v>
      </c>
      <c r="M325" s="97"/>
      <c r="N325" s="97"/>
      <c r="O325" s="97"/>
    </row>
    <row r="326" spans="1:15" ht="12.75">
      <c r="A326" s="225" t="s">
        <v>1431</v>
      </c>
      <c r="B326" s="227" t="s">
        <v>2371</v>
      </c>
      <c r="C326" s="243">
        <v>2000</v>
      </c>
      <c r="D326" s="243">
        <v>10817735</v>
      </c>
      <c r="E326" s="228" t="str">
        <f t="shared" si="14"/>
        <v>https://pubmed.ncbi.nlm.nih.gov/?term=10817735</v>
      </c>
      <c r="F326" s="226" t="s">
        <v>2414</v>
      </c>
      <c r="G326" s="226" t="s">
        <v>4001</v>
      </c>
      <c r="H326" s="97"/>
      <c r="I326" s="97"/>
      <c r="J326" s="226" t="s">
        <v>308</v>
      </c>
      <c r="K326" s="226" t="s">
        <v>4405</v>
      </c>
      <c r="L326" s="28" t="s">
        <v>4008</v>
      </c>
      <c r="M326" s="97"/>
      <c r="N326" s="97"/>
      <c r="O326" s="97"/>
    </row>
    <row r="327" spans="1:15" ht="12.75">
      <c r="A327" s="225" t="s">
        <v>1431</v>
      </c>
      <c r="B327" s="227" t="s">
        <v>2371</v>
      </c>
      <c r="C327" s="243">
        <v>1999</v>
      </c>
      <c r="D327" s="243">
        <v>10340366</v>
      </c>
      <c r="E327" s="228" t="str">
        <f t="shared" si="14"/>
        <v>https://pubmed.ncbi.nlm.nih.gov/?term=10340366</v>
      </c>
      <c r="F327" s="226" t="s">
        <v>2403</v>
      </c>
      <c r="G327" s="226" t="s">
        <v>4001</v>
      </c>
      <c r="H327" s="226"/>
      <c r="I327" s="226"/>
      <c r="J327" s="226" t="s">
        <v>308</v>
      </c>
      <c r="K327" s="226" t="s">
        <v>4406</v>
      </c>
      <c r="L327" s="28" t="s">
        <v>4008</v>
      </c>
      <c r="M327" s="97"/>
      <c r="N327" s="97"/>
      <c r="O327" s="97"/>
    </row>
    <row r="328" spans="1:15" ht="12.75">
      <c r="A328" s="225" t="s">
        <v>1431</v>
      </c>
      <c r="B328" s="227" t="s">
        <v>2371</v>
      </c>
      <c r="C328" s="243">
        <v>1993</v>
      </c>
      <c r="D328" s="243">
        <v>8383943</v>
      </c>
      <c r="E328" s="228" t="str">
        <f t="shared" si="14"/>
        <v>https://pubmed.ncbi.nlm.nih.gov/?term=8383943</v>
      </c>
      <c r="F328" s="226" t="s">
        <v>2388</v>
      </c>
      <c r="G328" s="226" t="s">
        <v>4001</v>
      </c>
      <c r="H328" s="226"/>
      <c r="I328" s="226"/>
      <c r="J328" s="226" t="s">
        <v>308</v>
      </c>
      <c r="K328" s="226" t="s">
        <v>4407</v>
      </c>
      <c r="L328" s="28" t="s">
        <v>4008</v>
      </c>
      <c r="M328" s="97"/>
      <c r="N328" s="97"/>
      <c r="O328" s="97"/>
    </row>
    <row r="329" spans="1:15" ht="12.75">
      <c r="A329" s="225" t="s">
        <v>1431</v>
      </c>
      <c r="B329" s="227" t="s">
        <v>2371</v>
      </c>
      <c r="C329" s="243">
        <v>2005</v>
      </c>
      <c r="D329" s="243">
        <v>16049208</v>
      </c>
      <c r="E329" s="228" t="str">
        <f t="shared" si="14"/>
        <v>https://pubmed.ncbi.nlm.nih.gov/?term=16049208</v>
      </c>
      <c r="F329" s="226" t="s">
        <v>2431</v>
      </c>
      <c r="G329" s="226" t="s">
        <v>4001</v>
      </c>
      <c r="H329" s="226"/>
      <c r="I329" s="226"/>
      <c r="J329" s="226" t="s">
        <v>308</v>
      </c>
      <c r="K329" s="226" t="s">
        <v>4406</v>
      </c>
      <c r="L329" s="28" t="s">
        <v>4008</v>
      </c>
      <c r="M329" s="97"/>
      <c r="N329" s="97"/>
      <c r="O329" s="97"/>
    </row>
    <row r="330" spans="1:15" ht="12.75">
      <c r="A330" s="225" t="s">
        <v>1431</v>
      </c>
      <c r="B330" s="227" t="s">
        <v>2371</v>
      </c>
      <c r="C330" s="243">
        <v>2000</v>
      </c>
      <c r="D330" s="243">
        <v>11073753</v>
      </c>
      <c r="E330" s="228" t="str">
        <f t="shared" si="14"/>
        <v>https://pubmed.ncbi.nlm.nih.gov/?term=11073753</v>
      </c>
      <c r="F330" s="226" t="s">
        <v>4408</v>
      </c>
      <c r="G330" s="226" t="s">
        <v>4001</v>
      </c>
      <c r="H330" s="226" t="s">
        <v>308</v>
      </c>
      <c r="I330" s="226" t="s">
        <v>4409</v>
      </c>
      <c r="J330" s="97"/>
      <c r="K330" s="97"/>
      <c r="L330" s="97"/>
      <c r="M330" s="97"/>
      <c r="N330" s="97"/>
      <c r="O330" s="97"/>
    </row>
    <row r="331" spans="1:15" ht="12.75">
      <c r="A331" s="225" t="s">
        <v>1431</v>
      </c>
      <c r="B331" s="227" t="s">
        <v>2371</v>
      </c>
      <c r="C331" s="243">
        <v>2001</v>
      </c>
      <c r="D331" s="243">
        <v>11692298</v>
      </c>
      <c r="E331" s="228" t="str">
        <f t="shared" si="14"/>
        <v>https://pubmed.ncbi.nlm.nih.gov/?term=11692298</v>
      </c>
      <c r="F331" s="226" t="s">
        <v>2422</v>
      </c>
      <c r="G331" s="226" t="s">
        <v>4001</v>
      </c>
      <c r="H331" s="97"/>
      <c r="I331" s="97"/>
      <c r="J331" s="226" t="s">
        <v>308</v>
      </c>
      <c r="K331" s="226" t="s">
        <v>4410</v>
      </c>
      <c r="L331" s="28" t="s">
        <v>4008</v>
      </c>
      <c r="M331" s="97"/>
      <c r="N331" s="97"/>
      <c r="O331" s="97"/>
    </row>
    <row r="332" spans="1:15" ht="12.75">
      <c r="A332" s="225" t="s">
        <v>1431</v>
      </c>
      <c r="B332" s="227" t="s">
        <v>2432</v>
      </c>
      <c r="C332" s="243">
        <v>1993</v>
      </c>
      <c r="D332" s="243">
        <v>8394240</v>
      </c>
      <c r="E332" s="228" t="str">
        <f t="shared" si="14"/>
        <v>https://pubmed.ncbi.nlm.nih.gov/?term=8394240</v>
      </c>
      <c r="F332" s="226" t="s">
        <v>2440</v>
      </c>
      <c r="G332" s="226" t="s">
        <v>4001</v>
      </c>
      <c r="H332" s="295"/>
      <c r="I332" s="304"/>
      <c r="J332" s="226" t="s">
        <v>308</v>
      </c>
      <c r="K332" s="226" t="s">
        <v>4411</v>
      </c>
      <c r="L332" s="28" t="s">
        <v>4008</v>
      </c>
      <c r="M332" s="97"/>
      <c r="N332" s="97"/>
      <c r="O332" s="97"/>
    </row>
    <row r="333" spans="1:15" ht="12.75">
      <c r="A333" s="225" t="s">
        <v>2440</v>
      </c>
      <c r="B333" s="225" t="s">
        <v>1609</v>
      </c>
      <c r="C333" s="301">
        <v>1991</v>
      </c>
      <c r="D333" s="301">
        <v>1713648</v>
      </c>
      <c r="E333" s="253" t="s">
        <v>4412</v>
      </c>
      <c r="F333" s="226" t="s">
        <v>4413</v>
      </c>
      <c r="G333" s="226" t="s">
        <v>4001</v>
      </c>
      <c r="H333" s="226" t="s">
        <v>308</v>
      </c>
      <c r="I333" s="304" t="s">
        <v>4414</v>
      </c>
      <c r="J333" s="97"/>
      <c r="K333" s="97"/>
      <c r="L333" s="28" t="s">
        <v>4019</v>
      </c>
      <c r="M333" s="97"/>
      <c r="N333" s="97"/>
      <c r="O333" s="97"/>
    </row>
    <row r="334" spans="1:15" ht="12.75">
      <c r="A334" s="225" t="s">
        <v>1431</v>
      </c>
      <c r="B334" s="227" t="s">
        <v>4415</v>
      </c>
      <c r="C334" s="243">
        <v>1990</v>
      </c>
      <c r="D334" s="243">
        <v>1692813</v>
      </c>
      <c r="E334" s="228" t="str">
        <f t="shared" ref="E334:E345" si="15">"https://pubmed.ncbi.nlm.nih.gov/?term="&amp;D334</f>
        <v>https://pubmed.ncbi.nlm.nih.gov/?term=1692813</v>
      </c>
      <c r="F334" s="226" t="s">
        <v>4416</v>
      </c>
      <c r="G334" s="226" t="s">
        <v>4001</v>
      </c>
      <c r="H334" s="226" t="s">
        <v>308</v>
      </c>
      <c r="I334" s="226" t="s">
        <v>4417</v>
      </c>
      <c r="J334" s="97"/>
      <c r="K334" s="97"/>
      <c r="L334" s="28" t="s">
        <v>4019</v>
      </c>
      <c r="M334" s="97"/>
      <c r="N334" s="97"/>
      <c r="O334" s="97"/>
    </row>
    <row r="335" spans="1:15" ht="12.75">
      <c r="A335" s="225" t="s">
        <v>1431</v>
      </c>
      <c r="B335" s="227" t="s">
        <v>4415</v>
      </c>
      <c r="C335" s="243">
        <v>1990</v>
      </c>
      <c r="D335" s="243">
        <v>1692813</v>
      </c>
      <c r="E335" s="228" t="str">
        <f t="shared" si="15"/>
        <v>https://pubmed.ncbi.nlm.nih.gov/?term=1692813</v>
      </c>
      <c r="F335" s="226" t="s">
        <v>4010</v>
      </c>
      <c r="G335" s="226" t="s">
        <v>4079</v>
      </c>
      <c r="H335" s="226" t="s">
        <v>511</v>
      </c>
      <c r="I335" s="226" t="s">
        <v>4256</v>
      </c>
      <c r="J335" s="97"/>
      <c r="K335" s="97"/>
      <c r="L335" s="97"/>
      <c r="M335" s="97"/>
      <c r="N335" s="97"/>
      <c r="O335" s="97"/>
    </row>
    <row r="336" spans="1:15" ht="12.75">
      <c r="A336" s="225" t="s">
        <v>1431</v>
      </c>
      <c r="B336" s="227" t="s">
        <v>2446</v>
      </c>
      <c r="C336" s="243">
        <v>1997</v>
      </c>
      <c r="D336" s="243">
        <v>9395349</v>
      </c>
      <c r="E336" s="228" t="str">
        <f t="shared" si="15"/>
        <v>https://pubmed.ncbi.nlm.nih.gov/?term=9395349</v>
      </c>
      <c r="F336" s="226" t="s">
        <v>2457</v>
      </c>
      <c r="G336" s="226" t="s">
        <v>4001</v>
      </c>
      <c r="H336" s="226"/>
      <c r="I336" s="226"/>
      <c r="J336" s="226" t="s">
        <v>308</v>
      </c>
      <c r="K336" s="226" t="s">
        <v>4418</v>
      </c>
      <c r="L336" s="28" t="s">
        <v>4008</v>
      </c>
      <c r="M336" s="97"/>
      <c r="N336" s="97"/>
      <c r="O336" s="97"/>
    </row>
    <row r="337" spans="1:31" ht="12.75">
      <c r="A337" s="225" t="s">
        <v>1431</v>
      </c>
      <c r="B337" s="227" t="s">
        <v>2463</v>
      </c>
      <c r="C337" s="243">
        <v>1997</v>
      </c>
      <c r="D337" s="243">
        <v>9140895</v>
      </c>
      <c r="E337" s="228" t="str">
        <f t="shared" si="15"/>
        <v>https://pubmed.ncbi.nlm.nih.gov/?term=9140895</v>
      </c>
      <c r="F337" s="226" t="s">
        <v>2471</v>
      </c>
      <c r="G337" s="226" t="s">
        <v>4001</v>
      </c>
      <c r="H337" s="226"/>
      <c r="I337" s="226"/>
      <c r="J337" s="226" t="s">
        <v>308</v>
      </c>
      <c r="K337" s="226" t="s">
        <v>4419</v>
      </c>
      <c r="L337" s="28" t="s">
        <v>4008</v>
      </c>
      <c r="M337" s="97"/>
      <c r="N337" s="97"/>
      <c r="O337" s="97"/>
    </row>
    <row r="338" spans="1:31" ht="12.75">
      <c r="A338" s="225" t="s">
        <v>1431</v>
      </c>
      <c r="B338" s="227" t="s">
        <v>2472</v>
      </c>
      <c r="C338" s="243">
        <v>2010</v>
      </c>
      <c r="D338" s="243">
        <v>21244738</v>
      </c>
      <c r="E338" s="228" t="str">
        <f t="shared" si="15"/>
        <v>https://pubmed.ncbi.nlm.nih.gov/?term=21244738</v>
      </c>
      <c r="F338" s="226" t="s">
        <v>2480</v>
      </c>
      <c r="G338" s="226" t="s">
        <v>4001</v>
      </c>
      <c r="H338" s="97"/>
      <c r="I338" s="97"/>
      <c r="J338" s="226" t="s">
        <v>308</v>
      </c>
      <c r="K338" s="97"/>
      <c r="L338" s="28" t="s">
        <v>4008</v>
      </c>
      <c r="M338" s="97"/>
      <c r="N338" s="97"/>
      <c r="O338" s="97"/>
    </row>
    <row r="339" spans="1:31" ht="12.75">
      <c r="A339" s="297" t="s">
        <v>1431</v>
      </c>
      <c r="B339" s="299" t="s">
        <v>2481</v>
      </c>
      <c r="C339" s="305">
        <v>1994</v>
      </c>
      <c r="D339" s="305">
        <v>8163832</v>
      </c>
      <c r="E339" s="228" t="str">
        <f t="shared" si="15"/>
        <v>https://pubmed.ncbi.nlm.nih.gov/?term=8163832</v>
      </c>
      <c r="F339" s="298" t="s">
        <v>2487</v>
      </c>
      <c r="G339" s="298" t="s">
        <v>4001</v>
      </c>
      <c r="H339" s="298"/>
      <c r="I339" s="298"/>
      <c r="J339" s="298" t="s">
        <v>308</v>
      </c>
      <c r="K339" s="298" t="s">
        <v>4420</v>
      </c>
      <c r="L339" s="28" t="s">
        <v>4008</v>
      </c>
      <c r="M339" s="291"/>
      <c r="N339" s="291"/>
      <c r="O339" s="291"/>
      <c r="P339" s="290"/>
      <c r="Q339" s="290"/>
      <c r="R339" s="290"/>
      <c r="S339" s="290"/>
      <c r="T339" s="290"/>
      <c r="U339" s="290"/>
      <c r="V339" s="290"/>
      <c r="W339" s="290"/>
      <c r="X339" s="290"/>
      <c r="Y339" s="290"/>
      <c r="Z339" s="290"/>
      <c r="AA339" s="290"/>
      <c r="AB339" s="290"/>
      <c r="AC339" s="290"/>
      <c r="AD339" s="290"/>
      <c r="AE339" s="290"/>
    </row>
    <row r="340" spans="1:31" ht="12.75">
      <c r="A340" s="225" t="s">
        <v>2501</v>
      </c>
      <c r="B340" s="306" t="s">
        <v>1130</v>
      </c>
      <c r="C340" s="307">
        <v>2020</v>
      </c>
      <c r="D340" s="307">
        <v>32239164</v>
      </c>
      <c r="E340" s="308" t="str">
        <f t="shared" si="15"/>
        <v>https://pubmed.ncbi.nlm.nih.gov/?term=32239164</v>
      </c>
      <c r="F340" s="226" t="s">
        <v>2502</v>
      </c>
      <c r="G340" s="226" t="s">
        <v>4001</v>
      </c>
      <c r="H340" s="226"/>
      <c r="I340" s="226"/>
      <c r="J340" s="226" t="s">
        <v>308</v>
      </c>
      <c r="K340" s="226"/>
      <c r="L340" s="28" t="s">
        <v>4008</v>
      </c>
      <c r="M340" s="97"/>
      <c r="N340" s="97"/>
      <c r="O340" s="97"/>
    </row>
    <row r="341" spans="1:31" ht="12.75">
      <c r="A341" s="225" t="s">
        <v>2501</v>
      </c>
      <c r="B341" s="306" t="s">
        <v>4421</v>
      </c>
      <c r="C341" s="307">
        <v>2021</v>
      </c>
      <c r="D341" s="307">
        <v>32621741</v>
      </c>
      <c r="E341" s="219" t="str">
        <f t="shared" si="15"/>
        <v>https://pubmed.ncbi.nlm.nih.gov/?term=32621741</v>
      </c>
      <c r="F341" s="226" t="s">
        <v>4318</v>
      </c>
      <c r="G341" s="226" t="s">
        <v>4001</v>
      </c>
      <c r="H341" s="226" t="s">
        <v>308</v>
      </c>
      <c r="I341" s="226" t="s">
        <v>4422</v>
      </c>
      <c r="J341" s="226"/>
      <c r="K341" s="226"/>
      <c r="L341" s="226"/>
      <c r="M341" s="97"/>
      <c r="N341" s="97"/>
      <c r="O341" s="97"/>
    </row>
    <row r="342" spans="1:31" ht="12.75">
      <c r="A342" s="225" t="s">
        <v>2501</v>
      </c>
      <c r="B342" s="306" t="s">
        <v>1331</v>
      </c>
      <c r="C342" s="307">
        <v>2021</v>
      </c>
      <c r="D342" s="307">
        <v>33862589</v>
      </c>
      <c r="E342" s="219" t="str">
        <f t="shared" si="15"/>
        <v>https://pubmed.ncbi.nlm.nih.gov/?term=33862589</v>
      </c>
      <c r="F342" s="226" t="s">
        <v>2516</v>
      </c>
      <c r="G342" s="226" t="s">
        <v>4423</v>
      </c>
      <c r="H342" s="226"/>
      <c r="I342" s="226"/>
      <c r="J342" s="226" t="s">
        <v>308</v>
      </c>
      <c r="K342" s="226" t="s">
        <v>4424</v>
      </c>
      <c r="L342" s="28" t="s">
        <v>4008</v>
      </c>
      <c r="M342" s="97"/>
      <c r="N342" s="97"/>
      <c r="O342" s="97"/>
    </row>
    <row r="343" spans="1:31" ht="12.75">
      <c r="A343" s="225" t="s">
        <v>2501</v>
      </c>
      <c r="B343" s="306" t="s">
        <v>2517</v>
      </c>
      <c r="C343" s="307">
        <v>2021</v>
      </c>
      <c r="D343" s="307">
        <v>34419209</v>
      </c>
      <c r="E343" s="219" t="str">
        <f t="shared" si="15"/>
        <v>https://pubmed.ncbi.nlm.nih.gov/?term=34419209</v>
      </c>
      <c r="F343" s="226" t="s">
        <v>2529</v>
      </c>
      <c r="G343" s="226" t="s">
        <v>4001</v>
      </c>
      <c r="H343" s="226"/>
      <c r="I343" s="226"/>
      <c r="J343" s="226" t="s">
        <v>308</v>
      </c>
      <c r="K343" s="226" t="s">
        <v>4425</v>
      </c>
      <c r="L343" s="28" t="s">
        <v>4008</v>
      </c>
      <c r="M343" s="97"/>
      <c r="N343" s="97"/>
      <c r="O343" s="97"/>
    </row>
    <row r="344" spans="1:31" ht="12.75">
      <c r="A344" s="225" t="s">
        <v>2501</v>
      </c>
      <c r="B344" s="306" t="s">
        <v>2542</v>
      </c>
      <c r="C344" s="307">
        <v>2021</v>
      </c>
      <c r="D344" s="307">
        <v>34430837</v>
      </c>
      <c r="E344" s="219" t="str">
        <f t="shared" si="15"/>
        <v>https://pubmed.ncbi.nlm.nih.gov/?term=34430837</v>
      </c>
      <c r="F344" s="226" t="s">
        <v>2557</v>
      </c>
      <c r="G344" s="226" t="s">
        <v>4001</v>
      </c>
      <c r="H344" s="226"/>
      <c r="I344" s="226"/>
      <c r="J344" s="226" t="s">
        <v>308</v>
      </c>
      <c r="K344" s="226" t="s">
        <v>4426</v>
      </c>
      <c r="L344" s="28" t="s">
        <v>4008</v>
      </c>
      <c r="M344" s="97"/>
      <c r="N344" s="97"/>
      <c r="O344" s="97"/>
    </row>
    <row r="345" spans="1:31" ht="12.75">
      <c r="A345" s="225" t="s">
        <v>2501</v>
      </c>
      <c r="B345" s="306" t="s">
        <v>2558</v>
      </c>
      <c r="C345" s="307">
        <v>2021</v>
      </c>
      <c r="D345" s="307">
        <v>34264864</v>
      </c>
      <c r="E345" s="219" t="str">
        <f t="shared" si="15"/>
        <v>https://pubmed.ncbi.nlm.nih.gov/?term=34264864</v>
      </c>
      <c r="F345" s="226" t="s">
        <v>2571</v>
      </c>
      <c r="G345" s="226" t="s">
        <v>4001</v>
      </c>
      <c r="H345" s="226"/>
      <c r="I345" s="226"/>
      <c r="J345" s="226" t="s">
        <v>308</v>
      </c>
      <c r="K345" s="226" t="s">
        <v>4427</v>
      </c>
      <c r="L345" s="28" t="s">
        <v>4008</v>
      </c>
      <c r="M345" s="97"/>
      <c r="N345" s="97"/>
      <c r="O345" s="97"/>
    </row>
    <row r="346" spans="1:31" ht="12.75">
      <c r="A346" s="309" t="s">
        <v>3212</v>
      </c>
      <c r="B346" s="309" t="s">
        <v>3203</v>
      </c>
      <c r="C346" s="310">
        <v>1974</v>
      </c>
      <c r="D346" s="311">
        <v>4593870</v>
      </c>
      <c r="E346" s="312" t="s">
        <v>3205</v>
      </c>
      <c r="F346" s="313" t="s">
        <v>3213</v>
      </c>
      <c r="G346" s="313" t="s">
        <v>4428</v>
      </c>
      <c r="H346" s="313" t="s">
        <v>308</v>
      </c>
      <c r="I346" s="314" t="s">
        <v>4020</v>
      </c>
      <c r="J346" s="313"/>
      <c r="K346" s="313" t="s">
        <v>4268</v>
      </c>
      <c r="L346" s="313"/>
      <c r="M346" s="315"/>
      <c r="N346" s="315"/>
      <c r="O346" s="315"/>
      <c r="P346" s="315"/>
      <c r="Q346" s="315"/>
      <c r="R346" s="315"/>
      <c r="S346" s="315"/>
      <c r="T346" s="315"/>
      <c r="U346" s="315"/>
      <c r="V346" s="315"/>
      <c r="W346" s="315"/>
      <c r="X346" s="315"/>
      <c r="Y346" s="315"/>
      <c r="Z346" s="315"/>
      <c r="AA346" s="315"/>
      <c r="AB346" s="315"/>
      <c r="AC346" s="315"/>
      <c r="AD346" s="315"/>
      <c r="AE346" s="315"/>
    </row>
    <row r="347" spans="1:31" ht="12.75">
      <c r="A347" s="225" t="s">
        <v>3212</v>
      </c>
      <c r="B347" s="225" t="s">
        <v>3214</v>
      </c>
      <c r="C347" s="301">
        <v>2014</v>
      </c>
      <c r="D347" s="93">
        <v>25070995</v>
      </c>
      <c r="E347" s="316" t="s">
        <v>3215</v>
      </c>
      <c r="F347" s="226" t="s">
        <v>3227</v>
      </c>
      <c r="G347" s="226" t="s">
        <v>4429</v>
      </c>
      <c r="H347" s="226"/>
      <c r="I347" s="97"/>
      <c r="J347" s="226" t="s">
        <v>308</v>
      </c>
      <c r="K347" s="97"/>
      <c r="L347" s="28" t="s">
        <v>4008</v>
      </c>
      <c r="M347" s="97"/>
      <c r="N347" s="97"/>
      <c r="O347" s="97"/>
      <c r="P347" s="97"/>
      <c r="Q347" s="97"/>
      <c r="R347" s="97"/>
      <c r="S347" s="97"/>
      <c r="T347" s="97"/>
      <c r="U347" s="97"/>
      <c r="V347" s="97"/>
      <c r="W347" s="97"/>
      <c r="X347" s="97"/>
      <c r="Y347" s="97"/>
      <c r="Z347" s="97"/>
      <c r="AA347" s="97"/>
      <c r="AB347" s="97"/>
      <c r="AC347" s="97"/>
      <c r="AD347" s="97"/>
      <c r="AE347" s="97"/>
    </row>
    <row r="348" spans="1:31" ht="12.75">
      <c r="A348" s="225" t="s">
        <v>3212</v>
      </c>
      <c r="B348" s="225" t="s">
        <v>4430</v>
      </c>
      <c r="C348" s="301">
        <v>2014</v>
      </c>
      <c r="D348" s="93">
        <v>24872394</v>
      </c>
      <c r="E348" s="316" t="s">
        <v>4431</v>
      </c>
      <c r="F348" s="226" t="s">
        <v>4432</v>
      </c>
      <c r="G348" s="226" t="s">
        <v>4429</v>
      </c>
      <c r="H348" s="226" t="s">
        <v>511</v>
      </c>
      <c r="I348" s="226" t="s">
        <v>4433</v>
      </c>
      <c r="J348" s="97"/>
      <c r="K348" s="226" t="s">
        <v>4434</v>
      </c>
      <c r="L348" s="226"/>
      <c r="M348" s="97"/>
      <c r="N348" s="97"/>
      <c r="O348" s="97"/>
      <c r="P348" s="97"/>
      <c r="Q348" s="97"/>
      <c r="R348" s="97"/>
      <c r="S348" s="97"/>
      <c r="T348" s="97"/>
      <c r="U348" s="97"/>
      <c r="V348" s="97"/>
      <c r="W348" s="97"/>
      <c r="X348" s="97"/>
      <c r="Y348" s="97"/>
      <c r="Z348" s="97"/>
      <c r="AA348" s="97"/>
      <c r="AB348" s="97"/>
      <c r="AC348" s="97"/>
      <c r="AD348" s="97"/>
      <c r="AE348" s="97"/>
    </row>
    <row r="349" spans="1:31" ht="12.75">
      <c r="A349" s="225" t="s">
        <v>3212</v>
      </c>
      <c r="B349" s="225" t="s">
        <v>3234</v>
      </c>
      <c r="C349" s="301">
        <v>1992</v>
      </c>
      <c r="D349" s="93">
        <v>1621412</v>
      </c>
      <c r="E349" s="316" t="s">
        <v>3235</v>
      </c>
      <c r="F349" s="226" t="s">
        <v>4435</v>
      </c>
      <c r="G349" s="226" t="s">
        <v>4429</v>
      </c>
      <c r="H349" s="226"/>
      <c r="I349" s="97"/>
      <c r="J349" s="226" t="s">
        <v>308</v>
      </c>
      <c r="K349" s="97"/>
      <c r="L349" s="28" t="s">
        <v>4008</v>
      </c>
      <c r="M349" s="97"/>
      <c r="N349" s="97"/>
      <c r="O349" s="97"/>
      <c r="P349" s="97"/>
      <c r="Q349" s="97"/>
      <c r="R349" s="97"/>
      <c r="S349" s="97"/>
      <c r="T349" s="97"/>
      <c r="U349" s="97"/>
      <c r="V349" s="97"/>
      <c r="W349" s="97"/>
      <c r="X349" s="97"/>
      <c r="Y349" s="97"/>
      <c r="Z349" s="97"/>
      <c r="AA349" s="97"/>
      <c r="AB349" s="97"/>
      <c r="AC349" s="97"/>
      <c r="AD349" s="97"/>
      <c r="AE349" s="97"/>
    </row>
    <row r="350" spans="1:31" ht="12.75">
      <c r="A350" s="225" t="s">
        <v>3212</v>
      </c>
      <c r="B350" s="225" t="s">
        <v>2319</v>
      </c>
      <c r="C350" s="301">
        <v>1999</v>
      </c>
      <c r="D350" s="93">
        <v>10569747</v>
      </c>
      <c r="E350" s="316" t="s">
        <v>3244</v>
      </c>
      <c r="F350" s="226" t="s">
        <v>3245</v>
      </c>
      <c r="G350" s="226" t="s">
        <v>4436</v>
      </c>
      <c r="H350" s="226"/>
      <c r="I350" s="97"/>
      <c r="J350" s="295" t="s">
        <v>1770</v>
      </c>
      <c r="K350" s="226" t="s">
        <v>4437</v>
      </c>
      <c r="L350" s="28" t="s">
        <v>4008</v>
      </c>
      <c r="M350" s="97"/>
      <c r="N350" s="97"/>
      <c r="O350" s="97"/>
      <c r="P350" s="97"/>
      <c r="Q350" s="97"/>
      <c r="R350" s="97"/>
      <c r="S350" s="97"/>
      <c r="T350" s="97"/>
      <c r="U350" s="97"/>
      <c r="V350" s="97"/>
      <c r="W350" s="97"/>
      <c r="X350" s="97"/>
      <c r="Y350" s="97"/>
      <c r="Z350" s="97"/>
      <c r="AA350" s="97"/>
      <c r="AB350" s="97"/>
      <c r="AC350" s="97"/>
      <c r="AD350" s="97"/>
      <c r="AE350" s="97"/>
    </row>
    <row r="351" spans="1:31" ht="12.75">
      <c r="A351" s="297" t="s">
        <v>3212</v>
      </c>
      <c r="B351" s="297" t="s">
        <v>4438</v>
      </c>
      <c r="C351" s="317">
        <v>2016</v>
      </c>
      <c r="D351" s="318">
        <v>26822406</v>
      </c>
      <c r="E351" s="319" t="s">
        <v>4439</v>
      </c>
      <c r="F351" s="298" t="s">
        <v>4440</v>
      </c>
      <c r="G351" s="298" t="s">
        <v>4001</v>
      </c>
      <c r="H351" s="298" t="s">
        <v>308</v>
      </c>
      <c r="I351" s="298" t="s">
        <v>4441</v>
      </c>
      <c r="J351" s="291"/>
      <c r="K351" s="291"/>
      <c r="L351" s="28" t="s">
        <v>4019</v>
      </c>
      <c r="M351" s="291"/>
      <c r="N351" s="291"/>
      <c r="O351" s="291"/>
      <c r="P351" s="291"/>
      <c r="Q351" s="291"/>
      <c r="R351" s="291"/>
      <c r="S351" s="291"/>
      <c r="T351" s="291"/>
      <c r="U351" s="291"/>
      <c r="V351" s="291"/>
      <c r="W351" s="291"/>
      <c r="X351" s="291"/>
      <c r="Y351" s="291"/>
      <c r="Z351" s="291"/>
      <c r="AA351" s="291"/>
      <c r="AB351" s="291"/>
      <c r="AC351" s="291"/>
      <c r="AD351" s="291"/>
      <c r="AE351" s="291"/>
    </row>
    <row r="352" spans="1:31" ht="12.75">
      <c r="A352" s="225" t="s">
        <v>3270</v>
      </c>
      <c r="B352" s="225" t="s">
        <v>3257</v>
      </c>
      <c r="C352" s="93">
        <v>2014</v>
      </c>
      <c r="D352" s="93">
        <v>24963662</v>
      </c>
      <c r="E352" s="261" t="s">
        <v>3258</v>
      </c>
      <c r="F352" s="225" t="s">
        <v>3271</v>
      </c>
      <c r="G352" s="263" t="s">
        <v>4001</v>
      </c>
      <c r="H352" s="263"/>
      <c r="I352" s="97"/>
      <c r="J352" s="226" t="s">
        <v>308</v>
      </c>
      <c r="K352" s="226" t="s">
        <v>4442</v>
      </c>
      <c r="L352" s="28" t="s">
        <v>4008</v>
      </c>
      <c r="M352" s="97"/>
      <c r="N352" s="97"/>
      <c r="O352" s="97"/>
      <c r="P352" s="97"/>
      <c r="Q352" s="97"/>
      <c r="R352" s="97"/>
      <c r="S352" s="97"/>
      <c r="T352" s="97"/>
      <c r="U352" s="97"/>
      <c r="V352" s="97"/>
      <c r="W352" s="97"/>
      <c r="X352" s="97"/>
      <c r="Y352" s="97"/>
      <c r="Z352" s="97"/>
      <c r="AA352" s="97"/>
      <c r="AB352" s="97"/>
      <c r="AC352" s="97"/>
      <c r="AD352" s="97"/>
      <c r="AE352" s="97"/>
    </row>
    <row r="353" spans="1:31" ht="12.75">
      <c r="A353" s="225" t="s">
        <v>3270</v>
      </c>
      <c r="B353" s="225" t="s">
        <v>3257</v>
      </c>
      <c r="C353" s="93">
        <v>2016</v>
      </c>
      <c r="D353" s="93">
        <v>27760143</v>
      </c>
      <c r="E353" s="261" t="s">
        <v>3272</v>
      </c>
      <c r="F353" s="225" t="s">
        <v>3285</v>
      </c>
      <c r="G353" s="263" t="s">
        <v>4001</v>
      </c>
      <c r="H353" s="263"/>
      <c r="I353" s="97"/>
      <c r="J353" s="226" t="s">
        <v>308</v>
      </c>
      <c r="K353" s="226" t="s">
        <v>4443</v>
      </c>
      <c r="L353" s="28" t="s">
        <v>4008</v>
      </c>
      <c r="M353" s="97"/>
      <c r="N353" s="97"/>
      <c r="O353" s="97"/>
      <c r="P353" s="97"/>
      <c r="Q353" s="97"/>
      <c r="R353" s="97"/>
      <c r="S353" s="97"/>
      <c r="T353" s="97"/>
      <c r="U353" s="97"/>
      <c r="V353" s="97"/>
      <c r="W353" s="97"/>
      <c r="X353" s="97"/>
      <c r="Y353" s="97"/>
      <c r="Z353" s="97"/>
      <c r="AA353" s="97"/>
      <c r="AB353" s="97"/>
      <c r="AC353" s="97"/>
      <c r="AD353" s="97"/>
      <c r="AE353" s="97"/>
    </row>
    <row r="354" spans="1:31" ht="12.75">
      <c r="A354" s="225" t="s">
        <v>3270</v>
      </c>
      <c r="B354" s="225" t="s">
        <v>4444</v>
      </c>
      <c r="C354" s="93">
        <v>2014</v>
      </c>
      <c r="D354" s="282" t="s">
        <v>4445</v>
      </c>
      <c r="E354" s="261" t="s">
        <v>4446</v>
      </c>
      <c r="F354" s="28" t="s">
        <v>4447</v>
      </c>
      <c r="G354" s="263" t="s">
        <v>4001</v>
      </c>
      <c r="H354" s="263" t="s">
        <v>308</v>
      </c>
      <c r="I354" s="226" t="s">
        <v>4448</v>
      </c>
      <c r="J354" s="97"/>
      <c r="K354" s="97"/>
      <c r="L354" s="97"/>
      <c r="M354" s="97"/>
      <c r="N354" s="97"/>
      <c r="O354" s="97"/>
      <c r="P354" s="97"/>
      <c r="Q354" s="97"/>
      <c r="R354" s="97"/>
      <c r="S354" s="97"/>
      <c r="T354" s="97"/>
      <c r="U354" s="97"/>
      <c r="V354" s="97"/>
      <c r="W354" s="97"/>
      <c r="X354" s="97"/>
      <c r="Y354" s="97"/>
      <c r="Z354" s="97"/>
      <c r="AA354" s="97"/>
      <c r="AB354" s="97"/>
      <c r="AC354" s="97"/>
      <c r="AD354" s="97"/>
      <c r="AE354" s="97"/>
    </row>
    <row r="355" spans="1:31" ht="12.75">
      <c r="A355" s="225" t="s">
        <v>3270</v>
      </c>
      <c r="B355" s="225" t="s">
        <v>3286</v>
      </c>
      <c r="C355" s="93">
        <v>1986</v>
      </c>
      <c r="D355" s="93">
        <v>3511753</v>
      </c>
      <c r="E355" s="261" t="s">
        <v>3288</v>
      </c>
      <c r="F355" s="28" t="s">
        <v>3293</v>
      </c>
      <c r="G355" s="263" t="s">
        <v>4001</v>
      </c>
      <c r="H355" s="263"/>
      <c r="I355" s="97"/>
      <c r="J355" s="226" t="s">
        <v>308</v>
      </c>
      <c r="K355" s="226" t="s">
        <v>4028</v>
      </c>
      <c r="L355" s="28" t="s">
        <v>4008</v>
      </c>
      <c r="M355" s="97"/>
      <c r="N355" s="97"/>
      <c r="O355" s="97"/>
      <c r="P355" s="97"/>
      <c r="Q355" s="97"/>
      <c r="R355" s="97"/>
      <c r="S355" s="97"/>
      <c r="T355" s="97"/>
      <c r="U355" s="97"/>
      <c r="V355" s="97"/>
      <c r="W355" s="97"/>
      <c r="X355" s="97"/>
      <c r="Y355" s="97"/>
      <c r="Z355" s="97"/>
      <c r="AA355" s="97"/>
      <c r="AB355" s="97"/>
      <c r="AC355" s="97"/>
      <c r="AD355" s="97"/>
      <c r="AE355" s="97"/>
    </row>
    <row r="356" spans="1:31" ht="12.75">
      <c r="A356" s="225" t="s">
        <v>3270</v>
      </c>
      <c r="B356" s="225" t="s">
        <v>3294</v>
      </c>
      <c r="C356" s="88">
        <v>2019</v>
      </c>
      <c r="D356" s="93">
        <v>30561539</v>
      </c>
      <c r="E356" s="261" t="s">
        <v>3296</v>
      </c>
      <c r="F356" s="28" t="s">
        <v>3309</v>
      </c>
      <c r="G356" s="263" t="s">
        <v>4001</v>
      </c>
      <c r="H356" s="248"/>
      <c r="I356" s="97"/>
      <c r="J356" s="226" t="s">
        <v>308</v>
      </c>
      <c r="K356" s="97"/>
      <c r="L356" s="28" t="s">
        <v>4008</v>
      </c>
      <c r="M356" s="97"/>
      <c r="N356" s="97"/>
      <c r="O356" s="97"/>
      <c r="P356" s="97"/>
      <c r="Q356" s="97"/>
      <c r="R356" s="97"/>
      <c r="S356" s="97"/>
      <c r="T356" s="97"/>
      <c r="U356" s="97"/>
      <c r="V356" s="97"/>
      <c r="W356" s="97"/>
      <c r="X356" s="97"/>
      <c r="Y356" s="97"/>
      <c r="Z356" s="97"/>
      <c r="AA356" s="97"/>
      <c r="AB356" s="97"/>
      <c r="AC356" s="97"/>
      <c r="AD356" s="97"/>
      <c r="AE356" s="97"/>
    </row>
    <row r="357" spans="1:31" ht="12.75">
      <c r="A357" s="225" t="s">
        <v>3270</v>
      </c>
      <c r="B357" s="225" t="s">
        <v>919</v>
      </c>
      <c r="C357" s="93">
        <v>2009</v>
      </c>
      <c r="D357" s="93">
        <v>19861603</v>
      </c>
      <c r="E357" s="261" t="s">
        <v>3310</v>
      </c>
      <c r="F357" s="28" t="s">
        <v>3317</v>
      </c>
      <c r="G357" s="263" t="s">
        <v>4001</v>
      </c>
      <c r="H357" s="263"/>
      <c r="I357" s="97"/>
      <c r="J357" s="226" t="s">
        <v>308</v>
      </c>
      <c r="K357" s="226" t="s">
        <v>4449</v>
      </c>
      <c r="L357" s="28" t="s">
        <v>4008</v>
      </c>
      <c r="M357" s="97"/>
      <c r="N357" s="97"/>
      <c r="O357" s="97"/>
      <c r="P357" s="97"/>
      <c r="Q357" s="97"/>
      <c r="R357" s="97"/>
      <c r="S357" s="97"/>
      <c r="T357" s="97"/>
      <c r="U357" s="97"/>
      <c r="V357" s="97"/>
      <c r="W357" s="97"/>
      <c r="X357" s="97"/>
      <c r="Y357" s="97"/>
      <c r="Z357" s="97"/>
      <c r="AA357" s="97"/>
      <c r="AB357" s="97"/>
      <c r="AC357" s="97"/>
      <c r="AD357" s="97"/>
      <c r="AE357" s="97"/>
    </row>
    <row r="358" spans="1:31" ht="12.75">
      <c r="A358" s="225" t="s">
        <v>3270</v>
      </c>
      <c r="B358" s="225" t="s">
        <v>3318</v>
      </c>
      <c r="C358" s="93">
        <v>2018</v>
      </c>
      <c r="D358" s="93">
        <v>29943719</v>
      </c>
      <c r="E358" s="261" t="s">
        <v>3320</v>
      </c>
      <c r="F358" s="28" t="s">
        <v>3333</v>
      </c>
      <c r="G358" s="263" t="s">
        <v>4001</v>
      </c>
      <c r="H358" s="263"/>
      <c r="I358" s="97"/>
      <c r="J358" s="226" t="s">
        <v>308</v>
      </c>
      <c r="K358" s="226" t="s">
        <v>4450</v>
      </c>
      <c r="L358" s="28" t="s">
        <v>4008</v>
      </c>
      <c r="M358" s="97"/>
      <c r="N358" s="97"/>
      <c r="O358" s="97"/>
      <c r="P358" s="97"/>
      <c r="Q358" s="97"/>
      <c r="R358" s="97"/>
      <c r="S358" s="97"/>
      <c r="T358" s="97"/>
      <c r="U358" s="97"/>
      <c r="V358" s="97"/>
      <c r="W358" s="97"/>
      <c r="X358" s="97"/>
      <c r="Y358" s="97"/>
      <c r="Z358" s="97"/>
      <c r="AA358" s="97"/>
      <c r="AB358" s="97"/>
      <c r="AC358" s="97"/>
      <c r="AD358" s="97"/>
      <c r="AE358" s="97"/>
    </row>
    <row r="359" spans="1:31" ht="12.75">
      <c r="A359" s="225" t="s">
        <v>3270</v>
      </c>
      <c r="B359" s="225" t="s">
        <v>4451</v>
      </c>
      <c r="C359" s="93">
        <v>2009</v>
      </c>
      <c r="D359" s="93">
        <v>19958549</v>
      </c>
      <c r="E359" s="261" t="s">
        <v>4452</v>
      </c>
      <c r="F359" s="28" t="s">
        <v>4318</v>
      </c>
      <c r="G359" s="263" t="s">
        <v>4001</v>
      </c>
      <c r="H359" s="263" t="s">
        <v>308</v>
      </c>
      <c r="I359" s="226" t="s">
        <v>65</v>
      </c>
      <c r="J359" s="97"/>
      <c r="K359" s="97"/>
      <c r="L359" s="97"/>
      <c r="M359" s="97"/>
      <c r="N359" s="97"/>
      <c r="O359" s="97"/>
      <c r="P359" s="97"/>
      <c r="Q359" s="97"/>
      <c r="R359" s="97"/>
      <c r="S359" s="97"/>
      <c r="T359" s="97"/>
      <c r="U359" s="97"/>
      <c r="V359" s="97"/>
      <c r="W359" s="97"/>
      <c r="X359" s="97"/>
      <c r="Y359" s="97"/>
      <c r="Z359" s="97"/>
      <c r="AA359" s="97"/>
      <c r="AB359" s="97"/>
      <c r="AC359" s="97"/>
      <c r="AD359" s="97"/>
      <c r="AE359" s="97"/>
    </row>
    <row r="360" spans="1:31" ht="12.75">
      <c r="A360" s="225" t="s">
        <v>3270</v>
      </c>
      <c r="B360" s="225" t="s">
        <v>1221</v>
      </c>
      <c r="C360" s="88">
        <v>2001</v>
      </c>
      <c r="D360" s="93">
        <v>11738758</v>
      </c>
      <c r="E360" s="261" t="s">
        <v>3337</v>
      </c>
      <c r="F360" s="28" t="s">
        <v>3345</v>
      </c>
      <c r="G360" s="263" t="s">
        <v>4001</v>
      </c>
      <c r="H360" s="263"/>
      <c r="I360" s="97"/>
      <c r="J360" s="295" t="s">
        <v>1770</v>
      </c>
      <c r="K360" s="226" t="s">
        <v>4453</v>
      </c>
      <c r="L360" s="28" t="s">
        <v>4008</v>
      </c>
      <c r="M360" s="97"/>
      <c r="N360" s="97"/>
      <c r="O360" s="97"/>
      <c r="P360" s="97"/>
      <c r="Q360" s="97"/>
      <c r="R360" s="97"/>
      <c r="S360" s="97"/>
      <c r="T360" s="97"/>
      <c r="U360" s="97"/>
      <c r="V360" s="97"/>
      <c r="W360" s="97"/>
      <c r="X360" s="97"/>
      <c r="Y360" s="97"/>
      <c r="Z360" s="97"/>
      <c r="AA360" s="97"/>
      <c r="AB360" s="97"/>
      <c r="AC360" s="97"/>
      <c r="AD360" s="97"/>
      <c r="AE360" s="97"/>
    </row>
    <row r="361" spans="1:31" ht="12.75">
      <c r="A361" s="309" t="s">
        <v>3359</v>
      </c>
      <c r="B361" s="320" t="s">
        <v>3188</v>
      </c>
      <c r="C361" s="311">
        <v>2015</v>
      </c>
      <c r="D361" s="311">
        <v>26041041</v>
      </c>
      <c r="E361" s="321" t="s">
        <v>4454</v>
      </c>
      <c r="F361" s="320" t="s">
        <v>4455</v>
      </c>
      <c r="G361" s="320" t="s">
        <v>4001</v>
      </c>
      <c r="H361" s="320" t="s">
        <v>308</v>
      </c>
      <c r="I361" s="106" t="s">
        <v>4456</v>
      </c>
      <c r="J361" s="42"/>
      <c r="K361" s="42"/>
      <c r="L361" s="28" t="s">
        <v>4019</v>
      </c>
      <c r="M361" s="42"/>
      <c r="N361" s="42"/>
      <c r="O361" s="42"/>
      <c r="P361" s="42"/>
      <c r="Q361" s="42"/>
      <c r="R361" s="42"/>
      <c r="S361" s="42"/>
      <c r="T361" s="42"/>
      <c r="U361" s="42"/>
      <c r="V361" s="42"/>
      <c r="W361" s="42"/>
      <c r="X361" s="42"/>
      <c r="Y361" s="42"/>
      <c r="Z361" s="42"/>
      <c r="AA361" s="42"/>
      <c r="AB361" s="42"/>
      <c r="AC361" s="42"/>
      <c r="AD361" s="42"/>
      <c r="AE361" s="42"/>
    </row>
    <row r="362" spans="1:31" ht="12.75">
      <c r="A362" s="225" t="s">
        <v>3359</v>
      </c>
      <c r="B362" s="225" t="s">
        <v>3346</v>
      </c>
      <c r="C362" s="93">
        <v>2005</v>
      </c>
      <c r="D362" s="93">
        <v>16430195</v>
      </c>
      <c r="E362" s="261" t="s">
        <v>3348</v>
      </c>
      <c r="F362" s="263" t="s">
        <v>3360</v>
      </c>
      <c r="G362" s="263" t="s">
        <v>4001</v>
      </c>
      <c r="H362" s="263"/>
      <c r="I362" s="97"/>
      <c r="J362" s="226" t="s">
        <v>308</v>
      </c>
      <c r="K362" s="226"/>
      <c r="L362" s="28" t="s">
        <v>4008</v>
      </c>
      <c r="M362" s="97"/>
      <c r="N362" s="97"/>
      <c r="O362" s="97"/>
      <c r="P362" s="97"/>
      <c r="Q362" s="97"/>
      <c r="R362" s="97"/>
      <c r="S362" s="97"/>
      <c r="T362" s="97"/>
      <c r="U362" s="97"/>
      <c r="V362" s="97"/>
      <c r="W362" s="97"/>
      <c r="X362" s="97"/>
      <c r="Y362" s="97"/>
      <c r="Z362" s="97"/>
      <c r="AA362" s="97"/>
      <c r="AB362" s="97"/>
      <c r="AC362" s="97"/>
      <c r="AD362" s="97"/>
      <c r="AE362" s="97"/>
    </row>
    <row r="363" spans="1:31" ht="12.75">
      <c r="A363" s="225" t="s">
        <v>3359</v>
      </c>
      <c r="B363" s="225" t="s">
        <v>3378</v>
      </c>
      <c r="C363" s="93">
        <v>2013</v>
      </c>
      <c r="D363" s="93">
        <v>24088113</v>
      </c>
      <c r="E363" s="261" t="s">
        <v>4457</v>
      </c>
      <c r="F363" s="263" t="s">
        <v>4458</v>
      </c>
      <c r="G363" s="263" t="s">
        <v>4001</v>
      </c>
      <c r="H363" s="263" t="s">
        <v>308</v>
      </c>
      <c r="I363" s="226" t="s">
        <v>4459</v>
      </c>
      <c r="J363" s="97"/>
      <c r="K363" s="97"/>
      <c r="L363" s="28" t="s">
        <v>4019</v>
      </c>
      <c r="M363" s="97"/>
      <c r="N363" s="97"/>
      <c r="O363" s="97"/>
      <c r="P363" s="97"/>
      <c r="Q363" s="97"/>
      <c r="R363" s="97"/>
      <c r="S363" s="97"/>
      <c r="T363" s="97"/>
      <c r="U363" s="97"/>
      <c r="V363" s="97"/>
      <c r="W363" s="97"/>
      <c r="X363" s="97"/>
      <c r="Y363" s="97"/>
      <c r="Z363" s="97"/>
      <c r="AA363" s="97"/>
      <c r="AB363" s="97"/>
      <c r="AC363" s="97"/>
      <c r="AD363" s="97"/>
      <c r="AE363" s="97"/>
    </row>
    <row r="364" spans="1:31" ht="12.75">
      <c r="A364" s="225" t="s">
        <v>3359</v>
      </c>
      <c r="B364" s="225" t="s">
        <v>3378</v>
      </c>
      <c r="C364" s="93">
        <v>2016</v>
      </c>
      <c r="D364" s="93">
        <v>26919472</v>
      </c>
      <c r="E364" s="261" t="s">
        <v>3379</v>
      </c>
      <c r="F364" s="263" t="s">
        <v>3392</v>
      </c>
      <c r="G364" s="263" t="s">
        <v>4001</v>
      </c>
      <c r="H364" s="263"/>
      <c r="I364" s="97"/>
      <c r="J364" s="226" t="s">
        <v>308</v>
      </c>
      <c r="K364" s="226" t="s">
        <v>4460</v>
      </c>
      <c r="L364" s="28" t="s">
        <v>4008</v>
      </c>
      <c r="M364" s="97"/>
      <c r="N364" s="97"/>
      <c r="O364" s="97"/>
      <c r="P364" s="97"/>
      <c r="Q364" s="97"/>
      <c r="R364" s="97"/>
      <c r="S364" s="97"/>
      <c r="T364" s="97"/>
      <c r="U364" s="97"/>
      <c r="V364" s="97"/>
      <c r="W364" s="97"/>
      <c r="X364" s="97"/>
      <c r="Y364" s="97"/>
      <c r="Z364" s="97"/>
      <c r="AA364" s="97"/>
      <c r="AB364" s="97"/>
      <c r="AC364" s="97"/>
      <c r="AD364" s="97"/>
      <c r="AE364" s="97"/>
    </row>
    <row r="365" spans="1:31" ht="12.75">
      <c r="A365" s="225" t="s">
        <v>3359</v>
      </c>
      <c r="B365" s="225" t="s">
        <v>4461</v>
      </c>
      <c r="C365" s="93">
        <v>1966</v>
      </c>
      <c r="D365" s="93">
        <v>5901572</v>
      </c>
      <c r="E365" s="261" t="s">
        <v>4462</v>
      </c>
      <c r="F365" s="263" t="s">
        <v>4318</v>
      </c>
      <c r="G365" s="263" t="s">
        <v>4001</v>
      </c>
      <c r="H365" s="263" t="s">
        <v>308</v>
      </c>
      <c r="I365" s="282" t="s">
        <v>4020</v>
      </c>
      <c r="J365" s="97"/>
      <c r="K365" s="97"/>
      <c r="L365" s="97"/>
      <c r="M365" s="97"/>
      <c r="N365" s="97"/>
      <c r="O365" s="97"/>
      <c r="P365" s="97"/>
      <c r="Q365" s="97"/>
      <c r="R365" s="97"/>
      <c r="S365" s="97"/>
      <c r="T365" s="97"/>
      <c r="U365" s="97"/>
      <c r="V365" s="97"/>
      <c r="W365" s="97"/>
      <c r="X365" s="97"/>
      <c r="Y365" s="97"/>
      <c r="Z365" s="97"/>
      <c r="AA365" s="97"/>
      <c r="AB365" s="97"/>
      <c r="AC365" s="97"/>
      <c r="AD365" s="97"/>
      <c r="AE365" s="97"/>
    </row>
    <row r="366" spans="1:31" ht="12.75">
      <c r="A366" s="225" t="s">
        <v>3359</v>
      </c>
      <c r="B366" s="263" t="s">
        <v>3137</v>
      </c>
      <c r="C366" s="93">
        <v>1982</v>
      </c>
      <c r="D366" s="93">
        <v>7051247</v>
      </c>
      <c r="E366" s="261" t="s">
        <v>3394</v>
      </c>
      <c r="F366" s="263" t="s">
        <v>3402</v>
      </c>
      <c r="G366" s="263" t="s">
        <v>4001</v>
      </c>
      <c r="H366" s="263"/>
      <c r="J366" s="28" t="s">
        <v>308</v>
      </c>
      <c r="K366" s="28" t="s">
        <v>4463</v>
      </c>
      <c r="L366" s="28" t="s">
        <v>4008</v>
      </c>
    </row>
    <row r="367" spans="1:31" ht="12.75">
      <c r="A367" s="225" t="s">
        <v>3359</v>
      </c>
      <c r="B367" s="263" t="s">
        <v>3403</v>
      </c>
      <c r="C367" s="93">
        <v>2006</v>
      </c>
      <c r="D367" s="93">
        <v>17123976</v>
      </c>
      <c r="E367" s="261" t="s">
        <v>3405</v>
      </c>
      <c r="F367" s="263" t="s">
        <v>3412</v>
      </c>
      <c r="G367" s="263" t="s">
        <v>4001</v>
      </c>
      <c r="H367" s="263"/>
      <c r="J367" s="28" t="s">
        <v>308</v>
      </c>
      <c r="K367" s="28" t="s">
        <v>899</v>
      </c>
      <c r="L367" s="28" t="s">
        <v>4008</v>
      </c>
    </row>
    <row r="368" spans="1:31" ht="12.75">
      <c r="A368" s="225" t="s">
        <v>3359</v>
      </c>
      <c r="B368" s="225" t="s">
        <v>4464</v>
      </c>
      <c r="C368" s="93">
        <v>1999</v>
      </c>
      <c r="D368" s="93">
        <v>12563811</v>
      </c>
      <c r="E368" s="261" t="s">
        <v>4465</v>
      </c>
      <c r="F368" s="263" t="s">
        <v>4318</v>
      </c>
      <c r="G368" s="263" t="s">
        <v>4001</v>
      </c>
      <c r="H368" s="263" t="s">
        <v>308</v>
      </c>
      <c r="I368" s="226" t="s">
        <v>4466</v>
      </c>
      <c r="J368" s="97"/>
      <c r="K368" s="97"/>
      <c r="L368" s="97"/>
      <c r="M368" s="97"/>
      <c r="N368" s="97"/>
      <c r="O368" s="97"/>
      <c r="P368" s="97"/>
      <c r="Q368" s="97"/>
      <c r="R368" s="97"/>
      <c r="S368" s="97"/>
      <c r="T368" s="97"/>
      <c r="U368" s="97"/>
      <c r="V368" s="97"/>
      <c r="W368" s="97"/>
      <c r="X368" s="97"/>
      <c r="Y368" s="97"/>
      <c r="Z368" s="97"/>
      <c r="AA368" s="97"/>
      <c r="AB368" s="97"/>
      <c r="AC368" s="97"/>
      <c r="AD368" s="97"/>
      <c r="AE368" s="97"/>
    </row>
    <row r="369" spans="1:31" ht="12.75">
      <c r="A369" s="225" t="s">
        <v>3359</v>
      </c>
      <c r="B369" s="225" t="s">
        <v>4467</v>
      </c>
      <c r="C369" s="93">
        <v>1950</v>
      </c>
      <c r="D369" s="93">
        <v>15404744</v>
      </c>
      <c r="E369" s="261" t="s">
        <v>4468</v>
      </c>
      <c r="F369" s="263" t="s">
        <v>4318</v>
      </c>
      <c r="G369" s="263" t="s">
        <v>4001</v>
      </c>
      <c r="H369" s="263" t="s">
        <v>308</v>
      </c>
      <c r="I369" s="282" t="s">
        <v>4020</v>
      </c>
      <c r="J369" s="97"/>
      <c r="K369" s="97"/>
      <c r="L369" s="97"/>
      <c r="M369" s="97"/>
      <c r="N369" s="97"/>
      <c r="O369" s="97"/>
      <c r="P369" s="97"/>
      <c r="Q369" s="97"/>
      <c r="R369" s="97"/>
      <c r="S369" s="97"/>
      <c r="T369" s="97"/>
      <c r="U369" s="97"/>
      <c r="V369" s="97"/>
      <c r="W369" s="97"/>
      <c r="X369" s="97"/>
      <c r="Y369" s="97"/>
      <c r="Z369" s="97"/>
      <c r="AA369" s="97"/>
      <c r="AB369" s="97"/>
      <c r="AC369" s="97"/>
      <c r="AD369" s="97"/>
      <c r="AE369" s="97"/>
    </row>
    <row r="370" spans="1:31" ht="12.75">
      <c r="A370" s="225" t="s">
        <v>3359</v>
      </c>
      <c r="B370" s="263" t="s">
        <v>3413</v>
      </c>
      <c r="C370" s="93">
        <v>2015</v>
      </c>
      <c r="D370" s="93">
        <v>26114410</v>
      </c>
      <c r="E370" s="261" t="s">
        <v>3415</v>
      </c>
      <c r="F370" s="263" t="s">
        <v>3427</v>
      </c>
      <c r="G370" s="263" t="s">
        <v>4001</v>
      </c>
      <c r="H370" s="263"/>
      <c r="J370" s="28" t="s">
        <v>308</v>
      </c>
      <c r="K370" s="28" t="s">
        <v>4469</v>
      </c>
      <c r="L370" s="28" t="s">
        <v>4008</v>
      </c>
    </row>
    <row r="371" spans="1:31" ht="12.75">
      <c r="A371" s="225" t="s">
        <v>3359</v>
      </c>
      <c r="B371" s="263" t="s">
        <v>3428</v>
      </c>
      <c r="C371" s="93">
        <v>2014</v>
      </c>
      <c r="D371" s="93">
        <v>25671106</v>
      </c>
      <c r="E371" s="261" t="s">
        <v>3430</v>
      </c>
      <c r="F371" s="263" t="s">
        <v>3436</v>
      </c>
      <c r="G371" s="263" t="s">
        <v>4001</v>
      </c>
      <c r="H371" s="263"/>
      <c r="J371" s="28" t="s">
        <v>308</v>
      </c>
      <c r="K371" s="28" t="s">
        <v>4225</v>
      </c>
      <c r="L371" s="28" t="s">
        <v>4008</v>
      </c>
    </row>
    <row r="372" spans="1:31" ht="12.75">
      <c r="A372" s="225" t="s">
        <v>3359</v>
      </c>
      <c r="B372" s="263" t="s">
        <v>3437</v>
      </c>
      <c r="C372" s="93">
        <v>2015</v>
      </c>
      <c r="D372" s="93">
        <v>25248819</v>
      </c>
      <c r="E372" s="261" t="s">
        <v>3439</v>
      </c>
      <c r="F372" s="263" t="s">
        <v>3446</v>
      </c>
      <c r="G372" s="263" t="s">
        <v>4470</v>
      </c>
      <c r="H372" s="322"/>
      <c r="J372" s="28" t="s">
        <v>308</v>
      </c>
      <c r="K372" s="28" t="s">
        <v>4471</v>
      </c>
      <c r="L372" s="28" t="s">
        <v>4008</v>
      </c>
    </row>
    <row r="373" spans="1:31" ht="12.75">
      <c r="A373" s="225" t="s">
        <v>3359</v>
      </c>
      <c r="B373" s="263" t="s">
        <v>3437</v>
      </c>
      <c r="C373" s="93">
        <v>2006</v>
      </c>
      <c r="D373" s="93">
        <v>16344586</v>
      </c>
      <c r="E373" s="261" t="s">
        <v>3448</v>
      </c>
      <c r="F373" s="263" t="s">
        <v>3453</v>
      </c>
      <c r="G373" s="263" t="s">
        <v>4001</v>
      </c>
      <c r="H373" s="263"/>
      <c r="J373" s="28" t="s">
        <v>308</v>
      </c>
      <c r="K373" s="28" t="s">
        <v>4472</v>
      </c>
      <c r="L373" s="28" t="s">
        <v>4008</v>
      </c>
    </row>
    <row r="374" spans="1:31" ht="12.75">
      <c r="A374" s="225" t="s">
        <v>3359</v>
      </c>
      <c r="B374" s="225" t="s">
        <v>4473</v>
      </c>
      <c r="C374" s="93">
        <v>1968</v>
      </c>
      <c r="D374" s="92" t="s">
        <v>699</v>
      </c>
      <c r="E374" s="261" t="s">
        <v>4474</v>
      </c>
      <c r="F374" s="263" t="s">
        <v>4318</v>
      </c>
      <c r="G374" s="263" t="s">
        <v>4001</v>
      </c>
      <c r="H374" s="263" t="s">
        <v>308</v>
      </c>
      <c r="I374" s="282" t="s">
        <v>4020</v>
      </c>
      <c r="J374" s="97"/>
      <c r="K374" s="97"/>
      <c r="L374" s="97"/>
      <c r="M374" s="97"/>
      <c r="N374" s="97"/>
      <c r="O374" s="97"/>
      <c r="P374" s="97"/>
      <c r="Q374" s="97"/>
      <c r="R374" s="97"/>
      <c r="S374" s="97"/>
      <c r="T374" s="97"/>
      <c r="U374" s="97"/>
      <c r="V374" s="97"/>
      <c r="W374" s="97"/>
      <c r="X374" s="97"/>
      <c r="Y374" s="97"/>
      <c r="Z374" s="97"/>
      <c r="AA374" s="97"/>
      <c r="AB374" s="97"/>
      <c r="AC374" s="97"/>
      <c r="AD374" s="97"/>
      <c r="AE374" s="97"/>
    </row>
    <row r="375" spans="1:31" ht="12.75">
      <c r="A375" s="225" t="s">
        <v>3359</v>
      </c>
      <c r="B375" s="263" t="s">
        <v>3456</v>
      </c>
      <c r="C375" s="93">
        <v>2015</v>
      </c>
      <c r="D375" s="93">
        <v>25814628</v>
      </c>
      <c r="E375" s="261" t="s">
        <v>3459</v>
      </c>
      <c r="F375" s="263" t="s">
        <v>3470</v>
      </c>
      <c r="G375" s="263" t="s">
        <v>4001</v>
      </c>
      <c r="H375" s="263"/>
      <c r="J375" s="28" t="s">
        <v>308</v>
      </c>
      <c r="K375" s="28" t="s">
        <v>4475</v>
      </c>
      <c r="L375" s="28" t="s">
        <v>4008</v>
      </c>
    </row>
    <row r="376" spans="1:31" ht="12.75">
      <c r="A376" s="225" t="s">
        <v>3359</v>
      </c>
      <c r="B376" s="225" t="s">
        <v>3478</v>
      </c>
      <c r="C376" s="93">
        <v>2012</v>
      </c>
      <c r="D376" s="93">
        <v>22052893</v>
      </c>
      <c r="E376" s="261" t="s">
        <v>3480</v>
      </c>
      <c r="F376" s="263" t="s">
        <v>3491</v>
      </c>
      <c r="G376" s="263" t="s">
        <v>4001</v>
      </c>
      <c r="H376" s="263"/>
      <c r="I376" s="97"/>
      <c r="J376" s="226" t="s">
        <v>308</v>
      </c>
      <c r="K376" s="226" t="s">
        <v>4225</v>
      </c>
      <c r="L376" s="28" t="s">
        <v>4008</v>
      </c>
      <c r="M376" s="97"/>
      <c r="N376" s="97"/>
      <c r="O376" s="97"/>
      <c r="P376" s="97"/>
      <c r="Q376" s="97"/>
      <c r="R376" s="97"/>
      <c r="S376" s="97"/>
      <c r="T376" s="97"/>
      <c r="U376" s="97"/>
      <c r="V376" s="97"/>
      <c r="W376" s="97"/>
      <c r="X376" s="97"/>
      <c r="Y376" s="97"/>
      <c r="Z376" s="97"/>
      <c r="AA376" s="97"/>
      <c r="AB376" s="97"/>
      <c r="AC376" s="97"/>
      <c r="AD376" s="97"/>
      <c r="AE376" s="97"/>
    </row>
    <row r="377" spans="1:31" ht="12.75">
      <c r="A377" s="225" t="s">
        <v>3359</v>
      </c>
      <c r="B377" s="263" t="s">
        <v>3492</v>
      </c>
      <c r="C377" s="93">
        <v>2017</v>
      </c>
      <c r="D377" s="93">
        <v>28158395</v>
      </c>
      <c r="E377" s="261" t="s">
        <v>3494</v>
      </c>
      <c r="F377" s="263" t="s">
        <v>3506</v>
      </c>
      <c r="G377" s="263" t="s">
        <v>4001</v>
      </c>
      <c r="H377" s="263"/>
      <c r="J377" s="28" t="s">
        <v>308</v>
      </c>
      <c r="K377" s="28" t="s">
        <v>4476</v>
      </c>
      <c r="L377" s="28" t="s">
        <v>4008</v>
      </c>
    </row>
    <row r="378" spans="1:31" ht="12.75">
      <c r="A378" s="225" t="s">
        <v>3359</v>
      </c>
      <c r="B378" s="225" t="s">
        <v>4477</v>
      </c>
      <c r="C378" s="93">
        <v>1971</v>
      </c>
      <c r="D378" s="93">
        <v>5111887</v>
      </c>
      <c r="E378" s="261" t="s">
        <v>4478</v>
      </c>
      <c r="F378" s="263" t="s">
        <v>4479</v>
      </c>
      <c r="G378" s="263" t="s">
        <v>4001</v>
      </c>
      <c r="H378" s="263" t="s">
        <v>308</v>
      </c>
      <c r="I378" s="282" t="s">
        <v>4020</v>
      </c>
      <c r="J378" s="97"/>
      <c r="K378" s="97"/>
      <c r="L378" s="97"/>
      <c r="M378" s="97"/>
      <c r="N378" s="97"/>
      <c r="O378" s="97"/>
      <c r="P378" s="97"/>
      <c r="Q378" s="97"/>
      <c r="R378" s="97"/>
      <c r="S378" s="97"/>
      <c r="T378" s="97"/>
      <c r="U378" s="97"/>
      <c r="V378" s="97"/>
      <c r="W378" s="97"/>
      <c r="X378" s="97"/>
      <c r="Y378" s="97"/>
      <c r="Z378" s="97"/>
      <c r="AA378" s="97"/>
      <c r="AB378" s="97"/>
      <c r="AC378" s="97"/>
      <c r="AD378" s="97"/>
      <c r="AE378" s="97"/>
    </row>
    <row r="379" spans="1:31" ht="12.75">
      <c r="A379" s="225" t="s">
        <v>3359</v>
      </c>
      <c r="B379" s="263" t="s">
        <v>2745</v>
      </c>
      <c r="C379" s="93">
        <v>1995</v>
      </c>
      <c r="D379" s="93">
        <v>7870140</v>
      </c>
      <c r="E379" s="261" t="s">
        <v>3507</v>
      </c>
      <c r="F379" s="263" t="s">
        <v>3512</v>
      </c>
      <c r="G379" s="263" t="s">
        <v>4001</v>
      </c>
      <c r="H379" s="263"/>
      <c r="J379" s="28" t="s">
        <v>308</v>
      </c>
      <c r="K379" s="28" t="s">
        <v>4028</v>
      </c>
      <c r="L379" s="28" t="s">
        <v>4008</v>
      </c>
    </row>
    <row r="380" spans="1:31" ht="12.75">
      <c r="A380" s="225" t="s">
        <v>3359</v>
      </c>
      <c r="B380" s="263" t="s">
        <v>3513</v>
      </c>
      <c r="C380" s="93">
        <v>1988</v>
      </c>
      <c r="D380" s="93">
        <v>3078739</v>
      </c>
      <c r="E380" s="261" t="s">
        <v>3515</v>
      </c>
      <c r="F380" s="263" t="s">
        <v>3523</v>
      </c>
      <c r="G380" s="263" t="s">
        <v>4001</v>
      </c>
      <c r="H380" s="263"/>
      <c r="J380" s="28" t="s">
        <v>308</v>
      </c>
      <c r="K380" s="28" t="s">
        <v>4480</v>
      </c>
      <c r="L380" s="28" t="s">
        <v>4008</v>
      </c>
    </row>
    <row r="381" spans="1:31" ht="12.75">
      <c r="A381" s="225" t="s">
        <v>3359</v>
      </c>
      <c r="B381" s="263" t="s">
        <v>3529</v>
      </c>
      <c r="C381" s="93">
        <v>2009</v>
      </c>
      <c r="D381" s="93">
        <v>19400893</v>
      </c>
      <c r="E381" s="261" t="s">
        <v>3531</v>
      </c>
      <c r="F381" s="263" t="s">
        <v>3542</v>
      </c>
      <c r="G381" s="263" t="s">
        <v>4001</v>
      </c>
      <c r="H381" s="263"/>
      <c r="J381" s="28" t="s">
        <v>308</v>
      </c>
      <c r="K381" s="28" t="s">
        <v>4481</v>
      </c>
      <c r="L381" s="28" t="s">
        <v>4008</v>
      </c>
    </row>
    <row r="382" spans="1:31" ht="12.75">
      <c r="A382" s="225" t="s">
        <v>3359</v>
      </c>
      <c r="B382" s="263" t="s">
        <v>3543</v>
      </c>
      <c r="C382" s="93">
        <v>2012</v>
      </c>
      <c r="D382" s="93">
        <v>22927452</v>
      </c>
      <c r="E382" s="261" t="s">
        <v>3545</v>
      </c>
      <c r="F382" s="263" t="s">
        <v>3557</v>
      </c>
      <c r="G382" s="263" t="s">
        <v>4001</v>
      </c>
      <c r="H382" s="263"/>
      <c r="J382" s="28" t="s">
        <v>308</v>
      </c>
      <c r="K382" s="28" t="s">
        <v>4482</v>
      </c>
      <c r="L382" s="28" t="s">
        <v>4008</v>
      </c>
    </row>
    <row r="383" spans="1:31" ht="12.75">
      <c r="A383" s="225" t="s">
        <v>3359</v>
      </c>
      <c r="B383" s="263" t="s">
        <v>3558</v>
      </c>
      <c r="C383" s="93">
        <v>2016</v>
      </c>
      <c r="D383" s="93">
        <v>25921341</v>
      </c>
      <c r="E383" s="261" t="s">
        <v>3560</v>
      </c>
      <c r="F383" s="263" t="s">
        <v>3566</v>
      </c>
      <c r="G383" s="263" t="s">
        <v>4001</v>
      </c>
      <c r="H383" s="263"/>
      <c r="J383" s="28" t="s">
        <v>308</v>
      </c>
      <c r="K383" s="28" t="s">
        <v>4483</v>
      </c>
      <c r="L383" s="28" t="s">
        <v>4008</v>
      </c>
    </row>
    <row r="384" spans="1:31" ht="12.75">
      <c r="A384" s="225" t="s">
        <v>3359</v>
      </c>
      <c r="B384" s="263" t="s">
        <v>3567</v>
      </c>
      <c r="C384" s="93">
        <v>1983</v>
      </c>
      <c r="D384" s="93">
        <v>6352386</v>
      </c>
      <c r="E384" s="261" t="s">
        <v>3569</v>
      </c>
      <c r="F384" s="263" t="s">
        <v>3579</v>
      </c>
      <c r="G384" s="263" t="s">
        <v>4001</v>
      </c>
      <c r="H384" s="263"/>
      <c r="J384" s="28" t="s">
        <v>308</v>
      </c>
      <c r="K384" s="28" t="s">
        <v>4484</v>
      </c>
      <c r="L384" s="28" t="s">
        <v>4008</v>
      </c>
    </row>
    <row r="385" spans="1:31" ht="12.75">
      <c r="A385" s="225" t="s">
        <v>3359</v>
      </c>
      <c r="B385" s="263" t="s">
        <v>3567</v>
      </c>
      <c r="C385" s="93">
        <v>2004</v>
      </c>
      <c r="D385" s="93">
        <v>15306577</v>
      </c>
      <c r="E385" s="261" t="s">
        <v>3582</v>
      </c>
      <c r="F385" s="263" t="s">
        <v>3590</v>
      </c>
      <c r="G385" s="263" t="s">
        <v>4001</v>
      </c>
      <c r="H385" s="263"/>
      <c r="J385" s="28" t="s">
        <v>308</v>
      </c>
      <c r="K385" s="28" t="s">
        <v>4485</v>
      </c>
      <c r="L385" s="28" t="s">
        <v>4008</v>
      </c>
    </row>
    <row r="386" spans="1:31" ht="12.75">
      <c r="A386" s="225" t="s">
        <v>3359</v>
      </c>
      <c r="B386" s="263" t="s">
        <v>3601</v>
      </c>
      <c r="C386" s="93">
        <v>2014</v>
      </c>
      <c r="D386" s="93">
        <v>24995531</v>
      </c>
      <c r="E386" s="261" t="s">
        <v>3610</v>
      </c>
      <c r="F386" s="263" t="s">
        <v>3615</v>
      </c>
      <c r="G386" s="263" t="s">
        <v>4001</v>
      </c>
      <c r="H386" s="323"/>
      <c r="J386" s="28" t="s">
        <v>308</v>
      </c>
      <c r="K386" s="28" t="s">
        <v>4486</v>
      </c>
      <c r="L386" s="28" t="s">
        <v>4008</v>
      </c>
    </row>
    <row r="387" spans="1:31" ht="12.75">
      <c r="A387" s="225" t="s">
        <v>3359</v>
      </c>
      <c r="B387" s="263" t="s">
        <v>3601</v>
      </c>
      <c r="C387" s="93">
        <v>2013</v>
      </c>
      <c r="D387" s="93">
        <v>23439027</v>
      </c>
      <c r="E387" s="261" t="s">
        <v>3603</v>
      </c>
      <c r="F387" s="263" t="s">
        <v>3608</v>
      </c>
      <c r="G387" s="263" t="s">
        <v>4001</v>
      </c>
      <c r="H387" s="322"/>
      <c r="J387" s="28" t="s">
        <v>308</v>
      </c>
      <c r="K387" s="28" t="s">
        <v>4487</v>
      </c>
      <c r="L387" s="28" t="s">
        <v>4008</v>
      </c>
    </row>
    <row r="388" spans="1:31" ht="12.75">
      <c r="A388" s="225" t="s">
        <v>3359</v>
      </c>
      <c r="B388" s="225" t="s">
        <v>3616</v>
      </c>
      <c r="C388" s="93">
        <v>2001</v>
      </c>
      <c r="D388" s="93">
        <v>11170976</v>
      </c>
      <c r="E388" s="261" t="s">
        <v>3617</v>
      </c>
      <c r="F388" s="263" t="s">
        <v>3622</v>
      </c>
      <c r="G388" s="263" t="s">
        <v>4001</v>
      </c>
      <c r="H388" s="263"/>
      <c r="I388" s="97"/>
      <c r="J388" s="226" t="s">
        <v>308</v>
      </c>
      <c r="K388" s="226" t="s">
        <v>4483</v>
      </c>
      <c r="L388" s="28" t="s">
        <v>4008</v>
      </c>
      <c r="M388" s="97"/>
      <c r="N388" s="97"/>
      <c r="O388" s="97"/>
      <c r="P388" s="97"/>
      <c r="Q388" s="97"/>
      <c r="R388" s="97"/>
      <c r="S388" s="97"/>
      <c r="T388" s="97"/>
      <c r="U388" s="97"/>
      <c r="V388" s="97"/>
      <c r="W388" s="97"/>
      <c r="X388" s="97"/>
      <c r="Y388" s="97"/>
      <c r="Z388" s="97"/>
      <c r="AA388" s="97"/>
      <c r="AB388" s="97"/>
      <c r="AC388" s="97"/>
      <c r="AD388" s="97"/>
      <c r="AE388" s="97"/>
    </row>
    <row r="389" spans="1:31" ht="12.75">
      <c r="A389" s="225" t="s">
        <v>3359</v>
      </c>
      <c r="B389" s="263" t="s">
        <v>3623</v>
      </c>
      <c r="C389" s="93">
        <v>2015</v>
      </c>
      <c r="D389" s="93">
        <v>25730467</v>
      </c>
      <c r="E389" s="261" t="s">
        <v>3625</v>
      </c>
      <c r="F389" s="263" t="s">
        <v>3631</v>
      </c>
      <c r="G389" s="263" t="s">
        <v>4001</v>
      </c>
      <c r="H389" s="263"/>
      <c r="J389" s="28" t="s">
        <v>308</v>
      </c>
      <c r="K389" s="28" t="s">
        <v>4488</v>
      </c>
      <c r="L389" s="28" t="s">
        <v>4008</v>
      </c>
    </row>
    <row r="390" spans="1:31" ht="12.75">
      <c r="A390" s="225" t="s">
        <v>3359</v>
      </c>
      <c r="B390" s="225" t="s">
        <v>4489</v>
      </c>
      <c r="C390" s="93">
        <v>1943</v>
      </c>
      <c r="D390" s="92" t="s">
        <v>699</v>
      </c>
      <c r="E390" s="261" t="s">
        <v>4490</v>
      </c>
      <c r="F390" s="263" t="s">
        <v>4318</v>
      </c>
      <c r="G390" s="263" t="s">
        <v>4001</v>
      </c>
      <c r="H390" s="263" t="s">
        <v>308</v>
      </c>
      <c r="I390" s="282" t="s">
        <v>4020</v>
      </c>
      <c r="J390" s="97"/>
      <c r="K390" s="97"/>
      <c r="L390" s="97"/>
      <c r="M390" s="97"/>
      <c r="N390" s="97"/>
      <c r="O390" s="97"/>
      <c r="P390" s="97"/>
      <c r="Q390" s="97"/>
      <c r="R390" s="97"/>
      <c r="S390" s="97"/>
      <c r="T390" s="97"/>
      <c r="U390" s="97"/>
      <c r="V390" s="97"/>
      <c r="W390" s="97"/>
      <c r="X390" s="97"/>
      <c r="Y390" s="97"/>
      <c r="Z390" s="97"/>
      <c r="AA390" s="97"/>
      <c r="AB390" s="97"/>
      <c r="AC390" s="97"/>
      <c r="AD390" s="97"/>
      <c r="AE390" s="97"/>
    </row>
    <row r="391" spans="1:31" ht="12.75">
      <c r="A391" s="225" t="s">
        <v>3359</v>
      </c>
      <c r="B391" s="225" t="s">
        <v>2656</v>
      </c>
      <c r="C391" s="93">
        <v>2002</v>
      </c>
      <c r="D391" s="93">
        <v>11930326</v>
      </c>
      <c r="E391" s="261" t="s">
        <v>4491</v>
      </c>
      <c r="F391" s="263" t="s">
        <v>4492</v>
      </c>
      <c r="G391" s="263" t="s">
        <v>4001</v>
      </c>
      <c r="H391" s="263" t="s">
        <v>308</v>
      </c>
      <c r="I391" s="226" t="s">
        <v>4493</v>
      </c>
      <c r="J391" s="97"/>
      <c r="K391" s="97"/>
      <c r="L391" s="28" t="s">
        <v>4019</v>
      </c>
      <c r="M391" s="97"/>
      <c r="N391" s="97"/>
      <c r="O391" s="97"/>
      <c r="P391" s="97"/>
      <c r="Q391" s="97"/>
      <c r="R391" s="97"/>
      <c r="S391" s="97"/>
      <c r="T391" s="97"/>
      <c r="U391" s="97"/>
      <c r="V391" s="97"/>
      <c r="W391" s="97"/>
      <c r="X391" s="97"/>
      <c r="Y391" s="97"/>
      <c r="Z391" s="97"/>
      <c r="AA391" s="97"/>
      <c r="AB391" s="97"/>
      <c r="AC391" s="97"/>
      <c r="AD391" s="97"/>
      <c r="AE391" s="97"/>
    </row>
    <row r="392" spans="1:31" ht="12.75">
      <c r="A392" s="225" t="s">
        <v>3359</v>
      </c>
      <c r="B392" s="225" t="s">
        <v>3632</v>
      </c>
      <c r="C392" s="93">
        <v>2009</v>
      </c>
      <c r="D392" s="93">
        <v>19368793</v>
      </c>
      <c r="E392" s="261" t="s">
        <v>3634</v>
      </c>
      <c r="F392" s="263" t="s">
        <v>3643</v>
      </c>
      <c r="G392" s="263" t="s">
        <v>4494</v>
      </c>
      <c r="H392" s="248"/>
      <c r="I392" s="97"/>
      <c r="J392" s="28" t="s">
        <v>308</v>
      </c>
      <c r="K392" s="97"/>
      <c r="L392" s="28" t="s">
        <v>4008</v>
      </c>
      <c r="M392" s="97"/>
      <c r="N392" s="97"/>
      <c r="O392" s="97"/>
      <c r="P392" s="97"/>
      <c r="Q392" s="97"/>
      <c r="R392" s="97"/>
      <c r="S392" s="97"/>
      <c r="T392" s="97"/>
      <c r="U392" s="97"/>
      <c r="V392" s="97"/>
      <c r="W392" s="97"/>
      <c r="X392" s="97"/>
      <c r="Y392" s="97"/>
      <c r="Z392" s="97"/>
      <c r="AA392" s="97"/>
      <c r="AB392" s="97"/>
      <c r="AC392" s="97"/>
      <c r="AD392" s="97"/>
      <c r="AE392" s="97"/>
    </row>
    <row r="393" spans="1:31" ht="12.75">
      <c r="A393" s="225" t="s">
        <v>3359</v>
      </c>
      <c r="B393" s="225" t="s">
        <v>3651</v>
      </c>
      <c r="C393" s="93">
        <v>1990</v>
      </c>
      <c r="D393" s="93">
        <v>2153185</v>
      </c>
      <c r="E393" s="261" t="s">
        <v>3653</v>
      </c>
      <c r="F393" s="263" t="s">
        <v>3659</v>
      </c>
      <c r="G393" s="263" t="s">
        <v>4494</v>
      </c>
      <c r="H393" s="248"/>
      <c r="I393" s="97"/>
      <c r="J393" s="28" t="s">
        <v>308</v>
      </c>
      <c r="K393" s="226" t="s">
        <v>4495</v>
      </c>
      <c r="L393" s="28" t="s">
        <v>4008</v>
      </c>
      <c r="M393" s="97"/>
      <c r="N393" s="97"/>
      <c r="O393" s="97"/>
      <c r="P393" s="97"/>
      <c r="Q393" s="97"/>
      <c r="R393" s="97"/>
      <c r="S393" s="97"/>
      <c r="T393" s="97"/>
      <c r="U393" s="97"/>
      <c r="V393" s="97"/>
      <c r="W393" s="97"/>
      <c r="X393" s="97"/>
      <c r="Y393" s="97"/>
      <c r="Z393" s="97"/>
      <c r="AA393" s="97"/>
      <c r="AB393" s="97"/>
      <c r="AC393" s="97"/>
      <c r="AD393" s="97"/>
      <c r="AE393" s="97"/>
    </row>
    <row r="394" spans="1:31" ht="12.75">
      <c r="A394" s="225" t="s">
        <v>3359</v>
      </c>
      <c r="B394" s="263" t="s">
        <v>3666</v>
      </c>
      <c r="C394" s="93">
        <v>2016</v>
      </c>
      <c r="D394" s="93">
        <v>27089205</v>
      </c>
      <c r="E394" s="261" t="s">
        <v>3668</v>
      </c>
      <c r="F394" s="263" t="s">
        <v>3679</v>
      </c>
      <c r="G394" s="263" t="s">
        <v>4494</v>
      </c>
      <c r="H394" s="248"/>
      <c r="J394" s="104" t="s">
        <v>1770</v>
      </c>
      <c r="K394" s="28" t="s">
        <v>4496</v>
      </c>
      <c r="L394" s="28" t="s">
        <v>4008</v>
      </c>
    </row>
    <row r="395" spans="1:31" ht="12.75">
      <c r="A395" s="225" t="s">
        <v>3359</v>
      </c>
      <c r="B395" s="263" t="s">
        <v>4497</v>
      </c>
      <c r="C395" s="93">
        <v>1980</v>
      </c>
      <c r="D395" s="92" t="s">
        <v>699</v>
      </c>
      <c r="E395" s="261" t="s">
        <v>4498</v>
      </c>
      <c r="F395" s="263" t="s">
        <v>4499</v>
      </c>
      <c r="G395" s="263" t="s">
        <v>4500</v>
      </c>
      <c r="H395" s="263" t="s">
        <v>308</v>
      </c>
      <c r="I395" s="28" t="s">
        <v>4501</v>
      </c>
    </row>
    <row r="396" spans="1:31" ht="12.75">
      <c r="A396" s="225" t="s">
        <v>3359</v>
      </c>
      <c r="B396" s="263" t="s">
        <v>4497</v>
      </c>
      <c r="C396" s="93">
        <v>1979</v>
      </c>
      <c r="D396" s="93">
        <v>378834</v>
      </c>
      <c r="E396" s="261" t="s">
        <v>4502</v>
      </c>
      <c r="F396" s="263" t="s">
        <v>4503</v>
      </c>
      <c r="G396" s="263" t="s">
        <v>4001</v>
      </c>
      <c r="H396" s="263" t="s">
        <v>308</v>
      </c>
      <c r="I396" s="282" t="s">
        <v>4020</v>
      </c>
    </row>
    <row r="397" spans="1:31" ht="12.75">
      <c r="A397" s="225" t="s">
        <v>3359</v>
      </c>
      <c r="B397" s="263" t="s">
        <v>4497</v>
      </c>
      <c r="C397" s="93">
        <v>1979</v>
      </c>
      <c r="D397" s="93">
        <v>394667</v>
      </c>
      <c r="E397" s="261" t="s">
        <v>4504</v>
      </c>
      <c r="F397" s="263" t="s">
        <v>4505</v>
      </c>
      <c r="G397" s="263" t="s">
        <v>4001</v>
      </c>
      <c r="H397" s="263" t="s">
        <v>308</v>
      </c>
      <c r="I397" s="282" t="s">
        <v>4020</v>
      </c>
    </row>
    <row r="398" spans="1:31" ht="12.75">
      <c r="A398" s="225" t="s">
        <v>3359</v>
      </c>
      <c r="B398" s="263" t="s">
        <v>3680</v>
      </c>
      <c r="C398" s="93">
        <v>2003</v>
      </c>
      <c r="D398" s="93">
        <v>12692541</v>
      </c>
      <c r="E398" s="261" t="s">
        <v>3682</v>
      </c>
      <c r="F398" s="263" t="s">
        <v>3686</v>
      </c>
      <c r="G398" s="263" t="s">
        <v>4494</v>
      </c>
      <c r="H398" s="248"/>
      <c r="J398" s="226" t="s">
        <v>308</v>
      </c>
      <c r="L398" s="28" t="s">
        <v>4008</v>
      </c>
    </row>
    <row r="399" spans="1:31" ht="12.75">
      <c r="A399" s="225" t="s">
        <v>3359</v>
      </c>
      <c r="B399" s="225" t="s">
        <v>2051</v>
      </c>
      <c r="C399" s="93">
        <v>2012</v>
      </c>
      <c r="D399" s="93">
        <v>23024024</v>
      </c>
      <c r="E399" s="261" t="s">
        <v>3687</v>
      </c>
      <c r="F399" s="263" t="s">
        <v>3691</v>
      </c>
      <c r="G399" s="263" t="s">
        <v>4500</v>
      </c>
      <c r="H399" s="248"/>
      <c r="I399" s="97"/>
      <c r="J399" s="226" t="s">
        <v>308</v>
      </c>
      <c r="K399" s="226" t="s">
        <v>4225</v>
      </c>
      <c r="L399" s="28" t="s">
        <v>4008</v>
      </c>
      <c r="M399" s="97"/>
      <c r="N399" s="97"/>
      <c r="O399" s="97"/>
      <c r="P399" s="97"/>
      <c r="Q399" s="97"/>
      <c r="R399" s="97"/>
      <c r="S399" s="97"/>
      <c r="T399" s="97"/>
      <c r="U399" s="97"/>
      <c r="V399" s="97"/>
      <c r="W399" s="97"/>
      <c r="X399" s="97"/>
      <c r="Y399" s="97"/>
      <c r="Z399" s="97"/>
      <c r="AA399" s="97"/>
      <c r="AB399" s="97"/>
      <c r="AC399" s="97"/>
      <c r="AD399" s="97"/>
      <c r="AE399" s="97"/>
    </row>
    <row r="400" spans="1:31" ht="12.75">
      <c r="A400" s="225" t="s">
        <v>3359</v>
      </c>
      <c r="B400" s="225" t="s">
        <v>3696</v>
      </c>
      <c r="C400" s="93">
        <v>2014</v>
      </c>
      <c r="D400" s="93">
        <v>24468542</v>
      </c>
      <c r="E400" s="261" t="s">
        <v>3698</v>
      </c>
      <c r="F400" s="263" t="s">
        <v>3705</v>
      </c>
      <c r="G400" s="263" t="s">
        <v>4500</v>
      </c>
      <c r="H400" s="248"/>
      <c r="I400" s="97"/>
      <c r="J400" s="226" t="s">
        <v>308</v>
      </c>
      <c r="K400" s="28" t="s">
        <v>4506</v>
      </c>
      <c r="L400" s="28" t="s">
        <v>4008</v>
      </c>
      <c r="M400" s="97"/>
      <c r="N400" s="97"/>
      <c r="O400" s="97"/>
      <c r="P400" s="97"/>
      <c r="Q400" s="97"/>
      <c r="R400" s="97"/>
      <c r="S400" s="97"/>
      <c r="T400" s="97"/>
      <c r="U400" s="97"/>
      <c r="V400" s="97"/>
      <c r="W400" s="97"/>
      <c r="X400" s="97"/>
      <c r="Y400" s="97"/>
      <c r="Z400" s="97"/>
      <c r="AA400" s="97"/>
      <c r="AB400" s="97"/>
      <c r="AC400" s="97"/>
      <c r="AD400" s="97"/>
      <c r="AE400" s="97"/>
    </row>
    <row r="401" spans="1:31" ht="12.75">
      <c r="A401" s="225" t="s">
        <v>3359</v>
      </c>
      <c r="B401" s="225" t="s">
        <v>1130</v>
      </c>
      <c r="C401" s="93">
        <v>2016</v>
      </c>
      <c r="D401" s="93">
        <v>27624471</v>
      </c>
      <c r="E401" s="261" t="s">
        <v>3718</v>
      </c>
      <c r="F401" s="263" t="s">
        <v>3727</v>
      </c>
      <c r="G401" s="263" t="s">
        <v>4500</v>
      </c>
      <c r="H401" s="324"/>
      <c r="I401" s="97"/>
      <c r="J401" s="226" t="s">
        <v>308</v>
      </c>
      <c r="K401" s="226" t="s">
        <v>4507</v>
      </c>
      <c r="L401" s="28" t="s">
        <v>4008</v>
      </c>
      <c r="M401" s="97"/>
      <c r="N401" s="97"/>
      <c r="O401" s="97"/>
      <c r="P401" s="97"/>
      <c r="Q401" s="97"/>
      <c r="R401" s="97"/>
      <c r="S401" s="97"/>
      <c r="T401" s="97"/>
      <c r="U401" s="97"/>
      <c r="V401" s="97"/>
      <c r="W401" s="97"/>
      <c r="X401" s="97"/>
      <c r="Y401" s="97"/>
      <c r="Z401" s="97"/>
      <c r="AA401" s="97"/>
      <c r="AB401" s="97"/>
      <c r="AC401" s="97"/>
      <c r="AD401" s="97"/>
      <c r="AE401" s="97"/>
    </row>
    <row r="402" spans="1:31" ht="12.75">
      <c r="A402" s="225" t="s">
        <v>3359</v>
      </c>
      <c r="B402" s="225" t="s">
        <v>1130</v>
      </c>
      <c r="C402" s="93">
        <v>2017</v>
      </c>
      <c r="D402" s="93">
        <v>28363636</v>
      </c>
      <c r="E402" s="261" t="s">
        <v>3707</v>
      </c>
      <c r="F402" s="263" t="s">
        <v>3716</v>
      </c>
      <c r="G402" s="263" t="s">
        <v>4500</v>
      </c>
      <c r="H402" s="324"/>
      <c r="I402" s="97"/>
      <c r="J402" s="226" t="s">
        <v>308</v>
      </c>
      <c r="K402" s="97"/>
      <c r="L402" s="28" t="s">
        <v>4008</v>
      </c>
      <c r="M402" s="97"/>
      <c r="N402" s="97"/>
      <c r="O402" s="97"/>
      <c r="P402" s="97"/>
      <c r="Q402" s="97"/>
      <c r="R402" s="97"/>
      <c r="S402" s="97"/>
      <c r="T402" s="97"/>
      <c r="U402" s="97"/>
      <c r="V402" s="97"/>
      <c r="W402" s="97"/>
      <c r="X402" s="97"/>
      <c r="Y402" s="97"/>
      <c r="Z402" s="97"/>
      <c r="AA402" s="97"/>
      <c r="AB402" s="97"/>
      <c r="AC402" s="97"/>
      <c r="AD402" s="97"/>
      <c r="AE402" s="97"/>
    </row>
    <row r="403" spans="1:31" ht="12.75">
      <c r="A403" s="225" t="s">
        <v>3359</v>
      </c>
      <c r="B403" s="225" t="s">
        <v>3728</v>
      </c>
      <c r="C403" s="93">
        <v>2016</v>
      </c>
      <c r="D403" s="93">
        <v>27094330</v>
      </c>
      <c r="E403" s="261" t="s">
        <v>3730</v>
      </c>
      <c r="F403" s="263" t="s">
        <v>3738</v>
      </c>
      <c r="G403" s="263" t="s">
        <v>4494</v>
      </c>
      <c r="H403" s="248"/>
      <c r="I403" s="97"/>
      <c r="J403" s="226" t="s">
        <v>308</v>
      </c>
      <c r="K403" s="28" t="s">
        <v>4508</v>
      </c>
      <c r="L403" s="28" t="s">
        <v>4008</v>
      </c>
      <c r="M403" s="97"/>
      <c r="N403" s="97"/>
      <c r="O403" s="97"/>
      <c r="P403" s="97"/>
      <c r="Q403" s="97"/>
      <c r="R403" s="97"/>
      <c r="S403" s="97"/>
      <c r="T403" s="97"/>
      <c r="U403" s="97"/>
      <c r="V403" s="97"/>
      <c r="W403" s="97"/>
      <c r="X403" s="97"/>
      <c r="Y403" s="97"/>
      <c r="Z403" s="97"/>
      <c r="AA403" s="97"/>
      <c r="AB403" s="97"/>
      <c r="AC403" s="97"/>
      <c r="AD403" s="97"/>
      <c r="AE403" s="97"/>
    </row>
    <row r="404" spans="1:31" ht="12.75">
      <c r="A404" s="225" t="s">
        <v>3359</v>
      </c>
      <c r="B404" s="263" t="s">
        <v>3743</v>
      </c>
      <c r="C404" s="93">
        <v>2012</v>
      </c>
      <c r="D404" s="93">
        <v>22396610</v>
      </c>
      <c r="E404" s="261" t="s">
        <v>3745</v>
      </c>
      <c r="F404" s="263" t="s">
        <v>3752</v>
      </c>
      <c r="G404" s="263" t="s">
        <v>4494</v>
      </c>
      <c r="H404" s="248"/>
      <c r="J404" s="226" t="s">
        <v>308</v>
      </c>
      <c r="K404" s="28" t="s">
        <v>4509</v>
      </c>
      <c r="L404" s="28" t="s">
        <v>4008</v>
      </c>
    </row>
    <row r="405" spans="1:31" ht="12.75">
      <c r="A405" s="225" t="s">
        <v>3359</v>
      </c>
      <c r="B405" s="263" t="s">
        <v>3757</v>
      </c>
      <c r="C405" s="93">
        <v>2016</v>
      </c>
      <c r="D405" s="93">
        <v>27579859</v>
      </c>
      <c r="E405" s="261" t="s">
        <v>3759</v>
      </c>
      <c r="F405" s="263" t="s">
        <v>3762</v>
      </c>
      <c r="G405" s="263" t="s">
        <v>4494</v>
      </c>
      <c r="H405" s="263" t="s">
        <v>308</v>
      </c>
      <c r="I405" s="28" t="s">
        <v>4510</v>
      </c>
      <c r="J405" s="295"/>
      <c r="L405" s="28" t="s">
        <v>4019</v>
      </c>
    </row>
    <row r="406" spans="1:31" ht="12.75">
      <c r="A406" s="225" t="s">
        <v>3359</v>
      </c>
      <c r="B406" s="225" t="s">
        <v>3763</v>
      </c>
      <c r="C406" s="93">
        <v>2017</v>
      </c>
      <c r="D406" s="93">
        <v>28199305</v>
      </c>
      <c r="E406" s="261" t="s">
        <v>3764</v>
      </c>
      <c r="F406" s="263" t="s">
        <v>3774</v>
      </c>
      <c r="G406" s="263" t="s">
        <v>4494</v>
      </c>
      <c r="H406" s="324"/>
      <c r="I406" s="97"/>
      <c r="J406" s="226" t="s">
        <v>308</v>
      </c>
      <c r="K406" s="226" t="s">
        <v>4511</v>
      </c>
      <c r="L406" s="28" t="s">
        <v>4008</v>
      </c>
      <c r="M406" s="97"/>
      <c r="N406" s="97"/>
      <c r="O406" s="97"/>
      <c r="P406" s="97"/>
      <c r="Q406" s="97"/>
      <c r="R406" s="97"/>
      <c r="S406" s="97"/>
      <c r="T406" s="97"/>
      <c r="U406" s="97"/>
      <c r="V406" s="97"/>
      <c r="W406" s="97"/>
      <c r="X406" s="97"/>
      <c r="Y406" s="97"/>
      <c r="Z406" s="97"/>
      <c r="AA406" s="97"/>
      <c r="AB406" s="97"/>
      <c r="AC406" s="97"/>
      <c r="AD406" s="97"/>
      <c r="AE406" s="97"/>
    </row>
    <row r="407" spans="1:31" ht="12.75">
      <c r="A407" s="225" t="s">
        <v>3359</v>
      </c>
      <c r="B407" s="263" t="s">
        <v>3775</v>
      </c>
      <c r="C407" s="93">
        <v>2016</v>
      </c>
      <c r="D407" s="93">
        <v>27591323</v>
      </c>
      <c r="E407" s="261" t="s">
        <v>3777</v>
      </c>
      <c r="F407" s="263" t="s">
        <v>4512</v>
      </c>
      <c r="G407" s="263" t="s">
        <v>4494</v>
      </c>
      <c r="H407" s="248"/>
      <c r="J407" s="226" t="s">
        <v>308</v>
      </c>
      <c r="K407" s="28" t="s">
        <v>4508</v>
      </c>
      <c r="L407" s="28" t="s">
        <v>4008</v>
      </c>
    </row>
    <row r="408" spans="1:31" ht="12.75">
      <c r="A408" s="225" t="s">
        <v>3359</v>
      </c>
      <c r="B408" s="263" t="s">
        <v>3786</v>
      </c>
      <c r="C408" s="93">
        <v>1990</v>
      </c>
      <c r="D408" s="93">
        <v>2341723</v>
      </c>
      <c r="E408" s="261" t="s">
        <v>3789</v>
      </c>
      <c r="F408" s="263" t="s">
        <v>3794</v>
      </c>
      <c r="G408" s="263" t="s">
        <v>4494</v>
      </c>
      <c r="H408" s="248"/>
      <c r="J408" s="226" t="s">
        <v>308</v>
      </c>
      <c r="K408" s="28" t="s">
        <v>4225</v>
      </c>
      <c r="L408" s="28" t="s">
        <v>4008</v>
      </c>
    </row>
    <row r="409" spans="1:31" ht="12.75">
      <c r="A409" s="225" t="s">
        <v>3359</v>
      </c>
      <c r="B409" s="263" t="s">
        <v>4513</v>
      </c>
      <c r="C409" s="93">
        <v>1977</v>
      </c>
      <c r="D409" s="93">
        <v>405590</v>
      </c>
      <c r="E409" s="261" t="s">
        <v>4514</v>
      </c>
      <c r="F409" s="263" t="s">
        <v>4515</v>
      </c>
      <c r="G409" s="263" t="s">
        <v>4001</v>
      </c>
      <c r="H409" s="263" t="s">
        <v>308</v>
      </c>
      <c r="I409" s="282" t="s">
        <v>4020</v>
      </c>
    </row>
    <row r="410" spans="1:31" ht="12.75">
      <c r="A410" s="225" t="s">
        <v>3359</v>
      </c>
      <c r="B410" s="225" t="s">
        <v>3795</v>
      </c>
      <c r="C410" s="93">
        <v>2016</v>
      </c>
      <c r="D410" s="93">
        <v>27056954</v>
      </c>
      <c r="E410" s="261" t="s">
        <v>3797</v>
      </c>
      <c r="F410" s="263" t="s">
        <v>3807</v>
      </c>
      <c r="G410" s="263" t="s">
        <v>4500</v>
      </c>
      <c r="H410" s="248"/>
      <c r="I410" s="97"/>
      <c r="J410" s="226" t="s">
        <v>308</v>
      </c>
      <c r="K410" s="97"/>
      <c r="L410" s="28" t="s">
        <v>4008</v>
      </c>
      <c r="M410" s="97"/>
      <c r="N410" s="97"/>
      <c r="O410" s="97"/>
      <c r="P410" s="97"/>
      <c r="Q410" s="97"/>
      <c r="R410" s="97"/>
      <c r="S410" s="97"/>
      <c r="T410" s="97"/>
      <c r="U410" s="97"/>
      <c r="V410" s="97"/>
      <c r="W410" s="97"/>
      <c r="X410" s="97"/>
      <c r="Y410" s="97"/>
      <c r="Z410" s="97"/>
      <c r="AA410" s="97"/>
      <c r="AB410" s="97"/>
      <c r="AC410" s="97"/>
      <c r="AD410" s="97"/>
      <c r="AE410" s="97"/>
    </row>
    <row r="411" spans="1:31" ht="12.75">
      <c r="A411" s="225" t="s">
        <v>3359</v>
      </c>
      <c r="B411" s="263" t="s">
        <v>3808</v>
      </c>
      <c r="C411" s="93">
        <v>2016</v>
      </c>
      <c r="D411" s="93">
        <v>27403678</v>
      </c>
      <c r="E411" s="261" t="s">
        <v>3810</v>
      </c>
      <c r="F411" s="263" t="s">
        <v>3815</v>
      </c>
      <c r="G411" s="263" t="s">
        <v>4494</v>
      </c>
      <c r="H411" s="248"/>
      <c r="J411" s="226" t="s">
        <v>308</v>
      </c>
      <c r="K411" s="28" t="s">
        <v>4225</v>
      </c>
      <c r="L411" s="28" t="s">
        <v>4008</v>
      </c>
    </row>
    <row r="412" spans="1:31" ht="12.75">
      <c r="A412" s="225" t="s">
        <v>3359</v>
      </c>
      <c r="B412" s="263" t="s">
        <v>4053</v>
      </c>
      <c r="C412" s="93">
        <v>2013</v>
      </c>
      <c r="D412" s="93">
        <v>22906296</v>
      </c>
      <c r="E412" s="261" t="s">
        <v>4516</v>
      </c>
      <c r="F412" s="263" t="s">
        <v>4318</v>
      </c>
      <c r="G412" s="263" t="s">
        <v>4001</v>
      </c>
      <c r="H412" s="263" t="s">
        <v>308</v>
      </c>
      <c r="I412" s="28" t="s">
        <v>4517</v>
      </c>
    </row>
    <row r="413" spans="1:31" ht="12.75">
      <c r="A413" s="225" t="s">
        <v>3359</v>
      </c>
      <c r="B413" s="263" t="s">
        <v>4053</v>
      </c>
      <c r="C413" s="93">
        <v>2011</v>
      </c>
      <c r="D413" s="93">
        <v>21616116</v>
      </c>
      <c r="E413" s="261" t="s">
        <v>4518</v>
      </c>
      <c r="F413" s="263" t="s">
        <v>4318</v>
      </c>
      <c r="G413" s="263" t="s">
        <v>4001</v>
      </c>
      <c r="H413" s="263" t="s">
        <v>308</v>
      </c>
      <c r="I413" s="28" t="s">
        <v>4519</v>
      </c>
    </row>
    <row r="414" spans="1:31" ht="12.75">
      <c r="A414" s="225" t="s">
        <v>3359</v>
      </c>
      <c r="B414" s="225" t="s">
        <v>3817</v>
      </c>
      <c r="C414" s="93">
        <v>2015</v>
      </c>
      <c r="D414" s="93">
        <v>25281755</v>
      </c>
      <c r="E414" s="261" t="s">
        <v>3819</v>
      </c>
      <c r="F414" s="263" t="s">
        <v>3832</v>
      </c>
      <c r="G414" s="263" t="s">
        <v>4494</v>
      </c>
      <c r="H414" s="248"/>
      <c r="I414" s="97"/>
      <c r="J414" s="226" t="s">
        <v>308</v>
      </c>
      <c r="K414" s="226" t="s">
        <v>4520</v>
      </c>
      <c r="L414" s="28" t="s">
        <v>4008</v>
      </c>
      <c r="M414" s="97"/>
      <c r="N414" s="97"/>
      <c r="O414" s="97"/>
      <c r="P414" s="97"/>
      <c r="Q414" s="97"/>
      <c r="R414" s="97"/>
      <c r="S414" s="97"/>
      <c r="T414" s="97"/>
      <c r="U414" s="97"/>
      <c r="V414" s="97"/>
      <c r="W414" s="97"/>
      <c r="X414" s="97"/>
      <c r="Y414" s="97"/>
      <c r="Z414" s="97"/>
      <c r="AA414" s="97"/>
      <c r="AB414" s="97"/>
      <c r="AC414" s="97"/>
      <c r="AD414" s="97"/>
      <c r="AE414" s="97"/>
    </row>
    <row r="415" spans="1:31" ht="12.75">
      <c r="A415" s="225" t="s">
        <v>3359</v>
      </c>
      <c r="B415" s="225" t="s">
        <v>3833</v>
      </c>
      <c r="C415" s="93">
        <v>2013</v>
      </c>
      <c r="D415" s="93">
        <v>23929949</v>
      </c>
      <c r="E415" s="261" t="s">
        <v>3835</v>
      </c>
      <c r="F415" s="263" t="s">
        <v>3844</v>
      </c>
      <c r="G415" s="263" t="s">
        <v>4494</v>
      </c>
      <c r="H415" s="248"/>
      <c r="I415" s="97"/>
      <c r="J415" s="226" t="s">
        <v>308</v>
      </c>
      <c r="K415" s="226" t="s">
        <v>4521</v>
      </c>
      <c r="L415" s="28" t="s">
        <v>4008</v>
      </c>
      <c r="M415" s="97"/>
      <c r="N415" s="97"/>
      <c r="O415" s="97"/>
      <c r="P415" s="97"/>
      <c r="Q415" s="97"/>
      <c r="R415" s="97"/>
      <c r="S415" s="97"/>
      <c r="T415" s="97"/>
      <c r="U415" s="97"/>
      <c r="V415" s="97"/>
      <c r="W415" s="97"/>
      <c r="X415" s="97"/>
      <c r="Y415" s="97"/>
      <c r="Z415" s="97"/>
      <c r="AA415" s="97"/>
      <c r="AB415" s="97"/>
      <c r="AC415" s="97"/>
      <c r="AD415" s="97"/>
      <c r="AE415" s="97"/>
    </row>
    <row r="416" spans="1:31" ht="12.75">
      <c r="A416" s="225" t="s">
        <v>3359</v>
      </c>
      <c r="B416" s="263" t="s">
        <v>3845</v>
      </c>
      <c r="C416" s="93">
        <v>2017</v>
      </c>
      <c r="D416" s="93">
        <v>27927680</v>
      </c>
      <c r="E416" s="261" t="s">
        <v>3847</v>
      </c>
      <c r="F416" s="263" t="s">
        <v>3853</v>
      </c>
      <c r="G416" s="263" t="s">
        <v>4494</v>
      </c>
      <c r="H416" s="263" t="s">
        <v>308</v>
      </c>
      <c r="I416" s="28" t="s">
        <v>4522</v>
      </c>
      <c r="J416" s="295"/>
      <c r="L416" s="28" t="s">
        <v>4019</v>
      </c>
    </row>
    <row r="417" spans="1:31" ht="12.75">
      <c r="A417" s="225" t="s">
        <v>3359</v>
      </c>
      <c r="B417" s="225" t="s">
        <v>3855</v>
      </c>
      <c r="C417" s="93">
        <v>2017</v>
      </c>
      <c r="D417" s="93">
        <v>28176804</v>
      </c>
      <c r="E417" s="261" t="s">
        <v>3857</v>
      </c>
      <c r="F417" s="263" t="s">
        <v>3866</v>
      </c>
      <c r="G417" s="263" t="s">
        <v>4494</v>
      </c>
      <c r="H417" s="248"/>
      <c r="I417" s="97"/>
      <c r="J417" s="226" t="s">
        <v>308</v>
      </c>
      <c r="K417" s="226" t="s">
        <v>4523</v>
      </c>
      <c r="L417" s="28" t="s">
        <v>4008</v>
      </c>
      <c r="M417" s="97"/>
      <c r="N417" s="97"/>
      <c r="O417" s="97"/>
      <c r="P417" s="97"/>
      <c r="Q417" s="97"/>
      <c r="R417" s="97"/>
      <c r="S417" s="97"/>
      <c r="T417" s="97"/>
      <c r="U417" s="97"/>
      <c r="V417" s="97"/>
      <c r="W417" s="97"/>
      <c r="X417" s="97"/>
      <c r="Y417" s="97"/>
      <c r="Z417" s="97"/>
      <c r="AA417" s="97"/>
      <c r="AB417" s="97"/>
      <c r="AC417" s="97"/>
      <c r="AD417" s="97"/>
      <c r="AE417" s="97"/>
    </row>
    <row r="418" spans="1:31" ht="12.75">
      <c r="A418" s="225" t="s">
        <v>3359</v>
      </c>
      <c r="B418" s="263" t="s">
        <v>2918</v>
      </c>
      <c r="C418" s="93">
        <v>2003</v>
      </c>
      <c r="D418" s="93">
        <v>14573692</v>
      </c>
      <c r="E418" s="261" t="s">
        <v>3868</v>
      </c>
      <c r="F418" s="263" t="s">
        <v>3872</v>
      </c>
      <c r="G418" s="263" t="s">
        <v>4494</v>
      </c>
      <c r="H418" s="248"/>
      <c r="J418" s="226" t="s">
        <v>308</v>
      </c>
      <c r="K418" s="28" t="s">
        <v>4524</v>
      </c>
      <c r="L418" s="28" t="s">
        <v>4008</v>
      </c>
    </row>
    <row r="419" spans="1:31" ht="12.75">
      <c r="A419" s="225" t="s">
        <v>3359</v>
      </c>
      <c r="B419" s="225" t="s">
        <v>3876</v>
      </c>
      <c r="C419" s="93">
        <v>2009</v>
      </c>
      <c r="D419" s="93">
        <v>19390585</v>
      </c>
      <c r="E419" s="261" t="s">
        <v>3877</v>
      </c>
      <c r="F419" s="263" t="s">
        <v>3889</v>
      </c>
      <c r="G419" s="263" t="s">
        <v>4494</v>
      </c>
      <c r="H419" s="248"/>
      <c r="I419" s="97"/>
      <c r="J419" s="226" t="s">
        <v>308</v>
      </c>
      <c r="K419" s="226" t="s">
        <v>899</v>
      </c>
      <c r="L419" s="28" t="s">
        <v>4008</v>
      </c>
      <c r="M419" s="97"/>
      <c r="N419" s="97"/>
      <c r="O419" s="97"/>
      <c r="P419" s="97"/>
      <c r="Q419" s="97"/>
      <c r="R419" s="97"/>
      <c r="S419" s="97"/>
      <c r="T419" s="97"/>
      <c r="U419" s="97"/>
      <c r="V419" s="97"/>
      <c r="W419" s="97"/>
      <c r="X419" s="97"/>
      <c r="Y419" s="97"/>
      <c r="Z419" s="97"/>
      <c r="AA419" s="97"/>
      <c r="AB419" s="97"/>
      <c r="AC419" s="97"/>
      <c r="AD419" s="97"/>
      <c r="AE419" s="97"/>
    </row>
    <row r="420" spans="1:31" ht="12.75">
      <c r="A420" s="225" t="s">
        <v>3359</v>
      </c>
      <c r="B420" s="225" t="s">
        <v>3890</v>
      </c>
      <c r="C420" s="93">
        <v>2017</v>
      </c>
      <c r="D420" s="93">
        <v>28363637</v>
      </c>
      <c r="E420" s="261" t="s">
        <v>3892</v>
      </c>
      <c r="F420" s="263" t="s">
        <v>3903</v>
      </c>
      <c r="G420" s="263" t="s">
        <v>4494</v>
      </c>
      <c r="H420" s="248"/>
      <c r="I420" s="97"/>
      <c r="J420" s="226" t="s">
        <v>308</v>
      </c>
      <c r="K420" s="226" t="s">
        <v>4525</v>
      </c>
      <c r="L420" s="28" t="s">
        <v>4008</v>
      </c>
      <c r="M420" s="97"/>
      <c r="N420" s="97"/>
      <c r="O420" s="97"/>
      <c r="P420" s="97"/>
      <c r="Q420" s="97"/>
      <c r="R420" s="97"/>
      <c r="S420" s="97"/>
      <c r="T420" s="97"/>
      <c r="U420" s="97"/>
      <c r="V420" s="97"/>
      <c r="W420" s="97"/>
      <c r="X420" s="97"/>
      <c r="Y420" s="97"/>
      <c r="Z420" s="97"/>
      <c r="AA420" s="97"/>
      <c r="AB420" s="97"/>
      <c r="AC420" s="97"/>
      <c r="AD420" s="97"/>
      <c r="AE420" s="97"/>
    </row>
    <row r="421" spans="1:31" ht="12.75">
      <c r="A421" s="225" t="s">
        <v>3359</v>
      </c>
      <c r="B421" s="263" t="s">
        <v>2354</v>
      </c>
      <c r="C421" s="93">
        <v>2009</v>
      </c>
      <c r="D421" s="93">
        <v>19842970</v>
      </c>
      <c r="E421" s="261" t="s">
        <v>3914</v>
      </c>
      <c r="F421" s="263" t="s">
        <v>3922</v>
      </c>
      <c r="G421" s="263" t="s">
        <v>4494</v>
      </c>
      <c r="H421" s="324"/>
      <c r="J421" s="226" t="s">
        <v>308</v>
      </c>
      <c r="L421" s="28" t="s">
        <v>4008</v>
      </c>
    </row>
    <row r="422" spans="1:31" ht="12.75">
      <c r="A422" s="225" t="s">
        <v>3359</v>
      </c>
      <c r="B422" s="263" t="s">
        <v>3923</v>
      </c>
      <c r="C422" s="93">
        <v>2014</v>
      </c>
      <c r="D422" s="93">
        <v>24519873</v>
      </c>
      <c r="E422" s="261" t="s">
        <v>3924</v>
      </c>
      <c r="F422" s="263" t="s">
        <v>3933</v>
      </c>
      <c r="G422" s="263" t="s">
        <v>4494</v>
      </c>
      <c r="H422" s="248"/>
      <c r="J422" s="226" t="s">
        <v>308</v>
      </c>
      <c r="K422" s="28" t="s">
        <v>4526</v>
      </c>
      <c r="L422" s="28" t="s">
        <v>4008</v>
      </c>
    </row>
    <row r="423" spans="1:31" ht="12.75">
      <c r="A423" s="225" t="s">
        <v>3359</v>
      </c>
      <c r="B423" s="225" t="s">
        <v>3936</v>
      </c>
      <c r="C423" s="93">
        <v>2012</v>
      </c>
      <c r="D423" s="93">
        <v>22286307</v>
      </c>
      <c r="E423" s="261" t="s">
        <v>3938</v>
      </c>
      <c r="F423" s="263" t="s">
        <v>3947</v>
      </c>
      <c r="G423" s="263" t="s">
        <v>4494</v>
      </c>
      <c r="H423" s="248"/>
      <c r="I423" s="97"/>
      <c r="J423" s="226" t="s">
        <v>308</v>
      </c>
      <c r="K423" s="97"/>
      <c r="L423" s="28" t="s">
        <v>4008</v>
      </c>
      <c r="M423" s="97"/>
      <c r="N423" s="97"/>
      <c r="O423" s="97"/>
      <c r="P423" s="97"/>
      <c r="Q423" s="97"/>
      <c r="R423" s="97"/>
      <c r="S423" s="97"/>
      <c r="T423" s="97"/>
      <c r="U423" s="97"/>
      <c r="V423" s="97"/>
      <c r="W423" s="97"/>
      <c r="X423" s="97"/>
      <c r="Y423" s="97"/>
      <c r="Z423" s="97"/>
      <c r="AA423" s="97"/>
      <c r="AB423" s="97"/>
      <c r="AC423" s="97"/>
      <c r="AD423" s="97"/>
      <c r="AE423" s="97"/>
    </row>
    <row r="424" spans="1:31" ht="12.75">
      <c r="A424" s="225" t="s">
        <v>3359</v>
      </c>
      <c r="B424" s="263" t="s">
        <v>3952</v>
      </c>
      <c r="C424" s="93">
        <v>2013</v>
      </c>
      <c r="D424" s="93">
        <v>23715660</v>
      </c>
      <c r="E424" s="261" t="s">
        <v>3955</v>
      </c>
      <c r="F424" s="263" t="s">
        <v>3963</v>
      </c>
      <c r="G424" s="263" t="s">
        <v>4494</v>
      </c>
      <c r="H424" s="248"/>
      <c r="J424" s="226" t="s">
        <v>308</v>
      </c>
      <c r="L424" s="28" t="s">
        <v>4008</v>
      </c>
    </row>
    <row r="425" spans="1:31" ht="12.75">
      <c r="A425" s="225" t="s">
        <v>3359</v>
      </c>
      <c r="B425" s="263" t="s">
        <v>3964</v>
      </c>
      <c r="C425" s="93">
        <v>2012</v>
      </c>
      <c r="D425" s="93">
        <v>22496648</v>
      </c>
      <c r="E425" s="261" t="s">
        <v>3966</v>
      </c>
      <c r="F425" s="263" t="s">
        <v>3975</v>
      </c>
      <c r="G425" s="263" t="s">
        <v>4494</v>
      </c>
      <c r="H425" s="248"/>
      <c r="J425" s="226" t="s">
        <v>308</v>
      </c>
      <c r="L425" s="28" t="s">
        <v>4008</v>
      </c>
    </row>
    <row r="426" spans="1:31" ht="12.75">
      <c r="A426" s="225" t="s">
        <v>3359</v>
      </c>
      <c r="B426" s="225" t="s">
        <v>3976</v>
      </c>
      <c r="C426" s="93">
        <v>2014</v>
      </c>
      <c r="D426" s="93">
        <v>24457412</v>
      </c>
      <c r="E426" s="261" t="s">
        <v>3977</v>
      </c>
      <c r="F426" s="263" t="s">
        <v>3984</v>
      </c>
      <c r="G426" s="263" t="s">
        <v>4494</v>
      </c>
      <c r="H426" s="263" t="s">
        <v>308</v>
      </c>
      <c r="I426" s="226" t="s">
        <v>4527</v>
      </c>
      <c r="J426" s="226"/>
      <c r="K426" s="97"/>
      <c r="L426" s="28" t="s">
        <v>4019</v>
      </c>
      <c r="M426" s="97"/>
      <c r="N426" s="97"/>
      <c r="O426" s="97"/>
      <c r="P426" s="97"/>
      <c r="Q426" s="97"/>
      <c r="R426" s="97"/>
      <c r="S426" s="97"/>
      <c r="T426" s="97"/>
      <c r="U426" s="97"/>
      <c r="V426" s="97"/>
      <c r="W426" s="97"/>
      <c r="X426" s="97"/>
      <c r="Y426" s="97"/>
      <c r="Z426" s="97"/>
      <c r="AA426" s="97"/>
      <c r="AB426" s="97"/>
      <c r="AC426" s="97"/>
      <c r="AD426" s="97"/>
      <c r="AE426" s="97"/>
    </row>
  </sheetData>
  <customSheetViews>
    <customSheetView guid="{99C5C116-411A-4654-AC2B-D67D2E90D53F}" filter="1" showAutoFilter="1">
      <pageMargins left="0.7" right="0.7" top="0.75" bottom="0.75" header="0.3" footer="0.3"/>
      <autoFilter ref="A1:N426" xr:uid="{0EB4AD2D-FC8D-48CD-BD21-6DD2077D7CC7}">
        <filterColumn colId="9">
          <filters>
            <filter val="Included?"/>
            <filter val="REVIEW"/>
            <filter val="yes"/>
          </filters>
        </filterColumn>
      </autoFilter>
    </customSheetView>
    <customSheetView guid="{D8ECF7FC-5E3A-4DFB-B628-6DD3CD0CC9C8}" filter="1" showAutoFilter="1">
      <pageMargins left="0.7" right="0.7" top="0.75" bottom="0.75" header="0.3" footer="0.3"/>
      <autoFilter ref="A1:N426" xr:uid="{A0539371-2B7D-463A-AC11-B995209C2939}">
        <filterColumn colId="11">
          <filters>
            <filter val="Zotero?"/>
            <filter val="Appendix G"/>
          </filters>
        </filterColumn>
      </autoFilter>
    </customSheetView>
  </customSheetViews>
  <dataValidations count="1">
    <dataValidation type="decimal" operator="greaterThan" allowBlank="1" showDropDown="1" sqref="D56:D61" xr:uid="{00000000-0002-0000-0E00-000000000000}">
      <formula1>0</formula1>
    </dataValidation>
  </dataValidations>
  <hyperlinks>
    <hyperlink ref="E14" r:id="rId1" xr:uid="{00000000-0004-0000-0E00-000000000000}"/>
    <hyperlink ref="E15" r:id="rId2" xr:uid="{00000000-0004-0000-0E00-000001000000}"/>
    <hyperlink ref="E16" r:id="rId3" xr:uid="{00000000-0004-0000-0E00-000002000000}"/>
    <hyperlink ref="E17" r:id="rId4" xr:uid="{00000000-0004-0000-0E00-000003000000}"/>
    <hyperlink ref="E18" r:id="rId5" xr:uid="{00000000-0004-0000-0E00-000004000000}"/>
    <hyperlink ref="E19" r:id="rId6" xr:uid="{00000000-0004-0000-0E00-000005000000}"/>
    <hyperlink ref="E20" r:id="rId7" xr:uid="{00000000-0004-0000-0E00-000006000000}"/>
    <hyperlink ref="E21" r:id="rId8" xr:uid="{00000000-0004-0000-0E00-000007000000}"/>
    <hyperlink ref="E22" r:id="rId9" xr:uid="{00000000-0004-0000-0E00-000008000000}"/>
    <hyperlink ref="E23" r:id="rId10" xr:uid="{00000000-0004-0000-0E00-000009000000}"/>
    <hyperlink ref="E24" r:id="rId11" xr:uid="{00000000-0004-0000-0E00-00000A000000}"/>
    <hyperlink ref="E25" r:id="rId12" xr:uid="{00000000-0004-0000-0E00-00000B000000}"/>
    <hyperlink ref="E26" r:id="rId13" xr:uid="{00000000-0004-0000-0E00-00000C000000}"/>
    <hyperlink ref="E27" r:id="rId14" xr:uid="{00000000-0004-0000-0E00-00000D000000}"/>
    <hyperlink ref="E28" r:id="rId15" xr:uid="{00000000-0004-0000-0E00-00000E000000}"/>
    <hyperlink ref="E29" r:id="rId16" xr:uid="{00000000-0004-0000-0E00-00000F000000}"/>
    <hyperlink ref="E38" r:id="rId17" xr:uid="{00000000-0004-0000-0E00-000010000000}"/>
    <hyperlink ref="E39" r:id="rId18" xr:uid="{00000000-0004-0000-0E00-000011000000}"/>
    <hyperlink ref="E42" r:id="rId19" xr:uid="{00000000-0004-0000-0E00-000012000000}"/>
    <hyperlink ref="E43" r:id="rId20" xr:uid="{00000000-0004-0000-0E00-000013000000}"/>
    <hyperlink ref="E44" r:id="rId21" xr:uid="{00000000-0004-0000-0E00-000014000000}"/>
    <hyperlink ref="E45" r:id="rId22" xr:uid="{00000000-0004-0000-0E00-000015000000}"/>
    <hyperlink ref="E46" r:id="rId23" xr:uid="{00000000-0004-0000-0E00-000016000000}"/>
    <hyperlink ref="E48" r:id="rId24" xr:uid="{00000000-0004-0000-0E00-000017000000}"/>
    <hyperlink ref="E49" r:id="rId25" xr:uid="{00000000-0004-0000-0E00-000018000000}"/>
    <hyperlink ref="E92" r:id="rId26" xr:uid="{00000000-0004-0000-0E00-000019000000}"/>
    <hyperlink ref="E93" r:id="rId27" xr:uid="{00000000-0004-0000-0E00-00001A000000}"/>
    <hyperlink ref="E94" r:id="rId28" xr:uid="{00000000-0004-0000-0E00-00001B000000}"/>
    <hyperlink ref="E95" r:id="rId29" xr:uid="{00000000-0004-0000-0E00-00001C000000}"/>
    <hyperlink ref="E96" r:id="rId30" xr:uid="{00000000-0004-0000-0E00-00001D000000}"/>
    <hyperlink ref="E97" r:id="rId31" xr:uid="{00000000-0004-0000-0E00-00001E000000}"/>
    <hyperlink ref="E98" r:id="rId32" xr:uid="{00000000-0004-0000-0E00-00001F000000}"/>
    <hyperlink ref="E99" r:id="rId33" xr:uid="{00000000-0004-0000-0E00-000020000000}"/>
    <hyperlink ref="E100" r:id="rId34" xr:uid="{00000000-0004-0000-0E00-000021000000}"/>
    <hyperlink ref="E101" r:id="rId35" xr:uid="{00000000-0004-0000-0E00-000022000000}"/>
    <hyperlink ref="E102" r:id="rId36" xr:uid="{00000000-0004-0000-0E00-000023000000}"/>
    <hyperlink ref="E103" r:id="rId37" xr:uid="{00000000-0004-0000-0E00-000024000000}"/>
    <hyperlink ref="E104" r:id="rId38" xr:uid="{00000000-0004-0000-0E00-000025000000}"/>
    <hyperlink ref="E105" r:id="rId39" xr:uid="{00000000-0004-0000-0E00-000026000000}"/>
    <hyperlink ref="E106" r:id="rId40" xr:uid="{00000000-0004-0000-0E00-000027000000}"/>
    <hyperlink ref="E107" r:id="rId41" xr:uid="{00000000-0004-0000-0E00-000028000000}"/>
    <hyperlink ref="E108" r:id="rId42" xr:uid="{00000000-0004-0000-0E00-000029000000}"/>
    <hyperlink ref="E109" r:id="rId43" xr:uid="{00000000-0004-0000-0E00-00002A000000}"/>
    <hyperlink ref="E110" r:id="rId44" xr:uid="{00000000-0004-0000-0E00-00002B000000}"/>
    <hyperlink ref="E111" r:id="rId45" xr:uid="{00000000-0004-0000-0E00-00002C000000}"/>
    <hyperlink ref="E112" r:id="rId46" xr:uid="{00000000-0004-0000-0E00-00002D000000}"/>
    <hyperlink ref="E113" r:id="rId47" xr:uid="{00000000-0004-0000-0E00-00002E000000}"/>
    <hyperlink ref="E114" r:id="rId48" xr:uid="{00000000-0004-0000-0E00-00002F000000}"/>
    <hyperlink ref="E115" r:id="rId49" xr:uid="{00000000-0004-0000-0E00-000030000000}"/>
    <hyperlink ref="E116" r:id="rId50" xr:uid="{00000000-0004-0000-0E00-000031000000}"/>
    <hyperlink ref="E117" r:id="rId51" xr:uid="{00000000-0004-0000-0E00-000032000000}"/>
    <hyperlink ref="E118" r:id="rId52" xr:uid="{00000000-0004-0000-0E00-000033000000}"/>
    <hyperlink ref="E119" r:id="rId53" xr:uid="{00000000-0004-0000-0E00-000034000000}"/>
    <hyperlink ref="E120" r:id="rId54" xr:uid="{00000000-0004-0000-0E00-000035000000}"/>
    <hyperlink ref="E121" r:id="rId55" xr:uid="{00000000-0004-0000-0E00-000036000000}"/>
    <hyperlink ref="E122" r:id="rId56" xr:uid="{00000000-0004-0000-0E00-000037000000}"/>
    <hyperlink ref="E196" r:id="rId57" xr:uid="{00000000-0004-0000-0E00-000038000000}"/>
    <hyperlink ref="E197" r:id="rId58" xr:uid="{00000000-0004-0000-0E00-000039000000}"/>
    <hyperlink ref="E198" r:id="rId59" xr:uid="{00000000-0004-0000-0E00-00003A000000}"/>
    <hyperlink ref="E199" r:id="rId60" xr:uid="{00000000-0004-0000-0E00-00003B000000}"/>
    <hyperlink ref="E200" r:id="rId61" xr:uid="{00000000-0004-0000-0E00-00003C000000}"/>
    <hyperlink ref="E201" r:id="rId62" xr:uid="{00000000-0004-0000-0E00-00003D000000}"/>
    <hyperlink ref="E202" r:id="rId63" xr:uid="{00000000-0004-0000-0E00-00003E000000}"/>
    <hyperlink ref="E203" r:id="rId64" xr:uid="{00000000-0004-0000-0E00-00003F000000}"/>
    <hyperlink ref="E204" r:id="rId65" xr:uid="{00000000-0004-0000-0E00-000040000000}"/>
    <hyperlink ref="E205" r:id="rId66" xr:uid="{00000000-0004-0000-0E00-000041000000}"/>
    <hyperlink ref="E206" r:id="rId67" xr:uid="{00000000-0004-0000-0E00-000042000000}"/>
    <hyperlink ref="E207" r:id="rId68" xr:uid="{00000000-0004-0000-0E00-000043000000}"/>
    <hyperlink ref="E211" r:id="rId69" xr:uid="{00000000-0004-0000-0E00-000044000000}"/>
    <hyperlink ref="E228" r:id="rId70" xr:uid="{00000000-0004-0000-0E00-000045000000}"/>
    <hyperlink ref="E229" r:id="rId71" xr:uid="{00000000-0004-0000-0E00-000046000000}"/>
    <hyperlink ref="E243" r:id="rId72" xr:uid="{00000000-0004-0000-0E00-000047000000}"/>
    <hyperlink ref="E248" r:id="rId73" xr:uid="{00000000-0004-0000-0E00-000048000000}"/>
    <hyperlink ref="E262" r:id="rId74" xr:uid="{00000000-0004-0000-0E00-000049000000}"/>
    <hyperlink ref="E278" r:id="rId75" xr:uid="{00000000-0004-0000-0E00-00004A000000}"/>
    <hyperlink ref="E292" r:id="rId76" xr:uid="{00000000-0004-0000-0E00-00004B000000}"/>
    <hyperlink ref="E293" r:id="rId77" xr:uid="{00000000-0004-0000-0E00-00004C000000}"/>
    <hyperlink ref="E294" r:id="rId78" xr:uid="{00000000-0004-0000-0E00-00004D000000}"/>
    <hyperlink ref="E295" r:id="rId79" xr:uid="{00000000-0004-0000-0E00-00004E000000}"/>
    <hyperlink ref="E298" r:id="rId80" xr:uid="{00000000-0004-0000-0E00-00004F000000}"/>
    <hyperlink ref="E299" r:id="rId81" xr:uid="{00000000-0004-0000-0E00-000050000000}"/>
    <hyperlink ref="E333" r:id="rId82" xr:uid="{00000000-0004-0000-0E00-000051000000}"/>
    <hyperlink ref="E346" r:id="rId83" xr:uid="{00000000-0004-0000-0E00-000052000000}"/>
    <hyperlink ref="E347" r:id="rId84" xr:uid="{00000000-0004-0000-0E00-000053000000}"/>
    <hyperlink ref="E348" r:id="rId85" xr:uid="{00000000-0004-0000-0E00-000054000000}"/>
    <hyperlink ref="E349" r:id="rId86" xr:uid="{00000000-0004-0000-0E00-000055000000}"/>
    <hyperlink ref="E350" r:id="rId87" xr:uid="{00000000-0004-0000-0E00-000056000000}"/>
    <hyperlink ref="E351" r:id="rId88" xr:uid="{00000000-0004-0000-0E00-000057000000}"/>
    <hyperlink ref="E352" r:id="rId89" xr:uid="{00000000-0004-0000-0E00-000058000000}"/>
    <hyperlink ref="E353" r:id="rId90" xr:uid="{00000000-0004-0000-0E00-000059000000}"/>
    <hyperlink ref="E354" r:id="rId91" xr:uid="{00000000-0004-0000-0E00-00005A000000}"/>
    <hyperlink ref="E355" r:id="rId92" xr:uid="{00000000-0004-0000-0E00-00005B000000}"/>
    <hyperlink ref="E356" r:id="rId93" xr:uid="{00000000-0004-0000-0E00-00005C000000}"/>
    <hyperlink ref="E357" r:id="rId94" xr:uid="{00000000-0004-0000-0E00-00005D000000}"/>
    <hyperlink ref="E358" r:id="rId95" xr:uid="{00000000-0004-0000-0E00-00005E000000}"/>
    <hyperlink ref="E359" r:id="rId96" xr:uid="{00000000-0004-0000-0E00-00005F000000}"/>
    <hyperlink ref="E360" r:id="rId97" xr:uid="{00000000-0004-0000-0E00-000060000000}"/>
    <hyperlink ref="E361" r:id="rId98" xr:uid="{00000000-0004-0000-0E00-000061000000}"/>
    <hyperlink ref="E362" r:id="rId99" xr:uid="{00000000-0004-0000-0E00-000062000000}"/>
    <hyperlink ref="E363" r:id="rId100" xr:uid="{00000000-0004-0000-0E00-000063000000}"/>
    <hyperlink ref="E364" r:id="rId101" xr:uid="{00000000-0004-0000-0E00-000064000000}"/>
    <hyperlink ref="E365" r:id="rId102" xr:uid="{00000000-0004-0000-0E00-000065000000}"/>
    <hyperlink ref="E366" r:id="rId103" xr:uid="{00000000-0004-0000-0E00-000066000000}"/>
    <hyperlink ref="E367" r:id="rId104" xr:uid="{00000000-0004-0000-0E00-000067000000}"/>
    <hyperlink ref="E368" r:id="rId105" xr:uid="{00000000-0004-0000-0E00-000068000000}"/>
    <hyperlink ref="E369" r:id="rId106" xr:uid="{00000000-0004-0000-0E00-000069000000}"/>
    <hyperlink ref="E370" r:id="rId107" xr:uid="{00000000-0004-0000-0E00-00006A000000}"/>
    <hyperlink ref="E371" r:id="rId108" xr:uid="{00000000-0004-0000-0E00-00006B000000}"/>
    <hyperlink ref="E372" r:id="rId109" xr:uid="{00000000-0004-0000-0E00-00006C000000}"/>
    <hyperlink ref="E373" r:id="rId110" xr:uid="{00000000-0004-0000-0E00-00006D000000}"/>
    <hyperlink ref="E374" r:id="rId111" xr:uid="{00000000-0004-0000-0E00-00006E000000}"/>
    <hyperlink ref="E375" r:id="rId112" xr:uid="{00000000-0004-0000-0E00-00006F000000}"/>
    <hyperlink ref="E376" r:id="rId113" xr:uid="{00000000-0004-0000-0E00-000070000000}"/>
    <hyperlink ref="E377" r:id="rId114" xr:uid="{00000000-0004-0000-0E00-000071000000}"/>
    <hyperlink ref="E378" r:id="rId115" xr:uid="{00000000-0004-0000-0E00-000072000000}"/>
    <hyperlink ref="E379" r:id="rId116" xr:uid="{00000000-0004-0000-0E00-000073000000}"/>
    <hyperlink ref="E380" r:id="rId117" xr:uid="{00000000-0004-0000-0E00-000074000000}"/>
    <hyperlink ref="E381" r:id="rId118" xr:uid="{00000000-0004-0000-0E00-000075000000}"/>
    <hyperlink ref="E382" r:id="rId119" xr:uid="{00000000-0004-0000-0E00-000076000000}"/>
    <hyperlink ref="E383" r:id="rId120" xr:uid="{00000000-0004-0000-0E00-000077000000}"/>
    <hyperlink ref="E384" r:id="rId121" xr:uid="{00000000-0004-0000-0E00-000078000000}"/>
    <hyperlink ref="E385" r:id="rId122" xr:uid="{00000000-0004-0000-0E00-000079000000}"/>
    <hyperlink ref="E386" r:id="rId123" xr:uid="{00000000-0004-0000-0E00-00007A000000}"/>
    <hyperlink ref="E387" r:id="rId124" xr:uid="{00000000-0004-0000-0E00-00007B000000}"/>
    <hyperlink ref="E388" r:id="rId125" xr:uid="{00000000-0004-0000-0E00-00007C000000}"/>
    <hyperlink ref="E389" r:id="rId126" xr:uid="{00000000-0004-0000-0E00-00007D000000}"/>
    <hyperlink ref="E390" r:id="rId127" xr:uid="{00000000-0004-0000-0E00-00007E000000}"/>
    <hyperlink ref="E391" r:id="rId128" xr:uid="{00000000-0004-0000-0E00-00007F000000}"/>
    <hyperlink ref="E392" r:id="rId129" xr:uid="{00000000-0004-0000-0E00-000080000000}"/>
    <hyperlink ref="E393" r:id="rId130" xr:uid="{00000000-0004-0000-0E00-000081000000}"/>
    <hyperlink ref="E394" r:id="rId131" xr:uid="{00000000-0004-0000-0E00-000082000000}"/>
    <hyperlink ref="E395" r:id="rId132" xr:uid="{00000000-0004-0000-0E00-000083000000}"/>
    <hyperlink ref="E396" r:id="rId133" xr:uid="{00000000-0004-0000-0E00-000084000000}"/>
    <hyperlink ref="E397" r:id="rId134" xr:uid="{00000000-0004-0000-0E00-000085000000}"/>
    <hyperlink ref="E398" r:id="rId135" xr:uid="{00000000-0004-0000-0E00-000086000000}"/>
    <hyperlink ref="E399" r:id="rId136" xr:uid="{00000000-0004-0000-0E00-000087000000}"/>
    <hyperlink ref="E400" r:id="rId137" xr:uid="{00000000-0004-0000-0E00-000088000000}"/>
    <hyperlink ref="E401" r:id="rId138" xr:uid="{00000000-0004-0000-0E00-000089000000}"/>
    <hyperlink ref="E402" r:id="rId139" xr:uid="{00000000-0004-0000-0E00-00008A000000}"/>
    <hyperlink ref="E403" r:id="rId140" xr:uid="{00000000-0004-0000-0E00-00008B000000}"/>
    <hyperlink ref="E404" r:id="rId141" xr:uid="{00000000-0004-0000-0E00-00008C000000}"/>
    <hyperlink ref="E405" r:id="rId142" xr:uid="{00000000-0004-0000-0E00-00008D000000}"/>
    <hyperlink ref="E406" r:id="rId143" xr:uid="{00000000-0004-0000-0E00-00008E000000}"/>
    <hyperlink ref="E407" r:id="rId144" xr:uid="{00000000-0004-0000-0E00-00008F000000}"/>
    <hyperlink ref="E408" r:id="rId145" xr:uid="{00000000-0004-0000-0E00-000090000000}"/>
    <hyperlink ref="E409" r:id="rId146" xr:uid="{00000000-0004-0000-0E00-000091000000}"/>
    <hyperlink ref="E410" r:id="rId147" xr:uid="{00000000-0004-0000-0E00-000092000000}"/>
    <hyperlink ref="E411" r:id="rId148" xr:uid="{00000000-0004-0000-0E00-000093000000}"/>
    <hyperlink ref="E412" r:id="rId149" xr:uid="{00000000-0004-0000-0E00-000094000000}"/>
    <hyperlink ref="E413" r:id="rId150" xr:uid="{00000000-0004-0000-0E00-000095000000}"/>
    <hyperlink ref="E414" r:id="rId151" xr:uid="{00000000-0004-0000-0E00-000096000000}"/>
    <hyperlink ref="E415" r:id="rId152" xr:uid="{00000000-0004-0000-0E00-000097000000}"/>
    <hyperlink ref="E416" r:id="rId153" xr:uid="{00000000-0004-0000-0E00-000098000000}"/>
    <hyperlink ref="E417" r:id="rId154" xr:uid="{00000000-0004-0000-0E00-000099000000}"/>
    <hyperlink ref="E418" r:id="rId155" xr:uid="{00000000-0004-0000-0E00-00009A000000}"/>
    <hyperlink ref="E419" r:id="rId156" xr:uid="{00000000-0004-0000-0E00-00009B000000}"/>
    <hyperlink ref="E420" r:id="rId157" xr:uid="{00000000-0004-0000-0E00-00009C000000}"/>
    <hyperlink ref="E421" r:id="rId158" xr:uid="{00000000-0004-0000-0E00-00009D000000}"/>
    <hyperlink ref="E422" r:id="rId159" xr:uid="{00000000-0004-0000-0E00-00009E000000}"/>
    <hyperlink ref="E423" r:id="rId160" xr:uid="{00000000-0004-0000-0E00-00009F000000}"/>
    <hyperlink ref="E424" r:id="rId161" xr:uid="{00000000-0004-0000-0E00-0000A0000000}"/>
    <hyperlink ref="E425" r:id="rId162" xr:uid="{00000000-0004-0000-0E00-0000A1000000}"/>
    <hyperlink ref="E426" r:id="rId163" xr:uid="{00000000-0004-0000-0E00-0000A2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ummaryRight="0"/>
  </sheetPr>
  <dimension ref="A1:AD1127"/>
  <sheetViews>
    <sheetView workbookViewId="0">
      <pane ySplit="2" topLeftCell="A3" activePane="bottomLeft" state="frozen"/>
      <selection pane="bottomLeft"/>
    </sheetView>
  </sheetViews>
  <sheetFormatPr defaultColWidth="14.42578125" defaultRowHeight="15.75" customHeight="1"/>
  <cols>
    <col min="1" max="1" width="5.85546875" customWidth="1"/>
    <col min="2" max="2" width="13.85546875" customWidth="1"/>
    <col min="3" max="3" width="5.85546875" customWidth="1"/>
    <col min="4" max="4" width="22.42578125" customWidth="1"/>
    <col min="5" max="5" width="10.7109375" customWidth="1"/>
    <col min="6" max="6" width="9.140625" customWidth="1"/>
    <col min="7" max="7" width="8.28515625" customWidth="1"/>
    <col min="8" max="8" width="9" customWidth="1"/>
    <col min="9" max="9" width="11.5703125" customWidth="1"/>
    <col min="10" max="10" width="29.85546875" customWidth="1"/>
    <col min="11" max="11" width="23.140625" customWidth="1"/>
    <col min="12" max="12" width="22.85546875" customWidth="1"/>
    <col min="25" max="25" width="22.85546875" customWidth="1"/>
  </cols>
  <sheetData>
    <row r="1" spans="1:30" ht="41.25" customHeight="1">
      <c r="A1" s="325">
        <f>COUNTA(A3:A1127)</f>
        <v>424</v>
      </c>
      <c r="B1" s="326"/>
      <c r="C1" s="326"/>
      <c r="E1" s="327"/>
      <c r="F1" s="328">
        <f>COUNTA(F3:F1127)</f>
        <v>148</v>
      </c>
      <c r="G1" s="327">
        <f>F1+H1</f>
        <v>424</v>
      </c>
      <c r="H1" s="328">
        <f>COUNTIF(H3:H1127,"yes")</f>
        <v>276</v>
      </c>
      <c r="I1" s="329" t="s">
        <v>4528</v>
      </c>
      <c r="J1" s="327" t="s">
        <v>4529</v>
      </c>
      <c r="K1" s="330" t="s">
        <v>4530</v>
      </c>
      <c r="L1" s="4" t="s">
        <v>4531</v>
      </c>
      <c r="M1" s="4" t="s">
        <v>4532</v>
      </c>
      <c r="N1" s="4" t="s">
        <v>4533</v>
      </c>
      <c r="O1" s="4" t="s">
        <v>4534</v>
      </c>
      <c r="P1" s="4" t="s">
        <v>4433</v>
      </c>
      <c r="Q1" s="4" t="s">
        <v>4535</v>
      </c>
      <c r="R1" s="4" t="s">
        <v>4536</v>
      </c>
      <c r="S1" s="4" t="s">
        <v>4537</v>
      </c>
      <c r="T1" s="4" t="s">
        <v>4538</v>
      </c>
      <c r="U1" s="4" t="s">
        <v>4539</v>
      </c>
      <c r="V1" s="4" t="s">
        <v>3990</v>
      </c>
      <c r="W1" s="4" t="s">
        <v>4540</v>
      </c>
      <c r="X1" s="10"/>
      <c r="Y1" s="10"/>
      <c r="Z1" s="10"/>
      <c r="AA1" s="10"/>
      <c r="AB1" s="10"/>
      <c r="AC1" s="10"/>
      <c r="AD1" s="10"/>
    </row>
    <row r="2" spans="1:30" ht="12.75">
      <c r="A2" s="218" t="s">
        <v>247</v>
      </c>
      <c r="B2" s="226" t="s">
        <v>3991</v>
      </c>
      <c r="C2" s="225" t="s">
        <v>3992</v>
      </c>
      <c r="D2" s="225" t="s">
        <v>251</v>
      </c>
      <c r="E2" s="226" t="s">
        <v>252</v>
      </c>
      <c r="F2" s="226" t="s">
        <v>3994</v>
      </c>
      <c r="G2" s="226" t="s">
        <v>3995</v>
      </c>
      <c r="H2" s="226" t="s">
        <v>3996</v>
      </c>
      <c r="I2" s="226">
        <f>SUM(J2:U2)</f>
        <v>148</v>
      </c>
      <c r="J2" s="270">
        <f t="shared" ref="J2:Q2" si="0">SUM(J3:J1127)</f>
        <v>1</v>
      </c>
      <c r="K2" s="270">
        <f t="shared" si="0"/>
        <v>20</v>
      </c>
      <c r="L2" s="270">
        <f t="shared" si="0"/>
        <v>26</v>
      </c>
      <c r="M2" s="270">
        <f t="shared" si="0"/>
        <v>1</v>
      </c>
      <c r="N2" s="270">
        <f t="shared" si="0"/>
        <v>2</v>
      </c>
      <c r="O2" s="270">
        <f t="shared" si="0"/>
        <v>47</v>
      </c>
      <c r="P2" s="45">
        <f t="shared" si="0"/>
        <v>8</v>
      </c>
      <c r="Q2" s="45">
        <f t="shared" si="0"/>
        <v>5</v>
      </c>
      <c r="R2" s="45">
        <f t="shared" ref="R2:U2" si="1">SUM(R3:R1127)</f>
        <v>1</v>
      </c>
      <c r="S2" s="45">
        <f t="shared" si="1"/>
        <v>30</v>
      </c>
      <c r="T2" s="45">
        <f t="shared" si="1"/>
        <v>6</v>
      </c>
      <c r="U2" s="45">
        <f t="shared" si="1"/>
        <v>1</v>
      </c>
    </row>
    <row r="3" spans="1:30" ht="12.75">
      <c r="A3" s="193" t="s">
        <v>4000</v>
      </c>
      <c r="B3" s="277">
        <v>2009</v>
      </c>
      <c r="C3" s="277">
        <v>19843481</v>
      </c>
      <c r="D3" s="278" t="str">
        <f t="shared" ref="D3:D13" si="2">"https://pubmed.ncbi.nlm.nih.gov/"&amp;C3</f>
        <v>https://pubmed.ncbi.nlm.nih.gov/19843481</v>
      </c>
      <c r="F3" s="28" t="s">
        <v>308</v>
      </c>
      <c r="G3" s="28" t="s">
        <v>4002</v>
      </c>
      <c r="I3" s="45">
        <f t="shared" ref="I3:I427" si="3">IF(LEN(H3)=0,IF(NOT(SUM(J3:U3)=1),"Problem",),IF(NOT(SUM(J3:U3)=0),"Problem",))</f>
        <v>0</v>
      </c>
      <c r="J3" s="97"/>
      <c r="K3" s="226">
        <v>1</v>
      </c>
      <c r="V3" s="275" t="s">
        <v>315</v>
      </c>
      <c r="W3" s="28" t="s">
        <v>4541</v>
      </c>
      <c r="Y3" s="28" t="s">
        <v>4542</v>
      </c>
      <c r="Z3" s="31">
        <f>COUNTIF(W3:W1127, "Search")</f>
        <v>240</v>
      </c>
      <c r="AA3" s="31"/>
      <c r="AB3" s="31"/>
      <c r="AC3" s="31"/>
      <c r="AD3" s="31"/>
    </row>
    <row r="4" spans="1:30" ht="12.75">
      <c r="A4" s="193" t="s">
        <v>4003</v>
      </c>
      <c r="B4" s="277">
        <v>2017</v>
      </c>
      <c r="C4" s="277">
        <v>28457665</v>
      </c>
      <c r="D4" s="278" t="str">
        <f t="shared" si="2"/>
        <v>https://pubmed.ncbi.nlm.nih.gov/28457665</v>
      </c>
      <c r="E4" s="28" t="s">
        <v>4004</v>
      </c>
      <c r="F4" s="28" t="s">
        <v>308</v>
      </c>
      <c r="G4" s="28" t="s">
        <v>4005</v>
      </c>
      <c r="I4" s="45">
        <f t="shared" si="3"/>
        <v>0</v>
      </c>
      <c r="J4" s="97"/>
      <c r="K4" s="97"/>
      <c r="P4" s="28">
        <v>1</v>
      </c>
      <c r="V4" s="275" t="s">
        <v>315</v>
      </c>
      <c r="W4" s="28" t="s">
        <v>4541</v>
      </c>
      <c r="Y4" s="28" t="s">
        <v>4543</v>
      </c>
      <c r="Z4" s="31">
        <f>COUNTIF(W3:W1127, "Reference")</f>
        <v>102</v>
      </c>
      <c r="AA4" s="31"/>
      <c r="AB4" s="31"/>
      <c r="AC4" s="31"/>
      <c r="AD4" s="31"/>
    </row>
    <row r="5" spans="1:30" ht="12.75">
      <c r="A5" s="193" t="s">
        <v>4006</v>
      </c>
      <c r="B5" s="277">
        <v>2015</v>
      </c>
      <c r="C5" s="277">
        <v>26252534</v>
      </c>
      <c r="D5" s="278" t="str">
        <f t="shared" si="2"/>
        <v>https://pubmed.ncbi.nlm.nih.gov/26252534</v>
      </c>
      <c r="F5" s="28" t="s">
        <v>308</v>
      </c>
      <c r="G5" s="28" t="s">
        <v>4002</v>
      </c>
      <c r="I5" s="45">
        <f t="shared" si="3"/>
        <v>0</v>
      </c>
      <c r="J5" s="97"/>
      <c r="K5" s="226">
        <v>1</v>
      </c>
      <c r="V5" s="275" t="s">
        <v>315</v>
      </c>
      <c r="W5" s="28" t="s">
        <v>4541</v>
      </c>
      <c r="Y5" s="28" t="s">
        <v>4544</v>
      </c>
      <c r="Z5" s="31">
        <f>COUNTIF(W3:W1127, "Zeb")</f>
        <v>15</v>
      </c>
      <c r="AA5" s="31"/>
      <c r="AB5" s="31"/>
      <c r="AC5" s="31"/>
      <c r="AD5" s="31"/>
    </row>
    <row r="6" spans="1:30" ht="12.75">
      <c r="A6" s="193" t="s">
        <v>296</v>
      </c>
      <c r="B6" s="277">
        <v>2016</v>
      </c>
      <c r="C6" s="277">
        <v>27001804</v>
      </c>
      <c r="D6" s="278" t="str">
        <f t="shared" si="2"/>
        <v>https://pubmed.ncbi.nlm.nih.gov/27001804</v>
      </c>
      <c r="E6" s="28" t="s">
        <v>317</v>
      </c>
      <c r="H6" s="28" t="s">
        <v>308</v>
      </c>
      <c r="I6" s="45">
        <f t="shared" si="3"/>
        <v>0</v>
      </c>
      <c r="J6" s="97"/>
      <c r="K6" s="97"/>
      <c r="V6" s="275" t="s">
        <v>315</v>
      </c>
      <c r="W6" s="28" t="s">
        <v>4541</v>
      </c>
      <c r="Y6" s="28" t="s">
        <v>4545</v>
      </c>
      <c r="Z6" s="31">
        <f>COUNTIF(W3:W1127, "Meta")</f>
        <v>66</v>
      </c>
      <c r="AA6" s="31"/>
      <c r="AB6" s="31"/>
      <c r="AC6" s="31"/>
      <c r="AD6" s="31"/>
    </row>
    <row r="7" spans="1:30" ht="12.75">
      <c r="A7" s="193" t="s">
        <v>338</v>
      </c>
      <c r="B7" s="277">
        <v>2013</v>
      </c>
      <c r="C7" s="277">
        <v>23457473</v>
      </c>
      <c r="D7" s="278" t="str">
        <f t="shared" si="2"/>
        <v>https://pubmed.ncbi.nlm.nih.gov/23457473</v>
      </c>
      <c r="E7" s="28" t="s">
        <v>351</v>
      </c>
      <c r="H7" s="28" t="s">
        <v>308</v>
      </c>
      <c r="I7" s="45">
        <f t="shared" si="3"/>
        <v>0</v>
      </c>
      <c r="J7" s="97"/>
      <c r="K7" s="97"/>
      <c r="V7" s="275" t="s">
        <v>315</v>
      </c>
      <c r="W7" s="28" t="s">
        <v>4541</v>
      </c>
      <c r="Y7" s="28" t="s">
        <v>4546</v>
      </c>
      <c r="Z7" s="31">
        <f>COUNTIF(W3:W1127, "Other")</f>
        <v>1</v>
      </c>
    </row>
    <row r="8" spans="1:30" ht="12.75">
      <c r="A8" s="193" t="s">
        <v>632</v>
      </c>
      <c r="B8" s="277">
        <v>2018</v>
      </c>
      <c r="C8" s="277">
        <v>29389671</v>
      </c>
      <c r="D8" s="278" t="str">
        <f t="shared" si="2"/>
        <v>https://pubmed.ncbi.nlm.nih.gov/29389671</v>
      </c>
      <c r="E8" s="28" t="s">
        <v>4010</v>
      </c>
      <c r="F8" s="28" t="s">
        <v>308</v>
      </c>
      <c r="G8" s="28" t="s">
        <v>4011</v>
      </c>
      <c r="I8" s="45">
        <f t="shared" si="3"/>
        <v>0</v>
      </c>
      <c r="J8" s="97"/>
      <c r="K8" s="97"/>
      <c r="O8" s="28">
        <v>1</v>
      </c>
      <c r="V8" s="275" t="s">
        <v>315</v>
      </c>
      <c r="W8" s="28" t="s">
        <v>4541</v>
      </c>
    </row>
    <row r="9" spans="1:30" ht="12.75">
      <c r="A9" s="193" t="s">
        <v>704</v>
      </c>
      <c r="B9" s="277">
        <v>2020</v>
      </c>
      <c r="C9" s="277">
        <v>31712214</v>
      </c>
      <c r="D9" s="278" t="str">
        <f t="shared" si="2"/>
        <v>https://pubmed.ncbi.nlm.nih.gov/31712214</v>
      </c>
      <c r="E9" s="28" t="s">
        <v>4010</v>
      </c>
      <c r="F9" s="28" t="s">
        <v>308</v>
      </c>
      <c r="G9" s="28" t="s">
        <v>4012</v>
      </c>
      <c r="I9" s="45">
        <f t="shared" si="3"/>
        <v>0</v>
      </c>
      <c r="J9" s="97"/>
      <c r="K9" s="97"/>
      <c r="O9" s="28">
        <v>1</v>
      </c>
      <c r="V9" s="275" t="s">
        <v>315</v>
      </c>
      <c r="W9" s="28" t="s">
        <v>4541</v>
      </c>
    </row>
    <row r="10" spans="1:30" ht="12.75">
      <c r="A10" s="193" t="s">
        <v>358</v>
      </c>
      <c r="B10" s="277">
        <v>2015</v>
      </c>
      <c r="C10" s="277">
        <v>26580997</v>
      </c>
      <c r="D10" s="278" t="str">
        <f t="shared" si="2"/>
        <v>https://pubmed.ncbi.nlm.nih.gov/26580997</v>
      </c>
      <c r="E10" s="28" t="s">
        <v>390</v>
      </c>
      <c r="H10" s="28" t="s">
        <v>308</v>
      </c>
      <c r="I10" s="45">
        <f t="shared" si="3"/>
        <v>0</v>
      </c>
      <c r="J10" s="97"/>
      <c r="K10" s="97"/>
      <c r="V10" s="275" t="s">
        <v>315</v>
      </c>
      <c r="W10" s="28" t="s">
        <v>4541</v>
      </c>
    </row>
    <row r="11" spans="1:30" ht="12.75">
      <c r="A11" s="193" t="s">
        <v>358</v>
      </c>
      <c r="B11" s="277">
        <v>2014</v>
      </c>
      <c r="C11" s="277">
        <v>25140957</v>
      </c>
      <c r="D11" s="278" t="str">
        <f t="shared" si="2"/>
        <v>https://pubmed.ncbi.nlm.nih.gov/25140957</v>
      </c>
      <c r="E11" s="28" t="s">
        <v>377</v>
      </c>
      <c r="H11" s="28" t="s">
        <v>308</v>
      </c>
      <c r="I11" s="45">
        <f t="shared" si="3"/>
        <v>0</v>
      </c>
      <c r="J11" s="97"/>
      <c r="K11" s="97"/>
      <c r="V11" s="275" t="s">
        <v>315</v>
      </c>
      <c r="W11" s="28" t="s">
        <v>4541</v>
      </c>
    </row>
    <row r="12" spans="1:30" ht="12.75">
      <c r="A12" s="193" t="s">
        <v>4014</v>
      </c>
      <c r="B12" s="277">
        <v>2017</v>
      </c>
      <c r="C12" s="277">
        <v>28464026</v>
      </c>
      <c r="D12" s="278" t="str">
        <f t="shared" si="2"/>
        <v>https://pubmed.ncbi.nlm.nih.gov/28464026</v>
      </c>
      <c r="E12" s="28" t="s">
        <v>4015</v>
      </c>
      <c r="F12" s="28" t="s">
        <v>308</v>
      </c>
      <c r="G12" s="28" t="s">
        <v>4016</v>
      </c>
      <c r="I12" s="45">
        <f t="shared" si="3"/>
        <v>0</v>
      </c>
      <c r="J12" s="97"/>
      <c r="K12" s="97"/>
      <c r="P12" s="28">
        <v>1</v>
      </c>
      <c r="V12" s="275" t="s">
        <v>315</v>
      </c>
      <c r="W12" s="28" t="s">
        <v>4541</v>
      </c>
    </row>
    <row r="13" spans="1:30" ht="12.75">
      <c r="A13" s="193" t="s">
        <v>4017</v>
      </c>
      <c r="B13" s="277">
        <v>2019</v>
      </c>
      <c r="C13" s="277">
        <v>30675854</v>
      </c>
      <c r="D13" s="278" t="str">
        <f t="shared" si="2"/>
        <v>https://pubmed.ncbi.nlm.nih.gov/30675854</v>
      </c>
      <c r="E13" s="28" t="s">
        <v>2582</v>
      </c>
      <c r="F13" s="28" t="s">
        <v>308</v>
      </c>
      <c r="G13" s="28" t="s">
        <v>4018</v>
      </c>
      <c r="I13" s="45">
        <f t="shared" si="3"/>
        <v>0</v>
      </c>
      <c r="J13" s="97"/>
      <c r="K13" s="97"/>
      <c r="L13" s="28">
        <v>1</v>
      </c>
      <c r="V13" s="275" t="s">
        <v>315</v>
      </c>
      <c r="W13" s="28" t="s">
        <v>4541</v>
      </c>
    </row>
    <row r="14" spans="1:30" ht="12.75">
      <c r="A14" s="203" t="s">
        <v>2572</v>
      </c>
      <c r="B14" s="279">
        <v>1973</v>
      </c>
      <c r="C14" s="279">
        <v>4583408</v>
      </c>
      <c r="D14" s="280" t="s">
        <v>2574</v>
      </c>
      <c r="E14" s="28" t="s">
        <v>2583</v>
      </c>
      <c r="F14" s="28" t="s">
        <v>308</v>
      </c>
      <c r="G14" s="28" t="s">
        <v>4020</v>
      </c>
      <c r="I14" s="45">
        <f t="shared" si="3"/>
        <v>0</v>
      </c>
      <c r="J14" s="97"/>
      <c r="K14" s="97"/>
      <c r="L14" s="28"/>
      <c r="S14" s="28">
        <v>1</v>
      </c>
      <c r="V14" s="275" t="s">
        <v>2582</v>
      </c>
      <c r="W14" s="28" t="s">
        <v>4547</v>
      </c>
    </row>
    <row r="15" spans="1:30" ht="12.75">
      <c r="A15" s="203" t="s">
        <v>2572</v>
      </c>
      <c r="B15" s="279">
        <v>1973</v>
      </c>
      <c r="C15" s="279">
        <v>4590095</v>
      </c>
      <c r="D15" s="280" t="s">
        <v>4022</v>
      </c>
      <c r="E15" s="28" t="s">
        <v>4023</v>
      </c>
      <c r="F15" s="28" t="s">
        <v>308</v>
      </c>
      <c r="G15" s="28" t="s">
        <v>4024</v>
      </c>
      <c r="I15" s="45">
        <f t="shared" si="3"/>
        <v>0</v>
      </c>
      <c r="J15" s="97"/>
      <c r="K15" s="97"/>
      <c r="L15" s="28"/>
      <c r="S15" s="28">
        <v>1</v>
      </c>
      <c r="V15" s="275" t="s">
        <v>2582</v>
      </c>
      <c r="W15" s="28" t="s">
        <v>4547</v>
      </c>
    </row>
    <row r="16" spans="1:30" ht="12.75">
      <c r="A16" s="203" t="s">
        <v>2572</v>
      </c>
      <c r="B16" s="279">
        <v>1975</v>
      </c>
      <c r="C16" s="279">
        <v>808142</v>
      </c>
      <c r="D16" s="280" t="s">
        <v>4025</v>
      </c>
      <c r="E16" s="28" t="s">
        <v>4026</v>
      </c>
      <c r="F16" s="28" t="s">
        <v>308</v>
      </c>
      <c r="G16" s="28" t="s">
        <v>4027</v>
      </c>
      <c r="I16" s="45">
        <f t="shared" si="3"/>
        <v>0</v>
      </c>
      <c r="J16" s="97"/>
      <c r="K16" s="97"/>
      <c r="L16" s="28"/>
      <c r="S16" s="28">
        <v>1</v>
      </c>
      <c r="V16" s="275" t="s">
        <v>2582</v>
      </c>
      <c r="W16" s="28" t="s">
        <v>4547</v>
      </c>
    </row>
    <row r="17" spans="1:23" ht="12.75">
      <c r="A17" s="203" t="s">
        <v>2594</v>
      </c>
      <c r="B17" s="279">
        <v>1992</v>
      </c>
      <c r="C17" s="279">
        <v>1346766</v>
      </c>
      <c r="D17" s="280" t="s">
        <v>2596</v>
      </c>
      <c r="E17" s="28" t="s">
        <v>2600</v>
      </c>
      <c r="G17" s="28"/>
      <c r="H17" s="28" t="s">
        <v>308</v>
      </c>
      <c r="I17" s="45">
        <f t="shared" si="3"/>
        <v>0</v>
      </c>
      <c r="J17" s="97"/>
      <c r="K17" s="97"/>
      <c r="L17" s="28"/>
      <c r="V17" s="275" t="s">
        <v>2582</v>
      </c>
      <c r="W17" s="28" t="s">
        <v>4547</v>
      </c>
    </row>
    <row r="18" spans="1:23" ht="12.75">
      <c r="A18" s="203" t="s">
        <v>2601</v>
      </c>
      <c r="B18" s="279">
        <v>1993</v>
      </c>
      <c r="C18" s="279">
        <v>8376823</v>
      </c>
      <c r="D18" s="280" t="s">
        <v>2603</v>
      </c>
      <c r="E18" s="28" t="s">
        <v>2609</v>
      </c>
      <c r="G18" s="28"/>
      <c r="H18" s="28" t="s">
        <v>308</v>
      </c>
      <c r="I18" s="45">
        <f t="shared" si="3"/>
        <v>0</v>
      </c>
      <c r="J18" s="97"/>
      <c r="K18" s="97"/>
      <c r="L18" s="28"/>
      <c r="V18" s="275" t="s">
        <v>2582</v>
      </c>
      <c r="W18" s="28" t="s">
        <v>4547</v>
      </c>
    </row>
    <row r="19" spans="1:23" ht="12.75">
      <c r="A19" s="203" t="s">
        <v>2616</v>
      </c>
      <c r="B19" s="279">
        <v>2011</v>
      </c>
      <c r="C19" s="279">
        <v>21903775</v>
      </c>
      <c r="D19" s="280" t="s">
        <v>2618</v>
      </c>
      <c r="E19" s="28" t="s">
        <v>2623</v>
      </c>
      <c r="G19" s="28"/>
      <c r="H19" s="28" t="s">
        <v>308</v>
      </c>
      <c r="I19" s="45">
        <f t="shared" si="3"/>
        <v>0</v>
      </c>
      <c r="J19" s="97"/>
      <c r="K19" s="97"/>
      <c r="L19" s="28"/>
      <c r="V19" s="275" t="s">
        <v>2582</v>
      </c>
      <c r="W19" s="28" t="s">
        <v>4547</v>
      </c>
    </row>
    <row r="20" spans="1:23" ht="12.75">
      <c r="A20" s="203" t="s">
        <v>1922</v>
      </c>
      <c r="B20" s="279">
        <v>1987</v>
      </c>
      <c r="C20" s="279">
        <v>2439920</v>
      </c>
      <c r="D20" s="280" t="s">
        <v>2630</v>
      </c>
      <c r="E20" s="28" t="s">
        <v>2635</v>
      </c>
      <c r="G20" s="28"/>
      <c r="H20" s="28" t="s">
        <v>308</v>
      </c>
      <c r="I20" s="45">
        <f t="shared" si="3"/>
        <v>0</v>
      </c>
      <c r="J20" s="97"/>
      <c r="K20" s="97"/>
      <c r="L20" s="28"/>
      <c r="V20" s="275" t="s">
        <v>2582</v>
      </c>
      <c r="W20" s="28" t="s">
        <v>4547</v>
      </c>
    </row>
    <row r="21" spans="1:23" ht="12.75">
      <c r="A21" s="203" t="s">
        <v>1922</v>
      </c>
      <c r="B21" s="279">
        <v>1988</v>
      </c>
      <c r="C21" s="279">
        <v>3043855</v>
      </c>
      <c r="D21" s="280" t="s">
        <v>4031</v>
      </c>
      <c r="E21" s="28" t="s">
        <v>4032</v>
      </c>
      <c r="F21" s="28" t="s">
        <v>308</v>
      </c>
      <c r="G21" s="28" t="s">
        <v>4548</v>
      </c>
      <c r="I21" s="45">
        <f t="shared" si="3"/>
        <v>0</v>
      </c>
      <c r="J21" s="97"/>
      <c r="K21" s="97"/>
      <c r="L21" s="28"/>
      <c r="Q21" s="28">
        <v>1</v>
      </c>
      <c r="V21" s="275" t="s">
        <v>2582</v>
      </c>
      <c r="W21" s="28" t="s">
        <v>4547</v>
      </c>
    </row>
    <row r="22" spans="1:23" ht="12.75">
      <c r="A22" s="203" t="s">
        <v>1922</v>
      </c>
      <c r="B22" s="279">
        <v>1990</v>
      </c>
      <c r="C22" s="279">
        <v>2094588</v>
      </c>
      <c r="D22" s="280" t="s">
        <v>2640</v>
      </c>
      <c r="E22" s="28" t="s">
        <v>2645</v>
      </c>
      <c r="G22" s="28"/>
      <c r="H22" s="28" t="s">
        <v>308</v>
      </c>
      <c r="I22" s="45">
        <f t="shared" si="3"/>
        <v>0</v>
      </c>
      <c r="J22" s="97"/>
      <c r="K22" s="97"/>
      <c r="L22" s="28"/>
      <c r="V22" s="275" t="s">
        <v>2582</v>
      </c>
      <c r="W22" s="28" t="s">
        <v>4547</v>
      </c>
    </row>
    <row r="23" spans="1:23" ht="12.75">
      <c r="A23" s="203" t="s">
        <v>1922</v>
      </c>
      <c r="B23" s="279">
        <v>1991</v>
      </c>
      <c r="C23" s="279">
        <v>1951863</v>
      </c>
      <c r="D23" s="280" t="s">
        <v>2647</v>
      </c>
      <c r="E23" s="28" t="s">
        <v>2655</v>
      </c>
      <c r="H23" s="28" t="s">
        <v>308</v>
      </c>
      <c r="I23" s="45">
        <f t="shared" si="3"/>
        <v>0</v>
      </c>
      <c r="J23" s="97"/>
      <c r="K23" s="97"/>
      <c r="L23" s="28"/>
      <c r="V23" s="275" t="s">
        <v>2582</v>
      </c>
      <c r="W23" s="28" t="s">
        <v>4547</v>
      </c>
    </row>
    <row r="24" spans="1:23" ht="12.75">
      <c r="A24" s="203" t="s">
        <v>2656</v>
      </c>
      <c r="B24" s="279">
        <v>1994</v>
      </c>
      <c r="C24" s="279">
        <v>7985753</v>
      </c>
      <c r="D24" s="280" t="s">
        <v>2658</v>
      </c>
      <c r="E24" s="28" t="s">
        <v>2668</v>
      </c>
      <c r="H24" s="28" t="s">
        <v>308</v>
      </c>
      <c r="I24" s="45">
        <f t="shared" si="3"/>
        <v>0</v>
      </c>
      <c r="J24" s="97"/>
      <c r="K24" s="97"/>
      <c r="L24" s="28"/>
      <c r="V24" s="275" t="s">
        <v>2582</v>
      </c>
      <c r="W24" s="28" t="s">
        <v>4547</v>
      </c>
    </row>
    <row r="25" spans="1:23" ht="12.75">
      <c r="A25" s="203" t="s">
        <v>2669</v>
      </c>
      <c r="B25" s="279">
        <v>2016</v>
      </c>
      <c r="C25" s="279">
        <v>27158907</v>
      </c>
      <c r="D25" s="280" t="s">
        <v>2671</v>
      </c>
      <c r="E25" s="28" t="s">
        <v>2683</v>
      </c>
      <c r="G25" s="28"/>
      <c r="H25" s="28" t="s">
        <v>308</v>
      </c>
      <c r="I25" s="45">
        <f t="shared" si="3"/>
        <v>0</v>
      </c>
      <c r="J25" s="97"/>
      <c r="K25" s="97"/>
      <c r="L25" s="28"/>
      <c r="V25" s="275" t="s">
        <v>2582</v>
      </c>
      <c r="W25" s="28" t="s">
        <v>4547</v>
      </c>
    </row>
    <row r="26" spans="1:23" ht="12.75">
      <c r="A26" s="203" t="s">
        <v>4037</v>
      </c>
      <c r="B26" s="279">
        <v>2013</v>
      </c>
      <c r="C26" s="279">
        <v>23874828</v>
      </c>
      <c r="D26" s="280" t="s">
        <v>4038</v>
      </c>
      <c r="E26" s="28"/>
      <c r="F26" s="28" t="s">
        <v>4039</v>
      </c>
      <c r="G26" s="28" t="s">
        <v>4040</v>
      </c>
      <c r="I26" s="45">
        <f t="shared" si="3"/>
        <v>0</v>
      </c>
      <c r="J26" s="97"/>
      <c r="K26" s="97"/>
      <c r="L26" s="28"/>
      <c r="O26" s="28">
        <v>1</v>
      </c>
      <c r="V26" s="275" t="s">
        <v>2582</v>
      </c>
      <c r="W26" s="28" t="s">
        <v>4547</v>
      </c>
    </row>
    <row r="27" spans="1:23" ht="12.75">
      <c r="A27" s="203" t="s">
        <v>1084</v>
      </c>
      <c r="B27" s="279">
        <v>2010</v>
      </c>
      <c r="C27" s="279">
        <v>21042404</v>
      </c>
      <c r="D27" s="280" t="s">
        <v>4041</v>
      </c>
      <c r="E27" s="28"/>
      <c r="F27" s="28" t="s">
        <v>308</v>
      </c>
      <c r="G27" s="28" t="s">
        <v>4042</v>
      </c>
      <c r="I27" s="45">
        <f t="shared" si="3"/>
        <v>0</v>
      </c>
      <c r="J27" s="97"/>
      <c r="K27" s="97"/>
      <c r="L27" s="28"/>
      <c r="O27" s="28">
        <v>1</v>
      </c>
      <c r="V27" s="275" t="s">
        <v>2582</v>
      </c>
      <c r="W27" s="28" t="s">
        <v>4547</v>
      </c>
    </row>
    <row r="28" spans="1:23" ht="12.75">
      <c r="A28" s="203" t="s">
        <v>1084</v>
      </c>
      <c r="B28" s="279">
        <v>2015</v>
      </c>
      <c r="C28" s="279">
        <v>26416102</v>
      </c>
      <c r="D28" s="280" t="s">
        <v>2706</v>
      </c>
      <c r="E28" s="28" t="s">
        <v>2717</v>
      </c>
      <c r="G28" s="28"/>
      <c r="H28" s="28" t="s">
        <v>308</v>
      </c>
      <c r="I28" s="45">
        <f t="shared" si="3"/>
        <v>0</v>
      </c>
      <c r="J28" s="97"/>
      <c r="K28" s="97"/>
      <c r="L28" s="28"/>
      <c r="V28" s="275" t="s">
        <v>2582</v>
      </c>
      <c r="W28" s="28" t="s">
        <v>4547</v>
      </c>
    </row>
    <row r="29" spans="1:23" ht="12.75">
      <c r="A29" s="203" t="s">
        <v>1084</v>
      </c>
      <c r="B29" s="279">
        <v>2017</v>
      </c>
      <c r="C29" s="279">
        <v>28223498</v>
      </c>
      <c r="D29" s="280" t="s">
        <v>2718</v>
      </c>
      <c r="E29" s="28" t="s">
        <v>2725</v>
      </c>
      <c r="G29" s="28"/>
      <c r="H29" s="28" t="s">
        <v>308</v>
      </c>
      <c r="I29" s="45">
        <f t="shared" si="3"/>
        <v>0</v>
      </c>
      <c r="J29" s="97"/>
      <c r="K29" s="97"/>
      <c r="L29" s="28"/>
      <c r="V29" s="275" t="s">
        <v>2582</v>
      </c>
      <c r="W29" s="28" t="s">
        <v>4547</v>
      </c>
    </row>
    <row r="30" spans="1:23" ht="12.75">
      <c r="A30" s="193" t="s">
        <v>391</v>
      </c>
      <c r="B30" s="277">
        <v>2016</v>
      </c>
      <c r="C30" s="277">
        <v>27448805</v>
      </c>
      <c r="D30" s="278" t="str">
        <f t="shared" ref="D30:D37" si="4">"https://pubmed.ncbi.nlm.nih.gov/"&amp;C30</f>
        <v>https://pubmed.ncbi.nlm.nih.gov/27448805</v>
      </c>
      <c r="E30" s="28" t="s">
        <v>402</v>
      </c>
      <c r="H30" s="28" t="s">
        <v>308</v>
      </c>
      <c r="I30" s="45">
        <f t="shared" si="3"/>
        <v>0</v>
      </c>
      <c r="J30" s="97"/>
      <c r="K30" s="97"/>
      <c r="V30" s="275" t="s">
        <v>315</v>
      </c>
      <c r="W30" s="28" t="s">
        <v>4541</v>
      </c>
    </row>
    <row r="31" spans="1:23" ht="12.75">
      <c r="A31" s="193" t="s">
        <v>408</v>
      </c>
      <c r="B31" s="277">
        <v>2021</v>
      </c>
      <c r="C31" s="277">
        <v>32645714</v>
      </c>
      <c r="D31" s="278" t="str">
        <f t="shared" si="4"/>
        <v>https://pubmed.ncbi.nlm.nih.gov/32645714</v>
      </c>
      <c r="E31" s="28" t="s">
        <v>422</v>
      </c>
      <c r="H31" s="28" t="s">
        <v>308</v>
      </c>
      <c r="I31" s="45">
        <f t="shared" si="3"/>
        <v>0</v>
      </c>
      <c r="J31" s="97"/>
      <c r="K31" s="97"/>
      <c r="V31" s="275" t="s">
        <v>315</v>
      </c>
      <c r="W31" s="28" t="s">
        <v>4541</v>
      </c>
    </row>
    <row r="32" spans="1:23" ht="12.75">
      <c r="A32" s="193" t="s">
        <v>4045</v>
      </c>
      <c r="B32" s="277">
        <v>2019</v>
      </c>
      <c r="C32" s="277">
        <v>31494096</v>
      </c>
      <c r="D32" s="278" t="str">
        <f t="shared" si="4"/>
        <v>https://pubmed.ncbi.nlm.nih.gov/31494096</v>
      </c>
      <c r="E32" s="28" t="s">
        <v>4046</v>
      </c>
      <c r="F32" s="28" t="s">
        <v>308</v>
      </c>
      <c r="G32" s="28" t="s">
        <v>4047</v>
      </c>
      <c r="I32" s="45">
        <f t="shared" si="3"/>
        <v>0</v>
      </c>
      <c r="J32" s="97"/>
      <c r="K32" s="226">
        <v>1</v>
      </c>
      <c r="V32" s="275" t="s">
        <v>315</v>
      </c>
      <c r="W32" s="28" t="s">
        <v>4541</v>
      </c>
    </row>
    <row r="33" spans="1:23" ht="12.75">
      <c r="A33" s="193" t="s">
        <v>423</v>
      </c>
      <c r="B33" s="277">
        <v>2020</v>
      </c>
      <c r="C33" s="277">
        <v>32066978</v>
      </c>
      <c r="D33" s="278" t="str">
        <f t="shared" si="4"/>
        <v>https://pubmed.ncbi.nlm.nih.gov/32066978</v>
      </c>
      <c r="E33" s="28" t="s">
        <v>439</v>
      </c>
      <c r="H33" s="28" t="s">
        <v>308</v>
      </c>
      <c r="I33" s="45">
        <f t="shared" si="3"/>
        <v>0</v>
      </c>
      <c r="J33" s="97"/>
      <c r="K33" s="97"/>
      <c r="V33" s="275" t="s">
        <v>315</v>
      </c>
      <c r="W33" s="28" t="s">
        <v>4541</v>
      </c>
    </row>
    <row r="34" spans="1:23" ht="12.75">
      <c r="A34" s="193" t="s">
        <v>1071</v>
      </c>
      <c r="B34" s="277">
        <v>2020</v>
      </c>
      <c r="C34" s="277">
        <v>32938444</v>
      </c>
      <c r="D34" s="278" t="str">
        <f t="shared" si="4"/>
        <v>https://pubmed.ncbi.nlm.nih.gov/32938444</v>
      </c>
      <c r="E34" s="28" t="s">
        <v>4010</v>
      </c>
      <c r="F34" s="28" t="s">
        <v>308</v>
      </c>
      <c r="G34" s="28" t="s">
        <v>4048</v>
      </c>
      <c r="I34" s="45">
        <f t="shared" si="3"/>
        <v>0</v>
      </c>
      <c r="J34" s="97"/>
      <c r="K34" s="97"/>
      <c r="O34" s="28">
        <v>1</v>
      </c>
      <c r="V34" s="275" t="s">
        <v>315</v>
      </c>
      <c r="W34" s="28" t="s">
        <v>4541</v>
      </c>
    </row>
    <row r="35" spans="1:23" ht="12.75">
      <c r="A35" s="193" t="s">
        <v>440</v>
      </c>
      <c r="B35" s="277">
        <v>2018</v>
      </c>
      <c r="C35" s="277">
        <v>29567461</v>
      </c>
      <c r="D35" s="278" t="str">
        <f t="shared" si="4"/>
        <v>https://pubmed.ncbi.nlm.nih.gov/29567461</v>
      </c>
      <c r="E35" s="28" t="s">
        <v>456</v>
      </c>
      <c r="H35" s="28" t="s">
        <v>308</v>
      </c>
      <c r="I35" s="45">
        <f t="shared" si="3"/>
        <v>0</v>
      </c>
      <c r="J35" s="97"/>
      <c r="K35" s="97"/>
      <c r="V35" s="275" t="s">
        <v>315</v>
      </c>
      <c r="W35" s="28" t="s">
        <v>4541</v>
      </c>
    </row>
    <row r="36" spans="1:23" ht="12.75">
      <c r="A36" s="193" t="s">
        <v>4050</v>
      </c>
      <c r="B36" s="277">
        <v>1999</v>
      </c>
      <c r="C36" s="277">
        <v>10411194</v>
      </c>
      <c r="D36" s="278" t="str">
        <f t="shared" si="4"/>
        <v>https://pubmed.ncbi.nlm.nih.gov/10411194</v>
      </c>
      <c r="E36" s="28" t="s">
        <v>4051</v>
      </c>
      <c r="F36" s="28" t="s">
        <v>308</v>
      </c>
      <c r="G36" s="28" t="s">
        <v>4052</v>
      </c>
      <c r="I36" s="45">
        <f t="shared" si="3"/>
        <v>0</v>
      </c>
      <c r="J36" s="97"/>
      <c r="K36" s="97"/>
      <c r="P36" s="28">
        <v>1</v>
      </c>
      <c r="V36" s="275" t="s">
        <v>315</v>
      </c>
      <c r="W36" s="28" t="s">
        <v>4541</v>
      </c>
    </row>
    <row r="37" spans="1:23" ht="12.75">
      <c r="A37" s="193" t="s">
        <v>4053</v>
      </c>
      <c r="B37" s="277">
        <v>2018</v>
      </c>
      <c r="C37" s="277">
        <v>29590182</v>
      </c>
      <c r="D37" s="278" t="str">
        <f t="shared" si="4"/>
        <v>https://pubmed.ncbi.nlm.nih.gov/29590182</v>
      </c>
      <c r="E37" s="28" t="s">
        <v>2743</v>
      </c>
      <c r="F37" s="28" t="s">
        <v>308</v>
      </c>
      <c r="G37" s="28" t="s">
        <v>4018</v>
      </c>
      <c r="I37" s="45">
        <f t="shared" si="3"/>
        <v>0</v>
      </c>
      <c r="J37" s="97"/>
      <c r="K37" s="97"/>
      <c r="L37" s="28">
        <v>1</v>
      </c>
      <c r="V37" s="275" t="s">
        <v>315</v>
      </c>
      <c r="W37" s="28" t="s">
        <v>4541</v>
      </c>
    </row>
    <row r="38" spans="1:23" ht="12.75">
      <c r="A38" s="203" t="s">
        <v>1616</v>
      </c>
      <c r="B38" s="279">
        <v>1999</v>
      </c>
      <c r="C38" s="279">
        <v>10377124</v>
      </c>
      <c r="D38" s="281" t="s">
        <v>2734</v>
      </c>
      <c r="E38" s="28" t="s">
        <v>2744</v>
      </c>
      <c r="G38" s="28"/>
      <c r="H38" s="28" t="s">
        <v>308</v>
      </c>
      <c r="I38" s="45">
        <f t="shared" si="3"/>
        <v>0</v>
      </c>
      <c r="J38" s="97"/>
      <c r="K38" s="97"/>
      <c r="L38" s="28"/>
      <c r="V38" s="275" t="s">
        <v>2743</v>
      </c>
      <c r="W38" s="28" t="s">
        <v>4547</v>
      </c>
    </row>
    <row r="39" spans="1:23" ht="12.75">
      <c r="A39" s="203" t="s">
        <v>2745</v>
      </c>
      <c r="B39" s="279">
        <v>1972</v>
      </c>
      <c r="C39" s="279">
        <v>4550416</v>
      </c>
      <c r="D39" s="281" t="s">
        <v>2746</v>
      </c>
      <c r="E39" s="28" t="s">
        <v>2755</v>
      </c>
      <c r="F39" s="28" t="s">
        <v>308</v>
      </c>
      <c r="G39" s="28" t="s">
        <v>4020</v>
      </c>
      <c r="I39" s="45">
        <f t="shared" si="3"/>
        <v>0</v>
      </c>
      <c r="J39" s="97"/>
      <c r="K39" s="97"/>
      <c r="L39" s="28"/>
      <c r="S39" s="28">
        <v>1</v>
      </c>
      <c r="V39" s="275" t="s">
        <v>2743</v>
      </c>
      <c r="W39" s="28" t="s">
        <v>4547</v>
      </c>
    </row>
    <row r="40" spans="1:23" ht="12.75">
      <c r="A40" s="203" t="s">
        <v>4055</v>
      </c>
      <c r="B40" s="279">
        <v>2001</v>
      </c>
      <c r="C40" s="283" t="s">
        <v>4056</v>
      </c>
      <c r="D40" s="28"/>
      <c r="E40" s="28" t="s">
        <v>4057</v>
      </c>
      <c r="F40" s="28" t="s">
        <v>308</v>
      </c>
      <c r="G40" s="28" t="s">
        <v>4058</v>
      </c>
      <c r="I40" s="45">
        <f t="shared" si="3"/>
        <v>0</v>
      </c>
      <c r="J40" s="97"/>
      <c r="K40" s="97"/>
      <c r="L40" s="28"/>
      <c r="T40" s="28">
        <v>1</v>
      </c>
      <c r="U40" s="28"/>
      <c r="V40" s="275" t="s">
        <v>2743</v>
      </c>
      <c r="W40" s="28" t="s">
        <v>4547</v>
      </c>
    </row>
    <row r="41" spans="1:23" ht="12.75">
      <c r="A41" s="203" t="s">
        <v>872</v>
      </c>
      <c r="B41" s="279">
        <v>2009</v>
      </c>
      <c r="C41" s="283" t="s">
        <v>4059</v>
      </c>
      <c r="D41" s="28"/>
      <c r="E41" s="28" t="s">
        <v>4057</v>
      </c>
      <c r="F41" s="28" t="s">
        <v>308</v>
      </c>
      <c r="G41" s="28" t="s">
        <v>4058</v>
      </c>
      <c r="I41" s="45">
        <f t="shared" si="3"/>
        <v>0</v>
      </c>
      <c r="J41" s="97"/>
      <c r="K41" s="97"/>
      <c r="L41" s="28"/>
      <c r="T41" s="28">
        <v>1</v>
      </c>
      <c r="U41" s="28"/>
      <c r="V41" s="275" t="s">
        <v>2743</v>
      </c>
      <c r="W41" s="28" t="s">
        <v>4547</v>
      </c>
    </row>
    <row r="42" spans="1:23" ht="12.75">
      <c r="A42" s="203" t="s">
        <v>1922</v>
      </c>
      <c r="B42" s="279">
        <v>1990</v>
      </c>
      <c r="C42" s="279">
        <v>2204243</v>
      </c>
      <c r="D42" s="281" t="s">
        <v>4060</v>
      </c>
      <c r="E42" s="28" t="s">
        <v>4010</v>
      </c>
      <c r="F42" s="28" t="s">
        <v>308</v>
      </c>
      <c r="G42" s="28" t="s">
        <v>4061</v>
      </c>
      <c r="I42" s="45">
        <f t="shared" si="3"/>
        <v>0</v>
      </c>
      <c r="J42" s="97"/>
      <c r="K42" s="97"/>
      <c r="L42" s="28"/>
      <c r="O42" s="28">
        <v>1</v>
      </c>
      <c r="V42" s="275" t="s">
        <v>2743</v>
      </c>
      <c r="W42" s="28" t="s">
        <v>4547</v>
      </c>
    </row>
    <row r="43" spans="1:23" ht="12.75">
      <c r="A43" s="203" t="s">
        <v>1980</v>
      </c>
      <c r="B43" s="279">
        <v>1995</v>
      </c>
      <c r="C43" s="279">
        <v>7639017</v>
      </c>
      <c r="D43" s="281" t="s">
        <v>2761</v>
      </c>
      <c r="E43" s="28" t="s">
        <v>2770</v>
      </c>
      <c r="G43" s="28"/>
      <c r="H43" s="28" t="s">
        <v>308</v>
      </c>
      <c r="I43" s="45">
        <f t="shared" si="3"/>
        <v>0</v>
      </c>
      <c r="J43" s="97"/>
      <c r="K43" s="97"/>
      <c r="L43" s="28"/>
      <c r="V43" s="275" t="s">
        <v>2743</v>
      </c>
      <c r="W43" s="28" t="s">
        <v>4547</v>
      </c>
    </row>
    <row r="44" spans="1:23" ht="12.75">
      <c r="A44" s="203" t="s">
        <v>1980</v>
      </c>
      <c r="B44" s="279">
        <v>1995</v>
      </c>
      <c r="C44" s="279">
        <v>8578831</v>
      </c>
      <c r="D44" s="281" t="s">
        <v>4063</v>
      </c>
      <c r="E44" s="28" t="s">
        <v>4010</v>
      </c>
      <c r="F44" s="28" t="s">
        <v>4039</v>
      </c>
      <c r="G44" s="28" t="s">
        <v>4064</v>
      </c>
      <c r="I44" s="45">
        <f t="shared" si="3"/>
        <v>0</v>
      </c>
      <c r="J44" s="97"/>
      <c r="K44" s="97"/>
      <c r="L44" s="28"/>
      <c r="O44" s="28">
        <v>1</v>
      </c>
      <c r="V44" s="275" t="s">
        <v>2743</v>
      </c>
      <c r="W44" s="28" t="s">
        <v>4547</v>
      </c>
    </row>
    <row r="45" spans="1:23" ht="12.75">
      <c r="A45" s="203" t="s">
        <v>1221</v>
      </c>
      <c r="B45" s="279">
        <v>2016</v>
      </c>
      <c r="C45" s="279">
        <v>27146000</v>
      </c>
      <c r="D45" s="281" t="s">
        <v>4065</v>
      </c>
      <c r="E45" s="28" t="s">
        <v>4010</v>
      </c>
      <c r="F45" s="28" t="s">
        <v>308</v>
      </c>
      <c r="G45" s="28" t="s">
        <v>4066</v>
      </c>
      <c r="I45" s="45">
        <f t="shared" si="3"/>
        <v>0</v>
      </c>
      <c r="J45" s="97"/>
      <c r="K45" s="97"/>
      <c r="L45" s="28"/>
      <c r="O45" s="28">
        <v>1</v>
      </c>
      <c r="V45" s="275" t="s">
        <v>2743</v>
      </c>
      <c r="W45" s="28" t="s">
        <v>4547</v>
      </c>
    </row>
    <row r="46" spans="1:23" ht="12.75">
      <c r="A46" s="203" t="s">
        <v>2319</v>
      </c>
      <c r="B46" s="279">
        <v>1992</v>
      </c>
      <c r="C46" s="279">
        <v>1524140</v>
      </c>
      <c r="D46" s="281" t="s">
        <v>2771</v>
      </c>
      <c r="E46" s="28" t="s">
        <v>2779</v>
      </c>
      <c r="H46" s="28" t="s">
        <v>308</v>
      </c>
      <c r="I46" s="45">
        <f t="shared" si="3"/>
        <v>0</v>
      </c>
      <c r="J46" s="97"/>
      <c r="K46" s="97"/>
      <c r="L46" s="28"/>
      <c r="V46" s="275" t="s">
        <v>2743</v>
      </c>
      <c r="W46" s="28" t="s">
        <v>4547</v>
      </c>
    </row>
    <row r="47" spans="1:23" ht="12.75">
      <c r="A47" s="203" t="s">
        <v>1331</v>
      </c>
      <c r="B47" s="279">
        <v>2017</v>
      </c>
      <c r="C47" s="284" t="s">
        <v>4068</v>
      </c>
      <c r="D47" s="28"/>
      <c r="E47" s="28" t="s">
        <v>4057</v>
      </c>
      <c r="F47" s="28" t="s">
        <v>308</v>
      </c>
      <c r="G47" s="28" t="s">
        <v>4058</v>
      </c>
      <c r="I47" s="45">
        <f t="shared" si="3"/>
        <v>0</v>
      </c>
      <c r="J47" s="97"/>
      <c r="K47" s="97"/>
      <c r="L47" s="28"/>
      <c r="T47" s="28">
        <v>1</v>
      </c>
      <c r="U47" s="28"/>
      <c r="V47" s="275" t="s">
        <v>2743</v>
      </c>
      <c r="W47" s="28" t="s">
        <v>4547</v>
      </c>
    </row>
    <row r="48" spans="1:23" ht="12.75">
      <c r="A48" s="203" t="s">
        <v>2783</v>
      </c>
      <c r="B48" s="279">
        <v>2006</v>
      </c>
      <c r="C48" s="285">
        <v>16586388</v>
      </c>
      <c r="D48" s="280" t="s">
        <v>2784</v>
      </c>
      <c r="E48" s="28" t="s">
        <v>2794</v>
      </c>
      <c r="G48" s="28"/>
      <c r="H48" s="28" t="s">
        <v>308</v>
      </c>
      <c r="I48" s="45">
        <f t="shared" si="3"/>
        <v>0</v>
      </c>
      <c r="J48" s="97"/>
      <c r="K48" s="97"/>
      <c r="L48" s="28"/>
      <c r="V48" s="275" t="s">
        <v>2743</v>
      </c>
      <c r="W48" s="28" t="s">
        <v>4547</v>
      </c>
    </row>
    <row r="49" spans="1:26" ht="12.75">
      <c r="A49" s="203" t="s">
        <v>4069</v>
      </c>
      <c r="B49" s="279">
        <v>1946</v>
      </c>
      <c r="C49" s="285">
        <v>20998311</v>
      </c>
      <c r="D49" s="280" t="s">
        <v>4070</v>
      </c>
      <c r="E49" s="28" t="s">
        <v>4071</v>
      </c>
      <c r="F49" s="28" t="s">
        <v>308</v>
      </c>
      <c r="G49" s="28" t="s">
        <v>4549</v>
      </c>
      <c r="I49" s="45">
        <f t="shared" si="3"/>
        <v>0</v>
      </c>
      <c r="J49" s="97"/>
      <c r="K49" s="97"/>
      <c r="L49" s="28"/>
      <c r="S49" s="28">
        <v>1</v>
      </c>
      <c r="V49" s="275" t="s">
        <v>2743</v>
      </c>
      <c r="W49" s="28" t="s">
        <v>4547</v>
      </c>
    </row>
    <row r="50" spans="1:26" ht="12.75">
      <c r="A50" s="193" t="s">
        <v>1255</v>
      </c>
      <c r="B50" s="277">
        <v>2018</v>
      </c>
      <c r="C50" s="277">
        <v>29482720</v>
      </c>
      <c r="D50" s="278" t="str">
        <f t="shared" ref="D50:D54" si="5">"https://pubmed.ncbi.nlm.nih.gov/"&amp;C50</f>
        <v>https://pubmed.ncbi.nlm.nih.gov/29482720</v>
      </c>
      <c r="E50" s="28" t="s">
        <v>4010</v>
      </c>
      <c r="F50" s="28" t="s">
        <v>308</v>
      </c>
      <c r="G50" s="28" t="s">
        <v>4072</v>
      </c>
      <c r="I50" s="45">
        <f t="shared" si="3"/>
        <v>0</v>
      </c>
      <c r="J50" s="97"/>
      <c r="K50" s="97"/>
      <c r="O50" s="28">
        <v>1</v>
      </c>
      <c r="V50" s="275" t="s">
        <v>315</v>
      </c>
      <c r="W50" s="28" t="s">
        <v>4541</v>
      </c>
    </row>
    <row r="51" spans="1:26" ht="12.75">
      <c r="A51" s="193" t="s">
        <v>4073</v>
      </c>
      <c r="B51" s="277">
        <v>2011</v>
      </c>
      <c r="C51" s="277">
        <v>21639872</v>
      </c>
      <c r="D51" s="278" t="str">
        <f t="shared" si="5"/>
        <v>https://pubmed.ncbi.nlm.nih.gov/21639872</v>
      </c>
      <c r="E51" s="28" t="s">
        <v>4074</v>
      </c>
      <c r="F51" s="28" t="s">
        <v>308</v>
      </c>
      <c r="G51" s="28" t="s">
        <v>4075</v>
      </c>
      <c r="I51" s="45">
        <f t="shared" si="3"/>
        <v>0</v>
      </c>
      <c r="J51" s="97"/>
      <c r="K51" s="226">
        <v>1</v>
      </c>
      <c r="V51" s="275" t="s">
        <v>315</v>
      </c>
      <c r="W51" s="28" t="s">
        <v>4541</v>
      </c>
    </row>
    <row r="52" spans="1:26" ht="12.75">
      <c r="A52" s="193" t="s">
        <v>464</v>
      </c>
      <c r="B52" s="277">
        <v>2018</v>
      </c>
      <c r="C52" s="277">
        <v>29684148</v>
      </c>
      <c r="D52" s="278" t="str">
        <f t="shared" si="5"/>
        <v>https://pubmed.ncbi.nlm.nih.gov/29684148</v>
      </c>
      <c r="E52" s="28" t="s">
        <v>479</v>
      </c>
      <c r="H52" s="28" t="s">
        <v>308</v>
      </c>
      <c r="I52" s="45">
        <f t="shared" si="3"/>
        <v>0</v>
      </c>
      <c r="J52" s="97"/>
      <c r="K52" s="97"/>
      <c r="V52" s="275" t="s">
        <v>315</v>
      </c>
      <c r="W52" s="28" t="s">
        <v>4541</v>
      </c>
    </row>
    <row r="53" spans="1:26" ht="12.75">
      <c r="A53" s="193" t="s">
        <v>480</v>
      </c>
      <c r="B53" s="277">
        <v>2019</v>
      </c>
      <c r="C53" s="277">
        <v>30787276</v>
      </c>
      <c r="D53" s="278" t="str">
        <f t="shared" si="5"/>
        <v>https://pubmed.ncbi.nlm.nih.gov/30787276</v>
      </c>
      <c r="E53" s="28" t="s">
        <v>490</v>
      </c>
      <c r="H53" s="28" t="s">
        <v>308</v>
      </c>
      <c r="I53" s="45">
        <f t="shared" si="3"/>
        <v>0</v>
      </c>
      <c r="J53" s="97"/>
      <c r="K53" s="97"/>
      <c r="V53" s="275" t="s">
        <v>315</v>
      </c>
      <c r="W53" s="28" t="s">
        <v>4541</v>
      </c>
    </row>
    <row r="54" spans="1:26" ht="12.75">
      <c r="A54" s="331" t="s">
        <v>1404</v>
      </c>
      <c r="B54" s="288">
        <v>2020</v>
      </c>
      <c r="C54" s="288">
        <v>32822347</v>
      </c>
      <c r="D54" s="289" t="str">
        <f t="shared" si="5"/>
        <v>https://pubmed.ncbi.nlm.nih.gov/32822347</v>
      </c>
      <c r="E54" s="113" t="s">
        <v>4010</v>
      </c>
      <c r="F54" s="113" t="s">
        <v>308</v>
      </c>
      <c r="G54" s="113" t="s">
        <v>4078</v>
      </c>
      <c r="H54" s="290"/>
      <c r="I54" s="45">
        <f t="shared" si="3"/>
        <v>0</v>
      </c>
      <c r="J54" s="97"/>
      <c r="K54" s="97"/>
      <c r="O54" s="28">
        <v>1</v>
      </c>
      <c r="V54" s="286" t="s">
        <v>315</v>
      </c>
      <c r="W54" s="28" t="s">
        <v>4541</v>
      </c>
    </row>
    <row r="55" spans="1:26" ht="12.75">
      <c r="A55" s="212" t="s">
        <v>502</v>
      </c>
      <c r="B55" s="332">
        <v>43983</v>
      </c>
      <c r="C55" s="333" t="s">
        <v>4550</v>
      </c>
      <c r="D55" s="300" t="str">
        <f t="shared" ref="D55:D63" si="6">"https://pubmed.ncbi.nlm.nih.gov/?term="&amp;C55</f>
        <v>https://pubmed.ncbi.nlm.nih.gov/?term=PMC7286377</v>
      </c>
      <c r="E55" s="313" t="s">
        <v>518</v>
      </c>
      <c r="F55" s="313"/>
      <c r="G55" s="315"/>
      <c r="H55" s="313" t="s">
        <v>511</v>
      </c>
      <c r="I55" s="45">
        <f t="shared" si="3"/>
        <v>0</v>
      </c>
      <c r="J55" s="315"/>
      <c r="K55" s="315"/>
      <c r="L55" s="42"/>
      <c r="M55" s="42"/>
      <c r="N55" s="42"/>
      <c r="O55" s="42"/>
      <c r="P55" s="42"/>
      <c r="Q55" s="42"/>
      <c r="R55" s="42"/>
      <c r="S55" s="42"/>
      <c r="T55" s="42"/>
      <c r="V55" s="225" t="s">
        <v>517</v>
      </c>
      <c r="W55" s="28" t="s">
        <v>4541</v>
      </c>
      <c r="X55" s="42"/>
      <c r="Y55" s="42"/>
      <c r="Z55" s="42"/>
    </row>
    <row r="56" spans="1:26" ht="12.75">
      <c r="A56" s="212" t="s">
        <v>519</v>
      </c>
      <c r="B56" s="334">
        <v>44256</v>
      </c>
      <c r="C56" s="227" t="s">
        <v>4551</v>
      </c>
      <c r="D56" s="228" t="str">
        <f t="shared" si="6"/>
        <v>https://pubmed.ncbi.nlm.nih.gov/?term=PMC7924584</v>
      </c>
      <c r="E56" s="226" t="s">
        <v>532</v>
      </c>
      <c r="F56" s="226"/>
      <c r="G56" s="97"/>
      <c r="H56" s="226" t="s">
        <v>511</v>
      </c>
      <c r="I56" s="45">
        <f t="shared" si="3"/>
        <v>0</v>
      </c>
      <c r="J56" s="97"/>
      <c r="K56" s="97"/>
      <c r="V56" s="225" t="s">
        <v>517</v>
      </c>
      <c r="W56" s="28" t="s">
        <v>4541</v>
      </c>
    </row>
    <row r="57" spans="1:26" ht="12.75">
      <c r="A57" s="212" t="s">
        <v>533</v>
      </c>
      <c r="B57" s="334">
        <v>42430</v>
      </c>
      <c r="C57" s="227" t="s">
        <v>4552</v>
      </c>
      <c r="D57" s="228" t="str">
        <f t="shared" si="6"/>
        <v>https://pubmed.ncbi.nlm.nih.gov/?term=PMC4775905</v>
      </c>
      <c r="E57" s="226" t="s">
        <v>545</v>
      </c>
      <c r="F57" s="226"/>
      <c r="G57" s="97"/>
      <c r="H57" s="226" t="s">
        <v>511</v>
      </c>
      <c r="I57" s="45">
        <f t="shared" si="3"/>
        <v>0</v>
      </c>
      <c r="J57" s="97"/>
      <c r="K57" s="97"/>
      <c r="V57" s="225" t="s">
        <v>517</v>
      </c>
      <c r="W57" s="28" t="s">
        <v>4541</v>
      </c>
    </row>
    <row r="58" spans="1:26" ht="12.75">
      <c r="A58" s="203" t="s">
        <v>551</v>
      </c>
      <c r="B58" s="334">
        <v>42064</v>
      </c>
      <c r="C58" s="227" t="s">
        <v>4553</v>
      </c>
      <c r="D58" s="228" t="str">
        <f t="shared" si="6"/>
        <v>https://pubmed.ncbi.nlm.nih.gov/?term=PMC5914500</v>
      </c>
      <c r="E58" s="226" t="s">
        <v>564</v>
      </c>
      <c r="F58" s="226"/>
      <c r="G58" s="97"/>
      <c r="H58" s="226" t="s">
        <v>511</v>
      </c>
      <c r="I58" s="45">
        <f t="shared" si="3"/>
        <v>0</v>
      </c>
      <c r="J58" s="97"/>
      <c r="K58" s="97"/>
      <c r="V58" s="225" t="s">
        <v>517</v>
      </c>
      <c r="W58" s="28" t="s">
        <v>4541</v>
      </c>
    </row>
    <row r="59" spans="1:26" ht="12.75">
      <c r="A59" s="203" t="s">
        <v>572</v>
      </c>
      <c r="B59" s="334">
        <v>41944</v>
      </c>
      <c r="C59" s="227" t="s">
        <v>4554</v>
      </c>
      <c r="D59" s="228" t="str">
        <f t="shared" si="6"/>
        <v>https://pubmed.ncbi.nlm.nih.gov/?term=PMC4208622</v>
      </c>
      <c r="E59" s="226" t="s">
        <v>4555</v>
      </c>
      <c r="F59" s="226"/>
      <c r="G59" s="226"/>
      <c r="H59" s="226" t="s">
        <v>511</v>
      </c>
      <c r="I59" s="45">
        <f t="shared" si="3"/>
        <v>0</v>
      </c>
      <c r="J59" s="97"/>
      <c r="K59" s="97"/>
      <c r="V59" s="225" t="s">
        <v>517</v>
      </c>
      <c r="W59" s="28" t="s">
        <v>4541</v>
      </c>
    </row>
    <row r="60" spans="1:26" ht="12.75">
      <c r="A60" s="203" t="s">
        <v>572</v>
      </c>
      <c r="B60" s="335">
        <v>41395</v>
      </c>
      <c r="C60" s="227" t="s">
        <v>4556</v>
      </c>
      <c r="D60" s="228" t="str">
        <f t="shared" si="6"/>
        <v>https://pubmed.ncbi.nlm.nih.gov/?term=PMC3651438</v>
      </c>
      <c r="E60" s="226" t="s">
        <v>584</v>
      </c>
      <c r="F60" s="226"/>
      <c r="G60" s="97"/>
      <c r="H60" s="226" t="s">
        <v>511</v>
      </c>
      <c r="I60" s="45">
        <f t="shared" si="3"/>
        <v>0</v>
      </c>
      <c r="J60" s="97"/>
      <c r="K60" s="97"/>
      <c r="V60" s="225" t="s">
        <v>517</v>
      </c>
      <c r="W60" s="28" t="s">
        <v>4541</v>
      </c>
    </row>
    <row r="61" spans="1:26" ht="12.75">
      <c r="A61" s="203" t="s">
        <v>604</v>
      </c>
      <c r="B61" s="334">
        <v>41214</v>
      </c>
      <c r="C61" s="227" t="s">
        <v>4557</v>
      </c>
      <c r="D61" s="228" t="str">
        <f t="shared" si="6"/>
        <v>https://pubmed.ncbi.nlm.nih.gov/?term=PMC3732056</v>
      </c>
      <c r="E61" s="226" t="s">
        <v>617</v>
      </c>
      <c r="F61" s="226"/>
      <c r="G61" s="226"/>
      <c r="H61" s="226" t="s">
        <v>511</v>
      </c>
      <c r="I61" s="45">
        <f t="shared" si="3"/>
        <v>0</v>
      </c>
      <c r="J61" s="97"/>
      <c r="K61" s="97"/>
      <c r="V61" s="225" t="s">
        <v>517</v>
      </c>
      <c r="W61" s="28" t="s">
        <v>4541</v>
      </c>
    </row>
    <row r="62" spans="1:26" ht="12.75">
      <c r="A62" s="212" t="s">
        <v>4084</v>
      </c>
      <c r="B62" s="334">
        <v>42095</v>
      </c>
      <c r="C62" s="227" t="s">
        <v>4558</v>
      </c>
      <c r="D62" s="228" t="str">
        <f t="shared" si="6"/>
        <v>https://pubmed.ncbi.nlm.nih.gov/?term=PMC4403409</v>
      </c>
      <c r="E62" s="226" t="s">
        <v>4085</v>
      </c>
      <c r="F62" s="226" t="s">
        <v>511</v>
      </c>
      <c r="G62" s="226" t="s">
        <v>4086</v>
      </c>
      <c r="H62" s="97"/>
      <c r="I62" s="45">
        <f t="shared" si="3"/>
        <v>0</v>
      </c>
      <c r="J62" s="97"/>
      <c r="K62" s="226">
        <v>1</v>
      </c>
      <c r="V62" s="225" t="s">
        <v>517</v>
      </c>
      <c r="W62" s="28" t="s">
        <v>4541</v>
      </c>
    </row>
    <row r="63" spans="1:26" ht="12.75">
      <c r="A63" s="212" t="s">
        <v>4087</v>
      </c>
      <c r="B63" s="334">
        <v>44256</v>
      </c>
      <c r="C63" s="227" t="s">
        <v>4088</v>
      </c>
      <c r="D63" s="228" t="str">
        <f t="shared" si="6"/>
        <v>https://pubmed.ncbi.nlm.nih.gov/?term=PMC8017236</v>
      </c>
      <c r="E63" s="226" t="s">
        <v>4089</v>
      </c>
      <c r="F63" s="226" t="s">
        <v>511</v>
      </c>
      <c r="G63" s="28" t="s">
        <v>4018</v>
      </c>
      <c r="H63" s="97"/>
      <c r="I63" s="45">
        <f t="shared" si="3"/>
        <v>0</v>
      </c>
      <c r="J63" s="97"/>
      <c r="K63" s="97"/>
      <c r="L63" s="28">
        <v>1</v>
      </c>
      <c r="V63" s="225" t="s">
        <v>517</v>
      </c>
      <c r="W63" s="28" t="s">
        <v>4541</v>
      </c>
    </row>
    <row r="64" spans="1:26" ht="12.75">
      <c r="A64" s="212" t="s">
        <v>4090</v>
      </c>
      <c r="B64" s="334">
        <v>44075</v>
      </c>
      <c r="C64" s="227"/>
      <c r="D64" s="253" t="s">
        <v>4559</v>
      </c>
      <c r="E64" s="226" t="s">
        <v>4091</v>
      </c>
      <c r="F64" s="226" t="s">
        <v>308</v>
      </c>
      <c r="G64" s="226" t="s">
        <v>4092</v>
      </c>
      <c r="I64" s="45">
        <f t="shared" si="3"/>
        <v>0</v>
      </c>
      <c r="J64" s="97"/>
      <c r="K64" s="97"/>
      <c r="L64" s="28"/>
      <c r="T64" s="28">
        <v>1</v>
      </c>
      <c r="U64" s="28"/>
      <c r="V64" s="225" t="s">
        <v>4089</v>
      </c>
      <c r="W64" s="28" t="s">
        <v>4547</v>
      </c>
    </row>
    <row r="65" spans="1:23" ht="12.75">
      <c r="A65" s="212" t="s">
        <v>1179</v>
      </c>
      <c r="B65" s="334">
        <v>43435</v>
      </c>
      <c r="C65" s="227"/>
      <c r="D65" s="254" t="s">
        <v>4560</v>
      </c>
      <c r="E65" s="226" t="s">
        <v>4091</v>
      </c>
      <c r="F65" s="226" t="s">
        <v>308</v>
      </c>
      <c r="G65" s="226" t="s">
        <v>4093</v>
      </c>
      <c r="I65" s="45">
        <f t="shared" si="3"/>
        <v>0</v>
      </c>
      <c r="J65" s="97"/>
      <c r="K65" s="97"/>
      <c r="L65" s="28"/>
      <c r="T65" s="28">
        <v>1</v>
      </c>
      <c r="U65" s="28"/>
      <c r="V65" s="225" t="s">
        <v>4089</v>
      </c>
      <c r="W65" s="28" t="s">
        <v>4547</v>
      </c>
    </row>
    <row r="66" spans="1:23" ht="12.75">
      <c r="A66" s="212" t="s">
        <v>618</v>
      </c>
      <c r="B66" s="334">
        <v>43191</v>
      </c>
      <c r="C66" s="227" t="s">
        <v>4094</v>
      </c>
      <c r="D66" s="228" t="str">
        <f t="shared" ref="D66:D73" si="7">"https://pubmed.ncbi.nlm.nih.gov/?term="&amp;C66</f>
        <v>https://pubmed.ncbi.nlm.nih.gov/?term=PMC5942845</v>
      </c>
      <c r="E66" s="226" t="s">
        <v>631</v>
      </c>
      <c r="F66" s="226"/>
      <c r="G66" s="97"/>
      <c r="H66" s="226" t="s">
        <v>511</v>
      </c>
      <c r="I66" s="45">
        <f t="shared" si="3"/>
        <v>0</v>
      </c>
      <c r="J66" s="97"/>
      <c r="K66" s="97"/>
      <c r="V66" s="225" t="s">
        <v>517</v>
      </c>
      <c r="W66" s="28" t="s">
        <v>4541</v>
      </c>
    </row>
    <row r="67" spans="1:23" ht="12.75">
      <c r="A67" s="212" t="s">
        <v>632</v>
      </c>
      <c r="B67" s="334">
        <v>43191</v>
      </c>
      <c r="C67" s="227" t="s">
        <v>4095</v>
      </c>
      <c r="D67" s="228" t="str">
        <f t="shared" si="7"/>
        <v>https://pubmed.ncbi.nlm.nih.gov/?term=PMC5873858</v>
      </c>
      <c r="E67" s="226" t="s">
        <v>647</v>
      </c>
      <c r="F67" s="226"/>
      <c r="G67" s="97"/>
      <c r="H67" s="226" t="s">
        <v>511</v>
      </c>
      <c r="I67" s="45">
        <f t="shared" si="3"/>
        <v>0</v>
      </c>
      <c r="J67" s="97"/>
      <c r="K67" s="97"/>
      <c r="V67" s="225" t="s">
        <v>517</v>
      </c>
      <c r="W67" s="28" t="s">
        <v>4541</v>
      </c>
    </row>
    <row r="68" spans="1:23" ht="12.75">
      <c r="A68" s="212" t="s">
        <v>4097</v>
      </c>
      <c r="B68" s="334">
        <v>43009</v>
      </c>
      <c r="C68" s="227" t="s">
        <v>4098</v>
      </c>
      <c r="D68" s="228" t="str">
        <f t="shared" si="7"/>
        <v>https://pubmed.ncbi.nlm.nih.gov/?term=PMC5531165</v>
      </c>
      <c r="E68" s="226" t="s">
        <v>4099</v>
      </c>
      <c r="F68" s="226" t="s">
        <v>511</v>
      </c>
      <c r="G68" s="226"/>
      <c r="H68" s="97"/>
      <c r="I68" s="45">
        <f t="shared" si="3"/>
        <v>0</v>
      </c>
      <c r="J68" s="226"/>
      <c r="K68" s="97"/>
      <c r="P68" s="28">
        <v>1</v>
      </c>
      <c r="V68" s="225" t="s">
        <v>517</v>
      </c>
      <c r="W68" s="28" t="s">
        <v>4541</v>
      </c>
    </row>
    <row r="69" spans="1:23" ht="12.75">
      <c r="A69" s="212" t="s">
        <v>653</v>
      </c>
      <c r="B69" s="334">
        <v>41244</v>
      </c>
      <c r="C69" s="227" t="s">
        <v>4101</v>
      </c>
      <c r="D69" s="228" t="str">
        <f t="shared" si="7"/>
        <v>https://pubmed.ncbi.nlm.nih.gov/?term=PMC3535858</v>
      </c>
      <c r="E69" s="226" t="s">
        <v>662</v>
      </c>
      <c r="F69" s="226"/>
      <c r="G69" s="97"/>
      <c r="H69" s="226" t="s">
        <v>511</v>
      </c>
      <c r="I69" s="45">
        <f t="shared" si="3"/>
        <v>0</v>
      </c>
      <c r="J69" s="97"/>
      <c r="K69" s="97"/>
      <c r="V69" s="225" t="s">
        <v>517</v>
      </c>
      <c r="W69" s="28" t="s">
        <v>4541</v>
      </c>
    </row>
    <row r="70" spans="1:23" ht="12.75">
      <c r="A70" s="212" t="s">
        <v>667</v>
      </c>
      <c r="B70" s="334">
        <v>42583</v>
      </c>
      <c r="C70" s="227" t="s">
        <v>4102</v>
      </c>
      <c r="D70" s="228" t="str">
        <f t="shared" si="7"/>
        <v>https://pubmed.ncbi.nlm.nih.gov/?term=PMC4988630</v>
      </c>
      <c r="E70" s="226" t="s">
        <v>682</v>
      </c>
      <c r="F70" s="226"/>
      <c r="G70" s="97"/>
      <c r="H70" s="226" t="s">
        <v>511</v>
      </c>
      <c r="I70" s="45">
        <f t="shared" si="3"/>
        <v>0</v>
      </c>
      <c r="J70" s="97"/>
      <c r="K70" s="97"/>
      <c r="V70" s="225" t="s">
        <v>517</v>
      </c>
      <c r="W70" s="28" t="s">
        <v>4541</v>
      </c>
    </row>
    <row r="71" spans="1:23" ht="12.75">
      <c r="A71" s="212" t="s">
        <v>686</v>
      </c>
      <c r="B71" s="334">
        <v>44013</v>
      </c>
      <c r="C71" s="227" t="s">
        <v>4103</v>
      </c>
      <c r="D71" s="228" t="str">
        <f t="shared" si="7"/>
        <v>https://pubmed.ncbi.nlm.nih.gov/?term=PMC7353841</v>
      </c>
      <c r="E71" s="226" t="s">
        <v>703</v>
      </c>
      <c r="F71" s="226"/>
      <c r="G71" s="97"/>
      <c r="H71" s="226" t="s">
        <v>511</v>
      </c>
      <c r="I71" s="45">
        <f t="shared" si="3"/>
        <v>0</v>
      </c>
      <c r="J71" s="97"/>
      <c r="K71" s="97"/>
      <c r="V71" s="225" t="s">
        <v>517</v>
      </c>
      <c r="W71" s="28" t="s">
        <v>4541</v>
      </c>
    </row>
    <row r="72" spans="1:23" ht="12.75">
      <c r="A72" s="212" t="s">
        <v>704</v>
      </c>
      <c r="B72" s="334">
        <v>43831</v>
      </c>
      <c r="C72" s="227" t="s">
        <v>4104</v>
      </c>
      <c r="D72" s="228" t="str">
        <f t="shared" si="7"/>
        <v>https://pubmed.ncbi.nlm.nih.gov/?term=PMC6985722</v>
      </c>
      <c r="E72" s="226" t="s">
        <v>714</v>
      </c>
      <c r="F72" s="226"/>
      <c r="G72" s="226"/>
      <c r="H72" s="226" t="s">
        <v>511</v>
      </c>
      <c r="I72" s="45">
        <f t="shared" si="3"/>
        <v>0</v>
      </c>
      <c r="J72" s="97"/>
      <c r="K72" s="97"/>
      <c r="V72" s="225" t="s">
        <v>517</v>
      </c>
      <c r="W72" s="28" t="s">
        <v>4541</v>
      </c>
    </row>
    <row r="73" spans="1:23" ht="12.75">
      <c r="A73" s="212" t="s">
        <v>715</v>
      </c>
      <c r="B73" s="334">
        <v>44136</v>
      </c>
      <c r="C73" s="227" t="s">
        <v>4105</v>
      </c>
      <c r="D73" s="228" t="str">
        <f t="shared" si="7"/>
        <v>https://pubmed.ncbi.nlm.nih.gov/?term=PMC7714523</v>
      </c>
      <c r="E73" s="226" t="s">
        <v>726</v>
      </c>
      <c r="F73" s="226" t="s">
        <v>308</v>
      </c>
      <c r="G73" s="226" t="s">
        <v>4106</v>
      </c>
      <c r="H73" s="226"/>
      <c r="I73" s="45">
        <f t="shared" si="3"/>
        <v>0</v>
      </c>
      <c r="J73" s="97"/>
      <c r="K73" s="97"/>
      <c r="O73" s="28">
        <v>1</v>
      </c>
      <c r="V73" s="225" t="s">
        <v>517</v>
      </c>
      <c r="W73" s="28" t="s">
        <v>4541</v>
      </c>
    </row>
    <row r="74" spans="1:23" ht="12.75">
      <c r="A74" s="212" t="s">
        <v>727</v>
      </c>
      <c r="B74" s="334">
        <v>43739</v>
      </c>
      <c r="C74" s="227" t="s">
        <v>729</v>
      </c>
      <c r="D74" s="253" t="s">
        <v>4561</v>
      </c>
      <c r="E74" s="226" t="s">
        <v>737</v>
      </c>
      <c r="F74" s="226"/>
      <c r="G74" s="226"/>
      <c r="H74" s="226" t="s">
        <v>308</v>
      </c>
      <c r="I74" s="45">
        <f t="shared" si="3"/>
        <v>0</v>
      </c>
      <c r="J74" s="97"/>
      <c r="K74" s="97"/>
      <c r="V74" s="225" t="s">
        <v>517</v>
      </c>
      <c r="W74" s="28" t="s">
        <v>4541</v>
      </c>
    </row>
    <row r="75" spans="1:23" ht="12.75">
      <c r="A75" s="212" t="s">
        <v>739</v>
      </c>
      <c r="B75" s="334">
        <v>41365</v>
      </c>
      <c r="C75" s="227" t="s">
        <v>4108</v>
      </c>
      <c r="D75" s="228" t="str">
        <f t="shared" ref="D75:D91" si="8">"https://pubmed.ncbi.nlm.nih.gov/?term="&amp;C75</f>
        <v>https://pubmed.ncbi.nlm.nih.gov/?term=PMC3707375</v>
      </c>
      <c r="E75" s="226" t="s">
        <v>749</v>
      </c>
      <c r="F75" s="226"/>
      <c r="G75" s="226"/>
      <c r="H75" s="226" t="s">
        <v>511</v>
      </c>
      <c r="I75" s="45">
        <f t="shared" si="3"/>
        <v>0</v>
      </c>
      <c r="J75" s="97"/>
      <c r="K75" s="97"/>
      <c r="V75" s="225" t="s">
        <v>517</v>
      </c>
      <c r="W75" s="28" t="s">
        <v>4541</v>
      </c>
    </row>
    <row r="76" spans="1:23" ht="12.75">
      <c r="A76" s="212" t="s">
        <v>750</v>
      </c>
      <c r="B76" s="334">
        <v>42370</v>
      </c>
      <c r="C76" s="227" t="s">
        <v>4109</v>
      </c>
      <c r="D76" s="228" t="str">
        <f t="shared" si="8"/>
        <v>https://pubmed.ncbi.nlm.nih.gov/?term=PMC4711822</v>
      </c>
      <c r="E76" s="226" t="s">
        <v>761</v>
      </c>
      <c r="H76" s="226" t="s">
        <v>511</v>
      </c>
      <c r="I76" s="45">
        <f t="shared" si="3"/>
        <v>0</v>
      </c>
      <c r="J76" s="226"/>
      <c r="K76" s="97"/>
      <c r="V76" s="225" t="s">
        <v>517</v>
      </c>
      <c r="W76" s="28" t="s">
        <v>4541</v>
      </c>
    </row>
    <row r="77" spans="1:23" ht="12.75">
      <c r="A77" s="212" t="s">
        <v>750</v>
      </c>
      <c r="B77" s="334">
        <v>42705</v>
      </c>
      <c r="C77" s="227" t="s">
        <v>4110</v>
      </c>
      <c r="D77" s="228" t="str">
        <f t="shared" si="8"/>
        <v>https://pubmed.ncbi.nlm.nih.gov/?term=PMC5147828</v>
      </c>
      <c r="E77" s="226" t="s">
        <v>772</v>
      </c>
      <c r="F77" s="226"/>
      <c r="G77" s="97"/>
      <c r="H77" s="226" t="s">
        <v>511</v>
      </c>
      <c r="I77" s="45">
        <f t="shared" si="3"/>
        <v>0</v>
      </c>
      <c r="J77" s="97"/>
      <c r="K77" s="97"/>
      <c r="V77" s="225" t="s">
        <v>517</v>
      </c>
      <c r="W77" s="28" t="s">
        <v>4541</v>
      </c>
    </row>
    <row r="78" spans="1:23" ht="12.75">
      <c r="A78" s="212" t="s">
        <v>773</v>
      </c>
      <c r="B78" s="334">
        <v>44105</v>
      </c>
      <c r="C78" s="227" t="s">
        <v>4112</v>
      </c>
      <c r="D78" s="228" t="str">
        <f t="shared" si="8"/>
        <v>https://pubmed.ncbi.nlm.nih.gov/?term=PMC7598925</v>
      </c>
      <c r="E78" s="226" t="s">
        <v>797</v>
      </c>
      <c r="F78" s="226"/>
      <c r="G78" s="226"/>
      <c r="H78" s="226" t="s">
        <v>511</v>
      </c>
      <c r="I78" s="45">
        <f t="shared" si="3"/>
        <v>0</v>
      </c>
      <c r="J78" s="97"/>
      <c r="K78" s="97"/>
      <c r="V78" s="225" t="s">
        <v>517</v>
      </c>
      <c r="W78" s="28" t="s">
        <v>4541</v>
      </c>
    </row>
    <row r="79" spans="1:23" ht="12.75">
      <c r="A79" s="212" t="s">
        <v>773</v>
      </c>
      <c r="B79" s="334">
        <v>43647</v>
      </c>
      <c r="C79" s="227" t="s">
        <v>4114</v>
      </c>
      <c r="D79" s="228" t="str">
        <f t="shared" si="8"/>
        <v>https://pubmed.ncbi.nlm.nih.gov/?term=PMC6892374</v>
      </c>
      <c r="E79" s="226" t="s">
        <v>784</v>
      </c>
      <c r="F79" s="97"/>
      <c r="G79" s="97"/>
      <c r="H79" s="226" t="s">
        <v>511</v>
      </c>
      <c r="I79" s="45">
        <f t="shared" si="3"/>
        <v>0</v>
      </c>
      <c r="J79" s="97"/>
      <c r="K79" s="97"/>
      <c r="V79" s="225" t="s">
        <v>517</v>
      </c>
      <c r="W79" s="28" t="s">
        <v>4541</v>
      </c>
    </row>
    <row r="80" spans="1:23" ht="12.75">
      <c r="A80" s="212" t="s">
        <v>801</v>
      </c>
      <c r="B80" s="334">
        <v>42217</v>
      </c>
      <c r="C80" s="227" t="s">
        <v>4115</v>
      </c>
      <c r="D80" s="228" t="str">
        <f t="shared" si="8"/>
        <v>https://pubmed.ncbi.nlm.nih.gov/?term=PMC4527105</v>
      </c>
      <c r="E80" s="226" t="s">
        <v>813</v>
      </c>
      <c r="F80" s="97"/>
      <c r="G80" s="97"/>
      <c r="H80" s="226" t="s">
        <v>511</v>
      </c>
      <c r="I80" s="45">
        <f t="shared" si="3"/>
        <v>0</v>
      </c>
      <c r="J80" s="97"/>
      <c r="K80" s="97"/>
      <c r="V80" s="225" t="s">
        <v>517</v>
      </c>
      <c r="W80" s="28" t="s">
        <v>4541</v>
      </c>
    </row>
    <row r="81" spans="1:23" ht="12.75">
      <c r="A81" s="212" t="s">
        <v>814</v>
      </c>
      <c r="B81" s="334">
        <v>43862</v>
      </c>
      <c r="C81" s="227" t="s">
        <v>4116</v>
      </c>
      <c r="D81" s="228" t="str">
        <f t="shared" si="8"/>
        <v>https://pubmed.ncbi.nlm.nih.gov/?term=PMC7045083</v>
      </c>
      <c r="E81" s="226" t="s">
        <v>826</v>
      </c>
      <c r="F81" s="97"/>
      <c r="G81" s="97"/>
      <c r="H81" s="226" t="s">
        <v>308</v>
      </c>
      <c r="I81" s="45">
        <f t="shared" si="3"/>
        <v>0</v>
      </c>
      <c r="J81" s="97"/>
      <c r="K81" s="97"/>
      <c r="V81" s="225" t="s">
        <v>517</v>
      </c>
      <c r="W81" s="28" t="s">
        <v>4541</v>
      </c>
    </row>
    <row r="82" spans="1:23" ht="12.75">
      <c r="A82" s="212" t="s">
        <v>854</v>
      </c>
      <c r="B82" s="334">
        <v>41730</v>
      </c>
      <c r="C82" s="227" t="s">
        <v>856</v>
      </c>
      <c r="D82" s="228" t="str">
        <f t="shared" si="8"/>
        <v>https://pubmed.ncbi.nlm.nih.gov/?term=PMC3969545</v>
      </c>
      <c r="E82" s="226" t="s">
        <v>870</v>
      </c>
      <c r="F82" s="226"/>
      <c r="G82" s="226"/>
      <c r="H82" s="226" t="s">
        <v>308</v>
      </c>
      <c r="I82" s="45">
        <f t="shared" si="3"/>
        <v>0</v>
      </c>
      <c r="J82" s="97"/>
      <c r="K82" s="226"/>
      <c r="V82" s="225" t="s">
        <v>517</v>
      </c>
      <c r="W82" s="28" t="s">
        <v>4541</v>
      </c>
    </row>
    <row r="83" spans="1:23" ht="12.75">
      <c r="A83" s="212" t="s">
        <v>872</v>
      </c>
      <c r="B83" s="334">
        <v>43525</v>
      </c>
      <c r="C83" s="227" t="s">
        <v>4119</v>
      </c>
      <c r="D83" s="228" t="str">
        <f t="shared" si="8"/>
        <v>https://pubmed.ncbi.nlm.nih.gov/?term=PMC6434318</v>
      </c>
      <c r="E83" s="226" t="s">
        <v>896</v>
      </c>
      <c r="H83" s="226" t="s">
        <v>308</v>
      </c>
      <c r="I83" s="45">
        <f t="shared" si="3"/>
        <v>0</v>
      </c>
      <c r="J83" s="226"/>
      <c r="K83" s="97"/>
      <c r="V83" s="225" t="s">
        <v>517</v>
      </c>
      <c r="W83" s="28" t="s">
        <v>4541</v>
      </c>
    </row>
    <row r="84" spans="1:23" ht="12.75">
      <c r="A84" s="212" t="s">
        <v>872</v>
      </c>
      <c r="B84" s="334">
        <v>40878</v>
      </c>
      <c r="C84" s="227" t="s">
        <v>4120</v>
      </c>
      <c r="D84" s="228" t="str">
        <f t="shared" si="8"/>
        <v>https://pubmed.ncbi.nlm.nih.gov/?term=PMC3232709</v>
      </c>
      <c r="E84" s="226" t="s">
        <v>4121</v>
      </c>
      <c r="F84" s="226" t="s">
        <v>511</v>
      </c>
      <c r="G84" s="226" t="s">
        <v>4122</v>
      </c>
      <c r="H84" s="97"/>
      <c r="I84" s="45">
        <f t="shared" si="3"/>
        <v>0</v>
      </c>
      <c r="J84" s="97"/>
      <c r="K84" s="226">
        <v>1</v>
      </c>
      <c r="V84" s="225" t="s">
        <v>517</v>
      </c>
      <c r="W84" s="28" t="s">
        <v>4541</v>
      </c>
    </row>
    <row r="85" spans="1:23" ht="12.75">
      <c r="A85" s="212" t="s">
        <v>872</v>
      </c>
      <c r="B85" s="334">
        <v>40817</v>
      </c>
      <c r="C85" s="227" t="s">
        <v>4123</v>
      </c>
      <c r="D85" s="228" t="str">
        <f t="shared" si="8"/>
        <v>https://pubmed.ncbi.nlm.nih.gov/?term=PMC3187035</v>
      </c>
      <c r="E85" s="226" t="s">
        <v>881</v>
      </c>
      <c r="H85" s="226" t="s">
        <v>308</v>
      </c>
      <c r="I85" s="45">
        <f t="shared" si="3"/>
        <v>0</v>
      </c>
      <c r="J85" s="226"/>
      <c r="K85" s="97"/>
      <c r="V85" s="225" t="s">
        <v>517</v>
      </c>
      <c r="W85" s="28" t="s">
        <v>4541</v>
      </c>
    </row>
    <row r="86" spans="1:23" ht="12.75">
      <c r="A86" s="212" t="s">
        <v>900</v>
      </c>
      <c r="B86" s="334">
        <v>44075</v>
      </c>
      <c r="C86" s="227" t="s">
        <v>4125</v>
      </c>
      <c r="D86" s="228" t="str">
        <f t="shared" si="8"/>
        <v>https://pubmed.ncbi.nlm.nih.gov/?term=PMC7486848</v>
      </c>
      <c r="E86" s="226" t="s">
        <v>914</v>
      </c>
      <c r="F86" s="97"/>
      <c r="G86" s="97"/>
      <c r="H86" s="226" t="s">
        <v>511</v>
      </c>
      <c r="I86" s="45">
        <f t="shared" si="3"/>
        <v>0</v>
      </c>
      <c r="J86" s="97"/>
      <c r="K86" s="97"/>
      <c r="V86" s="225" t="s">
        <v>517</v>
      </c>
      <c r="W86" s="28" t="s">
        <v>4541</v>
      </c>
    </row>
    <row r="87" spans="1:23" ht="12.75">
      <c r="A87" s="212" t="s">
        <v>919</v>
      </c>
      <c r="B87" s="334">
        <v>40575</v>
      </c>
      <c r="C87" s="227" t="s">
        <v>4126</v>
      </c>
      <c r="D87" s="228" t="str">
        <f t="shared" si="8"/>
        <v>https://pubmed.ncbi.nlm.nih.gov/?term=PMC3032484</v>
      </c>
      <c r="E87" s="226" t="s">
        <v>928</v>
      </c>
      <c r="F87" s="97"/>
      <c r="G87" s="97"/>
      <c r="H87" s="226" t="s">
        <v>511</v>
      </c>
      <c r="I87" s="45">
        <f t="shared" si="3"/>
        <v>0</v>
      </c>
      <c r="J87" s="97"/>
      <c r="K87" s="97"/>
      <c r="V87" s="225" t="s">
        <v>517</v>
      </c>
      <c r="W87" s="28" t="s">
        <v>4541</v>
      </c>
    </row>
    <row r="88" spans="1:23" ht="12.75">
      <c r="A88" s="212" t="s">
        <v>929</v>
      </c>
      <c r="B88" s="334">
        <v>42095</v>
      </c>
      <c r="C88" s="227" t="s">
        <v>4127</v>
      </c>
      <c r="D88" s="228" t="str">
        <f t="shared" si="8"/>
        <v>https://pubmed.ncbi.nlm.nih.gov/?term=PMC4354983</v>
      </c>
      <c r="E88" s="226" t="s">
        <v>950</v>
      </c>
      <c r="F88" s="226"/>
      <c r="G88" s="97"/>
      <c r="H88" s="226" t="s">
        <v>511</v>
      </c>
      <c r="I88" s="45">
        <f t="shared" si="3"/>
        <v>0</v>
      </c>
      <c r="J88" s="97"/>
      <c r="K88" s="97"/>
      <c r="V88" s="225" t="s">
        <v>517</v>
      </c>
      <c r="W88" s="28" t="s">
        <v>4541</v>
      </c>
    </row>
    <row r="89" spans="1:23" ht="12.75">
      <c r="A89" s="212" t="s">
        <v>929</v>
      </c>
      <c r="B89" s="334">
        <v>42095</v>
      </c>
      <c r="C89" s="227" t="s">
        <v>4130</v>
      </c>
      <c r="D89" s="228" t="str">
        <f t="shared" si="8"/>
        <v>https://pubmed.ncbi.nlm.nih.gov/?term=PMC4416324</v>
      </c>
      <c r="E89" s="226" t="s">
        <v>4131</v>
      </c>
      <c r="F89" s="226" t="s">
        <v>511</v>
      </c>
      <c r="G89" s="226" t="s">
        <v>4132</v>
      </c>
      <c r="H89" s="97"/>
      <c r="I89" s="45">
        <f t="shared" si="3"/>
        <v>0</v>
      </c>
      <c r="J89" s="226"/>
      <c r="K89" s="97"/>
      <c r="O89" s="28">
        <v>1</v>
      </c>
      <c r="V89" s="225" t="s">
        <v>517</v>
      </c>
      <c r="W89" s="28" t="s">
        <v>4541</v>
      </c>
    </row>
    <row r="90" spans="1:23" ht="12.75">
      <c r="A90" s="212" t="s">
        <v>929</v>
      </c>
      <c r="B90" s="334">
        <v>41974</v>
      </c>
      <c r="C90" s="227" t="s">
        <v>4133</v>
      </c>
      <c r="D90" s="228" t="str">
        <f t="shared" si="8"/>
        <v>https://pubmed.ncbi.nlm.nih.gov/?term=PMC4264479</v>
      </c>
      <c r="E90" s="226" t="s">
        <v>938</v>
      </c>
      <c r="F90" s="226"/>
      <c r="G90" s="226"/>
      <c r="H90" s="226" t="s">
        <v>511</v>
      </c>
      <c r="I90" s="45">
        <f t="shared" si="3"/>
        <v>0</v>
      </c>
      <c r="J90" s="97"/>
      <c r="K90" s="97"/>
      <c r="V90" s="225" t="s">
        <v>517</v>
      </c>
      <c r="W90" s="28" t="s">
        <v>4541</v>
      </c>
    </row>
    <row r="91" spans="1:23" ht="12.75">
      <c r="A91" s="212" t="s">
        <v>951</v>
      </c>
      <c r="B91" s="334">
        <v>39965</v>
      </c>
      <c r="C91" s="227" t="s">
        <v>4135</v>
      </c>
      <c r="D91" s="228" t="str">
        <f t="shared" si="8"/>
        <v>https://pubmed.ncbi.nlm.nih.gov/?term=PMC2682218</v>
      </c>
      <c r="E91" s="226" t="s">
        <v>958</v>
      </c>
      <c r="F91" s="226" t="s">
        <v>308</v>
      </c>
      <c r="G91" s="226" t="s">
        <v>4136</v>
      </c>
      <c r="H91" s="226"/>
      <c r="I91" s="45">
        <f t="shared" si="3"/>
        <v>0</v>
      </c>
      <c r="J91" s="97"/>
      <c r="K91" s="97"/>
      <c r="L91" s="28">
        <v>1</v>
      </c>
      <c r="V91" s="225" t="s">
        <v>517</v>
      </c>
      <c r="W91" s="28" t="s">
        <v>4541</v>
      </c>
    </row>
    <row r="92" spans="1:23" ht="12.75">
      <c r="A92" s="225" t="s">
        <v>2795</v>
      </c>
      <c r="B92" s="226">
        <v>1998</v>
      </c>
      <c r="C92" s="225">
        <v>9815220</v>
      </c>
      <c r="D92" s="253" t="s">
        <v>2797</v>
      </c>
      <c r="E92" s="226" t="s">
        <v>2806</v>
      </c>
      <c r="F92" s="226"/>
      <c r="G92" s="226"/>
      <c r="H92" s="226" t="s">
        <v>308</v>
      </c>
      <c r="I92" s="45">
        <f t="shared" si="3"/>
        <v>0</v>
      </c>
      <c r="J92" s="97"/>
      <c r="K92" s="97"/>
      <c r="L92" s="28"/>
      <c r="V92" s="225" t="s">
        <v>958</v>
      </c>
      <c r="W92" s="28" t="s">
        <v>4547</v>
      </c>
    </row>
    <row r="93" spans="1:23" ht="12.75">
      <c r="A93" s="225" t="s">
        <v>2795</v>
      </c>
      <c r="B93" s="226">
        <v>1999</v>
      </c>
      <c r="C93" s="225">
        <v>10191238</v>
      </c>
      <c r="D93" s="253" t="s">
        <v>2808</v>
      </c>
      <c r="E93" s="226" t="s">
        <v>2812</v>
      </c>
      <c r="F93" s="226"/>
      <c r="G93" s="226"/>
      <c r="H93" s="226" t="s">
        <v>308</v>
      </c>
      <c r="I93" s="45">
        <f t="shared" si="3"/>
        <v>0</v>
      </c>
      <c r="J93" s="97"/>
      <c r="K93" s="97"/>
      <c r="L93" s="28"/>
      <c r="V93" s="225" t="s">
        <v>958</v>
      </c>
      <c r="W93" s="28" t="s">
        <v>4547</v>
      </c>
    </row>
    <row r="94" spans="1:23" ht="12.75">
      <c r="A94" s="225" t="s">
        <v>2795</v>
      </c>
      <c r="B94" s="226">
        <v>2000</v>
      </c>
      <c r="C94" s="225">
        <v>10720550</v>
      </c>
      <c r="D94" s="253" t="s">
        <v>2816</v>
      </c>
      <c r="E94" s="226" t="s">
        <v>2822</v>
      </c>
      <c r="F94" s="226"/>
      <c r="G94" s="226"/>
      <c r="H94" s="226" t="s">
        <v>308</v>
      </c>
      <c r="I94" s="45">
        <f t="shared" si="3"/>
        <v>0</v>
      </c>
      <c r="J94" s="97"/>
      <c r="K94" s="97"/>
      <c r="L94" s="28"/>
      <c r="V94" s="225" t="s">
        <v>958</v>
      </c>
      <c r="W94" s="28" t="s">
        <v>4547</v>
      </c>
    </row>
    <row r="95" spans="1:23" ht="12.75">
      <c r="A95" s="225" t="s">
        <v>2795</v>
      </c>
      <c r="B95" s="226">
        <v>2000</v>
      </c>
      <c r="C95" s="225">
        <v>10720530</v>
      </c>
      <c r="D95" s="253" t="s">
        <v>2824</v>
      </c>
      <c r="E95" s="226" t="s">
        <v>2830</v>
      </c>
      <c r="F95" s="226"/>
      <c r="G95" s="226"/>
      <c r="H95" s="226" t="s">
        <v>308</v>
      </c>
      <c r="I95" s="45">
        <f t="shared" si="3"/>
        <v>0</v>
      </c>
      <c r="J95" s="97"/>
      <c r="K95" s="97"/>
      <c r="L95" s="28"/>
      <c r="V95" s="225" t="s">
        <v>958</v>
      </c>
      <c r="W95" s="28" t="s">
        <v>4547</v>
      </c>
    </row>
    <row r="96" spans="1:23" ht="12.75">
      <c r="A96" s="225" t="s">
        <v>2831</v>
      </c>
      <c r="B96" s="226">
        <v>2007</v>
      </c>
      <c r="C96" s="225">
        <v>17923525</v>
      </c>
      <c r="D96" s="253" t="s">
        <v>4141</v>
      </c>
      <c r="E96" s="226" t="s">
        <v>4142</v>
      </c>
      <c r="F96" s="226" t="s">
        <v>308</v>
      </c>
      <c r="G96" s="226" t="s">
        <v>4143</v>
      </c>
      <c r="H96" s="226"/>
      <c r="I96" s="45">
        <f t="shared" si="3"/>
        <v>0</v>
      </c>
      <c r="J96" s="97"/>
      <c r="K96" s="97"/>
      <c r="L96" s="28">
        <v>1</v>
      </c>
      <c r="V96" s="225" t="s">
        <v>958</v>
      </c>
      <c r="W96" s="28" t="s">
        <v>4547</v>
      </c>
    </row>
    <row r="97" spans="1:23" ht="12.75">
      <c r="A97" s="225" t="s">
        <v>2831</v>
      </c>
      <c r="B97" s="226">
        <v>2008</v>
      </c>
      <c r="C97" s="225">
        <v>18422457</v>
      </c>
      <c r="D97" s="253" t="s">
        <v>2833</v>
      </c>
      <c r="E97" s="226" t="s">
        <v>2836</v>
      </c>
      <c r="F97" s="226"/>
      <c r="G97" s="226"/>
      <c r="H97" s="226" t="s">
        <v>308</v>
      </c>
      <c r="I97" s="45">
        <f t="shared" si="3"/>
        <v>0</v>
      </c>
      <c r="J97" s="97"/>
      <c r="K97" s="97"/>
      <c r="L97" s="28"/>
      <c r="V97" s="225" t="s">
        <v>958</v>
      </c>
      <c r="W97" s="28" t="s">
        <v>4547</v>
      </c>
    </row>
    <row r="98" spans="1:23" ht="12.75">
      <c r="A98" s="225" t="s">
        <v>2837</v>
      </c>
      <c r="B98" s="226">
        <v>2000</v>
      </c>
      <c r="C98" s="225">
        <v>10722634</v>
      </c>
      <c r="D98" s="253" t="s">
        <v>4144</v>
      </c>
      <c r="E98" s="226" t="s">
        <v>4145</v>
      </c>
      <c r="F98" s="226" t="s">
        <v>308</v>
      </c>
      <c r="G98" s="226" t="s">
        <v>4146</v>
      </c>
      <c r="H98" s="226"/>
      <c r="I98" s="45">
        <f t="shared" si="3"/>
        <v>0</v>
      </c>
      <c r="J98" s="97"/>
      <c r="K98" s="97"/>
      <c r="L98" s="28">
        <v>1</v>
      </c>
      <c r="V98" s="225" t="s">
        <v>958</v>
      </c>
      <c r="W98" s="28" t="s">
        <v>4547</v>
      </c>
    </row>
    <row r="99" spans="1:23" ht="12.75">
      <c r="A99" s="225" t="s">
        <v>2837</v>
      </c>
      <c r="B99" s="226">
        <v>2009</v>
      </c>
      <c r="C99" s="225">
        <v>19199547</v>
      </c>
      <c r="D99" s="254" t="s">
        <v>2839</v>
      </c>
      <c r="E99" s="226" t="s">
        <v>2842</v>
      </c>
      <c r="F99" s="226"/>
      <c r="G99" s="226"/>
      <c r="H99" s="226" t="s">
        <v>308</v>
      </c>
      <c r="I99" s="45">
        <f t="shared" si="3"/>
        <v>0</v>
      </c>
      <c r="J99" s="97"/>
      <c r="K99" s="97"/>
      <c r="L99" s="28"/>
      <c r="V99" s="225" t="s">
        <v>958</v>
      </c>
      <c r="W99" s="28" t="s">
        <v>4547</v>
      </c>
    </row>
    <row r="100" spans="1:23" ht="12.75">
      <c r="A100" s="225" t="s">
        <v>2843</v>
      </c>
      <c r="B100" s="226">
        <v>2001</v>
      </c>
      <c r="C100" s="225">
        <v>11179317</v>
      </c>
      <c r="D100" s="254" t="s">
        <v>2845</v>
      </c>
      <c r="E100" s="226" t="s">
        <v>2850</v>
      </c>
      <c r="F100" s="226"/>
      <c r="G100" s="226"/>
      <c r="H100" s="226" t="s">
        <v>308</v>
      </c>
      <c r="I100" s="45">
        <f t="shared" si="3"/>
        <v>0</v>
      </c>
      <c r="J100" s="97"/>
      <c r="K100" s="97"/>
      <c r="L100" s="28"/>
      <c r="V100" s="225" t="s">
        <v>958</v>
      </c>
      <c r="W100" s="28" t="s">
        <v>4547</v>
      </c>
    </row>
    <row r="101" spans="1:23" ht="12.75">
      <c r="A101" s="225" t="s">
        <v>2843</v>
      </c>
      <c r="B101" s="226">
        <v>2002</v>
      </c>
      <c r="C101" s="225">
        <v>11818898</v>
      </c>
      <c r="D101" s="253" t="s">
        <v>4147</v>
      </c>
      <c r="E101" s="226" t="s">
        <v>4148</v>
      </c>
      <c r="F101" s="226" t="s">
        <v>308</v>
      </c>
      <c r="G101" s="226" t="s">
        <v>4149</v>
      </c>
      <c r="H101" s="226"/>
      <c r="I101" s="45">
        <f t="shared" si="3"/>
        <v>0</v>
      </c>
      <c r="J101" s="97"/>
      <c r="K101" s="97"/>
      <c r="L101" s="28">
        <v>1</v>
      </c>
      <c r="V101" s="225" t="s">
        <v>958</v>
      </c>
      <c r="W101" s="28" t="s">
        <v>4547</v>
      </c>
    </row>
    <row r="102" spans="1:23" ht="12.75">
      <c r="A102" s="225" t="s">
        <v>2843</v>
      </c>
      <c r="B102" s="226">
        <v>2002</v>
      </c>
      <c r="C102" s="225">
        <v>11854222</v>
      </c>
      <c r="D102" s="253" t="s">
        <v>2852</v>
      </c>
      <c r="E102" s="226" t="s">
        <v>2855</v>
      </c>
      <c r="F102" s="226"/>
      <c r="G102" s="226"/>
      <c r="H102" s="226" t="s">
        <v>308</v>
      </c>
      <c r="I102" s="45">
        <f t="shared" si="3"/>
        <v>0</v>
      </c>
      <c r="J102" s="97"/>
      <c r="K102" s="97"/>
      <c r="L102" s="28"/>
      <c r="V102" s="225" t="s">
        <v>958</v>
      </c>
      <c r="W102" s="28" t="s">
        <v>4547</v>
      </c>
    </row>
    <row r="103" spans="1:23" ht="12.75">
      <c r="A103" s="225" t="s">
        <v>2856</v>
      </c>
      <c r="B103" s="226">
        <v>2000</v>
      </c>
      <c r="C103" s="225">
        <v>11035757</v>
      </c>
      <c r="D103" s="254" t="s">
        <v>2858</v>
      </c>
      <c r="E103" s="226" t="s">
        <v>2863</v>
      </c>
      <c r="F103" s="226"/>
      <c r="G103" s="226"/>
      <c r="H103" s="226" t="s">
        <v>308</v>
      </c>
      <c r="I103" s="45">
        <f t="shared" si="3"/>
        <v>0</v>
      </c>
      <c r="J103" s="97"/>
      <c r="K103" s="97"/>
      <c r="L103" s="28"/>
      <c r="V103" s="225" t="s">
        <v>958</v>
      </c>
      <c r="W103" s="28" t="s">
        <v>4547</v>
      </c>
    </row>
    <row r="104" spans="1:23" ht="12.75">
      <c r="A104" s="225" t="s">
        <v>2864</v>
      </c>
      <c r="B104" s="226">
        <v>2006</v>
      </c>
      <c r="C104" s="225">
        <v>16622201</v>
      </c>
      <c r="D104" s="253" t="s">
        <v>2866</v>
      </c>
      <c r="E104" s="226" t="s">
        <v>2869</v>
      </c>
      <c r="F104" s="226"/>
      <c r="G104" s="226"/>
      <c r="H104" s="226" t="s">
        <v>308</v>
      </c>
      <c r="I104" s="45">
        <f t="shared" si="3"/>
        <v>0</v>
      </c>
      <c r="J104" s="97"/>
      <c r="K104" s="97"/>
      <c r="L104" s="28"/>
      <c r="V104" s="225" t="s">
        <v>958</v>
      </c>
      <c r="W104" s="28" t="s">
        <v>4547</v>
      </c>
    </row>
    <row r="105" spans="1:23" ht="12.75">
      <c r="A105" s="225" t="s">
        <v>4150</v>
      </c>
      <c r="B105" s="226">
        <v>2001</v>
      </c>
      <c r="C105" s="225">
        <v>11401958</v>
      </c>
      <c r="D105" s="253" t="s">
        <v>4151</v>
      </c>
      <c r="E105" s="226" t="s">
        <v>4152</v>
      </c>
      <c r="F105" s="226" t="s">
        <v>308</v>
      </c>
      <c r="G105" s="226" t="s">
        <v>4153</v>
      </c>
      <c r="H105" s="226"/>
      <c r="I105" s="45">
        <f t="shared" si="3"/>
        <v>0</v>
      </c>
      <c r="J105" s="97"/>
      <c r="K105" s="97"/>
      <c r="L105" s="28">
        <v>1</v>
      </c>
      <c r="V105" s="225" t="s">
        <v>958</v>
      </c>
      <c r="W105" s="28" t="s">
        <v>4547</v>
      </c>
    </row>
    <row r="106" spans="1:23" ht="12.75">
      <c r="A106" s="225" t="s">
        <v>2870</v>
      </c>
      <c r="B106" s="226">
        <v>2002</v>
      </c>
      <c r="C106" s="225">
        <v>12444138</v>
      </c>
      <c r="D106" s="253" t="s">
        <v>2871</v>
      </c>
      <c r="E106" s="226" t="s">
        <v>2874</v>
      </c>
      <c r="F106" s="226"/>
      <c r="G106" s="226"/>
      <c r="H106" s="226" t="s">
        <v>308</v>
      </c>
      <c r="I106" s="45">
        <f t="shared" si="3"/>
        <v>0</v>
      </c>
      <c r="J106" s="97"/>
      <c r="K106" s="97"/>
      <c r="L106" s="28"/>
      <c r="V106" s="225" t="s">
        <v>958</v>
      </c>
      <c r="W106" s="28" t="s">
        <v>4547</v>
      </c>
    </row>
    <row r="107" spans="1:23" ht="12.75">
      <c r="A107" s="225" t="s">
        <v>2870</v>
      </c>
      <c r="B107" s="226">
        <v>2007</v>
      </c>
      <c r="C107" s="225">
        <v>17893130</v>
      </c>
      <c r="D107" s="253" t="s">
        <v>2875</v>
      </c>
      <c r="E107" s="226" t="s">
        <v>2880</v>
      </c>
      <c r="F107" s="226"/>
      <c r="G107" s="226"/>
      <c r="H107" s="226" t="s">
        <v>308</v>
      </c>
      <c r="I107" s="45">
        <f t="shared" si="3"/>
        <v>0</v>
      </c>
      <c r="J107" s="97"/>
      <c r="K107" s="97"/>
      <c r="L107" s="28"/>
      <c r="V107" s="225" t="s">
        <v>958</v>
      </c>
      <c r="W107" s="28" t="s">
        <v>4547</v>
      </c>
    </row>
    <row r="108" spans="1:23" ht="12.75">
      <c r="A108" s="225" t="s">
        <v>951</v>
      </c>
      <c r="B108" s="226">
        <v>2004</v>
      </c>
      <c r="C108" s="225">
        <v>15271912</v>
      </c>
      <c r="D108" s="253" t="s">
        <v>2882</v>
      </c>
      <c r="E108" s="226" t="s">
        <v>2886</v>
      </c>
      <c r="F108" s="226"/>
      <c r="G108" s="226"/>
      <c r="H108" s="226" t="s">
        <v>308</v>
      </c>
      <c r="I108" s="45">
        <f t="shared" si="3"/>
        <v>0</v>
      </c>
      <c r="J108" s="97"/>
      <c r="K108" s="97"/>
      <c r="L108" s="28"/>
      <c r="V108" s="225" t="s">
        <v>958</v>
      </c>
      <c r="W108" s="28" t="s">
        <v>4547</v>
      </c>
    </row>
    <row r="109" spans="1:23" ht="12.75">
      <c r="A109" s="225" t="s">
        <v>951</v>
      </c>
      <c r="B109" s="226">
        <v>2006</v>
      </c>
      <c r="C109" s="225">
        <v>16428791</v>
      </c>
      <c r="D109" s="253" t="s">
        <v>2888</v>
      </c>
      <c r="E109" s="226" t="s">
        <v>2892</v>
      </c>
      <c r="F109" s="226"/>
      <c r="G109" s="226"/>
      <c r="H109" s="226" t="s">
        <v>308</v>
      </c>
      <c r="I109" s="45">
        <f t="shared" si="3"/>
        <v>0</v>
      </c>
      <c r="J109" s="97"/>
      <c r="K109" s="97"/>
      <c r="L109" s="28"/>
      <c r="V109" s="225" t="s">
        <v>958</v>
      </c>
      <c r="W109" s="28" t="s">
        <v>4547</v>
      </c>
    </row>
    <row r="110" spans="1:23" ht="12.75">
      <c r="A110" s="225" t="s">
        <v>951</v>
      </c>
      <c r="B110" s="226">
        <v>2006</v>
      </c>
      <c r="C110" s="225">
        <v>16426809</v>
      </c>
      <c r="D110" s="254" t="s">
        <v>2894</v>
      </c>
      <c r="E110" s="226" t="s">
        <v>2897</v>
      </c>
      <c r="F110" s="226"/>
      <c r="G110" s="226"/>
      <c r="H110" s="226" t="s">
        <v>308</v>
      </c>
      <c r="I110" s="45">
        <f t="shared" si="3"/>
        <v>0</v>
      </c>
      <c r="J110" s="97"/>
      <c r="K110" s="97"/>
      <c r="L110" s="28"/>
      <c r="V110" s="225" t="s">
        <v>958</v>
      </c>
      <c r="W110" s="28" t="s">
        <v>4547</v>
      </c>
    </row>
    <row r="111" spans="1:23" ht="12.75">
      <c r="A111" s="225" t="s">
        <v>951</v>
      </c>
      <c r="B111" s="226">
        <v>2007</v>
      </c>
      <c r="C111" s="225">
        <v>17436224</v>
      </c>
      <c r="D111" s="253" t="s">
        <v>2898</v>
      </c>
      <c r="E111" s="226" t="s">
        <v>2904</v>
      </c>
      <c r="F111" s="226"/>
      <c r="G111" s="226"/>
      <c r="H111" s="226" t="s">
        <v>308</v>
      </c>
      <c r="I111" s="45">
        <f t="shared" si="3"/>
        <v>0</v>
      </c>
      <c r="J111" s="97"/>
      <c r="K111" s="97"/>
      <c r="L111" s="28"/>
      <c r="V111" s="225" t="s">
        <v>958</v>
      </c>
      <c r="W111" s="28" t="s">
        <v>4547</v>
      </c>
    </row>
    <row r="112" spans="1:23" ht="12.75">
      <c r="A112" s="225" t="s">
        <v>2905</v>
      </c>
      <c r="B112" s="226">
        <v>2008</v>
      </c>
      <c r="C112" s="225">
        <v>18462159</v>
      </c>
      <c r="D112" s="254" t="s">
        <v>2907</v>
      </c>
      <c r="E112" s="226" t="s">
        <v>2909</v>
      </c>
      <c r="F112" s="226"/>
      <c r="G112" s="226"/>
      <c r="H112" s="226" t="s">
        <v>308</v>
      </c>
      <c r="I112" s="45">
        <f t="shared" si="3"/>
        <v>0</v>
      </c>
      <c r="J112" s="97"/>
      <c r="K112" s="97"/>
      <c r="L112" s="28"/>
      <c r="V112" s="225" t="s">
        <v>958</v>
      </c>
      <c r="W112" s="28" t="s">
        <v>4547</v>
      </c>
    </row>
    <row r="113" spans="1:23" ht="12.75">
      <c r="A113" s="225" t="s">
        <v>2910</v>
      </c>
      <c r="B113" s="226">
        <v>1998</v>
      </c>
      <c r="C113" s="225">
        <v>9815221</v>
      </c>
      <c r="D113" s="254" t="s">
        <v>4156</v>
      </c>
      <c r="E113" s="226" t="s">
        <v>4157</v>
      </c>
      <c r="F113" s="226" t="s">
        <v>308</v>
      </c>
      <c r="G113" s="226" t="s">
        <v>4153</v>
      </c>
      <c r="H113" s="226"/>
      <c r="I113" s="45">
        <f t="shared" si="3"/>
        <v>0</v>
      </c>
      <c r="J113" s="97"/>
      <c r="K113" s="97"/>
      <c r="L113" s="28">
        <v>1</v>
      </c>
      <c r="V113" s="225" t="s">
        <v>958</v>
      </c>
      <c r="W113" s="28" t="s">
        <v>4547</v>
      </c>
    </row>
    <row r="114" spans="1:23" ht="12.75">
      <c r="A114" s="225" t="s">
        <v>2910</v>
      </c>
      <c r="B114" s="226">
        <v>1998</v>
      </c>
      <c r="C114" s="225">
        <v>9652440</v>
      </c>
      <c r="D114" s="254" t="s">
        <v>2912</v>
      </c>
      <c r="E114" s="226" t="s">
        <v>2917</v>
      </c>
      <c r="F114" s="226"/>
      <c r="G114" s="226"/>
      <c r="H114" s="226" t="s">
        <v>308</v>
      </c>
      <c r="I114" s="45">
        <f t="shared" si="3"/>
        <v>0</v>
      </c>
      <c r="J114" s="97"/>
      <c r="K114" s="97"/>
      <c r="L114" s="28"/>
      <c r="V114" s="225" t="s">
        <v>958</v>
      </c>
      <c r="W114" s="28" t="s">
        <v>4547</v>
      </c>
    </row>
    <row r="115" spans="1:23" ht="12.75">
      <c r="A115" s="225" t="s">
        <v>2918</v>
      </c>
      <c r="B115" s="226">
        <v>1994</v>
      </c>
      <c r="C115" s="225">
        <v>8169411</v>
      </c>
      <c r="D115" s="253" t="s">
        <v>2920</v>
      </c>
      <c r="E115" s="226" t="s">
        <v>2924</v>
      </c>
      <c r="F115" s="226"/>
      <c r="G115" s="226"/>
      <c r="H115" s="226" t="s">
        <v>308</v>
      </c>
      <c r="I115" s="45">
        <f t="shared" si="3"/>
        <v>0</v>
      </c>
      <c r="J115" s="97"/>
      <c r="K115" s="97"/>
      <c r="L115" s="28"/>
      <c r="V115" s="225" t="s">
        <v>958</v>
      </c>
      <c r="W115" s="28" t="s">
        <v>4547</v>
      </c>
    </row>
    <row r="116" spans="1:23" ht="12.75">
      <c r="A116" s="225" t="s">
        <v>2918</v>
      </c>
      <c r="B116" s="226">
        <v>2003</v>
      </c>
      <c r="C116" s="225">
        <v>14573692</v>
      </c>
      <c r="D116" s="253" t="s">
        <v>3868</v>
      </c>
      <c r="E116" s="226" t="s">
        <v>4010</v>
      </c>
      <c r="F116" s="226" t="s">
        <v>308</v>
      </c>
      <c r="G116" s="226" t="s">
        <v>4158</v>
      </c>
      <c r="H116" s="226"/>
      <c r="I116" s="45">
        <f t="shared" si="3"/>
        <v>0</v>
      </c>
      <c r="J116" s="97"/>
      <c r="K116" s="97"/>
      <c r="L116" s="28"/>
      <c r="O116" s="28">
        <v>1</v>
      </c>
      <c r="V116" s="225" t="s">
        <v>958</v>
      </c>
      <c r="W116" s="28" t="s">
        <v>4547</v>
      </c>
    </row>
    <row r="117" spans="1:23" ht="12.75">
      <c r="A117" s="225" t="s">
        <v>2918</v>
      </c>
      <c r="B117" s="226">
        <v>2003</v>
      </c>
      <c r="C117" s="225">
        <v>14638812</v>
      </c>
      <c r="D117" s="254" t="s">
        <v>2927</v>
      </c>
      <c r="E117" s="226" t="s">
        <v>2931</v>
      </c>
      <c r="F117" s="226"/>
      <c r="G117" s="226"/>
      <c r="H117" s="226" t="s">
        <v>308</v>
      </c>
      <c r="I117" s="45">
        <f t="shared" si="3"/>
        <v>0</v>
      </c>
      <c r="J117" s="97"/>
      <c r="K117" s="97"/>
      <c r="L117" s="28"/>
      <c r="V117" s="225" t="s">
        <v>958</v>
      </c>
      <c r="W117" s="28" t="s">
        <v>4547</v>
      </c>
    </row>
    <row r="118" spans="1:23" ht="12.75">
      <c r="A118" s="225" t="s">
        <v>2932</v>
      </c>
      <c r="B118" s="226">
        <v>1998</v>
      </c>
      <c r="C118" s="225">
        <v>9607840</v>
      </c>
      <c r="D118" s="253" t="s">
        <v>2933</v>
      </c>
      <c r="E118" s="226" t="s">
        <v>2942</v>
      </c>
      <c r="F118" s="226"/>
      <c r="G118" s="226"/>
      <c r="H118" s="226" t="s">
        <v>308</v>
      </c>
      <c r="I118" s="45">
        <f t="shared" si="3"/>
        <v>0</v>
      </c>
      <c r="J118" s="97"/>
      <c r="K118" s="97"/>
      <c r="L118" s="28"/>
      <c r="V118" s="225" t="s">
        <v>958</v>
      </c>
      <c r="W118" s="28" t="s">
        <v>4547</v>
      </c>
    </row>
    <row r="119" spans="1:23" ht="12.75">
      <c r="A119" s="225" t="s">
        <v>2947</v>
      </c>
      <c r="B119" s="226">
        <v>2000</v>
      </c>
      <c r="C119" s="225">
        <v>10768950</v>
      </c>
      <c r="D119" s="253" t="s">
        <v>2949</v>
      </c>
      <c r="E119" s="226" t="s">
        <v>2953</v>
      </c>
      <c r="F119" s="226"/>
      <c r="G119" s="226"/>
      <c r="H119" s="226" t="s">
        <v>308</v>
      </c>
      <c r="I119" s="45">
        <f t="shared" si="3"/>
        <v>0</v>
      </c>
      <c r="J119" s="97"/>
      <c r="K119" s="97"/>
      <c r="L119" s="28"/>
      <c r="V119" s="225" t="s">
        <v>958</v>
      </c>
      <c r="W119" s="28" t="s">
        <v>4547</v>
      </c>
    </row>
    <row r="120" spans="1:23" ht="12.75">
      <c r="A120" s="225" t="s">
        <v>2954</v>
      </c>
      <c r="B120" s="226">
        <v>1999</v>
      </c>
      <c r="C120" s="225">
        <v>10569746</v>
      </c>
      <c r="D120" s="253" t="s">
        <v>2956</v>
      </c>
      <c r="E120" s="226" t="s">
        <v>2962</v>
      </c>
      <c r="F120" s="226"/>
      <c r="G120" s="226"/>
      <c r="H120" s="226" t="s">
        <v>308</v>
      </c>
      <c r="I120" s="45">
        <f t="shared" si="3"/>
        <v>0</v>
      </c>
      <c r="J120" s="97"/>
      <c r="K120" s="97"/>
      <c r="L120" s="28"/>
      <c r="V120" s="225" t="s">
        <v>958</v>
      </c>
      <c r="W120" s="28" t="s">
        <v>4547</v>
      </c>
    </row>
    <row r="121" spans="1:23" ht="12.75">
      <c r="A121" s="225" t="s">
        <v>2954</v>
      </c>
      <c r="B121" s="226">
        <v>2001</v>
      </c>
      <c r="C121" s="225">
        <v>11349097</v>
      </c>
      <c r="D121" s="253" t="s">
        <v>2966</v>
      </c>
      <c r="E121" s="226" t="s">
        <v>2972</v>
      </c>
      <c r="F121" s="226"/>
      <c r="G121" s="226"/>
      <c r="H121" s="226" t="s">
        <v>308</v>
      </c>
      <c r="I121" s="45">
        <f t="shared" si="3"/>
        <v>0</v>
      </c>
      <c r="J121" s="97"/>
      <c r="K121" s="97"/>
      <c r="L121" s="28"/>
      <c r="V121" s="225" t="s">
        <v>958</v>
      </c>
      <c r="W121" s="28" t="s">
        <v>4547</v>
      </c>
    </row>
    <row r="122" spans="1:23" ht="12.75">
      <c r="A122" s="225" t="s">
        <v>2954</v>
      </c>
      <c r="B122" s="226">
        <v>2001</v>
      </c>
      <c r="C122" s="225">
        <v>11179379</v>
      </c>
      <c r="D122" s="253" t="s">
        <v>2974</v>
      </c>
      <c r="E122" s="226" t="s">
        <v>2977</v>
      </c>
      <c r="F122" s="226"/>
      <c r="G122" s="226"/>
      <c r="H122" s="226" t="s">
        <v>308</v>
      </c>
      <c r="I122" s="45">
        <f t="shared" si="3"/>
        <v>0</v>
      </c>
      <c r="J122" s="97"/>
      <c r="K122" s="97"/>
      <c r="L122" s="28"/>
      <c r="V122" s="225" t="s">
        <v>958</v>
      </c>
      <c r="W122" s="28" t="s">
        <v>4547</v>
      </c>
    </row>
    <row r="123" spans="1:23" ht="12.75">
      <c r="A123" s="212" t="s">
        <v>959</v>
      </c>
      <c r="B123" s="334">
        <v>43070</v>
      </c>
      <c r="C123" s="227" t="s">
        <v>4161</v>
      </c>
      <c r="D123" s="228" t="str">
        <f t="shared" ref="D123:D166" si="9">"https://pubmed.ncbi.nlm.nih.gov/?term="&amp;C123</f>
        <v>https://pubmed.ncbi.nlm.nih.gov/?term=PMC5720597</v>
      </c>
      <c r="E123" s="226" t="s">
        <v>974</v>
      </c>
      <c r="F123" s="226"/>
      <c r="G123" s="226"/>
      <c r="H123" s="226" t="s">
        <v>308</v>
      </c>
      <c r="I123" s="45">
        <f t="shared" si="3"/>
        <v>0</v>
      </c>
      <c r="J123" s="97"/>
      <c r="K123" s="97"/>
      <c r="V123" s="225" t="s">
        <v>517</v>
      </c>
      <c r="W123" s="28" t="s">
        <v>4541</v>
      </c>
    </row>
    <row r="124" spans="1:23" ht="12.75">
      <c r="A124" s="212" t="s">
        <v>959</v>
      </c>
      <c r="B124" s="334">
        <v>43800</v>
      </c>
      <c r="C124" s="227" t="s">
        <v>4163</v>
      </c>
      <c r="D124" s="228" t="str">
        <f t="shared" si="9"/>
        <v>https://pubmed.ncbi.nlm.nih.gov/?term=PMC6948818</v>
      </c>
      <c r="E124" s="226" t="s">
        <v>986</v>
      </c>
      <c r="F124" s="28" t="s">
        <v>308</v>
      </c>
      <c r="G124" s="28" t="s">
        <v>4562</v>
      </c>
      <c r="H124" s="226"/>
      <c r="I124" s="45">
        <f t="shared" si="3"/>
        <v>0</v>
      </c>
      <c r="J124" s="226"/>
      <c r="K124" s="97"/>
      <c r="O124" s="28">
        <v>1</v>
      </c>
      <c r="V124" s="225" t="s">
        <v>517</v>
      </c>
      <c r="W124" s="28" t="s">
        <v>4541</v>
      </c>
    </row>
    <row r="125" spans="1:23" ht="12.75">
      <c r="A125" s="212" t="s">
        <v>987</v>
      </c>
      <c r="B125" s="334">
        <v>42583</v>
      </c>
      <c r="C125" s="227" t="s">
        <v>4165</v>
      </c>
      <c r="D125" s="228" t="str">
        <f t="shared" si="9"/>
        <v>https://pubmed.ncbi.nlm.nih.gov/?term=PMC4972157</v>
      </c>
      <c r="E125" s="226" t="s">
        <v>996</v>
      </c>
      <c r="F125" s="226"/>
      <c r="G125" s="226"/>
      <c r="H125" s="226" t="s">
        <v>308</v>
      </c>
      <c r="I125" s="45">
        <f t="shared" si="3"/>
        <v>0</v>
      </c>
      <c r="J125" s="226"/>
      <c r="K125" s="97"/>
      <c r="V125" s="225" t="s">
        <v>517</v>
      </c>
      <c r="W125" s="28" t="s">
        <v>4541</v>
      </c>
    </row>
    <row r="126" spans="1:23" ht="12.75">
      <c r="A126" s="212" t="s">
        <v>997</v>
      </c>
      <c r="B126" s="334">
        <v>42705</v>
      </c>
      <c r="C126" s="227" t="s">
        <v>4166</v>
      </c>
      <c r="D126" s="228" t="str">
        <f t="shared" si="9"/>
        <v>https://pubmed.ncbi.nlm.nih.gov/?term=PMC5179046</v>
      </c>
      <c r="E126" s="226" t="s">
        <v>1011</v>
      </c>
      <c r="F126" s="226"/>
      <c r="G126" s="97"/>
      <c r="H126" s="226" t="s">
        <v>511</v>
      </c>
      <c r="I126" s="45">
        <f t="shared" si="3"/>
        <v>0</v>
      </c>
      <c r="J126" s="97"/>
      <c r="K126" s="97"/>
      <c r="V126" s="225" t="s">
        <v>517</v>
      </c>
      <c r="W126" s="28" t="s">
        <v>4541</v>
      </c>
    </row>
    <row r="127" spans="1:23" ht="12.75">
      <c r="A127" s="212" t="s">
        <v>423</v>
      </c>
      <c r="B127" s="334">
        <v>43344</v>
      </c>
      <c r="C127" s="227" t="s">
        <v>4167</v>
      </c>
      <c r="D127" s="228" t="str">
        <f t="shared" si="9"/>
        <v>https://pubmed.ncbi.nlm.nih.gov/?term=PMC6169176</v>
      </c>
      <c r="E127" s="226" t="s">
        <v>1022</v>
      </c>
      <c r="F127" s="226"/>
      <c r="G127" s="97"/>
      <c r="H127" s="226" t="s">
        <v>511</v>
      </c>
      <c r="I127" s="45">
        <f t="shared" si="3"/>
        <v>0</v>
      </c>
      <c r="J127" s="97"/>
      <c r="K127" s="97"/>
      <c r="V127" s="225" t="s">
        <v>517</v>
      </c>
      <c r="W127" s="28" t="s">
        <v>4541</v>
      </c>
    </row>
    <row r="128" spans="1:23" ht="12.75">
      <c r="A128" s="212" t="s">
        <v>1023</v>
      </c>
      <c r="B128" s="334">
        <v>41456</v>
      </c>
      <c r="C128" s="227" t="s">
        <v>4168</v>
      </c>
      <c r="D128" s="228" t="str">
        <f t="shared" si="9"/>
        <v>https://pubmed.ncbi.nlm.nih.gov/?term=PMC3712927</v>
      </c>
      <c r="E128" s="226" t="s">
        <v>1034</v>
      </c>
      <c r="H128" s="226" t="s">
        <v>308</v>
      </c>
      <c r="I128" s="45">
        <f t="shared" si="3"/>
        <v>0</v>
      </c>
      <c r="J128" s="226"/>
      <c r="K128" s="97"/>
      <c r="V128" s="225" t="s">
        <v>517</v>
      </c>
      <c r="W128" s="28" t="s">
        <v>4541</v>
      </c>
    </row>
    <row r="129" spans="1:23" ht="12.75">
      <c r="A129" s="212" t="s">
        <v>1035</v>
      </c>
      <c r="B129" s="334">
        <v>43132</v>
      </c>
      <c r="C129" s="227" t="s">
        <v>4170</v>
      </c>
      <c r="D129" s="228" t="str">
        <f t="shared" si="9"/>
        <v>https://pubmed.ncbi.nlm.nih.gov/?term=PMC5929186</v>
      </c>
      <c r="E129" s="226" t="s">
        <v>1047</v>
      </c>
      <c r="F129" s="226"/>
      <c r="G129" s="226"/>
      <c r="H129" s="226" t="s">
        <v>511</v>
      </c>
      <c r="I129" s="45">
        <f t="shared" si="3"/>
        <v>0</v>
      </c>
      <c r="J129" s="97"/>
      <c r="K129" s="97"/>
      <c r="V129" s="225" t="s">
        <v>517</v>
      </c>
      <c r="W129" s="28" t="s">
        <v>4541</v>
      </c>
    </row>
    <row r="130" spans="1:23" ht="12.75">
      <c r="A130" s="212" t="s">
        <v>1052</v>
      </c>
      <c r="B130" s="334">
        <v>41091</v>
      </c>
      <c r="C130" s="227" t="s">
        <v>4172</v>
      </c>
      <c r="D130" s="228" t="str">
        <f t="shared" si="9"/>
        <v>https://pubmed.ncbi.nlm.nih.gov/?term=PMC3778896</v>
      </c>
      <c r="E130" s="226" t="s">
        <v>1063</v>
      </c>
      <c r="F130" s="97"/>
      <c r="G130" s="97"/>
      <c r="H130" s="226" t="s">
        <v>511</v>
      </c>
      <c r="I130" s="45">
        <f t="shared" si="3"/>
        <v>0</v>
      </c>
      <c r="J130" s="97"/>
      <c r="K130" s="97"/>
      <c r="V130" s="225" t="s">
        <v>517</v>
      </c>
      <c r="W130" s="28" t="s">
        <v>4541</v>
      </c>
    </row>
    <row r="131" spans="1:23" ht="12.75">
      <c r="A131" s="212" t="s">
        <v>1071</v>
      </c>
      <c r="B131" s="334">
        <v>44075</v>
      </c>
      <c r="C131" s="227" t="s">
        <v>4174</v>
      </c>
      <c r="D131" s="228" t="str">
        <f t="shared" si="9"/>
        <v>https://pubmed.ncbi.nlm.nih.gov/?term=PMC7493140</v>
      </c>
      <c r="E131" s="226" t="s">
        <v>1083</v>
      </c>
      <c r="F131" s="97"/>
      <c r="G131" s="97"/>
      <c r="H131" s="226" t="s">
        <v>511</v>
      </c>
      <c r="I131" s="45">
        <f t="shared" si="3"/>
        <v>0</v>
      </c>
      <c r="J131" s="97"/>
      <c r="K131" s="97"/>
      <c r="V131" s="225" t="s">
        <v>517</v>
      </c>
      <c r="W131" s="28" t="s">
        <v>4541</v>
      </c>
    </row>
    <row r="132" spans="1:23" ht="12.75">
      <c r="A132" s="212" t="s">
        <v>1084</v>
      </c>
      <c r="B132" s="334">
        <v>40452</v>
      </c>
      <c r="C132" s="227" t="s">
        <v>4176</v>
      </c>
      <c r="D132" s="228" t="str">
        <f t="shared" si="9"/>
        <v>https://pubmed.ncbi.nlm.nih.gov/?term=PMC2958836</v>
      </c>
      <c r="E132" s="226" t="s">
        <v>1092</v>
      </c>
      <c r="F132" s="226"/>
      <c r="G132" s="97"/>
      <c r="H132" s="226" t="s">
        <v>511</v>
      </c>
      <c r="I132" s="45">
        <f t="shared" si="3"/>
        <v>0</v>
      </c>
      <c r="J132" s="97"/>
      <c r="K132" s="97"/>
      <c r="V132" s="225" t="s">
        <v>517</v>
      </c>
      <c r="W132" s="28" t="s">
        <v>4541</v>
      </c>
    </row>
    <row r="133" spans="1:23" ht="12.75">
      <c r="A133" s="212" t="s">
        <v>4178</v>
      </c>
      <c r="B133" s="334">
        <v>44166</v>
      </c>
      <c r="C133" s="227" t="s">
        <v>4179</v>
      </c>
      <c r="D133" s="228" t="str">
        <f t="shared" si="9"/>
        <v>https://pubmed.ncbi.nlm.nih.gov/?term=PMC7108198</v>
      </c>
      <c r="E133" s="226" t="s">
        <v>4180</v>
      </c>
      <c r="F133" s="226" t="s">
        <v>511</v>
      </c>
      <c r="G133" s="226" t="s">
        <v>4181</v>
      </c>
      <c r="H133" s="97"/>
      <c r="I133" s="45">
        <f t="shared" si="3"/>
        <v>0</v>
      </c>
      <c r="J133" s="97"/>
      <c r="K133" s="226">
        <v>1</v>
      </c>
      <c r="V133" s="225" t="s">
        <v>517</v>
      </c>
      <c r="W133" s="28" t="s">
        <v>4541</v>
      </c>
    </row>
    <row r="134" spans="1:23" ht="12.75">
      <c r="A134" s="212" t="s">
        <v>1106</v>
      </c>
      <c r="B134" s="334">
        <v>43891</v>
      </c>
      <c r="C134" s="227" t="s">
        <v>4182</v>
      </c>
      <c r="D134" s="228" t="str">
        <f t="shared" si="9"/>
        <v>https://pubmed.ncbi.nlm.nih.gov/?term=PMC7050988</v>
      </c>
      <c r="E134" s="226" t="s">
        <v>1117</v>
      </c>
      <c r="F134" s="226"/>
      <c r="G134" s="226"/>
      <c r="H134" s="226" t="s">
        <v>511</v>
      </c>
      <c r="I134" s="45">
        <f t="shared" si="3"/>
        <v>0</v>
      </c>
      <c r="J134" s="97"/>
      <c r="K134" s="97"/>
      <c r="V134" s="225" t="s">
        <v>517</v>
      </c>
      <c r="W134" s="28" t="s">
        <v>4541</v>
      </c>
    </row>
    <row r="135" spans="1:23" ht="12.75">
      <c r="A135" s="212" t="s">
        <v>4183</v>
      </c>
      <c r="B135" s="335">
        <v>42125</v>
      </c>
      <c r="C135" s="227" t="s">
        <v>4184</v>
      </c>
      <c r="D135" s="228" t="str">
        <f t="shared" si="9"/>
        <v>https://pubmed.ncbi.nlm.nih.gov/?term=PMC4392868</v>
      </c>
      <c r="E135" s="226" t="s">
        <v>4185</v>
      </c>
      <c r="F135" s="226" t="s">
        <v>511</v>
      </c>
      <c r="G135" s="226" t="s">
        <v>4186</v>
      </c>
      <c r="H135" s="97"/>
      <c r="I135" s="45">
        <f t="shared" si="3"/>
        <v>0</v>
      </c>
      <c r="J135" s="97"/>
      <c r="K135" s="226"/>
      <c r="L135" s="28">
        <v>1</v>
      </c>
      <c r="V135" s="225" t="s">
        <v>517</v>
      </c>
      <c r="W135" s="28" t="s">
        <v>4541</v>
      </c>
    </row>
    <row r="136" spans="1:23" ht="12.75">
      <c r="A136" s="212" t="s">
        <v>4187</v>
      </c>
      <c r="B136" s="334">
        <v>42736</v>
      </c>
      <c r="C136" s="227" t="s">
        <v>4188</v>
      </c>
      <c r="D136" s="228" t="str">
        <f t="shared" si="9"/>
        <v>https://pubmed.ncbi.nlm.nih.gov/?term=PMC5216439</v>
      </c>
      <c r="E136" s="226" t="s">
        <v>4189</v>
      </c>
      <c r="F136" s="226" t="s">
        <v>511</v>
      </c>
      <c r="G136" s="226" t="s">
        <v>4190</v>
      </c>
      <c r="H136" s="97"/>
      <c r="I136" s="45">
        <f t="shared" si="3"/>
        <v>0</v>
      </c>
      <c r="J136" s="97"/>
      <c r="K136" s="97"/>
      <c r="L136" s="28">
        <v>1</v>
      </c>
      <c r="V136" s="225" t="s">
        <v>517</v>
      </c>
      <c r="W136" s="28" t="s">
        <v>4541</v>
      </c>
    </row>
    <row r="137" spans="1:23" ht="12.75">
      <c r="A137" s="212" t="s">
        <v>1118</v>
      </c>
      <c r="B137" s="334">
        <v>43009</v>
      </c>
      <c r="C137" s="227" t="s">
        <v>4191</v>
      </c>
      <c r="D137" s="228" t="str">
        <f t="shared" si="9"/>
        <v>https://pubmed.ncbi.nlm.nih.gov/?term=PMC5655070</v>
      </c>
      <c r="E137" s="226" t="s">
        <v>1129</v>
      </c>
      <c r="F137" s="97"/>
      <c r="G137" s="97"/>
      <c r="H137" s="226" t="s">
        <v>511</v>
      </c>
      <c r="I137" s="45">
        <f t="shared" si="3"/>
        <v>0</v>
      </c>
      <c r="J137" s="97"/>
      <c r="K137" s="97"/>
      <c r="V137" s="225" t="s">
        <v>517</v>
      </c>
      <c r="W137" s="28" t="s">
        <v>4541</v>
      </c>
    </row>
    <row r="138" spans="1:23" ht="12.75">
      <c r="A138" s="212" t="s">
        <v>1130</v>
      </c>
      <c r="B138" s="335">
        <v>42491</v>
      </c>
      <c r="C138" s="227" t="s">
        <v>4192</v>
      </c>
      <c r="D138" s="228" t="str">
        <f t="shared" si="9"/>
        <v>https://pubmed.ncbi.nlm.nih.gov/?term=PMC4879391</v>
      </c>
      <c r="E138" s="226" t="s">
        <v>1149</v>
      </c>
      <c r="F138" s="226"/>
      <c r="G138" s="226"/>
      <c r="H138" s="226" t="s">
        <v>308</v>
      </c>
      <c r="I138" s="45">
        <f t="shared" si="3"/>
        <v>0</v>
      </c>
      <c r="J138" s="226"/>
      <c r="K138" s="97"/>
      <c r="V138" s="225" t="s">
        <v>517</v>
      </c>
      <c r="W138" s="28" t="s">
        <v>4541</v>
      </c>
    </row>
    <row r="139" spans="1:23" ht="12.75">
      <c r="A139" s="212" t="s">
        <v>1130</v>
      </c>
      <c r="B139" s="334">
        <v>42614</v>
      </c>
      <c r="C139" s="227" t="s">
        <v>4194</v>
      </c>
      <c r="D139" s="228" t="str">
        <f t="shared" si="9"/>
        <v>https://pubmed.ncbi.nlm.nih.gov/?term=PMC4992851</v>
      </c>
      <c r="E139" s="226" t="s">
        <v>1159</v>
      </c>
      <c r="F139" s="226"/>
      <c r="G139" s="226"/>
      <c r="H139" s="226" t="s">
        <v>308</v>
      </c>
      <c r="I139" s="45">
        <f t="shared" si="3"/>
        <v>0</v>
      </c>
      <c r="J139" s="226"/>
      <c r="K139" s="97"/>
      <c r="V139" s="225" t="s">
        <v>517</v>
      </c>
      <c r="W139" s="28" t="s">
        <v>4541</v>
      </c>
    </row>
    <row r="140" spans="1:23" ht="12.75">
      <c r="A140" s="212" t="s">
        <v>1130</v>
      </c>
      <c r="B140" s="334">
        <v>41579</v>
      </c>
      <c r="C140" s="227" t="s">
        <v>4195</v>
      </c>
      <c r="D140" s="228" t="str">
        <f t="shared" si="9"/>
        <v>https://pubmed.ncbi.nlm.nih.gov/?term=PMC3888148</v>
      </c>
      <c r="E140" s="226" t="s">
        <v>1139</v>
      </c>
      <c r="F140" s="226"/>
      <c r="G140" s="226"/>
      <c r="H140" s="226" t="s">
        <v>308</v>
      </c>
      <c r="I140" s="45">
        <f t="shared" si="3"/>
        <v>0</v>
      </c>
      <c r="J140" s="226"/>
      <c r="K140" s="97"/>
      <c r="V140" s="225" t="s">
        <v>517</v>
      </c>
      <c r="W140" s="28" t="s">
        <v>4541</v>
      </c>
    </row>
    <row r="141" spans="1:23" ht="12.75">
      <c r="A141" s="212" t="s">
        <v>1160</v>
      </c>
      <c r="B141" s="334">
        <v>42430</v>
      </c>
      <c r="C141" s="227" t="s">
        <v>4197</v>
      </c>
      <c r="D141" s="228" t="str">
        <f t="shared" si="9"/>
        <v>https://pubmed.ncbi.nlm.nih.gov/?term=PMC4750592</v>
      </c>
      <c r="E141" s="226" t="s">
        <v>1168</v>
      </c>
      <c r="F141" s="97"/>
      <c r="G141" s="97"/>
      <c r="H141" s="226" t="s">
        <v>511</v>
      </c>
      <c r="I141" s="45">
        <f t="shared" si="3"/>
        <v>0</v>
      </c>
      <c r="J141" s="97"/>
      <c r="K141" s="97"/>
      <c r="V141" s="225" t="s">
        <v>517</v>
      </c>
      <c r="W141" s="28" t="s">
        <v>4541</v>
      </c>
    </row>
    <row r="142" spans="1:23" ht="12.75">
      <c r="A142" s="212" t="s">
        <v>1169</v>
      </c>
      <c r="B142" s="334">
        <v>42430</v>
      </c>
      <c r="C142" s="227" t="s">
        <v>4198</v>
      </c>
      <c r="D142" s="228" t="str">
        <f t="shared" si="9"/>
        <v>https://pubmed.ncbi.nlm.nih.gov/?term=PMC4747614</v>
      </c>
      <c r="E142" s="226" t="s">
        <v>1178</v>
      </c>
      <c r="F142" s="97"/>
      <c r="G142" s="97"/>
      <c r="H142" s="226" t="s">
        <v>511</v>
      </c>
      <c r="I142" s="45">
        <f t="shared" si="3"/>
        <v>0</v>
      </c>
      <c r="J142" s="97"/>
      <c r="K142" s="97"/>
      <c r="V142" s="225" t="s">
        <v>517</v>
      </c>
      <c r="W142" s="28" t="s">
        <v>4541</v>
      </c>
    </row>
    <row r="143" spans="1:23" ht="12.75">
      <c r="A143" s="212" t="s">
        <v>4199</v>
      </c>
      <c r="B143" s="334">
        <v>38292</v>
      </c>
      <c r="C143" s="227" t="s">
        <v>4200</v>
      </c>
      <c r="D143" s="228" t="str">
        <f t="shared" si="9"/>
        <v>https://pubmed.ncbi.nlm.nih.gov/?term=PMC524376</v>
      </c>
      <c r="E143" s="226" t="s">
        <v>4201</v>
      </c>
      <c r="F143" s="226" t="s">
        <v>511</v>
      </c>
      <c r="G143" s="226" t="s">
        <v>4202</v>
      </c>
      <c r="H143" s="226"/>
      <c r="I143" s="45">
        <f t="shared" si="3"/>
        <v>0</v>
      </c>
      <c r="J143" s="97"/>
      <c r="K143" s="226">
        <v>1</v>
      </c>
      <c r="V143" s="225" t="s">
        <v>517</v>
      </c>
      <c r="W143" s="28" t="s">
        <v>4541</v>
      </c>
    </row>
    <row r="144" spans="1:23" ht="12.75">
      <c r="A144" s="212" t="s">
        <v>1179</v>
      </c>
      <c r="B144" s="334">
        <v>42064</v>
      </c>
      <c r="C144" s="227" t="s">
        <v>4203</v>
      </c>
      <c r="D144" s="228" t="str">
        <f t="shared" si="9"/>
        <v>https://pubmed.ncbi.nlm.nih.gov/?term=PMC4371633</v>
      </c>
      <c r="E144" s="226" t="s">
        <v>1189</v>
      </c>
      <c r="F144" s="97"/>
      <c r="G144" s="97"/>
      <c r="H144" s="226" t="s">
        <v>511</v>
      </c>
      <c r="I144" s="45">
        <f t="shared" si="3"/>
        <v>0</v>
      </c>
      <c r="J144" s="97"/>
      <c r="K144" s="97"/>
      <c r="V144" s="225" t="s">
        <v>517</v>
      </c>
      <c r="W144" s="28" t="s">
        <v>4541</v>
      </c>
    </row>
    <row r="145" spans="1:23" ht="12.75">
      <c r="A145" s="212" t="s">
        <v>4204</v>
      </c>
      <c r="B145" s="334">
        <v>43922</v>
      </c>
      <c r="C145" s="227" t="s">
        <v>4205</v>
      </c>
      <c r="D145" s="228" t="str">
        <f t="shared" si="9"/>
        <v>https://pubmed.ncbi.nlm.nih.gov/?term=PMC7194502</v>
      </c>
      <c r="E145" s="226" t="s">
        <v>4206</v>
      </c>
      <c r="F145" s="226" t="s">
        <v>511</v>
      </c>
      <c r="G145" s="226" t="s">
        <v>4207</v>
      </c>
      <c r="H145" s="97"/>
      <c r="I145" s="45">
        <f t="shared" si="3"/>
        <v>0</v>
      </c>
      <c r="J145" s="97"/>
      <c r="K145" s="97"/>
      <c r="M145" s="28">
        <v>1</v>
      </c>
      <c r="V145" s="225" t="s">
        <v>517</v>
      </c>
      <c r="W145" s="28" t="s">
        <v>4541</v>
      </c>
    </row>
    <row r="146" spans="1:23" ht="12.75">
      <c r="A146" s="212" t="s">
        <v>1190</v>
      </c>
      <c r="B146" s="334">
        <v>43132</v>
      </c>
      <c r="C146" s="227" t="s">
        <v>4208</v>
      </c>
      <c r="D146" s="228" t="str">
        <f t="shared" si="9"/>
        <v>https://pubmed.ncbi.nlm.nih.gov/?term=PMC5853383</v>
      </c>
      <c r="E146" s="226" t="s">
        <v>1199</v>
      </c>
      <c r="F146" s="97"/>
      <c r="G146" s="97"/>
      <c r="H146" s="226" t="s">
        <v>511</v>
      </c>
      <c r="I146" s="45">
        <f t="shared" si="3"/>
        <v>0</v>
      </c>
      <c r="J146" s="97"/>
      <c r="K146" s="97"/>
      <c r="V146" s="225" t="s">
        <v>517</v>
      </c>
      <c r="W146" s="28" t="s">
        <v>4541</v>
      </c>
    </row>
    <row r="147" spans="1:23" ht="12.75">
      <c r="A147" s="212" t="s">
        <v>1200</v>
      </c>
      <c r="B147" s="334">
        <v>44013</v>
      </c>
      <c r="C147" s="227" t="s">
        <v>4209</v>
      </c>
      <c r="D147" s="228" t="str">
        <f t="shared" si="9"/>
        <v>https://pubmed.ncbi.nlm.nih.gov/?term=PMC7390452</v>
      </c>
      <c r="E147" s="226" t="s">
        <v>1207</v>
      </c>
      <c r="F147" s="97"/>
      <c r="G147" s="97"/>
      <c r="H147" s="226" t="s">
        <v>511</v>
      </c>
      <c r="I147" s="45">
        <f t="shared" si="3"/>
        <v>0</v>
      </c>
      <c r="J147" s="97"/>
      <c r="K147" s="97"/>
      <c r="V147" s="225" t="s">
        <v>517</v>
      </c>
      <c r="W147" s="28" t="s">
        <v>4541</v>
      </c>
    </row>
    <row r="148" spans="1:23" ht="12.75">
      <c r="A148" s="212" t="s">
        <v>1208</v>
      </c>
      <c r="B148" s="334">
        <v>43617</v>
      </c>
      <c r="C148" s="227" t="s">
        <v>4211</v>
      </c>
      <c r="D148" s="228" t="str">
        <f t="shared" si="9"/>
        <v>https://pubmed.ncbi.nlm.nih.gov/?term=PMC4857475</v>
      </c>
      <c r="E148" s="226" t="s">
        <v>1220</v>
      </c>
      <c r="F148" s="97"/>
      <c r="G148" s="97"/>
      <c r="H148" s="226" t="s">
        <v>511</v>
      </c>
      <c r="I148" s="45">
        <f t="shared" si="3"/>
        <v>0</v>
      </c>
      <c r="J148" s="97"/>
      <c r="K148" s="97"/>
      <c r="V148" s="225" t="s">
        <v>517</v>
      </c>
      <c r="W148" s="28" t="s">
        <v>4541</v>
      </c>
    </row>
    <row r="149" spans="1:23" ht="12.75">
      <c r="A149" s="212" t="s">
        <v>1221</v>
      </c>
      <c r="B149" s="334">
        <v>42552</v>
      </c>
      <c r="C149" s="227" t="s">
        <v>4212</v>
      </c>
      <c r="D149" s="228" t="str">
        <f t="shared" si="9"/>
        <v>https://pubmed.ncbi.nlm.nih.gov/?term=PMC4933782</v>
      </c>
      <c r="E149" s="226" t="s">
        <v>4563</v>
      </c>
      <c r="F149" s="226"/>
      <c r="G149" s="97"/>
      <c r="H149" s="226" t="s">
        <v>511</v>
      </c>
      <c r="I149" s="45">
        <f t="shared" si="3"/>
        <v>0</v>
      </c>
      <c r="J149" s="97"/>
      <c r="K149" s="97"/>
      <c r="V149" s="225" t="s">
        <v>517</v>
      </c>
      <c r="W149" s="28" t="s">
        <v>4541</v>
      </c>
    </row>
    <row r="150" spans="1:23" ht="12.75">
      <c r="A150" s="212" t="s">
        <v>1242</v>
      </c>
      <c r="B150" s="334">
        <v>43891</v>
      </c>
      <c r="C150" s="227" t="s">
        <v>4214</v>
      </c>
      <c r="D150" s="228" t="str">
        <f t="shared" si="9"/>
        <v>https://pubmed.ncbi.nlm.nih.gov/?term=PMC7069936</v>
      </c>
      <c r="E150" s="226" t="s">
        <v>1254</v>
      </c>
      <c r="F150" s="226"/>
      <c r="G150" s="97"/>
      <c r="H150" s="226" t="s">
        <v>511</v>
      </c>
      <c r="I150" s="45">
        <f t="shared" si="3"/>
        <v>0</v>
      </c>
      <c r="J150" s="97"/>
      <c r="K150" s="97"/>
      <c r="V150" s="225" t="s">
        <v>517</v>
      </c>
      <c r="W150" s="28" t="s">
        <v>4541</v>
      </c>
    </row>
    <row r="151" spans="1:23" ht="12.75">
      <c r="A151" s="212" t="s">
        <v>1255</v>
      </c>
      <c r="B151" s="334">
        <v>43132</v>
      </c>
      <c r="C151" s="227" t="s">
        <v>4215</v>
      </c>
      <c r="D151" s="228" t="str">
        <f t="shared" si="9"/>
        <v>https://pubmed.ncbi.nlm.nih.gov/?term=PMC5828662</v>
      </c>
      <c r="E151" s="226" t="s">
        <v>1264</v>
      </c>
      <c r="F151" s="226"/>
      <c r="G151" s="97"/>
      <c r="H151" s="226" t="s">
        <v>511</v>
      </c>
      <c r="I151" s="45">
        <f t="shared" si="3"/>
        <v>0</v>
      </c>
      <c r="J151" s="97"/>
      <c r="K151" s="97"/>
      <c r="V151" s="225" t="s">
        <v>517</v>
      </c>
      <c r="W151" s="28" t="s">
        <v>4541</v>
      </c>
    </row>
    <row r="152" spans="1:23" ht="12.75">
      <c r="A152" s="212" t="s">
        <v>1265</v>
      </c>
      <c r="B152" s="226">
        <v>2012</v>
      </c>
      <c r="C152" s="227" t="s">
        <v>4216</v>
      </c>
      <c r="D152" s="228" t="str">
        <f t="shared" si="9"/>
        <v>https://pubmed.ncbi.nlm.nih.gov/?term=PMC3372522</v>
      </c>
      <c r="E152" s="226" t="s">
        <v>4217</v>
      </c>
      <c r="F152" s="226" t="s">
        <v>511</v>
      </c>
      <c r="G152" s="226" t="s">
        <v>4218</v>
      </c>
      <c r="H152" s="97"/>
      <c r="I152" s="45">
        <f t="shared" si="3"/>
        <v>0</v>
      </c>
      <c r="J152" s="97"/>
      <c r="K152" s="97"/>
      <c r="L152" s="28">
        <v>1</v>
      </c>
      <c r="V152" s="225" t="s">
        <v>517</v>
      </c>
      <c r="W152" s="28" t="s">
        <v>4541</v>
      </c>
    </row>
    <row r="153" spans="1:23" ht="12.75">
      <c r="A153" s="212" t="s">
        <v>1265</v>
      </c>
      <c r="B153" s="334">
        <v>41275</v>
      </c>
      <c r="C153" s="227" t="s">
        <v>4219</v>
      </c>
      <c r="D153" s="228" t="str">
        <f t="shared" si="9"/>
        <v>https://pubmed.ncbi.nlm.nih.gov/?term=PMC3541746</v>
      </c>
      <c r="E153" s="226" t="s">
        <v>1274</v>
      </c>
      <c r="F153" s="226"/>
      <c r="G153" s="97"/>
      <c r="H153" s="226" t="s">
        <v>511</v>
      </c>
      <c r="I153" s="45">
        <f t="shared" si="3"/>
        <v>0</v>
      </c>
      <c r="J153" s="97"/>
      <c r="K153" s="97"/>
      <c r="V153" s="225" t="s">
        <v>517</v>
      </c>
      <c r="W153" s="28" t="s">
        <v>4541</v>
      </c>
    </row>
    <row r="154" spans="1:23" ht="12.75">
      <c r="A154" s="212" t="s">
        <v>829</v>
      </c>
      <c r="B154" s="335">
        <v>43586</v>
      </c>
      <c r="C154" s="227" t="s">
        <v>4220</v>
      </c>
      <c r="D154" s="228" t="str">
        <f t="shared" si="9"/>
        <v>https://pubmed.ncbi.nlm.nih.gov/?term=PMC6515882</v>
      </c>
      <c r="E154" s="226" t="s">
        <v>842</v>
      </c>
      <c r="F154" s="97"/>
      <c r="G154" s="97"/>
      <c r="H154" s="226" t="s">
        <v>511</v>
      </c>
      <c r="I154" s="45">
        <f t="shared" si="3"/>
        <v>0</v>
      </c>
      <c r="J154" s="97"/>
      <c r="K154" s="97"/>
      <c r="V154" s="225" t="s">
        <v>517</v>
      </c>
      <c r="W154" s="28" t="s">
        <v>4541</v>
      </c>
    </row>
    <row r="155" spans="1:23" ht="12.75">
      <c r="A155" s="212" t="s">
        <v>1275</v>
      </c>
      <c r="B155" s="334">
        <v>43739</v>
      </c>
      <c r="C155" s="227" t="s">
        <v>4222</v>
      </c>
      <c r="D155" s="228" t="str">
        <f t="shared" si="9"/>
        <v>https://pubmed.ncbi.nlm.nih.gov/?term=PMC6844497</v>
      </c>
      <c r="E155" s="226" t="s">
        <v>1285</v>
      </c>
      <c r="F155" s="226"/>
      <c r="G155" s="226"/>
      <c r="H155" s="226" t="s">
        <v>511</v>
      </c>
      <c r="I155" s="45">
        <f t="shared" si="3"/>
        <v>0</v>
      </c>
      <c r="J155" s="97"/>
      <c r="K155" s="97"/>
      <c r="V155" s="225" t="s">
        <v>517</v>
      </c>
      <c r="W155" s="28" t="s">
        <v>4541</v>
      </c>
    </row>
    <row r="156" spans="1:23" ht="12.75">
      <c r="A156" s="212" t="s">
        <v>1275</v>
      </c>
      <c r="B156" s="334">
        <v>43617</v>
      </c>
      <c r="C156" s="227" t="s">
        <v>4223</v>
      </c>
      <c r="D156" s="228" t="str">
        <f t="shared" si="9"/>
        <v>https://pubmed.ncbi.nlm.nih.gov/?term=PMC6630672</v>
      </c>
      <c r="E156" s="226" t="s">
        <v>1292</v>
      </c>
      <c r="F156" s="226"/>
      <c r="G156" s="226"/>
      <c r="H156" s="226" t="s">
        <v>511</v>
      </c>
      <c r="I156" s="45">
        <f t="shared" si="3"/>
        <v>0</v>
      </c>
      <c r="J156" s="97"/>
      <c r="K156" s="97"/>
      <c r="V156" s="225" t="s">
        <v>517</v>
      </c>
      <c r="W156" s="28" t="s">
        <v>4541</v>
      </c>
    </row>
    <row r="157" spans="1:23" ht="12.75">
      <c r="A157" s="212" t="s">
        <v>1293</v>
      </c>
      <c r="B157" s="334">
        <v>40817</v>
      </c>
      <c r="C157" s="227" t="s">
        <v>4224</v>
      </c>
      <c r="D157" s="228" t="str">
        <f t="shared" si="9"/>
        <v>https://pubmed.ncbi.nlm.nih.gov/?term=PMC3187119</v>
      </c>
      <c r="E157" s="226" t="s">
        <v>1301</v>
      </c>
      <c r="F157" s="226"/>
      <c r="G157" s="226"/>
      <c r="H157" s="226" t="s">
        <v>511</v>
      </c>
      <c r="I157" s="45">
        <f t="shared" si="3"/>
        <v>0</v>
      </c>
      <c r="J157" s="97"/>
      <c r="K157" s="97"/>
      <c r="V157" s="225" t="s">
        <v>517</v>
      </c>
      <c r="W157" s="28" t="s">
        <v>4541</v>
      </c>
    </row>
    <row r="158" spans="1:23" ht="12.75">
      <c r="A158" s="212" t="s">
        <v>1302</v>
      </c>
      <c r="B158" s="334">
        <v>41426</v>
      </c>
      <c r="C158" s="227" t="s">
        <v>4226</v>
      </c>
      <c r="D158" s="228" t="str">
        <f t="shared" si="9"/>
        <v>https://pubmed.ncbi.nlm.nih.gov/?term=PMC3688861</v>
      </c>
      <c r="E158" s="226" t="s">
        <v>1313</v>
      </c>
      <c r="F158" s="226"/>
      <c r="G158" s="97"/>
      <c r="H158" s="226" t="s">
        <v>511</v>
      </c>
      <c r="I158" s="45">
        <f t="shared" si="3"/>
        <v>0</v>
      </c>
      <c r="J158" s="97"/>
      <c r="K158" s="97"/>
      <c r="V158" s="225" t="s">
        <v>517</v>
      </c>
      <c r="W158" s="28" t="s">
        <v>4541</v>
      </c>
    </row>
    <row r="159" spans="1:23" ht="12.75">
      <c r="A159" s="212" t="s">
        <v>1314</v>
      </c>
      <c r="B159" s="334">
        <v>43770</v>
      </c>
      <c r="C159" s="227" t="s">
        <v>4227</v>
      </c>
      <c r="D159" s="228" t="str">
        <f t="shared" si="9"/>
        <v>https://pubmed.ncbi.nlm.nih.gov/?term=PMC6877087</v>
      </c>
      <c r="E159" s="226" t="s">
        <v>1322</v>
      </c>
      <c r="F159" s="226"/>
      <c r="G159" s="226"/>
      <c r="H159" s="226" t="s">
        <v>308</v>
      </c>
      <c r="I159" s="45">
        <f t="shared" si="3"/>
        <v>0</v>
      </c>
      <c r="J159" s="226"/>
      <c r="K159" s="97"/>
      <c r="V159" s="225" t="s">
        <v>517</v>
      </c>
      <c r="W159" s="28" t="s">
        <v>4541</v>
      </c>
    </row>
    <row r="160" spans="1:23" ht="12.75">
      <c r="A160" s="212" t="s">
        <v>1323</v>
      </c>
      <c r="B160" s="334">
        <v>41883</v>
      </c>
      <c r="C160" s="227" t="s">
        <v>4229</v>
      </c>
      <c r="D160" s="228" t="str">
        <f t="shared" si="9"/>
        <v>https://pubmed.ncbi.nlm.nih.gov/?term=PMC4165915</v>
      </c>
      <c r="E160" s="226" t="s">
        <v>1330</v>
      </c>
      <c r="F160" s="226"/>
      <c r="G160" s="226"/>
      <c r="H160" s="226" t="s">
        <v>511</v>
      </c>
      <c r="I160" s="45">
        <f t="shared" si="3"/>
        <v>0</v>
      </c>
      <c r="J160" s="97"/>
      <c r="K160" s="97"/>
      <c r="V160" s="225" t="s">
        <v>517</v>
      </c>
      <c r="W160" s="28" t="s">
        <v>4541</v>
      </c>
    </row>
    <row r="161" spans="1:23" ht="12.75">
      <c r="A161" s="212" t="s">
        <v>1331</v>
      </c>
      <c r="B161" s="334">
        <v>44166</v>
      </c>
      <c r="C161" s="227" t="s">
        <v>4231</v>
      </c>
      <c r="D161" s="228" t="str">
        <f t="shared" si="9"/>
        <v>https://pubmed.ncbi.nlm.nih.gov/?term=PMC7710093</v>
      </c>
      <c r="E161" s="226" t="s">
        <v>1345</v>
      </c>
      <c r="F161" s="226"/>
      <c r="G161" s="226"/>
      <c r="H161" s="226" t="s">
        <v>511</v>
      </c>
      <c r="I161" s="45">
        <f t="shared" si="3"/>
        <v>0</v>
      </c>
      <c r="J161" s="97"/>
      <c r="K161" s="97"/>
      <c r="V161" s="225" t="s">
        <v>517</v>
      </c>
      <c r="W161" s="28" t="s">
        <v>4541</v>
      </c>
    </row>
    <row r="162" spans="1:23" ht="12.75">
      <c r="A162" s="212" t="s">
        <v>1331</v>
      </c>
      <c r="B162" s="334">
        <v>44136</v>
      </c>
      <c r="C162" s="227" t="s">
        <v>4232</v>
      </c>
      <c r="D162" s="228" t="str">
        <f t="shared" si="9"/>
        <v>https://pubmed.ncbi.nlm.nih.gov/?term=PMC7524165</v>
      </c>
      <c r="E162" s="226" t="s">
        <v>1359</v>
      </c>
      <c r="F162" s="226"/>
      <c r="G162" s="226"/>
      <c r="H162" s="226" t="s">
        <v>511</v>
      </c>
      <c r="I162" s="45">
        <f t="shared" si="3"/>
        <v>0</v>
      </c>
      <c r="J162" s="97"/>
      <c r="K162" s="97"/>
      <c r="V162" s="225" t="s">
        <v>517</v>
      </c>
      <c r="W162" s="28" t="s">
        <v>4541</v>
      </c>
    </row>
    <row r="163" spans="1:23" ht="12.75">
      <c r="A163" s="212" t="s">
        <v>1360</v>
      </c>
      <c r="B163" s="334">
        <v>41944</v>
      </c>
      <c r="C163" s="227" t="s">
        <v>4233</v>
      </c>
      <c r="D163" s="228" t="str">
        <f t="shared" si="9"/>
        <v>https://pubmed.ncbi.nlm.nih.gov/?term=PMC4236046</v>
      </c>
      <c r="E163" s="226" t="s">
        <v>1368</v>
      </c>
      <c r="F163" s="226"/>
      <c r="G163" s="97"/>
      <c r="H163" s="226" t="s">
        <v>511</v>
      </c>
      <c r="I163" s="45">
        <f t="shared" si="3"/>
        <v>0</v>
      </c>
      <c r="J163" s="97"/>
      <c r="K163" s="97"/>
      <c r="V163" s="225" t="s">
        <v>517</v>
      </c>
      <c r="W163" s="28" t="s">
        <v>4541</v>
      </c>
    </row>
    <row r="164" spans="1:23" ht="12.75">
      <c r="A164" s="212" t="s">
        <v>1369</v>
      </c>
      <c r="B164" s="334">
        <v>41306</v>
      </c>
      <c r="C164" s="227" t="s">
        <v>4235</v>
      </c>
      <c r="D164" s="228" t="str">
        <f t="shared" si="9"/>
        <v>https://pubmed.ncbi.nlm.nih.gov/?term=PMC3549599</v>
      </c>
      <c r="E164" s="226" t="s">
        <v>1379</v>
      </c>
      <c r="F164" s="97"/>
      <c r="G164" s="97"/>
      <c r="H164" s="226" t="s">
        <v>511</v>
      </c>
      <c r="I164" s="45">
        <f t="shared" si="3"/>
        <v>0</v>
      </c>
      <c r="J164" s="97"/>
      <c r="K164" s="97"/>
      <c r="V164" s="225" t="s">
        <v>517</v>
      </c>
      <c r="W164" s="28" t="s">
        <v>4541</v>
      </c>
    </row>
    <row r="165" spans="1:23" ht="12.75">
      <c r="A165" s="212" t="s">
        <v>1380</v>
      </c>
      <c r="B165" s="334">
        <v>44256</v>
      </c>
      <c r="C165" s="227" t="s">
        <v>4236</v>
      </c>
      <c r="D165" s="228" t="str">
        <f t="shared" si="9"/>
        <v>https://pubmed.ncbi.nlm.nih.gov/?term=PMC7960709</v>
      </c>
      <c r="E165" s="226" t="s">
        <v>1391</v>
      </c>
      <c r="F165" s="226"/>
      <c r="G165" s="226"/>
      <c r="H165" s="226" t="s">
        <v>511</v>
      </c>
      <c r="I165" s="45">
        <f t="shared" si="3"/>
        <v>0</v>
      </c>
      <c r="J165" s="97"/>
      <c r="K165" s="97"/>
      <c r="V165" s="225" t="s">
        <v>517</v>
      </c>
      <c r="W165" s="28" t="s">
        <v>4541</v>
      </c>
    </row>
    <row r="166" spans="1:23" ht="12.75">
      <c r="A166" s="212" t="s">
        <v>4237</v>
      </c>
      <c r="B166" s="334">
        <v>43040</v>
      </c>
      <c r="C166" s="227" t="s">
        <v>4238</v>
      </c>
      <c r="D166" s="228" t="str">
        <f t="shared" si="9"/>
        <v>https://pubmed.ncbi.nlm.nih.gov/?term=PMC5681833</v>
      </c>
      <c r="E166" s="226" t="s">
        <v>4239</v>
      </c>
      <c r="F166" s="226" t="s">
        <v>511</v>
      </c>
      <c r="G166" s="28" t="s">
        <v>4240</v>
      </c>
      <c r="H166" s="97"/>
      <c r="I166" s="45">
        <f t="shared" si="3"/>
        <v>0</v>
      </c>
      <c r="J166" s="226"/>
      <c r="K166" s="97"/>
      <c r="L166" s="28">
        <v>1</v>
      </c>
      <c r="V166" s="225" t="s">
        <v>517</v>
      </c>
      <c r="W166" s="28" t="s">
        <v>4541</v>
      </c>
    </row>
    <row r="167" spans="1:23" ht="12.75">
      <c r="A167" s="212" t="s">
        <v>2980</v>
      </c>
      <c r="B167" s="334">
        <v>42887</v>
      </c>
      <c r="C167" s="225">
        <v>28637923</v>
      </c>
      <c r="D167" s="253" t="s">
        <v>2982</v>
      </c>
      <c r="E167" s="226" t="s">
        <v>2992</v>
      </c>
      <c r="F167" s="226"/>
      <c r="G167" s="226"/>
      <c r="H167" s="226" t="s">
        <v>308</v>
      </c>
      <c r="I167" s="45">
        <f t="shared" si="3"/>
        <v>0</v>
      </c>
      <c r="J167" s="226"/>
      <c r="K167" s="97"/>
      <c r="V167" s="225" t="s">
        <v>4239</v>
      </c>
      <c r="W167" s="28" t="s">
        <v>4547</v>
      </c>
    </row>
    <row r="168" spans="1:23" ht="12.75">
      <c r="A168" s="212" t="s">
        <v>480</v>
      </c>
      <c r="B168" s="334">
        <v>42583</v>
      </c>
      <c r="C168" s="227" t="s">
        <v>4242</v>
      </c>
      <c r="D168" s="228" t="str">
        <f>"https://pubmed.ncbi.nlm.nih.gov/?term="&amp;C168</f>
        <v>https://pubmed.ncbi.nlm.nih.gov/?term=PMC4974752</v>
      </c>
      <c r="E168" s="226" t="s">
        <v>3006</v>
      </c>
      <c r="F168" s="226" t="s">
        <v>511</v>
      </c>
      <c r="G168" s="28" t="s">
        <v>4018</v>
      </c>
      <c r="H168" s="97"/>
      <c r="I168" s="45">
        <f t="shared" si="3"/>
        <v>0</v>
      </c>
      <c r="J168" s="97"/>
      <c r="K168" s="97"/>
      <c r="L168" s="28">
        <v>1</v>
      </c>
      <c r="V168" s="225" t="s">
        <v>517</v>
      </c>
      <c r="W168" s="28" t="s">
        <v>4541</v>
      </c>
    </row>
    <row r="169" spans="1:23" ht="12.75">
      <c r="A169" s="212" t="s">
        <v>533</v>
      </c>
      <c r="B169" s="226">
        <v>2016</v>
      </c>
      <c r="C169" s="225">
        <v>26711509</v>
      </c>
      <c r="D169" s="253" t="s">
        <v>4564</v>
      </c>
      <c r="E169" s="226" t="s">
        <v>4010</v>
      </c>
      <c r="F169" s="226" t="s">
        <v>308</v>
      </c>
      <c r="G169" s="28" t="s">
        <v>4243</v>
      </c>
      <c r="H169" s="97"/>
      <c r="I169" s="45">
        <f t="shared" si="3"/>
        <v>0</v>
      </c>
      <c r="J169" s="97"/>
      <c r="K169" s="97"/>
      <c r="N169" s="28"/>
      <c r="O169" s="28">
        <v>1</v>
      </c>
      <c r="V169" s="225" t="s">
        <v>3006</v>
      </c>
      <c r="W169" s="28" t="s">
        <v>4547</v>
      </c>
    </row>
    <row r="170" spans="1:23" ht="12.75">
      <c r="A170" s="212" t="s">
        <v>572</v>
      </c>
      <c r="B170" s="226">
        <v>2013</v>
      </c>
      <c r="C170" s="225">
        <v>23599283</v>
      </c>
      <c r="D170" s="254" t="s">
        <v>4565</v>
      </c>
      <c r="E170" s="226" t="s">
        <v>4010</v>
      </c>
      <c r="F170" s="226" t="s">
        <v>308</v>
      </c>
      <c r="G170" s="28" t="s">
        <v>4244</v>
      </c>
      <c r="H170" s="97"/>
      <c r="I170" s="45">
        <f t="shared" si="3"/>
        <v>0</v>
      </c>
      <c r="J170" s="97"/>
      <c r="K170" s="97"/>
      <c r="N170" s="28"/>
      <c r="O170" s="28">
        <v>1</v>
      </c>
      <c r="V170" s="225" t="s">
        <v>3006</v>
      </c>
      <c r="W170" s="28" t="s">
        <v>4547</v>
      </c>
    </row>
    <row r="171" spans="1:23" ht="12.75">
      <c r="A171" s="212" t="s">
        <v>572</v>
      </c>
      <c r="B171" s="226">
        <v>2014</v>
      </c>
      <c r="C171" s="225">
        <v>25396417</v>
      </c>
      <c r="D171" s="254" t="s">
        <v>2994</v>
      </c>
      <c r="E171" s="226" t="s">
        <v>3007</v>
      </c>
      <c r="F171" s="226"/>
      <c r="G171" s="28"/>
      <c r="H171" s="226" t="s">
        <v>308</v>
      </c>
      <c r="I171" s="45">
        <f t="shared" si="3"/>
        <v>0</v>
      </c>
      <c r="J171" s="97"/>
      <c r="K171" s="97"/>
      <c r="N171" s="28"/>
      <c r="V171" s="225" t="s">
        <v>3006</v>
      </c>
      <c r="W171" s="28" t="s">
        <v>4547</v>
      </c>
    </row>
    <row r="172" spans="1:23" ht="12.75">
      <c r="A172" s="212" t="s">
        <v>572</v>
      </c>
      <c r="B172" s="226">
        <v>2014</v>
      </c>
      <c r="C172" s="225">
        <v>24872326</v>
      </c>
      <c r="D172" s="254" t="s">
        <v>4566</v>
      </c>
      <c r="E172" s="226" t="s">
        <v>4010</v>
      </c>
      <c r="F172" s="226" t="s">
        <v>308</v>
      </c>
      <c r="G172" s="28" t="s">
        <v>4246</v>
      </c>
      <c r="H172" s="97"/>
      <c r="I172" s="45">
        <f t="shared" si="3"/>
        <v>0</v>
      </c>
      <c r="J172" s="97"/>
      <c r="K172" s="97"/>
      <c r="N172" s="28"/>
      <c r="O172" s="28">
        <v>1</v>
      </c>
      <c r="V172" s="225" t="s">
        <v>3006</v>
      </c>
      <c r="W172" s="28" t="s">
        <v>4547</v>
      </c>
    </row>
    <row r="173" spans="1:23" ht="12.75">
      <c r="A173" s="212" t="s">
        <v>1265</v>
      </c>
      <c r="B173" s="226">
        <v>2009</v>
      </c>
      <c r="C173" s="225">
        <v>19641203</v>
      </c>
      <c r="D173" s="254" t="s">
        <v>4567</v>
      </c>
      <c r="E173" s="226" t="s">
        <v>4010</v>
      </c>
      <c r="F173" s="226" t="s">
        <v>308</v>
      </c>
      <c r="G173" s="28" t="s">
        <v>4247</v>
      </c>
      <c r="H173" s="97"/>
      <c r="I173" s="45">
        <f t="shared" si="3"/>
        <v>0</v>
      </c>
      <c r="J173" s="97"/>
      <c r="K173" s="97"/>
      <c r="N173" s="28"/>
      <c r="O173" s="28">
        <v>1</v>
      </c>
      <c r="V173" s="225" t="s">
        <v>3006</v>
      </c>
      <c r="W173" s="28" t="s">
        <v>4547</v>
      </c>
    </row>
    <row r="174" spans="1:23" ht="12.75">
      <c r="A174" s="212" t="s">
        <v>4248</v>
      </c>
      <c r="B174" s="226">
        <v>2011</v>
      </c>
      <c r="C174" s="225">
        <v>21514658</v>
      </c>
      <c r="D174" s="254" t="s">
        <v>3012</v>
      </c>
      <c r="E174" s="226" t="s">
        <v>3024</v>
      </c>
      <c r="F174" s="226"/>
      <c r="G174" s="28"/>
      <c r="H174" s="226" t="s">
        <v>308</v>
      </c>
      <c r="I174" s="45">
        <f t="shared" si="3"/>
        <v>0</v>
      </c>
      <c r="J174" s="97"/>
      <c r="K174" s="97"/>
      <c r="N174" s="28"/>
      <c r="V174" s="225" t="s">
        <v>3006</v>
      </c>
      <c r="W174" s="28" t="s">
        <v>4547</v>
      </c>
    </row>
    <row r="175" spans="1:23" ht="12.75">
      <c r="A175" s="212" t="s">
        <v>1369</v>
      </c>
      <c r="B175" s="226">
        <v>2013</v>
      </c>
      <c r="C175" s="225">
        <v>23186785</v>
      </c>
      <c r="D175" s="254" t="s">
        <v>4568</v>
      </c>
      <c r="E175" s="226" t="s">
        <v>4010</v>
      </c>
      <c r="F175" s="226" t="s">
        <v>308</v>
      </c>
      <c r="G175" s="28" t="s">
        <v>4250</v>
      </c>
      <c r="H175" s="97"/>
      <c r="I175" s="45">
        <f t="shared" si="3"/>
        <v>0</v>
      </c>
      <c r="J175" s="97"/>
      <c r="K175" s="97"/>
      <c r="N175" s="28"/>
      <c r="O175" s="28">
        <v>1</v>
      </c>
      <c r="V175" s="225" t="s">
        <v>3006</v>
      </c>
      <c r="W175" s="28" t="s">
        <v>4547</v>
      </c>
    </row>
    <row r="176" spans="1:23" ht="12.75">
      <c r="A176" s="212" t="s">
        <v>1392</v>
      </c>
      <c r="B176" s="334">
        <v>42036</v>
      </c>
      <c r="C176" s="227" t="s">
        <v>4251</v>
      </c>
      <c r="D176" s="228" t="str">
        <f t="shared" ref="D176:D195" si="10">"https://pubmed.ncbi.nlm.nih.gov/?term="&amp;C176</f>
        <v>https://pubmed.ncbi.nlm.nih.gov/?term=PMC4322439</v>
      </c>
      <c r="E176" s="226" t="s">
        <v>1403</v>
      </c>
      <c r="F176" s="226"/>
      <c r="G176" s="97"/>
      <c r="H176" s="226" t="s">
        <v>511</v>
      </c>
      <c r="I176" s="45">
        <f t="shared" si="3"/>
        <v>0</v>
      </c>
      <c r="J176" s="97"/>
      <c r="K176" s="97"/>
      <c r="V176" s="225" t="s">
        <v>517</v>
      </c>
      <c r="W176" s="28" t="s">
        <v>4541</v>
      </c>
    </row>
    <row r="177" spans="1:23" ht="12.75">
      <c r="A177" s="336" t="s">
        <v>1404</v>
      </c>
      <c r="B177" s="337">
        <v>44044</v>
      </c>
      <c r="C177" s="299" t="s">
        <v>4253</v>
      </c>
      <c r="D177" s="338" t="str">
        <f t="shared" si="10"/>
        <v>https://pubmed.ncbi.nlm.nih.gov/?term=PMC7444516</v>
      </c>
      <c r="E177" s="298" t="s">
        <v>1415</v>
      </c>
      <c r="F177" s="291"/>
      <c r="G177" s="291"/>
      <c r="H177" s="298" t="s">
        <v>511</v>
      </c>
      <c r="I177" s="45">
        <f t="shared" si="3"/>
        <v>0</v>
      </c>
      <c r="J177" s="291"/>
      <c r="K177" s="291"/>
      <c r="V177" s="297" t="s">
        <v>517</v>
      </c>
      <c r="W177" s="28" t="s">
        <v>4541</v>
      </c>
    </row>
    <row r="178" spans="1:23" ht="12.75">
      <c r="A178" s="218" t="s">
        <v>4255</v>
      </c>
      <c r="B178" s="243">
        <v>2000</v>
      </c>
      <c r="C178" s="243">
        <v>10781777</v>
      </c>
      <c r="D178" s="228" t="str">
        <f t="shared" si="10"/>
        <v>https://pubmed.ncbi.nlm.nih.gov/?term=10781777</v>
      </c>
      <c r="E178" s="226" t="s">
        <v>1432</v>
      </c>
      <c r="F178" s="97"/>
      <c r="G178" s="97"/>
      <c r="H178" s="226" t="s">
        <v>511</v>
      </c>
      <c r="I178" s="45">
        <f t="shared" si="3"/>
        <v>0</v>
      </c>
      <c r="J178" s="97"/>
      <c r="K178" s="97"/>
      <c r="V178" s="225" t="s">
        <v>1431</v>
      </c>
      <c r="W178" s="28" t="s">
        <v>4541</v>
      </c>
    </row>
    <row r="179" spans="1:23" ht="12.75">
      <c r="A179" s="218" t="s">
        <v>4255</v>
      </c>
      <c r="B179" s="243">
        <v>2000</v>
      </c>
      <c r="C179" s="243">
        <v>10781777</v>
      </c>
      <c r="D179" s="228" t="str">
        <f t="shared" si="10"/>
        <v>https://pubmed.ncbi.nlm.nih.gov/?term=10781777</v>
      </c>
      <c r="E179" s="97"/>
      <c r="F179" s="226" t="s">
        <v>511</v>
      </c>
      <c r="G179" s="226" t="s">
        <v>4256</v>
      </c>
      <c r="H179" s="97"/>
      <c r="I179" s="45">
        <f t="shared" si="3"/>
        <v>0</v>
      </c>
      <c r="J179" s="97"/>
      <c r="K179" s="97"/>
      <c r="O179" s="28">
        <v>1</v>
      </c>
      <c r="V179" s="225" t="s">
        <v>1431</v>
      </c>
      <c r="W179" s="28" t="s">
        <v>4541</v>
      </c>
    </row>
    <row r="180" spans="1:23" ht="12.75">
      <c r="A180" s="218" t="s">
        <v>4257</v>
      </c>
      <c r="B180" s="243">
        <v>1986</v>
      </c>
      <c r="C180" s="243">
        <v>3531141</v>
      </c>
      <c r="D180" s="228" t="str">
        <f t="shared" si="10"/>
        <v>https://pubmed.ncbi.nlm.nih.gov/?term=3531141</v>
      </c>
      <c r="E180" s="226" t="s">
        <v>1446</v>
      </c>
      <c r="F180" s="97"/>
      <c r="G180" s="97"/>
      <c r="H180" s="226" t="s">
        <v>511</v>
      </c>
      <c r="I180" s="45">
        <f t="shared" si="3"/>
        <v>0</v>
      </c>
      <c r="J180" s="97"/>
      <c r="K180" s="97"/>
      <c r="V180" s="225" t="s">
        <v>1431</v>
      </c>
      <c r="W180" s="28" t="s">
        <v>4541</v>
      </c>
    </row>
    <row r="181" spans="1:23" ht="12.75">
      <c r="A181" s="218" t="s">
        <v>4257</v>
      </c>
      <c r="B181" s="243">
        <v>1987</v>
      </c>
      <c r="C181" s="243">
        <v>3326874</v>
      </c>
      <c r="D181" s="228" t="str">
        <f t="shared" si="10"/>
        <v>https://pubmed.ncbi.nlm.nih.gov/?term=3326874</v>
      </c>
      <c r="E181" s="226" t="s">
        <v>1466</v>
      </c>
      <c r="F181" s="97"/>
      <c r="G181" s="97"/>
      <c r="H181" s="226" t="s">
        <v>511</v>
      </c>
      <c r="I181" s="45">
        <f t="shared" si="3"/>
        <v>0</v>
      </c>
      <c r="J181" s="97"/>
      <c r="K181" s="97"/>
      <c r="V181" s="225" t="s">
        <v>1431</v>
      </c>
      <c r="W181" s="28" t="s">
        <v>4541</v>
      </c>
    </row>
    <row r="182" spans="1:23" ht="12.75">
      <c r="A182" s="218" t="s">
        <v>1467</v>
      </c>
      <c r="B182" s="243">
        <v>1996</v>
      </c>
      <c r="C182" s="243">
        <v>8849805</v>
      </c>
      <c r="D182" s="228" t="str">
        <f t="shared" si="10"/>
        <v>https://pubmed.ncbi.nlm.nih.gov/?term=8849805</v>
      </c>
      <c r="E182" s="226" t="s">
        <v>1475</v>
      </c>
      <c r="F182" s="226"/>
      <c r="G182" s="101"/>
      <c r="H182" s="28" t="s">
        <v>308</v>
      </c>
      <c r="I182" s="45">
        <f t="shared" si="3"/>
        <v>0</v>
      </c>
      <c r="J182" s="226"/>
      <c r="K182" s="97"/>
      <c r="V182" s="225" t="s">
        <v>1431</v>
      </c>
      <c r="W182" s="28" t="s">
        <v>4541</v>
      </c>
    </row>
    <row r="183" spans="1:23" ht="12.75">
      <c r="A183" s="218" t="s">
        <v>4261</v>
      </c>
      <c r="B183" s="243">
        <v>2010</v>
      </c>
      <c r="C183" s="243">
        <v>20720206</v>
      </c>
      <c r="D183" s="228" t="str">
        <f t="shared" si="10"/>
        <v>https://pubmed.ncbi.nlm.nih.gov/?term=20720206</v>
      </c>
      <c r="E183" s="226" t="s">
        <v>4262</v>
      </c>
      <c r="F183" s="226" t="s">
        <v>511</v>
      </c>
      <c r="G183" s="226" t="s">
        <v>4263</v>
      </c>
      <c r="H183" s="97"/>
      <c r="I183" s="45">
        <f t="shared" si="3"/>
        <v>0</v>
      </c>
      <c r="J183" s="97"/>
      <c r="K183" s="226">
        <v>1</v>
      </c>
      <c r="V183" s="225" t="s">
        <v>1431</v>
      </c>
      <c r="W183" s="28" t="s">
        <v>4541</v>
      </c>
    </row>
    <row r="184" spans="1:23" ht="12.75">
      <c r="A184" s="218" t="s">
        <v>4264</v>
      </c>
      <c r="B184" s="243">
        <v>1985</v>
      </c>
      <c r="C184" s="243">
        <v>2993431</v>
      </c>
      <c r="D184" s="228" t="str">
        <f t="shared" si="10"/>
        <v>https://pubmed.ncbi.nlm.nih.gov/?term=2993431</v>
      </c>
      <c r="E184" s="226" t="s">
        <v>1484</v>
      </c>
      <c r="F184" s="97"/>
      <c r="G184" s="97"/>
      <c r="H184" s="226" t="s">
        <v>511</v>
      </c>
      <c r="I184" s="45">
        <f t="shared" si="3"/>
        <v>0</v>
      </c>
      <c r="J184" s="97"/>
      <c r="K184" s="97"/>
      <c r="V184" s="225" t="s">
        <v>1431</v>
      </c>
      <c r="W184" s="28" t="s">
        <v>4541</v>
      </c>
    </row>
    <row r="185" spans="1:23" ht="12.75">
      <c r="A185" s="218" t="s">
        <v>4265</v>
      </c>
      <c r="B185" s="243">
        <v>1988</v>
      </c>
      <c r="C185" s="243">
        <v>3183640</v>
      </c>
      <c r="D185" s="228" t="str">
        <f t="shared" si="10"/>
        <v>https://pubmed.ncbi.nlm.nih.gov/?term=3183640</v>
      </c>
      <c r="E185" s="226" t="s">
        <v>4266</v>
      </c>
      <c r="F185" s="28" t="s">
        <v>308</v>
      </c>
      <c r="G185" s="28" t="s">
        <v>4267</v>
      </c>
      <c r="I185" s="45">
        <f t="shared" si="3"/>
        <v>0</v>
      </c>
      <c r="J185" s="97"/>
      <c r="K185" s="226">
        <v>1</v>
      </c>
      <c r="V185" s="225" t="s">
        <v>1431</v>
      </c>
      <c r="W185" s="28" t="s">
        <v>4541</v>
      </c>
    </row>
    <row r="186" spans="1:23" ht="12.75">
      <c r="A186" s="218" t="s">
        <v>4265</v>
      </c>
      <c r="B186" s="243">
        <v>1977</v>
      </c>
      <c r="C186" s="243">
        <v>925382</v>
      </c>
      <c r="D186" s="228" t="str">
        <f t="shared" si="10"/>
        <v>https://pubmed.ncbi.nlm.nih.gov/?term=925382</v>
      </c>
      <c r="E186" s="226" t="s">
        <v>1495</v>
      </c>
      <c r="F186" s="226" t="s">
        <v>308</v>
      </c>
      <c r="G186" s="282" t="s">
        <v>4020</v>
      </c>
      <c r="H186" s="226"/>
      <c r="I186" s="45">
        <f t="shared" si="3"/>
        <v>0</v>
      </c>
      <c r="J186" s="97"/>
      <c r="K186" s="97"/>
      <c r="S186" s="28">
        <v>1</v>
      </c>
      <c r="V186" s="225" t="s">
        <v>1431</v>
      </c>
      <c r="W186" s="28" t="s">
        <v>4541</v>
      </c>
    </row>
    <row r="187" spans="1:23" ht="12.75">
      <c r="A187" s="218" t="s">
        <v>4269</v>
      </c>
      <c r="B187" s="243">
        <v>1991</v>
      </c>
      <c r="C187" s="243">
        <v>2024815</v>
      </c>
      <c r="D187" s="228" t="str">
        <f t="shared" si="10"/>
        <v>https://pubmed.ncbi.nlm.nih.gov/?term=2024815</v>
      </c>
      <c r="E187" s="226" t="s">
        <v>1503</v>
      </c>
      <c r="F187" s="97"/>
      <c r="G187" s="97"/>
      <c r="H187" s="226" t="s">
        <v>511</v>
      </c>
      <c r="I187" s="45">
        <f t="shared" si="3"/>
        <v>0</v>
      </c>
      <c r="J187" s="97"/>
      <c r="K187" s="97"/>
      <c r="V187" s="225" t="s">
        <v>1431</v>
      </c>
      <c r="W187" s="28" t="s">
        <v>4541</v>
      </c>
    </row>
    <row r="188" spans="1:23" ht="12.75">
      <c r="A188" s="218" t="s">
        <v>4270</v>
      </c>
      <c r="B188" s="243">
        <v>2002</v>
      </c>
      <c r="C188" s="243">
        <v>11893972</v>
      </c>
      <c r="D188" s="228" t="str">
        <f t="shared" si="10"/>
        <v>https://pubmed.ncbi.nlm.nih.gov/?term=11893972</v>
      </c>
      <c r="E188" s="226" t="s">
        <v>1514</v>
      </c>
      <c r="F188" s="97"/>
      <c r="G188" s="97"/>
      <c r="H188" s="226" t="s">
        <v>511</v>
      </c>
      <c r="I188" s="45">
        <f t="shared" si="3"/>
        <v>0</v>
      </c>
      <c r="J188" s="97"/>
      <c r="K188" s="97"/>
      <c r="V188" s="225" t="s">
        <v>1431</v>
      </c>
      <c r="W188" s="28" t="s">
        <v>4541</v>
      </c>
    </row>
    <row r="189" spans="1:23" ht="12.75">
      <c r="A189" s="218" t="s">
        <v>4271</v>
      </c>
      <c r="B189" s="243">
        <v>1999</v>
      </c>
      <c r="C189" s="243">
        <v>10390212</v>
      </c>
      <c r="D189" s="228" t="str">
        <f t="shared" si="10"/>
        <v>https://pubmed.ncbi.nlm.nih.gov/?term=10390212</v>
      </c>
      <c r="E189" s="226" t="s">
        <v>1527</v>
      </c>
      <c r="F189" s="97"/>
      <c r="G189" s="97"/>
      <c r="H189" s="226" t="s">
        <v>511</v>
      </c>
      <c r="I189" s="45">
        <f t="shared" si="3"/>
        <v>0</v>
      </c>
      <c r="J189" s="97"/>
      <c r="K189" s="97"/>
      <c r="V189" s="225" t="s">
        <v>1431</v>
      </c>
      <c r="W189" s="28" t="s">
        <v>4541</v>
      </c>
    </row>
    <row r="190" spans="1:23" ht="12.75">
      <c r="A190" s="218" t="s">
        <v>4271</v>
      </c>
      <c r="B190" s="243">
        <v>1999</v>
      </c>
      <c r="C190" s="243">
        <v>12731753</v>
      </c>
      <c r="D190" s="228" t="str">
        <f t="shared" si="10"/>
        <v>https://pubmed.ncbi.nlm.nih.gov/?term=12731753</v>
      </c>
      <c r="E190" s="97"/>
      <c r="F190" s="226" t="s">
        <v>511</v>
      </c>
      <c r="G190" s="226" t="s">
        <v>4256</v>
      </c>
      <c r="H190" s="97"/>
      <c r="I190" s="45">
        <f t="shared" si="3"/>
        <v>0</v>
      </c>
      <c r="J190" s="97"/>
      <c r="K190" s="97"/>
      <c r="O190" s="28">
        <v>1</v>
      </c>
      <c r="V190" s="225" t="s">
        <v>1431</v>
      </c>
      <c r="W190" s="28" t="s">
        <v>4541</v>
      </c>
    </row>
    <row r="191" spans="1:23" ht="12.75">
      <c r="A191" s="218" t="s">
        <v>4272</v>
      </c>
      <c r="B191" s="243">
        <v>1991</v>
      </c>
      <c r="C191" s="243">
        <v>1720601</v>
      </c>
      <c r="D191" s="228" t="str">
        <f t="shared" si="10"/>
        <v>https://pubmed.ncbi.nlm.nih.gov/?term=1720601</v>
      </c>
      <c r="E191" s="226" t="s">
        <v>1537</v>
      </c>
      <c r="F191" s="97"/>
      <c r="G191" s="97"/>
      <c r="H191" s="226" t="s">
        <v>511</v>
      </c>
      <c r="I191" s="45">
        <f t="shared" si="3"/>
        <v>0</v>
      </c>
      <c r="J191" s="97"/>
      <c r="K191" s="97"/>
      <c r="V191" s="225" t="s">
        <v>1431</v>
      </c>
      <c r="W191" s="28" t="s">
        <v>4541</v>
      </c>
    </row>
    <row r="192" spans="1:23" ht="12.75">
      <c r="A192" s="218" t="s">
        <v>4273</v>
      </c>
      <c r="B192" s="243">
        <v>2011</v>
      </c>
      <c r="C192" s="243">
        <v>21191031</v>
      </c>
      <c r="D192" s="228" t="str">
        <f t="shared" si="10"/>
        <v>https://pubmed.ncbi.nlm.nih.gov/?term=21191031</v>
      </c>
      <c r="E192" s="226" t="s">
        <v>4274</v>
      </c>
      <c r="F192" s="226" t="s">
        <v>511</v>
      </c>
      <c r="G192" s="226" t="s">
        <v>4275</v>
      </c>
      <c r="H192" s="97"/>
      <c r="I192" s="45">
        <f t="shared" si="3"/>
        <v>0</v>
      </c>
      <c r="J192" s="226"/>
      <c r="K192" s="226"/>
      <c r="T192" s="28">
        <v>1</v>
      </c>
      <c r="V192" s="225" t="s">
        <v>1431</v>
      </c>
      <c r="W192" s="28" t="s">
        <v>4541</v>
      </c>
    </row>
    <row r="193" spans="1:23" ht="12.75">
      <c r="A193" s="218" t="s">
        <v>1538</v>
      </c>
      <c r="B193" s="243">
        <v>1990</v>
      </c>
      <c r="C193" s="243">
        <v>2295861</v>
      </c>
      <c r="D193" s="228" t="str">
        <f t="shared" si="10"/>
        <v>https://pubmed.ncbi.nlm.nih.gov/?term=2295861</v>
      </c>
      <c r="E193" s="226" t="s">
        <v>1541</v>
      </c>
      <c r="F193" s="226"/>
      <c r="G193" s="226"/>
      <c r="H193" s="226" t="s">
        <v>308</v>
      </c>
      <c r="I193" s="45">
        <f t="shared" si="3"/>
        <v>0</v>
      </c>
      <c r="J193" s="226"/>
      <c r="K193" s="97"/>
      <c r="V193" s="225" t="s">
        <v>1431</v>
      </c>
      <c r="W193" s="28" t="s">
        <v>4541</v>
      </c>
    </row>
    <row r="194" spans="1:23" ht="12.75">
      <c r="A194" s="218" t="s">
        <v>1542</v>
      </c>
      <c r="B194" s="243">
        <v>1982</v>
      </c>
      <c r="C194" s="243">
        <v>7141686</v>
      </c>
      <c r="D194" s="228" t="str">
        <f t="shared" si="10"/>
        <v>https://pubmed.ncbi.nlm.nih.gov/?term=7141686</v>
      </c>
      <c r="E194" s="226" t="s">
        <v>1553</v>
      </c>
      <c r="F194" s="226"/>
      <c r="G194" s="226"/>
      <c r="H194" s="226" t="s">
        <v>308</v>
      </c>
      <c r="I194" s="45">
        <f t="shared" si="3"/>
        <v>0</v>
      </c>
      <c r="J194" s="226"/>
      <c r="K194" s="97"/>
      <c r="V194" s="225" t="s">
        <v>1431</v>
      </c>
      <c r="W194" s="28" t="s">
        <v>4541</v>
      </c>
    </row>
    <row r="195" spans="1:23" ht="12.75">
      <c r="A195" s="218" t="s">
        <v>4278</v>
      </c>
      <c r="B195" s="243">
        <v>1997</v>
      </c>
      <c r="C195" s="243">
        <v>9086149</v>
      </c>
      <c r="D195" s="228" t="str">
        <f t="shared" si="10"/>
        <v>https://pubmed.ncbi.nlm.nih.gov/?term=9086149</v>
      </c>
      <c r="E195" s="226" t="s">
        <v>3034</v>
      </c>
      <c r="F195" s="226" t="s">
        <v>511</v>
      </c>
      <c r="G195" s="28" t="s">
        <v>4018</v>
      </c>
      <c r="H195" s="97"/>
      <c r="I195" s="45">
        <f t="shared" si="3"/>
        <v>0</v>
      </c>
      <c r="J195" s="97"/>
      <c r="K195" s="97"/>
      <c r="L195" s="28">
        <v>1</v>
      </c>
      <c r="V195" s="225" t="s">
        <v>1431</v>
      </c>
      <c r="W195" s="28" t="s">
        <v>4541</v>
      </c>
    </row>
    <row r="196" spans="1:23" ht="12.75">
      <c r="A196" s="212" t="s">
        <v>3025</v>
      </c>
      <c r="B196" s="301">
        <v>1987</v>
      </c>
      <c r="C196" s="301">
        <v>2884410</v>
      </c>
      <c r="D196" s="253" t="s">
        <v>3026</v>
      </c>
      <c r="E196" s="226" t="s">
        <v>3035</v>
      </c>
      <c r="F196" s="226"/>
      <c r="G196" s="28"/>
      <c r="H196" s="226" t="s">
        <v>308</v>
      </c>
      <c r="I196" s="45">
        <f t="shared" si="3"/>
        <v>0</v>
      </c>
      <c r="J196" s="97"/>
      <c r="K196" s="97"/>
      <c r="L196" s="28"/>
      <c r="V196" s="225" t="s">
        <v>3034</v>
      </c>
      <c r="W196" s="28" t="s">
        <v>4547</v>
      </c>
    </row>
    <row r="197" spans="1:23" ht="12.75">
      <c r="A197" s="203" t="s">
        <v>2601</v>
      </c>
      <c r="B197" s="279">
        <v>1993</v>
      </c>
      <c r="C197" s="279">
        <v>8376823</v>
      </c>
      <c r="D197" s="280" t="s">
        <v>2603</v>
      </c>
      <c r="E197" s="28" t="s">
        <v>4010</v>
      </c>
      <c r="F197" s="226" t="s">
        <v>308</v>
      </c>
      <c r="G197" s="28" t="s">
        <v>4280</v>
      </c>
      <c r="H197" s="97"/>
      <c r="I197" s="45">
        <f t="shared" si="3"/>
        <v>0</v>
      </c>
      <c r="J197" s="97"/>
      <c r="K197" s="97"/>
      <c r="L197" s="28"/>
      <c r="O197" s="28">
        <v>1</v>
      </c>
      <c r="V197" s="225" t="s">
        <v>3034</v>
      </c>
      <c r="W197" s="28" t="s">
        <v>4547</v>
      </c>
    </row>
    <row r="198" spans="1:23" ht="12.75">
      <c r="A198" s="212" t="s">
        <v>3036</v>
      </c>
      <c r="B198" s="301">
        <v>1993</v>
      </c>
      <c r="C198" s="301">
        <v>8357078</v>
      </c>
      <c r="D198" s="253" t="s">
        <v>3038</v>
      </c>
      <c r="E198" s="226" t="s">
        <v>3044</v>
      </c>
      <c r="F198" s="226"/>
      <c r="H198" s="226" t="s">
        <v>308</v>
      </c>
      <c r="I198" s="45">
        <f t="shared" si="3"/>
        <v>0</v>
      </c>
      <c r="J198" s="97"/>
      <c r="K198" s="97"/>
      <c r="L198" s="28"/>
      <c r="V198" s="225" t="s">
        <v>3034</v>
      </c>
      <c r="W198" s="28" t="s">
        <v>4547</v>
      </c>
    </row>
    <row r="199" spans="1:23" ht="12.75">
      <c r="A199" s="212" t="s">
        <v>3052</v>
      </c>
      <c r="B199" s="301">
        <v>1992</v>
      </c>
      <c r="C199" s="301">
        <v>1563771</v>
      </c>
      <c r="D199" s="253" t="s">
        <v>3053</v>
      </c>
      <c r="E199" s="226" t="s">
        <v>3061</v>
      </c>
      <c r="F199" s="226"/>
      <c r="G199" s="28"/>
      <c r="H199" s="226" t="s">
        <v>308</v>
      </c>
      <c r="I199" s="45">
        <f t="shared" si="3"/>
        <v>0</v>
      </c>
      <c r="J199" s="97"/>
      <c r="K199" s="97"/>
      <c r="L199" s="28"/>
      <c r="V199" s="225" t="s">
        <v>3034</v>
      </c>
      <c r="W199" s="28" t="s">
        <v>4547</v>
      </c>
    </row>
    <row r="200" spans="1:23" ht="12.75">
      <c r="A200" s="212" t="s">
        <v>3063</v>
      </c>
      <c r="B200" s="301">
        <v>1995</v>
      </c>
      <c r="C200" s="301">
        <v>7769295</v>
      </c>
      <c r="D200" s="253" t="s">
        <v>3064</v>
      </c>
      <c r="E200" s="226" t="s">
        <v>3072</v>
      </c>
      <c r="F200" s="226"/>
      <c r="G200" s="28"/>
      <c r="H200" s="226" t="s">
        <v>308</v>
      </c>
      <c r="I200" s="45">
        <f t="shared" si="3"/>
        <v>0</v>
      </c>
      <c r="J200" s="97"/>
      <c r="K200" s="97"/>
      <c r="L200" s="28"/>
      <c r="V200" s="225" t="s">
        <v>3034</v>
      </c>
      <c r="W200" s="28" t="s">
        <v>4547</v>
      </c>
    </row>
    <row r="201" spans="1:23" ht="12.75">
      <c r="A201" s="203" t="s">
        <v>1922</v>
      </c>
      <c r="B201" s="301">
        <v>1987</v>
      </c>
      <c r="C201" s="301">
        <v>2439920</v>
      </c>
      <c r="D201" s="253" t="s">
        <v>2630</v>
      </c>
      <c r="E201" s="226" t="s">
        <v>4010</v>
      </c>
      <c r="F201" s="226" t="s">
        <v>308</v>
      </c>
      <c r="G201" s="28" t="s">
        <v>4284</v>
      </c>
      <c r="H201" s="97"/>
      <c r="I201" s="45">
        <f t="shared" si="3"/>
        <v>0</v>
      </c>
      <c r="J201" s="97"/>
      <c r="K201" s="97"/>
      <c r="L201" s="28"/>
      <c r="O201" s="28">
        <v>1</v>
      </c>
      <c r="V201" s="225" t="s">
        <v>3034</v>
      </c>
      <c r="W201" s="28" t="s">
        <v>4547</v>
      </c>
    </row>
    <row r="202" spans="1:23" ht="12.75">
      <c r="A202" s="203" t="s">
        <v>1922</v>
      </c>
      <c r="B202" s="279">
        <v>1988</v>
      </c>
      <c r="C202" s="279">
        <v>3043855</v>
      </c>
      <c r="D202" s="280" t="s">
        <v>4031</v>
      </c>
      <c r="E202" s="28" t="s">
        <v>4010</v>
      </c>
      <c r="F202" s="28" t="s">
        <v>308</v>
      </c>
      <c r="G202" s="28" t="s">
        <v>4010</v>
      </c>
      <c r="H202" s="97"/>
      <c r="I202" s="45">
        <f t="shared" si="3"/>
        <v>0</v>
      </c>
      <c r="J202" s="97"/>
      <c r="K202" s="97"/>
      <c r="L202" s="28"/>
      <c r="O202" s="28">
        <v>1</v>
      </c>
      <c r="V202" s="225" t="s">
        <v>3034</v>
      </c>
      <c r="W202" s="28" t="s">
        <v>4547</v>
      </c>
    </row>
    <row r="203" spans="1:23" ht="12.75">
      <c r="A203" s="203" t="s">
        <v>1922</v>
      </c>
      <c r="B203" s="279">
        <v>1990</v>
      </c>
      <c r="C203" s="279">
        <v>2094588</v>
      </c>
      <c r="D203" s="280" t="s">
        <v>2640</v>
      </c>
      <c r="E203" s="28" t="s">
        <v>4010</v>
      </c>
      <c r="F203" s="28" t="s">
        <v>308</v>
      </c>
      <c r="G203" s="28" t="s">
        <v>4285</v>
      </c>
      <c r="H203" s="97"/>
      <c r="I203" s="45">
        <f t="shared" si="3"/>
        <v>0</v>
      </c>
      <c r="J203" s="97"/>
      <c r="K203" s="97"/>
      <c r="L203" s="28"/>
      <c r="O203" s="28">
        <v>1</v>
      </c>
      <c r="V203" s="225" t="s">
        <v>3034</v>
      </c>
      <c r="W203" s="28" t="s">
        <v>4547</v>
      </c>
    </row>
    <row r="204" spans="1:23" ht="12.75">
      <c r="A204" s="203" t="s">
        <v>1922</v>
      </c>
      <c r="B204" s="279">
        <v>1991</v>
      </c>
      <c r="C204" s="279">
        <v>1951863</v>
      </c>
      <c r="D204" s="280" t="s">
        <v>2647</v>
      </c>
      <c r="E204" s="28" t="s">
        <v>4010</v>
      </c>
      <c r="F204" s="28" t="s">
        <v>308</v>
      </c>
      <c r="G204" s="28" t="s">
        <v>4286</v>
      </c>
      <c r="H204" s="97"/>
      <c r="I204" s="45">
        <f t="shared" si="3"/>
        <v>0</v>
      </c>
      <c r="J204" s="97"/>
      <c r="K204" s="97"/>
      <c r="L204" s="28"/>
      <c r="O204" s="28">
        <v>1</v>
      </c>
      <c r="V204" s="225" t="s">
        <v>3034</v>
      </c>
      <c r="W204" s="28" t="s">
        <v>4547</v>
      </c>
    </row>
    <row r="205" spans="1:23" ht="12.75">
      <c r="A205" s="203" t="s">
        <v>2656</v>
      </c>
      <c r="B205" s="279">
        <v>1994</v>
      </c>
      <c r="C205" s="279">
        <v>7985753</v>
      </c>
      <c r="D205" s="280" t="s">
        <v>2658</v>
      </c>
      <c r="E205" s="28" t="s">
        <v>4010</v>
      </c>
      <c r="F205" s="28" t="s">
        <v>308</v>
      </c>
      <c r="G205" s="28" t="s">
        <v>4287</v>
      </c>
      <c r="H205" s="97"/>
      <c r="I205" s="45">
        <f t="shared" si="3"/>
        <v>0</v>
      </c>
      <c r="J205" s="97"/>
      <c r="K205" s="97"/>
      <c r="L205" s="28"/>
      <c r="O205" s="28">
        <v>1</v>
      </c>
      <c r="V205" s="225" t="s">
        <v>3034</v>
      </c>
      <c r="W205" s="28" t="s">
        <v>4547</v>
      </c>
    </row>
    <row r="206" spans="1:23" ht="12.75">
      <c r="A206" s="203" t="s">
        <v>3076</v>
      </c>
      <c r="B206" s="279">
        <v>1990</v>
      </c>
      <c r="C206" s="279">
        <v>2240371</v>
      </c>
      <c r="D206" s="280" t="s">
        <v>3078</v>
      </c>
      <c r="E206" s="28" t="s">
        <v>3086</v>
      </c>
      <c r="G206" s="28"/>
      <c r="H206" s="295" t="s">
        <v>308</v>
      </c>
      <c r="I206" s="45">
        <f t="shared" si="3"/>
        <v>0</v>
      </c>
      <c r="J206" s="97"/>
      <c r="K206" s="97"/>
      <c r="L206" s="28"/>
      <c r="V206" s="225" t="s">
        <v>3034</v>
      </c>
      <c r="W206" s="28" t="s">
        <v>4547</v>
      </c>
    </row>
    <row r="207" spans="1:23" ht="12.75">
      <c r="A207" s="203" t="s">
        <v>3087</v>
      </c>
      <c r="B207" s="279">
        <v>1994</v>
      </c>
      <c r="C207" s="279">
        <v>8291822</v>
      </c>
      <c r="D207" s="280" t="s">
        <v>3088</v>
      </c>
      <c r="E207" s="28" t="s">
        <v>3095</v>
      </c>
      <c r="G207" s="28"/>
      <c r="H207" s="226" t="s">
        <v>308</v>
      </c>
      <c r="I207" s="45">
        <f t="shared" si="3"/>
        <v>0</v>
      </c>
      <c r="J207" s="97"/>
      <c r="K207" s="97"/>
      <c r="L207" s="28"/>
      <c r="V207" s="225" t="s">
        <v>3034</v>
      </c>
      <c r="W207" s="28" t="s">
        <v>4547</v>
      </c>
    </row>
    <row r="208" spans="1:23" ht="12.75">
      <c r="A208" s="218" t="s">
        <v>1557</v>
      </c>
      <c r="B208" s="243">
        <v>1986</v>
      </c>
      <c r="C208" s="243">
        <v>3722363</v>
      </c>
      <c r="D208" s="228" t="str">
        <f t="shared" ref="D208:D210" si="11">"https://pubmed.ncbi.nlm.nih.gov/?term="&amp;C208</f>
        <v>https://pubmed.ncbi.nlm.nih.gov/?term=3722363</v>
      </c>
      <c r="E208" s="226" t="s">
        <v>4290</v>
      </c>
      <c r="F208" s="226" t="s">
        <v>511</v>
      </c>
      <c r="G208" s="226" t="s">
        <v>4569</v>
      </c>
      <c r="H208" s="97"/>
      <c r="I208" s="45">
        <f t="shared" si="3"/>
        <v>0</v>
      </c>
      <c r="J208" s="226"/>
      <c r="K208" s="97"/>
      <c r="L208" s="28">
        <v>1</v>
      </c>
      <c r="V208" s="225" t="s">
        <v>1431</v>
      </c>
      <c r="W208" s="28" t="s">
        <v>4541</v>
      </c>
    </row>
    <row r="209" spans="1:23" ht="12.75">
      <c r="A209" s="218" t="s">
        <v>1557</v>
      </c>
      <c r="B209" s="243">
        <v>1984</v>
      </c>
      <c r="C209" s="243">
        <v>6143042</v>
      </c>
      <c r="D209" s="228" t="str">
        <f t="shared" si="11"/>
        <v>https://pubmed.ncbi.nlm.nih.gov/?term=6143042</v>
      </c>
      <c r="E209" s="226" t="s">
        <v>4010</v>
      </c>
      <c r="F209" s="226" t="s">
        <v>308</v>
      </c>
      <c r="G209" s="28" t="s">
        <v>4291</v>
      </c>
      <c r="I209" s="45">
        <f t="shared" si="3"/>
        <v>0</v>
      </c>
      <c r="J209" s="226"/>
      <c r="K209" s="97"/>
      <c r="O209" s="28">
        <v>1</v>
      </c>
      <c r="V209" s="225" t="s">
        <v>4290</v>
      </c>
      <c r="W209" s="28" t="s">
        <v>4547</v>
      </c>
    </row>
    <row r="210" spans="1:23" ht="12.75">
      <c r="A210" s="218" t="s">
        <v>1557</v>
      </c>
      <c r="B210" s="243">
        <v>1986</v>
      </c>
      <c r="C210" s="243">
        <v>3700611</v>
      </c>
      <c r="D210" s="228" t="str">
        <f t="shared" si="11"/>
        <v>https://pubmed.ncbi.nlm.nih.gov/?term=3700611</v>
      </c>
      <c r="E210" s="226" t="s">
        <v>4010</v>
      </c>
      <c r="F210" s="226" t="s">
        <v>308</v>
      </c>
      <c r="G210" s="28" t="s">
        <v>4292</v>
      </c>
      <c r="I210" s="45">
        <f t="shared" si="3"/>
        <v>0</v>
      </c>
      <c r="J210" s="226"/>
      <c r="K210" s="97"/>
      <c r="O210" s="28">
        <v>1</v>
      </c>
      <c r="V210" s="225" t="s">
        <v>4290</v>
      </c>
      <c r="W210" s="28" t="s">
        <v>4547</v>
      </c>
    </row>
    <row r="211" spans="1:23" ht="12.75">
      <c r="A211" s="212" t="s">
        <v>1557</v>
      </c>
      <c r="B211" s="301">
        <v>1986</v>
      </c>
      <c r="C211" s="301">
        <v>3700610</v>
      </c>
      <c r="D211" s="253" t="s">
        <v>4293</v>
      </c>
      <c r="E211" s="226" t="s">
        <v>4294</v>
      </c>
      <c r="F211" s="226" t="s">
        <v>308</v>
      </c>
      <c r="G211" s="28" t="s">
        <v>4295</v>
      </c>
      <c r="I211" s="45">
        <f t="shared" si="3"/>
        <v>0</v>
      </c>
      <c r="J211" s="226"/>
      <c r="K211" s="97"/>
      <c r="P211" s="28">
        <v>1</v>
      </c>
      <c r="V211" s="225" t="s">
        <v>4290</v>
      </c>
      <c r="W211" s="28" t="s">
        <v>4547</v>
      </c>
    </row>
    <row r="212" spans="1:23" ht="12.75">
      <c r="A212" s="218" t="s">
        <v>1557</v>
      </c>
      <c r="B212" s="243">
        <v>1984</v>
      </c>
      <c r="C212" s="243">
        <v>6143042</v>
      </c>
      <c r="D212" s="228" t="str">
        <f t="shared" ref="D212:D227" si="12">"https://pubmed.ncbi.nlm.nih.gov/?term="&amp;C212</f>
        <v>https://pubmed.ncbi.nlm.nih.gov/?term=6143042</v>
      </c>
      <c r="E212" s="226" t="s">
        <v>1580</v>
      </c>
      <c r="F212" s="226"/>
      <c r="G212" s="226"/>
      <c r="H212" s="226" t="s">
        <v>308</v>
      </c>
      <c r="I212" s="45">
        <f t="shared" si="3"/>
        <v>0</v>
      </c>
      <c r="J212" s="226"/>
      <c r="K212" s="97"/>
      <c r="V212" s="225" t="s">
        <v>1431</v>
      </c>
      <c r="W212" s="28" t="s">
        <v>4541</v>
      </c>
    </row>
    <row r="213" spans="1:23" ht="12.75">
      <c r="A213" s="218" t="s">
        <v>1557</v>
      </c>
      <c r="B213" s="243">
        <v>1986</v>
      </c>
      <c r="C213" s="243">
        <v>3700611</v>
      </c>
      <c r="D213" s="228" t="str">
        <f t="shared" si="12"/>
        <v>https://pubmed.ncbi.nlm.nih.gov/?term=3700611</v>
      </c>
      <c r="E213" s="226" t="s">
        <v>1589</v>
      </c>
      <c r="F213" s="226"/>
      <c r="G213" s="226"/>
      <c r="H213" s="226" t="s">
        <v>308</v>
      </c>
      <c r="I213" s="45">
        <f t="shared" si="3"/>
        <v>0</v>
      </c>
      <c r="J213" s="226"/>
      <c r="K213" s="97"/>
      <c r="V213" s="225" t="s">
        <v>1431</v>
      </c>
      <c r="W213" s="28" t="s">
        <v>4541</v>
      </c>
    </row>
    <row r="214" spans="1:23" ht="12.75">
      <c r="A214" s="218" t="s">
        <v>1557</v>
      </c>
      <c r="B214" s="243">
        <v>1990</v>
      </c>
      <c r="C214" s="243">
        <v>2324538</v>
      </c>
      <c r="D214" s="228" t="str">
        <f t="shared" si="12"/>
        <v>https://pubmed.ncbi.nlm.nih.gov/?term=2324538</v>
      </c>
      <c r="E214" s="226" t="s">
        <v>1596</v>
      </c>
      <c r="F214" s="226"/>
      <c r="G214" s="226"/>
      <c r="H214" s="226" t="s">
        <v>308</v>
      </c>
      <c r="I214" s="45">
        <f t="shared" si="3"/>
        <v>0</v>
      </c>
      <c r="J214" s="226"/>
      <c r="K214" s="97"/>
      <c r="V214" s="225" t="s">
        <v>1431</v>
      </c>
      <c r="W214" s="28" t="s">
        <v>4541</v>
      </c>
    </row>
    <row r="215" spans="1:23" ht="12.75">
      <c r="A215" s="218" t="s">
        <v>1557</v>
      </c>
      <c r="B215" s="243">
        <v>1983</v>
      </c>
      <c r="C215" s="243">
        <v>6852910</v>
      </c>
      <c r="D215" s="228" t="str">
        <f t="shared" si="12"/>
        <v>https://pubmed.ncbi.nlm.nih.gov/?term=6852910</v>
      </c>
      <c r="E215" s="226" t="s">
        <v>1566</v>
      </c>
      <c r="F215" s="226"/>
      <c r="G215" s="226"/>
      <c r="H215" s="226" t="s">
        <v>308</v>
      </c>
      <c r="I215" s="45">
        <f t="shared" si="3"/>
        <v>0</v>
      </c>
      <c r="J215" s="226"/>
      <c r="K215" s="97"/>
      <c r="V215" s="225" t="s">
        <v>1431</v>
      </c>
      <c r="W215" s="28" t="s">
        <v>4541</v>
      </c>
    </row>
    <row r="216" spans="1:23" ht="12.75">
      <c r="A216" s="218" t="s">
        <v>1557</v>
      </c>
      <c r="B216" s="243">
        <v>1991</v>
      </c>
      <c r="C216" s="243">
        <v>1650789</v>
      </c>
      <c r="D216" s="228" t="str">
        <f t="shared" si="12"/>
        <v>https://pubmed.ncbi.nlm.nih.gov/?term=1650789</v>
      </c>
      <c r="E216" s="226" t="s">
        <v>1606</v>
      </c>
      <c r="F216" s="226"/>
      <c r="G216" s="226"/>
      <c r="H216" s="226" t="s">
        <v>308</v>
      </c>
      <c r="I216" s="45">
        <f t="shared" si="3"/>
        <v>0</v>
      </c>
      <c r="J216" s="226"/>
      <c r="K216" s="97"/>
      <c r="V216" s="225" t="s">
        <v>1431</v>
      </c>
      <c r="W216" s="28" t="s">
        <v>4541</v>
      </c>
    </row>
    <row r="217" spans="1:23" ht="12.75">
      <c r="A217" s="218" t="s">
        <v>1557</v>
      </c>
      <c r="B217" s="243">
        <v>1990</v>
      </c>
      <c r="C217" s="243">
        <v>2324538</v>
      </c>
      <c r="D217" s="228" t="str">
        <f t="shared" si="12"/>
        <v>https://pubmed.ncbi.nlm.nih.gov/?term=2324538</v>
      </c>
      <c r="E217" s="97"/>
      <c r="F217" s="226" t="s">
        <v>511</v>
      </c>
      <c r="G217" s="226" t="s">
        <v>4256</v>
      </c>
      <c r="H217" s="97"/>
      <c r="I217" s="45">
        <f t="shared" si="3"/>
        <v>0</v>
      </c>
      <c r="J217" s="97"/>
      <c r="K217" s="97"/>
      <c r="O217" s="28">
        <v>1</v>
      </c>
      <c r="V217" s="225" t="s">
        <v>1431</v>
      </c>
      <c r="W217" s="28" t="s">
        <v>4541</v>
      </c>
    </row>
    <row r="218" spans="1:23" ht="12.75">
      <c r="A218" s="218" t="s">
        <v>1609</v>
      </c>
      <c r="B218" s="243">
        <v>1999</v>
      </c>
      <c r="C218" s="243">
        <v>10204970</v>
      </c>
      <c r="D218" s="228" t="str">
        <f t="shared" si="12"/>
        <v>https://pubmed.ncbi.nlm.nih.gov/?term=10204970</v>
      </c>
      <c r="E218" s="226" t="s">
        <v>1615</v>
      </c>
      <c r="F218" s="226"/>
      <c r="G218" s="226"/>
      <c r="H218" s="226" t="s">
        <v>308</v>
      </c>
      <c r="I218" s="45">
        <f t="shared" si="3"/>
        <v>0</v>
      </c>
      <c r="J218" s="226"/>
      <c r="K218" s="97"/>
      <c r="V218" s="225" t="s">
        <v>1431</v>
      </c>
      <c r="W218" s="28" t="s">
        <v>4541</v>
      </c>
    </row>
    <row r="219" spans="1:23" ht="12.75">
      <c r="A219" s="218" t="s">
        <v>1616</v>
      </c>
      <c r="B219" s="243">
        <v>2007</v>
      </c>
      <c r="C219" s="243">
        <v>17074855</v>
      </c>
      <c r="D219" s="228" t="str">
        <f t="shared" si="12"/>
        <v>https://pubmed.ncbi.nlm.nih.gov/?term=17074855</v>
      </c>
      <c r="E219" s="226" t="s">
        <v>1625</v>
      </c>
      <c r="F219" s="226"/>
      <c r="G219" s="226"/>
      <c r="H219" s="226" t="s">
        <v>308</v>
      </c>
      <c r="I219" s="45">
        <f t="shared" si="3"/>
        <v>0</v>
      </c>
      <c r="J219" s="226"/>
      <c r="K219" s="97"/>
      <c r="V219" s="225" t="s">
        <v>1431</v>
      </c>
      <c r="W219" s="28" t="s">
        <v>4541</v>
      </c>
    </row>
    <row r="220" spans="1:23" ht="12.75">
      <c r="A220" s="218" t="s">
        <v>1626</v>
      </c>
      <c r="B220" s="243">
        <v>1978</v>
      </c>
      <c r="C220" s="243">
        <v>730356</v>
      </c>
      <c r="D220" s="228" t="str">
        <f t="shared" si="12"/>
        <v>https://pubmed.ncbi.nlm.nih.gov/?term=730356</v>
      </c>
      <c r="E220" s="226" t="s">
        <v>1634</v>
      </c>
      <c r="F220" s="226" t="s">
        <v>308</v>
      </c>
      <c r="G220" s="282" t="s">
        <v>4020</v>
      </c>
      <c r="H220" s="226"/>
      <c r="I220" s="45">
        <f t="shared" si="3"/>
        <v>0</v>
      </c>
      <c r="J220" s="97"/>
      <c r="K220" s="97"/>
      <c r="S220" s="28">
        <v>1</v>
      </c>
      <c r="V220" s="225" t="s">
        <v>1431</v>
      </c>
      <c r="W220" s="28" t="s">
        <v>4541</v>
      </c>
    </row>
    <row r="221" spans="1:23" ht="12.75">
      <c r="A221" s="218" t="s">
        <v>1635</v>
      </c>
      <c r="B221" s="243">
        <v>2010</v>
      </c>
      <c r="C221" s="243">
        <v>19737527</v>
      </c>
      <c r="D221" s="228" t="str">
        <f t="shared" si="12"/>
        <v>https://pubmed.ncbi.nlm.nih.gov/?term=19737527</v>
      </c>
      <c r="E221" s="226" t="s">
        <v>1648</v>
      </c>
      <c r="F221" s="97"/>
      <c r="G221" s="97"/>
      <c r="H221" s="226" t="s">
        <v>511</v>
      </c>
      <c r="I221" s="45">
        <f t="shared" si="3"/>
        <v>0</v>
      </c>
      <c r="J221" s="97"/>
      <c r="K221" s="97"/>
      <c r="V221" s="225" t="s">
        <v>1431</v>
      </c>
      <c r="W221" s="28" t="s">
        <v>4541</v>
      </c>
    </row>
    <row r="222" spans="1:23" ht="12.75">
      <c r="A222" s="218" t="s">
        <v>4304</v>
      </c>
      <c r="B222" s="243">
        <v>2009</v>
      </c>
      <c r="C222" s="243">
        <v>19563295</v>
      </c>
      <c r="D222" s="228" t="str">
        <f t="shared" si="12"/>
        <v>https://pubmed.ncbi.nlm.nih.gov/?term=19563295</v>
      </c>
      <c r="E222" s="226" t="s">
        <v>4305</v>
      </c>
      <c r="F222" s="226" t="s">
        <v>511</v>
      </c>
      <c r="G222" s="226" t="s">
        <v>4306</v>
      </c>
      <c r="H222" s="97"/>
      <c r="I222" s="45">
        <f t="shared" si="3"/>
        <v>0</v>
      </c>
      <c r="J222" s="226"/>
      <c r="K222" s="226">
        <v>1</v>
      </c>
      <c r="V222" s="225" t="s">
        <v>1431</v>
      </c>
      <c r="W222" s="28" t="s">
        <v>4541</v>
      </c>
    </row>
    <row r="223" spans="1:23" ht="12.75">
      <c r="A223" s="218" t="s">
        <v>1654</v>
      </c>
      <c r="B223" s="243">
        <v>1998</v>
      </c>
      <c r="C223" s="243">
        <v>9423838</v>
      </c>
      <c r="D223" s="228" t="str">
        <f t="shared" si="12"/>
        <v>https://pubmed.ncbi.nlm.nih.gov/?term=9423838</v>
      </c>
      <c r="E223" s="226" t="s">
        <v>1663</v>
      </c>
      <c r="F223" s="226"/>
      <c r="G223" s="226"/>
      <c r="H223" s="226" t="s">
        <v>308</v>
      </c>
      <c r="I223" s="45">
        <f t="shared" si="3"/>
        <v>0</v>
      </c>
      <c r="J223" s="226"/>
      <c r="K223" s="97"/>
      <c r="V223" s="225" t="s">
        <v>1431</v>
      </c>
      <c r="W223" s="28" t="s">
        <v>4541</v>
      </c>
    </row>
    <row r="224" spans="1:23" ht="12.75">
      <c r="A224" s="218" t="s">
        <v>1672</v>
      </c>
      <c r="B224" s="243">
        <v>1979</v>
      </c>
      <c r="C224" s="243">
        <v>500204</v>
      </c>
      <c r="D224" s="228" t="str">
        <f t="shared" si="12"/>
        <v>https://pubmed.ncbi.nlm.nih.gov/?term=500204</v>
      </c>
      <c r="E224" s="226" t="s">
        <v>1689</v>
      </c>
      <c r="F224" s="226" t="s">
        <v>308</v>
      </c>
      <c r="G224" s="282" t="s">
        <v>4020</v>
      </c>
      <c r="H224" s="226"/>
      <c r="I224" s="45">
        <f t="shared" si="3"/>
        <v>0</v>
      </c>
      <c r="J224" s="226"/>
      <c r="K224" s="97"/>
      <c r="S224" s="28">
        <v>1</v>
      </c>
      <c r="V224" s="225" t="s">
        <v>1431</v>
      </c>
      <c r="W224" s="28" t="s">
        <v>4541</v>
      </c>
    </row>
    <row r="225" spans="1:23" ht="12.75">
      <c r="A225" s="218" t="s">
        <v>1672</v>
      </c>
      <c r="B225" s="243">
        <v>1975</v>
      </c>
      <c r="C225" s="243">
        <v>1211921</v>
      </c>
      <c r="D225" s="228" t="str">
        <f t="shared" si="12"/>
        <v>https://pubmed.ncbi.nlm.nih.gov/?term=1211921</v>
      </c>
      <c r="E225" s="226" t="s">
        <v>1683</v>
      </c>
      <c r="F225" s="226" t="s">
        <v>308</v>
      </c>
      <c r="G225" s="282" t="s">
        <v>4020</v>
      </c>
      <c r="H225" s="226"/>
      <c r="I225" s="45">
        <f t="shared" si="3"/>
        <v>0</v>
      </c>
      <c r="J225" s="226"/>
      <c r="K225" s="97"/>
      <c r="S225" s="28">
        <v>1</v>
      </c>
      <c r="V225" s="225" t="s">
        <v>1431</v>
      </c>
      <c r="W225" s="28" t="s">
        <v>4541</v>
      </c>
    </row>
    <row r="226" spans="1:23" ht="12.75">
      <c r="A226" s="218" t="s">
        <v>1690</v>
      </c>
      <c r="B226" s="243">
        <v>1994</v>
      </c>
      <c r="C226" s="243">
        <v>8291861</v>
      </c>
      <c r="D226" s="228" t="str">
        <f t="shared" si="12"/>
        <v>https://pubmed.ncbi.nlm.nih.gov/?term=8291861</v>
      </c>
      <c r="E226" s="226" t="s">
        <v>1710</v>
      </c>
      <c r="F226" s="226"/>
      <c r="G226" s="226"/>
      <c r="H226" s="226" t="s">
        <v>308</v>
      </c>
      <c r="I226" s="45">
        <f t="shared" si="3"/>
        <v>0</v>
      </c>
      <c r="J226" s="226"/>
      <c r="K226" s="97"/>
      <c r="V226" s="225" t="s">
        <v>1431</v>
      </c>
      <c r="W226" s="28" t="s">
        <v>4541</v>
      </c>
    </row>
    <row r="227" spans="1:23" ht="12.75">
      <c r="A227" s="218" t="s">
        <v>1690</v>
      </c>
      <c r="B227" s="243">
        <v>1999</v>
      </c>
      <c r="C227" s="243">
        <v>10890787</v>
      </c>
      <c r="D227" s="228" t="str">
        <f t="shared" si="12"/>
        <v>https://pubmed.ncbi.nlm.nih.gov/?term=10890787</v>
      </c>
      <c r="E227" s="226" t="s">
        <v>3104</v>
      </c>
      <c r="F227" s="226" t="s">
        <v>511</v>
      </c>
      <c r="G227" s="28" t="s">
        <v>4018</v>
      </c>
      <c r="H227" s="97"/>
      <c r="I227" s="45">
        <f t="shared" si="3"/>
        <v>0</v>
      </c>
      <c r="J227" s="339"/>
      <c r="K227" s="226"/>
      <c r="L227" s="28">
        <v>1</v>
      </c>
      <c r="V227" s="225" t="s">
        <v>1431</v>
      </c>
      <c r="W227" s="28" t="s">
        <v>4541</v>
      </c>
    </row>
    <row r="228" spans="1:23" ht="12.75">
      <c r="A228" s="212" t="s">
        <v>1609</v>
      </c>
      <c r="B228" s="301">
        <v>1997</v>
      </c>
      <c r="C228" s="301">
        <v>9200634</v>
      </c>
      <c r="D228" s="253" t="s">
        <v>3096</v>
      </c>
      <c r="E228" s="226" t="s">
        <v>3105</v>
      </c>
      <c r="F228" s="226"/>
      <c r="G228" s="226"/>
      <c r="H228" s="226" t="s">
        <v>308</v>
      </c>
      <c r="I228" s="45">
        <f t="shared" si="3"/>
        <v>0</v>
      </c>
      <c r="J228" s="339"/>
      <c r="K228" s="97"/>
      <c r="V228" s="225" t="s">
        <v>3104</v>
      </c>
      <c r="W228" s="28" t="s">
        <v>4547</v>
      </c>
    </row>
    <row r="229" spans="1:23" ht="12.75">
      <c r="A229" s="212" t="s">
        <v>1690</v>
      </c>
      <c r="B229" s="301">
        <v>1998</v>
      </c>
      <c r="C229" s="301">
        <v>9593010</v>
      </c>
      <c r="D229" s="253" t="s">
        <v>3107</v>
      </c>
      <c r="E229" s="226" t="s">
        <v>3116</v>
      </c>
      <c r="F229" s="226"/>
      <c r="G229" s="226"/>
      <c r="H229" s="226" t="s">
        <v>308</v>
      </c>
      <c r="I229" s="45">
        <f t="shared" si="3"/>
        <v>0</v>
      </c>
      <c r="J229" s="339"/>
      <c r="K229" s="97"/>
      <c r="V229" s="225" t="s">
        <v>3104</v>
      </c>
      <c r="W229" s="28" t="s">
        <v>4547</v>
      </c>
    </row>
    <row r="230" spans="1:23" ht="12.75">
      <c r="A230" s="218" t="s">
        <v>1690</v>
      </c>
      <c r="B230" s="243">
        <v>1993</v>
      </c>
      <c r="C230" s="243">
        <v>8392820</v>
      </c>
      <c r="D230" s="228" t="str">
        <f t="shared" ref="D230:D242" si="13">"https://pubmed.ncbi.nlm.nih.gov/?term="&amp;C230</f>
        <v>https://pubmed.ncbi.nlm.nih.gov/?term=8392820</v>
      </c>
      <c r="E230" s="226" t="s">
        <v>1700</v>
      </c>
      <c r="F230" s="226"/>
      <c r="G230" s="226"/>
      <c r="H230" s="226" t="s">
        <v>308</v>
      </c>
      <c r="I230" s="45">
        <f t="shared" si="3"/>
        <v>0</v>
      </c>
      <c r="J230" s="226"/>
      <c r="K230" s="97"/>
      <c r="V230" s="225" t="s">
        <v>1431</v>
      </c>
      <c r="W230" s="28" t="s">
        <v>4541</v>
      </c>
    </row>
    <row r="231" spans="1:23" ht="12.75">
      <c r="A231" s="218" t="s">
        <v>1690</v>
      </c>
      <c r="B231" s="243">
        <v>2006</v>
      </c>
      <c r="C231" s="243">
        <v>16023829</v>
      </c>
      <c r="D231" s="228" t="str">
        <f t="shared" si="13"/>
        <v>https://pubmed.ncbi.nlm.nih.gov/?term=16023829</v>
      </c>
      <c r="E231" s="226" t="s">
        <v>1723</v>
      </c>
      <c r="F231" s="226"/>
      <c r="G231" s="226"/>
      <c r="H231" s="226" t="s">
        <v>308</v>
      </c>
      <c r="I231" s="45">
        <f t="shared" si="3"/>
        <v>0</v>
      </c>
      <c r="J231" s="226"/>
      <c r="K231" s="97"/>
      <c r="V231" s="225" t="s">
        <v>1431</v>
      </c>
      <c r="W231" s="28" t="s">
        <v>4541</v>
      </c>
    </row>
    <row r="232" spans="1:23" ht="12.75">
      <c r="A232" s="218" t="s">
        <v>1724</v>
      </c>
      <c r="B232" s="243">
        <v>2000</v>
      </c>
      <c r="C232" s="243">
        <v>11134688</v>
      </c>
      <c r="D232" s="228" t="str">
        <f t="shared" si="13"/>
        <v>https://pubmed.ncbi.nlm.nih.gov/?term=11134688</v>
      </c>
      <c r="E232" s="226" t="s">
        <v>1732</v>
      </c>
      <c r="F232" s="226"/>
      <c r="G232" s="226"/>
      <c r="H232" s="226" t="s">
        <v>308</v>
      </c>
      <c r="I232" s="45">
        <f t="shared" si="3"/>
        <v>0</v>
      </c>
      <c r="J232" s="226"/>
      <c r="K232" s="97"/>
      <c r="V232" s="225" t="s">
        <v>1431</v>
      </c>
      <c r="W232" s="28" t="s">
        <v>4541</v>
      </c>
    </row>
    <row r="233" spans="1:23" ht="12.75">
      <c r="A233" s="218" t="s">
        <v>1724</v>
      </c>
      <c r="B233" s="243">
        <v>2000</v>
      </c>
      <c r="C233" s="243">
        <v>11134688</v>
      </c>
      <c r="D233" s="228" t="str">
        <f t="shared" si="13"/>
        <v>https://pubmed.ncbi.nlm.nih.gov/?term=11134688</v>
      </c>
      <c r="E233" s="97"/>
      <c r="F233" s="226" t="s">
        <v>511</v>
      </c>
      <c r="G233" s="226" t="s">
        <v>4256</v>
      </c>
      <c r="H233" s="97"/>
      <c r="I233" s="45">
        <f t="shared" si="3"/>
        <v>0</v>
      </c>
      <c r="J233" s="97"/>
      <c r="K233" s="97"/>
      <c r="O233" s="28">
        <v>1</v>
      </c>
      <c r="V233" s="225" t="s">
        <v>1431</v>
      </c>
      <c r="W233" s="28" t="s">
        <v>4541</v>
      </c>
    </row>
    <row r="234" spans="1:23" ht="12.75">
      <c r="A234" s="218" t="s">
        <v>1733</v>
      </c>
      <c r="B234" s="243">
        <v>1999</v>
      </c>
      <c r="C234" s="243">
        <v>10474212</v>
      </c>
      <c r="D234" s="228" t="str">
        <f t="shared" si="13"/>
        <v>https://pubmed.ncbi.nlm.nih.gov/?term=10474212</v>
      </c>
      <c r="E234" s="226" t="s">
        <v>1739</v>
      </c>
      <c r="F234" s="226"/>
      <c r="G234" s="226"/>
      <c r="H234" s="226" t="s">
        <v>308</v>
      </c>
      <c r="I234" s="45">
        <f t="shared" si="3"/>
        <v>0</v>
      </c>
      <c r="J234" s="226"/>
      <c r="K234" s="97"/>
      <c r="V234" s="225" t="s">
        <v>1431</v>
      </c>
      <c r="W234" s="28" t="s">
        <v>4541</v>
      </c>
    </row>
    <row r="235" spans="1:23" ht="12.75">
      <c r="A235" s="218" t="s">
        <v>1740</v>
      </c>
      <c r="B235" s="243">
        <v>2003</v>
      </c>
      <c r="C235" s="243">
        <v>14533659</v>
      </c>
      <c r="D235" s="228" t="str">
        <f t="shared" si="13"/>
        <v>https://pubmed.ncbi.nlm.nih.gov/?term=14533659</v>
      </c>
      <c r="E235" s="226" t="s">
        <v>1746</v>
      </c>
      <c r="F235" s="226"/>
      <c r="G235" s="226"/>
      <c r="H235" s="226" t="s">
        <v>308</v>
      </c>
      <c r="I235" s="45">
        <f t="shared" si="3"/>
        <v>0</v>
      </c>
      <c r="J235" s="226"/>
      <c r="K235" s="97"/>
      <c r="V235" s="225" t="s">
        <v>1431</v>
      </c>
      <c r="W235" s="28" t="s">
        <v>4541</v>
      </c>
    </row>
    <row r="236" spans="1:23" ht="12.75">
      <c r="A236" s="218" t="s">
        <v>1750</v>
      </c>
      <c r="B236" s="243">
        <v>2008</v>
      </c>
      <c r="C236" s="243">
        <v>17625517</v>
      </c>
      <c r="D236" s="228" t="str">
        <f t="shared" si="13"/>
        <v>https://pubmed.ncbi.nlm.nih.gov/?term=17625517</v>
      </c>
      <c r="E236" s="226" t="s">
        <v>1760</v>
      </c>
      <c r="F236" s="97"/>
      <c r="G236" s="97"/>
      <c r="H236" s="226" t="s">
        <v>511</v>
      </c>
      <c r="I236" s="45">
        <f t="shared" si="3"/>
        <v>0</v>
      </c>
      <c r="J236" s="97"/>
      <c r="K236" s="97"/>
      <c r="V236" s="225" t="s">
        <v>1431</v>
      </c>
      <c r="W236" s="28" t="s">
        <v>4541</v>
      </c>
    </row>
    <row r="237" spans="1:23" ht="12.75">
      <c r="A237" s="218" t="s">
        <v>4316</v>
      </c>
      <c r="B237" s="243">
        <v>1962</v>
      </c>
      <c r="C237" s="243">
        <v>13901335</v>
      </c>
      <c r="D237" s="228" t="str">
        <f t="shared" si="13"/>
        <v>https://pubmed.ncbi.nlm.nih.gov/?term=13901335</v>
      </c>
      <c r="E237" s="226" t="s">
        <v>1774</v>
      </c>
      <c r="F237" s="226" t="s">
        <v>308</v>
      </c>
      <c r="G237" s="97"/>
      <c r="H237" s="226"/>
      <c r="I237" s="45">
        <f t="shared" si="3"/>
        <v>0</v>
      </c>
      <c r="J237" s="97"/>
      <c r="K237" s="97"/>
      <c r="S237" s="28">
        <v>1</v>
      </c>
      <c r="V237" s="225" t="s">
        <v>1431</v>
      </c>
      <c r="W237" s="28" t="s">
        <v>4541</v>
      </c>
    </row>
    <row r="238" spans="1:23" ht="12.75">
      <c r="A238" s="218" t="s">
        <v>1788</v>
      </c>
      <c r="B238" s="243">
        <v>2001</v>
      </c>
      <c r="C238" s="243">
        <v>11734429</v>
      </c>
      <c r="D238" s="228" t="str">
        <f t="shared" si="13"/>
        <v>https://pubmed.ncbi.nlm.nih.gov/?term=11734429</v>
      </c>
      <c r="E238" s="226" t="s">
        <v>1799</v>
      </c>
      <c r="F238" s="97"/>
      <c r="G238" s="97"/>
      <c r="H238" s="226" t="s">
        <v>511</v>
      </c>
      <c r="I238" s="45">
        <f t="shared" si="3"/>
        <v>0</v>
      </c>
      <c r="J238" s="97"/>
      <c r="K238" s="97"/>
      <c r="V238" s="225" t="s">
        <v>1431</v>
      </c>
      <c r="W238" s="28" t="s">
        <v>4541</v>
      </c>
    </row>
    <row r="239" spans="1:23" ht="12.75">
      <c r="A239" s="218" t="s">
        <v>1775</v>
      </c>
      <c r="B239" s="243">
        <v>1996</v>
      </c>
      <c r="C239" s="243">
        <v>8655877</v>
      </c>
      <c r="D239" s="228" t="str">
        <f t="shared" si="13"/>
        <v>https://pubmed.ncbi.nlm.nih.gov/?term=8655877</v>
      </c>
      <c r="E239" s="226" t="s">
        <v>1787</v>
      </c>
      <c r="F239" s="226"/>
      <c r="G239" s="226"/>
      <c r="H239" s="226" t="s">
        <v>308</v>
      </c>
      <c r="I239" s="45">
        <f t="shared" si="3"/>
        <v>0</v>
      </c>
      <c r="J239" s="226"/>
      <c r="K239" s="97"/>
      <c r="V239" s="225" t="s">
        <v>1431</v>
      </c>
      <c r="W239" s="28" t="s">
        <v>4541</v>
      </c>
    </row>
    <row r="240" spans="1:23" ht="12.75">
      <c r="A240" s="218" t="s">
        <v>1800</v>
      </c>
      <c r="B240" s="243">
        <v>1997</v>
      </c>
      <c r="C240" s="243">
        <v>9402380</v>
      </c>
      <c r="D240" s="228" t="str">
        <f t="shared" si="13"/>
        <v>https://pubmed.ncbi.nlm.nih.gov/?term=9402380</v>
      </c>
      <c r="E240" s="226" t="s">
        <v>1826</v>
      </c>
      <c r="F240" s="97"/>
      <c r="G240" s="97"/>
      <c r="H240" s="226" t="s">
        <v>511</v>
      </c>
      <c r="I240" s="45">
        <f t="shared" si="3"/>
        <v>0</v>
      </c>
      <c r="J240" s="97"/>
      <c r="K240" s="97"/>
      <c r="V240" s="225" t="s">
        <v>1431</v>
      </c>
      <c r="W240" s="28" t="s">
        <v>4541</v>
      </c>
    </row>
    <row r="241" spans="1:23" ht="12.75">
      <c r="A241" s="218" t="s">
        <v>1800</v>
      </c>
      <c r="B241" s="243">
        <v>1996</v>
      </c>
      <c r="C241" s="243">
        <v>8729205</v>
      </c>
      <c r="D241" s="228" t="str">
        <f t="shared" si="13"/>
        <v>https://pubmed.ncbi.nlm.nih.gov/?term=8729205</v>
      </c>
      <c r="E241" s="226" t="s">
        <v>1812</v>
      </c>
      <c r="F241" s="226"/>
      <c r="G241" s="226"/>
      <c r="H241" s="226" t="s">
        <v>308</v>
      </c>
      <c r="I241" s="45">
        <f t="shared" si="3"/>
        <v>0</v>
      </c>
      <c r="J241" s="226"/>
      <c r="K241" s="97"/>
      <c r="V241" s="225" t="s">
        <v>1431</v>
      </c>
      <c r="W241" s="28" t="s">
        <v>4541</v>
      </c>
    </row>
    <row r="242" spans="1:23" ht="12.75">
      <c r="A242" s="218" t="s">
        <v>1800</v>
      </c>
      <c r="B242" s="243">
        <v>2003</v>
      </c>
      <c r="C242" s="243">
        <v>12627355</v>
      </c>
      <c r="D242" s="228" t="str">
        <f t="shared" si="13"/>
        <v>https://pubmed.ncbi.nlm.nih.gov/?term=12627355</v>
      </c>
      <c r="E242" s="226" t="s">
        <v>3125</v>
      </c>
      <c r="F242" s="226" t="s">
        <v>511</v>
      </c>
      <c r="G242" s="226" t="s">
        <v>4570</v>
      </c>
      <c r="H242" s="97"/>
      <c r="I242" s="45">
        <f t="shared" si="3"/>
        <v>0</v>
      </c>
      <c r="J242" s="97"/>
      <c r="K242" s="97"/>
      <c r="L242" s="28">
        <v>1</v>
      </c>
      <c r="V242" s="225" t="s">
        <v>1431</v>
      </c>
      <c r="W242" s="28" t="s">
        <v>4541</v>
      </c>
    </row>
    <row r="243" spans="1:23" ht="12.75">
      <c r="A243" s="212" t="s">
        <v>1800</v>
      </c>
      <c r="B243" s="301">
        <v>1967</v>
      </c>
      <c r="C243" s="301">
        <v>4293015</v>
      </c>
      <c r="D243" s="253" t="s">
        <v>4317</v>
      </c>
      <c r="E243" s="226" t="s">
        <v>4318</v>
      </c>
      <c r="F243" s="226" t="s">
        <v>308</v>
      </c>
      <c r="G243" s="28" t="s">
        <v>4549</v>
      </c>
      <c r="H243" s="97"/>
      <c r="I243" s="45">
        <f t="shared" si="3"/>
        <v>0</v>
      </c>
      <c r="J243" s="97"/>
      <c r="K243" s="97"/>
      <c r="N243" s="28"/>
      <c r="S243" s="28">
        <v>1</v>
      </c>
      <c r="V243" s="225" t="s">
        <v>3125</v>
      </c>
      <c r="W243" s="28" t="s">
        <v>4547</v>
      </c>
    </row>
    <row r="244" spans="1:23" ht="12.75">
      <c r="A244" s="218" t="s">
        <v>1800</v>
      </c>
      <c r="B244" s="243">
        <v>1996</v>
      </c>
      <c r="C244" s="243">
        <v>8729205</v>
      </c>
      <c r="D244" s="228" t="str">
        <f t="shared" ref="D244:D245" si="14">"https://pubmed.ncbi.nlm.nih.gov/?term="&amp;C244</f>
        <v>https://pubmed.ncbi.nlm.nih.gov/?term=8729205</v>
      </c>
      <c r="E244" s="226" t="s">
        <v>4010</v>
      </c>
      <c r="F244" s="226" t="s">
        <v>308</v>
      </c>
      <c r="G244" s="28" t="s">
        <v>4319</v>
      </c>
      <c r="H244" s="97"/>
      <c r="I244" s="45">
        <f t="shared" si="3"/>
        <v>0</v>
      </c>
      <c r="J244" s="97"/>
      <c r="K244" s="97"/>
      <c r="N244" s="28"/>
      <c r="O244" s="28">
        <v>1</v>
      </c>
      <c r="V244" s="225" t="s">
        <v>3125</v>
      </c>
      <c r="W244" s="28" t="s">
        <v>4547</v>
      </c>
    </row>
    <row r="245" spans="1:23" ht="12.75">
      <c r="A245" s="218" t="s">
        <v>1800</v>
      </c>
      <c r="B245" s="243">
        <v>1997</v>
      </c>
      <c r="C245" s="243">
        <v>9402380</v>
      </c>
      <c r="D245" s="228" t="str">
        <f t="shared" si="14"/>
        <v>https://pubmed.ncbi.nlm.nih.gov/?term=9402380</v>
      </c>
      <c r="E245" s="226" t="s">
        <v>4010</v>
      </c>
      <c r="F245" s="226" t="s">
        <v>308</v>
      </c>
      <c r="G245" s="28" t="s">
        <v>4320</v>
      </c>
      <c r="H245" s="97"/>
      <c r="I245" s="45">
        <f t="shared" si="3"/>
        <v>0</v>
      </c>
      <c r="J245" s="97"/>
      <c r="K245" s="97"/>
      <c r="N245" s="28"/>
      <c r="O245" s="28">
        <v>1</v>
      </c>
      <c r="V245" s="225" t="s">
        <v>3125</v>
      </c>
      <c r="W245" s="28" t="s">
        <v>4547</v>
      </c>
    </row>
    <row r="246" spans="1:23" ht="12.75">
      <c r="A246" s="212" t="s">
        <v>1800</v>
      </c>
      <c r="B246" s="301">
        <v>2000</v>
      </c>
      <c r="C246" s="302" t="s">
        <v>4321</v>
      </c>
      <c r="D246" s="97"/>
      <c r="E246" s="226" t="s">
        <v>4057</v>
      </c>
      <c r="F246" s="226" t="s">
        <v>308</v>
      </c>
      <c r="G246" s="28" t="s">
        <v>4571</v>
      </c>
      <c r="H246" s="97"/>
      <c r="I246" s="45">
        <f t="shared" si="3"/>
        <v>0</v>
      </c>
      <c r="J246" s="97"/>
      <c r="K246" s="97"/>
      <c r="N246" s="28"/>
      <c r="Q246" s="28">
        <v>1</v>
      </c>
      <c r="V246" s="225" t="s">
        <v>3125</v>
      </c>
      <c r="W246" s="28" t="s">
        <v>4547</v>
      </c>
    </row>
    <row r="247" spans="1:23" ht="12.75">
      <c r="A247" s="212" t="s">
        <v>1800</v>
      </c>
      <c r="B247" s="301">
        <v>2001</v>
      </c>
      <c r="C247" s="302" t="s">
        <v>4323</v>
      </c>
      <c r="D247" s="97"/>
      <c r="E247" s="226" t="s">
        <v>4057</v>
      </c>
      <c r="F247" s="226" t="s">
        <v>308</v>
      </c>
      <c r="G247" s="28" t="s">
        <v>4571</v>
      </c>
      <c r="H247" s="97"/>
      <c r="I247" s="45">
        <f t="shared" si="3"/>
        <v>0</v>
      </c>
      <c r="J247" s="97"/>
      <c r="K247" s="97"/>
      <c r="N247" s="28"/>
      <c r="Q247" s="28">
        <v>1</v>
      </c>
      <c r="V247" s="225" t="s">
        <v>3125</v>
      </c>
      <c r="W247" s="28" t="s">
        <v>4547</v>
      </c>
    </row>
    <row r="248" spans="1:23" ht="12.75">
      <c r="A248" s="212" t="s">
        <v>1800</v>
      </c>
      <c r="B248" s="301">
        <v>2002</v>
      </c>
      <c r="C248" s="301">
        <v>12134249</v>
      </c>
      <c r="D248" s="253" t="s">
        <v>3117</v>
      </c>
      <c r="E248" s="226" t="s">
        <v>3126</v>
      </c>
      <c r="F248" s="226"/>
      <c r="G248" s="28"/>
      <c r="H248" s="226" t="s">
        <v>308</v>
      </c>
      <c r="I248" s="45">
        <f t="shared" si="3"/>
        <v>0</v>
      </c>
      <c r="J248" s="97"/>
      <c r="K248" s="97"/>
      <c r="N248" s="28"/>
      <c r="V248" s="225" t="s">
        <v>3125</v>
      </c>
      <c r="W248" s="28" t="s">
        <v>4547</v>
      </c>
    </row>
    <row r="249" spans="1:23" ht="12.75">
      <c r="A249" s="218" t="s">
        <v>2289</v>
      </c>
      <c r="B249" s="243">
        <v>1992</v>
      </c>
      <c r="C249" s="243">
        <v>1317694</v>
      </c>
      <c r="D249" s="228" t="str">
        <f t="shared" ref="D249:D261" si="15">"https://pubmed.ncbi.nlm.nih.gov/?term="&amp;C249</f>
        <v>https://pubmed.ncbi.nlm.nih.gov/?term=1317694</v>
      </c>
      <c r="E249" s="226" t="s">
        <v>4010</v>
      </c>
      <c r="F249" s="226" t="s">
        <v>308</v>
      </c>
      <c r="G249" s="28" t="s">
        <v>4324</v>
      </c>
      <c r="H249" s="97"/>
      <c r="I249" s="45">
        <f t="shared" si="3"/>
        <v>0</v>
      </c>
      <c r="J249" s="97"/>
      <c r="K249" s="97"/>
      <c r="N249" s="28"/>
      <c r="O249" s="28">
        <v>1</v>
      </c>
      <c r="V249" s="225" t="s">
        <v>3125</v>
      </c>
      <c r="W249" s="28" t="s">
        <v>4547</v>
      </c>
    </row>
    <row r="250" spans="1:23" ht="12.75">
      <c r="A250" s="218" t="s">
        <v>2371</v>
      </c>
      <c r="B250" s="243">
        <v>1999</v>
      </c>
      <c r="C250" s="243">
        <v>10340366</v>
      </c>
      <c r="D250" s="228" t="str">
        <f t="shared" si="15"/>
        <v>https://pubmed.ncbi.nlm.nih.gov/?term=10340366</v>
      </c>
      <c r="E250" s="226" t="s">
        <v>4010</v>
      </c>
      <c r="F250" s="226" t="s">
        <v>308</v>
      </c>
      <c r="G250" s="28" t="s">
        <v>4325</v>
      </c>
      <c r="H250" s="97"/>
      <c r="I250" s="45">
        <f t="shared" si="3"/>
        <v>0</v>
      </c>
      <c r="J250" s="97"/>
      <c r="K250" s="97"/>
      <c r="N250" s="28"/>
      <c r="O250" s="28">
        <v>1</v>
      </c>
      <c r="V250" s="225" t="s">
        <v>3125</v>
      </c>
      <c r="W250" s="28" t="s">
        <v>4547</v>
      </c>
    </row>
    <row r="251" spans="1:23" ht="12.75">
      <c r="A251" s="218" t="s">
        <v>1827</v>
      </c>
      <c r="B251" s="243">
        <v>1996</v>
      </c>
      <c r="C251" s="243">
        <v>8953073</v>
      </c>
      <c r="D251" s="228" t="str">
        <f t="shared" si="15"/>
        <v>https://pubmed.ncbi.nlm.nih.gov/?term=8953073</v>
      </c>
      <c r="E251" s="226" t="s">
        <v>1834</v>
      </c>
      <c r="F251" s="226"/>
      <c r="G251" s="226"/>
      <c r="H251" s="226" t="s">
        <v>308</v>
      </c>
      <c r="I251" s="45">
        <f t="shared" si="3"/>
        <v>0</v>
      </c>
      <c r="J251" s="226"/>
      <c r="K251" s="97"/>
      <c r="V251" s="225" t="s">
        <v>1431</v>
      </c>
      <c r="W251" s="28" t="s">
        <v>4541</v>
      </c>
    </row>
    <row r="252" spans="1:23" ht="12.75">
      <c r="A252" s="218" t="s">
        <v>1835</v>
      </c>
      <c r="B252" s="243">
        <v>1982</v>
      </c>
      <c r="C252" s="243">
        <v>7137990</v>
      </c>
      <c r="D252" s="228" t="str">
        <f t="shared" si="15"/>
        <v>https://pubmed.ncbi.nlm.nih.gov/?term=7137990</v>
      </c>
      <c r="E252" s="226" t="s">
        <v>1841</v>
      </c>
      <c r="F252" s="226"/>
      <c r="G252" s="226"/>
      <c r="H252" s="226" t="s">
        <v>308</v>
      </c>
      <c r="I252" s="45">
        <f t="shared" si="3"/>
        <v>0</v>
      </c>
      <c r="J252" s="226"/>
      <c r="K252" s="97"/>
      <c r="V252" s="225" t="s">
        <v>1431</v>
      </c>
      <c r="W252" s="28" t="s">
        <v>4541</v>
      </c>
    </row>
    <row r="253" spans="1:23" ht="12.75">
      <c r="A253" s="218" t="s">
        <v>1835</v>
      </c>
      <c r="B253" s="243">
        <v>1988</v>
      </c>
      <c r="C253" s="243">
        <v>2849376</v>
      </c>
      <c r="D253" s="228" t="str">
        <f t="shared" si="15"/>
        <v>https://pubmed.ncbi.nlm.nih.gov/?term=2849376</v>
      </c>
      <c r="E253" s="226" t="s">
        <v>1853</v>
      </c>
      <c r="F253" s="226"/>
      <c r="G253" s="226"/>
      <c r="H253" s="226" t="s">
        <v>308</v>
      </c>
      <c r="I253" s="45">
        <f t="shared" si="3"/>
        <v>0</v>
      </c>
      <c r="J253" s="226"/>
      <c r="K253" s="97"/>
      <c r="V253" s="225" t="s">
        <v>1431</v>
      </c>
      <c r="W253" s="28" t="s">
        <v>4541</v>
      </c>
    </row>
    <row r="254" spans="1:23" ht="12.75">
      <c r="A254" s="218" t="s">
        <v>1835</v>
      </c>
      <c r="B254" s="243">
        <v>1996</v>
      </c>
      <c r="C254" s="243">
        <v>8544269</v>
      </c>
      <c r="D254" s="228" t="str">
        <f t="shared" si="15"/>
        <v>https://pubmed.ncbi.nlm.nih.gov/?term=8544269</v>
      </c>
      <c r="E254" s="226" t="s">
        <v>1902</v>
      </c>
      <c r="F254" s="226"/>
      <c r="G254" s="226"/>
      <c r="H254" s="226" t="s">
        <v>308</v>
      </c>
      <c r="I254" s="45">
        <f t="shared" si="3"/>
        <v>0</v>
      </c>
      <c r="J254" s="226"/>
      <c r="K254" s="97"/>
      <c r="V254" s="225" t="s">
        <v>1431</v>
      </c>
      <c r="W254" s="28" t="s">
        <v>4541</v>
      </c>
    </row>
    <row r="255" spans="1:23" ht="12.75">
      <c r="A255" s="218" t="s">
        <v>1835</v>
      </c>
      <c r="B255" s="243">
        <v>1992</v>
      </c>
      <c r="C255" s="243">
        <v>1503435</v>
      </c>
      <c r="D255" s="228" t="str">
        <f t="shared" si="15"/>
        <v>https://pubmed.ncbi.nlm.nih.gov/?term=1503435</v>
      </c>
      <c r="E255" s="226" t="s">
        <v>1871</v>
      </c>
      <c r="F255" s="226"/>
      <c r="G255" s="226"/>
      <c r="H255" s="226" t="s">
        <v>308</v>
      </c>
      <c r="I255" s="45">
        <f t="shared" si="3"/>
        <v>0</v>
      </c>
      <c r="J255" s="226"/>
      <c r="K255" s="97"/>
      <c r="V255" s="225" t="s">
        <v>1431</v>
      </c>
      <c r="W255" s="28" t="s">
        <v>4541</v>
      </c>
    </row>
    <row r="256" spans="1:23" ht="12.75">
      <c r="A256" s="218" t="s">
        <v>1835</v>
      </c>
      <c r="B256" s="243">
        <v>1994</v>
      </c>
      <c r="C256" s="243">
        <v>8067760</v>
      </c>
      <c r="D256" s="228" t="str">
        <f t="shared" si="15"/>
        <v>https://pubmed.ncbi.nlm.nih.gov/?term=8067760</v>
      </c>
      <c r="E256" s="226" t="s">
        <v>1893</v>
      </c>
      <c r="F256" s="226"/>
      <c r="G256" s="226"/>
      <c r="H256" s="226" t="s">
        <v>308</v>
      </c>
      <c r="I256" s="45">
        <f t="shared" si="3"/>
        <v>0</v>
      </c>
      <c r="J256" s="226"/>
      <c r="K256" s="97"/>
      <c r="V256" s="225" t="s">
        <v>1431</v>
      </c>
      <c r="W256" s="28" t="s">
        <v>4541</v>
      </c>
    </row>
    <row r="257" spans="1:23" ht="12.75">
      <c r="A257" s="218" t="s">
        <v>1835</v>
      </c>
      <c r="B257" s="243">
        <v>1997</v>
      </c>
      <c r="C257" s="243">
        <v>9302301</v>
      </c>
      <c r="D257" s="228" t="str">
        <f t="shared" si="15"/>
        <v>https://pubmed.ncbi.nlm.nih.gov/?term=9302301</v>
      </c>
      <c r="E257" s="226" t="s">
        <v>4329</v>
      </c>
      <c r="F257" s="226" t="s">
        <v>511</v>
      </c>
      <c r="G257" s="226" t="s">
        <v>4330</v>
      </c>
      <c r="H257" s="97"/>
      <c r="I257" s="45">
        <f t="shared" si="3"/>
        <v>0</v>
      </c>
      <c r="J257" s="226"/>
      <c r="K257" s="97"/>
      <c r="P257" s="28">
        <v>1</v>
      </c>
      <c r="V257" s="225" t="s">
        <v>1431</v>
      </c>
      <c r="W257" s="28" t="s">
        <v>4541</v>
      </c>
    </row>
    <row r="258" spans="1:23" ht="12.75">
      <c r="A258" s="218" t="s">
        <v>1835</v>
      </c>
      <c r="B258" s="243">
        <v>1999</v>
      </c>
      <c r="C258" s="243">
        <v>10517426</v>
      </c>
      <c r="D258" s="228" t="str">
        <f t="shared" si="15"/>
        <v>https://pubmed.ncbi.nlm.nih.gov/?term=10517426</v>
      </c>
      <c r="E258" s="226" t="s">
        <v>1915</v>
      </c>
      <c r="F258" s="226"/>
      <c r="G258" s="226"/>
      <c r="H258" s="226" t="s">
        <v>308</v>
      </c>
      <c r="I258" s="45">
        <f t="shared" si="3"/>
        <v>0</v>
      </c>
      <c r="J258" s="226"/>
      <c r="K258" s="97"/>
      <c r="V258" s="225" t="s">
        <v>1431</v>
      </c>
      <c r="W258" s="28" t="s">
        <v>4541</v>
      </c>
    </row>
    <row r="259" spans="1:23" ht="12.75">
      <c r="A259" s="218" t="s">
        <v>1922</v>
      </c>
      <c r="B259" s="243">
        <v>1990</v>
      </c>
      <c r="C259" s="243">
        <v>2204243</v>
      </c>
      <c r="D259" s="228" t="str">
        <f t="shared" si="15"/>
        <v>https://pubmed.ncbi.nlm.nih.gov/?term=2204243</v>
      </c>
      <c r="E259" s="226" t="s">
        <v>4572</v>
      </c>
      <c r="F259" s="226"/>
      <c r="G259" s="226"/>
      <c r="H259" s="226" t="s">
        <v>308</v>
      </c>
      <c r="I259" s="45">
        <f t="shared" si="3"/>
        <v>0</v>
      </c>
      <c r="J259" s="226"/>
      <c r="K259" s="97"/>
      <c r="V259" s="225" t="s">
        <v>1431</v>
      </c>
      <c r="W259" s="28" t="s">
        <v>4541</v>
      </c>
    </row>
    <row r="260" spans="1:23" ht="12.75">
      <c r="A260" s="218" t="s">
        <v>1922</v>
      </c>
      <c r="B260" s="243">
        <v>1990</v>
      </c>
      <c r="C260" s="243">
        <v>2204243</v>
      </c>
      <c r="D260" s="228" t="str">
        <f t="shared" si="15"/>
        <v>https://pubmed.ncbi.nlm.nih.gov/?term=2204243</v>
      </c>
      <c r="E260" s="97"/>
      <c r="F260" s="226" t="s">
        <v>511</v>
      </c>
      <c r="G260" s="226" t="s">
        <v>4256</v>
      </c>
      <c r="H260" s="97"/>
      <c r="I260" s="45">
        <f t="shared" si="3"/>
        <v>0</v>
      </c>
      <c r="J260" s="97"/>
      <c r="K260" s="97"/>
      <c r="O260" s="28">
        <v>1</v>
      </c>
      <c r="V260" s="225" t="s">
        <v>1431</v>
      </c>
      <c r="W260" s="28" t="s">
        <v>4541</v>
      </c>
    </row>
    <row r="261" spans="1:23" ht="12.75">
      <c r="A261" s="218" t="s">
        <v>4333</v>
      </c>
      <c r="B261" s="243">
        <v>2010</v>
      </c>
      <c r="C261" s="243">
        <v>20525715</v>
      </c>
      <c r="D261" s="228" t="str">
        <f t="shared" si="15"/>
        <v>https://pubmed.ncbi.nlm.nih.gov/?term=20525715</v>
      </c>
      <c r="E261" s="226" t="s">
        <v>3135</v>
      </c>
      <c r="F261" s="226" t="s">
        <v>511</v>
      </c>
      <c r="G261" s="226" t="s">
        <v>4334</v>
      </c>
      <c r="H261" s="97"/>
      <c r="I261" s="45">
        <f t="shared" si="3"/>
        <v>0</v>
      </c>
      <c r="J261" s="97"/>
      <c r="K261" s="226"/>
      <c r="L261" s="28">
        <v>1</v>
      </c>
      <c r="V261" s="225" t="s">
        <v>1431</v>
      </c>
      <c r="W261" s="28" t="s">
        <v>4541</v>
      </c>
    </row>
    <row r="262" spans="1:23" ht="12.75">
      <c r="A262" s="212" t="s">
        <v>3127</v>
      </c>
      <c r="B262" s="301">
        <v>2008</v>
      </c>
      <c r="C262" s="301">
        <v>18768794</v>
      </c>
      <c r="D262" s="253" t="s">
        <v>3128</v>
      </c>
      <c r="E262" s="226" t="s">
        <v>3136</v>
      </c>
      <c r="F262" s="226"/>
      <c r="G262" s="226"/>
      <c r="H262" s="226" t="s">
        <v>308</v>
      </c>
      <c r="I262" s="45">
        <f t="shared" si="3"/>
        <v>0</v>
      </c>
      <c r="J262" s="97"/>
      <c r="K262" s="226"/>
      <c r="V262" s="225" t="s">
        <v>3135</v>
      </c>
      <c r="W262" s="28" t="s">
        <v>4547</v>
      </c>
    </row>
    <row r="263" spans="1:23" ht="12.75">
      <c r="A263" s="218" t="s">
        <v>1938</v>
      </c>
      <c r="B263" s="243">
        <v>1988</v>
      </c>
      <c r="C263" s="243">
        <v>2853194</v>
      </c>
      <c r="D263" s="228" t="str">
        <f t="shared" ref="D263:D277" si="16">"https://pubmed.ncbi.nlm.nih.gov/?term="&amp;C263</f>
        <v>https://pubmed.ncbi.nlm.nih.gov/?term=2853194</v>
      </c>
      <c r="E263" s="226" t="s">
        <v>1952</v>
      </c>
      <c r="F263" s="226"/>
      <c r="G263" s="226"/>
      <c r="H263" s="226" t="s">
        <v>308</v>
      </c>
      <c r="I263" s="45">
        <f t="shared" si="3"/>
        <v>0</v>
      </c>
      <c r="J263" s="226"/>
      <c r="K263" s="97"/>
      <c r="V263" s="225" t="s">
        <v>1431</v>
      </c>
      <c r="W263" s="28" t="s">
        <v>4541</v>
      </c>
    </row>
    <row r="264" spans="1:23" ht="12.75">
      <c r="A264" s="218" t="s">
        <v>4336</v>
      </c>
      <c r="B264" s="243">
        <v>1982</v>
      </c>
      <c r="C264" s="243">
        <v>6750006</v>
      </c>
      <c r="D264" s="228" t="str">
        <f t="shared" si="16"/>
        <v>https://pubmed.ncbi.nlm.nih.gov/?term=6750006</v>
      </c>
      <c r="E264" s="226" t="s">
        <v>1962</v>
      </c>
      <c r="F264" s="97"/>
      <c r="G264" s="97"/>
      <c r="H264" s="226" t="s">
        <v>511</v>
      </c>
      <c r="I264" s="45">
        <f t="shared" si="3"/>
        <v>0</v>
      </c>
      <c r="J264" s="97"/>
      <c r="K264" s="97"/>
      <c r="V264" s="225" t="s">
        <v>1431</v>
      </c>
      <c r="W264" s="28" t="s">
        <v>4541</v>
      </c>
    </row>
    <row r="265" spans="1:23" ht="12.75">
      <c r="A265" s="218" t="s">
        <v>4338</v>
      </c>
      <c r="B265" s="243">
        <v>2007</v>
      </c>
      <c r="C265" s="243">
        <v>17055218</v>
      </c>
      <c r="D265" s="228" t="str">
        <f t="shared" si="16"/>
        <v>https://pubmed.ncbi.nlm.nih.gov/?term=17055218</v>
      </c>
      <c r="E265" s="226" t="s">
        <v>4339</v>
      </c>
      <c r="F265" s="226" t="s">
        <v>511</v>
      </c>
      <c r="G265" s="226" t="s">
        <v>4340</v>
      </c>
      <c r="H265" s="97"/>
      <c r="I265" s="45">
        <f t="shared" si="3"/>
        <v>0</v>
      </c>
      <c r="J265" s="226"/>
      <c r="K265" s="97"/>
      <c r="L265" s="28">
        <v>1</v>
      </c>
      <c r="V265" s="225" t="s">
        <v>1431</v>
      </c>
      <c r="W265" s="28" t="s">
        <v>4541</v>
      </c>
    </row>
    <row r="266" spans="1:23" ht="12.75">
      <c r="A266" s="218" t="s">
        <v>4341</v>
      </c>
      <c r="B266" s="243">
        <v>2001</v>
      </c>
      <c r="C266" s="243">
        <v>11424113</v>
      </c>
      <c r="D266" s="228" t="str">
        <f t="shared" si="16"/>
        <v>https://pubmed.ncbi.nlm.nih.gov/?term=11424113</v>
      </c>
      <c r="E266" s="226" t="s">
        <v>4342</v>
      </c>
      <c r="F266" s="226" t="s">
        <v>511</v>
      </c>
      <c r="G266" s="226" t="s">
        <v>4573</v>
      </c>
      <c r="H266" s="97"/>
      <c r="I266" s="45">
        <f t="shared" si="3"/>
        <v>0</v>
      </c>
      <c r="J266" s="226"/>
      <c r="K266" s="97"/>
      <c r="P266" s="28">
        <v>1</v>
      </c>
      <c r="V266" s="225" t="s">
        <v>1431</v>
      </c>
      <c r="W266" s="28" t="s">
        <v>4541</v>
      </c>
    </row>
    <row r="267" spans="1:23" ht="12.75">
      <c r="A267" s="218" t="s">
        <v>1967</v>
      </c>
      <c r="B267" s="243">
        <v>1969</v>
      </c>
      <c r="C267" s="243">
        <v>5309454</v>
      </c>
      <c r="D267" s="228" t="str">
        <f t="shared" si="16"/>
        <v>https://pubmed.ncbi.nlm.nih.gov/?term=5309454</v>
      </c>
      <c r="E267" s="226" t="s">
        <v>1974</v>
      </c>
      <c r="F267" s="226" t="s">
        <v>308</v>
      </c>
      <c r="G267" s="226" t="s">
        <v>4549</v>
      </c>
      <c r="H267" s="226"/>
      <c r="I267" s="45">
        <f t="shared" si="3"/>
        <v>0</v>
      </c>
      <c r="J267" s="226"/>
      <c r="K267" s="97"/>
      <c r="S267" s="28">
        <v>1</v>
      </c>
      <c r="V267" s="225" t="s">
        <v>1431</v>
      </c>
      <c r="W267" s="28" t="s">
        <v>4541</v>
      </c>
    </row>
    <row r="268" spans="1:23" ht="12.75">
      <c r="A268" s="218" t="s">
        <v>4344</v>
      </c>
      <c r="B268" s="243">
        <v>1990</v>
      </c>
      <c r="C268" s="243">
        <v>2162116</v>
      </c>
      <c r="D268" s="228" t="str">
        <f t="shared" si="16"/>
        <v>https://pubmed.ncbi.nlm.nih.gov/?term=2162116</v>
      </c>
      <c r="E268" s="226" t="s">
        <v>4345</v>
      </c>
      <c r="F268" s="226" t="s">
        <v>511</v>
      </c>
      <c r="G268" s="226" t="s">
        <v>4346</v>
      </c>
      <c r="H268" s="97"/>
      <c r="I268" s="45">
        <f t="shared" si="3"/>
        <v>0</v>
      </c>
      <c r="J268" s="97"/>
      <c r="K268" s="226">
        <v>1</v>
      </c>
      <c r="V268" s="225" t="s">
        <v>1431</v>
      </c>
      <c r="W268" s="28" t="s">
        <v>4541</v>
      </c>
    </row>
    <row r="269" spans="1:23" ht="12.75">
      <c r="A269" s="218" t="s">
        <v>1980</v>
      </c>
      <c r="B269" s="243">
        <v>1995</v>
      </c>
      <c r="C269" s="243">
        <v>8578831</v>
      </c>
      <c r="D269" s="228" t="str">
        <f t="shared" si="16"/>
        <v>https://pubmed.ncbi.nlm.nih.gov/?term=8578831</v>
      </c>
      <c r="E269" s="226" t="s">
        <v>4574</v>
      </c>
      <c r="F269" s="97"/>
      <c r="G269" s="97"/>
      <c r="H269" s="226" t="s">
        <v>511</v>
      </c>
      <c r="I269" s="45">
        <f t="shared" si="3"/>
        <v>0</v>
      </c>
      <c r="J269" s="97"/>
      <c r="K269" s="97"/>
      <c r="V269" s="225" t="s">
        <v>1431</v>
      </c>
      <c r="W269" s="28" t="s">
        <v>4541</v>
      </c>
    </row>
    <row r="270" spans="1:23" ht="12.75">
      <c r="A270" s="218" t="s">
        <v>1980</v>
      </c>
      <c r="B270" s="243">
        <v>1992</v>
      </c>
      <c r="C270" s="243">
        <v>1587589</v>
      </c>
      <c r="D270" s="228" t="str">
        <f t="shared" si="16"/>
        <v>https://pubmed.ncbi.nlm.nih.gov/?term=1587589</v>
      </c>
      <c r="E270" s="226" t="s">
        <v>1989</v>
      </c>
      <c r="F270" s="226"/>
      <c r="G270" s="226"/>
      <c r="H270" s="226" t="s">
        <v>308</v>
      </c>
      <c r="I270" s="45">
        <f t="shared" si="3"/>
        <v>0</v>
      </c>
      <c r="J270" s="226"/>
      <c r="K270" s="97"/>
      <c r="V270" s="225" t="s">
        <v>1431</v>
      </c>
      <c r="W270" s="28" t="s">
        <v>4541</v>
      </c>
    </row>
    <row r="271" spans="1:23" ht="12.75">
      <c r="A271" s="218" t="s">
        <v>4349</v>
      </c>
      <c r="B271" s="243">
        <v>1989</v>
      </c>
      <c r="C271" s="243">
        <v>2536042</v>
      </c>
      <c r="D271" s="228" t="str">
        <f t="shared" si="16"/>
        <v>https://pubmed.ncbi.nlm.nih.gov/?term=2536042</v>
      </c>
      <c r="E271" s="226" t="s">
        <v>2013</v>
      </c>
      <c r="F271" s="97"/>
      <c r="G271" s="97"/>
      <c r="H271" s="226" t="s">
        <v>511</v>
      </c>
      <c r="I271" s="45">
        <f t="shared" si="3"/>
        <v>0</v>
      </c>
      <c r="J271" s="97"/>
      <c r="K271" s="97"/>
      <c r="V271" s="225" t="s">
        <v>1431</v>
      </c>
      <c r="W271" s="28" t="s">
        <v>4541</v>
      </c>
    </row>
    <row r="272" spans="1:23" ht="12.75">
      <c r="A272" s="218" t="s">
        <v>2014</v>
      </c>
      <c r="B272" s="243">
        <v>1979</v>
      </c>
      <c r="C272" s="243">
        <v>479857</v>
      </c>
      <c r="D272" s="228" t="str">
        <f t="shared" si="16"/>
        <v>https://pubmed.ncbi.nlm.nih.gov/?term=479857</v>
      </c>
      <c r="E272" s="226" t="s">
        <v>2020</v>
      </c>
      <c r="F272" s="226" t="s">
        <v>308</v>
      </c>
      <c r="G272" s="282" t="s">
        <v>4020</v>
      </c>
      <c r="H272" s="226"/>
      <c r="I272" s="45">
        <f t="shared" si="3"/>
        <v>0</v>
      </c>
      <c r="J272" s="226"/>
      <c r="K272" s="97"/>
      <c r="S272" s="28">
        <v>1</v>
      </c>
      <c r="V272" s="225" t="s">
        <v>1431</v>
      </c>
      <c r="W272" s="28" t="s">
        <v>4541</v>
      </c>
    </row>
    <row r="273" spans="1:23" ht="12.75">
      <c r="A273" s="218" t="s">
        <v>2021</v>
      </c>
      <c r="B273" s="243">
        <v>1992</v>
      </c>
      <c r="C273" s="243">
        <v>1402032</v>
      </c>
      <c r="D273" s="228" t="str">
        <f t="shared" si="16"/>
        <v>https://pubmed.ncbi.nlm.nih.gov/?term=1402032</v>
      </c>
      <c r="E273" s="226" t="s">
        <v>2030</v>
      </c>
      <c r="F273" s="226"/>
      <c r="G273" s="226"/>
      <c r="H273" s="226" t="s">
        <v>308</v>
      </c>
      <c r="I273" s="45">
        <f t="shared" si="3"/>
        <v>0</v>
      </c>
      <c r="J273" s="226"/>
      <c r="K273" s="97"/>
      <c r="V273" s="225" t="s">
        <v>1431</v>
      </c>
      <c r="W273" s="28" t="s">
        <v>4541</v>
      </c>
    </row>
    <row r="274" spans="1:23" ht="12.75">
      <c r="A274" s="218" t="s">
        <v>2021</v>
      </c>
      <c r="B274" s="243">
        <v>1994</v>
      </c>
      <c r="C274" s="243">
        <v>7893886</v>
      </c>
      <c r="D274" s="228" t="str">
        <f t="shared" si="16"/>
        <v>https://pubmed.ncbi.nlm.nih.gov/?term=7893886</v>
      </c>
      <c r="E274" s="226" t="s">
        <v>2038</v>
      </c>
      <c r="F274" s="226"/>
      <c r="G274" s="226"/>
      <c r="H274" s="226" t="s">
        <v>308</v>
      </c>
      <c r="I274" s="45">
        <f t="shared" si="3"/>
        <v>0</v>
      </c>
      <c r="J274" s="226"/>
      <c r="K274" s="226"/>
      <c r="V274" s="225" t="s">
        <v>1431</v>
      </c>
      <c r="W274" s="28" t="s">
        <v>4541</v>
      </c>
    </row>
    <row r="275" spans="1:23" ht="12.75">
      <c r="A275" s="218" t="s">
        <v>2039</v>
      </c>
      <c r="B275" s="243">
        <v>1977</v>
      </c>
      <c r="C275" s="243">
        <v>921245</v>
      </c>
      <c r="D275" s="228" t="str">
        <f t="shared" si="16"/>
        <v>https://pubmed.ncbi.nlm.nih.gov/?term=921245</v>
      </c>
      <c r="E275" s="226" t="s">
        <v>2050</v>
      </c>
      <c r="F275" s="226" t="s">
        <v>308</v>
      </c>
      <c r="G275" s="282" t="s">
        <v>4020</v>
      </c>
      <c r="H275" s="226"/>
      <c r="I275" s="45">
        <f t="shared" si="3"/>
        <v>0</v>
      </c>
      <c r="J275" s="226"/>
      <c r="K275" s="97"/>
      <c r="S275" s="28">
        <v>1</v>
      </c>
      <c r="V275" s="225" t="s">
        <v>1431</v>
      </c>
      <c r="W275" s="28" t="s">
        <v>4541</v>
      </c>
    </row>
    <row r="276" spans="1:23" ht="12.75">
      <c r="A276" s="218" t="s">
        <v>2051</v>
      </c>
      <c r="B276" s="243">
        <v>2006</v>
      </c>
      <c r="C276" s="243">
        <v>16956406</v>
      </c>
      <c r="D276" s="228" t="str">
        <f t="shared" si="16"/>
        <v>https://pubmed.ncbi.nlm.nih.gov/?term=16956406</v>
      </c>
      <c r="E276" s="226" t="s">
        <v>2059</v>
      </c>
      <c r="F276" s="97"/>
      <c r="G276" s="97"/>
      <c r="H276" s="226" t="s">
        <v>511</v>
      </c>
      <c r="I276" s="45">
        <f t="shared" si="3"/>
        <v>0</v>
      </c>
      <c r="J276" s="97"/>
      <c r="K276" s="97"/>
      <c r="V276" s="225" t="s">
        <v>1431</v>
      </c>
      <c r="W276" s="28" t="s">
        <v>4541</v>
      </c>
    </row>
    <row r="277" spans="1:23" ht="12.75">
      <c r="A277" s="218" t="s">
        <v>4351</v>
      </c>
      <c r="B277" s="243">
        <v>1996</v>
      </c>
      <c r="C277" s="243">
        <v>8856377</v>
      </c>
      <c r="D277" s="228" t="str">
        <f t="shared" si="16"/>
        <v>https://pubmed.ncbi.nlm.nih.gov/?term=8856377</v>
      </c>
      <c r="E277" s="226" t="s">
        <v>3145</v>
      </c>
      <c r="F277" s="226" t="s">
        <v>511</v>
      </c>
      <c r="G277" s="28" t="s">
        <v>4352</v>
      </c>
      <c r="H277" s="97"/>
      <c r="I277" s="45">
        <f t="shared" si="3"/>
        <v>0</v>
      </c>
      <c r="J277" s="97"/>
      <c r="K277" s="97"/>
      <c r="L277" s="28">
        <v>1</v>
      </c>
      <c r="V277" s="225" t="s">
        <v>1431</v>
      </c>
      <c r="W277" s="28" t="s">
        <v>4541</v>
      </c>
    </row>
    <row r="278" spans="1:23" ht="12.75">
      <c r="A278" s="212" t="s">
        <v>3137</v>
      </c>
      <c r="B278" s="301">
        <v>1988</v>
      </c>
      <c r="C278" s="301">
        <v>3343522</v>
      </c>
      <c r="D278" s="253" t="s">
        <v>3139</v>
      </c>
      <c r="E278" s="226" t="s">
        <v>3146</v>
      </c>
      <c r="F278" s="226"/>
      <c r="G278" s="226"/>
      <c r="H278" s="226" t="s">
        <v>308</v>
      </c>
      <c r="I278" s="45">
        <f t="shared" si="3"/>
        <v>0</v>
      </c>
      <c r="J278" s="97"/>
      <c r="K278" s="97"/>
      <c r="V278" s="225" t="s">
        <v>3145</v>
      </c>
      <c r="W278" s="28" t="s">
        <v>4547</v>
      </c>
    </row>
    <row r="279" spans="1:23" ht="12.75">
      <c r="A279" s="218" t="s">
        <v>4354</v>
      </c>
      <c r="B279" s="243">
        <v>2009</v>
      </c>
      <c r="C279" s="243">
        <v>18643847</v>
      </c>
      <c r="D279" s="228" t="str">
        <f t="shared" ref="D279:D291" si="17">"https://pubmed.ncbi.nlm.nih.gov/?term="&amp;C279</f>
        <v>https://pubmed.ncbi.nlm.nih.gov/?term=18643847</v>
      </c>
      <c r="E279" s="226" t="s">
        <v>4355</v>
      </c>
      <c r="F279" s="226" t="s">
        <v>511</v>
      </c>
      <c r="G279" s="226" t="s">
        <v>4356</v>
      </c>
      <c r="H279" s="97"/>
      <c r="I279" s="45">
        <f t="shared" si="3"/>
        <v>0</v>
      </c>
      <c r="J279" s="97"/>
      <c r="K279" s="226">
        <v>1</v>
      </c>
      <c r="V279" s="225" t="s">
        <v>1431</v>
      </c>
      <c r="W279" s="28" t="s">
        <v>4541</v>
      </c>
    </row>
    <row r="280" spans="1:23" ht="12.75">
      <c r="A280" s="218" t="s">
        <v>4357</v>
      </c>
      <c r="B280" s="243">
        <v>1999</v>
      </c>
      <c r="C280" s="243">
        <v>10404908</v>
      </c>
      <c r="D280" s="228" t="str">
        <f t="shared" si="17"/>
        <v>https://pubmed.ncbi.nlm.nih.gov/?term=10404908</v>
      </c>
      <c r="E280" s="226" t="s">
        <v>4358</v>
      </c>
      <c r="F280" s="226" t="s">
        <v>511</v>
      </c>
      <c r="G280" s="226" t="s">
        <v>4359</v>
      </c>
      <c r="H280" s="97"/>
      <c r="I280" s="45">
        <f t="shared" si="3"/>
        <v>0</v>
      </c>
      <c r="J280" s="97"/>
      <c r="K280" s="226">
        <v>1</v>
      </c>
      <c r="V280" s="225" t="s">
        <v>1431</v>
      </c>
      <c r="W280" s="28" t="s">
        <v>4541</v>
      </c>
    </row>
    <row r="281" spans="1:23" ht="12.75">
      <c r="A281" s="218" t="s">
        <v>2060</v>
      </c>
      <c r="B281" s="243">
        <v>1998</v>
      </c>
      <c r="C281" s="243">
        <v>9728553</v>
      </c>
      <c r="D281" s="228" t="str">
        <f t="shared" si="17"/>
        <v>https://pubmed.ncbi.nlm.nih.gov/?term=9728553</v>
      </c>
      <c r="E281" s="226" t="s">
        <v>2068</v>
      </c>
      <c r="F281" s="226"/>
      <c r="G281" s="226"/>
      <c r="H281" s="226" t="s">
        <v>308</v>
      </c>
      <c r="I281" s="45">
        <f t="shared" si="3"/>
        <v>0</v>
      </c>
      <c r="J281" s="226"/>
      <c r="K281" s="97"/>
      <c r="V281" s="225" t="s">
        <v>1431</v>
      </c>
      <c r="W281" s="28" t="s">
        <v>4541</v>
      </c>
    </row>
    <row r="282" spans="1:23" ht="12.75">
      <c r="A282" s="218" t="s">
        <v>2069</v>
      </c>
      <c r="B282" s="243">
        <v>1998</v>
      </c>
      <c r="C282" s="243">
        <v>9726729</v>
      </c>
      <c r="D282" s="228" t="str">
        <f t="shared" si="17"/>
        <v>https://pubmed.ncbi.nlm.nih.gov/?term=9726729</v>
      </c>
      <c r="E282" s="226" t="s">
        <v>2076</v>
      </c>
      <c r="F282" s="226"/>
      <c r="G282" s="226"/>
      <c r="H282" s="226" t="s">
        <v>308</v>
      </c>
      <c r="I282" s="45">
        <f t="shared" si="3"/>
        <v>0</v>
      </c>
      <c r="J282" s="226"/>
      <c r="K282" s="97"/>
      <c r="V282" s="225" t="s">
        <v>1431</v>
      </c>
      <c r="W282" s="28" t="s">
        <v>4541</v>
      </c>
    </row>
    <row r="283" spans="1:23" ht="12.75">
      <c r="A283" s="218" t="s">
        <v>2077</v>
      </c>
      <c r="B283" s="243">
        <v>1978</v>
      </c>
      <c r="C283" s="243">
        <v>669819</v>
      </c>
      <c r="D283" s="228" t="str">
        <f t="shared" si="17"/>
        <v>https://pubmed.ncbi.nlm.nih.gov/?term=669819</v>
      </c>
      <c r="E283" s="226" t="s">
        <v>2084</v>
      </c>
      <c r="F283" s="226" t="s">
        <v>308</v>
      </c>
      <c r="G283" s="282" t="s">
        <v>4020</v>
      </c>
      <c r="H283" s="226"/>
      <c r="I283" s="45">
        <f t="shared" si="3"/>
        <v>0</v>
      </c>
      <c r="J283" s="226"/>
      <c r="K283" s="97"/>
      <c r="S283" s="28">
        <v>1</v>
      </c>
      <c r="V283" s="225" t="s">
        <v>1431</v>
      </c>
      <c r="W283" s="28" t="s">
        <v>4541</v>
      </c>
    </row>
    <row r="284" spans="1:23" ht="12.75">
      <c r="A284" s="218" t="s">
        <v>2091</v>
      </c>
      <c r="B284" s="243">
        <v>2000</v>
      </c>
      <c r="C284" s="243">
        <v>10998316</v>
      </c>
      <c r="D284" s="228" t="str">
        <f t="shared" si="17"/>
        <v>https://pubmed.ncbi.nlm.nih.gov/?term=10998316</v>
      </c>
      <c r="E284" s="226" t="s">
        <v>2099</v>
      </c>
      <c r="F284" s="226"/>
      <c r="G284" s="226"/>
      <c r="H284" s="226" t="s">
        <v>308</v>
      </c>
      <c r="I284" s="45">
        <f t="shared" si="3"/>
        <v>0</v>
      </c>
      <c r="J284" s="226"/>
      <c r="K284" s="97"/>
      <c r="V284" s="225" t="s">
        <v>1431</v>
      </c>
      <c r="W284" s="28" t="s">
        <v>4541</v>
      </c>
    </row>
    <row r="285" spans="1:23" ht="12.75">
      <c r="A285" s="218" t="s">
        <v>2091</v>
      </c>
      <c r="B285" s="243">
        <v>2000</v>
      </c>
      <c r="C285" s="243">
        <v>10998316</v>
      </c>
      <c r="D285" s="228" t="str">
        <f t="shared" si="17"/>
        <v>https://pubmed.ncbi.nlm.nih.gov/?term=10998316</v>
      </c>
      <c r="E285" s="97"/>
      <c r="F285" s="226" t="s">
        <v>511</v>
      </c>
      <c r="G285" s="226" t="s">
        <v>4256</v>
      </c>
      <c r="H285" s="97"/>
      <c r="I285" s="45">
        <f t="shared" si="3"/>
        <v>0</v>
      </c>
      <c r="J285" s="97"/>
      <c r="K285" s="97"/>
      <c r="O285" s="28">
        <v>1</v>
      </c>
      <c r="V285" s="225" t="s">
        <v>1431</v>
      </c>
      <c r="W285" s="28" t="s">
        <v>4541</v>
      </c>
    </row>
    <row r="286" spans="1:23" ht="12.75">
      <c r="A286" s="218" t="s">
        <v>4363</v>
      </c>
      <c r="B286" s="243">
        <v>1990</v>
      </c>
      <c r="C286" s="243">
        <v>2180233</v>
      </c>
      <c r="D286" s="228" t="str">
        <f t="shared" si="17"/>
        <v>https://pubmed.ncbi.nlm.nih.gov/?term=2180233</v>
      </c>
      <c r="E286" s="226" t="s">
        <v>4364</v>
      </c>
      <c r="F286" s="226" t="s">
        <v>511</v>
      </c>
      <c r="G286" s="226" t="s">
        <v>4365</v>
      </c>
      <c r="H286" s="97"/>
      <c r="I286" s="45">
        <f t="shared" si="3"/>
        <v>0</v>
      </c>
      <c r="J286" s="226"/>
      <c r="K286" s="226">
        <v>1</v>
      </c>
      <c r="V286" s="225" t="s">
        <v>1431</v>
      </c>
      <c r="W286" s="28" t="s">
        <v>4541</v>
      </c>
    </row>
    <row r="287" spans="1:23" ht="12.75">
      <c r="A287" s="218" t="s">
        <v>2100</v>
      </c>
      <c r="B287" s="243">
        <v>1990</v>
      </c>
      <c r="C287" s="243">
        <v>2310304</v>
      </c>
      <c r="D287" s="228" t="str">
        <f t="shared" si="17"/>
        <v>https://pubmed.ncbi.nlm.nih.gov/?term=2310304</v>
      </c>
      <c r="E287" s="226" t="s">
        <v>2108</v>
      </c>
      <c r="F287" s="226"/>
      <c r="G287" s="226"/>
      <c r="H287" s="226" t="s">
        <v>308</v>
      </c>
      <c r="I287" s="45">
        <f t="shared" si="3"/>
        <v>0</v>
      </c>
      <c r="J287" s="226"/>
      <c r="K287" s="97"/>
      <c r="V287" s="225" t="s">
        <v>1431</v>
      </c>
      <c r="W287" s="28" t="s">
        <v>4541</v>
      </c>
    </row>
    <row r="288" spans="1:23" ht="12.75">
      <c r="A288" s="218" t="s">
        <v>2116</v>
      </c>
      <c r="B288" s="243">
        <v>1974</v>
      </c>
      <c r="C288" s="243">
        <v>15825396</v>
      </c>
      <c r="D288" s="228" t="str">
        <f t="shared" si="17"/>
        <v>https://pubmed.ncbi.nlm.nih.gov/?term=15825396</v>
      </c>
      <c r="E288" s="226" t="s">
        <v>2127</v>
      </c>
      <c r="F288" s="226" t="s">
        <v>308</v>
      </c>
      <c r="G288" s="282" t="s">
        <v>4020</v>
      </c>
      <c r="H288" s="226"/>
      <c r="I288" s="45">
        <f t="shared" si="3"/>
        <v>0</v>
      </c>
      <c r="J288" s="97"/>
      <c r="K288" s="97"/>
      <c r="S288" s="28">
        <v>1</v>
      </c>
      <c r="V288" s="225" t="s">
        <v>1431</v>
      </c>
      <c r="W288" s="28" t="s">
        <v>4541</v>
      </c>
    </row>
    <row r="289" spans="1:23" ht="12.75">
      <c r="A289" s="218" t="s">
        <v>4367</v>
      </c>
      <c r="B289" s="243">
        <v>1999</v>
      </c>
      <c r="C289" s="243">
        <v>10605976</v>
      </c>
      <c r="D289" s="228" t="str">
        <f t="shared" si="17"/>
        <v>https://pubmed.ncbi.nlm.nih.gov/?term=10605976</v>
      </c>
      <c r="E289" s="226" t="s">
        <v>4368</v>
      </c>
      <c r="F289" s="226" t="s">
        <v>511</v>
      </c>
      <c r="G289" s="226" t="s">
        <v>4369</v>
      </c>
      <c r="H289" s="97"/>
      <c r="I289" s="45">
        <f t="shared" si="3"/>
        <v>0</v>
      </c>
      <c r="J289" s="97"/>
      <c r="K289" s="226">
        <v>1</v>
      </c>
      <c r="V289" s="225" t="s">
        <v>1431</v>
      </c>
      <c r="W289" s="28" t="s">
        <v>4541</v>
      </c>
    </row>
    <row r="290" spans="1:23" ht="12.75">
      <c r="A290" s="218" t="s">
        <v>2128</v>
      </c>
      <c r="B290" s="243">
        <v>2009</v>
      </c>
      <c r="C290" s="243">
        <v>19320235</v>
      </c>
      <c r="D290" s="228" t="str">
        <f t="shared" si="17"/>
        <v>https://pubmed.ncbi.nlm.nih.gov/?term=19320235</v>
      </c>
      <c r="E290" s="226" t="s">
        <v>2138</v>
      </c>
      <c r="F290" s="97"/>
      <c r="G290" s="97"/>
      <c r="H290" s="226" t="s">
        <v>511</v>
      </c>
      <c r="I290" s="45">
        <f t="shared" si="3"/>
        <v>0</v>
      </c>
      <c r="J290" s="97"/>
      <c r="K290" s="97"/>
      <c r="V290" s="225" t="s">
        <v>1431</v>
      </c>
      <c r="W290" s="28" t="s">
        <v>4541</v>
      </c>
    </row>
    <row r="291" spans="1:23" ht="12.75">
      <c r="A291" s="218" t="s">
        <v>4371</v>
      </c>
      <c r="B291" s="243">
        <v>2000</v>
      </c>
      <c r="C291" s="243">
        <v>11130213</v>
      </c>
      <c r="D291" s="228" t="str">
        <f t="shared" si="17"/>
        <v>https://pubmed.ncbi.nlm.nih.gov/?term=11130213</v>
      </c>
      <c r="E291" s="226" t="s">
        <v>3164</v>
      </c>
      <c r="F291" s="226" t="s">
        <v>511</v>
      </c>
      <c r="G291" s="28" t="s">
        <v>4018</v>
      </c>
      <c r="H291" s="226"/>
      <c r="I291" s="45">
        <f t="shared" si="3"/>
        <v>0</v>
      </c>
      <c r="J291" s="303"/>
      <c r="K291" s="97"/>
      <c r="L291" s="28">
        <v>1</v>
      </c>
      <c r="V291" s="225" t="s">
        <v>1431</v>
      </c>
      <c r="W291" s="28" t="s">
        <v>4541</v>
      </c>
    </row>
    <row r="292" spans="1:23" ht="12.75">
      <c r="A292" s="212" t="s">
        <v>3137</v>
      </c>
      <c r="B292" s="301">
        <v>1987</v>
      </c>
      <c r="C292" s="301">
        <v>2437220</v>
      </c>
      <c r="D292" s="253" t="s">
        <v>3156</v>
      </c>
      <c r="E292" s="226" t="s">
        <v>3165</v>
      </c>
      <c r="F292" s="226"/>
      <c r="H292" s="226" t="s">
        <v>308</v>
      </c>
      <c r="I292" s="45">
        <f t="shared" si="3"/>
        <v>0</v>
      </c>
      <c r="J292" s="303"/>
      <c r="K292" s="97"/>
      <c r="L292" s="28"/>
      <c r="V292" s="225" t="s">
        <v>3164</v>
      </c>
      <c r="W292" s="28" t="s">
        <v>4547</v>
      </c>
    </row>
    <row r="293" spans="1:23" ht="12.75">
      <c r="A293" s="212" t="s">
        <v>1557</v>
      </c>
      <c r="B293" s="301">
        <v>1983</v>
      </c>
      <c r="C293" s="301">
        <v>6415182</v>
      </c>
      <c r="D293" s="253" t="s">
        <v>3168</v>
      </c>
      <c r="E293" s="226" t="s">
        <v>3178</v>
      </c>
      <c r="F293" s="226"/>
      <c r="G293" s="28"/>
      <c r="H293" s="226" t="s">
        <v>308</v>
      </c>
      <c r="I293" s="45">
        <f t="shared" si="3"/>
        <v>0</v>
      </c>
      <c r="J293" s="303"/>
      <c r="K293" s="97"/>
      <c r="L293" s="28"/>
      <c r="V293" s="225" t="s">
        <v>3164</v>
      </c>
      <c r="W293" s="28" t="s">
        <v>4547</v>
      </c>
    </row>
    <row r="294" spans="1:23" ht="12.75">
      <c r="A294" s="203" t="s">
        <v>1922</v>
      </c>
      <c r="B294" s="279">
        <v>1990</v>
      </c>
      <c r="C294" s="279">
        <v>2204243</v>
      </c>
      <c r="D294" s="281" t="s">
        <v>4060</v>
      </c>
      <c r="E294" s="28" t="s">
        <v>4010</v>
      </c>
      <c r="F294" s="28" t="s">
        <v>308</v>
      </c>
      <c r="G294" s="28" t="s">
        <v>4061</v>
      </c>
      <c r="H294" s="226"/>
      <c r="I294" s="45">
        <f t="shared" si="3"/>
        <v>0</v>
      </c>
      <c r="J294" s="303"/>
      <c r="K294" s="97"/>
      <c r="L294" s="28"/>
      <c r="O294" s="28">
        <v>1</v>
      </c>
      <c r="V294" s="225" t="s">
        <v>3164</v>
      </c>
      <c r="W294" s="28" t="s">
        <v>4547</v>
      </c>
    </row>
    <row r="295" spans="1:23" ht="12.75">
      <c r="A295" s="212" t="s">
        <v>2077</v>
      </c>
      <c r="B295" s="301">
        <v>1981</v>
      </c>
      <c r="C295" s="301">
        <v>7251144</v>
      </c>
      <c r="D295" s="253" t="s">
        <v>3180</v>
      </c>
      <c r="E295" s="226" t="s">
        <v>3185</v>
      </c>
      <c r="F295" s="226"/>
      <c r="G295" s="28"/>
      <c r="H295" s="226" t="s">
        <v>308</v>
      </c>
      <c r="I295" s="45">
        <f t="shared" si="3"/>
        <v>0</v>
      </c>
      <c r="J295" s="303"/>
      <c r="K295" s="97"/>
      <c r="L295" s="28"/>
      <c r="V295" s="225" t="s">
        <v>3164</v>
      </c>
      <c r="W295" s="28" t="s">
        <v>4547</v>
      </c>
    </row>
    <row r="296" spans="1:23" ht="12.75">
      <c r="A296" s="218" t="s">
        <v>4371</v>
      </c>
      <c r="B296" s="243">
        <v>2000</v>
      </c>
      <c r="C296" s="243">
        <v>11130213</v>
      </c>
      <c r="D296" s="228" t="str">
        <f t="shared" ref="D296:D297" si="18">"https://pubmed.ncbi.nlm.nih.gov/?term="&amp;C296</f>
        <v>https://pubmed.ncbi.nlm.nih.gov/?term=11130213</v>
      </c>
      <c r="E296" s="97"/>
      <c r="F296" s="226" t="s">
        <v>511</v>
      </c>
      <c r="G296" s="226" t="s">
        <v>4256</v>
      </c>
      <c r="H296" s="97"/>
      <c r="I296" s="45">
        <f t="shared" si="3"/>
        <v>0</v>
      </c>
      <c r="J296" s="97"/>
      <c r="K296" s="97"/>
      <c r="O296" s="28">
        <v>1</v>
      </c>
      <c r="V296" s="225" t="s">
        <v>1431</v>
      </c>
      <c r="W296" s="28" t="s">
        <v>4541</v>
      </c>
    </row>
    <row r="297" spans="1:23" ht="12.75">
      <c r="A297" s="218" t="s">
        <v>4374</v>
      </c>
      <c r="B297" s="243">
        <v>2010</v>
      </c>
      <c r="C297" s="243">
        <v>20815703</v>
      </c>
      <c r="D297" s="228" t="str">
        <f t="shared" si="18"/>
        <v>https://pubmed.ncbi.nlm.nih.gov/?term=20815703</v>
      </c>
      <c r="E297" s="226" t="s">
        <v>3202</v>
      </c>
      <c r="F297" s="226" t="s">
        <v>511</v>
      </c>
      <c r="G297" s="28" t="s">
        <v>4352</v>
      </c>
      <c r="H297" s="226"/>
      <c r="I297" s="45">
        <f t="shared" si="3"/>
        <v>0</v>
      </c>
      <c r="J297" s="97"/>
      <c r="K297" s="97"/>
      <c r="L297" s="28">
        <v>1</v>
      </c>
      <c r="V297" s="225" t="s">
        <v>1431</v>
      </c>
      <c r="W297" s="28" t="s">
        <v>4541</v>
      </c>
    </row>
    <row r="298" spans="1:23" ht="12.75">
      <c r="A298" s="212" t="s">
        <v>3188</v>
      </c>
      <c r="B298" s="301">
        <v>2008</v>
      </c>
      <c r="C298" s="301">
        <v>18826818</v>
      </c>
      <c r="D298" s="253" t="s">
        <v>4375</v>
      </c>
      <c r="E298" s="226" t="s">
        <v>4376</v>
      </c>
      <c r="F298" s="226"/>
      <c r="G298" s="226"/>
      <c r="H298" s="226" t="s">
        <v>308</v>
      </c>
      <c r="I298" s="45">
        <f t="shared" si="3"/>
        <v>0</v>
      </c>
      <c r="J298" s="97"/>
      <c r="K298" s="97"/>
      <c r="L298" s="28"/>
      <c r="V298" s="225" t="s">
        <v>3202</v>
      </c>
      <c r="W298" s="28" t="s">
        <v>4547</v>
      </c>
    </row>
    <row r="299" spans="1:23" ht="12.75">
      <c r="A299" s="225" t="s">
        <v>3188</v>
      </c>
      <c r="B299" s="301">
        <v>2014</v>
      </c>
      <c r="C299" s="301">
        <v>24253285</v>
      </c>
      <c r="D299" s="253" t="s">
        <v>4379</v>
      </c>
      <c r="E299" s="226" t="s">
        <v>4380</v>
      </c>
      <c r="G299" s="226"/>
      <c r="H299" s="226" t="s">
        <v>308</v>
      </c>
      <c r="I299" s="45">
        <f t="shared" si="3"/>
        <v>0</v>
      </c>
      <c r="J299" s="226"/>
      <c r="K299" s="226"/>
      <c r="L299" s="97"/>
      <c r="M299" s="97"/>
      <c r="N299" s="97"/>
      <c r="V299" s="28" t="s">
        <v>4378</v>
      </c>
      <c r="W299" s="28" t="s">
        <v>4378</v>
      </c>
    </row>
    <row r="300" spans="1:23" ht="12.75">
      <c r="A300" s="218" t="s">
        <v>2142</v>
      </c>
      <c r="B300" s="243">
        <v>2001</v>
      </c>
      <c r="C300" s="243">
        <v>11343523</v>
      </c>
      <c r="D300" s="228" t="str">
        <f t="shared" ref="D300:D332" si="19">"https://pubmed.ncbi.nlm.nih.gov/?term="&amp;C300</f>
        <v>https://pubmed.ncbi.nlm.nih.gov/?term=11343523</v>
      </c>
      <c r="E300" s="226" t="s">
        <v>2151</v>
      </c>
      <c r="F300" s="226"/>
      <c r="G300" s="226"/>
      <c r="H300" s="226" t="s">
        <v>308</v>
      </c>
      <c r="I300" s="45">
        <f t="shared" si="3"/>
        <v>0</v>
      </c>
      <c r="J300" s="226"/>
      <c r="K300" s="97"/>
      <c r="V300" s="225" t="s">
        <v>1431</v>
      </c>
      <c r="W300" s="28" t="s">
        <v>4541</v>
      </c>
    </row>
    <row r="301" spans="1:23" ht="12.75">
      <c r="A301" s="218" t="s">
        <v>2152</v>
      </c>
      <c r="B301" s="243">
        <v>1989</v>
      </c>
      <c r="C301" s="243">
        <v>2712549</v>
      </c>
      <c r="D301" s="228" t="str">
        <f t="shared" si="19"/>
        <v>https://pubmed.ncbi.nlm.nih.gov/?term=2712549</v>
      </c>
      <c r="E301" s="226" t="s">
        <v>2161</v>
      </c>
      <c r="F301" s="97"/>
      <c r="G301" s="97"/>
      <c r="H301" s="226" t="s">
        <v>511</v>
      </c>
      <c r="I301" s="45">
        <f t="shared" si="3"/>
        <v>0</v>
      </c>
      <c r="J301" s="97"/>
      <c r="K301" s="97"/>
      <c r="V301" s="225" t="s">
        <v>1431</v>
      </c>
      <c r="W301" s="28" t="s">
        <v>4541</v>
      </c>
    </row>
    <row r="302" spans="1:23" ht="12.75">
      <c r="A302" s="218" t="s">
        <v>2162</v>
      </c>
      <c r="B302" s="243">
        <v>1977</v>
      </c>
      <c r="C302" s="243">
        <v>894078</v>
      </c>
      <c r="D302" s="228" t="str">
        <f t="shared" si="19"/>
        <v>https://pubmed.ncbi.nlm.nih.gov/?term=894078</v>
      </c>
      <c r="E302" s="226" t="s">
        <v>2169</v>
      </c>
      <c r="F302" s="226" t="s">
        <v>308</v>
      </c>
      <c r="G302" s="282" t="s">
        <v>4020</v>
      </c>
      <c r="H302" s="226"/>
      <c r="I302" s="45">
        <f t="shared" si="3"/>
        <v>0</v>
      </c>
      <c r="J302" s="226"/>
      <c r="K302" s="97"/>
      <c r="S302" s="28">
        <v>1</v>
      </c>
      <c r="V302" s="225" t="s">
        <v>1431</v>
      </c>
      <c r="W302" s="28" t="s">
        <v>4541</v>
      </c>
    </row>
    <row r="303" spans="1:23" ht="12.75">
      <c r="A303" s="218" t="s">
        <v>1265</v>
      </c>
      <c r="B303" s="243">
        <v>2009</v>
      </c>
      <c r="C303" s="243">
        <v>19641203</v>
      </c>
      <c r="D303" s="228" t="str">
        <f t="shared" si="19"/>
        <v>https://pubmed.ncbi.nlm.nih.gov/?term=19641203</v>
      </c>
      <c r="E303" s="226" t="s">
        <v>2184</v>
      </c>
      <c r="F303" s="97"/>
      <c r="G303" s="97"/>
      <c r="H303" s="226" t="s">
        <v>511</v>
      </c>
      <c r="I303" s="45">
        <f t="shared" si="3"/>
        <v>0</v>
      </c>
      <c r="J303" s="97"/>
      <c r="K303" s="97"/>
      <c r="V303" s="225" t="s">
        <v>1431</v>
      </c>
      <c r="W303" s="28" t="s">
        <v>4541</v>
      </c>
    </row>
    <row r="304" spans="1:23" ht="12.75">
      <c r="A304" s="218" t="s">
        <v>4385</v>
      </c>
      <c r="B304" s="243">
        <v>1989</v>
      </c>
      <c r="C304" s="243">
        <v>2707853</v>
      </c>
      <c r="D304" s="228" t="str">
        <f t="shared" si="19"/>
        <v>https://pubmed.ncbi.nlm.nih.gov/?term=2707853</v>
      </c>
      <c r="E304" s="226" t="s">
        <v>4386</v>
      </c>
      <c r="F304" s="226" t="s">
        <v>511</v>
      </c>
      <c r="G304" s="226" t="s">
        <v>87</v>
      </c>
      <c r="H304" s="97"/>
      <c r="I304" s="45">
        <f t="shared" si="3"/>
        <v>0</v>
      </c>
      <c r="J304" s="97"/>
      <c r="K304" s="226">
        <v>1</v>
      </c>
      <c r="V304" s="225" t="s">
        <v>1431</v>
      </c>
      <c r="W304" s="28" t="s">
        <v>4541</v>
      </c>
    </row>
    <row r="305" spans="1:23" ht="12.75">
      <c r="A305" s="218" t="s">
        <v>2186</v>
      </c>
      <c r="B305" s="243">
        <v>1975</v>
      </c>
      <c r="C305" s="243">
        <v>1202110</v>
      </c>
      <c r="D305" s="228" t="str">
        <f t="shared" si="19"/>
        <v>https://pubmed.ncbi.nlm.nih.gov/?term=1202110</v>
      </c>
      <c r="E305" s="226" t="s">
        <v>2196</v>
      </c>
      <c r="F305" s="226" t="s">
        <v>308</v>
      </c>
      <c r="G305" s="282" t="s">
        <v>4020</v>
      </c>
      <c r="H305" s="226"/>
      <c r="I305" s="45">
        <f t="shared" si="3"/>
        <v>0</v>
      </c>
      <c r="J305" s="226"/>
      <c r="K305" s="97"/>
      <c r="S305" s="28">
        <v>1</v>
      </c>
      <c r="V305" s="225" t="s">
        <v>1431</v>
      </c>
      <c r="W305" s="28" t="s">
        <v>4541</v>
      </c>
    </row>
    <row r="306" spans="1:23" ht="12.75">
      <c r="A306" s="218" t="s">
        <v>2202</v>
      </c>
      <c r="B306" s="243">
        <v>1976</v>
      </c>
      <c r="C306" s="243">
        <v>1083484</v>
      </c>
      <c r="D306" s="228" t="str">
        <f t="shared" si="19"/>
        <v>https://pubmed.ncbi.nlm.nih.gov/?term=1083484</v>
      </c>
      <c r="E306" s="226" t="s">
        <v>2209</v>
      </c>
      <c r="F306" s="226" t="s">
        <v>308</v>
      </c>
      <c r="G306" s="282" t="s">
        <v>4020</v>
      </c>
      <c r="H306" s="226"/>
      <c r="I306" s="45">
        <f t="shared" si="3"/>
        <v>0</v>
      </c>
      <c r="J306" s="226"/>
      <c r="K306" s="97"/>
      <c r="S306" s="28">
        <v>1</v>
      </c>
      <c r="V306" s="225" t="s">
        <v>1431</v>
      </c>
      <c r="W306" s="28" t="s">
        <v>4541</v>
      </c>
    </row>
    <row r="307" spans="1:23" ht="12.75">
      <c r="A307" s="218" t="s">
        <v>2213</v>
      </c>
      <c r="B307" s="243">
        <v>1985</v>
      </c>
      <c r="C307" s="243">
        <v>4001723</v>
      </c>
      <c r="D307" s="228" t="str">
        <f t="shared" si="19"/>
        <v>https://pubmed.ncbi.nlm.nih.gov/?term=4001723</v>
      </c>
      <c r="E307" s="226" t="s">
        <v>2222</v>
      </c>
      <c r="F307" s="226"/>
      <c r="G307" s="226"/>
      <c r="H307" s="226" t="s">
        <v>308</v>
      </c>
      <c r="I307" s="45">
        <f t="shared" si="3"/>
        <v>0</v>
      </c>
      <c r="J307" s="226"/>
      <c r="K307" s="97"/>
      <c r="V307" s="225" t="s">
        <v>1431</v>
      </c>
      <c r="W307" s="28" t="s">
        <v>4541</v>
      </c>
    </row>
    <row r="308" spans="1:23" ht="12.75">
      <c r="A308" s="218" t="s">
        <v>2213</v>
      </c>
      <c r="B308" s="243">
        <v>2000</v>
      </c>
      <c r="C308" s="243">
        <v>10608746</v>
      </c>
      <c r="D308" s="228" t="str">
        <f t="shared" si="19"/>
        <v>https://pubmed.ncbi.nlm.nih.gov/?term=10608746</v>
      </c>
      <c r="E308" s="226" t="s">
        <v>2236</v>
      </c>
      <c r="F308" s="97"/>
      <c r="G308" s="97"/>
      <c r="H308" s="226" t="s">
        <v>511</v>
      </c>
      <c r="I308" s="45">
        <f t="shared" si="3"/>
        <v>0</v>
      </c>
      <c r="J308" s="97"/>
      <c r="K308" s="97"/>
      <c r="V308" s="225" t="s">
        <v>1431</v>
      </c>
      <c r="W308" s="28" t="s">
        <v>4541</v>
      </c>
    </row>
    <row r="309" spans="1:23" ht="12.75">
      <c r="A309" s="218" t="s">
        <v>2213</v>
      </c>
      <c r="B309" s="243">
        <v>2000</v>
      </c>
      <c r="C309" s="243">
        <v>10608746</v>
      </c>
      <c r="D309" s="228" t="str">
        <f t="shared" si="19"/>
        <v>https://pubmed.ncbi.nlm.nih.gov/?term=10608746</v>
      </c>
      <c r="E309" s="97"/>
      <c r="F309" s="226" t="s">
        <v>511</v>
      </c>
      <c r="G309" s="226" t="s">
        <v>4256</v>
      </c>
      <c r="H309" s="97"/>
      <c r="I309" s="45">
        <f t="shared" si="3"/>
        <v>0</v>
      </c>
      <c r="J309" s="97"/>
      <c r="K309" s="97"/>
      <c r="O309" s="28">
        <v>1</v>
      </c>
      <c r="V309" s="225" t="s">
        <v>1431</v>
      </c>
      <c r="W309" s="28" t="s">
        <v>4541</v>
      </c>
    </row>
    <row r="310" spans="1:23" ht="12.75">
      <c r="A310" s="218" t="s">
        <v>2237</v>
      </c>
      <c r="B310" s="243">
        <v>1987</v>
      </c>
      <c r="C310" s="243">
        <v>3435099</v>
      </c>
      <c r="D310" s="228" t="str">
        <f t="shared" si="19"/>
        <v>https://pubmed.ncbi.nlm.nih.gov/?term=3435099</v>
      </c>
      <c r="E310" s="226" t="s">
        <v>2248</v>
      </c>
      <c r="F310" s="226"/>
      <c r="G310" s="226"/>
      <c r="H310" s="226" t="s">
        <v>308</v>
      </c>
      <c r="I310" s="45">
        <f t="shared" si="3"/>
        <v>0</v>
      </c>
      <c r="J310" s="226"/>
      <c r="K310" s="97"/>
      <c r="V310" s="225" t="s">
        <v>1431</v>
      </c>
      <c r="W310" s="28" t="s">
        <v>4541</v>
      </c>
    </row>
    <row r="311" spans="1:23" ht="12.75">
      <c r="A311" s="218" t="s">
        <v>2249</v>
      </c>
      <c r="B311" s="243">
        <v>1985</v>
      </c>
      <c r="C311" s="243">
        <v>4056002</v>
      </c>
      <c r="D311" s="228" t="str">
        <f t="shared" si="19"/>
        <v>https://pubmed.ncbi.nlm.nih.gov/?term=4056002</v>
      </c>
      <c r="E311" s="226" t="s">
        <v>4391</v>
      </c>
      <c r="F311" s="226"/>
      <c r="G311" s="226"/>
      <c r="H311" s="226" t="s">
        <v>308</v>
      </c>
      <c r="I311" s="45">
        <f t="shared" si="3"/>
        <v>0</v>
      </c>
      <c r="J311" s="226"/>
      <c r="K311" s="226"/>
      <c r="V311" s="225" t="s">
        <v>1431</v>
      </c>
      <c r="W311" s="28" t="s">
        <v>4541</v>
      </c>
    </row>
    <row r="312" spans="1:23" ht="12.75">
      <c r="A312" s="218" t="s">
        <v>2249</v>
      </c>
      <c r="B312" s="243">
        <v>1986</v>
      </c>
      <c r="C312" s="243">
        <v>3711273</v>
      </c>
      <c r="D312" s="228" t="str">
        <f t="shared" si="19"/>
        <v>https://pubmed.ncbi.nlm.nih.gov/?term=3711273</v>
      </c>
      <c r="E312" s="226" t="s">
        <v>2263</v>
      </c>
      <c r="F312" s="226"/>
      <c r="G312" s="226"/>
      <c r="H312" s="226" t="s">
        <v>308</v>
      </c>
      <c r="I312" s="45">
        <f t="shared" si="3"/>
        <v>0</v>
      </c>
      <c r="J312" s="226"/>
      <c r="K312" s="97"/>
      <c r="V312" s="225" t="s">
        <v>1431</v>
      </c>
      <c r="W312" s="28" t="s">
        <v>4541</v>
      </c>
    </row>
    <row r="313" spans="1:23" ht="12.75">
      <c r="A313" s="218" t="s">
        <v>2249</v>
      </c>
      <c r="B313" s="243">
        <v>1988</v>
      </c>
      <c r="C313" s="243">
        <v>3336068</v>
      </c>
      <c r="D313" s="228" t="str">
        <f t="shared" si="19"/>
        <v>https://pubmed.ncbi.nlm.nih.gov/?term=3336068</v>
      </c>
      <c r="E313" s="226" t="s">
        <v>2284</v>
      </c>
      <c r="F313" s="226"/>
      <c r="G313" s="226"/>
      <c r="H313" s="226" t="s">
        <v>308</v>
      </c>
      <c r="I313" s="45">
        <f t="shared" si="3"/>
        <v>0</v>
      </c>
      <c r="J313" s="226"/>
      <c r="K313" s="97"/>
      <c r="V313" s="225" t="s">
        <v>1431</v>
      </c>
      <c r="W313" s="28" t="s">
        <v>4541</v>
      </c>
    </row>
    <row r="314" spans="1:23" ht="12.75">
      <c r="A314" s="218" t="s">
        <v>2289</v>
      </c>
      <c r="B314" s="243">
        <v>1992</v>
      </c>
      <c r="C314" s="243">
        <v>1317694</v>
      </c>
      <c r="D314" s="228" t="str">
        <f t="shared" si="19"/>
        <v>https://pubmed.ncbi.nlm.nih.gov/?term=1317694</v>
      </c>
      <c r="E314" s="226" t="s">
        <v>2299</v>
      </c>
      <c r="F314" s="226"/>
      <c r="G314" s="226"/>
      <c r="H314" s="226" t="s">
        <v>308</v>
      </c>
      <c r="I314" s="45">
        <f t="shared" si="3"/>
        <v>0</v>
      </c>
      <c r="J314" s="226"/>
      <c r="K314" s="97"/>
      <c r="V314" s="225" t="s">
        <v>1431</v>
      </c>
      <c r="W314" s="28" t="s">
        <v>4541</v>
      </c>
    </row>
    <row r="315" spans="1:23" ht="12.75">
      <c r="A315" s="218" t="s">
        <v>2289</v>
      </c>
      <c r="B315" s="243">
        <v>1992</v>
      </c>
      <c r="C315" s="243">
        <v>1323974</v>
      </c>
      <c r="D315" s="228" t="str">
        <f t="shared" si="19"/>
        <v>https://pubmed.ncbi.nlm.nih.gov/?term=1323974</v>
      </c>
      <c r="E315" s="226" t="s">
        <v>2309</v>
      </c>
      <c r="F315" s="226"/>
      <c r="G315" s="226"/>
      <c r="H315" s="226" t="s">
        <v>308</v>
      </c>
      <c r="I315" s="45">
        <f t="shared" si="3"/>
        <v>0</v>
      </c>
      <c r="J315" s="226"/>
      <c r="K315" s="97"/>
      <c r="V315" s="225" t="s">
        <v>1431</v>
      </c>
      <c r="W315" s="28" t="s">
        <v>4541</v>
      </c>
    </row>
    <row r="316" spans="1:23" ht="12.75">
      <c r="A316" s="218" t="s">
        <v>2289</v>
      </c>
      <c r="B316" s="243">
        <v>2004</v>
      </c>
      <c r="C316" s="243">
        <v>15156472</v>
      </c>
      <c r="D316" s="228" t="str">
        <f t="shared" si="19"/>
        <v>https://pubmed.ncbi.nlm.nih.gov/?term=15156472</v>
      </c>
      <c r="E316" s="226" t="s">
        <v>2318</v>
      </c>
      <c r="F316" s="97"/>
      <c r="G316" s="97"/>
      <c r="H316" s="226" t="s">
        <v>511</v>
      </c>
      <c r="I316" s="45">
        <f t="shared" si="3"/>
        <v>0</v>
      </c>
      <c r="J316" s="97"/>
      <c r="K316" s="97"/>
      <c r="V316" s="225" t="s">
        <v>1431</v>
      </c>
      <c r="W316" s="28" t="s">
        <v>4541</v>
      </c>
    </row>
    <row r="317" spans="1:23" ht="12.75">
      <c r="A317" s="218" t="s">
        <v>2319</v>
      </c>
      <c r="B317" s="243">
        <v>1990</v>
      </c>
      <c r="C317" s="243">
        <v>1692807</v>
      </c>
      <c r="D317" s="228" t="str">
        <f t="shared" si="19"/>
        <v>https://pubmed.ncbi.nlm.nih.gov/?term=1692807</v>
      </c>
      <c r="E317" s="226" t="s">
        <v>2328</v>
      </c>
      <c r="F317" s="226"/>
      <c r="G317" s="226"/>
      <c r="H317" s="226" t="s">
        <v>308</v>
      </c>
      <c r="I317" s="45">
        <f t="shared" si="3"/>
        <v>0</v>
      </c>
      <c r="J317" s="226"/>
      <c r="K317" s="97"/>
      <c r="V317" s="225" t="s">
        <v>1431</v>
      </c>
      <c r="W317" s="28" t="s">
        <v>4541</v>
      </c>
    </row>
    <row r="318" spans="1:23" ht="12.75">
      <c r="A318" s="218" t="s">
        <v>2333</v>
      </c>
      <c r="B318" s="243">
        <v>1984</v>
      </c>
      <c r="C318" s="243">
        <v>6531960</v>
      </c>
      <c r="D318" s="228" t="str">
        <f t="shared" si="19"/>
        <v>https://pubmed.ncbi.nlm.nih.gov/?term=6531960</v>
      </c>
      <c r="E318" s="226" t="s">
        <v>2338</v>
      </c>
      <c r="F318" s="226"/>
      <c r="G318" s="226"/>
      <c r="H318" s="226" t="s">
        <v>308</v>
      </c>
      <c r="I318" s="45">
        <f t="shared" si="3"/>
        <v>0</v>
      </c>
      <c r="J318" s="226"/>
      <c r="K318" s="97"/>
      <c r="V318" s="225" t="s">
        <v>1431</v>
      </c>
      <c r="W318" s="28" t="s">
        <v>4541</v>
      </c>
    </row>
    <row r="319" spans="1:23" ht="12.75">
      <c r="A319" s="218" t="s">
        <v>2344</v>
      </c>
      <c r="B319" s="243">
        <v>1973</v>
      </c>
      <c r="C319" s="243">
        <v>4367686</v>
      </c>
      <c r="D319" s="228" t="str">
        <f t="shared" si="19"/>
        <v>https://pubmed.ncbi.nlm.nih.gov/?term=4367686</v>
      </c>
      <c r="E319" s="226" t="s">
        <v>2352</v>
      </c>
      <c r="F319" s="226" t="s">
        <v>308</v>
      </c>
      <c r="G319" s="282" t="s">
        <v>4020</v>
      </c>
      <c r="H319" s="226"/>
      <c r="I319" s="45">
        <f t="shared" si="3"/>
        <v>0</v>
      </c>
      <c r="J319" s="226"/>
      <c r="K319" s="97"/>
      <c r="S319" s="28">
        <v>1</v>
      </c>
      <c r="V319" s="225" t="s">
        <v>1431</v>
      </c>
      <c r="W319" s="28" t="s">
        <v>4541</v>
      </c>
    </row>
    <row r="320" spans="1:23" ht="12.75">
      <c r="A320" s="218" t="s">
        <v>4396</v>
      </c>
      <c r="B320" s="243">
        <v>2003</v>
      </c>
      <c r="C320" s="243">
        <v>15088780</v>
      </c>
      <c r="D320" s="228" t="str">
        <f t="shared" si="19"/>
        <v>https://pubmed.ncbi.nlm.nih.gov/?term=15088780</v>
      </c>
      <c r="E320" s="226" t="s">
        <v>4397</v>
      </c>
      <c r="F320" s="226" t="s">
        <v>511</v>
      </c>
      <c r="G320" s="226" t="s">
        <v>4575</v>
      </c>
      <c r="H320" s="97"/>
      <c r="I320" s="45">
        <f t="shared" si="3"/>
        <v>0</v>
      </c>
      <c r="J320" s="97"/>
      <c r="K320" s="97"/>
      <c r="Q320" s="28">
        <v>1</v>
      </c>
      <c r="V320" s="225" t="s">
        <v>1431</v>
      </c>
      <c r="W320" s="28" t="s">
        <v>4541</v>
      </c>
    </row>
    <row r="321" spans="1:23" ht="12.75">
      <c r="A321" s="218" t="s">
        <v>4399</v>
      </c>
      <c r="B321" s="243">
        <v>2000</v>
      </c>
      <c r="C321" s="243">
        <v>10697061</v>
      </c>
      <c r="D321" s="228" t="str">
        <f t="shared" si="19"/>
        <v>https://pubmed.ncbi.nlm.nih.gov/?term=10697061</v>
      </c>
      <c r="E321" s="226" t="s">
        <v>4400</v>
      </c>
      <c r="F321" s="226" t="s">
        <v>511</v>
      </c>
      <c r="G321" s="226" t="s">
        <v>4369</v>
      </c>
      <c r="H321" s="97"/>
      <c r="I321" s="45">
        <f t="shared" si="3"/>
        <v>0</v>
      </c>
      <c r="J321" s="226"/>
      <c r="K321" s="226">
        <v>1</v>
      </c>
      <c r="V321" s="225" t="s">
        <v>1431</v>
      </c>
      <c r="W321" s="28" t="s">
        <v>4541</v>
      </c>
    </row>
    <row r="322" spans="1:23" ht="12.75">
      <c r="A322" s="218" t="s">
        <v>4399</v>
      </c>
      <c r="B322" s="243">
        <v>2007</v>
      </c>
      <c r="C322" s="243">
        <v>17426277</v>
      </c>
      <c r="D322" s="228" t="str">
        <f t="shared" si="19"/>
        <v>https://pubmed.ncbi.nlm.nih.gov/?term=17426277</v>
      </c>
      <c r="E322" s="226" t="s">
        <v>4401</v>
      </c>
      <c r="F322" s="226" t="s">
        <v>511</v>
      </c>
      <c r="G322" s="226" t="s">
        <v>4369</v>
      </c>
      <c r="H322" s="97"/>
      <c r="I322" s="45">
        <f t="shared" si="3"/>
        <v>0</v>
      </c>
      <c r="J322" s="226"/>
      <c r="K322" s="226">
        <v>1</v>
      </c>
      <c r="V322" s="225" t="s">
        <v>1431</v>
      </c>
      <c r="W322" s="28" t="s">
        <v>4541</v>
      </c>
    </row>
    <row r="323" spans="1:23" ht="12.75">
      <c r="A323" s="218" t="s">
        <v>2354</v>
      </c>
      <c r="B323" s="243">
        <v>2010</v>
      </c>
      <c r="C323" s="243">
        <v>20086085</v>
      </c>
      <c r="D323" s="228" t="str">
        <f t="shared" si="19"/>
        <v>https://pubmed.ncbi.nlm.nih.gov/?term=20086085</v>
      </c>
      <c r="E323" s="226" t="s">
        <v>2365</v>
      </c>
      <c r="F323" s="226"/>
      <c r="G323" s="226"/>
      <c r="H323" s="226" t="s">
        <v>308</v>
      </c>
      <c r="I323" s="45">
        <f t="shared" si="3"/>
        <v>0</v>
      </c>
      <c r="J323" s="226"/>
      <c r="K323" s="97"/>
      <c r="V323" s="225" t="s">
        <v>1431</v>
      </c>
      <c r="W323" s="28" t="s">
        <v>4541</v>
      </c>
    </row>
    <row r="324" spans="1:23" ht="12.75">
      <c r="A324" s="218" t="s">
        <v>2371</v>
      </c>
      <c r="B324" s="243">
        <v>1984</v>
      </c>
      <c r="C324" s="243">
        <v>6099954</v>
      </c>
      <c r="D324" s="228" t="str">
        <f t="shared" si="19"/>
        <v>https://pubmed.ncbi.nlm.nih.gov/?term=6099954</v>
      </c>
      <c r="E324" s="226" t="s">
        <v>2377</v>
      </c>
      <c r="F324" s="226"/>
      <c r="G324" s="226"/>
      <c r="H324" s="226" t="s">
        <v>308</v>
      </c>
      <c r="I324" s="45">
        <f t="shared" si="3"/>
        <v>0</v>
      </c>
      <c r="J324" s="226"/>
      <c r="K324" s="97"/>
      <c r="V324" s="225" t="s">
        <v>1431</v>
      </c>
      <c r="W324" s="28" t="s">
        <v>4541</v>
      </c>
    </row>
    <row r="325" spans="1:23" ht="12.75">
      <c r="A325" s="218" t="s">
        <v>2371</v>
      </c>
      <c r="B325" s="243">
        <v>2000</v>
      </c>
      <c r="C325" s="243">
        <v>11073753</v>
      </c>
      <c r="D325" s="228" t="str">
        <f t="shared" si="19"/>
        <v>https://pubmed.ncbi.nlm.nih.gov/?term=11073753</v>
      </c>
      <c r="E325" s="226" t="s">
        <v>2409</v>
      </c>
      <c r="F325" s="226"/>
      <c r="G325" s="226"/>
      <c r="H325" s="226" t="s">
        <v>308</v>
      </c>
      <c r="I325" s="45">
        <f t="shared" si="3"/>
        <v>0</v>
      </c>
      <c r="J325" s="226"/>
      <c r="K325" s="97"/>
      <c r="V325" s="225" t="s">
        <v>1431</v>
      </c>
      <c r="W325" s="28" t="s">
        <v>4541</v>
      </c>
    </row>
    <row r="326" spans="1:23" ht="12.75">
      <c r="A326" s="218" t="s">
        <v>2371</v>
      </c>
      <c r="B326" s="243">
        <v>2000</v>
      </c>
      <c r="C326" s="243">
        <v>10817735</v>
      </c>
      <c r="D326" s="228" t="str">
        <f t="shared" si="19"/>
        <v>https://pubmed.ncbi.nlm.nih.gov/?term=10817735</v>
      </c>
      <c r="E326" s="226" t="s">
        <v>2414</v>
      </c>
      <c r="F326" s="97"/>
      <c r="G326" s="97"/>
      <c r="H326" s="226" t="s">
        <v>308</v>
      </c>
      <c r="I326" s="45">
        <f t="shared" si="3"/>
        <v>0</v>
      </c>
      <c r="J326" s="97"/>
      <c r="K326" s="97"/>
      <c r="V326" s="225" t="s">
        <v>1431</v>
      </c>
      <c r="W326" s="28" t="s">
        <v>4541</v>
      </c>
    </row>
    <row r="327" spans="1:23" ht="12.75">
      <c r="A327" s="218" t="s">
        <v>2371</v>
      </c>
      <c r="B327" s="243">
        <v>1999</v>
      </c>
      <c r="C327" s="243">
        <v>10340366</v>
      </c>
      <c r="D327" s="228" t="str">
        <f t="shared" si="19"/>
        <v>https://pubmed.ncbi.nlm.nih.gov/?term=10340366</v>
      </c>
      <c r="E327" s="226" t="s">
        <v>2403</v>
      </c>
      <c r="F327" s="226"/>
      <c r="G327" s="226"/>
      <c r="H327" s="226" t="s">
        <v>308</v>
      </c>
      <c r="I327" s="45">
        <f t="shared" si="3"/>
        <v>0</v>
      </c>
      <c r="J327" s="226"/>
      <c r="K327" s="97"/>
      <c r="V327" s="225" t="s">
        <v>1431</v>
      </c>
      <c r="W327" s="28" t="s">
        <v>4541</v>
      </c>
    </row>
    <row r="328" spans="1:23" ht="12.75">
      <c r="A328" s="218" t="s">
        <v>2371</v>
      </c>
      <c r="B328" s="243">
        <v>1993</v>
      </c>
      <c r="C328" s="243">
        <v>8383943</v>
      </c>
      <c r="D328" s="228" t="str">
        <f t="shared" si="19"/>
        <v>https://pubmed.ncbi.nlm.nih.gov/?term=8383943</v>
      </c>
      <c r="E328" s="226" t="s">
        <v>2388</v>
      </c>
      <c r="F328" s="226"/>
      <c r="G328" s="226"/>
      <c r="H328" s="226" t="s">
        <v>308</v>
      </c>
      <c r="I328" s="45">
        <f t="shared" si="3"/>
        <v>0</v>
      </c>
      <c r="J328" s="226"/>
      <c r="K328" s="97"/>
      <c r="V328" s="225" t="s">
        <v>1431</v>
      </c>
      <c r="W328" s="28" t="s">
        <v>4541</v>
      </c>
    </row>
    <row r="329" spans="1:23" ht="12.75">
      <c r="A329" s="218" t="s">
        <v>2371</v>
      </c>
      <c r="B329" s="243">
        <v>2005</v>
      </c>
      <c r="C329" s="243">
        <v>16049208</v>
      </c>
      <c r="D329" s="228" t="str">
        <f t="shared" si="19"/>
        <v>https://pubmed.ncbi.nlm.nih.gov/?term=16049208</v>
      </c>
      <c r="E329" s="226" t="s">
        <v>2431</v>
      </c>
      <c r="F329" s="226"/>
      <c r="G329" s="226"/>
      <c r="H329" s="226" t="s">
        <v>308</v>
      </c>
      <c r="I329" s="45">
        <f t="shared" si="3"/>
        <v>0</v>
      </c>
      <c r="J329" s="226"/>
      <c r="K329" s="97"/>
      <c r="V329" s="225" t="s">
        <v>1431</v>
      </c>
      <c r="W329" s="28" t="s">
        <v>4541</v>
      </c>
    </row>
    <row r="330" spans="1:23" ht="12.75">
      <c r="A330" s="218" t="s">
        <v>2371</v>
      </c>
      <c r="B330" s="243">
        <v>2000</v>
      </c>
      <c r="C330" s="243">
        <v>11073753</v>
      </c>
      <c r="D330" s="228" t="str">
        <f t="shared" si="19"/>
        <v>https://pubmed.ncbi.nlm.nih.gov/?term=11073753</v>
      </c>
      <c r="E330" s="226" t="s">
        <v>4408</v>
      </c>
      <c r="F330" s="226" t="s">
        <v>511</v>
      </c>
      <c r="G330" s="226" t="s">
        <v>4409</v>
      </c>
      <c r="H330" s="97"/>
      <c r="I330" s="45">
        <f t="shared" si="3"/>
        <v>0</v>
      </c>
      <c r="J330" s="97"/>
      <c r="K330" s="97"/>
      <c r="O330" s="28">
        <v>1</v>
      </c>
      <c r="V330" s="225" t="s">
        <v>1431</v>
      </c>
      <c r="W330" s="28" t="s">
        <v>4541</v>
      </c>
    </row>
    <row r="331" spans="1:23" ht="12.75">
      <c r="A331" s="218" t="s">
        <v>2371</v>
      </c>
      <c r="B331" s="243">
        <v>2001</v>
      </c>
      <c r="C331" s="243">
        <v>11692298</v>
      </c>
      <c r="D331" s="228" t="str">
        <f t="shared" si="19"/>
        <v>https://pubmed.ncbi.nlm.nih.gov/?term=11692298</v>
      </c>
      <c r="E331" s="226" t="s">
        <v>2422</v>
      </c>
      <c r="F331" s="97"/>
      <c r="G331" s="97"/>
      <c r="H331" s="226" t="s">
        <v>308</v>
      </c>
      <c r="I331" s="45">
        <f t="shared" si="3"/>
        <v>0</v>
      </c>
      <c r="J331" s="97"/>
      <c r="K331" s="97"/>
      <c r="V331" s="225" t="s">
        <v>1431</v>
      </c>
      <c r="W331" s="28" t="s">
        <v>4541</v>
      </c>
    </row>
    <row r="332" spans="1:23" ht="12.75">
      <c r="A332" s="218" t="s">
        <v>2432</v>
      </c>
      <c r="B332" s="243">
        <v>1993</v>
      </c>
      <c r="C332" s="243">
        <v>8394240</v>
      </c>
      <c r="D332" s="228" t="str">
        <f t="shared" si="19"/>
        <v>https://pubmed.ncbi.nlm.nih.gov/?term=8394240</v>
      </c>
      <c r="E332" s="226" t="s">
        <v>2440</v>
      </c>
      <c r="F332" s="295"/>
      <c r="G332" s="226"/>
      <c r="H332" s="226" t="s">
        <v>308</v>
      </c>
      <c r="I332" s="45">
        <f t="shared" si="3"/>
        <v>0</v>
      </c>
      <c r="J332" s="226"/>
      <c r="K332" s="97"/>
      <c r="V332" s="225" t="s">
        <v>1431</v>
      </c>
      <c r="W332" s="28" t="s">
        <v>4541</v>
      </c>
    </row>
    <row r="333" spans="1:23" ht="12.75">
      <c r="A333" s="212" t="s">
        <v>1609</v>
      </c>
      <c r="B333" s="301">
        <v>1991</v>
      </c>
      <c r="C333" s="301">
        <v>1713648</v>
      </c>
      <c r="D333" s="253" t="s">
        <v>4412</v>
      </c>
      <c r="E333" s="226" t="s">
        <v>4413</v>
      </c>
      <c r="F333" s="226" t="s">
        <v>308</v>
      </c>
      <c r="G333" s="304" t="s">
        <v>4414</v>
      </c>
      <c r="I333" s="45">
        <f t="shared" si="3"/>
        <v>0</v>
      </c>
      <c r="J333" s="226">
        <v>1</v>
      </c>
      <c r="K333" s="97"/>
      <c r="L333" s="28"/>
      <c r="V333" s="225" t="s">
        <v>2440</v>
      </c>
      <c r="W333" s="28" t="s">
        <v>4547</v>
      </c>
    </row>
    <row r="334" spans="1:23" ht="12.75">
      <c r="A334" s="218" t="s">
        <v>4415</v>
      </c>
      <c r="B334" s="243">
        <v>1990</v>
      </c>
      <c r="C334" s="243">
        <v>1692813</v>
      </c>
      <c r="D334" s="228" t="str">
        <f t="shared" ref="D334:D345" si="20">"https://pubmed.ncbi.nlm.nih.gov/?term="&amp;C334</f>
        <v>https://pubmed.ncbi.nlm.nih.gov/?term=1692813</v>
      </c>
      <c r="E334" s="226" t="s">
        <v>4416</v>
      </c>
      <c r="F334" s="226" t="s">
        <v>511</v>
      </c>
      <c r="G334" s="226" t="s">
        <v>4417</v>
      </c>
      <c r="H334" s="97"/>
      <c r="I334" s="45">
        <f t="shared" si="3"/>
        <v>0</v>
      </c>
      <c r="J334" s="226"/>
      <c r="K334" s="97"/>
      <c r="O334" s="28">
        <v>1</v>
      </c>
      <c r="V334" s="225" t="s">
        <v>1431</v>
      </c>
      <c r="W334" s="28" t="s">
        <v>4541</v>
      </c>
    </row>
    <row r="335" spans="1:23" ht="12.75">
      <c r="A335" s="218" t="s">
        <v>4415</v>
      </c>
      <c r="B335" s="243">
        <v>1990</v>
      </c>
      <c r="C335" s="243">
        <v>1692813</v>
      </c>
      <c r="D335" s="228" t="str">
        <f t="shared" si="20"/>
        <v>https://pubmed.ncbi.nlm.nih.gov/?term=1692813</v>
      </c>
      <c r="E335" s="97"/>
      <c r="F335" s="226" t="s">
        <v>511</v>
      </c>
      <c r="G335" s="226" t="s">
        <v>4256</v>
      </c>
      <c r="H335" s="97"/>
      <c r="I335" s="45">
        <f t="shared" si="3"/>
        <v>0</v>
      </c>
      <c r="J335" s="97"/>
      <c r="K335" s="97"/>
      <c r="O335" s="28">
        <v>1</v>
      </c>
      <c r="V335" s="225" t="s">
        <v>1431</v>
      </c>
      <c r="W335" s="28" t="s">
        <v>4541</v>
      </c>
    </row>
    <row r="336" spans="1:23" ht="12.75">
      <c r="A336" s="218" t="s">
        <v>2446</v>
      </c>
      <c r="B336" s="243">
        <v>1997</v>
      </c>
      <c r="C336" s="243">
        <v>9395349</v>
      </c>
      <c r="D336" s="228" t="str">
        <f t="shared" si="20"/>
        <v>https://pubmed.ncbi.nlm.nih.gov/?term=9395349</v>
      </c>
      <c r="E336" s="226" t="s">
        <v>2457</v>
      </c>
      <c r="F336" s="226"/>
      <c r="G336" s="226"/>
      <c r="H336" s="226" t="s">
        <v>308</v>
      </c>
      <c r="I336" s="45">
        <f t="shared" si="3"/>
        <v>0</v>
      </c>
      <c r="J336" s="226"/>
      <c r="K336" s="97"/>
      <c r="V336" s="225" t="s">
        <v>1431</v>
      </c>
      <c r="W336" s="28" t="s">
        <v>4541</v>
      </c>
    </row>
    <row r="337" spans="1:26" ht="12.75">
      <c r="A337" s="218" t="s">
        <v>2463</v>
      </c>
      <c r="B337" s="243">
        <v>1997</v>
      </c>
      <c r="C337" s="243">
        <v>9140895</v>
      </c>
      <c r="D337" s="228" t="str">
        <f t="shared" si="20"/>
        <v>https://pubmed.ncbi.nlm.nih.gov/?term=9140895</v>
      </c>
      <c r="E337" s="226" t="s">
        <v>2471</v>
      </c>
      <c r="F337" s="226"/>
      <c r="G337" s="226"/>
      <c r="H337" s="226" t="s">
        <v>308</v>
      </c>
      <c r="I337" s="45">
        <f t="shared" si="3"/>
        <v>0</v>
      </c>
      <c r="J337" s="226"/>
      <c r="K337" s="97"/>
      <c r="V337" s="225" t="s">
        <v>1431</v>
      </c>
      <c r="W337" s="28" t="s">
        <v>4541</v>
      </c>
    </row>
    <row r="338" spans="1:26" ht="12.75">
      <c r="A338" s="218" t="s">
        <v>2472</v>
      </c>
      <c r="B338" s="243">
        <v>2010</v>
      </c>
      <c r="C338" s="243">
        <v>21244738</v>
      </c>
      <c r="D338" s="228" t="str">
        <f t="shared" si="20"/>
        <v>https://pubmed.ncbi.nlm.nih.gov/?term=21244738</v>
      </c>
      <c r="E338" s="226" t="s">
        <v>2480</v>
      </c>
      <c r="F338" s="97"/>
      <c r="G338" s="97"/>
      <c r="H338" s="226" t="s">
        <v>511</v>
      </c>
      <c r="I338" s="45">
        <f t="shared" si="3"/>
        <v>0</v>
      </c>
      <c r="J338" s="97"/>
      <c r="K338" s="97"/>
      <c r="V338" s="225" t="s">
        <v>1431</v>
      </c>
      <c r="W338" s="28" t="s">
        <v>4541</v>
      </c>
    </row>
    <row r="339" spans="1:26" ht="12.75">
      <c r="A339" s="340" t="s">
        <v>2481</v>
      </c>
      <c r="B339" s="243">
        <v>1994</v>
      </c>
      <c r="C339" s="243">
        <v>8163832</v>
      </c>
      <c r="D339" s="228" t="str">
        <f t="shared" si="20"/>
        <v>https://pubmed.ncbi.nlm.nih.gov/?term=8163832</v>
      </c>
      <c r="E339" s="226" t="s">
        <v>2487</v>
      </c>
      <c r="F339" s="226"/>
      <c r="G339" s="226"/>
      <c r="H339" s="226" t="s">
        <v>308</v>
      </c>
      <c r="I339" s="45">
        <f t="shared" si="3"/>
        <v>0</v>
      </c>
      <c r="J339" s="226"/>
      <c r="K339" s="97"/>
      <c r="V339" s="225" t="s">
        <v>1431</v>
      </c>
      <c r="W339" s="28" t="s">
        <v>4541</v>
      </c>
    </row>
    <row r="340" spans="1:26" ht="12.75">
      <c r="A340" s="341" t="s">
        <v>1130</v>
      </c>
      <c r="B340" s="342">
        <v>2020</v>
      </c>
      <c r="C340" s="342">
        <v>32239164</v>
      </c>
      <c r="D340" s="308" t="str">
        <f t="shared" si="20"/>
        <v>https://pubmed.ncbi.nlm.nih.gov/?term=32239164</v>
      </c>
      <c r="E340" s="313" t="s">
        <v>2502</v>
      </c>
      <c r="F340" s="313"/>
      <c r="G340" s="313"/>
      <c r="H340" s="313" t="s">
        <v>308</v>
      </c>
      <c r="I340" s="45">
        <f t="shared" si="3"/>
        <v>0</v>
      </c>
      <c r="J340" s="42"/>
      <c r="K340" s="42"/>
      <c r="L340" s="42"/>
      <c r="M340" s="42"/>
      <c r="N340" s="42"/>
      <c r="O340" s="42"/>
      <c r="P340" s="42"/>
      <c r="Q340" s="42"/>
      <c r="R340" s="42"/>
      <c r="S340" s="42"/>
      <c r="T340" s="42"/>
      <c r="U340" s="42"/>
      <c r="V340" s="309" t="s">
        <v>2501</v>
      </c>
      <c r="W340" s="106" t="s">
        <v>4541</v>
      </c>
      <c r="X340" s="42"/>
      <c r="Y340" s="42"/>
      <c r="Z340" s="42"/>
    </row>
    <row r="341" spans="1:26" ht="12.75">
      <c r="A341" s="306" t="s">
        <v>4421</v>
      </c>
      <c r="B341" s="307">
        <v>2021</v>
      </c>
      <c r="C341" s="307">
        <v>32621741</v>
      </c>
      <c r="D341" s="219" t="str">
        <f t="shared" si="20"/>
        <v>https://pubmed.ncbi.nlm.nih.gov/?term=32621741</v>
      </c>
      <c r="E341" s="226" t="s">
        <v>4318</v>
      </c>
      <c r="F341" s="226" t="s">
        <v>308</v>
      </c>
      <c r="G341" s="226" t="s">
        <v>4422</v>
      </c>
      <c r="H341" s="226"/>
      <c r="I341" s="45">
        <f t="shared" si="3"/>
        <v>0</v>
      </c>
      <c r="K341" s="28">
        <v>1</v>
      </c>
      <c r="V341" s="225" t="s">
        <v>2501</v>
      </c>
      <c r="W341" s="28" t="s">
        <v>4541</v>
      </c>
    </row>
    <row r="342" spans="1:26" ht="12.75">
      <c r="A342" s="306" t="s">
        <v>1331</v>
      </c>
      <c r="B342" s="307">
        <v>2021</v>
      </c>
      <c r="C342" s="307">
        <v>33862589</v>
      </c>
      <c r="D342" s="219" t="str">
        <f t="shared" si="20"/>
        <v>https://pubmed.ncbi.nlm.nih.gov/?term=33862589</v>
      </c>
      <c r="E342" s="226" t="s">
        <v>2516</v>
      </c>
      <c r="F342" s="226"/>
      <c r="G342" s="226"/>
      <c r="H342" s="226" t="s">
        <v>308</v>
      </c>
      <c r="I342" s="45">
        <f t="shared" si="3"/>
        <v>0</v>
      </c>
      <c r="V342" s="225" t="s">
        <v>2501</v>
      </c>
      <c r="W342" s="28" t="s">
        <v>4541</v>
      </c>
    </row>
    <row r="343" spans="1:26" ht="12.75">
      <c r="A343" s="306" t="s">
        <v>2517</v>
      </c>
      <c r="B343" s="307">
        <v>2021</v>
      </c>
      <c r="C343" s="307">
        <v>34419209</v>
      </c>
      <c r="D343" s="219" t="str">
        <f t="shared" si="20"/>
        <v>https://pubmed.ncbi.nlm.nih.gov/?term=34419209</v>
      </c>
      <c r="E343" s="226" t="s">
        <v>2529</v>
      </c>
      <c r="F343" s="226"/>
      <c r="G343" s="226"/>
      <c r="H343" s="226" t="s">
        <v>308</v>
      </c>
      <c r="I343" s="45">
        <f t="shared" si="3"/>
        <v>0</v>
      </c>
      <c r="V343" s="225" t="s">
        <v>2501</v>
      </c>
      <c r="W343" s="28" t="s">
        <v>4541</v>
      </c>
    </row>
    <row r="344" spans="1:26" ht="12.75">
      <c r="A344" s="306" t="s">
        <v>2542</v>
      </c>
      <c r="B344" s="307">
        <v>2021</v>
      </c>
      <c r="C344" s="307">
        <v>34430837</v>
      </c>
      <c r="D344" s="219" t="str">
        <f t="shared" si="20"/>
        <v>https://pubmed.ncbi.nlm.nih.gov/?term=34430837</v>
      </c>
      <c r="E344" s="226" t="s">
        <v>2557</v>
      </c>
      <c r="F344" s="226"/>
      <c r="G344" s="226"/>
      <c r="H344" s="226" t="s">
        <v>308</v>
      </c>
      <c r="I344" s="45">
        <f t="shared" si="3"/>
        <v>0</v>
      </c>
      <c r="V344" s="225" t="s">
        <v>2501</v>
      </c>
      <c r="W344" s="28" t="s">
        <v>4541</v>
      </c>
    </row>
    <row r="345" spans="1:26" ht="12.75">
      <c r="A345" s="306" t="s">
        <v>2558</v>
      </c>
      <c r="B345" s="307">
        <v>2021</v>
      </c>
      <c r="C345" s="307">
        <v>34264864</v>
      </c>
      <c r="D345" s="219" t="str">
        <f t="shared" si="20"/>
        <v>https://pubmed.ncbi.nlm.nih.gov/?term=34264864</v>
      </c>
      <c r="E345" s="226" t="s">
        <v>2571</v>
      </c>
      <c r="F345" s="226"/>
      <c r="G345" s="226"/>
      <c r="H345" s="226" t="s">
        <v>308</v>
      </c>
      <c r="I345" s="45">
        <f t="shared" si="3"/>
        <v>0</v>
      </c>
      <c r="V345" s="225" t="s">
        <v>2501</v>
      </c>
      <c r="W345" s="28" t="s">
        <v>4541</v>
      </c>
    </row>
    <row r="346" spans="1:26" ht="12.75">
      <c r="A346" s="309" t="s">
        <v>3203</v>
      </c>
      <c r="B346" s="310">
        <v>1974</v>
      </c>
      <c r="C346" s="311">
        <v>4593870</v>
      </c>
      <c r="D346" s="312" t="s">
        <v>3205</v>
      </c>
      <c r="E346" s="313" t="s">
        <v>3213</v>
      </c>
      <c r="F346" s="313" t="s">
        <v>308</v>
      </c>
      <c r="G346" s="314" t="s">
        <v>4020</v>
      </c>
      <c r="H346" s="313"/>
      <c r="I346" s="45">
        <f t="shared" si="3"/>
        <v>0</v>
      </c>
      <c r="J346" s="42"/>
      <c r="K346" s="42"/>
      <c r="L346" s="42"/>
      <c r="M346" s="42"/>
      <c r="N346" s="42"/>
      <c r="O346" s="42"/>
      <c r="P346" s="42"/>
      <c r="Q346" s="42"/>
      <c r="R346" s="42"/>
      <c r="S346" s="106">
        <v>1</v>
      </c>
      <c r="T346" s="42"/>
      <c r="U346" s="42"/>
      <c r="V346" s="309" t="s">
        <v>3212</v>
      </c>
      <c r="W346" s="106" t="s">
        <v>4576</v>
      </c>
      <c r="X346" s="42"/>
      <c r="Y346" s="42"/>
      <c r="Z346" s="42"/>
    </row>
    <row r="347" spans="1:26" ht="12.75">
      <c r="A347" s="225" t="s">
        <v>3214</v>
      </c>
      <c r="B347" s="301">
        <v>2014</v>
      </c>
      <c r="C347" s="93">
        <v>25070995</v>
      </c>
      <c r="D347" s="316" t="s">
        <v>3215</v>
      </c>
      <c r="E347" s="226" t="s">
        <v>3227</v>
      </c>
      <c r="F347" s="226"/>
      <c r="G347" s="97"/>
      <c r="H347" s="226" t="s">
        <v>308</v>
      </c>
      <c r="I347" s="45">
        <f t="shared" si="3"/>
        <v>0</v>
      </c>
      <c r="V347" s="225" t="s">
        <v>3212</v>
      </c>
      <c r="W347" s="28" t="s">
        <v>4576</v>
      </c>
    </row>
    <row r="348" spans="1:26" ht="12.75">
      <c r="A348" s="225" t="s">
        <v>4430</v>
      </c>
      <c r="B348" s="301">
        <v>2014</v>
      </c>
      <c r="C348" s="93">
        <v>24872394</v>
      </c>
      <c r="D348" s="316" t="s">
        <v>4431</v>
      </c>
      <c r="E348" s="226" t="s">
        <v>4432</v>
      </c>
      <c r="F348" s="226" t="s">
        <v>511</v>
      </c>
      <c r="G348" s="226" t="s">
        <v>4433</v>
      </c>
      <c r="H348" s="97"/>
      <c r="I348" s="45">
        <f t="shared" si="3"/>
        <v>0</v>
      </c>
      <c r="P348" s="28">
        <v>1</v>
      </c>
      <c r="V348" s="225" t="s">
        <v>3212</v>
      </c>
      <c r="W348" s="28" t="s">
        <v>4576</v>
      </c>
    </row>
    <row r="349" spans="1:26" ht="12.75">
      <c r="A349" s="225" t="s">
        <v>3234</v>
      </c>
      <c r="B349" s="301">
        <v>1992</v>
      </c>
      <c r="C349" s="93">
        <v>1621412</v>
      </c>
      <c r="D349" s="316" t="s">
        <v>3235</v>
      </c>
      <c r="E349" s="226" t="s">
        <v>4435</v>
      </c>
      <c r="F349" s="226"/>
      <c r="G349" s="97"/>
      <c r="H349" s="226" t="s">
        <v>308</v>
      </c>
      <c r="I349" s="45">
        <f t="shared" si="3"/>
        <v>0</v>
      </c>
      <c r="V349" s="225" t="s">
        <v>3212</v>
      </c>
      <c r="W349" s="28" t="s">
        <v>4576</v>
      </c>
    </row>
    <row r="350" spans="1:26" ht="12.75">
      <c r="A350" s="225" t="s">
        <v>2319</v>
      </c>
      <c r="B350" s="301">
        <v>1999</v>
      </c>
      <c r="C350" s="93">
        <v>10569747</v>
      </c>
      <c r="D350" s="316" t="s">
        <v>3244</v>
      </c>
      <c r="E350" s="226" t="s">
        <v>3245</v>
      </c>
      <c r="F350" s="226"/>
      <c r="G350" s="97"/>
      <c r="H350" s="226" t="s">
        <v>308</v>
      </c>
      <c r="I350" s="45">
        <f t="shared" si="3"/>
        <v>0</v>
      </c>
      <c r="V350" s="225" t="s">
        <v>3212</v>
      </c>
      <c r="W350" s="28" t="s">
        <v>4576</v>
      </c>
    </row>
    <row r="351" spans="1:26" ht="12.75">
      <c r="A351" s="297" t="s">
        <v>4438</v>
      </c>
      <c r="B351" s="317">
        <v>2016</v>
      </c>
      <c r="C351" s="318">
        <v>26822406</v>
      </c>
      <c r="D351" s="319" t="s">
        <v>4439</v>
      </c>
      <c r="E351" s="298" t="s">
        <v>4440</v>
      </c>
      <c r="F351" s="298" t="s">
        <v>308</v>
      </c>
      <c r="G351" s="298" t="s">
        <v>4441</v>
      </c>
      <c r="H351" s="291"/>
      <c r="I351" s="45">
        <f t="shared" si="3"/>
        <v>0</v>
      </c>
      <c r="L351" s="28">
        <v>1</v>
      </c>
      <c r="V351" s="297" t="s">
        <v>3212</v>
      </c>
      <c r="W351" s="28" t="s">
        <v>4576</v>
      </c>
    </row>
    <row r="352" spans="1:26" ht="12.75">
      <c r="A352" s="309" t="s">
        <v>3257</v>
      </c>
      <c r="B352" s="311">
        <v>2014</v>
      </c>
      <c r="C352" s="311">
        <v>24963662</v>
      </c>
      <c r="D352" s="321" t="s">
        <v>3258</v>
      </c>
      <c r="E352" s="309" t="s">
        <v>3271</v>
      </c>
      <c r="F352" s="320"/>
      <c r="G352" s="315"/>
      <c r="H352" s="313" t="s">
        <v>308</v>
      </c>
      <c r="I352" s="45">
        <f t="shared" si="3"/>
        <v>0</v>
      </c>
      <c r="J352" s="42"/>
      <c r="K352" s="42"/>
      <c r="L352" s="42"/>
      <c r="M352" s="42"/>
      <c r="N352" s="42"/>
      <c r="O352" s="42"/>
      <c r="P352" s="42"/>
      <c r="Q352" s="42"/>
      <c r="R352" s="42"/>
      <c r="S352" s="42"/>
      <c r="T352" s="42"/>
      <c r="V352" s="225" t="s">
        <v>3270</v>
      </c>
      <c r="W352" s="106" t="s">
        <v>4576</v>
      </c>
      <c r="X352" s="42"/>
      <c r="Y352" s="42"/>
      <c r="Z352" s="42"/>
    </row>
    <row r="353" spans="1:26" ht="12.75">
      <c r="A353" s="225" t="s">
        <v>3257</v>
      </c>
      <c r="B353" s="93">
        <v>2016</v>
      </c>
      <c r="C353" s="93">
        <v>27760143</v>
      </c>
      <c r="D353" s="261" t="s">
        <v>3272</v>
      </c>
      <c r="E353" s="225" t="s">
        <v>3285</v>
      </c>
      <c r="F353" s="263"/>
      <c r="G353" s="97"/>
      <c r="H353" s="226" t="s">
        <v>308</v>
      </c>
      <c r="I353" s="45">
        <f t="shared" si="3"/>
        <v>0</v>
      </c>
      <c r="V353" s="225" t="s">
        <v>3270</v>
      </c>
      <c r="W353" s="28" t="s">
        <v>4576</v>
      </c>
    </row>
    <row r="354" spans="1:26" ht="12.75">
      <c r="A354" s="225" t="s">
        <v>4444</v>
      </c>
      <c r="B354" s="93">
        <v>2014</v>
      </c>
      <c r="C354" s="282" t="s">
        <v>4445</v>
      </c>
      <c r="D354" s="261" t="s">
        <v>4446</v>
      </c>
      <c r="E354" s="28" t="s">
        <v>4447</v>
      </c>
      <c r="F354" s="263" t="s">
        <v>308</v>
      </c>
      <c r="G354" s="226" t="s">
        <v>4448</v>
      </c>
      <c r="H354" s="97"/>
      <c r="I354" s="45">
        <f t="shared" si="3"/>
        <v>0</v>
      </c>
      <c r="Q354" s="28">
        <v>1</v>
      </c>
      <c r="V354" s="225" t="s">
        <v>3270</v>
      </c>
      <c r="W354" s="28" t="s">
        <v>4576</v>
      </c>
    </row>
    <row r="355" spans="1:26" ht="12.75">
      <c r="A355" s="225" t="s">
        <v>3286</v>
      </c>
      <c r="B355" s="93">
        <v>1986</v>
      </c>
      <c r="C355" s="93">
        <v>3511753</v>
      </c>
      <c r="D355" s="261" t="s">
        <v>3288</v>
      </c>
      <c r="E355" s="28" t="s">
        <v>4577</v>
      </c>
      <c r="F355" s="248"/>
      <c r="G355" s="97"/>
      <c r="H355" s="226" t="s">
        <v>308</v>
      </c>
      <c r="I355" s="45">
        <f t="shared" si="3"/>
        <v>0</v>
      </c>
      <c r="V355" s="225" t="s">
        <v>3270</v>
      </c>
      <c r="W355" s="28" t="s">
        <v>4576</v>
      </c>
    </row>
    <row r="356" spans="1:26" ht="12.75">
      <c r="A356" s="225" t="s">
        <v>3294</v>
      </c>
      <c r="B356" s="88">
        <v>2019</v>
      </c>
      <c r="C356" s="93">
        <v>30561539</v>
      </c>
      <c r="D356" s="261" t="s">
        <v>3296</v>
      </c>
      <c r="E356" s="28" t="s">
        <v>3309</v>
      </c>
      <c r="F356" s="248"/>
      <c r="G356" s="97"/>
      <c r="H356" s="226" t="s">
        <v>308</v>
      </c>
      <c r="I356" s="45">
        <f t="shared" si="3"/>
        <v>0</v>
      </c>
      <c r="V356" s="225" t="s">
        <v>3270</v>
      </c>
      <c r="W356" s="28" t="s">
        <v>4576</v>
      </c>
    </row>
    <row r="357" spans="1:26" ht="12.75">
      <c r="A357" s="225" t="s">
        <v>919</v>
      </c>
      <c r="B357" s="93">
        <v>2009</v>
      </c>
      <c r="C357" s="93">
        <v>19861603</v>
      </c>
      <c r="D357" s="261" t="s">
        <v>3310</v>
      </c>
      <c r="E357" s="28" t="s">
        <v>3317</v>
      </c>
      <c r="F357" s="263"/>
      <c r="G357" s="97"/>
      <c r="H357" s="226" t="s">
        <v>308</v>
      </c>
      <c r="I357" s="45">
        <f t="shared" si="3"/>
        <v>0</v>
      </c>
      <c r="V357" s="225" t="s">
        <v>3270</v>
      </c>
      <c r="W357" s="28" t="s">
        <v>4576</v>
      </c>
    </row>
    <row r="358" spans="1:26" ht="12.75">
      <c r="A358" s="225" t="s">
        <v>3318</v>
      </c>
      <c r="B358" s="93">
        <v>2018</v>
      </c>
      <c r="C358" s="93">
        <v>29943719</v>
      </c>
      <c r="D358" s="261" t="s">
        <v>3320</v>
      </c>
      <c r="E358" s="28" t="s">
        <v>3333</v>
      </c>
      <c r="F358" s="263"/>
      <c r="G358" s="97"/>
      <c r="H358" s="226" t="s">
        <v>308</v>
      </c>
      <c r="I358" s="45">
        <f t="shared" si="3"/>
        <v>0</v>
      </c>
      <c r="V358" s="225" t="s">
        <v>3270</v>
      </c>
      <c r="W358" s="28" t="s">
        <v>4576</v>
      </c>
    </row>
    <row r="359" spans="1:26" ht="12.75">
      <c r="A359" s="225" t="s">
        <v>4451</v>
      </c>
      <c r="B359" s="93">
        <v>2009</v>
      </c>
      <c r="C359" s="93">
        <v>19958549</v>
      </c>
      <c r="D359" s="261" t="s">
        <v>4452</v>
      </c>
      <c r="E359" s="28" t="s">
        <v>4318</v>
      </c>
      <c r="F359" s="263" t="s">
        <v>308</v>
      </c>
      <c r="G359" s="226" t="s">
        <v>65</v>
      </c>
      <c r="H359" s="97"/>
      <c r="I359" s="45">
        <f t="shared" si="3"/>
        <v>0</v>
      </c>
      <c r="R359" s="28">
        <v>1</v>
      </c>
      <c r="V359" s="225" t="s">
        <v>3270</v>
      </c>
      <c r="W359" s="28" t="s">
        <v>4576</v>
      </c>
    </row>
    <row r="360" spans="1:26" ht="12.75">
      <c r="A360" s="225" t="s">
        <v>1221</v>
      </c>
      <c r="B360" s="93">
        <v>2002</v>
      </c>
      <c r="C360" s="93">
        <v>11738758</v>
      </c>
      <c r="D360" s="261" t="s">
        <v>3337</v>
      </c>
      <c r="E360" s="28" t="s">
        <v>3345</v>
      </c>
      <c r="F360" s="263"/>
      <c r="G360" s="97"/>
      <c r="H360" s="226" t="s">
        <v>308</v>
      </c>
      <c r="I360" s="45">
        <f t="shared" si="3"/>
        <v>0</v>
      </c>
      <c r="V360" s="225" t="s">
        <v>3270</v>
      </c>
      <c r="W360" s="28" t="s">
        <v>4576</v>
      </c>
    </row>
    <row r="361" spans="1:26" ht="12.75">
      <c r="A361" s="320" t="s">
        <v>3188</v>
      </c>
      <c r="B361" s="311">
        <v>2015</v>
      </c>
      <c r="C361" s="311">
        <v>26041041</v>
      </c>
      <c r="D361" s="321" t="s">
        <v>4454</v>
      </c>
      <c r="E361" s="320" t="s">
        <v>4455</v>
      </c>
      <c r="F361" s="320" t="s">
        <v>308</v>
      </c>
      <c r="G361" s="106" t="s">
        <v>4456</v>
      </c>
      <c r="H361" s="42"/>
      <c r="I361" s="45">
        <f t="shared" si="3"/>
        <v>0</v>
      </c>
      <c r="J361" s="42"/>
      <c r="K361" s="42"/>
      <c r="L361" s="42"/>
      <c r="M361" s="42"/>
      <c r="N361" s="42"/>
      <c r="O361" s="106">
        <v>1</v>
      </c>
      <c r="P361" s="42"/>
      <c r="Q361" s="42"/>
      <c r="R361" s="42"/>
      <c r="S361" s="42"/>
      <c r="T361" s="42"/>
      <c r="U361" s="42"/>
      <c r="V361" s="309" t="s">
        <v>3359</v>
      </c>
      <c r="W361" s="106" t="s">
        <v>4578</v>
      </c>
      <c r="X361" s="42"/>
      <c r="Y361" s="42"/>
      <c r="Z361" s="42"/>
    </row>
    <row r="362" spans="1:26" ht="12.75">
      <c r="A362" s="225" t="s">
        <v>3346</v>
      </c>
      <c r="B362" s="93">
        <v>2005</v>
      </c>
      <c r="C362" s="93">
        <v>16430195</v>
      </c>
      <c r="D362" s="261" t="s">
        <v>3348</v>
      </c>
      <c r="E362" s="263" t="s">
        <v>3360</v>
      </c>
      <c r="F362" s="263"/>
      <c r="G362" s="97"/>
      <c r="H362" s="226" t="s">
        <v>308</v>
      </c>
      <c r="I362" s="45">
        <f t="shared" si="3"/>
        <v>0</v>
      </c>
      <c r="V362" s="225" t="s">
        <v>3359</v>
      </c>
      <c r="W362" s="28" t="s">
        <v>4578</v>
      </c>
    </row>
    <row r="363" spans="1:26" ht="12.75">
      <c r="A363" s="225" t="s">
        <v>3378</v>
      </c>
      <c r="B363" s="93">
        <v>2013</v>
      </c>
      <c r="C363" s="93">
        <v>24088113</v>
      </c>
      <c r="D363" s="261" t="s">
        <v>4457</v>
      </c>
      <c r="E363" s="263" t="s">
        <v>4458</v>
      </c>
      <c r="F363" s="263" t="s">
        <v>308</v>
      </c>
      <c r="G363" s="226" t="s">
        <v>4459</v>
      </c>
      <c r="H363" s="97"/>
      <c r="I363" s="45">
        <f t="shared" si="3"/>
        <v>0</v>
      </c>
      <c r="O363" s="28">
        <v>1</v>
      </c>
      <c r="V363" s="225" t="s">
        <v>3359</v>
      </c>
      <c r="W363" s="28" t="s">
        <v>4578</v>
      </c>
    </row>
    <row r="364" spans="1:26" ht="12.75">
      <c r="A364" s="225" t="s">
        <v>3378</v>
      </c>
      <c r="B364" s="93">
        <v>2016</v>
      </c>
      <c r="C364" s="93">
        <v>26919472</v>
      </c>
      <c r="D364" s="261" t="s">
        <v>3379</v>
      </c>
      <c r="E364" s="263" t="s">
        <v>3392</v>
      </c>
      <c r="F364" s="263"/>
      <c r="G364" s="97"/>
      <c r="H364" s="226" t="s">
        <v>308</v>
      </c>
      <c r="I364" s="45">
        <f t="shared" si="3"/>
        <v>0</v>
      </c>
      <c r="V364" s="225" t="s">
        <v>3359</v>
      </c>
      <c r="W364" s="28" t="s">
        <v>4578</v>
      </c>
    </row>
    <row r="365" spans="1:26" ht="12.75">
      <c r="A365" s="225" t="s">
        <v>4461</v>
      </c>
      <c r="B365" s="93">
        <v>1966</v>
      </c>
      <c r="C365" s="93">
        <v>5901572</v>
      </c>
      <c r="D365" s="261" t="s">
        <v>4462</v>
      </c>
      <c r="E365" s="263" t="s">
        <v>4318</v>
      </c>
      <c r="F365" s="263" t="s">
        <v>308</v>
      </c>
      <c r="G365" s="282" t="s">
        <v>4020</v>
      </c>
      <c r="H365" s="97"/>
      <c r="I365" s="45">
        <f t="shared" si="3"/>
        <v>0</v>
      </c>
      <c r="S365" s="28">
        <v>1</v>
      </c>
      <c r="V365" s="225" t="s">
        <v>3359</v>
      </c>
      <c r="W365" s="28" t="s">
        <v>4578</v>
      </c>
    </row>
    <row r="366" spans="1:26" ht="12.75">
      <c r="A366" s="263" t="s">
        <v>3137</v>
      </c>
      <c r="B366" s="93">
        <v>1982</v>
      </c>
      <c r="C366" s="93">
        <v>7051247</v>
      </c>
      <c r="D366" s="261" t="s">
        <v>3394</v>
      </c>
      <c r="E366" s="263" t="s">
        <v>3402</v>
      </c>
      <c r="F366" s="263"/>
      <c r="H366" s="226" t="s">
        <v>308</v>
      </c>
      <c r="I366" s="45">
        <f t="shared" si="3"/>
        <v>0</v>
      </c>
      <c r="V366" s="225" t="s">
        <v>3359</v>
      </c>
      <c r="W366" s="28" t="s">
        <v>4578</v>
      </c>
    </row>
    <row r="367" spans="1:26" ht="12.75">
      <c r="A367" s="263" t="s">
        <v>3403</v>
      </c>
      <c r="B367" s="93">
        <v>2006</v>
      </c>
      <c r="C367" s="93">
        <v>17123976</v>
      </c>
      <c r="D367" s="261" t="s">
        <v>3405</v>
      </c>
      <c r="E367" s="263" t="s">
        <v>3412</v>
      </c>
      <c r="F367" s="263"/>
      <c r="H367" s="226" t="s">
        <v>308</v>
      </c>
      <c r="I367" s="45">
        <f t="shared" si="3"/>
        <v>0</v>
      </c>
      <c r="V367" s="225" t="s">
        <v>3359</v>
      </c>
      <c r="W367" s="28" t="s">
        <v>4578</v>
      </c>
    </row>
    <row r="368" spans="1:26" ht="12.75">
      <c r="A368" s="225" t="s">
        <v>4464</v>
      </c>
      <c r="B368" s="93">
        <v>1999</v>
      </c>
      <c r="C368" s="93">
        <v>12563811</v>
      </c>
      <c r="D368" s="261" t="s">
        <v>4465</v>
      </c>
      <c r="E368" s="263" t="s">
        <v>4318</v>
      </c>
      <c r="F368" s="263" t="s">
        <v>308</v>
      </c>
      <c r="G368" s="226" t="s">
        <v>4466</v>
      </c>
      <c r="H368" s="97"/>
      <c r="I368" s="45">
        <f t="shared" si="3"/>
        <v>0</v>
      </c>
      <c r="U368" s="28">
        <v>1</v>
      </c>
      <c r="V368" s="225" t="s">
        <v>3359</v>
      </c>
      <c r="W368" s="28" t="s">
        <v>4578</v>
      </c>
    </row>
    <row r="369" spans="1:23" ht="12.75">
      <c r="A369" s="225" t="s">
        <v>4467</v>
      </c>
      <c r="B369" s="93">
        <v>1950</v>
      </c>
      <c r="C369" s="93">
        <v>15404744</v>
      </c>
      <c r="D369" s="261" t="s">
        <v>4468</v>
      </c>
      <c r="E369" s="263" t="s">
        <v>4318</v>
      </c>
      <c r="F369" s="263" t="s">
        <v>308</v>
      </c>
      <c r="G369" s="282" t="s">
        <v>4020</v>
      </c>
      <c r="H369" s="97"/>
      <c r="I369" s="45">
        <f t="shared" si="3"/>
        <v>0</v>
      </c>
      <c r="S369" s="28">
        <v>1</v>
      </c>
      <c r="V369" s="225" t="s">
        <v>3359</v>
      </c>
      <c r="W369" s="28" t="s">
        <v>4578</v>
      </c>
    </row>
    <row r="370" spans="1:23" ht="12.75">
      <c r="A370" s="263" t="s">
        <v>3413</v>
      </c>
      <c r="B370" s="93">
        <v>2015</v>
      </c>
      <c r="C370" s="93">
        <v>26114410</v>
      </c>
      <c r="D370" s="261" t="s">
        <v>3415</v>
      </c>
      <c r="E370" s="263" t="s">
        <v>3427</v>
      </c>
      <c r="F370" s="263"/>
      <c r="H370" s="226" t="s">
        <v>308</v>
      </c>
      <c r="I370" s="45">
        <f t="shared" si="3"/>
        <v>0</v>
      </c>
      <c r="V370" s="225" t="s">
        <v>3359</v>
      </c>
      <c r="W370" s="28" t="s">
        <v>4578</v>
      </c>
    </row>
    <row r="371" spans="1:23" ht="12.75">
      <c r="A371" s="263" t="s">
        <v>3428</v>
      </c>
      <c r="B371" s="93">
        <v>2014</v>
      </c>
      <c r="C371" s="93">
        <v>25671106</v>
      </c>
      <c r="D371" s="261" t="s">
        <v>3430</v>
      </c>
      <c r="E371" s="263" t="s">
        <v>3436</v>
      </c>
      <c r="F371" s="263"/>
      <c r="H371" s="28" t="s">
        <v>308</v>
      </c>
      <c r="I371" s="45">
        <f t="shared" si="3"/>
        <v>0</v>
      </c>
      <c r="V371" s="225" t="s">
        <v>3359</v>
      </c>
      <c r="W371" s="28" t="s">
        <v>4578</v>
      </c>
    </row>
    <row r="372" spans="1:23" ht="12.75">
      <c r="A372" s="263" t="s">
        <v>3437</v>
      </c>
      <c r="B372" s="93">
        <v>2015</v>
      </c>
      <c r="C372" s="93">
        <v>25248819</v>
      </c>
      <c r="D372" s="261" t="s">
        <v>3439</v>
      </c>
      <c r="E372" s="263" t="s">
        <v>3446</v>
      </c>
      <c r="F372" s="322"/>
      <c r="H372" s="28" t="s">
        <v>308</v>
      </c>
      <c r="I372" s="45">
        <f t="shared" si="3"/>
        <v>0</v>
      </c>
      <c r="V372" s="225" t="s">
        <v>3359</v>
      </c>
      <c r="W372" s="28" t="s">
        <v>4578</v>
      </c>
    </row>
    <row r="373" spans="1:23" ht="12.75">
      <c r="A373" s="263" t="s">
        <v>3437</v>
      </c>
      <c r="B373" s="93">
        <v>2006</v>
      </c>
      <c r="C373" s="93">
        <v>16344586</v>
      </c>
      <c r="D373" s="261" t="s">
        <v>3448</v>
      </c>
      <c r="E373" s="263" t="s">
        <v>3453</v>
      </c>
      <c r="F373" s="263"/>
      <c r="H373" s="226" t="s">
        <v>308</v>
      </c>
      <c r="I373" s="45">
        <f t="shared" si="3"/>
        <v>0</v>
      </c>
      <c r="V373" s="225" t="s">
        <v>3359</v>
      </c>
      <c r="W373" s="28" t="s">
        <v>4578</v>
      </c>
    </row>
    <row r="374" spans="1:23" ht="12.75">
      <c r="A374" s="225" t="s">
        <v>4473</v>
      </c>
      <c r="B374" s="93">
        <v>1968</v>
      </c>
      <c r="C374" s="92" t="s">
        <v>699</v>
      </c>
      <c r="D374" s="261" t="s">
        <v>4474</v>
      </c>
      <c r="E374" s="263" t="s">
        <v>4318</v>
      </c>
      <c r="F374" s="263" t="s">
        <v>308</v>
      </c>
      <c r="G374" s="282" t="s">
        <v>4020</v>
      </c>
      <c r="H374" s="97"/>
      <c r="I374" s="45">
        <f t="shared" si="3"/>
        <v>0</v>
      </c>
      <c r="S374" s="28">
        <v>1</v>
      </c>
      <c r="V374" s="225" t="s">
        <v>3359</v>
      </c>
      <c r="W374" s="28" t="s">
        <v>4578</v>
      </c>
    </row>
    <row r="375" spans="1:23" ht="12.75">
      <c r="A375" s="263" t="s">
        <v>3456</v>
      </c>
      <c r="B375" s="93">
        <v>2015</v>
      </c>
      <c r="C375" s="93">
        <v>25814628</v>
      </c>
      <c r="D375" s="261" t="s">
        <v>3459</v>
      </c>
      <c r="E375" s="263" t="s">
        <v>3470</v>
      </c>
      <c r="F375" s="263"/>
      <c r="H375" s="226" t="s">
        <v>308</v>
      </c>
      <c r="I375" s="45">
        <f t="shared" si="3"/>
        <v>0</v>
      </c>
      <c r="V375" s="225" t="s">
        <v>3359</v>
      </c>
      <c r="W375" s="28" t="s">
        <v>4578</v>
      </c>
    </row>
    <row r="376" spans="1:23" ht="12.75">
      <c r="A376" s="225" t="s">
        <v>3478</v>
      </c>
      <c r="B376" s="93">
        <v>2012</v>
      </c>
      <c r="C376" s="93">
        <v>22052893</v>
      </c>
      <c r="D376" s="261" t="s">
        <v>3480</v>
      </c>
      <c r="E376" s="263" t="s">
        <v>3491</v>
      </c>
      <c r="F376" s="263"/>
      <c r="G376" s="97"/>
      <c r="H376" s="226" t="s">
        <v>308</v>
      </c>
      <c r="I376" s="45">
        <f t="shared" si="3"/>
        <v>0</v>
      </c>
      <c r="V376" s="225" t="s">
        <v>3359</v>
      </c>
      <c r="W376" s="28" t="s">
        <v>4578</v>
      </c>
    </row>
    <row r="377" spans="1:23" ht="12.75">
      <c r="A377" s="263" t="s">
        <v>3492</v>
      </c>
      <c r="B377" s="93">
        <v>2017</v>
      </c>
      <c r="C377" s="93">
        <v>28158395</v>
      </c>
      <c r="D377" s="261" t="s">
        <v>3494</v>
      </c>
      <c r="E377" s="263" t="s">
        <v>3506</v>
      </c>
      <c r="F377" s="263"/>
      <c r="H377" s="226" t="s">
        <v>308</v>
      </c>
      <c r="I377" s="45">
        <f t="shared" si="3"/>
        <v>0</v>
      </c>
      <c r="V377" s="225" t="s">
        <v>3359</v>
      </c>
      <c r="W377" s="28" t="s">
        <v>4578</v>
      </c>
    </row>
    <row r="378" spans="1:23" ht="12.75">
      <c r="A378" s="225" t="s">
        <v>4477</v>
      </c>
      <c r="B378" s="93">
        <v>1971</v>
      </c>
      <c r="C378" s="93">
        <v>5111887</v>
      </c>
      <c r="D378" s="261" t="s">
        <v>4478</v>
      </c>
      <c r="E378" s="263" t="s">
        <v>4479</v>
      </c>
      <c r="F378" s="263" t="s">
        <v>308</v>
      </c>
      <c r="G378" s="282" t="s">
        <v>4020</v>
      </c>
      <c r="H378" s="97"/>
      <c r="I378" s="45">
        <f t="shared" si="3"/>
        <v>0</v>
      </c>
      <c r="S378" s="28">
        <v>1</v>
      </c>
      <c r="V378" s="225" t="s">
        <v>3359</v>
      </c>
      <c r="W378" s="28" t="s">
        <v>4578</v>
      </c>
    </row>
    <row r="379" spans="1:23" ht="12.75">
      <c r="A379" s="263" t="s">
        <v>2745</v>
      </c>
      <c r="B379" s="93">
        <v>1995</v>
      </c>
      <c r="C379" s="93">
        <v>7870140</v>
      </c>
      <c r="D379" s="261" t="s">
        <v>3507</v>
      </c>
      <c r="E379" s="263" t="s">
        <v>3512</v>
      </c>
      <c r="F379" s="263"/>
      <c r="H379" s="28" t="s">
        <v>308</v>
      </c>
      <c r="I379" s="45">
        <f t="shared" si="3"/>
        <v>0</v>
      </c>
      <c r="V379" s="225" t="s">
        <v>3359</v>
      </c>
      <c r="W379" s="28" t="s">
        <v>4578</v>
      </c>
    </row>
    <row r="380" spans="1:23" ht="12.75">
      <c r="A380" s="263" t="s">
        <v>3513</v>
      </c>
      <c r="B380" s="93">
        <v>1988</v>
      </c>
      <c r="C380" s="93">
        <v>3078739</v>
      </c>
      <c r="D380" s="261" t="s">
        <v>3515</v>
      </c>
      <c r="E380" s="263" t="s">
        <v>3523</v>
      </c>
      <c r="F380" s="263"/>
      <c r="H380" s="28" t="s">
        <v>308</v>
      </c>
      <c r="I380" s="45">
        <f t="shared" si="3"/>
        <v>0</v>
      </c>
      <c r="V380" s="225" t="s">
        <v>3359</v>
      </c>
      <c r="W380" s="28" t="s">
        <v>4578</v>
      </c>
    </row>
    <row r="381" spans="1:23" ht="12.75">
      <c r="A381" s="263" t="s">
        <v>3529</v>
      </c>
      <c r="B381" s="93">
        <v>2009</v>
      </c>
      <c r="C381" s="93">
        <v>19400893</v>
      </c>
      <c r="D381" s="261" t="s">
        <v>3531</v>
      </c>
      <c r="E381" s="263" t="s">
        <v>3542</v>
      </c>
      <c r="F381" s="263"/>
      <c r="H381" s="226" t="s">
        <v>308</v>
      </c>
      <c r="I381" s="45">
        <f t="shared" si="3"/>
        <v>0</v>
      </c>
      <c r="V381" s="225" t="s">
        <v>3359</v>
      </c>
      <c r="W381" s="28" t="s">
        <v>4578</v>
      </c>
    </row>
    <row r="382" spans="1:23" ht="12.75">
      <c r="A382" s="263" t="s">
        <v>3543</v>
      </c>
      <c r="B382" s="93">
        <v>2012</v>
      </c>
      <c r="C382" s="93">
        <v>22927452</v>
      </c>
      <c r="D382" s="261" t="s">
        <v>3545</v>
      </c>
      <c r="E382" s="263" t="s">
        <v>3557</v>
      </c>
      <c r="F382" s="263"/>
      <c r="H382" s="28" t="s">
        <v>308</v>
      </c>
      <c r="I382" s="45">
        <f t="shared" si="3"/>
        <v>0</v>
      </c>
      <c r="V382" s="225" t="s">
        <v>3359</v>
      </c>
      <c r="W382" s="28" t="s">
        <v>4578</v>
      </c>
    </row>
    <row r="383" spans="1:23" ht="12.75">
      <c r="A383" s="263" t="s">
        <v>3558</v>
      </c>
      <c r="B383" s="93">
        <v>2016</v>
      </c>
      <c r="C383" s="93">
        <v>25921341</v>
      </c>
      <c r="D383" s="261" t="s">
        <v>3560</v>
      </c>
      <c r="E383" s="263" t="s">
        <v>3566</v>
      </c>
      <c r="F383" s="263"/>
      <c r="H383" s="28" t="s">
        <v>308</v>
      </c>
      <c r="I383" s="45">
        <f t="shared" si="3"/>
        <v>0</v>
      </c>
      <c r="V383" s="225" t="s">
        <v>3359</v>
      </c>
      <c r="W383" s="28" t="s">
        <v>4578</v>
      </c>
    </row>
    <row r="384" spans="1:23" ht="12.75">
      <c r="A384" s="263" t="s">
        <v>3567</v>
      </c>
      <c r="B384" s="93">
        <v>1983</v>
      </c>
      <c r="C384" s="93">
        <v>6352386</v>
      </c>
      <c r="D384" s="261" t="s">
        <v>3569</v>
      </c>
      <c r="E384" s="263" t="s">
        <v>3579</v>
      </c>
      <c r="F384" s="263"/>
      <c r="H384" s="28" t="s">
        <v>308</v>
      </c>
      <c r="I384" s="45">
        <f t="shared" si="3"/>
        <v>0</v>
      </c>
      <c r="V384" s="225" t="s">
        <v>3359</v>
      </c>
      <c r="W384" s="28" t="s">
        <v>4578</v>
      </c>
    </row>
    <row r="385" spans="1:23" ht="12.75">
      <c r="A385" s="263" t="s">
        <v>3567</v>
      </c>
      <c r="B385" s="93">
        <v>2004</v>
      </c>
      <c r="C385" s="93">
        <v>15306577</v>
      </c>
      <c r="D385" s="261" t="s">
        <v>3582</v>
      </c>
      <c r="E385" s="263" t="s">
        <v>3590</v>
      </c>
      <c r="F385" s="263"/>
      <c r="H385" s="28" t="s">
        <v>308</v>
      </c>
      <c r="I385" s="45">
        <f t="shared" si="3"/>
        <v>0</v>
      </c>
      <c r="V385" s="225" t="s">
        <v>3359</v>
      </c>
      <c r="W385" s="28" t="s">
        <v>4578</v>
      </c>
    </row>
    <row r="386" spans="1:23" ht="12.75">
      <c r="A386" s="263" t="s">
        <v>3601</v>
      </c>
      <c r="B386" s="93">
        <v>2014</v>
      </c>
      <c r="C386" s="93">
        <v>24995531</v>
      </c>
      <c r="D386" s="261" t="s">
        <v>3610</v>
      </c>
      <c r="E386" s="263" t="s">
        <v>3615</v>
      </c>
      <c r="F386" s="323"/>
      <c r="H386" s="28" t="s">
        <v>308</v>
      </c>
      <c r="I386" s="45">
        <f t="shared" si="3"/>
        <v>0</v>
      </c>
      <c r="V386" s="225" t="s">
        <v>3359</v>
      </c>
      <c r="W386" s="28" t="s">
        <v>4578</v>
      </c>
    </row>
    <row r="387" spans="1:23" ht="12.75">
      <c r="A387" s="263" t="s">
        <v>3601</v>
      </c>
      <c r="B387" s="93">
        <v>2013</v>
      </c>
      <c r="C387" s="93">
        <v>23439027</v>
      </c>
      <c r="D387" s="261" t="s">
        <v>3603</v>
      </c>
      <c r="E387" s="263" t="s">
        <v>3608</v>
      </c>
      <c r="F387" s="295"/>
      <c r="H387" s="28" t="s">
        <v>308</v>
      </c>
      <c r="I387" s="45">
        <f t="shared" si="3"/>
        <v>0</v>
      </c>
      <c r="V387" s="225" t="s">
        <v>3359</v>
      </c>
      <c r="W387" s="28" t="s">
        <v>4578</v>
      </c>
    </row>
    <row r="388" spans="1:23" ht="12.75">
      <c r="A388" s="225" t="s">
        <v>3616</v>
      </c>
      <c r="B388" s="93">
        <v>2001</v>
      </c>
      <c r="C388" s="93">
        <v>11170976</v>
      </c>
      <c r="D388" s="261" t="s">
        <v>3617</v>
      </c>
      <c r="E388" s="263" t="s">
        <v>3622</v>
      </c>
      <c r="F388" s="263"/>
      <c r="G388" s="97"/>
      <c r="H388" s="226" t="s">
        <v>308</v>
      </c>
      <c r="I388" s="45">
        <f t="shared" si="3"/>
        <v>0</v>
      </c>
      <c r="V388" s="225" t="s">
        <v>3359</v>
      </c>
      <c r="W388" s="28" t="s">
        <v>4578</v>
      </c>
    </row>
    <row r="389" spans="1:23" ht="12.75">
      <c r="A389" s="263" t="s">
        <v>3623</v>
      </c>
      <c r="B389" s="93">
        <v>2015</v>
      </c>
      <c r="C389" s="93">
        <v>25730467</v>
      </c>
      <c r="D389" s="261" t="s">
        <v>3625</v>
      </c>
      <c r="E389" s="263" t="s">
        <v>3631</v>
      </c>
      <c r="F389" s="263"/>
      <c r="H389" s="28" t="s">
        <v>308</v>
      </c>
      <c r="I389" s="45">
        <f t="shared" si="3"/>
        <v>0</v>
      </c>
      <c r="V389" s="225" t="s">
        <v>3359</v>
      </c>
      <c r="W389" s="28" t="s">
        <v>4578</v>
      </c>
    </row>
    <row r="390" spans="1:23" ht="12.75">
      <c r="A390" s="225" t="s">
        <v>4489</v>
      </c>
      <c r="B390" s="93">
        <v>1943</v>
      </c>
      <c r="C390" s="92" t="s">
        <v>699</v>
      </c>
      <c r="D390" s="261" t="s">
        <v>4490</v>
      </c>
      <c r="E390" s="263" t="s">
        <v>4318</v>
      </c>
      <c r="F390" s="263" t="s">
        <v>308</v>
      </c>
      <c r="G390" s="282" t="s">
        <v>4020</v>
      </c>
      <c r="H390" s="97"/>
      <c r="I390" s="45">
        <f t="shared" si="3"/>
        <v>0</v>
      </c>
      <c r="S390" s="28">
        <v>1</v>
      </c>
      <c r="V390" s="225" t="s">
        <v>3359</v>
      </c>
      <c r="W390" s="28" t="s">
        <v>4578</v>
      </c>
    </row>
    <row r="391" spans="1:23" ht="12.75">
      <c r="A391" s="225" t="s">
        <v>2656</v>
      </c>
      <c r="B391" s="93">
        <v>2002</v>
      </c>
      <c r="C391" s="93">
        <v>11930326</v>
      </c>
      <c r="D391" s="261" t="s">
        <v>4491</v>
      </c>
      <c r="E391" s="263" t="s">
        <v>4492</v>
      </c>
      <c r="F391" s="226" t="s">
        <v>308</v>
      </c>
      <c r="G391" s="226" t="s">
        <v>4493</v>
      </c>
      <c r="H391" s="97"/>
      <c r="I391" s="45">
        <f t="shared" si="3"/>
        <v>0</v>
      </c>
      <c r="L391" s="28">
        <v>1</v>
      </c>
      <c r="V391" s="225" t="s">
        <v>3359</v>
      </c>
      <c r="W391" s="28" t="s">
        <v>4578</v>
      </c>
    </row>
    <row r="392" spans="1:23" ht="12.75">
      <c r="A392" s="225" t="s">
        <v>3632</v>
      </c>
      <c r="B392" s="93">
        <v>2009</v>
      </c>
      <c r="C392" s="93">
        <v>19368793</v>
      </c>
      <c r="D392" s="261" t="s">
        <v>3634</v>
      </c>
      <c r="E392" s="263" t="s">
        <v>3643</v>
      </c>
      <c r="F392" s="248"/>
      <c r="G392" s="97"/>
      <c r="H392" s="28" t="s">
        <v>308</v>
      </c>
      <c r="I392" s="45">
        <f t="shared" si="3"/>
        <v>0</v>
      </c>
      <c r="V392" s="225" t="s">
        <v>3359</v>
      </c>
      <c r="W392" s="28" t="s">
        <v>4578</v>
      </c>
    </row>
    <row r="393" spans="1:23" ht="12.75">
      <c r="A393" s="225" t="s">
        <v>3651</v>
      </c>
      <c r="B393" s="93">
        <v>1990</v>
      </c>
      <c r="C393" s="93">
        <v>2153185</v>
      </c>
      <c r="D393" s="261" t="s">
        <v>3653</v>
      </c>
      <c r="E393" s="263" t="s">
        <v>3659</v>
      </c>
      <c r="F393" s="248"/>
      <c r="G393" s="97"/>
      <c r="H393" s="28" t="s">
        <v>308</v>
      </c>
      <c r="I393" s="45">
        <f t="shared" si="3"/>
        <v>0</v>
      </c>
      <c r="V393" s="225" t="s">
        <v>3359</v>
      </c>
      <c r="W393" s="28" t="s">
        <v>4578</v>
      </c>
    </row>
    <row r="394" spans="1:23" ht="12.75">
      <c r="A394" s="263" t="s">
        <v>3666</v>
      </c>
      <c r="B394" s="93">
        <v>2016</v>
      </c>
      <c r="C394" s="93">
        <v>27089205</v>
      </c>
      <c r="D394" s="261" t="s">
        <v>3668</v>
      </c>
      <c r="E394" s="263" t="s">
        <v>3679</v>
      </c>
      <c r="F394" s="248"/>
      <c r="H394" s="28" t="s">
        <v>308</v>
      </c>
      <c r="I394" s="45">
        <f t="shared" si="3"/>
        <v>0</v>
      </c>
      <c r="V394" s="225" t="s">
        <v>3359</v>
      </c>
      <c r="W394" s="28" t="s">
        <v>4578</v>
      </c>
    </row>
    <row r="395" spans="1:23" ht="12.75">
      <c r="A395" s="263" t="s">
        <v>4497</v>
      </c>
      <c r="B395" s="93">
        <v>1980</v>
      </c>
      <c r="C395" s="92" t="s">
        <v>699</v>
      </c>
      <c r="D395" s="261" t="s">
        <v>4498</v>
      </c>
      <c r="E395" s="263" t="s">
        <v>4499</v>
      </c>
      <c r="F395" s="263" t="s">
        <v>308</v>
      </c>
      <c r="G395" s="28" t="s">
        <v>4501</v>
      </c>
      <c r="I395" s="45">
        <f t="shared" si="3"/>
        <v>0</v>
      </c>
      <c r="S395" s="28">
        <v>1</v>
      </c>
      <c r="V395" s="225" t="s">
        <v>3359</v>
      </c>
      <c r="W395" s="28" t="s">
        <v>4578</v>
      </c>
    </row>
    <row r="396" spans="1:23" ht="12.75">
      <c r="A396" s="263" t="s">
        <v>4497</v>
      </c>
      <c r="B396" s="93">
        <v>1979</v>
      </c>
      <c r="C396" s="93">
        <v>378834</v>
      </c>
      <c r="D396" s="261" t="s">
        <v>4502</v>
      </c>
      <c r="E396" s="263" t="s">
        <v>4503</v>
      </c>
      <c r="F396" s="263" t="s">
        <v>308</v>
      </c>
      <c r="G396" s="282" t="s">
        <v>4020</v>
      </c>
      <c r="I396" s="45">
        <f t="shared" si="3"/>
        <v>0</v>
      </c>
      <c r="S396" s="28">
        <v>1</v>
      </c>
      <c r="V396" s="225" t="s">
        <v>3359</v>
      </c>
      <c r="W396" s="28" t="s">
        <v>4578</v>
      </c>
    </row>
    <row r="397" spans="1:23" ht="12.75">
      <c r="A397" s="263" t="s">
        <v>4497</v>
      </c>
      <c r="B397" s="93">
        <v>1979</v>
      </c>
      <c r="C397" s="93">
        <v>394667</v>
      </c>
      <c r="D397" s="261" t="s">
        <v>4504</v>
      </c>
      <c r="E397" s="263" t="s">
        <v>4505</v>
      </c>
      <c r="F397" s="263" t="s">
        <v>308</v>
      </c>
      <c r="G397" s="282" t="s">
        <v>4020</v>
      </c>
      <c r="I397" s="45">
        <f t="shared" si="3"/>
        <v>0</v>
      </c>
      <c r="S397" s="28">
        <v>1</v>
      </c>
      <c r="V397" s="225" t="s">
        <v>3359</v>
      </c>
      <c r="W397" s="28" t="s">
        <v>4578</v>
      </c>
    </row>
    <row r="398" spans="1:23" ht="12.75">
      <c r="A398" s="263" t="s">
        <v>3680</v>
      </c>
      <c r="B398" s="93">
        <v>2003</v>
      </c>
      <c r="C398" s="93">
        <v>12692541</v>
      </c>
      <c r="D398" s="261" t="s">
        <v>3682</v>
      </c>
      <c r="E398" s="263" t="s">
        <v>3686</v>
      </c>
      <c r="F398" s="248"/>
      <c r="H398" s="226" t="s">
        <v>308</v>
      </c>
      <c r="I398" s="45">
        <f t="shared" si="3"/>
        <v>0</v>
      </c>
      <c r="V398" s="225" t="s">
        <v>3359</v>
      </c>
      <c r="W398" s="28" t="s">
        <v>4578</v>
      </c>
    </row>
    <row r="399" spans="1:23" ht="12.75">
      <c r="A399" s="225" t="s">
        <v>2051</v>
      </c>
      <c r="B399" s="93">
        <v>2012</v>
      </c>
      <c r="C399" s="93">
        <v>23024024</v>
      </c>
      <c r="D399" s="261" t="s">
        <v>3687</v>
      </c>
      <c r="E399" s="263" t="s">
        <v>3691</v>
      </c>
      <c r="F399" s="248"/>
      <c r="G399" s="97"/>
      <c r="H399" s="226" t="s">
        <v>308</v>
      </c>
      <c r="I399" s="45">
        <f t="shared" si="3"/>
        <v>0</v>
      </c>
      <c r="V399" s="225" t="s">
        <v>3359</v>
      </c>
      <c r="W399" s="28" t="s">
        <v>4578</v>
      </c>
    </row>
    <row r="400" spans="1:23" ht="12.75">
      <c r="A400" s="225" t="s">
        <v>3696</v>
      </c>
      <c r="B400" s="93">
        <v>2014</v>
      </c>
      <c r="C400" s="93">
        <v>24468542</v>
      </c>
      <c r="D400" s="261" t="s">
        <v>3698</v>
      </c>
      <c r="E400" s="263" t="s">
        <v>3705</v>
      </c>
      <c r="F400" s="248"/>
      <c r="G400" s="97"/>
      <c r="H400" s="226" t="s">
        <v>308</v>
      </c>
      <c r="I400" s="45">
        <f t="shared" si="3"/>
        <v>0</v>
      </c>
      <c r="V400" s="225" t="s">
        <v>3359</v>
      </c>
      <c r="W400" s="28" t="s">
        <v>4578</v>
      </c>
    </row>
    <row r="401" spans="1:23" ht="12.75">
      <c r="A401" s="225" t="s">
        <v>1130</v>
      </c>
      <c r="B401" s="93">
        <v>2016</v>
      </c>
      <c r="C401" s="93">
        <v>27624471</v>
      </c>
      <c r="D401" s="261" t="s">
        <v>3718</v>
      </c>
      <c r="E401" s="263" t="s">
        <v>3727</v>
      </c>
      <c r="F401" s="324"/>
      <c r="G401" s="97"/>
      <c r="H401" s="226" t="s">
        <v>308</v>
      </c>
      <c r="I401" s="45">
        <f t="shared" si="3"/>
        <v>0</v>
      </c>
      <c r="V401" s="225" t="s">
        <v>3359</v>
      </c>
      <c r="W401" s="28" t="s">
        <v>4578</v>
      </c>
    </row>
    <row r="402" spans="1:23" ht="12.75">
      <c r="A402" s="225" t="s">
        <v>1130</v>
      </c>
      <c r="B402" s="93">
        <v>2017</v>
      </c>
      <c r="C402" s="93">
        <v>28363636</v>
      </c>
      <c r="D402" s="261" t="s">
        <v>3707</v>
      </c>
      <c r="E402" s="263" t="s">
        <v>3716</v>
      </c>
      <c r="F402" s="324"/>
      <c r="G402" s="97"/>
      <c r="H402" s="226" t="s">
        <v>308</v>
      </c>
      <c r="I402" s="45">
        <f t="shared" si="3"/>
        <v>0</v>
      </c>
      <c r="V402" s="225" t="s">
        <v>3359</v>
      </c>
      <c r="W402" s="28" t="s">
        <v>4578</v>
      </c>
    </row>
    <row r="403" spans="1:23" ht="12.75">
      <c r="A403" s="225" t="s">
        <v>3728</v>
      </c>
      <c r="B403" s="93">
        <v>2016</v>
      </c>
      <c r="C403" s="93">
        <v>27094330</v>
      </c>
      <c r="D403" s="261" t="s">
        <v>3730</v>
      </c>
      <c r="E403" s="263" t="s">
        <v>3738</v>
      </c>
      <c r="F403" s="248"/>
      <c r="G403" s="97"/>
      <c r="H403" s="226" t="s">
        <v>308</v>
      </c>
      <c r="I403" s="45">
        <f t="shared" si="3"/>
        <v>0</v>
      </c>
      <c r="V403" s="225" t="s">
        <v>3359</v>
      </c>
      <c r="W403" s="28" t="s">
        <v>4578</v>
      </c>
    </row>
    <row r="404" spans="1:23" ht="12.75">
      <c r="A404" s="263" t="s">
        <v>3743</v>
      </c>
      <c r="B404" s="93">
        <v>2012</v>
      </c>
      <c r="C404" s="93">
        <v>22396610</v>
      </c>
      <c r="D404" s="261" t="s">
        <v>3745</v>
      </c>
      <c r="E404" s="263" t="s">
        <v>3752</v>
      </c>
      <c r="F404" s="248"/>
      <c r="H404" s="226" t="s">
        <v>308</v>
      </c>
      <c r="I404" s="45">
        <f t="shared" si="3"/>
        <v>0</v>
      </c>
      <c r="V404" s="225" t="s">
        <v>3359</v>
      </c>
      <c r="W404" s="28" t="s">
        <v>4578</v>
      </c>
    </row>
    <row r="405" spans="1:23" ht="12.75">
      <c r="A405" s="263" t="s">
        <v>3757</v>
      </c>
      <c r="B405" s="93">
        <v>2016</v>
      </c>
      <c r="C405" s="93">
        <v>27579859</v>
      </c>
      <c r="D405" s="261" t="s">
        <v>3759</v>
      </c>
      <c r="E405" s="263" t="s">
        <v>4579</v>
      </c>
      <c r="F405" s="263" t="s">
        <v>308</v>
      </c>
      <c r="G405" s="28" t="s">
        <v>4580</v>
      </c>
      <c r="H405" s="295"/>
      <c r="I405" s="45">
        <f t="shared" si="3"/>
        <v>0</v>
      </c>
      <c r="O405" s="28">
        <v>1</v>
      </c>
      <c r="V405" s="225" t="s">
        <v>3359</v>
      </c>
      <c r="W405" s="28" t="s">
        <v>4578</v>
      </c>
    </row>
    <row r="406" spans="1:23" ht="12.75">
      <c r="A406" s="225" t="s">
        <v>3763</v>
      </c>
      <c r="B406" s="93">
        <v>2017</v>
      </c>
      <c r="C406" s="93">
        <v>28199305</v>
      </c>
      <c r="D406" s="261" t="s">
        <v>3764</v>
      </c>
      <c r="E406" s="263" t="s">
        <v>3774</v>
      </c>
      <c r="F406" s="324"/>
      <c r="G406" s="97"/>
      <c r="H406" s="226" t="s">
        <v>308</v>
      </c>
      <c r="I406" s="45">
        <f t="shared" si="3"/>
        <v>0</v>
      </c>
      <c r="V406" s="225" t="s">
        <v>3359</v>
      </c>
      <c r="W406" s="28" t="s">
        <v>4578</v>
      </c>
    </row>
    <row r="407" spans="1:23" ht="12.75">
      <c r="A407" s="263" t="s">
        <v>3775</v>
      </c>
      <c r="B407" s="93">
        <v>2016</v>
      </c>
      <c r="C407" s="93">
        <v>27591323</v>
      </c>
      <c r="D407" s="261" t="s">
        <v>3777</v>
      </c>
      <c r="E407" s="263" t="s">
        <v>4512</v>
      </c>
      <c r="F407" s="248"/>
      <c r="H407" s="226" t="s">
        <v>308</v>
      </c>
      <c r="I407" s="45">
        <f t="shared" si="3"/>
        <v>0</v>
      </c>
      <c r="V407" s="225" t="s">
        <v>3359</v>
      </c>
      <c r="W407" s="28" t="s">
        <v>4578</v>
      </c>
    </row>
    <row r="408" spans="1:23" ht="12.75">
      <c r="A408" s="263" t="s">
        <v>3786</v>
      </c>
      <c r="B408" s="93">
        <v>1990</v>
      </c>
      <c r="C408" s="93">
        <v>2341723</v>
      </c>
      <c r="D408" s="261" t="s">
        <v>3789</v>
      </c>
      <c r="E408" s="263" t="s">
        <v>3794</v>
      </c>
      <c r="F408" s="248"/>
      <c r="H408" s="226" t="s">
        <v>308</v>
      </c>
      <c r="I408" s="45">
        <f t="shared" si="3"/>
        <v>0</v>
      </c>
      <c r="V408" s="225" t="s">
        <v>3359</v>
      </c>
      <c r="W408" s="28" t="s">
        <v>4578</v>
      </c>
    </row>
    <row r="409" spans="1:23" ht="12.75">
      <c r="A409" s="263" t="s">
        <v>4513</v>
      </c>
      <c r="B409" s="93">
        <v>1977</v>
      </c>
      <c r="C409" s="93">
        <v>405590</v>
      </c>
      <c r="D409" s="261" t="s">
        <v>4514</v>
      </c>
      <c r="E409" s="263" t="s">
        <v>4515</v>
      </c>
      <c r="F409" s="263" t="s">
        <v>308</v>
      </c>
      <c r="G409" s="282" t="s">
        <v>4020</v>
      </c>
      <c r="I409" s="45">
        <f t="shared" si="3"/>
        <v>0</v>
      </c>
      <c r="S409" s="28">
        <v>1</v>
      </c>
      <c r="V409" s="225" t="s">
        <v>3359</v>
      </c>
      <c r="W409" s="28" t="s">
        <v>4578</v>
      </c>
    </row>
    <row r="410" spans="1:23" ht="12.75">
      <c r="A410" s="225" t="s">
        <v>3795</v>
      </c>
      <c r="B410" s="93">
        <v>2016</v>
      </c>
      <c r="C410" s="93">
        <v>27056954</v>
      </c>
      <c r="D410" s="261" t="s">
        <v>3797</v>
      </c>
      <c r="E410" s="263" t="s">
        <v>3807</v>
      </c>
      <c r="F410" s="248"/>
      <c r="G410" s="97"/>
      <c r="H410" s="226" t="s">
        <v>308</v>
      </c>
      <c r="I410" s="45">
        <f t="shared" si="3"/>
        <v>0</v>
      </c>
      <c r="V410" s="225" t="s">
        <v>3359</v>
      </c>
      <c r="W410" s="28" t="s">
        <v>4578</v>
      </c>
    </row>
    <row r="411" spans="1:23" ht="12.75">
      <c r="A411" s="263" t="s">
        <v>3808</v>
      </c>
      <c r="B411" s="93">
        <v>2016</v>
      </c>
      <c r="C411" s="93">
        <v>27403678</v>
      </c>
      <c r="D411" s="261" t="s">
        <v>3810</v>
      </c>
      <c r="E411" s="263" t="s">
        <v>3815</v>
      </c>
      <c r="F411" s="248"/>
      <c r="H411" s="226" t="s">
        <v>308</v>
      </c>
      <c r="I411" s="45">
        <f t="shared" si="3"/>
        <v>0</v>
      </c>
      <c r="V411" s="225" t="s">
        <v>3359</v>
      </c>
      <c r="W411" s="28" t="s">
        <v>4578</v>
      </c>
    </row>
    <row r="412" spans="1:23" ht="12.75">
      <c r="A412" s="263" t="s">
        <v>4053</v>
      </c>
      <c r="B412" s="93">
        <v>2013</v>
      </c>
      <c r="C412" s="93">
        <v>22906296</v>
      </c>
      <c r="D412" s="261" t="s">
        <v>4516</v>
      </c>
      <c r="E412" s="263" t="s">
        <v>4318</v>
      </c>
      <c r="F412" s="263" t="s">
        <v>308</v>
      </c>
      <c r="G412" s="28" t="s">
        <v>4517</v>
      </c>
      <c r="I412" s="45">
        <f t="shared" si="3"/>
        <v>0</v>
      </c>
      <c r="N412" s="28">
        <v>1</v>
      </c>
      <c r="V412" s="225" t="s">
        <v>3359</v>
      </c>
      <c r="W412" s="28" t="s">
        <v>4578</v>
      </c>
    </row>
    <row r="413" spans="1:23" ht="12.75">
      <c r="A413" s="263" t="s">
        <v>4053</v>
      </c>
      <c r="B413" s="93">
        <v>2011</v>
      </c>
      <c r="C413" s="93">
        <v>21616116</v>
      </c>
      <c r="D413" s="261" t="s">
        <v>4518</v>
      </c>
      <c r="E413" s="263" t="s">
        <v>4318</v>
      </c>
      <c r="F413" s="263" t="s">
        <v>308</v>
      </c>
      <c r="G413" s="28" t="s">
        <v>4519</v>
      </c>
      <c r="I413" s="45">
        <f t="shared" si="3"/>
        <v>0</v>
      </c>
      <c r="N413" s="28">
        <v>1</v>
      </c>
      <c r="V413" s="225" t="s">
        <v>3359</v>
      </c>
      <c r="W413" s="28" t="s">
        <v>4578</v>
      </c>
    </row>
    <row r="414" spans="1:23" ht="12.75">
      <c r="A414" s="225" t="s">
        <v>3817</v>
      </c>
      <c r="B414" s="93">
        <v>2015</v>
      </c>
      <c r="C414" s="93">
        <v>25281755</v>
      </c>
      <c r="D414" s="261" t="s">
        <v>3819</v>
      </c>
      <c r="E414" s="263" t="s">
        <v>3832</v>
      </c>
      <c r="F414" s="248"/>
      <c r="G414" s="97"/>
      <c r="H414" s="226" t="s">
        <v>308</v>
      </c>
      <c r="I414" s="45">
        <f t="shared" si="3"/>
        <v>0</v>
      </c>
      <c r="V414" s="225" t="s">
        <v>3359</v>
      </c>
      <c r="W414" s="28" t="s">
        <v>4578</v>
      </c>
    </row>
    <row r="415" spans="1:23" ht="12.75">
      <c r="A415" s="225" t="s">
        <v>3833</v>
      </c>
      <c r="B415" s="93">
        <v>2013</v>
      </c>
      <c r="C415" s="93">
        <v>23929949</v>
      </c>
      <c r="D415" s="261" t="s">
        <v>3835</v>
      </c>
      <c r="E415" s="263" t="s">
        <v>3844</v>
      </c>
      <c r="F415" s="248"/>
      <c r="G415" s="97"/>
      <c r="H415" s="226" t="s">
        <v>308</v>
      </c>
      <c r="I415" s="45">
        <f t="shared" si="3"/>
        <v>0</v>
      </c>
      <c r="V415" s="225" t="s">
        <v>3359</v>
      </c>
      <c r="W415" s="28" t="s">
        <v>4578</v>
      </c>
    </row>
    <row r="416" spans="1:23" ht="12.75">
      <c r="A416" s="263" t="s">
        <v>3845</v>
      </c>
      <c r="B416" s="93">
        <v>2017</v>
      </c>
      <c r="C416" s="93">
        <v>27927680</v>
      </c>
      <c r="D416" s="261" t="s">
        <v>3847</v>
      </c>
      <c r="E416" s="263" t="s">
        <v>3853</v>
      </c>
      <c r="F416" s="263" t="s">
        <v>308</v>
      </c>
      <c r="G416" s="28" t="s">
        <v>4522</v>
      </c>
      <c r="H416" s="295"/>
      <c r="I416" s="45">
        <f t="shared" si="3"/>
        <v>0</v>
      </c>
      <c r="O416" s="28">
        <v>1</v>
      </c>
      <c r="V416" s="225" t="s">
        <v>3359</v>
      </c>
      <c r="W416" s="28" t="s">
        <v>4578</v>
      </c>
    </row>
    <row r="417" spans="1:23" ht="12.75">
      <c r="A417" s="225" t="s">
        <v>3855</v>
      </c>
      <c r="B417" s="93">
        <v>2017</v>
      </c>
      <c r="C417" s="93">
        <v>28176804</v>
      </c>
      <c r="D417" s="261" t="s">
        <v>3857</v>
      </c>
      <c r="E417" s="263" t="s">
        <v>3866</v>
      </c>
      <c r="F417" s="248"/>
      <c r="G417" s="97"/>
      <c r="H417" s="226" t="s">
        <v>308</v>
      </c>
      <c r="I417" s="45">
        <f t="shared" si="3"/>
        <v>0</v>
      </c>
      <c r="V417" s="225" t="s">
        <v>3359</v>
      </c>
      <c r="W417" s="28" t="s">
        <v>4578</v>
      </c>
    </row>
    <row r="418" spans="1:23" ht="12.75">
      <c r="A418" s="263" t="s">
        <v>2918</v>
      </c>
      <c r="B418" s="93">
        <v>2003</v>
      </c>
      <c r="C418" s="93">
        <v>14573692</v>
      </c>
      <c r="D418" s="261" t="s">
        <v>3868</v>
      </c>
      <c r="E418" s="263" t="s">
        <v>3872</v>
      </c>
      <c r="F418" s="248"/>
      <c r="H418" s="226" t="s">
        <v>308</v>
      </c>
      <c r="I418" s="45">
        <f t="shared" si="3"/>
        <v>0</v>
      </c>
      <c r="V418" s="225" t="s">
        <v>3359</v>
      </c>
      <c r="W418" s="28" t="s">
        <v>4578</v>
      </c>
    </row>
    <row r="419" spans="1:23" ht="12.75">
      <c r="A419" s="225" t="s">
        <v>3876</v>
      </c>
      <c r="B419" s="93">
        <v>2009</v>
      </c>
      <c r="C419" s="93">
        <v>19390585</v>
      </c>
      <c r="D419" s="261" t="s">
        <v>3877</v>
      </c>
      <c r="E419" s="263" t="s">
        <v>3889</v>
      </c>
      <c r="F419" s="248"/>
      <c r="G419" s="97"/>
      <c r="H419" s="226" t="s">
        <v>308</v>
      </c>
      <c r="I419" s="45">
        <f t="shared" si="3"/>
        <v>0</v>
      </c>
      <c r="V419" s="225" t="s">
        <v>3359</v>
      </c>
      <c r="W419" s="28" t="s">
        <v>4578</v>
      </c>
    </row>
    <row r="420" spans="1:23" ht="12.75">
      <c r="A420" s="225" t="s">
        <v>3890</v>
      </c>
      <c r="B420" s="93">
        <v>2017</v>
      </c>
      <c r="C420" s="93">
        <v>28363637</v>
      </c>
      <c r="D420" s="261" t="s">
        <v>3892</v>
      </c>
      <c r="E420" s="263" t="s">
        <v>3903</v>
      </c>
      <c r="F420" s="248"/>
      <c r="G420" s="97"/>
      <c r="H420" s="226" t="s">
        <v>308</v>
      </c>
      <c r="I420" s="45">
        <f t="shared" si="3"/>
        <v>0</v>
      </c>
      <c r="V420" s="225" t="s">
        <v>3359</v>
      </c>
      <c r="W420" s="28" t="s">
        <v>4578</v>
      </c>
    </row>
    <row r="421" spans="1:23" ht="12.75">
      <c r="A421" s="263" t="s">
        <v>2354</v>
      </c>
      <c r="B421" s="93">
        <v>2009</v>
      </c>
      <c r="C421" s="93">
        <v>19842970</v>
      </c>
      <c r="D421" s="261" t="s">
        <v>3914</v>
      </c>
      <c r="E421" s="263" t="s">
        <v>3922</v>
      </c>
      <c r="F421" s="324"/>
      <c r="H421" s="226" t="s">
        <v>308</v>
      </c>
      <c r="I421" s="45">
        <f t="shared" si="3"/>
        <v>0</v>
      </c>
      <c r="V421" s="225" t="s">
        <v>3359</v>
      </c>
      <c r="W421" s="28" t="s">
        <v>4578</v>
      </c>
    </row>
    <row r="422" spans="1:23" ht="12.75">
      <c r="A422" s="263" t="s">
        <v>3923</v>
      </c>
      <c r="B422" s="93">
        <v>2014</v>
      </c>
      <c r="C422" s="93">
        <v>24519873</v>
      </c>
      <c r="D422" s="261" t="s">
        <v>3924</v>
      </c>
      <c r="E422" s="263" t="s">
        <v>3933</v>
      </c>
      <c r="F422" s="248"/>
      <c r="H422" s="226" t="s">
        <v>308</v>
      </c>
      <c r="I422" s="45">
        <f t="shared" si="3"/>
        <v>0</v>
      </c>
      <c r="V422" s="225" t="s">
        <v>3359</v>
      </c>
      <c r="W422" s="28" t="s">
        <v>4578</v>
      </c>
    </row>
    <row r="423" spans="1:23" ht="12.75">
      <c r="A423" s="225" t="s">
        <v>3936</v>
      </c>
      <c r="B423" s="93">
        <v>2012</v>
      </c>
      <c r="C423" s="93">
        <v>22286307</v>
      </c>
      <c r="D423" s="261" t="s">
        <v>3938</v>
      </c>
      <c r="E423" s="263" t="s">
        <v>3947</v>
      </c>
      <c r="F423" s="248"/>
      <c r="G423" s="97"/>
      <c r="H423" s="226" t="s">
        <v>308</v>
      </c>
      <c r="I423" s="45">
        <f t="shared" si="3"/>
        <v>0</v>
      </c>
      <c r="V423" s="225" t="s">
        <v>3359</v>
      </c>
      <c r="W423" s="28" t="s">
        <v>4578</v>
      </c>
    </row>
    <row r="424" spans="1:23" ht="12.75">
      <c r="A424" s="263" t="s">
        <v>3952</v>
      </c>
      <c r="B424" s="93">
        <v>2013</v>
      </c>
      <c r="C424" s="93">
        <v>23715660</v>
      </c>
      <c r="D424" s="261" t="s">
        <v>3955</v>
      </c>
      <c r="E424" s="263" t="s">
        <v>3963</v>
      </c>
      <c r="F424" s="248"/>
      <c r="H424" s="226" t="s">
        <v>308</v>
      </c>
      <c r="I424" s="45">
        <f t="shared" si="3"/>
        <v>0</v>
      </c>
      <c r="V424" s="225" t="s">
        <v>3359</v>
      </c>
      <c r="W424" s="28" t="s">
        <v>4578</v>
      </c>
    </row>
    <row r="425" spans="1:23" ht="12.75">
      <c r="A425" s="263" t="s">
        <v>3964</v>
      </c>
      <c r="B425" s="93">
        <v>2012</v>
      </c>
      <c r="C425" s="93">
        <v>22496648</v>
      </c>
      <c r="D425" s="261" t="s">
        <v>3966</v>
      </c>
      <c r="E425" s="263" t="s">
        <v>3975</v>
      </c>
      <c r="F425" s="248"/>
      <c r="H425" s="226" t="s">
        <v>308</v>
      </c>
      <c r="I425" s="45">
        <f t="shared" si="3"/>
        <v>0</v>
      </c>
      <c r="V425" s="225" t="s">
        <v>3359</v>
      </c>
      <c r="W425" s="28" t="s">
        <v>4578</v>
      </c>
    </row>
    <row r="426" spans="1:23" ht="12.75">
      <c r="A426" s="225" t="s">
        <v>3976</v>
      </c>
      <c r="B426" s="93">
        <v>2014</v>
      </c>
      <c r="C426" s="93">
        <v>24457412</v>
      </c>
      <c r="D426" s="261" t="s">
        <v>3977</v>
      </c>
      <c r="E426" s="263" t="s">
        <v>3984</v>
      </c>
      <c r="F426" s="263" t="s">
        <v>308</v>
      </c>
      <c r="G426" s="226" t="s">
        <v>4527</v>
      </c>
      <c r="H426" s="226"/>
      <c r="I426" s="45">
        <f t="shared" si="3"/>
        <v>0</v>
      </c>
      <c r="L426" s="28">
        <v>1</v>
      </c>
      <c r="V426" s="225" t="s">
        <v>3359</v>
      </c>
      <c r="W426" s="28" t="s">
        <v>4578</v>
      </c>
    </row>
    <row r="427" spans="1:23" ht="12.75">
      <c r="A427" s="199"/>
      <c r="I427" s="45" t="str">
        <f t="shared" si="3"/>
        <v>Problem</v>
      </c>
    </row>
    <row r="428" spans="1:23" ht="12.75">
      <c r="A428" s="199"/>
    </row>
    <row r="429" spans="1:23" ht="12.75">
      <c r="A429" s="199"/>
    </row>
    <row r="430" spans="1:23" ht="12.75">
      <c r="A430" s="199"/>
    </row>
    <row r="431" spans="1:23" ht="12.75">
      <c r="A431" s="199"/>
    </row>
    <row r="432" spans="1:23" ht="12.75">
      <c r="A432" s="199"/>
    </row>
    <row r="433" spans="1:1" ht="12.75">
      <c r="A433" s="199"/>
    </row>
    <row r="434" spans="1:1" ht="12.75">
      <c r="A434" s="199"/>
    </row>
    <row r="435" spans="1:1" ht="12.75">
      <c r="A435" s="199"/>
    </row>
    <row r="436" spans="1:1" ht="12.75">
      <c r="A436" s="199"/>
    </row>
    <row r="437" spans="1:1" ht="12.75">
      <c r="A437" s="199"/>
    </row>
    <row r="438" spans="1:1" ht="12.75">
      <c r="A438" s="199"/>
    </row>
    <row r="439" spans="1:1" ht="12.75">
      <c r="A439" s="199"/>
    </row>
    <row r="440" spans="1:1" ht="12.75">
      <c r="A440" s="199"/>
    </row>
    <row r="441" spans="1:1" ht="12.75">
      <c r="A441" s="199"/>
    </row>
    <row r="442" spans="1:1" ht="12.75">
      <c r="A442" s="199"/>
    </row>
    <row r="443" spans="1:1" ht="12.75">
      <c r="A443" s="199"/>
    </row>
    <row r="444" spans="1:1" ht="12.75">
      <c r="A444" s="199"/>
    </row>
    <row r="445" spans="1:1" ht="12.75">
      <c r="A445" s="199"/>
    </row>
    <row r="446" spans="1:1" ht="12.75">
      <c r="A446" s="199"/>
    </row>
    <row r="447" spans="1:1" ht="12.75">
      <c r="A447" s="199"/>
    </row>
    <row r="448" spans="1:1" ht="12.75">
      <c r="A448" s="199"/>
    </row>
    <row r="449" spans="1:1" ht="12.75">
      <c r="A449" s="199"/>
    </row>
    <row r="450" spans="1:1" ht="12.75">
      <c r="A450" s="199"/>
    </row>
    <row r="451" spans="1:1" ht="12.75">
      <c r="A451" s="199"/>
    </row>
    <row r="452" spans="1:1" ht="12.75">
      <c r="A452" s="199"/>
    </row>
    <row r="453" spans="1:1" ht="12.75">
      <c r="A453" s="199"/>
    </row>
    <row r="454" spans="1:1" ht="12.75">
      <c r="A454" s="199"/>
    </row>
    <row r="455" spans="1:1" ht="12.75">
      <c r="A455" s="199"/>
    </row>
    <row r="456" spans="1:1" ht="12.75">
      <c r="A456" s="199"/>
    </row>
    <row r="457" spans="1:1" ht="12.75">
      <c r="A457" s="199"/>
    </row>
    <row r="458" spans="1:1" ht="12.75">
      <c r="A458" s="199"/>
    </row>
    <row r="459" spans="1:1" ht="12.75">
      <c r="A459" s="199"/>
    </row>
    <row r="460" spans="1:1" ht="12.75">
      <c r="A460" s="199"/>
    </row>
    <row r="461" spans="1:1" ht="12.75">
      <c r="A461" s="199"/>
    </row>
    <row r="462" spans="1:1" ht="12.75">
      <c r="A462" s="199"/>
    </row>
    <row r="463" spans="1:1" ht="12.75">
      <c r="A463" s="199"/>
    </row>
    <row r="464" spans="1:1" ht="12.75">
      <c r="A464" s="199"/>
    </row>
    <row r="465" spans="1:1" ht="12.75">
      <c r="A465" s="199"/>
    </row>
    <row r="466" spans="1:1" ht="12.75">
      <c r="A466" s="199"/>
    </row>
    <row r="467" spans="1:1" ht="12.75">
      <c r="A467" s="199"/>
    </row>
    <row r="468" spans="1:1" ht="12.75">
      <c r="A468" s="199"/>
    </row>
    <row r="469" spans="1:1" ht="12.75">
      <c r="A469" s="199"/>
    </row>
    <row r="470" spans="1:1" ht="12.75">
      <c r="A470" s="199"/>
    </row>
    <row r="471" spans="1:1" ht="12.75">
      <c r="A471" s="199"/>
    </row>
    <row r="472" spans="1:1" ht="12.75">
      <c r="A472" s="199"/>
    </row>
    <row r="473" spans="1:1" ht="12.75">
      <c r="A473" s="199"/>
    </row>
    <row r="474" spans="1:1" ht="12.75">
      <c r="A474" s="199"/>
    </row>
    <row r="475" spans="1:1" ht="12.75">
      <c r="A475" s="199"/>
    </row>
    <row r="476" spans="1:1" ht="12.75">
      <c r="A476" s="199"/>
    </row>
    <row r="477" spans="1:1" ht="12.75">
      <c r="A477" s="199"/>
    </row>
    <row r="478" spans="1:1" ht="12.75">
      <c r="A478" s="199"/>
    </row>
    <row r="479" spans="1:1" ht="12.75">
      <c r="A479" s="199"/>
    </row>
    <row r="480" spans="1:1" ht="12.75">
      <c r="A480" s="199"/>
    </row>
    <row r="481" spans="1:1" ht="12.75">
      <c r="A481" s="199"/>
    </row>
    <row r="482" spans="1:1" ht="12.75">
      <c r="A482" s="199"/>
    </row>
    <row r="483" spans="1:1" ht="12.75">
      <c r="A483" s="199"/>
    </row>
    <row r="484" spans="1:1" ht="12.75">
      <c r="A484" s="199"/>
    </row>
    <row r="485" spans="1:1" ht="12.75">
      <c r="A485" s="199"/>
    </row>
    <row r="486" spans="1:1" ht="12.75">
      <c r="A486" s="199"/>
    </row>
    <row r="487" spans="1:1" ht="12.75">
      <c r="A487" s="199"/>
    </row>
    <row r="488" spans="1:1" ht="12.75">
      <c r="A488" s="199"/>
    </row>
    <row r="489" spans="1:1" ht="12.75">
      <c r="A489" s="199"/>
    </row>
    <row r="490" spans="1:1" ht="12.75">
      <c r="A490" s="199"/>
    </row>
    <row r="491" spans="1:1" ht="12.75">
      <c r="A491" s="199"/>
    </row>
    <row r="492" spans="1:1" ht="12.75">
      <c r="A492" s="199"/>
    </row>
    <row r="493" spans="1:1" ht="12.75">
      <c r="A493" s="199"/>
    </row>
    <row r="494" spans="1:1" ht="12.75">
      <c r="A494" s="199"/>
    </row>
    <row r="495" spans="1:1" ht="12.75">
      <c r="A495" s="199"/>
    </row>
    <row r="496" spans="1:1" ht="12.75">
      <c r="A496" s="199"/>
    </row>
    <row r="497" spans="1:1" ht="12.75">
      <c r="A497" s="199"/>
    </row>
    <row r="498" spans="1:1" ht="12.75">
      <c r="A498" s="199"/>
    </row>
    <row r="499" spans="1:1" ht="12.75">
      <c r="A499" s="199"/>
    </row>
    <row r="500" spans="1:1" ht="12.75">
      <c r="A500" s="199"/>
    </row>
    <row r="501" spans="1:1" ht="12.75">
      <c r="A501" s="199"/>
    </row>
    <row r="502" spans="1:1" ht="12.75">
      <c r="A502" s="199"/>
    </row>
    <row r="503" spans="1:1" ht="12.75">
      <c r="A503" s="199"/>
    </row>
    <row r="504" spans="1:1" ht="12.75">
      <c r="A504" s="199"/>
    </row>
    <row r="505" spans="1:1" ht="12.75">
      <c r="A505" s="199"/>
    </row>
    <row r="506" spans="1:1" ht="12.75">
      <c r="A506" s="199"/>
    </row>
    <row r="507" spans="1:1" ht="12.75">
      <c r="A507" s="199"/>
    </row>
    <row r="508" spans="1:1" ht="12.75">
      <c r="A508" s="199"/>
    </row>
    <row r="509" spans="1:1" ht="12.75">
      <c r="A509" s="199"/>
    </row>
    <row r="510" spans="1:1" ht="12.75">
      <c r="A510" s="199"/>
    </row>
    <row r="511" spans="1:1" ht="12.75">
      <c r="A511" s="199"/>
    </row>
    <row r="512" spans="1:1" ht="12.75">
      <c r="A512" s="199"/>
    </row>
    <row r="513" spans="1:1" ht="12.75">
      <c r="A513" s="199"/>
    </row>
    <row r="514" spans="1:1" ht="12.75">
      <c r="A514" s="199"/>
    </row>
    <row r="515" spans="1:1" ht="12.75">
      <c r="A515" s="199"/>
    </row>
    <row r="516" spans="1:1" ht="12.75">
      <c r="A516" s="199"/>
    </row>
    <row r="517" spans="1:1" ht="12.75">
      <c r="A517" s="199"/>
    </row>
    <row r="518" spans="1:1" ht="12.75">
      <c r="A518" s="199"/>
    </row>
    <row r="519" spans="1:1" ht="12.75">
      <c r="A519" s="199"/>
    </row>
    <row r="520" spans="1:1" ht="12.75">
      <c r="A520" s="199"/>
    </row>
    <row r="521" spans="1:1" ht="12.75">
      <c r="A521" s="199"/>
    </row>
    <row r="522" spans="1:1" ht="12.75">
      <c r="A522" s="199"/>
    </row>
    <row r="523" spans="1:1" ht="12.75">
      <c r="A523" s="199"/>
    </row>
    <row r="524" spans="1:1" ht="12.75">
      <c r="A524" s="199"/>
    </row>
    <row r="525" spans="1:1" ht="12.75">
      <c r="A525" s="199"/>
    </row>
    <row r="526" spans="1:1" ht="12.75">
      <c r="A526" s="199"/>
    </row>
    <row r="527" spans="1:1" ht="12.75">
      <c r="A527" s="199"/>
    </row>
    <row r="528" spans="1:1" ht="12.75">
      <c r="A528" s="199"/>
    </row>
    <row r="529" spans="1:1" ht="12.75">
      <c r="A529" s="199"/>
    </row>
    <row r="530" spans="1:1" ht="12.75">
      <c r="A530" s="199"/>
    </row>
    <row r="531" spans="1:1" ht="12.75">
      <c r="A531" s="199"/>
    </row>
    <row r="532" spans="1:1" ht="12.75">
      <c r="A532" s="199"/>
    </row>
    <row r="533" spans="1:1" ht="12.75">
      <c r="A533" s="199"/>
    </row>
    <row r="534" spans="1:1" ht="12.75">
      <c r="A534" s="199"/>
    </row>
    <row r="535" spans="1:1" ht="12.75">
      <c r="A535" s="199"/>
    </row>
    <row r="536" spans="1:1" ht="12.75">
      <c r="A536" s="199"/>
    </row>
    <row r="537" spans="1:1" ht="12.75">
      <c r="A537" s="199"/>
    </row>
    <row r="538" spans="1:1" ht="12.75">
      <c r="A538" s="199"/>
    </row>
    <row r="539" spans="1:1" ht="12.75">
      <c r="A539" s="199"/>
    </row>
    <row r="540" spans="1:1" ht="12.75">
      <c r="A540" s="199"/>
    </row>
    <row r="541" spans="1:1" ht="12.75">
      <c r="A541" s="199"/>
    </row>
    <row r="542" spans="1:1" ht="12.75">
      <c r="A542" s="199"/>
    </row>
    <row r="543" spans="1:1" ht="12.75">
      <c r="A543" s="199"/>
    </row>
    <row r="544" spans="1:1" ht="12.75">
      <c r="A544" s="199"/>
    </row>
    <row r="545" spans="1:1" ht="12.75">
      <c r="A545" s="199"/>
    </row>
    <row r="546" spans="1:1" ht="12.75">
      <c r="A546" s="199"/>
    </row>
    <row r="547" spans="1:1" ht="12.75">
      <c r="A547" s="199"/>
    </row>
    <row r="548" spans="1:1" ht="12.75">
      <c r="A548" s="199"/>
    </row>
    <row r="549" spans="1:1" ht="12.75">
      <c r="A549" s="199"/>
    </row>
    <row r="550" spans="1:1" ht="12.75">
      <c r="A550" s="199"/>
    </row>
    <row r="551" spans="1:1" ht="12.75">
      <c r="A551" s="199"/>
    </row>
    <row r="552" spans="1:1" ht="12.75">
      <c r="A552" s="199"/>
    </row>
    <row r="553" spans="1:1" ht="12.75">
      <c r="A553" s="199"/>
    </row>
    <row r="554" spans="1:1" ht="12.75">
      <c r="A554" s="199"/>
    </row>
    <row r="555" spans="1:1" ht="12.75">
      <c r="A555" s="199"/>
    </row>
    <row r="556" spans="1:1" ht="12.75">
      <c r="A556" s="199"/>
    </row>
    <row r="557" spans="1:1" ht="12.75">
      <c r="A557" s="199"/>
    </row>
    <row r="558" spans="1:1" ht="12.75">
      <c r="A558" s="199"/>
    </row>
    <row r="559" spans="1:1" ht="12.75">
      <c r="A559" s="199"/>
    </row>
    <row r="560" spans="1:1" ht="12.75">
      <c r="A560" s="199"/>
    </row>
    <row r="561" spans="1:1" ht="12.75">
      <c r="A561" s="199"/>
    </row>
    <row r="562" spans="1:1" ht="12.75">
      <c r="A562" s="199"/>
    </row>
    <row r="563" spans="1:1" ht="12.75">
      <c r="A563" s="199"/>
    </row>
    <row r="564" spans="1:1" ht="12.75">
      <c r="A564" s="199"/>
    </row>
    <row r="565" spans="1:1" ht="12.75">
      <c r="A565" s="199"/>
    </row>
    <row r="566" spans="1:1" ht="12.75">
      <c r="A566" s="199"/>
    </row>
    <row r="567" spans="1:1" ht="12.75">
      <c r="A567" s="199"/>
    </row>
    <row r="568" spans="1:1" ht="12.75">
      <c r="A568" s="199"/>
    </row>
    <row r="569" spans="1:1" ht="12.75">
      <c r="A569" s="199"/>
    </row>
    <row r="570" spans="1:1" ht="12.75">
      <c r="A570" s="199"/>
    </row>
    <row r="571" spans="1:1" ht="12.75">
      <c r="A571" s="199"/>
    </row>
    <row r="572" spans="1:1" ht="12.75">
      <c r="A572" s="199"/>
    </row>
    <row r="573" spans="1:1" ht="12.75">
      <c r="A573" s="199"/>
    </row>
    <row r="574" spans="1:1" ht="12.75">
      <c r="A574" s="199"/>
    </row>
    <row r="575" spans="1:1" ht="12.75">
      <c r="A575" s="199"/>
    </row>
    <row r="576" spans="1:1" ht="12.75">
      <c r="A576" s="199"/>
    </row>
    <row r="577" spans="1:1" ht="12.75">
      <c r="A577" s="199"/>
    </row>
    <row r="578" spans="1:1" ht="12.75">
      <c r="A578" s="199"/>
    </row>
    <row r="579" spans="1:1" ht="12.75">
      <c r="A579" s="199"/>
    </row>
    <row r="580" spans="1:1" ht="12.75">
      <c r="A580" s="199"/>
    </row>
    <row r="581" spans="1:1" ht="12.75">
      <c r="A581" s="199"/>
    </row>
    <row r="582" spans="1:1" ht="12.75">
      <c r="A582" s="199"/>
    </row>
    <row r="583" spans="1:1" ht="12.75">
      <c r="A583" s="199"/>
    </row>
    <row r="584" spans="1:1" ht="12.75">
      <c r="A584" s="199"/>
    </row>
    <row r="585" spans="1:1" ht="12.75">
      <c r="A585" s="199"/>
    </row>
    <row r="586" spans="1:1" ht="12.75">
      <c r="A586" s="199"/>
    </row>
    <row r="587" spans="1:1" ht="12.75">
      <c r="A587" s="199"/>
    </row>
    <row r="588" spans="1:1" ht="12.75">
      <c r="A588" s="199"/>
    </row>
    <row r="589" spans="1:1" ht="12.75">
      <c r="A589" s="199"/>
    </row>
    <row r="590" spans="1:1" ht="12.75">
      <c r="A590" s="199"/>
    </row>
    <row r="591" spans="1:1" ht="12.75">
      <c r="A591" s="199"/>
    </row>
    <row r="592" spans="1:1" ht="12.75">
      <c r="A592" s="199"/>
    </row>
    <row r="593" spans="1:1" ht="12.75">
      <c r="A593" s="199"/>
    </row>
    <row r="594" spans="1:1" ht="12.75">
      <c r="A594" s="199"/>
    </row>
    <row r="595" spans="1:1" ht="12.75">
      <c r="A595" s="199"/>
    </row>
    <row r="596" spans="1:1" ht="12.75">
      <c r="A596" s="199"/>
    </row>
    <row r="597" spans="1:1" ht="12.75">
      <c r="A597" s="199"/>
    </row>
    <row r="598" spans="1:1" ht="12.75">
      <c r="A598" s="199"/>
    </row>
    <row r="599" spans="1:1" ht="12.75">
      <c r="A599" s="199"/>
    </row>
    <row r="600" spans="1:1" ht="12.75">
      <c r="A600" s="199"/>
    </row>
    <row r="601" spans="1:1" ht="12.75">
      <c r="A601" s="199"/>
    </row>
    <row r="602" spans="1:1" ht="12.75">
      <c r="A602" s="199"/>
    </row>
    <row r="603" spans="1:1" ht="12.75">
      <c r="A603" s="199"/>
    </row>
    <row r="604" spans="1:1" ht="12.75">
      <c r="A604" s="199"/>
    </row>
    <row r="605" spans="1:1" ht="12.75">
      <c r="A605" s="199"/>
    </row>
    <row r="606" spans="1:1" ht="12.75">
      <c r="A606" s="199"/>
    </row>
    <row r="607" spans="1:1" ht="12.75">
      <c r="A607" s="199"/>
    </row>
    <row r="608" spans="1:1" ht="12.75">
      <c r="A608" s="199"/>
    </row>
    <row r="609" spans="1:1" ht="12.75">
      <c r="A609" s="199"/>
    </row>
    <row r="610" spans="1:1" ht="12.75">
      <c r="A610" s="199"/>
    </row>
    <row r="611" spans="1:1" ht="12.75">
      <c r="A611" s="199"/>
    </row>
    <row r="612" spans="1:1" ht="12.75">
      <c r="A612" s="199"/>
    </row>
    <row r="613" spans="1:1" ht="12.75">
      <c r="A613" s="199"/>
    </row>
    <row r="614" spans="1:1" ht="12.75">
      <c r="A614" s="199"/>
    </row>
    <row r="615" spans="1:1" ht="12.75">
      <c r="A615" s="199"/>
    </row>
    <row r="616" spans="1:1" ht="12.75">
      <c r="A616" s="199"/>
    </row>
    <row r="617" spans="1:1" ht="12.75">
      <c r="A617" s="199"/>
    </row>
    <row r="618" spans="1:1" ht="12.75">
      <c r="A618" s="199"/>
    </row>
    <row r="619" spans="1:1" ht="12.75">
      <c r="A619" s="199"/>
    </row>
    <row r="620" spans="1:1" ht="12.75">
      <c r="A620" s="199"/>
    </row>
    <row r="621" spans="1:1" ht="12.75">
      <c r="A621" s="199"/>
    </row>
    <row r="622" spans="1:1" ht="12.75">
      <c r="A622" s="199"/>
    </row>
    <row r="623" spans="1:1" ht="12.75">
      <c r="A623" s="199"/>
    </row>
    <row r="624" spans="1:1" ht="12.75">
      <c r="A624" s="199"/>
    </row>
    <row r="625" spans="1:1" ht="12.75">
      <c r="A625" s="199"/>
    </row>
    <row r="626" spans="1:1" ht="12.75">
      <c r="A626" s="199"/>
    </row>
    <row r="627" spans="1:1" ht="12.75">
      <c r="A627" s="199"/>
    </row>
    <row r="628" spans="1:1" ht="12.75">
      <c r="A628" s="199"/>
    </row>
    <row r="629" spans="1:1" ht="12.75">
      <c r="A629" s="199"/>
    </row>
    <row r="630" spans="1:1" ht="12.75">
      <c r="A630" s="199"/>
    </row>
    <row r="631" spans="1:1" ht="12.75">
      <c r="A631" s="199"/>
    </row>
    <row r="632" spans="1:1" ht="12.75">
      <c r="A632" s="199"/>
    </row>
    <row r="633" spans="1:1" ht="12.75">
      <c r="A633" s="199"/>
    </row>
    <row r="634" spans="1:1" ht="12.75">
      <c r="A634" s="199"/>
    </row>
    <row r="635" spans="1:1" ht="12.75">
      <c r="A635" s="199"/>
    </row>
    <row r="636" spans="1:1" ht="12.75">
      <c r="A636" s="199"/>
    </row>
    <row r="637" spans="1:1" ht="12.75">
      <c r="A637" s="199"/>
    </row>
    <row r="638" spans="1:1" ht="12.75">
      <c r="A638" s="199"/>
    </row>
    <row r="639" spans="1:1" ht="12.75">
      <c r="A639" s="199"/>
    </row>
    <row r="640" spans="1:1" ht="12.75">
      <c r="A640" s="199"/>
    </row>
    <row r="641" spans="1:1" ht="12.75">
      <c r="A641" s="199"/>
    </row>
    <row r="642" spans="1:1" ht="12.75">
      <c r="A642" s="199"/>
    </row>
    <row r="643" spans="1:1" ht="12.75">
      <c r="A643" s="199"/>
    </row>
    <row r="644" spans="1:1" ht="12.75">
      <c r="A644" s="199"/>
    </row>
    <row r="645" spans="1:1" ht="12.75">
      <c r="A645" s="199"/>
    </row>
    <row r="646" spans="1:1" ht="12.75">
      <c r="A646" s="199"/>
    </row>
    <row r="647" spans="1:1" ht="12.75">
      <c r="A647" s="199"/>
    </row>
    <row r="648" spans="1:1" ht="12.75">
      <c r="A648" s="199"/>
    </row>
    <row r="649" spans="1:1" ht="12.75">
      <c r="A649" s="199"/>
    </row>
    <row r="650" spans="1:1" ht="12.75">
      <c r="A650" s="199"/>
    </row>
    <row r="651" spans="1:1" ht="12.75">
      <c r="A651" s="199"/>
    </row>
    <row r="652" spans="1:1" ht="12.75">
      <c r="A652" s="199"/>
    </row>
    <row r="653" spans="1:1" ht="12.75">
      <c r="A653" s="199"/>
    </row>
    <row r="654" spans="1:1" ht="12.75">
      <c r="A654" s="199"/>
    </row>
    <row r="655" spans="1:1" ht="12.75">
      <c r="A655" s="199"/>
    </row>
    <row r="656" spans="1:1" ht="12.75">
      <c r="A656" s="199"/>
    </row>
    <row r="657" spans="1:1" ht="12.75">
      <c r="A657" s="199"/>
    </row>
    <row r="658" spans="1:1" ht="12.75">
      <c r="A658" s="199"/>
    </row>
    <row r="659" spans="1:1" ht="12.75">
      <c r="A659" s="199"/>
    </row>
    <row r="660" spans="1:1" ht="12.75">
      <c r="A660" s="199"/>
    </row>
    <row r="661" spans="1:1" ht="12.75">
      <c r="A661" s="199"/>
    </row>
    <row r="662" spans="1:1" ht="12.75">
      <c r="A662" s="199"/>
    </row>
    <row r="663" spans="1:1" ht="12.75">
      <c r="A663" s="199"/>
    </row>
    <row r="664" spans="1:1" ht="12.75">
      <c r="A664" s="199"/>
    </row>
    <row r="665" spans="1:1" ht="12.75">
      <c r="A665" s="199"/>
    </row>
    <row r="666" spans="1:1" ht="12.75">
      <c r="A666" s="199"/>
    </row>
    <row r="667" spans="1:1" ht="12.75">
      <c r="A667" s="199"/>
    </row>
    <row r="668" spans="1:1" ht="12.75">
      <c r="A668" s="199"/>
    </row>
    <row r="669" spans="1:1" ht="12.75">
      <c r="A669" s="199"/>
    </row>
    <row r="670" spans="1:1" ht="12.75">
      <c r="A670" s="199"/>
    </row>
    <row r="671" spans="1:1" ht="12.75">
      <c r="A671" s="199"/>
    </row>
    <row r="672" spans="1:1" ht="12.75">
      <c r="A672" s="199"/>
    </row>
    <row r="673" spans="1:1" ht="12.75">
      <c r="A673" s="199"/>
    </row>
    <row r="674" spans="1:1" ht="12.75">
      <c r="A674" s="199"/>
    </row>
    <row r="675" spans="1:1" ht="12.75">
      <c r="A675" s="199"/>
    </row>
    <row r="676" spans="1:1" ht="12.75">
      <c r="A676" s="199"/>
    </row>
    <row r="677" spans="1:1" ht="12.75">
      <c r="A677" s="199"/>
    </row>
    <row r="678" spans="1:1" ht="12.75">
      <c r="A678" s="199"/>
    </row>
    <row r="679" spans="1:1" ht="12.75">
      <c r="A679" s="199"/>
    </row>
    <row r="680" spans="1:1" ht="12.75">
      <c r="A680" s="199"/>
    </row>
    <row r="681" spans="1:1" ht="12.75">
      <c r="A681" s="199"/>
    </row>
    <row r="682" spans="1:1" ht="12.75">
      <c r="A682" s="199"/>
    </row>
    <row r="683" spans="1:1" ht="12.75">
      <c r="A683" s="199"/>
    </row>
    <row r="684" spans="1:1" ht="12.75">
      <c r="A684" s="199"/>
    </row>
    <row r="685" spans="1:1" ht="12.75">
      <c r="A685" s="199"/>
    </row>
    <row r="686" spans="1:1" ht="12.75">
      <c r="A686" s="199"/>
    </row>
    <row r="687" spans="1:1" ht="12.75">
      <c r="A687" s="199"/>
    </row>
    <row r="688" spans="1:1" ht="12.75">
      <c r="A688" s="199"/>
    </row>
    <row r="689" spans="1:1" ht="12.75">
      <c r="A689" s="199"/>
    </row>
    <row r="690" spans="1:1" ht="12.75">
      <c r="A690" s="199"/>
    </row>
    <row r="691" spans="1:1" ht="12.75">
      <c r="A691" s="199"/>
    </row>
    <row r="692" spans="1:1" ht="12.75">
      <c r="A692" s="199"/>
    </row>
    <row r="693" spans="1:1" ht="12.75">
      <c r="A693" s="199"/>
    </row>
    <row r="694" spans="1:1" ht="12.75">
      <c r="A694" s="199"/>
    </row>
    <row r="695" spans="1:1" ht="12.75">
      <c r="A695" s="199"/>
    </row>
    <row r="696" spans="1:1" ht="12.75">
      <c r="A696" s="199"/>
    </row>
    <row r="697" spans="1:1" ht="12.75">
      <c r="A697" s="199"/>
    </row>
    <row r="698" spans="1:1" ht="12.75">
      <c r="A698" s="199"/>
    </row>
    <row r="699" spans="1:1" ht="12.75">
      <c r="A699" s="199"/>
    </row>
    <row r="700" spans="1:1" ht="12.75">
      <c r="A700" s="199"/>
    </row>
    <row r="701" spans="1:1" ht="12.75">
      <c r="A701" s="199"/>
    </row>
    <row r="702" spans="1:1" ht="12.75">
      <c r="A702" s="199"/>
    </row>
    <row r="703" spans="1:1" ht="12.75">
      <c r="A703" s="199"/>
    </row>
    <row r="704" spans="1:1" ht="12.75">
      <c r="A704" s="199"/>
    </row>
    <row r="705" spans="1:1" ht="12.75">
      <c r="A705" s="199"/>
    </row>
    <row r="706" spans="1:1" ht="12.75">
      <c r="A706" s="199"/>
    </row>
    <row r="707" spans="1:1" ht="12.75">
      <c r="A707" s="199"/>
    </row>
    <row r="708" spans="1:1" ht="12.75">
      <c r="A708" s="199"/>
    </row>
    <row r="709" spans="1:1" ht="12.75">
      <c r="A709" s="199"/>
    </row>
    <row r="710" spans="1:1" ht="12.75">
      <c r="A710" s="199"/>
    </row>
    <row r="711" spans="1:1" ht="12.75">
      <c r="A711" s="199"/>
    </row>
    <row r="712" spans="1:1" ht="12.75">
      <c r="A712" s="199"/>
    </row>
    <row r="713" spans="1:1" ht="12.75">
      <c r="A713" s="199"/>
    </row>
    <row r="714" spans="1:1" ht="12.75">
      <c r="A714" s="199"/>
    </row>
    <row r="715" spans="1:1" ht="12.75">
      <c r="A715" s="199"/>
    </row>
    <row r="716" spans="1:1" ht="12.75">
      <c r="A716" s="199"/>
    </row>
    <row r="717" spans="1:1" ht="12.75">
      <c r="A717" s="199"/>
    </row>
    <row r="718" spans="1:1" ht="12.75">
      <c r="A718" s="199"/>
    </row>
    <row r="719" spans="1:1" ht="12.75">
      <c r="A719" s="199"/>
    </row>
    <row r="720" spans="1:1" ht="12.75">
      <c r="A720" s="199"/>
    </row>
    <row r="721" spans="1:1" ht="12.75">
      <c r="A721" s="199"/>
    </row>
    <row r="722" spans="1:1" ht="12.75">
      <c r="A722" s="199"/>
    </row>
    <row r="723" spans="1:1" ht="12.75">
      <c r="A723" s="199"/>
    </row>
    <row r="724" spans="1:1" ht="12.75">
      <c r="A724" s="199"/>
    </row>
    <row r="725" spans="1:1" ht="12.75">
      <c r="A725" s="199"/>
    </row>
    <row r="726" spans="1:1" ht="12.75">
      <c r="A726" s="199"/>
    </row>
    <row r="727" spans="1:1" ht="12.75">
      <c r="A727" s="199"/>
    </row>
    <row r="728" spans="1:1" ht="12.75">
      <c r="A728" s="199"/>
    </row>
    <row r="729" spans="1:1" ht="12.75">
      <c r="A729" s="199"/>
    </row>
    <row r="730" spans="1:1" ht="12.75">
      <c r="A730" s="199"/>
    </row>
    <row r="731" spans="1:1" ht="12.75">
      <c r="A731" s="199"/>
    </row>
    <row r="732" spans="1:1" ht="12.75">
      <c r="A732" s="199"/>
    </row>
    <row r="733" spans="1:1" ht="12.75">
      <c r="A733" s="199"/>
    </row>
    <row r="734" spans="1:1" ht="12.75">
      <c r="A734" s="199"/>
    </row>
    <row r="735" spans="1:1" ht="12.75">
      <c r="A735" s="199"/>
    </row>
    <row r="736" spans="1:1" ht="12.75">
      <c r="A736" s="199"/>
    </row>
    <row r="737" spans="1:1" ht="12.75">
      <c r="A737" s="199"/>
    </row>
    <row r="738" spans="1:1" ht="12.75">
      <c r="A738" s="199"/>
    </row>
    <row r="739" spans="1:1" ht="12.75">
      <c r="A739" s="199"/>
    </row>
    <row r="740" spans="1:1" ht="12.75">
      <c r="A740" s="199"/>
    </row>
    <row r="741" spans="1:1" ht="12.75">
      <c r="A741" s="199"/>
    </row>
    <row r="742" spans="1:1" ht="12.75">
      <c r="A742" s="199"/>
    </row>
    <row r="743" spans="1:1" ht="12.75">
      <c r="A743" s="199"/>
    </row>
    <row r="744" spans="1:1" ht="12.75">
      <c r="A744" s="199"/>
    </row>
    <row r="745" spans="1:1" ht="12.75">
      <c r="A745" s="199"/>
    </row>
    <row r="746" spans="1:1" ht="12.75">
      <c r="A746" s="199"/>
    </row>
    <row r="747" spans="1:1" ht="12.75">
      <c r="A747" s="199"/>
    </row>
    <row r="748" spans="1:1" ht="12.75">
      <c r="A748" s="199"/>
    </row>
    <row r="749" spans="1:1" ht="12.75">
      <c r="A749" s="199"/>
    </row>
    <row r="750" spans="1:1" ht="12.75">
      <c r="A750" s="199"/>
    </row>
    <row r="751" spans="1:1" ht="12.75">
      <c r="A751" s="199"/>
    </row>
    <row r="752" spans="1:1" ht="12.75">
      <c r="A752" s="199"/>
    </row>
    <row r="753" spans="1:1" ht="12.75">
      <c r="A753" s="199"/>
    </row>
    <row r="754" spans="1:1" ht="12.75">
      <c r="A754" s="199"/>
    </row>
    <row r="755" spans="1:1" ht="12.75">
      <c r="A755" s="199"/>
    </row>
    <row r="756" spans="1:1" ht="12.75">
      <c r="A756" s="199"/>
    </row>
    <row r="757" spans="1:1" ht="12.75">
      <c r="A757" s="199"/>
    </row>
    <row r="758" spans="1:1" ht="12.75">
      <c r="A758" s="199"/>
    </row>
    <row r="759" spans="1:1" ht="12.75">
      <c r="A759" s="199"/>
    </row>
    <row r="760" spans="1:1" ht="12.75">
      <c r="A760" s="199"/>
    </row>
    <row r="761" spans="1:1" ht="12.75">
      <c r="A761" s="199"/>
    </row>
    <row r="762" spans="1:1" ht="12.75">
      <c r="A762" s="199"/>
    </row>
    <row r="763" spans="1:1" ht="12.75">
      <c r="A763" s="199"/>
    </row>
    <row r="764" spans="1:1" ht="12.75">
      <c r="A764" s="199"/>
    </row>
    <row r="765" spans="1:1" ht="12.75">
      <c r="A765" s="199"/>
    </row>
    <row r="766" spans="1:1" ht="12.75">
      <c r="A766" s="199"/>
    </row>
    <row r="767" spans="1:1" ht="12.75">
      <c r="A767" s="199"/>
    </row>
    <row r="768" spans="1:1" ht="12.75">
      <c r="A768" s="199"/>
    </row>
    <row r="769" spans="1:1" ht="12.75">
      <c r="A769" s="199"/>
    </row>
    <row r="770" spans="1:1" ht="12.75">
      <c r="A770" s="199"/>
    </row>
    <row r="771" spans="1:1" ht="12.75">
      <c r="A771" s="199"/>
    </row>
    <row r="772" spans="1:1" ht="12.75">
      <c r="A772" s="199"/>
    </row>
    <row r="773" spans="1:1" ht="12.75">
      <c r="A773" s="199"/>
    </row>
    <row r="774" spans="1:1" ht="12.75">
      <c r="A774" s="199"/>
    </row>
    <row r="775" spans="1:1" ht="12.75">
      <c r="A775" s="199"/>
    </row>
    <row r="776" spans="1:1" ht="12.75">
      <c r="A776" s="199"/>
    </row>
    <row r="777" spans="1:1" ht="12.75">
      <c r="A777" s="199"/>
    </row>
    <row r="778" spans="1:1" ht="12.75">
      <c r="A778" s="199"/>
    </row>
    <row r="779" spans="1:1" ht="12.75">
      <c r="A779" s="199"/>
    </row>
    <row r="780" spans="1:1" ht="12.75">
      <c r="A780" s="199"/>
    </row>
    <row r="781" spans="1:1" ht="12.75">
      <c r="A781" s="199"/>
    </row>
    <row r="782" spans="1:1" ht="12.75">
      <c r="A782" s="199"/>
    </row>
    <row r="783" spans="1:1" ht="12.75">
      <c r="A783" s="199"/>
    </row>
    <row r="784" spans="1:1" ht="12.75">
      <c r="A784" s="199"/>
    </row>
    <row r="785" spans="1:1" ht="12.75">
      <c r="A785" s="199"/>
    </row>
    <row r="786" spans="1:1" ht="12.75">
      <c r="A786" s="199"/>
    </row>
    <row r="787" spans="1:1" ht="12.75">
      <c r="A787" s="199"/>
    </row>
    <row r="788" spans="1:1" ht="12.75">
      <c r="A788" s="199"/>
    </row>
    <row r="789" spans="1:1" ht="12.75">
      <c r="A789" s="199"/>
    </row>
    <row r="790" spans="1:1" ht="12.75">
      <c r="A790" s="199"/>
    </row>
    <row r="791" spans="1:1" ht="12.75">
      <c r="A791" s="199"/>
    </row>
    <row r="792" spans="1:1" ht="12.75">
      <c r="A792" s="199"/>
    </row>
    <row r="793" spans="1:1" ht="12.75">
      <c r="A793" s="199"/>
    </row>
    <row r="794" spans="1:1" ht="12.75">
      <c r="A794" s="199"/>
    </row>
    <row r="795" spans="1:1" ht="12.75">
      <c r="A795" s="199"/>
    </row>
    <row r="796" spans="1:1" ht="12.75">
      <c r="A796" s="199"/>
    </row>
    <row r="797" spans="1:1" ht="12.75">
      <c r="A797" s="199"/>
    </row>
    <row r="798" spans="1:1" ht="12.75">
      <c r="A798" s="199"/>
    </row>
    <row r="799" spans="1:1" ht="12.75">
      <c r="A799" s="199"/>
    </row>
    <row r="800" spans="1:1" ht="12.75">
      <c r="A800" s="199"/>
    </row>
    <row r="801" spans="1:1" ht="12.75">
      <c r="A801" s="199"/>
    </row>
    <row r="802" spans="1:1" ht="12.75">
      <c r="A802" s="199"/>
    </row>
    <row r="803" spans="1:1" ht="12.75">
      <c r="A803" s="199"/>
    </row>
    <row r="804" spans="1:1" ht="12.75">
      <c r="A804" s="199"/>
    </row>
    <row r="805" spans="1:1" ht="12.75">
      <c r="A805" s="199"/>
    </row>
    <row r="806" spans="1:1" ht="12.75">
      <c r="A806" s="199"/>
    </row>
    <row r="807" spans="1:1" ht="12.75">
      <c r="A807" s="199"/>
    </row>
    <row r="808" spans="1:1" ht="12.75">
      <c r="A808" s="199"/>
    </row>
    <row r="809" spans="1:1" ht="12.75">
      <c r="A809" s="199"/>
    </row>
    <row r="810" spans="1:1" ht="12.75">
      <c r="A810" s="199"/>
    </row>
    <row r="811" spans="1:1" ht="12.75">
      <c r="A811" s="199"/>
    </row>
    <row r="812" spans="1:1" ht="12.75">
      <c r="A812" s="199"/>
    </row>
    <row r="813" spans="1:1" ht="12.75">
      <c r="A813" s="199"/>
    </row>
    <row r="814" spans="1:1" ht="12.75">
      <c r="A814" s="199"/>
    </row>
    <row r="815" spans="1:1" ht="12.75">
      <c r="A815" s="199"/>
    </row>
    <row r="816" spans="1:1" ht="12.75">
      <c r="A816" s="199"/>
    </row>
    <row r="817" spans="1:1" ht="12.75">
      <c r="A817" s="199"/>
    </row>
    <row r="818" spans="1:1" ht="12.75">
      <c r="A818" s="199"/>
    </row>
    <row r="819" spans="1:1" ht="12.75">
      <c r="A819" s="199"/>
    </row>
    <row r="820" spans="1:1" ht="12.75">
      <c r="A820" s="199"/>
    </row>
    <row r="821" spans="1:1" ht="12.75">
      <c r="A821" s="199"/>
    </row>
    <row r="822" spans="1:1" ht="12.75">
      <c r="A822" s="199"/>
    </row>
    <row r="823" spans="1:1" ht="12.75">
      <c r="A823" s="199"/>
    </row>
    <row r="824" spans="1:1" ht="12.75">
      <c r="A824" s="199"/>
    </row>
    <row r="825" spans="1:1" ht="12.75">
      <c r="A825" s="199"/>
    </row>
    <row r="826" spans="1:1" ht="12.75">
      <c r="A826" s="199"/>
    </row>
    <row r="827" spans="1:1" ht="12.75">
      <c r="A827" s="199"/>
    </row>
    <row r="828" spans="1:1" ht="12.75">
      <c r="A828" s="199"/>
    </row>
    <row r="829" spans="1:1" ht="12.75">
      <c r="A829" s="199"/>
    </row>
    <row r="830" spans="1:1" ht="12.75">
      <c r="A830" s="199"/>
    </row>
    <row r="831" spans="1:1" ht="12.75">
      <c r="A831" s="199"/>
    </row>
    <row r="832" spans="1:1" ht="12.75">
      <c r="A832" s="199"/>
    </row>
    <row r="833" spans="1:1" ht="12.75">
      <c r="A833" s="199"/>
    </row>
    <row r="834" spans="1:1" ht="12.75">
      <c r="A834" s="199"/>
    </row>
    <row r="835" spans="1:1" ht="12.75">
      <c r="A835" s="199"/>
    </row>
    <row r="836" spans="1:1" ht="12.75">
      <c r="A836" s="199"/>
    </row>
    <row r="837" spans="1:1" ht="12.75">
      <c r="A837" s="199"/>
    </row>
    <row r="838" spans="1:1" ht="12.75">
      <c r="A838" s="199"/>
    </row>
    <row r="839" spans="1:1" ht="12.75">
      <c r="A839" s="199"/>
    </row>
    <row r="840" spans="1:1" ht="12.75">
      <c r="A840" s="199"/>
    </row>
    <row r="841" spans="1:1" ht="12.75">
      <c r="A841" s="199"/>
    </row>
    <row r="842" spans="1:1" ht="12.75">
      <c r="A842" s="199"/>
    </row>
    <row r="843" spans="1:1" ht="12.75">
      <c r="A843" s="199"/>
    </row>
    <row r="844" spans="1:1" ht="12.75">
      <c r="A844" s="199"/>
    </row>
    <row r="845" spans="1:1" ht="12.75">
      <c r="A845" s="199"/>
    </row>
    <row r="846" spans="1:1" ht="12.75">
      <c r="A846" s="199"/>
    </row>
    <row r="847" spans="1:1" ht="12.75">
      <c r="A847" s="199"/>
    </row>
    <row r="848" spans="1:1" ht="12.75">
      <c r="A848" s="199"/>
    </row>
    <row r="849" spans="1:1" ht="12.75">
      <c r="A849" s="199"/>
    </row>
    <row r="850" spans="1:1" ht="12.75">
      <c r="A850" s="199"/>
    </row>
    <row r="851" spans="1:1" ht="12.75">
      <c r="A851" s="199"/>
    </row>
    <row r="852" spans="1:1" ht="12.75">
      <c r="A852" s="199"/>
    </row>
    <row r="853" spans="1:1" ht="12.75">
      <c r="A853" s="199"/>
    </row>
    <row r="854" spans="1:1" ht="12.75">
      <c r="A854" s="199"/>
    </row>
    <row r="855" spans="1:1" ht="12.75">
      <c r="A855" s="199"/>
    </row>
    <row r="856" spans="1:1" ht="12.75">
      <c r="A856" s="199"/>
    </row>
    <row r="857" spans="1:1" ht="12.75">
      <c r="A857" s="199"/>
    </row>
    <row r="858" spans="1:1" ht="12.75">
      <c r="A858" s="199"/>
    </row>
    <row r="859" spans="1:1" ht="12.75">
      <c r="A859" s="199"/>
    </row>
    <row r="860" spans="1:1" ht="12.75">
      <c r="A860" s="199"/>
    </row>
    <row r="861" spans="1:1" ht="12.75">
      <c r="A861" s="199"/>
    </row>
    <row r="862" spans="1:1" ht="12.75">
      <c r="A862" s="199"/>
    </row>
    <row r="863" spans="1:1" ht="12.75">
      <c r="A863" s="199"/>
    </row>
    <row r="864" spans="1:1" ht="12.75">
      <c r="A864" s="199"/>
    </row>
    <row r="865" spans="1:1" ht="12.75">
      <c r="A865" s="199"/>
    </row>
    <row r="866" spans="1:1" ht="12.75">
      <c r="A866" s="199"/>
    </row>
    <row r="867" spans="1:1" ht="12.75">
      <c r="A867" s="199"/>
    </row>
    <row r="868" spans="1:1" ht="12.75">
      <c r="A868" s="199"/>
    </row>
    <row r="869" spans="1:1" ht="12.75">
      <c r="A869" s="199"/>
    </row>
    <row r="870" spans="1:1" ht="12.75">
      <c r="A870" s="199"/>
    </row>
    <row r="871" spans="1:1" ht="12.75">
      <c r="A871" s="199"/>
    </row>
    <row r="872" spans="1:1" ht="12.75">
      <c r="A872" s="199"/>
    </row>
    <row r="873" spans="1:1" ht="12.75">
      <c r="A873" s="199"/>
    </row>
    <row r="874" spans="1:1" ht="12.75">
      <c r="A874" s="199"/>
    </row>
    <row r="875" spans="1:1" ht="12.75">
      <c r="A875" s="199"/>
    </row>
    <row r="876" spans="1:1" ht="12.75">
      <c r="A876" s="199"/>
    </row>
    <row r="877" spans="1:1" ht="12.75">
      <c r="A877" s="199"/>
    </row>
    <row r="878" spans="1:1" ht="12.75">
      <c r="A878" s="199"/>
    </row>
    <row r="879" spans="1:1" ht="12.75">
      <c r="A879" s="199"/>
    </row>
    <row r="880" spans="1:1" ht="12.75">
      <c r="A880" s="199"/>
    </row>
    <row r="881" spans="1:1" ht="12.75">
      <c r="A881" s="199"/>
    </row>
    <row r="882" spans="1:1" ht="12.75">
      <c r="A882" s="199"/>
    </row>
    <row r="883" spans="1:1" ht="12.75">
      <c r="A883" s="199"/>
    </row>
    <row r="884" spans="1:1" ht="12.75">
      <c r="A884" s="199"/>
    </row>
    <row r="885" spans="1:1" ht="12.75">
      <c r="A885" s="199"/>
    </row>
    <row r="886" spans="1:1" ht="12.75">
      <c r="A886" s="199"/>
    </row>
    <row r="887" spans="1:1" ht="12.75">
      <c r="A887" s="199"/>
    </row>
    <row r="888" spans="1:1" ht="12.75">
      <c r="A888" s="199"/>
    </row>
    <row r="889" spans="1:1" ht="12.75">
      <c r="A889" s="199"/>
    </row>
    <row r="890" spans="1:1" ht="12.75">
      <c r="A890" s="199"/>
    </row>
    <row r="891" spans="1:1" ht="12.75">
      <c r="A891" s="199"/>
    </row>
    <row r="892" spans="1:1" ht="12.75">
      <c r="A892" s="199"/>
    </row>
    <row r="893" spans="1:1" ht="12.75">
      <c r="A893" s="199"/>
    </row>
    <row r="894" spans="1:1" ht="12.75">
      <c r="A894" s="199"/>
    </row>
    <row r="895" spans="1:1" ht="12.75">
      <c r="A895" s="199"/>
    </row>
    <row r="896" spans="1:1" ht="12.75">
      <c r="A896" s="199"/>
    </row>
    <row r="897" spans="1:1" ht="12.75">
      <c r="A897" s="199"/>
    </row>
    <row r="898" spans="1:1" ht="12.75">
      <c r="A898" s="199"/>
    </row>
    <row r="899" spans="1:1" ht="12.75">
      <c r="A899" s="199"/>
    </row>
    <row r="900" spans="1:1" ht="12.75">
      <c r="A900" s="199"/>
    </row>
    <row r="901" spans="1:1" ht="12.75">
      <c r="A901" s="199"/>
    </row>
    <row r="902" spans="1:1" ht="12.75">
      <c r="A902" s="199"/>
    </row>
    <row r="903" spans="1:1" ht="12.75">
      <c r="A903" s="199"/>
    </row>
    <row r="904" spans="1:1" ht="12.75">
      <c r="A904" s="199"/>
    </row>
    <row r="905" spans="1:1" ht="12.75">
      <c r="A905" s="199"/>
    </row>
    <row r="906" spans="1:1" ht="12.75">
      <c r="A906" s="199"/>
    </row>
    <row r="907" spans="1:1" ht="12.75">
      <c r="A907" s="199"/>
    </row>
    <row r="908" spans="1:1" ht="12.75">
      <c r="A908" s="199"/>
    </row>
    <row r="909" spans="1:1" ht="12.75">
      <c r="A909" s="199"/>
    </row>
    <row r="910" spans="1:1" ht="12.75">
      <c r="A910" s="199"/>
    </row>
    <row r="911" spans="1:1" ht="12.75">
      <c r="A911" s="199"/>
    </row>
    <row r="912" spans="1:1" ht="12.75">
      <c r="A912" s="199"/>
    </row>
    <row r="913" spans="1:1" ht="12.75">
      <c r="A913" s="199"/>
    </row>
    <row r="914" spans="1:1" ht="12.75">
      <c r="A914" s="199"/>
    </row>
    <row r="915" spans="1:1" ht="12.75">
      <c r="A915" s="199"/>
    </row>
    <row r="916" spans="1:1" ht="12.75">
      <c r="A916" s="199"/>
    </row>
    <row r="917" spans="1:1" ht="12.75">
      <c r="A917" s="199"/>
    </row>
    <row r="918" spans="1:1" ht="12.75">
      <c r="A918" s="199"/>
    </row>
    <row r="919" spans="1:1" ht="12.75">
      <c r="A919" s="199"/>
    </row>
    <row r="920" spans="1:1" ht="12.75">
      <c r="A920" s="199"/>
    </row>
    <row r="921" spans="1:1" ht="12.75">
      <c r="A921" s="199"/>
    </row>
    <row r="922" spans="1:1" ht="12.75">
      <c r="A922" s="199"/>
    </row>
    <row r="923" spans="1:1" ht="12.75">
      <c r="A923" s="199"/>
    </row>
    <row r="924" spans="1:1" ht="12.75">
      <c r="A924" s="199"/>
    </row>
    <row r="925" spans="1:1" ht="12.75">
      <c r="A925" s="199"/>
    </row>
    <row r="926" spans="1:1" ht="12.75">
      <c r="A926" s="199"/>
    </row>
    <row r="927" spans="1:1" ht="12.75">
      <c r="A927" s="199"/>
    </row>
    <row r="928" spans="1:1" ht="12.75">
      <c r="A928" s="199"/>
    </row>
    <row r="929" spans="1:1" ht="12.75">
      <c r="A929" s="199"/>
    </row>
    <row r="930" spans="1:1" ht="12.75">
      <c r="A930" s="199"/>
    </row>
    <row r="931" spans="1:1" ht="12.75">
      <c r="A931" s="199"/>
    </row>
    <row r="932" spans="1:1" ht="12.75">
      <c r="A932" s="199"/>
    </row>
    <row r="933" spans="1:1" ht="12.75">
      <c r="A933" s="199"/>
    </row>
    <row r="934" spans="1:1" ht="12.75">
      <c r="A934" s="199"/>
    </row>
    <row r="935" spans="1:1" ht="12.75">
      <c r="A935" s="199"/>
    </row>
    <row r="936" spans="1:1" ht="12.75">
      <c r="A936" s="199"/>
    </row>
    <row r="937" spans="1:1" ht="12.75">
      <c r="A937" s="199"/>
    </row>
    <row r="938" spans="1:1" ht="12.75">
      <c r="A938" s="199"/>
    </row>
    <row r="939" spans="1:1" ht="12.75">
      <c r="A939" s="199"/>
    </row>
    <row r="940" spans="1:1" ht="12.75">
      <c r="A940" s="199"/>
    </row>
    <row r="941" spans="1:1" ht="12.75">
      <c r="A941" s="199"/>
    </row>
    <row r="942" spans="1:1" ht="12.75">
      <c r="A942" s="199"/>
    </row>
    <row r="943" spans="1:1" ht="12.75">
      <c r="A943" s="199"/>
    </row>
    <row r="944" spans="1:1" ht="12.75">
      <c r="A944" s="199"/>
    </row>
    <row r="945" spans="1:1" ht="12.75">
      <c r="A945" s="199"/>
    </row>
    <row r="946" spans="1:1" ht="12.75">
      <c r="A946" s="199"/>
    </row>
    <row r="947" spans="1:1" ht="12.75">
      <c r="A947" s="199"/>
    </row>
    <row r="948" spans="1:1" ht="12.75">
      <c r="A948" s="199"/>
    </row>
    <row r="949" spans="1:1" ht="12.75">
      <c r="A949" s="199"/>
    </row>
    <row r="950" spans="1:1" ht="12.75">
      <c r="A950" s="199"/>
    </row>
    <row r="951" spans="1:1" ht="12.75">
      <c r="A951" s="199"/>
    </row>
    <row r="952" spans="1:1" ht="12.75">
      <c r="A952" s="199"/>
    </row>
    <row r="953" spans="1:1" ht="12.75">
      <c r="A953" s="199"/>
    </row>
    <row r="954" spans="1:1" ht="12.75">
      <c r="A954" s="199"/>
    </row>
    <row r="955" spans="1:1" ht="12.75">
      <c r="A955" s="199"/>
    </row>
    <row r="956" spans="1:1" ht="12.75">
      <c r="A956" s="199"/>
    </row>
    <row r="957" spans="1:1" ht="12.75">
      <c r="A957" s="199"/>
    </row>
    <row r="958" spans="1:1" ht="12.75">
      <c r="A958" s="199"/>
    </row>
    <row r="959" spans="1:1" ht="12.75">
      <c r="A959" s="199"/>
    </row>
    <row r="960" spans="1:1" ht="12.75">
      <c r="A960" s="199"/>
    </row>
    <row r="961" spans="1:1" ht="12.75">
      <c r="A961" s="199"/>
    </row>
    <row r="962" spans="1:1" ht="12.75">
      <c r="A962" s="199"/>
    </row>
    <row r="963" spans="1:1" ht="12.75">
      <c r="A963" s="199"/>
    </row>
    <row r="964" spans="1:1" ht="12.75">
      <c r="A964" s="199"/>
    </row>
    <row r="965" spans="1:1" ht="12.75">
      <c r="A965" s="199"/>
    </row>
    <row r="966" spans="1:1" ht="12.75">
      <c r="A966" s="199"/>
    </row>
    <row r="967" spans="1:1" ht="12.75">
      <c r="A967" s="199"/>
    </row>
    <row r="968" spans="1:1" ht="12.75">
      <c r="A968" s="199"/>
    </row>
    <row r="969" spans="1:1" ht="12.75">
      <c r="A969" s="199"/>
    </row>
    <row r="970" spans="1:1" ht="12.75">
      <c r="A970" s="199"/>
    </row>
    <row r="971" spans="1:1" ht="12.75">
      <c r="A971" s="199"/>
    </row>
    <row r="972" spans="1:1" ht="12.75">
      <c r="A972" s="199"/>
    </row>
    <row r="973" spans="1:1" ht="12.75">
      <c r="A973" s="199"/>
    </row>
    <row r="974" spans="1:1" ht="12.75">
      <c r="A974" s="199"/>
    </row>
    <row r="975" spans="1:1" ht="12.75">
      <c r="A975" s="199"/>
    </row>
    <row r="976" spans="1:1" ht="12.75">
      <c r="A976" s="199"/>
    </row>
    <row r="977" spans="1:1" ht="12.75">
      <c r="A977" s="199"/>
    </row>
    <row r="978" spans="1:1" ht="12.75">
      <c r="A978" s="199"/>
    </row>
    <row r="979" spans="1:1" ht="12.75">
      <c r="A979" s="199"/>
    </row>
    <row r="980" spans="1:1" ht="12.75">
      <c r="A980" s="199"/>
    </row>
    <row r="981" spans="1:1" ht="12.75">
      <c r="A981" s="199"/>
    </row>
    <row r="982" spans="1:1" ht="12.75">
      <c r="A982" s="199"/>
    </row>
    <row r="983" spans="1:1" ht="12.75">
      <c r="A983" s="199"/>
    </row>
    <row r="984" spans="1:1" ht="12.75">
      <c r="A984" s="199"/>
    </row>
    <row r="985" spans="1:1" ht="12.75">
      <c r="A985" s="199"/>
    </row>
    <row r="986" spans="1:1" ht="12.75">
      <c r="A986" s="199"/>
    </row>
    <row r="987" spans="1:1" ht="12.75">
      <c r="A987" s="199"/>
    </row>
    <row r="988" spans="1:1" ht="12.75">
      <c r="A988" s="199"/>
    </row>
    <row r="989" spans="1:1" ht="12.75">
      <c r="A989" s="199"/>
    </row>
    <row r="990" spans="1:1" ht="12.75">
      <c r="A990" s="199"/>
    </row>
    <row r="991" spans="1:1" ht="12.75">
      <c r="A991" s="199"/>
    </row>
    <row r="992" spans="1:1" ht="12.75">
      <c r="A992" s="199"/>
    </row>
    <row r="993" spans="1:1" ht="12.75">
      <c r="A993" s="199"/>
    </row>
    <row r="994" spans="1:1" ht="12.75">
      <c r="A994" s="199"/>
    </row>
    <row r="995" spans="1:1" ht="12.75">
      <c r="A995" s="199"/>
    </row>
    <row r="996" spans="1:1" ht="12.75">
      <c r="A996" s="199"/>
    </row>
    <row r="997" spans="1:1" ht="12.75">
      <c r="A997" s="199"/>
    </row>
    <row r="998" spans="1:1" ht="12.75">
      <c r="A998" s="199"/>
    </row>
    <row r="999" spans="1:1" ht="12.75">
      <c r="A999" s="199"/>
    </row>
    <row r="1000" spans="1:1" ht="12.75">
      <c r="A1000" s="199"/>
    </row>
    <row r="1001" spans="1:1" ht="12.75">
      <c r="A1001" s="199"/>
    </row>
    <row r="1002" spans="1:1" ht="12.75">
      <c r="A1002" s="199"/>
    </row>
    <row r="1003" spans="1:1" ht="12.75">
      <c r="A1003" s="199"/>
    </row>
    <row r="1004" spans="1:1" ht="12.75">
      <c r="A1004" s="199"/>
    </row>
    <row r="1005" spans="1:1" ht="12.75">
      <c r="A1005" s="199"/>
    </row>
    <row r="1006" spans="1:1" ht="12.75">
      <c r="A1006" s="199"/>
    </row>
    <row r="1007" spans="1:1" ht="12.75">
      <c r="A1007" s="199"/>
    </row>
    <row r="1008" spans="1:1" ht="12.75">
      <c r="A1008" s="199"/>
    </row>
    <row r="1009" spans="1:1" ht="12.75">
      <c r="A1009" s="199"/>
    </row>
    <row r="1010" spans="1:1" ht="12.75">
      <c r="A1010" s="199"/>
    </row>
    <row r="1011" spans="1:1" ht="12.75">
      <c r="A1011" s="199"/>
    </row>
    <row r="1012" spans="1:1" ht="12.75">
      <c r="A1012" s="199"/>
    </row>
    <row r="1013" spans="1:1" ht="12.75">
      <c r="A1013" s="199"/>
    </row>
    <row r="1014" spans="1:1" ht="12.75">
      <c r="A1014" s="199"/>
    </row>
    <row r="1015" spans="1:1" ht="12.75">
      <c r="A1015" s="199"/>
    </row>
    <row r="1016" spans="1:1" ht="12.75">
      <c r="A1016" s="199"/>
    </row>
    <row r="1017" spans="1:1" ht="12.75">
      <c r="A1017" s="199"/>
    </row>
    <row r="1018" spans="1:1" ht="12.75">
      <c r="A1018" s="199"/>
    </row>
    <row r="1019" spans="1:1" ht="12.75">
      <c r="A1019" s="199"/>
    </row>
    <row r="1020" spans="1:1" ht="12.75">
      <c r="A1020" s="199"/>
    </row>
    <row r="1021" spans="1:1" ht="12.75">
      <c r="A1021" s="199"/>
    </row>
    <row r="1022" spans="1:1" ht="12.75">
      <c r="A1022" s="199"/>
    </row>
    <row r="1023" spans="1:1" ht="12.75">
      <c r="A1023" s="199"/>
    </row>
    <row r="1024" spans="1:1" ht="12.75">
      <c r="A1024" s="199"/>
    </row>
    <row r="1025" spans="1:1" ht="12.75">
      <c r="A1025" s="199"/>
    </row>
    <row r="1026" spans="1:1" ht="12.75">
      <c r="A1026" s="199"/>
    </row>
    <row r="1027" spans="1:1" ht="12.75">
      <c r="A1027" s="199"/>
    </row>
    <row r="1028" spans="1:1" ht="12.75">
      <c r="A1028" s="199"/>
    </row>
    <row r="1029" spans="1:1" ht="12.75">
      <c r="A1029" s="199"/>
    </row>
    <row r="1030" spans="1:1" ht="12.75">
      <c r="A1030" s="199"/>
    </row>
    <row r="1031" spans="1:1" ht="12.75">
      <c r="A1031" s="199"/>
    </row>
    <row r="1032" spans="1:1" ht="12.75">
      <c r="A1032" s="199"/>
    </row>
    <row r="1033" spans="1:1" ht="12.75">
      <c r="A1033" s="199"/>
    </row>
    <row r="1034" spans="1:1" ht="12.75">
      <c r="A1034" s="199"/>
    </row>
    <row r="1035" spans="1:1" ht="12.75">
      <c r="A1035" s="199"/>
    </row>
    <row r="1036" spans="1:1" ht="12.75">
      <c r="A1036" s="199"/>
    </row>
    <row r="1037" spans="1:1" ht="12.75">
      <c r="A1037" s="199"/>
    </row>
    <row r="1038" spans="1:1" ht="12.75">
      <c r="A1038" s="199"/>
    </row>
    <row r="1039" spans="1:1" ht="12.75">
      <c r="A1039" s="199"/>
    </row>
    <row r="1040" spans="1:1" ht="12.75">
      <c r="A1040" s="199"/>
    </row>
    <row r="1041" spans="1:1" ht="12.75">
      <c r="A1041" s="199"/>
    </row>
    <row r="1042" spans="1:1" ht="12.75">
      <c r="A1042" s="199"/>
    </row>
    <row r="1043" spans="1:1" ht="12.75">
      <c r="A1043" s="199"/>
    </row>
    <row r="1044" spans="1:1" ht="12.75">
      <c r="A1044" s="199"/>
    </row>
    <row r="1045" spans="1:1" ht="12.75">
      <c r="A1045" s="199"/>
    </row>
    <row r="1046" spans="1:1" ht="12.75">
      <c r="A1046" s="199"/>
    </row>
    <row r="1047" spans="1:1" ht="12.75">
      <c r="A1047" s="199"/>
    </row>
    <row r="1048" spans="1:1" ht="12.75">
      <c r="A1048" s="199"/>
    </row>
    <row r="1049" spans="1:1" ht="12.75">
      <c r="A1049" s="199"/>
    </row>
    <row r="1050" spans="1:1" ht="12.75">
      <c r="A1050" s="199"/>
    </row>
    <row r="1051" spans="1:1" ht="12.75">
      <c r="A1051" s="199"/>
    </row>
    <row r="1052" spans="1:1" ht="12.75">
      <c r="A1052" s="199"/>
    </row>
    <row r="1053" spans="1:1" ht="12.75">
      <c r="A1053" s="199"/>
    </row>
    <row r="1054" spans="1:1" ht="12.75">
      <c r="A1054" s="199"/>
    </row>
    <row r="1055" spans="1:1" ht="12.75">
      <c r="A1055" s="199"/>
    </row>
    <row r="1056" spans="1:1" ht="12.75">
      <c r="A1056" s="199"/>
    </row>
    <row r="1057" spans="1:1" ht="12.75">
      <c r="A1057" s="199"/>
    </row>
    <row r="1058" spans="1:1" ht="12.75">
      <c r="A1058" s="199"/>
    </row>
    <row r="1059" spans="1:1" ht="12.75">
      <c r="A1059" s="199"/>
    </row>
    <row r="1060" spans="1:1" ht="12.75">
      <c r="A1060" s="199"/>
    </row>
    <row r="1061" spans="1:1" ht="12.75">
      <c r="A1061" s="199"/>
    </row>
    <row r="1062" spans="1:1" ht="12.75">
      <c r="A1062" s="199"/>
    </row>
    <row r="1063" spans="1:1" ht="12.75">
      <c r="A1063" s="199"/>
    </row>
    <row r="1064" spans="1:1" ht="12.75">
      <c r="A1064" s="199"/>
    </row>
    <row r="1065" spans="1:1" ht="12.75">
      <c r="A1065" s="199"/>
    </row>
    <row r="1066" spans="1:1" ht="12.75">
      <c r="A1066" s="199"/>
    </row>
    <row r="1067" spans="1:1" ht="12.75">
      <c r="A1067" s="199"/>
    </row>
    <row r="1068" spans="1:1" ht="12.75">
      <c r="A1068" s="199"/>
    </row>
    <row r="1069" spans="1:1" ht="12.75">
      <c r="A1069" s="199"/>
    </row>
    <row r="1070" spans="1:1" ht="12.75">
      <c r="A1070" s="199"/>
    </row>
    <row r="1071" spans="1:1" ht="12.75">
      <c r="A1071" s="199"/>
    </row>
    <row r="1072" spans="1:1" ht="12.75">
      <c r="A1072" s="199"/>
    </row>
    <row r="1073" spans="1:1" ht="12.75">
      <c r="A1073" s="199"/>
    </row>
    <row r="1074" spans="1:1" ht="12.75">
      <c r="A1074" s="199"/>
    </row>
    <row r="1075" spans="1:1" ht="12.75">
      <c r="A1075" s="199"/>
    </row>
    <row r="1076" spans="1:1" ht="12.75">
      <c r="A1076" s="199"/>
    </row>
    <row r="1077" spans="1:1" ht="12.75">
      <c r="A1077" s="199"/>
    </row>
    <row r="1078" spans="1:1" ht="12.75">
      <c r="A1078" s="199"/>
    </row>
    <row r="1079" spans="1:1" ht="12.75">
      <c r="A1079" s="199"/>
    </row>
    <row r="1080" spans="1:1" ht="12.75">
      <c r="A1080" s="199"/>
    </row>
    <row r="1081" spans="1:1" ht="12.75">
      <c r="A1081" s="199"/>
    </row>
    <row r="1082" spans="1:1" ht="12.75">
      <c r="A1082" s="199"/>
    </row>
    <row r="1083" spans="1:1" ht="12.75">
      <c r="A1083" s="199"/>
    </row>
    <row r="1084" spans="1:1" ht="12.75">
      <c r="A1084" s="199"/>
    </row>
    <row r="1085" spans="1:1" ht="12.75">
      <c r="A1085" s="199"/>
    </row>
    <row r="1086" spans="1:1" ht="12.75">
      <c r="A1086" s="199"/>
    </row>
    <row r="1087" spans="1:1" ht="12.75">
      <c r="A1087" s="199"/>
    </row>
    <row r="1088" spans="1:1" ht="12.75">
      <c r="A1088" s="199"/>
    </row>
    <row r="1089" spans="1:1" ht="12.75">
      <c r="A1089" s="199"/>
    </row>
    <row r="1090" spans="1:1" ht="12.75">
      <c r="A1090" s="199"/>
    </row>
    <row r="1091" spans="1:1" ht="12.75">
      <c r="A1091" s="199"/>
    </row>
    <row r="1092" spans="1:1" ht="12.75">
      <c r="A1092" s="199"/>
    </row>
    <row r="1093" spans="1:1" ht="12.75">
      <c r="A1093" s="199"/>
    </row>
    <row r="1094" spans="1:1" ht="12.75">
      <c r="A1094" s="199"/>
    </row>
    <row r="1095" spans="1:1" ht="12.75">
      <c r="A1095" s="199"/>
    </row>
    <row r="1096" spans="1:1" ht="12.75">
      <c r="A1096" s="199"/>
    </row>
    <row r="1097" spans="1:1" ht="12.75">
      <c r="A1097" s="199"/>
    </row>
    <row r="1098" spans="1:1" ht="12.75">
      <c r="A1098" s="199"/>
    </row>
    <row r="1099" spans="1:1" ht="12.75">
      <c r="A1099" s="199"/>
    </row>
    <row r="1100" spans="1:1" ht="12.75">
      <c r="A1100" s="199"/>
    </row>
    <row r="1101" spans="1:1" ht="12.75">
      <c r="A1101" s="199"/>
    </row>
    <row r="1102" spans="1:1" ht="12.75">
      <c r="A1102" s="199"/>
    </row>
    <row r="1103" spans="1:1" ht="12.75">
      <c r="A1103" s="199"/>
    </row>
    <row r="1104" spans="1:1" ht="12.75">
      <c r="A1104" s="199"/>
    </row>
    <row r="1105" spans="1:1" ht="12.75">
      <c r="A1105" s="199"/>
    </row>
    <row r="1106" spans="1:1" ht="12.75">
      <c r="A1106" s="199"/>
    </row>
    <row r="1107" spans="1:1" ht="12.75">
      <c r="A1107" s="199"/>
    </row>
    <row r="1108" spans="1:1" ht="12.75">
      <c r="A1108" s="199"/>
    </row>
    <row r="1109" spans="1:1" ht="12.75">
      <c r="A1109" s="199"/>
    </row>
    <row r="1110" spans="1:1" ht="12.75">
      <c r="A1110" s="199"/>
    </row>
    <row r="1111" spans="1:1" ht="12.75">
      <c r="A1111" s="199"/>
    </row>
    <row r="1112" spans="1:1" ht="12.75">
      <c r="A1112" s="199"/>
    </row>
    <row r="1113" spans="1:1" ht="12.75">
      <c r="A1113" s="199"/>
    </row>
    <row r="1114" spans="1:1" ht="12.75">
      <c r="A1114" s="199"/>
    </row>
    <row r="1115" spans="1:1" ht="12.75">
      <c r="A1115" s="199"/>
    </row>
    <row r="1116" spans="1:1" ht="12.75">
      <c r="A1116" s="199"/>
    </row>
    <row r="1117" spans="1:1" ht="12.75">
      <c r="A1117" s="199"/>
    </row>
    <row r="1118" spans="1:1" ht="12.75">
      <c r="A1118" s="199"/>
    </row>
    <row r="1119" spans="1:1" ht="12.75">
      <c r="A1119" s="199"/>
    </row>
    <row r="1120" spans="1:1" ht="12.75">
      <c r="A1120" s="199"/>
    </row>
    <row r="1121" spans="1:1" ht="12.75">
      <c r="A1121" s="199"/>
    </row>
    <row r="1122" spans="1:1" ht="12.75">
      <c r="A1122" s="199"/>
    </row>
    <row r="1123" spans="1:1" ht="12.75">
      <c r="A1123" s="199"/>
    </row>
    <row r="1124" spans="1:1" ht="12.75">
      <c r="A1124" s="199"/>
    </row>
    <row r="1125" spans="1:1" ht="12.75">
      <c r="A1125" s="199"/>
    </row>
    <row r="1126" spans="1:1" ht="12.75">
      <c r="A1126" s="199"/>
    </row>
    <row r="1127" spans="1:1" ht="12.75">
      <c r="A1127" s="199"/>
    </row>
  </sheetData>
  <customSheetViews>
    <customSheetView guid="{0C64A82D-CA0E-4228-A2C9-82671EC84985}" filter="1" showAutoFilter="1">
      <pageMargins left="0.7" right="0.7" top="0.75" bottom="0.75" header="0.3" footer="0.3"/>
      <autoFilter ref="Q1:Q1127" xr:uid="{0B2E169F-6432-4FE8-B08E-B418115B77A1}">
        <filterColumn colId="0">
          <filters>
            <filter val="1"/>
            <filter val="5"/>
          </filters>
        </filterColumn>
      </autoFilter>
    </customSheetView>
    <customSheetView guid="{A558D7B1-D279-4521-9D41-3DF902C4C5AD}" filter="1" showAutoFilter="1">
      <pageMargins left="0.7" right="0.7" top="0.75" bottom="0.75" header="0.3" footer="0.3"/>
      <autoFilter ref="H1:H1127" xr:uid="{96E0BE23-EEBF-4525-A385-A4E255B956C4}">
        <filterColumn colId="0">
          <filters>
            <filter val="Yes"/>
            <filter val="Included?"/>
          </filters>
        </filterColumn>
      </autoFilter>
    </customSheetView>
    <customSheetView guid="{26E1130F-693F-42B9-96D9-0282DF722733}" filter="1" showAutoFilter="1">
      <pageMargins left="0.7" right="0.7" top="0.75" bottom="0.75" header="0.3" footer="0.3"/>
      <autoFilter ref="A1:W426" xr:uid="{F5700969-691A-4AB5-AF19-A176AC8EC2EB}">
        <filterColumn colId="11">
          <filters>
            <filter val="1"/>
            <filter val="26"/>
          </filters>
        </filterColumn>
      </autoFilter>
    </customSheetView>
    <customSheetView guid="{09FA796E-AFB1-4351-9F7E-1ECFD6011506}" filter="1" showAutoFilter="1">
      <pageMargins left="0.7" right="0.7" top="0.75" bottom="0.75" header="0.3" footer="0.3"/>
      <autoFilter ref="A1:W426" xr:uid="{CDE13D57-4A04-4720-AF48-BAF061A816E1}">
        <filterColumn colId="4">
          <filters>
            <filter val="(Excluded)"/>
            <filter val="(Unable to locate)"/>
            <filter val="(Unpublished)"/>
            <filter val="Abisheganaden 2000"/>
            <filter val="Achan 2020"/>
            <filter val="Adler 2021"/>
            <filter val="Al-Nakib 1986"/>
            <filter val="Al-Nakib 1987"/>
            <filter val="Alper 1996"/>
            <filter val="Al-Tawfiq 1998"/>
            <filter val="Al-Tawfiq 1999"/>
            <filter val="Al-Tawfiq 2000a"/>
            <filter val="Al-Tawfiq 2000b"/>
            <filter val="Amante 2010"/>
            <filter val="Anderson 1985"/>
            <filter val="Arévalo-Herrera 2014"/>
            <filter val="Arévalo-Herrera 2016"/>
            <filter val="Atmar 2008"/>
            <filter val="Atmar 2014"/>
            <filter val="Atmar 2015"/>
            <filter val="Bahl 2017"/>
            <filter val="Ballou 1987"/>
            <filter val="Banks 2007"/>
            <filter val="Banks 2008"/>
            <filter val="Barroso 2005"/>
            <filter val="Bastiaens 2016"/>
            <filter val="Bauer 2000"/>
            <filter val="Bauer 2009"/>
            <filter val="Bennett 2013"/>
            <filter val="Bennett 2016"/>
            <filter val="Bernstein 2015"/>
            <filter val="Betts 1977"/>
            <filter val="Betts 1988"/>
            <filter val="Bijker 2013"/>
            <filter val="Bijker 2014"/>
            <filter val="Bijker 2014b"/>
            <filter val="Billingsley 2014"/>
            <filter val="Bjornson 1991"/>
            <filter val="Black 1982"/>
            <filter val="Black 1987"/>
            <filter val="Black 1988"/>
            <filter val="Bodhidatta 2012"/>
            <filter val="Bong 2001"/>
            <filter val="Bong 2002a"/>
            <filter val="Bong 2002b"/>
            <filter val="Buchman 2002"/>
            <filter val="Burke 2015"/>
            <filter val="Calfee 1999"/>
            <filter val="Calhoun 1991"/>
            <filter val="Calle 2021"/>
            <filter val="Canini 2011"/>
            <filter val="Cannon 1990"/>
            <filter val="Cate 1982"/>
            <filter val="Chakraborty 2018"/>
            <filter val="Chapman 2021"/>
            <filter val="Chappell 2006"/>
            <filter val="Chen 2016"/>
            <filter val="Chuang 2013"/>
            <filter val="Chulay 198"/>
            <filter val="Church 1997"/>
            <filter val="Clements 1983a"/>
            <filter val="Clements 1983b"/>
            <filter val="Clements 1984"/>
            <filter val="Clements 1986a"/>
            <filter val="Clements 1986b"/>
            <filter val="Clements 1986c"/>
            <filter val="Clements 1990"/>
            <filter val="Clements 1991"/>
            <filter val="Clyde 1973a"/>
            <filter val="Clyde 1973b"/>
            <filter val="Clyde 1975"/>
            <filter val="Cohen 1991"/>
            <filter val="Cohen 1997"/>
            <filter val="Cohen 1999"/>
            <filter val="Collins 2015"/>
            <filter val="Collins 2018"/>
            <filter val="Coster 1999"/>
            <filter val="Coster 2007"/>
            <filter val="Cremers 2014"/>
            <filter val="Cretescu 1978"/>
            <filter val="Croese 2006"/>
            <filter val="Croese 2015"/>
            <filter val="Cummings 2010"/>
            <filter val="Cutler 2017"/>
            <filter val="Darsley 2012"/>
            <filter val="Darton 2016"/>
            <filter val="Davis 1992"/>
            <filter val="de Graaf 2020"/>
            <filter val="Deasy 2015"/>
            <filter val="Dejon-Agobe 2019"/>
            <filter val="DeVincenzo 2014"/>
            <filter val="DeVincenzo 2015"/>
            <filter val="DeVincenzo 2020"/>
            <filter val="Deye 2012"/>
            <filter val="Diemert 2017"/>
            <filter val="Dobinson 2017"/>
            <filter val="Dolin 1971"/>
            <filter val="Donati 2009"/>
            <filter val="Donnenberg 1998"/>
            <filter val="Douglas 1975"/>
            <filter val="Douglas 1979"/>
            <filter val="Doyle 1993"/>
            <filter val="Doyle 1994"/>
            <filter val="Doyle 1998"/>
            <filter val="Doyle 1999"/>
            <filter val="Doyle 2006"/>
            <filter val="Drake 2000"/>
            <filter val="Ducarmon 2020"/>
            <filter val="DuPont 1972"/>
            <filter val="DuPont 1995"/>
            <filter val="Edelman 1993"/>
            <filter val="Egan 1993"/>
            <filter val="Eiden 2019"/>
            <filter val="Epstein 2011"/>
            <filter val="Evans 1988"/>
            <filter val="Feary 2009"/>
            <filter val="Feldman 1999"/>
            <filter val="Ferreira 2013"/>
            <filter val="File name"/>
            <filter val="Fortney 2000"/>
            <filter val="Frenck 2012"/>
            <filter val="Frenck 2021"/>
            <filter val="Friedman-Klabanoff 2019"/>
            <filter val="Fries 1992"/>
            <filter val="Fulcher 2006"/>
            <filter val="Fullen 2016a"/>
            <filter val="Fullen 2016b"/>
            <filter val="Gelfanova 2001"/>
            <filter val="Gentile 2003"/>
            <filter val="Gern 2008"/>
            <filter val="Gibani 2019"/>
            <filter val="Gibani 2020"/>
            <filter val="Glennie 2016"/>
            <filter val="Glew 1974"/>
            <filter val="Gomez-Perez 2015"/>
            <filter val="Gordon 1995"/>
            <filter val="Graham 1983"/>
            <filter val="Graham 2004"/>
            <filter val="Grayston 1962"/>
            <filter val="Gritzfeld 2013"/>
            <filter val="Gritzfeld 2014"/>
            <filter val="Grunberg 2001"/>
            <filter val="Gubareva 2001"/>
            <filter val="Gustafson 1996"/>
            <filter val="Gwaltney 1996"/>
            <filter val="Gwaltney 1997"/>
            <filter val="Gwaltney 2002"/>
            <filter val="Gwaltney 2003"/>
            <filter val="Habibi 2015"/>
            <filter val="Hales 2020"/>
            <filter val="Harris 1996"/>
            <filter val="Harris 2014"/>
            <filter val="Harro 2011a"/>
            <filter val="Harro 2011b"/>
            <filter val="Harro 2019"/>
            <filter val="Hayden 1982"/>
            <filter val="Hayden 1988"/>
            <filter val="Hayden 1992"/>
            <filter val="Hayden 1994"/>
            <filter val="Hayden 1996"/>
            <filter val="Hayden 1997"/>
            <filter val="Hayden 1999"/>
            <filter val="Healy 2020"/>
            <filter val="Herrera 2009"/>
            <filter val="Herrera 2011"/>
            <filter val="Herrington 1987"/>
            <filter val="Herrington 1990"/>
            <filter val="Herrington 1990a"/>
            <filter val="Herrington 1991"/>
            <filter val="Hewson 2010"/>
            <filter val="Hickey 2016"/>
            <filter val="Higgins 1988"/>
            <filter val="Hobbins 1982"/>
            <filter val="Hodgson 2014"/>
            <filter val="Hodgson 2015a"/>
            <filter val="Hodgson 2015b"/>
            <filter val="Hoffman 1994"/>
            <filter val="Hoffman 2002"/>
            <filter val="Hoogerwerf 2021"/>
            <filter val="Humphreys 2002"/>
            <filter val="Humphreys 2007"/>
            <filter val="Ishizuka 2016"/>
            <filter val="Janicki-Deverts 2007"/>
            <filter val="Janowicz 2004"/>
            <filter val="Janowicz 2006a"/>
            <filter val="Janowicz 2006b"/>
            <filter val="Janowicz 2007"/>
            <filter val="Janowicz 2009"/>
            <filter val="Jin 2017"/>
            <filter val="Jin 2019"/>
            <filter val="Jones 2009"/>
            <filter val="Jongo 2018"/>
            <filter val="Kaiser 2001"/>
            <filter val="Kapulu 2021"/>
            <filter val="Kasel 1969"/>
            <filter val="Keitel 1990"/>
            <filter val="Kirkpatrick 2016"/>
            <filter val="Kiyotani 1990"/>
            <filter val="Kotloff 1992"/>
            <filter val="Kotloff 1995"/>
            <filter val="Kotloff 1995a"/>
            <filter val="Krause 2016"/>
            <filter val="Lahdeaho 2019"/>
            <filter val="Lambkin-Williams 2016"/>
            <filter val="Langenberg 2018"/>
            <filter val="Langenberg 2020"/>
            <filter val="Laurens 2013"/>
            <filter val="Leduc 2008"/>
            <filter val="Lell 2018"/>
            <filter val="Lemanske 1989"/>
            <filter val="Levine 1979a"/>
            <filter val="Levine 1979b"/>
            <filter val="Levine 1980"/>
            <filter val="Lillie 2012"/>
            <filter val="Lindesmith 2003"/>
            <filter val="Little 1979"/>
            <filter val="Livezey 2020"/>
            <filter val="Lyke 2010"/>
            <filter val="Lyke 2015"/>
            <filter val="Lyke 2017"/>
            <filter val="Mackowiak 1992"/>
            <filter val="Mackowiak 1994"/>
            <filter val="Magnussen 1977"/>
            <filter val="Malcolm 2018"/>
            <filter val="Mallia 2006"/>
            <filter val="Mallia 2012"/>
            <filter val="Mammen 2014"/>
            <filter val="Marty 2020"/>
            <filter val="Mateo 2020"/>
            <filter val="Matsumiya 2015"/>
            <filter val="Mayo-Smith 2017"/>
            <filter val="McBride 2017"/>
            <filter val="McCall 2017"/>
            <filter val="McCarthy 2013"/>
            <filter val="McCarthy 2016a"/>
            <filter val="McCarthy 2016b"/>
            <filter val="McCarthy 2016c"/>
            <filter val="McCarthy 2017"/>
            <filter val="McCarthy 2020"/>
            <filter val="McClain 2016"/>
            <filter val="Medema 1996"/>
            <filter val="Memoli 2016"/>
            <filter val="Message 2008"/>
            <filter val="Metz 2009"/>
            <filter val="Minassian 2012"/>
            <filter val="Minhinnick 2016"/>
            <filter val="Mitsi 2017"/>
            <filter val="Monto 1999"/>
            <filter val="Moorthy 2004"/>
            <filter val="Mordmuller 2015"/>
            <filter val="Mordmuller 2017"/>
            <filter val="Morton 2020"/>
            <filter val="Moss 1998"/>
            <filter val="Muehling 2016"/>
            <filter val="Murphy 1978"/>
            <filter val="Murphy 1981"/>
            <filter val="Murphy 1998"/>
            <filter val="Murphy 2018"/>
            <filter val="Nash 1990"/>
            <filter val="Nguyen-Van-Tam 2020"/>
            <filter val="Nichol 1999"/>
            <filter val="no full text availabe (circle back)"/>
            <filter val="No full-text available"/>
            <filter val="Noah 2000"/>
            <filter val="Obrosova-Serova 1990"/>
            <filter val="Oxford 1990"/>
            <filter val="Pachuta 1974"/>
            <filter val="Palmer 1998a"/>
            <filter val="Palmer 1998b"/>
            <filter val="Parrino 1977"/>
            <filter val="Parsonnet 1999"/>
            <filter val="Pasay 2016"/>
            <filter val="Payne 2016"/>
            <filter val="Pennington 2016"/>
            <filter val="Peterson 2009"/>
            <filter val="Pitisuttihum 2016"/>
            <filter val="Pitisuttithum 2001"/>
            <filter val="Plaisance 2000"/>
            <filter val="Pleguezuelos 2020"/>
            <filter val="Porter 2018"/>
            <filter val="Ramos 2015"/>
            <filter val="Reeck 2010"/>
            <filter val="Reichenberg 2001"/>
            <filter val="Reuling 2018"/>
            <filter val="Reuman 1989"/>
            <filter val="Richman 1977"/>
            <filter val="Rickman 1990"/>
            <filter val="Roestenberg 2009"/>
            <filter val="Roestenberg 2011"/>
            <filter val="Roestenberg 2012"/>
            <filter val="Roestenberg 2013"/>
            <filter val="Rose 2011"/>
            <filter val="Russell 1989"/>
            <filter val="Rylance 2019"/>
            <filter val="Rytel 1975"/>
            <filter val="Sakkestad 2019a"/>
            <filter val="Sakkestad 2019b"/>
            <filter val="Scheinberg 1976"/>
            <filter val="Schiff 1985"/>
            <filter val="Schiff 2000"/>
            <filter val="Sears 1987"/>
            <filter val="Seder 2013"/>
            <filter val="Seitz 2011"/>
            <filter val="Shaughnessy 1946"/>
            <filter val="Sheehy 2013"/>
            <filter val="Shekalaghe 2014"/>
            <filter val="Shimanovich 2017"/>
            <filter val="Shmuklarsky 1994"/>
            <filter val="Sinha 2019"/>
            <filter val="Skrede 2014"/>
            <filter val="Smith 2017"/>
            <filter val="Snyder 1985"/>
            <filter val="Snyder 1986"/>
            <filter val="Snyder 1988"/>
            <filter val="Sperber 1992a"/>
            <filter val="Sperber 1992b"/>
            <filter val="Sperber 2004"/>
            <filter val="Spinola 1994"/>
            <filter val="Spinola 2003"/>
            <filter val="Spinola 2003b"/>
            <filter val="Spring 2009"/>
            <filter val="Spring 2014"/>
            <filter val="Stevens 2018"/>
            <filter val="Sulyok 2017"/>
            <filter val="Suntharasami 1992"/>
            <filter val="Tacket 1990"/>
            <filter val="Tacket 1992"/>
            <filter val="Tacket 1999"/>
            <filter val="Talaat 2020a"/>
            <filter val="Talaat 2020b"/>
            <filter val="Talaat 2021"/>
            <filter val="Talley 2014"/>
            <filter val="Taylor 2006"/>
            <filter val="Teirlinck 2013"/>
            <filter val="Thornton 1998"/>
            <filter val="Throm 2000"/>
            <filter val="Tian 1984"/>
            <filter val="Togo 1973"/>
            <filter val="Treanor 2000"/>
            <filter val="Treanor 2007"/>
            <filter val="Tribble 2009"/>
            <filter val="Tribble 2010"/>
            <filter val="Turner 1984"/>
            <filter val="Turner 1993"/>
            <filter val="Turner 1999"/>
            <filter val="Turner 2000"/>
            <filter val="Turner 2000a"/>
            <filter val="Turner 2000b"/>
            <filter val="Turner 2001"/>
            <filter val="Turner 2005"/>
            <filter val="Tyrrell 1993"/>
            <filter val="Vallejo 2016"/>
            <filter val="Van de Verg 1990"/>
            <filter val="van Hoffen 2021"/>
            <filter val="van Wolfswinkel 2017"/>
            <filter val="Waddington 2014"/>
            <filter val="Walk 2016"/>
            <filter val="Walk 2019"/>
            <filter val="Walker 1997"/>
            <filter val="Watson 2015"/>
            <filter val="Watts 2020"/>
            <filter val="Weidner 1997"/>
            <filter val="Wilkinson 2012"/>
            <filter val="Winokur 2013"/>
            <filter val="Winther 2010"/>
            <filter val="Wright 2012"/>
            <filter val="Young 1999"/>
            <filter val="Young 2001a"/>
            <filter val="Young 2001b"/>
            <filter val="Zhu 2014"/>
            <filter val="Zuckerman 1994"/>
          </filters>
        </filterColumn>
        <filterColumn colId="14">
          <filters>
            <filter val="1"/>
            <filter val="47"/>
          </filters>
        </filterColumn>
      </autoFilter>
    </customSheetView>
    <customSheetView guid="{D8ECF7FC-5E3A-4DFB-B628-6DD3CD0CC9C8}" filter="1" showAutoFilter="1">
      <pageMargins left="0.7" right="0.7" top="0.75" bottom="0.75" header="0.3" footer="0.3"/>
      <autoFilter ref="A1:W426" xr:uid="{99A76250-7B9B-4425-AE8E-BDA50A9CE08F}">
        <filterColumn colId="22">
          <filters blank="1">
            <filter val="Other"/>
            <filter val="Search"/>
          </filters>
        </filterColumn>
      </autoFilter>
    </customSheetView>
    <customSheetView guid="{48E7C6CB-6BC1-4439-A681-F8079F1E293D}" filter="1" showAutoFilter="1">
      <pageMargins left="0.7" right="0.7" top="0.75" bottom="0.75" header="0.3" footer="0.3"/>
      <autoFilter ref="A1:W427" xr:uid="{8CDE2DA4-49AD-4661-96E9-622B0FB079E5}">
        <filterColumn colId="7">
          <filters>
            <filter val="Yes"/>
            <filter val="Included?"/>
          </filters>
        </filterColumn>
      </autoFilter>
    </customSheetView>
    <customSheetView guid="{C1100CFF-E3B2-42C1-8DC5-E1146139A5F9}" filter="1" showAutoFilter="1">
      <pageMargins left="0.7" right="0.7" top="0.75" bottom="0.75" header="0.3" footer="0.3"/>
      <autoFilter ref="A1:W631" xr:uid="{BF85FFEE-71AB-49F5-9983-2D38191C9FC9}">
        <filterColumn colId="5">
          <filters>
            <filter val="Yes"/>
            <filter val="Excluded?"/>
          </filters>
        </filterColumn>
      </autoFilter>
    </customSheetView>
  </customSheetViews>
  <hyperlinks>
    <hyperlink ref="D14" r:id="rId1" xr:uid="{00000000-0004-0000-0F00-000000000000}"/>
    <hyperlink ref="D15" r:id="rId2" xr:uid="{00000000-0004-0000-0F00-000001000000}"/>
    <hyperlink ref="D16" r:id="rId3" xr:uid="{00000000-0004-0000-0F00-000002000000}"/>
    <hyperlink ref="D17" r:id="rId4" xr:uid="{00000000-0004-0000-0F00-000003000000}"/>
    <hyperlink ref="D18" r:id="rId5" xr:uid="{00000000-0004-0000-0F00-000004000000}"/>
    <hyperlink ref="D19" r:id="rId6" xr:uid="{00000000-0004-0000-0F00-000005000000}"/>
    <hyperlink ref="D20" r:id="rId7" xr:uid="{00000000-0004-0000-0F00-000006000000}"/>
    <hyperlink ref="D21" r:id="rId8" xr:uid="{00000000-0004-0000-0F00-000007000000}"/>
    <hyperlink ref="D22" r:id="rId9" xr:uid="{00000000-0004-0000-0F00-000008000000}"/>
    <hyperlink ref="D23" r:id="rId10" xr:uid="{00000000-0004-0000-0F00-000009000000}"/>
    <hyperlink ref="D24" r:id="rId11" xr:uid="{00000000-0004-0000-0F00-00000A000000}"/>
    <hyperlink ref="D25" r:id="rId12" xr:uid="{00000000-0004-0000-0F00-00000B000000}"/>
    <hyperlink ref="D26" r:id="rId13" xr:uid="{00000000-0004-0000-0F00-00000C000000}"/>
    <hyperlink ref="D27" r:id="rId14" xr:uid="{00000000-0004-0000-0F00-00000D000000}"/>
    <hyperlink ref="D28" r:id="rId15" xr:uid="{00000000-0004-0000-0F00-00000E000000}"/>
    <hyperlink ref="D29" r:id="rId16" xr:uid="{00000000-0004-0000-0F00-00000F000000}"/>
    <hyperlink ref="D38" r:id="rId17" xr:uid="{00000000-0004-0000-0F00-000010000000}"/>
    <hyperlink ref="D39" r:id="rId18" xr:uid="{00000000-0004-0000-0F00-000011000000}"/>
    <hyperlink ref="D42" r:id="rId19" xr:uid="{00000000-0004-0000-0F00-000012000000}"/>
    <hyperlink ref="D43" r:id="rId20" xr:uid="{00000000-0004-0000-0F00-000013000000}"/>
    <hyperlink ref="D44" r:id="rId21" xr:uid="{00000000-0004-0000-0F00-000014000000}"/>
    <hyperlink ref="D45" r:id="rId22" xr:uid="{00000000-0004-0000-0F00-000015000000}"/>
    <hyperlink ref="D46" r:id="rId23" xr:uid="{00000000-0004-0000-0F00-000016000000}"/>
    <hyperlink ref="D48" r:id="rId24" xr:uid="{00000000-0004-0000-0F00-000017000000}"/>
    <hyperlink ref="D49" r:id="rId25" xr:uid="{00000000-0004-0000-0F00-000018000000}"/>
    <hyperlink ref="D64" r:id="rId26" xr:uid="{00000000-0004-0000-0F00-000019000000}"/>
    <hyperlink ref="D65" r:id="rId27" xr:uid="{00000000-0004-0000-0F00-00001A000000}"/>
    <hyperlink ref="D74" r:id="rId28" xr:uid="{00000000-0004-0000-0F00-00001B000000}"/>
    <hyperlink ref="D92" r:id="rId29" xr:uid="{00000000-0004-0000-0F00-00001C000000}"/>
    <hyperlink ref="D93" r:id="rId30" xr:uid="{00000000-0004-0000-0F00-00001D000000}"/>
    <hyperlink ref="D94" r:id="rId31" xr:uid="{00000000-0004-0000-0F00-00001E000000}"/>
    <hyperlink ref="D95" r:id="rId32" xr:uid="{00000000-0004-0000-0F00-00001F000000}"/>
    <hyperlink ref="D96" r:id="rId33" xr:uid="{00000000-0004-0000-0F00-000020000000}"/>
    <hyperlink ref="D97" r:id="rId34" xr:uid="{00000000-0004-0000-0F00-000021000000}"/>
    <hyperlink ref="D98" r:id="rId35" xr:uid="{00000000-0004-0000-0F00-000022000000}"/>
    <hyperlink ref="D99" r:id="rId36" xr:uid="{00000000-0004-0000-0F00-000023000000}"/>
    <hyperlink ref="D100" r:id="rId37" xr:uid="{00000000-0004-0000-0F00-000024000000}"/>
    <hyperlink ref="D101" r:id="rId38" xr:uid="{00000000-0004-0000-0F00-000025000000}"/>
    <hyperlink ref="D102" r:id="rId39" xr:uid="{00000000-0004-0000-0F00-000026000000}"/>
    <hyperlink ref="D103" r:id="rId40" xr:uid="{00000000-0004-0000-0F00-000027000000}"/>
    <hyperlink ref="D104" r:id="rId41" xr:uid="{00000000-0004-0000-0F00-000028000000}"/>
    <hyperlink ref="D105" r:id="rId42" xr:uid="{00000000-0004-0000-0F00-000029000000}"/>
    <hyperlink ref="D106" r:id="rId43" xr:uid="{00000000-0004-0000-0F00-00002A000000}"/>
    <hyperlink ref="D107" r:id="rId44" xr:uid="{00000000-0004-0000-0F00-00002B000000}"/>
    <hyperlink ref="D108" r:id="rId45" xr:uid="{00000000-0004-0000-0F00-00002C000000}"/>
    <hyperlink ref="D109" r:id="rId46" xr:uid="{00000000-0004-0000-0F00-00002D000000}"/>
    <hyperlink ref="D110" r:id="rId47" xr:uid="{00000000-0004-0000-0F00-00002E000000}"/>
    <hyperlink ref="D111" r:id="rId48" xr:uid="{00000000-0004-0000-0F00-00002F000000}"/>
    <hyperlink ref="D112" r:id="rId49" xr:uid="{00000000-0004-0000-0F00-000030000000}"/>
    <hyperlink ref="D113" r:id="rId50" xr:uid="{00000000-0004-0000-0F00-000031000000}"/>
    <hyperlink ref="D114" r:id="rId51" xr:uid="{00000000-0004-0000-0F00-000032000000}"/>
    <hyperlink ref="D115" r:id="rId52" xr:uid="{00000000-0004-0000-0F00-000033000000}"/>
    <hyperlink ref="D116" r:id="rId53" xr:uid="{00000000-0004-0000-0F00-000034000000}"/>
    <hyperlink ref="D117" r:id="rId54" xr:uid="{00000000-0004-0000-0F00-000035000000}"/>
    <hyperlink ref="D118" r:id="rId55" xr:uid="{00000000-0004-0000-0F00-000036000000}"/>
    <hyperlink ref="D119" r:id="rId56" xr:uid="{00000000-0004-0000-0F00-000037000000}"/>
    <hyperlink ref="D120" r:id="rId57" xr:uid="{00000000-0004-0000-0F00-000038000000}"/>
    <hyperlink ref="D121" r:id="rId58" xr:uid="{00000000-0004-0000-0F00-000039000000}"/>
    <hyperlink ref="D122" r:id="rId59" xr:uid="{00000000-0004-0000-0F00-00003A000000}"/>
    <hyperlink ref="D167" r:id="rId60" xr:uid="{00000000-0004-0000-0F00-00003B000000}"/>
    <hyperlink ref="D169" r:id="rId61" xr:uid="{00000000-0004-0000-0F00-00003C000000}"/>
    <hyperlink ref="D170" r:id="rId62" xr:uid="{00000000-0004-0000-0F00-00003D000000}"/>
    <hyperlink ref="D171" r:id="rId63" xr:uid="{00000000-0004-0000-0F00-00003E000000}"/>
    <hyperlink ref="D172" r:id="rId64" xr:uid="{00000000-0004-0000-0F00-00003F000000}"/>
    <hyperlink ref="D173" r:id="rId65" xr:uid="{00000000-0004-0000-0F00-000040000000}"/>
    <hyperlink ref="D174" r:id="rId66" xr:uid="{00000000-0004-0000-0F00-000041000000}"/>
    <hyperlink ref="D175" r:id="rId67" xr:uid="{00000000-0004-0000-0F00-000042000000}"/>
    <hyperlink ref="D196" r:id="rId68" xr:uid="{00000000-0004-0000-0F00-000043000000}"/>
    <hyperlink ref="D197" r:id="rId69" xr:uid="{00000000-0004-0000-0F00-000044000000}"/>
    <hyperlink ref="D198" r:id="rId70" xr:uid="{00000000-0004-0000-0F00-000045000000}"/>
    <hyperlink ref="D199" r:id="rId71" xr:uid="{00000000-0004-0000-0F00-000046000000}"/>
    <hyperlink ref="D200" r:id="rId72" xr:uid="{00000000-0004-0000-0F00-000047000000}"/>
    <hyperlink ref="D201" r:id="rId73" xr:uid="{00000000-0004-0000-0F00-000048000000}"/>
    <hyperlink ref="D202" r:id="rId74" xr:uid="{00000000-0004-0000-0F00-000049000000}"/>
    <hyperlink ref="D203" r:id="rId75" xr:uid="{00000000-0004-0000-0F00-00004A000000}"/>
    <hyperlink ref="D204" r:id="rId76" xr:uid="{00000000-0004-0000-0F00-00004B000000}"/>
    <hyperlink ref="D205" r:id="rId77" xr:uid="{00000000-0004-0000-0F00-00004C000000}"/>
    <hyperlink ref="D206" r:id="rId78" xr:uid="{00000000-0004-0000-0F00-00004D000000}"/>
    <hyperlink ref="D207" r:id="rId79" xr:uid="{00000000-0004-0000-0F00-00004E000000}"/>
    <hyperlink ref="D211" r:id="rId80" xr:uid="{00000000-0004-0000-0F00-00004F000000}"/>
    <hyperlink ref="D228" r:id="rId81" xr:uid="{00000000-0004-0000-0F00-000050000000}"/>
    <hyperlink ref="D229" r:id="rId82" xr:uid="{00000000-0004-0000-0F00-000051000000}"/>
    <hyperlink ref="D243" r:id="rId83" xr:uid="{00000000-0004-0000-0F00-000052000000}"/>
    <hyperlink ref="D248" r:id="rId84" xr:uid="{00000000-0004-0000-0F00-000053000000}"/>
    <hyperlink ref="D262" r:id="rId85" xr:uid="{00000000-0004-0000-0F00-000054000000}"/>
    <hyperlink ref="D278" r:id="rId86" xr:uid="{00000000-0004-0000-0F00-000055000000}"/>
    <hyperlink ref="D292" r:id="rId87" xr:uid="{00000000-0004-0000-0F00-000056000000}"/>
    <hyperlink ref="D293" r:id="rId88" xr:uid="{00000000-0004-0000-0F00-000057000000}"/>
    <hyperlink ref="D294" r:id="rId89" xr:uid="{00000000-0004-0000-0F00-000058000000}"/>
    <hyperlink ref="D295" r:id="rId90" xr:uid="{00000000-0004-0000-0F00-000059000000}"/>
    <hyperlink ref="D298" r:id="rId91" xr:uid="{00000000-0004-0000-0F00-00005A000000}"/>
    <hyperlink ref="D299" r:id="rId92" xr:uid="{00000000-0004-0000-0F00-00005B000000}"/>
    <hyperlink ref="D333" r:id="rId93" xr:uid="{00000000-0004-0000-0F00-00005C000000}"/>
    <hyperlink ref="D346" r:id="rId94" xr:uid="{00000000-0004-0000-0F00-00005D000000}"/>
    <hyperlink ref="D347" r:id="rId95" xr:uid="{00000000-0004-0000-0F00-00005E000000}"/>
    <hyperlink ref="D348" r:id="rId96" xr:uid="{00000000-0004-0000-0F00-00005F000000}"/>
    <hyperlink ref="D349" r:id="rId97" xr:uid="{00000000-0004-0000-0F00-000060000000}"/>
    <hyperlink ref="D350" r:id="rId98" xr:uid="{00000000-0004-0000-0F00-000061000000}"/>
    <hyperlink ref="D351" r:id="rId99" xr:uid="{00000000-0004-0000-0F00-000062000000}"/>
    <hyperlink ref="D352" r:id="rId100" xr:uid="{00000000-0004-0000-0F00-000063000000}"/>
    <hyperlink ref="D353" r:id="rId101" xr:uid="{00000000-0004-0000-0F00-000064000000}"/>
    <hyperlink ref="D354" r:id="rId102" xr:uid="{00000000-0004-0000-0F00-000065000000}"/>
    <hyperlink ref="D355" r:id="rId103" xr:uid="{00000000-0004-0000-0F00-000066000000}"/>
    <hyperlink ref="D356" r:id="rId104" xr:uid="{00000000-0004-0000-0F00-000067000000}"/>
    <hyperlink ref="D357" r:id="rId105" xr:uid="{00000000-0004-0000-0F00-000068000000}"/>
    <hyperlink ref="D358" r:id="rId106" xr:uid="{00000000-0004-0000-0F00-000069000000}"/>
    <hyperlink ref="D359" r:id="rId107" xr:uid="{00000000-0004-0000-0F00-00006A000000}"/>
    <hyperlink ref="D360" r:id="rId108" xr:uid="{00000000-0004-0000-0F00-00006B000000}"/>
    <hyperlink ref="D361" r:id="rId109" xr:uid="{00000000-0004-0000-0F00-00006C000000}"/>
    <hyperlink ref="D362" r:id="rId110" xr:uid="{00000000-0004-0000-0F00-00006D000000}"/>
    <hyperlink ref="D363" r:id="rId111" xr:uid="{00000000-0004-0000-0F00-00006E000000}"/>
    <hyperlink ref="D364" r:id="rId112" xr:uid="{00000000-0004-0000-0F00-00006F000000}"/>
    <hyperlink ref="D365" r:id="rId113" xr:uid="{00000000-0004-0000-0F00-000070000000}"/>
    <hyperlink ref="D366" r:id="rId114" xr:uid="{00000000-0004-0000-0F00-000071000000}"/>
    <hyperlink ref="D367" r:id="rId115" xr:uid="{00000000-0004-0000-0F00-000072000000}"/>
    <hyperlink ref="D368" r:id="rId116" xr:uid="{00000000-0004-0000-0F00-000073000000}"/>
    <hyperlink ref="D369" r:id="rId117" xr:uid="{00000000-0004-0000-0F00-000074000000}"/>
    <hyperlink ref="D370" r:id="rId118" xr:uid="{00000000-0004-0000-0F00-000075000000}"/>
    <hyperlink ref="D371" r:id="rId119" xr:uid="{00000000-0004-0000-0F00-000076000000}"/>
    <hyperlink ref="D372" r:id="rId120" xr:uid="{00000000-0004-0000-0F00-000077000000}"/>
    <hyperlink ref="D373" r:id="rId121" xr:uid="{00000000-0004-0000-0F00-000078000000}"/>
    <hyperlink ref="D374" r:id="rId122" xr:uid="{00000000-0004-0000-0F00-000079000000}"/>
    <hyperlink ref="D375" r:id="rId123" xr:uid="{00000000-0004-0000-0F00-00007A000000}"/>
    <hyperlink ref="D376" r:id="rId124" xr:uid="{00000000-0004-0000-0F00-00007B000000}"/>
    <hyperlink ref="D377" r:id="rId125" xr:uid="{00000000-0004-0000-0F00-00007C000000}"/>
    <hyperlink ref="D378" r:id="rId126" xr:uid="{00000000-0004-0000-0F00-00007D000000}"/>
    <hyperlink ref="D379" r:id="rId127" xr:uid="{00000000-0004-0000-0F00-00007E000000}"/>
    <hyperlink ref="D380" r:id="rId128" xr:uid="{00000000-0004-0000-0F00-00007F000000}"/>
    <hyperlink ref="D381" r:id="rId129" xr:uid="{00000000-0004-0000-0F00-000080000000}"/>
    <hyperlink ref="D382" r:id="rId130" xr:uid="{00000000-0004-0000-0F00-000081000000}"/>
    <hyperlink ref="D383" r:id="rId131" xr:uid="{00000000-0004-0000-0F00-000082000000}"/>
    <hyperlink ref="D384" r:id="rId132" xr:uid="{00000000-0004-0000-0F00-000083000000}"/>
    <hyperlink ref="D385" r:id="rId133" xr:uid="{00000000-0004-0000-0F00-000084000000}"/>
    <hyperlink ref="D386" r:id="rId134" xr:uid="{00000000-0004-0000-0F00-000085000000}"/>
    <hyperlink ref="D387" r:id="rId135" xr:uid="{00000000-0004-0000-0F00-000086000000}"/>
    <hyperlink ref="D388" r:id="rId136" xr:uid="{00000000-0004-0000-0F00-000087000000}"/>
    <hyperlink ref="D389" r:id="rId137" xr:uid="{00000000-0004-0000-0F00-000088000000}"/>
    <hyperlink ref="D390" r:id="rId138" xr:uid="{00000000-0004-0000-0F00-000089000000}"/>
    <hyperlink ref="D391" r:id="rId139" xr:uid="{00000000-0004-0000-0F00-00008A000000}"/>
    <hyperlink ref="D392" r:id="rId140" xr:uid="{00000000-0004-0000-0F00-00008B000000}"/>
    <hyperlink ref="D393" r:id="rId141" xr:uid="{00000000-0004-0000-0F00-00008C000000}"/>
    <hyperlink ref="D394" r:id="rId142" xr:uid="{00000000-0004-0000-0F00-00008D000000}"/>
    <hyperlink ref="D395" r:id="rId143" xr:uid="{00000000-0004-0000-0F00-00008E000000}"/>
    <hyperlink ref="D396" r:id="rId144" xr:uid="{00000000-0004-0000-0F00-00008F000000}"/>
    <hyperlink ref="D397" r:id="rId145" xr:uid="{00000000-0004-0000-0F00-000090000000}"/>
    <hyperlink ref="D398" r:id="rId146" xr:uid="{00000000-0004-0000-0F00-000091000000}"/>
    <hyperlink ref="D399" r:id="rId147" xr:uid="{00000000-0004-0000-0F00-000092000000}"/>
    <hyperlink ref="D400" r:id="rId148" xr:uid="{00000000-0004-0000-0F00-000093000000}"/>
    <hyperlink ref="D401" r:id="rId149" xr:uid="{00000000-0004-0000-0F00-000094000000}"/>
    <hyperlink ref="D402" r:id="rId150" xr:uid="{00000000-0004-0000-0F00-000095000000}"/>
    <hyperlink ref="D403" r:id="rId151" xr:uid="{00000000-0004-0000-0F00-000096000000}"/>
    <hyperlink ref="D404" r:id="rId152" xr:uid="{00000000-0004-0000-0F00-000097000000}"/>
    <hyperlink ref="D405" r:id="rId153" xr:uid="{00000000-0004-0000-0F00-000098000000}"/>
    <hyperlink ref="D406" r:id="rId154" xr:uid="{00000000-0004-0000-0F00-000099000000}"/>
    <hyperlink ref="D407" r:id="rId155" xr:uid="{00000000-0004-0000-0F00-00009A000000}"/>
    <hyperlink ref="D408" r:id="rId156" xr:uid="{00000000-0004-0000-0F00-00009B000000}"/>
    <hyperlink ref="D409" r:id="rId157" xr:uid="{00000000-0004-0000-0F00-00009C000000}"/>
    <hyperlink ref="D410" r:id="rId158" xr:uid="{00000000-0004-0000-0F00-00009D000000}"/>
    <hyperlink ref="D411" r:id="rId159" xr:uid="{00000000-0004-0000-0F00-00009E000000}"/>
    <hyperlink ref="D412" r:id="rId160" xr:uid="{00000000-0004-0000-0F00-00009F000000}"/>
    <hyperlink ref="D413" r:id="rId161" xr:uid="{00000000-0004-0000-0F00-0000A0000000}"/>
    <hyperlink ref="D414" r:id="rId162" xr:uid="{00000000-0004-0000-0F00-0000A1000000}"/>
    <hyperlink ref="D415" r:id="rId163" xr:uid="{00000000-0004-0000-0F00-0000A2000000}"/>
    <hyperlink ref="D416" r:id="rId164" xr:uid="{00000000-0004-0000-0F00-0000A3000000}"/>
    <hyperlink ref="D417" r:id="rId165" xr:uid="{00000000-0004-0000-0F00-0000A4000000}"/>
    <hyperlink ref="D418" r:id="rId166" xr:uid="{00000000-0004-0000-0F00-0000A5000000}"/>
    <hyperlink ref="D419" r:id="rId167" xr:uid="{00000000-0004-0000-0F00-0000A6000000}"/>
    <hyperlink ref="D420" r:id="rId168" xr:uid="{00000000-0004-0000-0F00-0000A7000000}"/>
    <hyperlink ref="D421" r:id="rId169" xr:uid="{00000000-0004-0000-0F00-0000A8000000}"/>
    <hyperlink ref="D422" r:id="rId170" xr:uid="{00000000-0004-0000-0F00-0000A9000000}"/>
    <hyperlink ref="D423" r:id="rId171" xr:uid="{00000000-0004-0000-0F00-0000AA000000}"/>
    <hyperlink ref="D424" r:id="rId172" xr:uid="{00000000-0004-0000-0F00-0000AB000000}"/>
    <hyperlink ref="D425" r:id="rId173" xr:uid="{00000000-0004-0000-0F00-0000AC000000}"/>
    <hyperlink ref="D426" r:id="rId174" xr:uid="{00000000-0004-0000-0F00-0000AD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ummaryRight="0"/>
  </sheetPr>
  <dimension ref="A1:AA2688"/>
  <sheetViews>
    <sheetView workbookViewId="0">
      <pane ySplit="2" topLeftCell="A3" activePane="bottomLeft" state="frozen"/>
      <selection pane="bottomLeft"/>
    </sheetView>
  </sheetViews>
  <sheetFormatPr defaultColWidth="14.42578125" defaultRowHeight="15.75" customHeight="1"/>
  <cols>
    <col min="1" max="1" width="7.7109375" customWidth="1"/>
    <col min="2" max="2" width="7" customWidth="1"/>
    <col min="3" max="3" width="7.5703125" customWidth="1"/>
    <col min="4" max="4" width="7" customWidth="1"/>
    <col min="5" max="5" width="39.140625" customWidth="1"/>
    <col min="6" max="6" width="6.42578125" customWidth="1"/>
    <col min="7" max="7" width="12.140625" customWidth="1"/>
    <col min="8" max="8" width="6.5703125" customWidth="1"/>
    <col min="9" max="9" width="8" customWidth="1"/>
    <col min="10" max="10" width="7.42578125" customWidth="1"/>
    <col min="11" max="11" width="6.42578125" customWidth="1"/>
    <col min="12" max="12" width="13.28515625" customWidth="1"/>
    <col min="13" max="13" width="8" customWidth="1"/>
    <col min="14" max="14" width="10.28515625" customWidth="1"/>
    <col min="15" max="15" width="10.7109375" customWidth="1"/>
  </cols>
  <sheetData>
    <row r="1" spans="1:27" ht="43.5" customHeight="1">
      <c r="A1" s="343" t="s">
        <v>247</v>
      </c>
      <c r="B1" s="343" t="s">
        <v>4581</v>
      </c>
      <c r="C1" s="343" t="s">
        <v>4582</v>
      </c>
      <c r="D1" s="343" t="s">
        <v>4583</v>
      </c>
      <c r="E1" s="4" t="s">
        <v>251</v>
      </c>
      <c r="F1" s="4" t="s">
        <v>3994</v>
      </c>
      <c r="G1" s="4" t="s">
        <v>3995</v>
      </c>
      <c r="H1" s="4" t="s">
        <v>4584</v>
      </c>
      <c r="I1" s="344" t="s">
        <v>4528</v>
      </c>
      <c r="J1" s="330" t="s">
        <v>4585</v>
      </c>
      <c r="K1" s="4" t="s">
        <v>4536</v>
      </c>
      <c r="L1" s="4" t="s">
        <v>4586</v>
      </c>
      <c r="M1" s="4" t="s">
        <v>4587</v>
      </c>
      <c r="N1" s="4" t="s">
        <v>4588</v>
      </c>
      <c r="O1" s="4" t="s">
        <v>4589</v>
      </c>
      <c r="P1" s="4" t="s">
        <v>4534</v>
      </c>
      <c r="Q1" s="10"/>
      <c r="R1" s="10"/>
      <c r="S1" s="10"/>
      <c r="T1" s="10"/>
      <c r="U1" s="10"/>
      <c r="V1" s="10"/>
      <c r="W1" s="10"/>
      <c r="X1" s="10"/>
      <c r="Y1" s="10"/>
      <c r="Z1" s="10"/>
      <c r="AA1" s="10"/>
    </row>
    <row r="2" spans="1:27" ht="18">
      <c r="A2" s="92"/>
      <c r="B2" s="345"/>
      <c r="C2" s="92"/>
      <c r="D2" s="345"/>
      <c r="E2" s="45">
        <f t="shared" ref="E2:F2" si="0">COUNTA(E3:E2688)</f>
        <v>2654</v>
      </c>
      <c r="F2" s="45">
        <f t="shared" si="0"/>
        <v>2414</v>
      </c>
      <c r="G2" s="45">
        <f>F2+H2</f>
        <v>2654</v>
      </c>
      <c r="H2" s="45">
        <f>COUNTA(H3:H2688)</f>
        <v>240</v>
      </c>
      <c r="I2" s="45">
        <f>SUM(J2:P2)</f>
        <v>2414</v>
      </c>
      <c r="J2" s="346">
        <f t="shared" ref="J2:P2" si="1">SUM(J3:J2688)</f>
        <v>974</v>
      </c>
      <c r="K2" s="346">
        <f t="shared" si="1"/>
        <v>21</v>
      </c>
      <c r="L2" s="346">
        <f t="shared" si="1"/>
        <v>327</v>
      </c>
      <c r="M2" s="346">
        <f t="shared" si="1"/>
        <v>38</v>
      </c>
      <c r="N2" s="346">
        <f t="shared" si="1"/>
        <v>862</v>
      </c>
      <c r="O2" s="346">
        <f t="shared" si="1"/>
        <v>191</v>
      </c>
      <c r="P2" s="346">
        <f t="shared" si="1"/>
        <v>1</v>
      </c>
      <c r="Q2" s="346"/>
    </row>
    <row r="3" spans="1:27" ht="18">
      <c r="A3" s="92" t="s">
        <v>1967</v>
      </c>
      <c r="B3" s="345">
        <v>1969</v>
      </c>
      <c r="C3" s="92" t="s">
        <v>4590</v>
      </c>
      <c r="D3" s="345">
        <v>5309454</v>
      </c>
      <c r="E3" s="278" t="str">
        <f t="shared" ref="E3:E901" si="2">"https://pubmed.ncbi.nlm.nih.gov/?term="&amp;D3</f>
        <v>https://pubmed.ncbi.nlm.nih.gov/?term=5309454</v>
      </c>
      <c r="H3" s="28" t="s">
        <v>511</v>
      </c>
      <c r="J3" s="346" t="str">
        <f t="shared" ref="J3:J1250" si="3">IF(F3="yes",IFERROR(IF(FIND("review",G3)&gt;0,1),""),"")</f>
        <v/>
      </c>
      <c r="K3" s="28" t="str">
        <f t="shared" ref="K3:K1316" si="4">IF(F3="yes",IF(SUM(J3)=0,IFERROR(IF(FIND("case report",G3)&gt;0,1),""),""),"")</f>
        <v/>
      </c>
      <c r="L3" s="45" t="str">
        <f t="shared" ref="L3:L1316" si="5">IF(F3="yes",IF(SUM(J3:K3)=0,IFERROR(IF(FIND("animal",G3)&gt;0,1),""),""),"")</f>
        <v/>
      </c>
      <c r="M3" s="45" t="str">
        <f t="shared" ref="M3:M1316" si="6">IF(F3="yes",IF(SUM(J3:L3)=0, IFERROR(IF(FIND("not in english",G3)&gt;0,1),""),""),"")</f>
        <v/>
      </c>
      <c r="N3" s="45" t="str">
        <f t="shared" ref="N3:N1316" si="7">IF(F3="yes",IF(SUM(J3:M3)=0,IFERROR(IF(FIND("challenge",G3)&gt;0,1),""),""),"")</f>
        <v/>
      </c>
      <c r="O3" s="45" t="str">
        <f t="shared" ref="O3:O1316" si="8">IF(F3="yes",IF(SUM(J3:N3)=0,IFERROR(IF(FIND("assesses",G3)&gt;0,1),IFERROR(IF(FIND("evaluates",G3)&gt;0,1),"")),""),"")</f>
        <v/>
      </c>
      <c r="P3" s="45" t="str">
        <f t="shared" ref="P3:P1316" si="9">IF(F3="yes",IF(SUM(J3:O3)=0,IFERROR(IF(FIND("duplicate",G3)&gt;0,1),""),""),"")</f>
        <v/>
      </c>
    </row>
    <row r="4" spans="1:27" ht="18">
      <c r="A4" s="92" t="s">
        <v>4591</v>
      </c>
      <c r="B4" s="345">
        <v>1990</v>
      </c>
      <c r="C4" s="92"/>
      <c r="D4" s="345">
        <v>2277188</v>
      </c>
      <c r="E4" s="278" t="str">
        <f t="shared" si="2"/>
        <v>https://pubmed.ncbi.nlm.nih.gov/?term=2277188</v>
      </c>
      <c r="F4" s="28" t="s">
        <v>511</v>
      </c>
      <c r="G4" s="28" t="s">
        <v>4592</v>
      </c>
      <c r="J4" s="346">
        <f t="shared" si="3"/>
        <v>1</v>
      </c>
      <c r="K4" s="28" t="str">
        <f t="shared" si="4"/>
        <v/>
      </c>
      <c r="L4" s="45" t="str">
        <f t="shared" si="5"/>
        <v/>
      </c>
      <c r="M4" s="45" t="str">
        <f t="shared" si="6"/>
        <v/>
      </c>
      <c r="N4" s="45" t="str">
        <f t="shared" si="7"/>
        <v/>
      </c>
      <c r="O4" s="45" t="str">
        <f t="shared" si="8"/>
        <v/>
      </c>
      <c r="P4" s="45" t="str">
        <f t="shared" si="9"/>
        <v/>
      </c>
    </row>
    <row r="5" spans="1:27" ht="18">
      <c r="A5" s="92" t="s">
        <v>1557</v>
      </c>
      <c r="B5" s="345">
        <v>1986</v>
      </c>
      <c r="C5" s="92" t="s">
        <v>4593</v>
      </c>
      <c r="D5" s="345">
        <v>3722363</v>
      </c>
      <c r="E5" s="278" t="str">
        <f t="shared" si="2"/>
        <v>https://pubmed.ncbi.nlm.nih.gov/?term=3722363</v>
      </c>
      <c r="H5" s="28" t="s">
        <v>511</v>
      </c>
      <c r="J5" s="346" t="str">
        <f t="shared" si="3"/>
        <v/>
      </c>
      <c r="K5" s="28" t="str">
        <f t="shared" si="4"/>
        <v/>
      </c>
      <c r="L5" s="45" t="str">
        <f t="shared" si="5"/>
        <v/>
      </c>
      <c r="M5" s="45" t="str">
        <f t="shared" si="6"/>
        <v/>
      </c>
      <c r="N5" s="45" t="str">
        <f t="shared" si="7"/>
        <v/>
      </c>
      <c r="O5" s="45" t="str">
        <f t="shared" si="8"/>
        <v/>
      </c>
      <c r="P5" s="45" t="str">
        <f t="shared" si="9"/>
        <v/>
      </c>
    </row>
    <row r="6" spans="1:27" ht="18">
      <c r="A6" s="92" t="s">
        <v>4594</v>
      </c>
      <c r="B6" s="345">
        <v>1982</v>
      </c>
      <c r="C6" s="92"/>
      <c r="D6" s="345">
        <v>6286795</v>
      </c>
      <c r="E6" s="278" t="str">
        <f t="shared" si="2"/>
        <v>https://pubmed.ncbi.nlm.nih.gov/?term=6286795</v>
      </c>
      <c r="F6" s="28" t="s">
        <v>511</v>
      </c>
      <c r="G6" s="28" t="s">
        <v>4595</v>
      </c>
      <c r="J6" s="346" t="str">
        <f t="shared" si="3"/>
        <v/>
      </c>
      <c r="K6" s="28" t="str">
        <f t="shared" si="4"/>
        <v/>
      </c>
      <c r="L6" s="45">
        <f t="shared" si="5"/>
        <v>1</v>
      </c>
      <c r="M6" s="45" t="str">
        <f t="shared" si="6"/>
        <v/>
      </c>
      <c r="N6" s="45" t="str">
        <f t="shared" si="7"/>
        <v/>
      </c>
      <c r="O6" s="45" t="str">
        <f t="shared" si="8"/>
        <v/>
      </c>
      <c r="P6" s="45" t="str">
        <f t="shared" si="9"/>
        <v/>
      </c>
    </row>
    <row r="7" spans="1:27" ht="18">
      <c r="A7" s="92" t="s">
        <v>4257</v>
      </c>
      <c r="B7" s="345">
        <v>1986</v>
      </c>
      <c r="C7" s="92"/>
      <c r="D7" s="345">
        <v>3531141</v>
      </c>
      <c r="E7" s="278" t="str">
        <f t="shared" si="2"/>
        <v>https://pubmed.ncbi.nlm.nih.gov/?term=3531141</v>
      </c>
      <c r="H7" s="28" t="s">
        <v>511</v>
      </c>
      <c r="J7" s="346" t="str">
        <f t="shared" si="3"/>
        <v/>
      </c>
      <c r="K7" s="28" t="str">
        <f t="shared" si="4"/>
        <v/>
      </c>
      <c r="L7" s="45" t="str">
        <f t="shared" si="5"/>
        <v/>
      </c>
      <c r="M7" s="45" t="str">
        <f t="shared" si="6"/>
        <v/>
      </c>
      <c r="N7" s="45" t="str">
        <f t="shared" si="7"/>
        <v/>
      </c>
      <c r="O7" s="45" t="str">
        <f t="shared" si="8"/>
        <v/>
      </c>
      <c r="P7" s="45" t="str">
        <f t="shared" si="9"/>
        <v/>
      </c>
    </row>
    <row r="8" spans="1:27" ht="18">
      <c r="A8" s="92" t="s">
        <v>1557</v>
      </c>
      <c r="B8" s="345">
        <v>1984</v>
      </c>
      <c r="C8" s="92"/>
      <c r="D8" s="345">
        <v>6143042</v>
      </c>
      <c r="E8" s="278" t="str">
        <f t="shared" si="2"/>
        <v>https://pubmed.ncbi.nlm.nih.gov/?term=6143042</v>
      </c>
      <c r="H8" s="28" t="s">
        <v>511</v>
      </c>
      <c r="J8" s="346" t="str">
        <f t="shared" si="3"/>
        <v/>
      </c>
      <c r="K8" s="28" t="str">
        <f t="shared" si="4"/>
        <v/>
      </c>
      <c r="L8" s="45" t="str">
        <f t="shared" si="5"/>
        <v/>
      </c>
      <c r="M8" s="45" t="str">
        <f t="shared" si="6"/>
        <v/>
      </c>
      <c r="N8" s="45" t="str">
        <f t="shared" si="7"/>
        <v/>
      </c>
      <c r="O8" s="45" t="str">
        <f t="shared" si="8"/>
        <v/>
      </c>
      <c r="P8" s="45" t="str">
        <f t="shared" si="9"/>
        <v/>
      </c>
    </row>
    <row r="9" spans="1:27" ht="18">
      <c r="A9" s="92" t="s">
        <v>1835</v>
      </c>
      <c r="B9" s="345">
        <v>1982</v>
      </c>
      <c r="C9" s="92"/>
      <c r="D9" s="345">
        <v>7137990</v>
      </c>
      <c r="E9" s="278" t="str">
        <f t="shared" si="2"/>
        <v>https://pubmed.ncbi.nlm.nih.gov/?term=7137990</v>
      </c>
      <c r="H9" s="28" t="s">
        <v>511</v>
      </c>
      <c r="J9" s="346" t="str">
        <f t="shared" si="3"/>
        <v/>
      </c>
      <c r="K9" s="28" t="str">
        <f t="shared" si="4"/>
        <v/>
      </c>
      <c r="L9" s="45" t="str">
        <f t="shared" si="5"/>
        <v/>
      </c>
      <c r="M9" s="45" t="str">
        <f t="shared" si="6"/>
        <v/>
      </c>
      <c r="N9" s="45" t="str">
        <f t="shared" si="7"/>
        <v/>
      </c>
      <c r="O9" s="45" t="str">
        <f t="shared" si="8"/>
        <v/>
      </c>
      <c r="P9" s="45" t="str">
        <f t="shared" si="9"/>
        <v/>
      </c>
    </row>
    <row r="10" spans="1:27" ht="18">
      <c r="A10" s="92" t="s">
        <v>4596</v>
      </c>
      <c r="B10" s="345">
        <v>1979</v>
      </c>
      <c r="C10" s="92" t="s">
        <v>4597</v>
      </c>
      <c r="D10" s="345">
        <v>118925</v>
      </c>
      <c r="E10" s="278" t="str">
        <f t="shared" si="2"/>
        <v>https://pubmed.ncbi.nlm.nih.gov/?term=118925</v>
      </c>
      <c r="F10" s="28" t="s">
        <v>511</v>
      </c>
      <c r="G10" s="28" t="s">
        <v>4595</v>
      </c>
      <c r="J10" s="346" t="str">
        <f t="shared" si="3"/>
        <v/>
      </c>
      <c r="K10" s="28" t="str">
        <f t="shared" si="4"/>
        <v/>
      </c>
      <c r="L10" s="45">
        <f t="shared" si="5"/>
        <v>1</v>
      </c>
      <c r="M10" s="45" t="str">
        <f t="shared" si="6"/>
        <v/>
      </c>
      <c r="N10" s="45" t="str">
        <f t="shared" si="7"/>
        <v/>
      </c>
      <c r="O10" s="45" t="str">
        <f t="shared" si="8"/>
        <v/>
      </c>
      <c r="P10" s="45" t="str">
        <f t="shared" si="9"/>
        <v/>
      </c>
    </row>
    <row r="11" spans="1:27" ht="18">
      <c r="A11" s="92" t="s">
        <v>2249</v>
      </c>
      <c r="B11" s="345">
        <v>1985</v>
      </c>
      <c r="C11" s="92" t="s">
        <v>4598</v>
      </c>
      <c r="D11" s="345">
        <v>4056002</v>
      </c>
      <c r="E11" s="278" t="str">
        <f t="shared" si="2"/>
        <v>https://pubmed.ncbi.nlm.nih.gov/?term=4056002</v>
      </c>
      <c r="H11" s="28" t="s">
        <v>511</v>
      </c>
      <c r="J11" s="346" t="str">
        <f t="shared" si="3"/>
        <v/>
      </c>
      <c r="K11" s="28" t="str">
        <f t="shared" si="4"/>
        <v/>
      </c>
      <c r="L11" s="45" t="str">
        <f t="shared" si="5"/>
        <v/>
      </c>
      <c r="M11" s="45" t="str">
        <f t="shared" si="6"/>
        <v/>
      </c>
      <c r="N11" s="45" t="str">
        <f t="shared" si="7"/>
        <v/>
      </c>
      <c r="O11" s="45" t="str">
        <f t="shared" si="8"/>
        <v/>
      </c>
      <c r="P11" s="45" t="str">
        <f t="shared" si="9"/>
        <v/>
      </c>
    </row>
    <row r="12" spans="1:27" ht="18">
      <c r="A12" s="92" t="s">
        <v>4599</v>
      </c>
      <c r="B12" s="345">
        <v>1974</v>
      </c>
      <c r="C12" s="92" t="s">
        <v>4600</v>
      </c>
      <c r="D12" s="345">
        <v>4443806</v>
      </c>
      <c r="E12" s="278" t="str">
        <f t="shared" si="2"/>
        <v>https://pubmed.ncbi.nlm.nih.gov/?term=4443806</v>
      </c>
      <c r="F12" s="28" t="s">
        <v>511</v>
      </c>
      <c r="G12" s="28" t="s">
        <v>4536</v>
      </c>
      <c r="J12" s="346" t="str">
        <f t="shared" si="3"/>
        <v/>
      </c>
      <c r="K12" s="28">
        <f t="shared" si="4"/>
        <v>1</v>
      </c>
      <c r="L12" s="45" t="str">
        <f t="shared" si="5"/>
        <v/>
      </c>
      <c r="M12" s="45" t="str">
        <f t="shared" si="6"/>
        <v/>
      </c>
      <c r="N12" s="45" t="str">
        <f t="shared" si="7"/>
        <v/>
      </c>
      <c r="O12" s="45" t="str">
        <f t="shared" si="8"/>
        <v/>
      </c>
      <c r="P12" s="45" t="str">
        <f t="shared" si="9"/>
        <v/>
      </c>
    </row>
    <row r="13" spans="1:27" ht="18">
      <c r="A13" s="92" t="s">
        <v>2152</v>
      </c>
      <c r="B13" s="345">
        <v>1989</v>
      </c>
      <c r="C13" s="92"/>
      <c r="D13" s="345">
        <v>2712549</v>
      </c>
      <c r="E13" s="278" t="str">
        <f t="shared" si="2"/>
        <v>https://pubmed.ncbi.nlm.nih.gov/?term=2712549</v>
      </c>
      <c r="H13" s="28" t="s">
        <v>511</v>
      </c>
      <c r="J13" s="346" t="str">
        <f t="shared" si="3"/>
        <v/>
      </c>
      <c r="K13" s="28" t="str">
        <f t="shared" si="4"/>
        <v/>
      </c>
      <c r="L13" s="45" t="str">
        <f t="shared" si="5"/>
        <v/>
      </c>
      <c r="M13" s="45" t="str">
        <f t="shared" si="6"/>
        <v/>
      </c>
      <c r="N13" s="45" t="str">
        <f t="shared" si="7"/>
        <v/>
      </c>
      <c r="O13" s="45" t="str">
        <f t="shared" si="8"/>
        <v/>
      </c>
      <c r="P13" s="45" t="str">
        <f t="shared" si="9"/>
        <v/>
      </c>
    </row>
    <row r="14" spans="1:27" ht="18">
      <c r="A14" s="92" t="s">
        <v>4265</v>
      </c>
      <c r="B14" s="345">
        <v>1988</v>
      </c>
      <c r="C14" s="92"/>
      <c r="D14" s="345">
        <v>3183640</v>
      </c>
      <c r="E14" s="278" t="str">
        <f t="shared" si="2"/>
        <v>https://pubmed.ncbi.nlm.nih.gov/?term=3183640</v>
      </c>
      <c r="H14" s="28" t="s">
        <v>511</v>
      </c>
      <c r="J14" s="346" t="str">
        <f t="shared" si="3"/>
        <v/>
      </c>
      <c r="K14" s="28" t="str">
        <f t="shared" si="4"/>
        <v/>
      </c>
      <c r="L14" s="45" t="str">
        <f t="shared" si="5"/>
        <v/>
      </c>
      <c r="M14" s="45" t="str">
        <f t="shared" si="6"/>
        <v/>
      </c>
      <c r="N14" s="45" t="str">
        <f t="shared" si="7"/>
        <v/>
      </c>
      <c r="O14" s="45" t="str">
        <f t="shared" si="8"/>
        <v/>
      </c>
      <c r="P14" s="45" t="str">
        <f t="shared" si="9"/>
        <v/>
      </c>
    </row>
    <row r="15" spans="1:27" ht="18">
      <c r="A15" s="92" t="s">
        <v>2249</v>
      </c>
      <c r="B15" s="345">
        <v>1986</v>
      </c>
      <c r="C15" s="92" t="s">
        <v>4601</v>
      </c>
      <c r="D15" s="345">
        <v>3711273</v>
      </c>
      <c r="E15" s="278" t="str">
        <f t="shared" si="2"/>
        <v>https://pubmed.ncbi.nlm.nih.gov/?term=3711273</v>
      </c>
      <c r="H15" s="28" t="s">
        <v>511</v>
      </c>
      <c r="J15" s="346" t="str">
        <f t="shared" si="3"/>
        <v/>
      </c>
      <c r="K15" s="28" t="str">
        <f t="shared" si="4"/>
        <v/>
      </c>
      <c r="L15" s="45" t="str">
        <f t="shared" si="5"/>
        <v/>
      </c>
      <c r="M15" s="45" t="str">
        <f t="shared" si="6"/>
        <v/>
      </c>
      <c r="N15" s="45" t="str">
        <f t="shared" si="7"/>
        <v/>
      </c>
      <c r="O15" s="45" t="str">
        <f t="shared" si="8"/>
        <v/>
      </c>
      <c r="P15" s="45" t="str">
        <f t="shared" si="9"/>
        <v/>
      </c>
    </row>
    <row r="16" spans="1:27" ht="18">
      <c r="A16" s="92" t="s">
        <v>1557</v>
      </c>
      <c r="B16" s="345">
        <v>1986</v>
      </c>
      <c r="C16" s="92" t="s">
        <v>4602</v>
      </c>
      <c r="D16" s="345">
        <v>3700611</v>
      </c>
      <c r="E16" s="278" t="str">
        <f t="shared" si="2"/>
        <v>https://pubmed.ncbi.nlm.nih.gov/?term=3700611</v>
      </c>
      <c r="H16" s="28" t="s">
        <v>511</v>
      </c>
      <c r="J16" s="346" t="str">
        <f t="shared" si="3"/>
        <v/>
      </c>
      <c r="K16" s="28" t="str">
        <f t="shared" si="4"/>
        <v/>
      </c>
      <c r="L16" s="45" t="str">
        <f t="shared" si="5"/>
        <v/>
      </c>
      <c r="M16" s="45" t="str">
        <f t="shared" si="6"/>
        <v/>
      </c>
      <c r="N16" s="45" t="str">
        <f t="shared" si="7"/>
        <v/>
      </c>
      <c r="O16" s="45" t="str">
        <f t="shared" si="8"/>
        <v/>
      </c>
      <c r="P16" s="45" t="str">
        <f t="shared" si="9"/>
        <v/>
      </c>
    </row>
    <row r="17" spans="1:16" ht="18">
      <c r="A17" s="92" t="s">
        <v>4603</v>
      </c>
      <c r="B17" s="345">
        <v>1975</v>
      </c>
      <c r="C17" s="92"/>
      <c r="D17" s="345">
        <v>165119</v>
      </c>
      <c r="E17" s="278" t="str">
        <f t="shared" si="2"/>
        <v>https://pubmed.ncbi.nlm.nih.gov/?term=165119</v>
      </c>
      <c r="F17" s="28" t="s">
        <v>511</v>
      </c>
      <c r="G17" s="28" t="s">
        <v>4592</v>
      </c>
      <c r="J17" s="346">
        <f t="shared" si="3"/>
        <v>1</v>
      </c>
      <c r="K17" s="28" t="str">
        <f t="shared" si="4"/>
        <v/>
      </c>
      <c r="L17" s="45" t="str">
        <f t="shared" si="5"/>
        <v/>
      </c>
      <c r="M17" s="45" t="str">
        <f t="shared" si="6"/>
        <v/>
      </c>
      <c r="N17" s="45" t="str">
        <f t="shared" si="7"/>
        <v/>
      </c>
      <c r="O17" s="45" t="str">
        <f t="shared" si="8"/>
        <v/>
      </c>
      <c r="P17" s="45" t="str">
        <f t="shared" si="9"/>
        <v/>
      </c>
    </row>
    <row r="18" spans="1:16" ht="18">
      <c r="A18" s="92" t="s">
        <v>4344</v>
      </c>
      <c r="B18" s="345">
        <v>1990</v>
      </c>
      <c r="C18" s="92"/>
      <c r="D18" s="345">
        <v>2162116</v>
      </c>
      <c r="E18" s="278" t="str">
        <f t="shared" si="2"/>
        <v>https://pubmed.ncbi.nlm.nih.gov/?term=2162116</v>
      </c>
      <c r="H18" s="28" t="s">
        <v>511</v>
      </c>
      <c r="J18" s="346" t="str">
        <f t="shared" si="3"/>
        <v/>
      </c>
      <c r="K18" s="28" t="str">
        <f t="shared" si="4"/>
        <v/>
      </c>
      <c r="L18" s="45" t="str">
        <f t="shared" si="5"/>
        <v/>
      </c>
      <c r="M18" s="45" t="str">
        <f t="shared" si="6"/>
        <v/>
      </c>
      <c r="N18" s="45" t="str">
        <f t="shared" si="7"/>
        <v/>
      </c>
      <c r="O18" s="45" t="str">
        <f t="shared" si="8"/>
        <v/>
      </c>
      <c r="P18" s="45" t="str">
        <f t="shared" si="9"/>
        <v/>
      </c>
    </row>
    <row r="19" spans="1:16" ht="18">
      <c r="A19" s="92" t="s">
        <v>1672</v>
      </c>
      <c r="B19" s="345">
        <v>1979</v>
      </c>
      <c r="C19" s="92" t="s">
        <v>4604</v>
      </c>
      <c r="D19" s="345">
        <v>500204</v>
      </c>
      <c r="E19" s="278" t="str">
        <f t="shared" si="2"/>
        <v>https://pubmed.ncbi.nlm.nih.gov/?term=500204</v>
      </c>
      <c r="H19" s="28" t="s">
        <v>511</v>
      </c>
      <c r="J19" s="346" t="str">
        <f t="shared" si="3"/>
        <v/>
      </c>
      <c r="K19" s="28" t="str">
        <f t="shared" si="4"/>
        <v/>
      </c>
      <c r="L19" s="45" t="str">
        <f t="shared" si="5"/>
        <v/>
      </c>
      <c r="M19" s="45" t="str">
        <f t="shared" si="6"/>
        <v/>
      </c>
      <c r="N19" s="45" t="str">
        <f t="shared" si="7"/>
        <v/>
      </c>
      <c r="O19" s="45" t="str">
        <f t="shared" si="8"/>
        <v/>
      </c>
      <c r="P19" s="45" t="str">
        <f t="shared" si="9"/>
        <v/>
      </c>
    </row>
    <row r="20" spans="1:16" ht="18">
      <c r="A20" s="92" t="s">
        <v>1835</v>
      </c>
      <c r="B20" s="345">
        <v>1988</v>
      </c>
      <c r="C20" s="92"/>
      <c r="D20" s="345">
        <v>2849376</v>
      </c>
      <c r="E20" s="278" t="str">
        <f t="shared" si="2"/>
        <v>https://pubmed.ncbi.nlm.nih.gov/?term=2849376</v>
      </c>
      <c r="H20" s="28" t="s">
        <v>511</v>
      </c>
      <c r="J20" s="346" t="str">
        <f t="shared" si="3"/>
        <v/>
      </c>
      <c r="K20" s="28" t="str">
        <f t="shared" si="4"/>
        <v/>
      </c>
      <c r="L20" s="45" t="str">
        <f t="shared" si="5"/>
        <v/>
      </c>
      <c r="M20" s="45" t="str">
        <f t="shared" si="6"/>
        <v/>
      </c>
      <c r="N20" s="45" t="str">
        <f t="shared" si="7"/>
        <v/>
      </c>
      <c r="O20" s="45" t="str">
        <f t="shared" si="8"/>
        <v/>
      </c>
      <c r="P20" s="45" t="str">
        <f t="shared" si="9"/>
        <v/>
      </c>
    </row>
    <row r="21" spans="1:16" ht="18">
      <c r="A21" s="92" t="s">
        <v>4605</v>
      </c>
      <c r="B21" s="345">
        <v>1983</v>
      </c>
      <c r="C21" s="92" t="s">
        <v>4606</v>
      </c>
      <c r="D21" s="345">
        <v>6832823</v>
      </c>
      <c r="E21" s="278" t="str">
        <f t="shared" si="2"/>
        <v>https://pubmed.ncbi.nlm.nih.gov/?term=6832823</v>
      </c>
      <c r="F21" s="28" t="s">
        <v>511</v>
      </c>
      <c r="G21" s="28" t="s">
        <v>4346</v>
      </c>
      <c r="J21" s="346" t="str">
        <f t="shared" si="3"/>
        <v/>
      </c>
      <c r="K21" s="28" t="str">
        <f t="shared" si="4"/>
        <v/>
      </c>
      <c r="L21" s="45">
        <f t="shared" si="5"/>
        <v>1</v>
      </c>
      <c r="M21" s="45" t="str">
        <f t="shared" si="6"/>
        <v/>
      </c>
      <c r="N21" s="45" t="str">
        <f t="shared" si="7"/>
        <v/>
      </c>
      <c r="O21" s="45" t="str">
        <f t="shared" si="8"/>
        <v/>
      </c>
      <c r="P21" s="45" t="str">
        <f t="shared" si="9"/>
        <v/>
      </c>
    </row>
    <row r="22" spans="1:16" ht="18">
      <c r="A22" s="92" t="s">
        <v>2202</v>
      </c>
      <c r="B22" s="345">
        <v>1976</v>
      </c>
      <c r="C22" s="92"/>
      <c r="D22" s="345">
        <v>1083484</v>
      </c>
      <c r="E22" s="278" t="str">
        <f t="shared" si="2"/>
        <v>https://pubmed.ncbi.nlm.nih.gov/?term=1083484</v>
      </c>
      <c r="H22" s="28" t="s">
        <v>511</v>
      </c>
      <c r="J22" s="346" t="str">
        <f t="shared" si="3"/>
        <v/>
      </c>
      <c r="K22" s="28" t="str">
        <f t="shared" si="4"/>
        <v/>
      </c>
      <c r="L22" s="45" t="str">
        <f t="shared" si="5"/>
        <v/>
      </c>
      <c r="M22" s="45" t="str">
        <f t="shared" si="6"/>
        <v/>
      </c>
      <c r="N22" s="45" t="str">
        <f t="shared" si="7"/>
        <v/>
      </c>
      <c r="O22" s="45" t="str">
        <f t="shared" si="8"/>
        <v/>
      </c>
      <c r="P22" s="45" t="str">
        <f t="shared" si="9"/>
        <v/>
      </c>
    </row>
    <row r="23" spans="1:16" ht="18">
      <c r="A23" s="92" t="s">
        <v>2077</v>
      </c>
      <c r="B23" s="345">
        <v>1978</v>
      </c>
      <c r="C23" s="92" t="s">
        <v>4607</v>
      </c>
      <c r="D23" s="345">
        <v>669819</v>
      </c>
      <c r="E23" s="278" t="str">
        <f t="shared" si="2"/>
        <v>https://pubmed.ncbi.nlm.nih.gov/?term=669819</v>
      </c>
      <c r="H23" s="28" t="s">
        <v>511</v>
      </c>
      <c r="J23" s="346" t="str">
        <f t="shared" si="3"/>
        <v/>
      </c>
      <c r="K23" s="28" t="str">
        <f t="shared" si="4"/>
        <v/>
      </c>
      <c r="L23" s="45" t="str">
        <f t="shared" si="5"/>
        <v/>
      </c>
      <c r="M23" s="45" t="str">
        <f t="shared" si="6"/>
        <v/>
      </c>
      <c r="N23" s="45" t="str">
        <f t="shared" si="7"/>
        <v/>
      </c>
      <c r="O23" s="45" t="str">
        <f t="shared" si="8"/>
        <v/>
      </c>
      <c r="P23" s="45" t="str">
        <f t="shared" si="9"/>
        <v/>
      </c>
    </row>
    <row r="24" spans="1:16" ht="18">
      <c r="A24" s="92" t="s">
        <v>4264</v>
      </c>
      <c r="B24" s="345">
        <v>1985</v>
      </c>
      <c r="C24" s="92"/>
      <c r="D24" s="345">
        <v>2993431</v>
      </c>
      <c r="E24" s="278" t="str">
        <f t="shared" si="2"/>
        <v>https://pubmed.ncbi.nlm.nih.gov/?term=2993431</v>
      </c>
      <c r="H24" s="28" t="s">
        <v>511</v>
      </c>
      <c r="J24" s="346" t="str">
        <f t="shared" si="3"/>
        <v/>
      </c>
      <c r="K24" s="28" t="str">
        <f t="shared" si="4"/>
        <v/>
      </c>
      <c r="L24" s="45" t="str">
        <f t="shared" si="5"/>
        <v/>
      </c>
      <c r="M24" s="45" t="str">
        <f t="shared" si="6"/>
        <v/>
      </c>
      <c r="N24" s="45" t="str">
        <f t="shared" si="7"/>
        <v/>
      </c>
      <c r="O24" s="45" t="str">
        <f t="shared" si="8"/>
        <v/>
      </c>
      <c r="P24" s="45" t="str">
        <f t="shared" si="9"/>
        <v/>
      </c>
    </row>
    <row r="25" spans="1:16" ht="18">
      <c r="A25" s="92" t="s">
        <v>2162</v>
      </c>
      <c r="B25" s="345">
        <v>1977</v>
      </c>
      <c r="C25" s="92"/>
      <c r="D25" s="345">
        <v>894078</v>
      </c>
      <c r="E25" s="278" t="str">
        <f t="shared" si="2"/>
        <v>https://pubmed.ncbi.nlm.nih.gov/?term=894078</v>
      </c>
      <c r="H25" s="28" t="s">
        <v>511</v>
      </c>
      <c r="J25" s="346" t="str">
        <f t="shared" si="3"/>
        <v/>
      </c>
      <c r="K25" s="28" t="str">
        <f t="shared" si="4"/>
        <v/>
      </c>
      <c r="L25" s="45" t="str">
        <f t="shared" si="5"/>
        <v/>
      </c>
      <c r="M25" s="45" t="str">
        <f t="shared" si="6"/>
        <v/>
      </c>
      <c r="N25" s="45" t="str">
        <f t="shared" si="7"/>
        <v/>
      </c>
      <c r="O25" s="45" t="str">
        <f t="shared" si="8"/>
        <v/>
      </c>
      <c r="P25" s="45" t="str">
        <f t="shared" si="9"/>
        <v/>
      </c>
    </row>
    <row r="26" spans="1:16" ht="18">
      <c r="A26" s="92" t="s">
        <v>4316</v>
      </c>
      <c r="B26" s="345">
        <v>1962</v>
      </c>
      <c r="C26" s="92" t="s">
        <v>4608</v>
      </c>
      <c r="D26" s="345">
        <v>13901335</v>
      </c>
      <c r="E26" s="278" t="str">
        <f t="shared" si="2"/>
        <v>https://pubmed.ncbi.nlm.nih.gov/?term=13901335</v>
      </c>
      <c r="H26" s="28" t="s">
        <v>511</v>
      </c>
      <c r="J26" s="346" t="str">
        <f t="shared" si="3"/>
        <v/>
      </c>
      <c r="K26" s="28" t="str">
        <f t="shared" si="4"/>
        <v/>
      </c>
      <c r="L26" s="45" t="str">
        <f t="shared" si="5"/>
        <v/>
      </c>
      <c r="M26" s="45" t="str">
        <f t="shared" si="6"/>
        <v/>
      </c>
      <c r="N26" s="45" t="str">
        <f t="shared" si="7"/>
        <v/>
      </c>
      <c r="O26" s="45" t="str">
        <f t="shared" si="8"/>
        <v/>
      </c>
      <c r="P26" s="45" t="str">
        <f t="shared" si="9"/>
        <v/>
      </c>
    </row>
    <row r="27" spans="1:16" ht="18">
      <c r="A27" s="92" t="s">
        <v>4609</v>
      </c>
      <c r="B27" s="345">
        <v>1981</v>
      </c>
      <c r="C27" s="92"/>
      <c r="D27" s="345">
        <v>6277764</v>
      </c>
      <c r="E27" s="278" t="str">
        <f t="shared" si="2"/>
        <v>https://pubmed.ncbi.nlm.nih.gov/?term=6277764</v>
      </c>
      <c r="F27" s="28" t="s">
        <v>511</v>
      </c>
      <c r="G27" s="28" t="s">
        <v>4592</v>
      </c>
      <c r="J27" s="346">
        <f t="shared" si="3"/>
        <v>1</v>
      </c>
      <c r="K27" s="28" t="str">
        <f t="shared" si="4"/>
        <v/>
      </c>
      <c r="L27" s="45" t="str">
        <f t="shared" si="5"/>
        <v/>
      </c>
      <c r="M27" s="45" t="str">
        <f t="shared" si="6"/>
        <v/>
      </c>
      <c r="N27" s="45" t="str">
        <f t="shared" si="7"/>
        <v/>
      </c>
      <c r="O27" s="45" t="str">
        <f t="shared" si="8"/>
        <v/>
      </c>
      <c r="P27" s="45" t="str">
        <f t="shared" si="9"/>
        <v/>
      </c>
    </row>
    <row r="28" spans="1:16" ht="18">
      <c r="A28" s="92" t="s">
        <v>4265</v>
      </c>
      <c r="B28" s="345">
        <v>1977</v>
      </c>
      <c r="C28" s="92"/>
      <c r="D28" s="345">
        <v>925382</v>
      </c>
      <c r="E28" s="278" t="str">
        <f t="shared" si="2"/>
        <v>https://pubmed.ncbi.nlm.nih.gov/?term=925382</v>
      </c>
      <c r="H28" s="28" t="s">
        <v>511</v>
      </c>
      <c r="J28" s="346" t="str">
        <f t="shared" si="3"/>
        <v/>
      </c>
      <c r="K28" s="28" t="str">
        <f t="shared" si="4"/>
        <v/>
      </c>
      <c r="L28" s="45" t="str">
        <f t="shared" si="5"/>
        <v/>
      </c>
      <c r="M28" s="45" t="str">
        <f t="shared" si="6"/>
        <v/>
      </c>
      <c r="N28" s="45" t="str">
        <f t="shared" si="7"/>
        <v/>
      </c>
      <c r="O28" s="45" t="str">
        <f t="shared" si="8"/>
        <v/>
      </c>
      <c r="P28" s="45" t="str">
        <f t="shared" si="9"/>
        <v/>
      </c>
    </row>
    <row r="29" spans="1:16" ht="18">
      <c r="A29" s="92" t="s">
        <v>4610</v>
      </c>
      <c r="B29" s="345">
        <v>1985</v>
      </c>
      <c r="C29" s="92" t="s">
        <v>4611</v>
      </c>
      <c r="D29" s="345">
        <v>3931271</v>
      </c>
      <c r="E29" s="278" t="str">
        <f t="shared" si="2"/>
        <v>https://pubmed.ncbi.nlm.nih.gov/?term=3931271</v>
      </c>
      <c r="F29" s="28" t="s">
        <v>511</v>
      </c>
      <c r="G29" s="28" t="s">
        <v>4592</v>
      </c>
      <c r="J29" s="346">
        <f t="shared" si="3"/>
        <v>1</v>
      </c>
      <c r="K29" s="28" t="str">
        <f t="shared" si="4"/>
        <v/>
      </c>
      <c r="L29" s="45" t="str">
        <f t="shared" si="5"/>
        <v/>
      </c>
      <c r="M29" s="45" t="str">
        <f t="shared" si="6"/>
        <v/>
      </c>
      <c r="N29" s="45" t="str">
        <f t="shared" si="7"/>
        <v/>
      </c>
      <c r="O29" s="45" t="str">
        <f t="shared" si="8"/>
        <v/>
      </c>
      <c r="P29" s="45" t="str">
        <f t="shared" si="9"/>
        <v/>
      </c>
    </row>
    <row r="30" spans="1:16" ht="18">
      <c r="A30" s="92" t="s">
        <v>4612</v>
      </c>
      <c r="B30" s="345">
        <v>1987</v>
      </c>
      <c r="C30" s="92"/>
      <c r="D30" s="345">
        <v>3039054</v>
      </c>
      <c r="E30" s="278" t="str">
        <f t="shared" si="2"/>
        <v>https://pubmed.ncbi.nlm.nih.gov/?term=3039054</v>
      </c>
      <c r="F30" s="28" t="s">
        <v>511</v>
      </c>
      <c r="G30" s="28" t="s">
        <v>4346</v>
      </c>
      <c r="J30" s="346" t="str">
        <f t="shared" si="3"/>
        <v/>
      </c>
      <c r="K30" s="28" t="str">
        <f t="shared" si="4"/>
        <v/>
      </c>
      <c r="L30" s="45">
        <f t="shared" si="5"/>
        <v>1</v>
      </c>
      <c r="M30" s="45" t="str">
        <f t="shared" si="6"/>
        <v/>
      </c>
      <c r="N30" s="45" t="str">
        <f t="shared" si="7"/>
        <v/>
      </c>
      <c r="O30" s="45" t="str">
        <f t="shared" si="8"/>
        <v/>
      </c>
      <c r="P30" s="45" t="str">
        <f t="shared" si="9"/>
        <v/>
      </c>
    </row>
    <row r="31" spans="1:16" ht="18">
      <c r="A31" s="92" t="s">
        <v>4613</v>
      </c>
      <c r="B31" s="345">
        <v>1987</v>
      </c>
      <c r="C31" s="92"/>
      <c r="D31" s="345">
        <v>3813891</v>
      </c>
      <c r="E31" s="278" t="str">
        <f t="shared" si="2"/>
        <v>https://pubmed.ncbi.nlm.nih.gov/?term=3813891</v>
      </c>
      <c r="F31" s="28" t="s">
        <v>511</v>
      </c>
      <c r="G31" s="28" t="s">
        <v>4346</v>
      </c>
      <c r="J31" s="346" t="str">
        <f t="shared" si="3"/>
        <v/>
      </c>
      <c r="K31" s="28" t="str">
        <f t="shared" si="4"/>
        <v/>
      </c>
      <c r="L31" s="45">
        <f t="shared" si="5"/>
        <v>1</v>
      </c>
      <c r="M31" s="45" t="str">
        <f t="shared" si="6"/>
        <v/>
      </c>
      <c r="N31" s="45" t="str">
        <f t="shared" si="7"/>
        <v/>
      </c>
      <c r="O31" s="45" t="str">
        <f t="shared" si="8"/>
        <v/>
      </c>
      <c r="P31" s="45" t="str">
        <f t="shared" si="9"/>
        <v/>
      </c>
    </row>
    <row r="32" spans="1:16" ht="18">
      <c r="A32" s="92" t="s">
        <v>2237</v>
      </c>
      <c r="B32" s="345">
        <v>1987</v>
      </c>
      <c r="C32" s="92" t="s">
        <v>4614</v>
      </c>
      <c r="D32" s="345">
        <v>3435099</v>
      </c>
      <c r="E32" s="278" t="str">
        <f t="shared" si="2"/>
        <v>https://pubmed.ncbi.nlm.nih.gov/?term=3435099</v>
      </c>
      <c r="H32" s="28" t="s">
        <v>511</v>
      </c>
      <c r="J32" s="346" t="str">
        <f t="shared" si="3"/>
        <v/>
      </c>
      <c r="K32" s="28" t="str">
        <f t="shared" si="4"/>
        <v/>
      </c>
      <c r="L32" s="45" t="str">
        <f t="shared" si="5"/>
        <v/>
      </c>
      <c r="M32" s="45" t="str">
        <f t="shared" si="6"/>
        <v/>
      </c>
      <c r="N32" s="45" t="str">
        <f t="shared" si="7"/>
        <v/>
      </c>
      <c r="O32" s="45" t="str">
        <f t="shared" si="8"/>
        <v/>
      </c>
      <c r="P32" s="45" t="str">
        <f t="shared" si="9"/>
        <v/>
      </c>
    </row>
    <row r="33" spans="1:16" ht="18">
      <c r="A33" s="92" t="s">
        <v>1938</v>
      </c>
      <c r="B33" s="345">
        <v>1988</v>
      </c>
      <c r="C33" s="92"/>
      <c r="D33" s="345">
        <v>2853194</v>
      </c>
      <c r="E33" s="278" t="str">
        <f t="shared" si="2"/>
        <v>https://pubmed.ncbi.nlm.nih.gov/?term=2853194</v>
      </c>
      <c r="H33" s="28" t="s">
        <v>511</v>
      </c>
      <c r="J33" s="346" t="str">
        <f t="shared" si="3"/>
        <v/>
      </c>
      <c r="K33" s="28" t="str">
        <f t="shared" si="4"/>
        <v/>
      </c>
      <c r="L33" s="45" t="str">
        <f t="shared" si="5"/>
        <v/>
      </c>
      <c r="M33" s="45" t="str">
        <f t="shared" si="6"/>
        <v/>
      </c>
      <c r="N33" s="45" t="str">
        <f t="shared" si="7"/>
        <v/>
      </c>
      <c r="O33" s="45" t="str">
        <f t="shared" si="8"/>
        <v/>
      </c>
      <c r="P33" s="45" t="str">
        <f t="shared" si="9"/>
        <v/>
      </c>
    </row>
    <row r="34" spans="1:16" ht="18">
      <c r="A34" s="92" t="s">
        <v>1557</v>
      </c>
      <c r="B34" s="345">
        <v>1990</v>
      </c>
      <c r="C34" s="92"/>
      <c r="D34" s="345">
        <v>2324538</v>
      </c>
      <c r="E34" s="278" t="str">
        <f t="shared" si="2"/>
        <v>https://pubmed.ncbi.nlm.nih.gov/?term=2324538</v>
      </c>
      <c r="H34" s="28" t="s">
        <v>511</v>
      </c>
      <c r="J34" s="346" t="str">
        <f t="shared" si="3"/>
        <v/>
      </c>
      <c r="K34" s="28" t="str">
        <f t="shared" si="4"/>
        <v/>
      </c>
      <c r="L34" s="45" t="str">
        <f t="shared" si="5"/>
        <v/>
      </c>
      <c r="M34" s="45" t="str">
        <f t="shared" si="6"/>
        <v/>
      </c>
      <c r="N34" s="45" t="str">
        <f t="shared" si="7"/>
        <v/>
      </c>
      <c r="O34" s="45" t="str">
        <f t="shared" si="8"/>
        <v/>
      </c>
      <c r="P34" s="45" t="str">
        <f t="shared" si="9"/>
        <v/>
      </c>
    </row>
    <row r="35" spans="1:16" ht="18">
      <c r="A35" s="92" t="s">
        <v>4609</v>
      </c>
      <c r="B35" s="345">
        <v>1975</v>
      </c>
      <c r="C35" s="92"/>
      <c r="D35" s="345">
        <v>171320</v>
      </c>
      <c r="E35" s="278" t="str">
        <f t="shared" si="2"/>
        <v>https://pubmed.ncbi.nlm.nih.gov/?term=171320</v>
      </c>
      <c r="F35" s="28" t="s">
        <v>511</v>
      </c>
      <c r="G35" s="28" t="s">
        <v>4346</v>
      </c>
      <c r="J35" s="346" t="str">
        <f t="shared" si="3"/>
        <v/>
      </c>
      <c r="K35" s="28" t="str">
        <f t="shared" si="4"/>
        <v/>
      </c>
      <c r="L35" s="45">
        <f t="shared" si="5"/>
        <v>1</v>
      </c>
      <c r="M35" s="45" t="str">
        <f t="shared" si="6"/>
        <v/>
      </c>
      <c r="N35" s="45" t="str">
        <f t="shared" si="7"/>
        <v/>
      </c>
      <c r="O35" s="45" t="str">
        <f t="shared" si="8"/>
        <v/>
      </c>
      <c r="P35" s="45" t="str">
        <f t="shared" si="9"/>
        <v/>
      </c>
    </row>
    <row r="36" spans="1:16" ht="18">
      <c r="A36" s="92" t="s">
        <v>2371</v>
      </c>
      <c r="B36" s="345">
        <v>1984</v>
      </c>
      <c r="C36" s="92"/>
      <c r="D36" s="345">
        <v>6099954</v>
      </c>
      <c r="E36" s="278" t="str">
        <f t="shared" si="2"/>
        <v>https://pubmed.ncbi.nlm.nih.gov/?term=6099954</v>
      </c>
      <c r="H36" s="28" t="s">
        <v>511</v>
      </c>
      <c r="J36" s="346" t="str">
        <f t="shared" si="3"/>
        <v/>
      </c>
      <c r="K36" s="28" t="str">
        <f t="shared" si="4"/>
        <v/>
      </c>
      <c r="L36" s="45" t="str">
        <f t="shared" si="5"/>
        <v/>
      </c>
      <c r="M36" s="45" t="str">
        <f t="shared" si="6"/>
        <v/>
      </c>
      <c r="N36" s="45" t="str">
        <f t="shared" si="7"/>
        <v/>
      </c>
      <c r="O36" s="45" t="str">
        <f t="shared" si="8"/>
        <v/>
      </c>
      <c r="P36" s="45" t="str">
        <f t="shared" si="9"/>
        <v/>
      </c>
    </row>
    <row r="37" spans="1:16" ht="18">
      <c r="A37" s="92" t="s">
        <v>2333</v>
      </c>
      <c r="B37" s="345">
        <v>1984</v>
      </c>
      <c r="C37" s="92"/>
      <c r="D37" s="345">
        <v>6531960</v>
      </c>
      <c r="E37" s="278" t="str">
        <f t="shared" si="2"/>
        <v>https://pubmed.ncbi.nlm.nih.gov/?term=6531960</v>
      </c>
      <c r="H37" s="28" t="s">
        <v>511</v>
      </c>
      <c r="J37" s="346" t="str">
        <f t="shared" si="3"/>
        <v/>
      </c>
      <c r="K37" s="28" t="str">
        <f t="shared" si="4"/>
        <v/>
      </c>
      <c r="L37" s="45" t="str">
        <f t="shared" si="5"/>
        <v/>
      </c>
      <c r="M37" s="45" t="str">
        <f t="shared" si="6"/>
        <v/>
      </c>
      <c r="N37" s="45" t="str">
        <f t="shared" si="7"/>
        <v/>
      </c>
      <c r="O37" s="45" t="str">
        <f t="shared" si="8"/>
        <v/>
      </c>
      <c r="P37" s="45" t="str">
        <f t="shared" si="9"/>
        <v/>
      </c>
    </row>
    <row r="38" spans="1:16" ht="18">
      <c r="A38" s="92" t="s">
        <v>4615</v>
      </c>
      <c r="B38" s="345">
        <v>1983</v>
      </c>
      <c r="C38" s="92" t="s">
        <v>4616</v>
      </c>
      <c r="D38" s="345">
        <v>6883807</v>
      </c>
      <c r="E38" s="278" t="str">
        <f t="shared" si="2"/>
        <v>https://pubmed.ncbi.nlm.nih.gov/?term=6883807</v>
      </c>
      <c r="F38" s="28" t="s">
        <v>511</v>
      </c>
      <c r="G38" s="28" t="s">
        <v>4346</v>
      </c>
      <c r="J38" s="346" t="str">
        <f t="shared" si="3"/>
        <v/>
      </c>
      <c r="K38" s="28" t="str">
        <f t="shared" si="4"/>
        <v/>
      </c>
      <c r="L38" s="45">
        <f t="shared" si="5"/>
        <v>1</v>
      </c>
      <c r="M38" s="45" t="str">
        <f t="shared" si="6"/>
        <v/>
      </c>
      <c r="N38" s="45" t="str">
        <f t="shared" si="7"/>
        <v/>
      </c>
      <c r="O38" s="45" t="str">
        <f t="shared" si="8"/>
        <v/>
      </c>
      <c r="P38" s="45" t="str">
        <f t="shared" si="9"/>
        <v/>
      </c>
    </row>
    <row r="39" spans="1:16" ht="18">
      <c r="A39" s="92" t="s">
        <v>4617</v>
      </c>
      <c r="B39" s="345">
        <v>1980</v>
      </c>
      <c r="C39" s="92" t="s">
        <v>4618</v>
      </c>
      <c r="D39" s="345">
        <v>6766903</v>
      </c>
      <c r="E39" s="278" t="str">
        <f t="shared" si="2"/>
        <v>https://pubmed.ncbi.nlm.nih.gov/?term=6766903</v>
      </c>
      <c r="F39" s="28" t="s">
        <v>511</v>
      </c>
      <c r="G39" s="28" t="s">
        <v>4346</v>
      </c>
      <c r="J39" s="346" t="str">
        <f t="shared" si="3"/>
        <v/>
      </c>
      <c r="K39" s="28" t="str">
        <f t="shared" si="4"/>
        <v/>
      </c>
      <c r="L39" s="45">
        <f t="shared" si="5"/>
        <v>1</v>
      </c>
      <c r="M39" s="45" t="str">
        <f t="shared" si="6"/>
        <v/>
      </c>
      <c r="N39" s="45" t="str">
        <f t="shared" si="7"/>
        <v/>
      </c>
      <c r="O39" s="45" t="str">
        <f t="shared" si="8"/>
        <v/>
      </c>
      <c r="P39" s="45" t="str">
        <f t="shared" si="9"/>
        <v/>
      </c>
    </row>
    <row r="40" spans="1:16" ht="18">
      <c r="A40" s="92" t="s">
        <v>1557</v>
      </c>
      <c r="B40" s="345">
        <v>1983</v>
      </c>
      <c r="C40" s="92" t="s">
        <v>4619</v>
      </c>
      <c r="D40" s="345">
        <v>6852910</v>
      </c>
      <c r="E40" s="278" t="str">
        <f t="shared" si="2"/>
        <v>https://pubmed.ncbi.nlm.nih.gov/?term=6852910</v>
      </c>
      <c r="H40" s="28" t="s">
        <v>511</v>
      </c>
      <c r="J40" s="346" t="str">
        <f t="shared" si="3"/>
        <v/>
      </c>
      <c r="K40" s="28" t="str">
        <f t="shared" si="4"/>
        <v/>
      </c>
      <c r="L40" s="45" t="str">
        <f t="shared" si="5"/>
        <v/>
      </c>
      <c r="M40" s="45" t="str">
        <f t="shared" si="6"/>
        <v/>
      </c>
      <c r="N40" s="45" t="str">
        <f t="shared" si="7"/>
        <v/>
      </c>
      <c r="O40" s="45" t="str">
        <f t="shared" si="8"/>
        <v/>
      </c>
      <c r="P40" s="45" t="str">
        <f t="shared" si="9"/>
        <v/>
      </c>
    </row>
    <row r="41" spans="1:16" ht="18">
      <c r="A41" s="92" t="s">
        <v>4620</v>
      </c>
      <c r="B41" s="345">
        <v>1987</v>
      </c>
      <c r="C41" s="92"/>
      <c r="D41" s="345">
        <v>2821477</v>
      </c>
      <c r="E41" s="278" t="str">
        <f t="shared" si="2"/>
        <v>https://pubmed.ncbi.nlm.nih.gov/?term=2821477</v>
      </c>
      <c r="F41" s="28" t="s">
        <v>511</v>
      </c>
      <c r="G41" s="28" t="s">
        <v>4621</v>
      </c>
      <c r="J41" s="346" t="str">
        <f t="shared" si="3"/>
        <v/>
      </c>
      <c r="K41" s="28" t="str">
        <f t="shared" si="4"/>
        <v/>
      </c>
      <c r="L41" s="45" t="str">
        <f t="shared" si="5"/>
        <v/>
      </c>
      <c r="M41" s="45" t="str">
        <f t="shared" si="6"/>
        <v/>
      </c>
      <c r="N41" s="45" t="str">
        <f t="shared" si="7"/>
        <v/>
      </c>
      <c r="O41" s="45">
        <f t="shared" si="8"/>
        <v>1</v>
      </c>
      <c r="P41" s="45" t="str">
        <f t="shared" si="9"/>
        <v/>
      </c>
    </row>
    <row r="42" spans="1:16" ht="18">
      <c r="A42" s="92" t="s">
        <v>2077</v>
      </c>
      <c r="B42" s="345">
        <v>1986</v>
      </c>
      <c r="C42" s="92" t="s">
        <v>4622</v>
      </c>
      <c r="D42" s="345">
        <v>3755730</v>
      </c>
      <c r="E42" s="278" t="str">
        <f t="shared" si="2"/>
        <v>https://pubmed.ncbi.nlm.nih.gov/?term=3755730</v>
      </c>
      <c r="F42" s="28" t="s">
        <v>511</v>
      </c>
      <c r="G42" s="28" t="s">
        <v>4592</v>
      </c>
      <c r="J42" s="346">
        <f t="shared" si="3"/>
        <v>1</v>
      </c>
      <c r="K42" s="28" t="str">
        <f t="shared" si="4"/>
        <v/>
      </c>
      <c r="L42" s="45" t="str">
        <f t="shared" si="5"/>
        <v/>
      </c>
      <c r="M42" s="45" t="str">
        <f t="shared" si="6"/>
        <v/>
      </c>
      <c r="N42" s="45" t="str">
        <f t="shared" si="7"/>
        <v/>
      </c>
      <c r="O42" s="45" t="str">
        <f t="shared" si="8"/>
        <v/>
      </c>
      <c r="P42" s="45" t="str">
        <f t="shared" si="9"/>
        <v/>
      </c>
    </row>
    <row r="43" spans="1:16" ht="18">
      <c r="A43" s="92" t="s">
        <v>2116</v>
      </c>
      <c r="B43" s="345">
        <v>1974</v>
      </c>
      <c r="C43" s="92" t="s">
        <v>4623</v>
      </c>
      <c r="D43" s="345">
        <v>15825396</v>
      </c>
      <c r="E43" s="278" t="str">
        <f t="shared" si="2"/>
        <v>https://pubmed.ncbi.nlm.nih.gov/?term=15825396</v>
      </c>
      <c r="H43" s="28" t="s">
        <v>511</v>
      </c>
      <c r="J43" s="346" t="str">
        <f t="shared" si="3"/>
        <v/>
      </c>
      <c r="K43" s="28" t="str">
        <f t="shared" si="4"/>
        <v/>
      </c>
      <c r="L43" s="45" t="str">
        <f t="shared" si="5"/>
        <v/>
      </c>
      <c r="M43" s="45" t="str">
        <f t="shared" si="6"/>
        <v/>
      </c>
      <c r="N43" s="45" t="str">
        <f t="shared" si="7"/>
        <v/>
      </c>
      <c r="O43" s="45" t="str">
        <f t="shared" si="8"/>
        <v/>
      </c>
      <c r="P43" s="45" t="str">
        <f t="shared" si="9"/>
        <v/>
      </c>
    </row>
    <row r="44" spans="1:16" ht="18">
      <c r="A44" s="92" t="s">
        <v>4624</v>
      </c>
      <c r="B44" s="345">
        <v>1977</v>
      </c>
      <c r="C44" s="92"/>
      <c r="D44" s="345">
        <v>190910</v>
      </c>
      <c r="E44" s="278" t="str">
        <f t="shared" si="2"/>
        <v>https://pubmed.ncbi.nlm.nih.gov/?term=190910</v>
      </c>
      <c r="F44" s="28" t="s">
        <v>511</v>
      </c>
      <c r="G44" s="28" t="s">
        <v>4346</v>
      </c>
      <c r="J44" s="346" t="str">
        <f t="shared" si="3"/>
        <v/>
      </c>
      <c r="K44" s="28" t="str">
        <f t="shared" si="4"/>
        <v/>
      </c>
      <c r="L44" s="45">
        <f t="shared" si="5"/>
        <v>1</v>
      </c>
      <c r="M44" s="45" t="str">
        <f t="shared" si="6"/>
        <v/>
      </c>
      <c r="N44" s="45" t="str">
        <f t="shared" si="7"/>
        <v/>
      </c>
      <c r="O44" s="45" t="str">
        <f t="shared" si="8"/>
        <v/>
      </c>
      <c r="P44" s="45" t="str">
        <f t="shared" si="9"/>
        <v/>
      </c>
    </row>
    <row r="45" spans="1:16" ht="18">
      <c r="A45" s="92" t="s">
        <v>4349</v>
      </c>
      <c r="B45" s="345">
        <v>1989</v>
      </c>
      <c r="C45" s="92" t="s">
        <v>4625</v>
      </c>
      <c r="D45" s="345">
        <v>2536042</v>
      </c>
      <c r="E45" s="278" t="str">
        <f t="shared" si="2"/>
        <v>https://pubmed.ncbi.nlm.nih.gov/?term=2536042</v>
      </c>
      <c r="H45" s="28" t="s">
        <v>511</v>
      </c>
      <c r="J45" s="346" t="str">
        <f t="shared" si="3"/>
        <v/>
      </c>
      <c r="K45" s="28" t="str">
        <f t="shared" si="4"/>
        <v/>
      </c>
      <c r="L45" s="45" t="str">
        <f t="shared" si="5"/>
        <v/>
      </c>
      <c r="M45" s="45" t="str">
        <f t="shared" si="6"/>
        <v/>
      </c>
      <c r="N45" s="45" t="str">
        <f t="shared" si="7"/>
        <v/>
      </c>
      <c r="O45" s="45" t="str">
        <f t="shared" si="8"/>
        <v/>
      </c>
      <c r="P45" s="45" t="str">
        <f t="shared" si="9"/>
        <v/>
      </c>
    </row>
    <row r="46" spans="1:16" ht="18">
      <c r="A46" s="92" t="s">
        <v>4626</v>
      </c>
      <c r="B46" s="345">
        <v>1957</v>
      </c>
      <c r="C46" s="92" t="s">
        <v>4627</v>
      </c>
      <c r="D46" s="345">
        <v>13439122</v>
      </c>
      <c r="E46" s="278" t="str">
        <f t="shared" si="2"/>
        <v>https://pubmed.ncbi.nlm.nih.gov/?term=13439122</v>
      </c>
      <c r="F46" s="28" t="s">
        <v>511</v>
      </c>
      <c r="G46" s="28" t="s">
        <v>4628</v>
      </c>
      <c r="J46" s="346" t="str">
        <f t="shared" si="3"/>
        <v/>
      </c>
      <c r="K46" s="28" t="str">
        <f t="shared" si="4"/>
        <v/>
      </c>
      <c r="L46" s="45" t="str">
        <f t="shared" si="5"/>
        <v/>
      </c>
      <c r="M46" s="45" t="str">
        <f t="shared" si="6"/>
        <v/>
      </c>
      <c r="N46" s="45" t="str">
        <f t="shared" si="7"/>
        <v/>
      </c>
      <c r="O46" s="45">
        <f t="shared" si="8"/>
        <v>1</v>
      </c>
      <c r="P46" s="45" t="str">
        <f t="shared" si="9"/>
        <v/>
      </c>
    </row>
    <row r="47" spans="1:16" ht="18">
      <c r="A47" s="92" t="s">
        <v>4629</v>
      </c>
      <c r="B47" s="345">
        <v>1947</v>
      </c>
      <c r="C47" s="92" t="s">
        <v>4630</v>
      </c>
      <c r="D47" s="345">
        <v>19871608</v>
      </c>
      <c r="E47" s="278" t="str">
        <f t="shared" si="2"/>
        <v>https://pubmed.ncbi.nlm.nih.gov/?term=19871608</v>
      </c>
      <c r="F47" s="28" t="s">
        <v>511</v>
      </c>
      <c r="G47" s="28" t="s">
        <v>4346</v>
      </c>
      <c r="J47" s="346" t="str">
        <f t="shared" si="3"/>
        <v/>
      </c>
      <c r="K47" s="28" t="str">
        <f t="shared" si="4"/>
        <v/>
      </c>
      <c r="L47" s="45">
        <f t="shared" si="5"/>
        <v>1</v>
      </c>
      <c r="M47" s="45" t="str">
        <f t="shared" si="6"/>
        <v/>
      </c>
      <c r="N47" s="45" t="str">
        <f t="shared" si="7"/>
        <v/>
      </c>
      <c r="O47" s="45" t="str">
        <f t="shared" si="8"/>
        <v/>
      </c>
      <c r="P47" s="45" t="str">
        <f t="shared" si="9"/>
        <v/>
      </c>
    </row>
    <row r="48" spans="1:16" ht="18">
      <c r="A48" s="92" t="s">
        <v>4631</v>
      </c>
      <c r="B48" s="345">
        <v>1988</v>
      </c>
      <c r="C48" s="92" t="s">
        <v>4632</v>
      </c>
      <c r="D48" s="345">
        <v>3263225</v>
      </c>
      <c r="E48" s="278" t="str">
        <f t="shared" si="2"/>
        <v>https://pubmed.ncbi.nlm.nih.gov/?term=3263225</v>
      </c>
      <c r="F48" s="28" t="s">
        <v>511</v>
      </c>
      <c r="G48" s="28" t="s">
        <v>4592</v>
      </c>
      <c r="J48" s="346">
        <f t="shared" si="3"/>
        <v>1</v>
      </c>
      <c r="K48" s="28" t="str">
        <f t="shared" si="4"/>
        <v/>
      </c>
      <c r="L48" s="45" t="str">
        <f t="shared" si="5"/>
        <v/>
      </c>
      <c r="M48" s="45" t="str">
        <f t="shared" si="6"/>
        <v/>
      </c>
      <c r="N48" s="45" t="str">
        <f t="shared" si="7"/>
        <v/>
      </c>
      <c r="O48" s="45" t="str">
        <f t="shared" si="8"/>
        <v/>
      </c>
      <c r="P48" s="45" t="str">
        <f t="shared" si="9"/>
        <v/>
      </c>
    </row>
    <row r="49" spans="1:16" ht="18">
      <c r="A49" s="92" t="s">
        <v>2249</v>
      </c>
      <c r="B49" s="345">
        <v>1988</v>
      </c>
      <c r="C49" s="92" t="s">
        <v>4633</v>
      </c>
      <c r="D49" s="345">
        <v>3336068</v>
      </c>
      <c r="E49" s="278" t="str">
        <f t="shared" si="2"/>
        <v>https://pubmed.ncbi.nlm.nih.gov/?term=3336068</v>
      </c>
      <c r="H49" s="28" t="s">
        <v>511</v>
      </c>
      <c r="J49" s="346" t="str">
        <f t="shared" si="3"/>
        <v/>
      </c>
      <c r="K49" s="28" t="str">
        <f t="shared" si="4"/>
        <v/>
      </c>
      <c r="L49" s="45" t="str">
        <f t="shared" si="5"/>
        <v/>
      </c>
      <c r="M49" s="45" t="str">
        <f t="shared" si="6"/>
        <v/>
      </c>
      <c r="N49" s="45" t="str">
        <f t="shared" si="7"/>
        <v/>
      </c>
      <c r="O49" s="45" t="str">
        <f t="shared" si="8"/>
        <v/>
      </c>
      <c r="P49" s="45" t="str">
        <f t="shared" si="9"/>
        <v/>
      </c>
    </row>
    <row r="50" spans="1:16" ht="18">
      <c r="A50" s="92" t="s">
        <v>2039</v>
      </c>
      <c r="B50" s="345">
        <v>1977</v>
      </c>
      <c r="C50" s="92" t="s">
        <v>4634</v>
      </c>
      <c r="D50" s="345">
        <v>921245</v>
      </c>
      <c r="E50" s="278" t="str">
        <f t="shared" si="2"/>
        <v>https://pubmed.ncbi.nlm.nih.gov/?term=921245</v>
      </c>
      <c r="H50" s="28" t="s">
        <v>511</v>
      </c>
      <c r="J50" s="346" t="str">
        <f t="shared" si="3"/>
        <v/>
      </c>
      <c r="K50" s="28" t="str">
        <f t="shared" si="4"/>
        <v/>
      </c>
      <c r="L50" s="45" t="str">
        <f t="shared" si="5"/>
        <v/>
      </c>
      <c r="M50" s="45" t="str">
        <f t="shared" si="6"/>
        <v/>
      </c>
      <c r="N50" s="45" t="str">
        <f t="shared" si="7"/>
        <v/>
      </c>
      <c r="O50" s="45" t="str">
        <f t="shared" si="8"/>
        <v/>
      </c>
      <c r="P50" s="45" t="str">
        <f t="shared" si="9"/>
        <v/>
      </c>
    </row>
    <row r="51" spans="1:16" ht="18">
      <c r="A51" s="92" t="s">
        <v>4363</v>
      </c>
      <c r="B51" s="345">
        <v>1990</v>
      </c>
      <c r="C51" s="92"/>
      <c r="D51" s="345">
        <v>2180233</v>
      </c>
      <c r="E51" s="278" t="str">
        <f t="shared" si="2"/>
        <v>https://pubmed.ncbi.nlm.nih.gov/?term=2180233</v>
      </c>
      <c r="H51" s="28" t="s">
        <v>511</v>
      </c>
      <c r="J51" s="346" t="str">
        <f t="shared" si="3"/>
        <v/>
      </c>
      <c r="K51" s="28" t="str">
        <f t="shared" si="4"/>
        <v/>
      </c>
      <c r="L51" s="45" t="str">
        <f t="shared" si="5"/>
        <v/>
      </c>
      <c r="M51" s="45" t="str">
        <f t="shared" si="6"/>
        <v/>
      </c>
      <c r="N51" s="45" t="str">
        <f t="shared" si="7"/>
        <v/>
      </c>
      <c r="O51" s="45" t="str">
        <f t="shared" si="8"/>
        <v/>
      </c>
      <c r="P51" s="45" t="str">
        <f t="shared" si="9"/>
        <v/>
      </c>
    </row>
    <row r="52" spans="1:16" ht="18">
      <c r="A52" s="92" t="s">
        <v>4635</v>
      </c>
      <c r="B52" s="345">
        <v>1970</v>
      </c>
      <c r="C52" s="92" t="s">
        <v>4636</v>
      </c>
      <c r="D52" s="345">
        <v>5314017</v>
      </c>
      <c r="E52" s="278" t="str">
        <f t="shared" si="2"/>
        <v>https://pubmed.ncbi.nlm.nih.gov/?term=5314017</v>
      </c>
      <c r="F52" s="28" t="s">
        <v>511</v>
      </c>
      <c r="G52" s="28" t="s">
        <v>4346</v>
      </c>
      <c r="J52" s="346" t="str">
        <f t="shared" si="3"/>
        <v/>
      </c>
      <c r="K52" s="28" t="str">
        <f t="shared" si="4"/>
        <v/>
      </c>
      <c r="L52" s="45">
        <f t="shared" si="5"/>
        <v>1</v>
      </c>
      <c r="M52" s="45" t="str">
        <f t="shared" si="6"/>
        <v/>
      </c>
      <c r="N52" s="45" t="str">
        <f t="shared" si="7"/>
        <v/>
      </c>
      <c r="O52" s="45" t="str">
        <f t="shared" si="8"/>
        <v/>
      </c>
      <c r="P52" s="45" t="str">
        <f t="shared" si="9"/>
        <v/>
      </c>
    </row>
    <row r="53" spans="1:16" ht="18">
      <c r="A53" s="92" t="s">
        <v>4637</v>
      </c>
      <c r="B53" s="345">
        <v>1982</v>
      </c>
      <c r="C53" s="92"/>
      <c r="D53" s="345">
        <v>6983846</v>
      </c>
      <c r="E53" s="278" t="str">
        <f t="shared" si="2"/>
        <v>https://pubmed.ncbi.nlm.nih.gov/?term=6983846</v>
      </c>
      <c r="F53" s="28" t="s">
        <v>511</v>
      </c>
      <c r="G53" s="28" t="s">
        <v>4346</v>
      </c>
      <c r="J53" s="346" t="str">
        <f t="shared" si="3"/>
        <v/>
      </c>
      <c r="K53" s="28" t="str">
        <f t="shared" si="4"/>
        <v/>
      </c>
      <c r="L53" s="45">
        <f t="shared" si="5"/>
        <v>1</v>
      </c>
      <c r="M53" s="45" t="str">
        <f t="shared" si="6"/>
        <v/>
      </c>
      <c r="N53" s="45" t="str">
        <f t="shared" si="7"/>
        <v/>
      </c>
      <c r="O53" s="45" t="str">
        <f t="shared" si="8"/>
        <v/>
      </c>
      <c r="P53" s="45" t="str">
        <f t="shared" si="9"/>
        <v/>
      </c>
    </row>
    <row r="54" spans="1:16" ht="18">
      <c r="A54" s="92" t="s">
        <v>4638</v>
      </c>
      <c r="B54" s="345">
        <v>1985</v>
      </c>
      <c r="C54" s="92"/>
      <c r="D54" s="345">
        <v>4029085</v>
      </c>
      <c r="E54" s="278" t="str">
        <f t="shared" si="2"/>
        <v>https://pubmed.ncbi.nlm.nih.gov/?term=4029085</v>
      </c>
      <c r="F54" s="28" t="s">
        <v>511</v>
      </c>
      <c r="G54" s="28" t="s">
        <v>4346</v>
      </c>
      <c r="J54" s="346" t="str">
        <f t="shared" si="3"/>
        <v/>
      </c>
      <c r="K54" s="28" t="str">
        <f t="shared" si="4"/>
        <v/>
      </c>
      <c r="L54" s="45">
        <f t="shared" si="5"/>
        <v>1</v>
      </c>
      <c r="M54" s="45" t="str">
        <f t="shared" si="6"/>
        <v/>
      </c>
      <c r="N54" s="45" t="str">
        <f t="shared" si="7"/>
        <v/>
      </c>
      <c r="O54" s="45" t="str">
        <f t="shared" si="8"/>
        <v/>
      </c>
      <c r="P54" s="45" t="str">
        <f t="shared" si="9"/>
        <v/>
      </c>
    </row>
    <row r="55" spans="1:16" ht="18">
      <c r="A55" s="92" t="s">
        <v>2014</v>
      </c>
      <c r="B55" s="345">
        <v>1979</v>
      </c>
      <c r="C55" s="92"/>
      <c r="D55" s="345">
        <v>479857</v>
      </c>
      <c r="E55" s="278" t="str">
        <f t="shared" si="2"/>
        <v>https://pubmed.ncbi.nlm.nih.gov/?term=479857</v>
      </c>
      <c r="H55" s="28" t="s">
        <v>511</v>
      </c>
      <c r="J55" s="346" t="str">
        <f t="shared" si="3"/>
        <v/>
      </c>
      <c r="K55" s="28" t="str">
        <f t="shared" si="4"/>
        <v/>
      </c>
      <c r="L55" s="45" t="str">
        <f t="shared" si="5"/>
        <v/>
      </c>
      <c r="M55" s="45" t="str">
        <f t="shared" si="6"/>
        <v/>
      </c>
      <c r="N55" s="45" t="str">
        <f t="shared" si="7"/>
        <v/>
      </c>
      <c r="O55" s="45" t="str">
        <f t="shared" si="8"/>
        <v/>
      </c>
      <c r="P55" s="45" t="str">
        <f t="shared" si="9"/>
        <v/>
      </c>
    </row>
    <row r="56" spans="1:16" ht="18">
      <c r="A56" s="92" t="s">
        <v>4639</v>
      </c>
      <c r="B56" s="345">
        <v>1978</v>
      </c>
      <c r="C56" s="92"/>
      <c r="D56" s="345">
        <v>97364</v>
      </c>
      <c r="E56" s="278" t="str">
        <f t="shared" si="2"/>
        <v>https://pubmed.ncbi.nlm.nih.gov/?term=97364</v>
      </c>
      <c r="F56" s="28" t="s">
        <v>511</v>
      </c>
      <c r="G56" s="28" t="s">
        <v>4346</v>
      </c>
      <c r="J56" s="346" t="str">
        <f t="shared" si="3"/>
        <v/>
      </c>
      <c r="K56" s="28" t="str">
        <f t="shared" si="4"/>
        <v/>
      </c>
      <c r="L56" s="45">
        <f t="shared" si="5"/>
        <v>1</v>
      </c>
      <c r="M56" s="45" t="str">
        <f t="shared" si="6"/>
        <v/>
      </c>
      <c r="N56" s="45" t="str">
        <f t="shared" si="7"/>
        <v/>
      </c>
      <c r="O56" s="45" t="str">
        <f t="shared" si="8"/>
        <v/>
      </c>
      <c r="P56" s="45" t="str">
        <f t="shared" si="9"/>
        <v/>
      </c>
    </row>
    <row r="57" spans="1:16" ht="18">
      <c r="A57" s="92" t="s">
        <v>4640</v>
      </c>
      <c r="B57" s="345">
        <v>1986</v>
      </c>
      <c r="C57" s="92"/>
      <c r="D57" s="345">
        <v>3023540</v>
      </c>
      <c r="E57" s="278" t="str">
        <f t="shared" si="2"/>
        <v>https://pubmed.ncbi.nlm.nih.gov/?term=3023540</v>
      </c>
      <c r="F57" s="28" t="s">
        <v>511</v>
      </c>
      <c r="G57" s="28" t="s">
        <v>4346</v>
      </c>
      <c r="J57" s="346" t="str">
        <f t="shared" si="3"/>
        <v/>
      </c>
      <c r="K57" s="28" t="str">
        <f t="shared" si="4"/>
        <v/>
      </c>
      <c r="L57" s="45">
        <f t="shared" si="5"/>
        <v>1</v>
      </c>
      <c r="M57" s="45" t="str">
        <f t="shared" si="6"/>
        <v/>
      </c>
      <c r="N57" s="45" t="str">
        <f t="shared" si="7"/>
        <v/>
      </c>
      <c r="O57" s="45" t="str">
        <f t="shared" si="8"/>
        <v/>
      </c>
      <c r="P57" s="45" t="str">
        <f t="shared" si="9"/>
        <v/>
      </c>
    </row>
    <row r="58" spans="1:16" ht="18">
      <c r="A58" s="92" t="s">
        <v>4641</v>
      </c>
      <c r="B58" s="345">
        <v>1989</v>
      </c>
      <c r="C58" s="92"/>
      <c r="D58" s="345">
        <v>2617590</v>
      </c>
      <c r="E58" s="278" t="str">
        <f t="shared" si="2"/>
        <v>https://pubmed.ncbi.nlm.nih.gov/?term=2617590</v>
      </c>
      <c r="F58" s="28" t="s">
        <v>511</v>
      </c>
      <c r="G58" s="28" t="s">
        <v>4642</v>
      </c>
      <c r="J58" s="346">
        <f t="shared" si="3"/>
        <v>1</v>
      </c>
      <c r="K58" s="28" t="str">
        <f t="shared" si="4"/>
        <v/>
      </c>
      <c r="L58" s="45" t="str">
        <f t="shared" si="5"/>
        <v/>
      </c>
      <c r="M58" s="45" t="str">
        <f t="shared" si="6"/>
        <v/>
      </c>
      <c r="N58" s="45" t="str">
        <f t="shared" si="7"/>
        <v/>
      </c>
      <c r="O58" s="45" t="str">
        <f t="shared" si="8"/>
        <v/>
      </c>
      <c r="P58" s="45" t="str">
        <f t="shared" si="9"/>
        <v/>
      </c>
    </row>
    <row r="59" spans="1:16" ht="18">
      <c r="A59" s="92" t="s">
        <v>4643</v>
      </c>
      <c r="B59" s="345">
        <v>1984</v>
      </c>
      <c r="C59" s="92" t="s">
        <v>4644</v>
      </c>
      <c r="D59" s="345">
        <v>6424959</v>
      </c>
      <c r="E59" s="278" t="str">
        <f t="shared" si="2"/>
        <v>https://pubmed.ncbi.nlm.nih.gov/?term=6424959</v>
      </c>
      <c r="F59" s="28" t="s">
        <v>511</v>
      </c>
      <c r="G59" s="28" t="s">
        <v>4592</v>
      </c>
      <c r="J59" s="346">
        <f t="shared" si="3"/>
        <v>1</v>
      </c>
      <c r="K59" s="28" t="str">
        <f t="shared" si="4"/>
        <v/>
      </c>
      <c r="L59" s="45" t="str">
        <f t="shared" si="5"/>
        <v/>
      </c>
      <c r="M59" s="45" t="str">
        <f t="shared" si="6"/>
        <v/>
      </c>
      <c r="N59" s="45" t="str">
        <f t="shared" si="7"/>
        <v/>
      </c>
      <c r="O59" s="45" t="str">
        <f t="shared" si="8"/>
        <v/>
      </c>
      <c r="P59" s="45" t="str">
        <f t="shared" si="9"/>
        <v/>
      </c>
    </row>
    <row r="60" spans="1:16" ht="18">
      <c r="A60" s="92" t="s">
        <v>4613</v>
      </c>
      <c r="B60" s="345">
        <v>1984</v>
      </c>
      <c r="C60" s="92" t="s">
        <v>4645</v>
      </c>
      <c r="D60" s="345">
        <v>6088797</v>
      </c>
      <c r="E60" s="278" t="str">
        <f t="shared" si="2"/>
        <v>https://pubmed.ncbi.nlm.nih.gov/?term=6088797</v>
      </c>
      <c r="F60" s="28" t="s">
        <v>511</v>
      </c>
      <c r="G60" s="28" t="s">
        <v>4346</v>
      </c>
      <c r="J60" s="346" t="str">
        <f t="shared" si="3"/>
        <v/>
      </c>
      <c r="K60" s="28" t="str">
        <f t="shared" si="4"/>
        <v/>
      </c>
      <c r="L60" s="45">
        <f t="shared" si="5"/>
        <v>1</v>
      </c>
      <c r="M60" s="45" t="str">
        <f t="shared" si="6"/>
        <v/>
      </c>
      <c r="N60" s="45" t="str">
        <f t="shared" si="7"/>
        <v/>
      </c>
      <c r="O60" s="45" t="str">
        <f t="shared" si="8"/>
        <v/>
      </c>
      <c r="P60" s="45" t="str">
        <f t="shared" si="9"/>
        <v/>
      </c>
    </row>
    <row r="61" spans="1:16" ht="18">
      <c r="A61" s="92" t="s">
        <v>4646</v>
      </c>
      <c r="B61" s="345">
        <v>1990</v>
      </c>
      <c r="C61" s="92"/>
      <c r="D61" s="345">
        <v>2235209</v>
      </c>
      <c r="E61" s="278" t="str">
        <f t="shared" si="2"/>
        <v>https://pubmed.ncbi.nlm.nih.gov/?term=2235209</v>
      </c>
      <c r="F61" s="28" t="s">
        <v>511</v>
      </c>
      <c r="G61" s="28" t="s">
        <v>4592</v>
      </c>
      <c r="J61" s="346">
        <f t="shared" si="3"/>
        <v>1</v>
      </c>
      <c r="K61" s="28" t="str">
        <f t="shared" si="4"/>
        <v/>
      </c>
      <c r="L61" s="45" t="str">
        <f t="shared" si="5"/>
        <v/>
      </c>
      <c r="M61" s="45" t="str">
        <f t="shared" si="6"/>
        <v/>
      </c>
      <c r="N61" s="45" t="str">
        <f t="shared" si="7"/>
        <v/>
      </c>
      <c r="O61" s="45" t="str">
        <f t="shared" si="8"/>
        <v/>
      </c>
      <c r="P61" s="45" t="str">
        <f t="shared" si="9"/>
        <v/>
      </c>
    </row>
    <row r="62" spans="1:16" ht="18">
      <c r="A62" s="92" t="s">
        <v>1672</v>
      </c>
      <c r="B62" s="345">
        <v>1975</v>
      </c>
      <c r="C62" s="92" t="s">
        <v>4647</v>
      </c>
      <c r="D62" s="345">
        <v>1211921</v>
      </c>
      <c r="E62" s="278" t="str">
        <f t="shared" si="2"/>
        <v>https://pubmed.ncbi.nlm.nih.gov/?term=1211921</v>
      </c>
      <c r="H62" s="28" t="s">
        <v>511</v>
      </c>
      <c r="J62" s="346" t="str">
        <f t="shared" si="3"/>
        <v/>
      </c>
      <c r="K62" s="28" t="str">
        <f t="shared" si="4"/>
        <v/>
      </c>
      <c r="L62" s="45" t="str">
        <f t="shared" si="5"/>
        <v/>
      </c>
      <c r="M62" s="45" t="str">
        <f t="shared" si="6"/>
        <v/>
      </c>
      <c r="N62" s="45" t="str">
        <f t="shared" si="7"/>
        <v/>
      </c>
      <c r="O62" s="45" t="str">
        <f t="shared" si="8"/>
        <v/>
      </c>
      <c r="P62" s="45" t="str">
        <f t="shared" si="9"/>
        <v/>
      </c>
    </row>
    <row r="63" spans="1:16" ht="18">
      <c r="A63" s="92" t="s">
        <v>1922</v>
      </c>
      <c r="B63" s="345">
        <v>1990</v>
      </c>
      <c r="C63" s="92"/>
      <c r="D63" s="345">
        <v>2204243</v>
      </c>
      <c r="E63" s="278" t="str">
        <f t="shared" si="2"/>
        <v>https://pubmed.ncbi.nlm.nih.gov/?term=2204243</v>
      </c>
      <c r="H63" s="28" t="s">
        <v>511</v>
      </c>
      <c r="J63" s="346" t="str">
        <f t="shared" si="3"/>
        <v/>
      </c>
      <c r="K63" s="28" t="str">
        <f t="shared" si="4"/>
        <v/>
      </c>
      <c r="L63" s="45" t="str">
        <f t="shared" si="5"/>
        <v/>
      </c>
      <c r="M63" s="45" t="str">
        <f t="shared" si="6"/>
        <v/>
      </c>
      <c r="N63" s="45" t="str">
        <f t="shared" si="7"/>
        <v/>
      </c>
      <c r="O63" s="45" t="str">
        <f t="shared" si="8"/>
        <v/>
      </c>
      <c r="P63" s="45" t="str">
        <f t="shared" si="9"/>
        <v/>
      </c>
    </row>
    <row r="64" spans="1:16" ht="18">
      <c r="A64" s="92" t="s">
        <v>2213</v>
      </c>
      <c r="B64" s="345">
        <v>1985</v>
      </c>
      <c r="C64" s="92"/>
      <c r="D64" s="345">
        <v>4001723</v>
      </c>
      <c r="E64" s="278" t="str">
        <f t="shared" si="2"/>
        <v>https://pubmed.ncbi.nlm.nih.gov/?term=4001723</v>
      </c>
      <c r="H64" s="28" t="s">
        <v>511</v>
      </c>
      <c r="J64" s="346" t="str">
        <f t="shared" si="3"/>
        <v/>
      </c>
      <c r="K64" s="28" t="str">
        <f t="shared" si="4"/>
        <v/>
      </c>
      <c r="L64" s="45" t="str">
        <f t="shared" si="5"/>
        <v/>
      </c>
      <c r="M64" s="45" t="str">
        <f t="shared" si="6"/>
        <v/>
      </c>
      <c r="N64" s="45" t="str">
        <f t="shared" si="7"/>
        <v/>
      </c>
      <c r="O64" s="45" t="str">
        <f t="shared" si="8"/>
        <v/>
      </c>
      <c r="P64" s="45" t="str">
        <f t="shared" si="9"/>
        <v/>
      </c>
    </row>
    <row r="65" spans="1:16" ht="18">
      <c r="A65" s="92" t="s">
        <v>4648</v>
      </c>
      <c r="B65" s="345">
        <v>1982</v>
      </c>
      <c r="C65" s="92" t="s">
        <v>4649</v>
      </c>
      <c r="D65" s="345">
        <v>7085075</v>
      </c>
      <c r="E65" s="278" t="str">
        <f t="shared" si="2"/>
        <v>https://pubmed.ncbi.nlm.nih.gov/?term=7085075</v>
      </c>
      <c r="F65" s="28" t="s">
        <v>511</v>
      </c>
      <c r="G65" s="28" t="s">
        <v>4650</v>
      </c>
      <c r="J65" s="346" t="str">
        <f t="shared" si="3"/>
        <v/>
      </c>
      <c r="K65" s="28" t="str">
        <f t="shared" si="4"/>
        <v/>
      </c>
      <c r="L65" s="45" t="str">
        <f t="shared" si="5"/>
        <v/>
      </c>
      <c r="M65" s="45" t="str">
        <f t="shared" si="6"/>
        <v/>
      </c>
      <c r="N65" s="45" t="str">
        <f t="shared" si="7"/>
        <v/>
      </c>
      <c r="O65" s="45">
        <f t="shared" si="8"/>
        <v>1</v>
      </c>
      <c r="P65" s="45" t="str">
        <f t="shared" si="9"/>
        <v/>
      </c>
    </row>
    <row r="66" spans="1:16" ht="18">
      <c r="A66" s="92" t="s">
        <v>4651</v>
      </c>
      <c r="B66" s="345">
        <v>1975</v>
      </c>
      <c r="C66" s="92" t="s">
        <v>4652</v>
      </c>
      <c r="D66" s="345">
        <v>808136</v>
      </c>
      <c r="E66" s="278" t="str">
        <f t="shared" si="2"/>
        <v>https://pubmed.ncbi.nlm.nih.gov/?term=808136</v>
      </c>
      <c r="F66" s="28" t="s">
        <v>511</v>
      </c>
      <c r="G66" s="28" t="s">
        <v>4346</v>
      </c>
      <c r="J66" s="346" t="str">
        <f t="shared" si="3"/>
        <v/>
      </c>
      <c r="K66" s="28" t="str">
        <f t="shared" si="4"/>
        <v/>
      </c>
      <c r="L66" s="45">
        <f t="shared" si="5"/>
        <v>1</v>
      </c>
      <c r="M66" s="45" t="str">
        <f t="shared" si="6"/>
        <v/>
      </c>
      <c r="N66" s="45" t="str">
        <f t="shared" si="7"/>
        <v/>
      </c>
      <c r="O66" s="45" t="str">
        <f t="shared" si="8"/>
        <v/>
      </c>
      <c r="P66" s="45" t="str">
        <f t="shared" si="9"/>
        <v/>
      </c>
    </row>
    <row r="67" spans="1:16" ht="18">
      <c r="A67" s="92" t="s">
        <v>4640</v>
      </c>
      <c r="B67" s="345">
        <v>1988</v>
      </c>
      <c r="C67" s="92"/>
      <c r="D67" s="345">
        <v>2846464</v>
      </c>
      <c r="E67" s="278" t="str">
        <f t="shared" si="2"/>
        <v>https://pubmed.ncbi.nlm.nih.gov/?term=2846464</v>
      </c>
      <c r="F67" s="28" t="s">
        <v>511</v>
      </c>
      <c r="G67" s="28" t="s">
        <v>4346</v>
      </c>
      <c r="J67" s="346" t="str">
        <f t="shared" si="3"/>
        <v/>
      </c>
      <c r="K67" s="28" t="str">
        <f t="shared" si="4"/>
        <v/>
      </c>
      <c r="L67" s="45">
        <f t="shared" si="5"/>
        <v>1</v>
      </c>
      <c r="M67" s="45" t="str">
        <f t="shared" si="6"/>
        <v/>
      </c>
      <c r="N67" s="45" t="str">
        <f t="shared" si="7"/>
        <v/>
      </c>
      <c r="O67" s="45" t="str">
        <f t="shared" si="8"/>
        <v/>
      </c>
      <c r="P67" s="45" t="str">
        <f t="shared" si="9"/>
        <v/>
      </c>
    </row>
    <row r="68" spans="1:16" ht="18">
      <c r="A68" s="92" t="s">
        <v>4653</v>
      </c>
      <c r="B68" s="345">
        <v>1988</v>
      </c>
      <c r="C68" s="92"/>
      <c r="D68" s="345">
        <v>2839577</v>
      </c>
      <c r="E68" s="278" t="str">
        <f t="shared" si="2"/>
        <v>https://pubmed.ncbi.nlm.nih.gov/?term=2839577</v>
      </c>
      <c r="F68" s="28" t="s">
        <v>511</v>
      </c>
      <c r="G68" s="28" t="s">
        <v>4654</v>
      </c>
      <c r="J68" s="346" t="str">
        <f t="shared" si="3"/>
        <v/>
      </c>
      <c r="K68" s="28" t="str">
        <f t="shared" si="4"/>
        <v/>
      </c>
      <c r="L68" s="45" t="str">
        <f t="shared" si="5"/>
        <v/>
      </c>
      <c r="M68" s="45" t="str">
        <f t="shared" si="6"/>
        <v/>
      </c>
      <c r="N68" s="45" t="str">
        <f t="shared" si="7"/>
        <v/>
      </c>
      <c r="O68" s="45">
        <f t="shared" si="8"/>
        <v>1</v>
      </c>
      <c r="P68" s="45" t="str">
        <f t="shared" si="9"/>
        <v/>
      </c>
    </row>
    <row r="69" spans="1:16" ht="18">
      <c r="A69" s="92" t="s">
        <v>4655</v>
      </c>
      <c r="B69" s="345">
        <v>1975</v>
      </c>
      <c r="C69" s="92"/>
      <c r="D69" s="345">
        <v>162815</v>
      </c>
      <c r="E69" s="278" t="str">
        <f t="shared" si="2"/>
        <v>https://pubmed.ncbi.nlm.nih.gov/?term=162815</v>
      </c>
      <c r="F69" s="28" t="s">
        <v>511</v>
      </c>
      <c r="G69" s="28" t="s">
        <v>4656</v>
      </c>
      <c r="J69" s="346">
        <f t="shared" si="3"/>
        <v>1</v>
      </c>
      <c r="K69" s="28" t="str">
        <f t="shared" si="4"/>
        <v/>
      </c>
      <c r="L69" s="45" t="str">
        <f t="shared" si="5"/>
        <v/>
      </c>
      <c r="M69" s="45" t="str">
        <f t="shared" si="6"/>
        <v/>
      </c>
      <c r="N69" s="45" t="str">
        <f t="shared" si="7"/>
        <v/>
      </c>
      <c r="O69" s="45" t="str">
        <f t="shared" si="8"/>
        <v/>
      </c>
      <c r="P69" s="45" t="str">
        <f t="shared" si="9"/>
        <v/>
      </c>
    </row>
    <row r="70" spans="1:16" ht="18">
      <c r="A70" s="92" t="s">
        <v>4657</v>
      </c>
      <c r="B70" s="345">
        <v>1975</v>
      </c>
      <c r="C70" s="92"/>
      <c r="D70" s="345">
        <v>1126572</v>
      </c>
      <c r="E70" s="278" t="str">
        <f t="shared" si="2"/>
        <v>https://pubmed.ncbi.nlm.nih.gov/?term=1126572</v>
      </c>
      <c r="F70" s="28" t="s">
        <v>511</v>
      </c>
      <c r="G70" s="28" t="s">
        <v>4592</v>
      </c>
      <c r="J70" s="346">
        <f t="shared" si="3"/>
        <v>1</v>
      </c>
      <c r="K70" s="28" t="str">
        <f t="shared" si="4"/>
        <v/>
      </c>
      <c r="L70" s="45" t="str">
        <f t="shared" si="5"/>
        <v/>
      </c>
      <c r="M70" s="45" t="str">
        <f t="shared" si="6"/>
        <v/>
      </c>
      <c r="N70" s="45" t="str">
        <f t="shared" si="7"/>
        <v/>
      </c>
      <c r="O70" s="45" t="str">
        <f t="shared" si="8"/>
        <v/>
      </c>
      <c r="P70" s="45" t="str">
        <f t="shared" si="9"/>
        <v/>
      </c>
    </row>
    <row r="71" spans="1:16" ht="18">
      <c r="A71" s="92" t="s">
        <v>1542</v>
      </c>
      <c r="B71" s="345">
        <v>1982</v>
      </c>
      <c r="C71" s="92" t="s">
        <v>4658</v>
      </c>
      <c r="D71" s="345">
        <v>7141686</v>
      </c>
      <c r="E71" s="278" t="str">
        <f t="shared" si="2"/>
        <v>https://pubmed.ncbi.nlm.nih.gov/?term=7141686</v>
      </c>
      <c r="H71" s="28" t="s">
        <v>511</v>
      </c>
      <c r="J71" s="346" t="str">
        <f t="shared" si="3"/>
        <v/>
      </c>
      <c r="K71" s="28" t="str">
        <f t="shared" si="4"/>
        <v/>
      </c>
      <c r="L71" s="45" t="str">
        <f t="shared" si="5"/>
        <v/>
      </c>
      <c r="M71" s="45" t="str">
        <f t="shared" si="6"/>
        <v/>
      </c>
      <c r="N71" s="45" t="str">
        <f t="shared" si="7"/>
        <v/>
      </c>
      <c r="O71" s="45" t="str">
        <f t="shared" si="8"/>
        <v/>
      </c>
      <c r="P71" s="45" t="str">
        <f t="shared" si="9"/>
        <v/>
      </c>
    </row>
    <row r="72" spans="1:16" ht="18">
      <c r="A72" s="92" t="s">
        <v>4659</v>
      </c>
      <c r="B72" s="345">
        <v>1979</v>
      </c>
      <c r="C72" s="92"/>
      <c r="D72" s="345">
        <v>230367</v>
      </c>
      <c r="E72" s="278" t="str">
        <f t="shared" si="2"/>
        <v>https://pubmed.ncbi.nlm.nih.gov/?term=230367</v>
      </c>
      <c r="F72" s="28" t="s">
        <v>511</v>
      </c>
      <c r="G72" s="28" t="s">
        <v>4660</v>
      </c>
      <c r="J72" s="346" t="str">
        <f t="shared" si="3"/>
        <v/>
      </c>
      <c r="K72" s="28">
        <f t="shared" si="4"/>
        <v>1</v>
      </c>
      <c r="L72" s="45" t="str">
        <f t="shared" si="5"/>
        <v/>
      </c>
      <c r="M72" s="45" t="str">
        <f t="shared" si="6"/>
        <v/>
      </c>
      <c r="N72" s="45" t="str">
        <f t="shared" si="7"/>
        <v/>
      </c>
      <c r="O72" s="45" t="str">
        <f t="shared" si="8"/>
        <v/>
      </c>
      <c r="P72" s="45" t="str">
        <f t="shared" si="9"/>
        <v/>
      </c>
    </row>
    <row r="73" spans="1:16" ht="18">
      <c r="A73" s="92" t="s">
        <v>4385</v>
      </c>
      <c r="B73" s="345">
        <v>1989</v>
      </c>
      <c r="C73" s="92" t="s">
        <v>4661</v>
      </c>
      <c r="D73" s="345">
        <v>2707853</v>
      </c>
      <c r="E73" s="278" t="str">
        <f t="shared" si="2"/>
        <v>https://pubmed.ncbi.nlm.nih.gov/?term=2707853</v>
      </c>
      <c r="H73" s="28" t="s">
        <v>511</v>
      </c>
      <c r="J73" s="346" t="str">
        <f t="shared" si="3"/>
        <v/>
      </c>
      <c r="K73" s="28" t="str">
        <f t="shared" si="4"/>
        <v/>
      </c>
      <c r="L73" s="45" t="str">
        <f t="shared" si="5"/>
        <v/>
      </c>
      <c r="M73" s="45" t="str">
        <f t="shared" si="6"/>
        <v/>
      </c>
      <c r="N73" s="45" t="str">
        <f t="shared" si="7"/>
        <v/>
      </c>
      <c r="O73" s="45" t="str">
        <f t="shared" si="8"/>
        <v/>
      </c>
      <c r="P73" s="45" t="str">
        <f t="shared" si="9"/>
        <v/>
      </c>
    </row>
    <row r="74" spans="1:16" ht="18">
      <c r="A74" s="92" t="s">
        <v>2186</v>
      </c>
      <c r="B74" s="345">
        <v>1975</v>
      </c>
      <c r="C74" s="92"/>
      <c r="D74" s="345">
        <v>1202110</v>
      </c>
      <c r="E74" s="278" t="str">
        <f t="shared" si="2"/>
        <v>https://pubmed.ncbi.nlm.nih.gov/?term=1202110</v>
      </c>
      <c r="H74" s="28" t="s">
        <v>511</v>
      </c>
      <c r="J74" s="346" t="str">
        <f t="shared" si="3"/>
        <v/>
      </c>
      <c r="K74" s="28" t="str">
        <f t="shared" si="4"/>
        <v/>
      </c>
      <c r="L74" s="45" t="str">
        <f t="shared" si="5"/>
        <v/>
      </c>
      <c r="M74" s="45" t="str">
        <f t="shared" si="6"/>
        <v/>
      </c>
      <c r="N74" s="45" t="str">
        <f t="shared" si="7"/>
        <v/>
      </c>
      <c r="O74" s="45" t="str">
        <f t="shared" si="8"/>
        <v/>
      </c>
      <c r="P74" s="45" t="str">
        <f t="shared" si="9"/>
        <v/>
      </c>
    </row>
    <row r="75" spans="1:16" ht="18">
      <c r="A75" s="92" t="s">
        <v>4257</v>
      </c>
      <c r="B75" s="345">
        <v>1987</v>
      </c>
      <c r="C75" s="92"/>
      <c r="D75" s="345">
        <v>3326874</v>
      </c>
      <c r="E75" s="278" t="str">
        <f t="shared" si="2"/>
        <v>https://pubmed.ncbi.nlm.nih.gov/?term=3326874</v>
      </c>
      <c r="H75" s="28" t="s">
        <v>511</v>
      </c>
      <c r="J75" s="346" t="str">
        <f t="shared" si="3"/>
        <v/>
      </c>
      <c r="K75" s="28" t="str">
        <f t="shared" si="4"/>
        <v/>
      </c>
      <c r="L75" s="45" t="str">
        <f t="shared" si="5"/>
        <v/>
      </c>
      <c r="M75" s="45" t="str">
        <f t="shared" si="6"/>
        <v/>
      </c>
      <c r="N75" s="45" t="str">
        <f t="shared" si="7"/>
        <v/>
      </c>
      <c r="O75" s="45" t="str">
        <f t="shared" si="8"/>
        <v/>
      </c>
      <c r="P75" s="45" t="str">
        <f t="shared" si="9"/>
        <v/>
      </c>
    </row>
    <row r="76" spans="1:16" ht="18">
      <c r="A76" s="92" t="s">
        <v>4662</v>
      </c>
      <c r="B76" s="345">
        <v>1975</v>
      </c>
      <c r="C76" s="92" t="s">
        <v>4663</v>
      </c>
      <c r="D76" s="345">
        <v>182406</v>
      </c>
      <c r="E76" s="278" t="str">
        <f t="shared" si="2"/>
        <v>https://pubmed.ncbi.nlm.nih.gov/?term=182406</v>
      </c>
      <c r="F76" s="28" t="s">
        <v>511</v>
      </c>
      <c r="G76" s="28" t="s">
        <v>4346</v>
      </c>
      <c r="J76" s="346" t="str">
        <f t="shared" si="3"/>
        <v/>
      </c>
      <c r="K76" s="28" t="str">
        <f t="shared" si="4"/>
        <v/>
      </c>
      <c r="L76" s="45">
        <f t="shared" si="5"/>
        <v>1</v>
      </c>
      <c r="M76" s="45" t="str">
        <f t="shared" si="6"/>
        <v/>
      </c>
      <c r="N76" s="45" t="str">
        <f t="shared" si="7"/>
        <v/>
      </c>
      <c r="O76" s="45" t="str">
        <f t="shared" si="8"/>
        <v/>
      </c>
      <c r="P76" s="45" t="str">
        <f t="shared" si="9"/>
        <v/>
      </c>
    </row>
    <row r="77" spans="1:16" ht="18">
      <c r="A77" s="92" t="s">
        <v>4664</v>
      </c>
      <c r="B77" s="345">
        <v>1982</v>
      </c>
      <c r="C77" s="92"/>
      <c r="D77" s="345">
        <v>7149101</v>
      </c>
      <c r="E77" s="278" t="str">
        <f t="shared" si="2"/>
        <v>https://pubmed.ncbi.nlm.nih.gov/?term=7149101</v>
      </c>
      <c r="F77" s="28" t="s">
        <v>511</v>
      </c>
      <c r="G77" s="28" t="s">
        <v>4660</v>
      </c>
      <c r="J77" s="346" t="str">
        <f t="shared" si="3"/>
        <v/>
      </c>
      <c r="K77" s="28">
        <f t="shared" si="4"/>
        <v>1</v>
      </c>
      <c r="L77" s="45" t="str">
        <f t="shared" si="5"/>
        <v/>
      </c>
      <c r="M77" s="45" t="str">
        <f t="shared" si="6"/>
        <v/>
      </c>
      <c r="N77" s="45" t="str">
        <f t="shared" si="7"/>
        <v/>
      </c>
      <c r="O77" s="45" t="str">
        <f t="shared" si="8"/>
        <v/>
      </c>
      <c r="P77" s="45" t="str">
        <f t="shared" si="9"/>
        <v/>
      </c>
    </row>
    <row r="78" spans="1:16" ht="18">
      <c r="A78" s="92" t="s">
        <v>4665</v>
      </c>
      <c r="B78" s="345">
        <v>1979</v>
      </c>
      <c r="C78" s="92"/>
      <c r="D78" s="345">
        <v>92540</v>
      </c>
      <c r="E78" s="278" t="str">
        <f t="shared" si="2"/>
        <v>https://pubmed.ncbi.nlm.nih.gov/?term=92540</v>
      </c>
      <c r="F78" s="28" t="s">
        <v>511</v>
      </c>
      <c r="G78" s="28" t="s">
        <v>4666</v>
      </c>
      <c r="J78" s="346" t="str">
        <f t="shared" si="3"/>
        <v/>
      </c>
      <c r="K78" s="28" t="str">
        <f t="shared" si="4"/>
        <v/>
      </c>
      <c r="L78" s="45">
        <f t="shared" si="5"/>
        <v>1</v>
      </c>
      <c r="M78" s="45" t="str">
        <f t="shared" si="6"/>
        <v/>
      </c>
      <c r="N78" s="45" t="str">
        <f t="shared" si="7"/>
        <v/>
      </c>
      <c r="O78" s="45" t="str">
        <f t="shared" si="8"/>
        <v/>
      </c>
      <c r="P78" s="45" t="str">
        <f t="shared" si="9"/>
        <v/>
      </c>
    </row>
    <row r="79" spans="1:16" ht="18">
      <c r="A79" s="92" t="s">
        <v>4667</v>
      </c>
      <c r="B79" s="345">
        <v>1976</v>
      </c>
      <c r="C79" s="92"/>
      <c r="D79" s="345">
        <v>10589</v>
      </c>
      <c r="E79" s="278" t="str">
        <f t="shared" si="2"/>
        <v>https://pubmed.ncbi.nlm.nih.gov/?term=10589</v>
      </c>
      <c r="F79" s="28" t="s">
        <v>511</v>
      </c>
      <c r="G79" s="28" t="s">
        <v>4668</v>
      </c>
      <c r="J79" s="346" t="str">
        <f t="shared" si="3"/>
        <v/>
      </c>
      <c r="K79" s="28" t="str">
        <f t="shared" si="4"/>
        <v/>
      </c>
      <c r="L79" s="45">
        <f t="shared" si="5"/>
        <v>1</v>
      </c>
      <c r="M79" s="45" t="str">
        <f t="shared" si="6"/>
        <v/>
      </c>
      <c r="N79" s="45" t="str">
        <f t="shared" si="7"/>
        <v/>
      </c>
      <c r="O79" s="45" t="str">
        <f t="shared" si="8"/>
        <v/>
      </c>
      <c r="P79" s="45" t="str">
        <f t="shared" si="9"/>
        <v/>
      </c>
    </row>
    <row r="80" spans="1:16" ht="18">
      <c r="A80" s="92" t="s">
        <v>1626</v>
      </c>
      <c r="B80" s="345">
        <v>1978</v>
      </c>
      <c r="C80" s="92" t="s">
        <v>4669</v>
      </c>
      <c r="D80" s="345">
        <v>730356</v>
      </c>
      <c r="E80" s="278" t="str">
        <f t="shared" si="2"/>
        <v>https://pubmed.ncbi.nlm.nih.gov/?term=730356</v>
      </c>
      <c r="H80" s="28" t="s">
        <v>511</v>
      </c>
      <c r="J80" s="346" t="str">
        <f t="shared" si="3"/>
        <v/>
      </c>
      <c r="K80" s="28" t="str">
        <f t="shared" si="4"/>
        <v/>
      </c>
      <c r="L80" s="45" t="str">
        <f t="shared" si="5"/>
        <v/>
      </c>
      <c r="M80" s="45" t="str">
        <f t="shared" si="6"/>
        <v/>
      </c>
      <c r="N80" s="45" t="str">
        <f t="shared" si="7"/>
        <v/>
      </c>
      <c r="O80" s="45" t="str">
        <f t="shared" si="8"/>
        <v/>
      </c>
      <c r="P80" s="45" t="str">
        <f t="shared" si="9"/>
        <v/>
      </c>
    </row>
    <row r="81" spans="1:16" ht="18">
      <c r="A81" s="92" t="s">
        <v>2344</v>
      </c>
      <c r="B81" s="345">
        <v>1973</v>
      </c>
      <c r="C81" s="92" t="s">
        <v>4670</v>
      </c>
      <c r="D81" s="345">
        <v>4367686</v>
      </c>
      <c r="E81" s="278" t="str">
        <f t="shared" si="2"/>
        <v>https://pubmed.ncbi.nlm.nih.gov/?term=4367686</v>
      </c>
      <c r="H81" s="28" t="s">
        <v>511</v>
      </c>
      <c r="J81" s="346" t="str">
        <f t="shared" si="3"/>
        <v/>
      </c>
      <c r="K81" s="28" t="str">
        <f t="shared" si="4"/>
        <v/>
      </c>
      <c r="L81" s="45" t="str">
        <f t="shared" si="5"/>
        <v/>
      </c>
      <c r="M81" s="45" t="str">
        <f t="shared" si="6"/>
        <v/>
      </c>
      <c r="N81" s="45" t="str">
        <f t="shared" si="7"/>
        <v/>
      </c>
      <c r="O81" s="45" t="str">
        <f t="shared" si="8"/>
        <v/>
      </c>
      <c r="P81" s="45" t="str">
        <f t="shared" si="9"/>
        <v/>
      </c>
    </row>
    <row r="82" spans="1:16" ht="18">
      <c r="A82" s="92" t="s">
        <v>4336</v>
      </c>
      <c r="B82" s="345">
        <v>1982</v>
      </c>
      <c r="C82" s="92"/>
      <c r="D82" s="345">
        <v>6750006</v>
      </c>
      <c r="E82" s="278" t="str">
        <f t="shared" si="2"/>
        <v>https://pubmed.ncbi.nlm.nih.gov/?term=6750006</v>
      </c>
      <c r="H82" s="28" t="s">
        <v>511</v>
      </c>
      <c r="J82" s="346" t="str">
        <f t="shared" si="3"/>
        <v/>
      </c>
      <c r="K82" s="28" t="str">
        <f t="shared" si="4"/>
        <v/>
      </c>
      <c r="L82" s="45" t="str">
        <f t="shared" si="5"/>
        <v/>
      </c>
      <c r="M82" s="45" t="str">
        <f t="shared" si="6"/>
        <v/>
      </c>
      <c r="N82" s="45" t="str">
        <f t="shared" si="7"/>
        <v/>
      </c>
      <c r="O82" s="45" t="str">
        <f t="shared" si="8"/>
        <v/>
      </c>
      <c r="P82" s="45" t="str">
        <f t="shared" si="9"/>
        <v/>
      </c>
    </row>
    <row r="83" spans="1:16" ht="18">
      <c r="A83" s="92" t="s">
        <v>4671</v>
      </c>
      <c r="B83" s="345">
        <v>1969</v>
      </c>
      <c r="C83" s="92" t="s">
        <v>4672</v>
      </c>
      <c r="D83" s="345">
        <v>5309483</v>
      </c>
      <c r="E83" s="278" t="str">
        <f t="shared" si="2"/>
        <v>https://pubmed.ncbi.nlm.nih.gov/?term=5309483</v>
      </c>
      <c r="F83" s="28" t="s">
        <v>511</v>
      </c>
      <c r="G83" s="28" t="s">
        <v>4592</v>
      </c>
      <c r="J83" s="346">
        <f t="shared" si="3"/>
        <v>1</v>
      </c>
      <c r="K83" s="28" t="str">
        <f t="shared" si="4"/>
        <v/>
      </c>
      <c r="L83" s="45" t="str">
        <f t="shared" si="5"/>
        <v/>
      </c>
      <c r="M83" s="45" t="str">
        <f t="shared" si="6"/>
        <v/>
      </c>
      <c r="N83" s="45" t="str">
        <f t="shared" si="7"/>
        <v/>
      </c>
      <c r="O83" s="45" t="str">
        <f t="shared" si="8"/>
        <v/>
      </c>
      <c r="P83" s="45" t="str">
        <f t="shared" si="9"/>
        <v/>
      </c>
    </row>
    <row r="84" spans="1:16" ht="18">
      <c r="A84" s="92" t="s">
        <v>4673</v>
      </c>
      <c r="B84" s="345">
        <v>1982</v>
      </c>
      <c r="C84" s="92" t="s">
        <v>4674</v>
      </c>
      <c r="D84" s="345">
        <v>6276302</v>
      </c>
      <c r="E84" s="278" t="str">
        <f t="shared" si="2"/>
        <v>https://pubmed.ncbi.nlm.nih.gov/?term=6276302</v>
      </c>
      <c r="F84" s="28" t="s">
        <v>511</v>
      </c>
      <c r="G84" s="28" t="s">
        <v>4346</v>
      </c>
      <c r="J84" s="346" t="str">
        <f t="shared" si="3"/>
        <v/>
      </c>
      <c r="K84" s="28" t="str">
        <f t="shared" si="4"/>
        <v/>
      </c>
      <c r="L84" s="45">
        <f t="shared" si="5"/>
        <v>1</v>
      </c>
      <c r="M84" s="45" t="str">
        <f t="shared" si="6"/>
        <v/>
      </c>
      <c r="N84" s="45" t="str">
        <f t="shared" si="7"/>
        <v/>
      </c>
      <c r="O84" s="45" t="str">
        <f t="shared" si="8"/>
        <v/>
      </c>
      <c r="P84" s="45" t="str">
        <f t="shared" si="9"/>
        <v/>
      </c>
    </row>
    <row r="85" spans="1:16" ht="18">
      <c r="A85" s="92" t="s">
        <v>4675</v>
      </c>
      <c r="B85" s="345">
        <v>1915</v>
      </c>
      <c r="C85" s="92" t="s">
        <v>4676</v>
      </c>
      <c r="D85" s="345">
        <v>19867945</v>
      </c>
      <c r="E85" s="278" t="str">
        <f t="shared" si="2"/>
        <v>https://pubmed.ncbi.nlm.nih.gov/?term=19867945</v>
      </c>
      <c r="F85" s="28" t="s">
        <v>511</v>
      </c>
      <c r="G85" s="28" t="s">
        <v>4346</v>
      </c>
      <c r="J85" s="346" t="str">
        <f t="shared" si="3"/>
        <v/>
      </c>
      <c r="K85" s="28" t="str">
        <f t="shared" si="4"/>
        <v/>
      </c>
      <c r="L85" s="45">
        <f t="shared" si="5"/>
        <v>1</v>
      </c>
      <c r="M85" s="45" t="str">
        <f t="shared" si="6"/>
        <v/>
      </c>
      <c r="N85" s="45" t="str">
        <f t="shared" si="7"/>
        <v/>
      </c>
      <c r="O85" s="45" t="str">
        <f t="shared" si="8"/>
        <v/>
      </c>
      <c r="P85" s="45" t="str">
        <f t="shared" si="9"/>
        <v/>
      </c>
    </row>
    <row r="86" spans="1:16" ht="18">
      <c r="A86" s="92" t="s">
        <v>4677</v>
      </c>
      <c r="B86" s="345">
        <v>1985</v>
      </c>
      <c r="C86" s="92" t="s">
        <v>4678</v>
      </c>
      <c r="D86" s="345">
        <v>2415971</v>
      </c>
      <c r="E86" s="278" t="str">
        <f t="shared" si="2"/>
        <v>https://pubmed.ncbi.nlm.nih.gov/?term=2415971</v>
      </c>
      <c r="F86" s="28" t="s">
        <v>511</v>
      </c>
      <c r="G86" s="28" t="s">
        <v>4346</v>
      </c>
      <c r="J86" s="346" t="str">
        <f t="shared" si="3"/>
        <v/>
      </c>
      <c r="K86" s="28" t="str">
        <f t="shared" si="4"/>
        <v/>
      </c>
      <c r="L86" s="45">
        <f t="shared" si="5"/>
        <v>1</v>
      </c>
      <c r="M86" s="45" t="str">
        <f t="shared" si="6"/>
        <v/>
      </c>
      <c r="N86" s="45" t="str">
        <f t="shared" si="7"/>
        <v/>
      </c>
      <c r="O86" s="45" t="str">
        <f t="shared" si="8"/>
        <v/>
      </c>
      <c r="P86" s="45" t="str">
        <f t="shared" si="9"/>
        <v/>
      </c>
    </row>
    <row r="87" spans="1:16" ht="18">
      <c r="A87" s="92" t="s">
        <v>4679</v>
      </c>
      <c r="B87" s="345">
        <v>1979</v>
      </c>
      <c r="C87" s="92"/>
      <c r="D87" s="345">
        <v>108342</v>
      </c>
      <c r="E87" s="278" t="str">
        <f t="shared" si="2"/>
        <v>https://pubmed.ncbi.nlm.nih.gov/?term=108342</v>
      </c>
      <c r="F87" s="28" t="s">
        <v>511</v>
      </c>
      <c r="G87" s="28" t="s">
        <v>4346</v>
      </c>
      <c r="J87" s="346" t="str">
        <f t="shared" si="3"/>
        <v/>
      </c>
      <c r="K87" s="28" t="str">
        <f t="shared" si="4"/>
        <v/>
      </c>
      <c r="L87" s="45">
        <f t="shared" si="5"/>
        <v>1</v>
      </c>
      <c r="M87" s="45" t="str">
        <f t="shared" si="6"/>
        <v/>
      </c>
      <c r="N87" s="45" t="str">
        <f t="shared" si="7"/>
        <v/>
      </c>
      <c r="O87" s="45" t="str">
        <f t="shared" si="8"/>
        <v/>
      </c>
      <c r="P87" s="45" t="str">
        <f t="shared" si="9"/>
        <v/>
      </c>
    </row>
    <row r="88" spans="1:16" ht="18">
      <c r="A88" s="92" t="s">
        <v>4680</v>
      </c>
      <c r="B88" s="345">
        <v>1981</v>
      </c>
      <c r="C88" s="92"/>
      <c r="D88" s="345">
        <v>7020398</v>
      </c>
      <c r="E88" s="278" t="str">
        <f t="shared" si="2"/>
        <v>https://pubmed.ncbi.nlm.nih.gov/?term=7020398</v>
      </c>
      <c r="F88" s="28" t="s">
        <v>511</v>
      </c>
      <c r="G88" s="28" t="s">
        <v>4346</v>
      </c>
      <c r="J88" s="346" t="str">
        <f t="shared" si="3"/>
        <v/>
      </c>
      <c r="K88" s="28" t="str">
        <f t="shared" si="4"/>
        <v/>
      </c>
      <c r="L88" s="45">
        <f t="shared" si="5"/>
        <v>1</v>
      </c>
      <c r="M88" s="45" t="str">
        <f t="shared" si="6"/>
        <v/>
      </c>
      <c r="N88" s="45" t="str">
        <f t="shared" si="7"/>
        <v/>
      </c>
      <c r="O88" s="45" t="str">
        <f t="shared" si="8"/>
        <v/>
      </c>
      <c r="P88" s="45" t="str">
        <f t="shared" si="9"/>
        <v/>
      </c>
    </row>
    <row r="89" spans="1:16" ht="18">
      <c r="A89" s="92" t="s">
        <v>4681</v>
      </c>
      <c r="B89" s="345">
        <v>1922</v>
      </c>
      <c r="C89" s="92" t="s">
        <v>4682</v>
      </c>
      <c r="D89" s="345">
        <v>19868603</v>
      </c>
      <c r="E89" s="278" t="str">
        <f t="shared" si="2"/>
        <v>https://pubmed.ncbi.nlm.nih.gov/?term=19868603</v>
      </c>
      <c r="F89" s="28" t="s">
        <v>511</v>
      </c>
      <c r="G89" s="28" t="s">
        <v>4346</v>
      </c>
      <c r="J89" s="346" t="str">
        <f t="shared" si="3"/>
        <v/>
      </c>
      <c r="K89" s="28" t="str">
        <f t="shared" si="4"/>
        <v/>
      </c>
      <c r="L89" s="45">
        <f t="shared" si="5"/>
        <v>1</v>
      </c>
      <c r="M89" s="45" t="str">
        <f t="shared" si="6"/>
        <v/>
      </c>
      <c r="N89" s="45" t="str">
        <f t="shared" si="7"/>
        <v/>
      </c>
      <c r="O89" s="45" t="str">
        <f t="shared" si="8"/>
        <v/>
      </c>
      <c r="P89" s="45" t="str">
        <f t="shared" si="9"/>
        <v/>
      </c>
    </row>
    <row r="90" spans="1:16" ht="18">
      <c r="A90" s="92" t="s">
        <v>4683</v>
      </c>
      <c r="B90" s="345">
        <v>1975</v>
      </c>
      <c r="C90" s="92"/>
      <c r="D90" s="345">
        <v>165133</v>
      </c>
      <c r="E90" s="278" t="str">
        <f t="shared" si="2"/>
        <v>https://pubmed.ncbi.nlm.nih.gov/?term=165133</v>
      </c>
      <c r="F90" s="28" t="s">
        <v>511</v>
      </c>
      <c r="G90" s="28" t="s">
        <v>4592</v>
      </c>
      <c r="J90" s="346">
        <f t="shared" si="3"/>
        <v>1</v>
      </c>
      <c r="K90" s="28" t="str">
        <f t="shared" si="4"/>
        <v/>
      </c>
      <c r="L90" s="45" t="str">
        <f t="shared" si="5"/>
        <v/>
      </c>
      <c r="M90" s="45" t="str">
        <f t="shared" si="6"/>
        <v/>
      </c>
      <c r="N90" s="45" t="str">
        <f t="shared" si="7"/>
        <v/>
      </c>
      <c r="O90" s="45" t="str">
        <f t="shared" si="8"/>
        <v/>
      </c>
      <c r="P90" s="45" t="str">
        <f t="shared" si="9"/>
        <v/>
      </c>
    </row>
    <row r="91" spans="1:16" ht="18">
      <c r="A91" s="92" t="s">
        <v>4415</v>
      </c>
      <c r="B91" s="345">
        <v>1990</v>
      </c>
      <c r="C91" s="92" t="s">
        <v>4684</v>
      </c>
      <c r="D91" s="345">
        <v>1692813</v>
      </c>
      <c r="E91" s="278" t="str">
        <f t="shared" si="2"/>
        <v>https://pubmed.ncbi.nlm.nih.gov/?term=1692813</v>
      </c>
      <c r="H91" s="28" t="s">
        <v>511</v>
      </c>
      <c r="J91" s="346" t="str">
        <f t="shared" si="3"/>
        <v/>
      </c>
      <c r="K91" s="28" t="str">
        <f t="shared" si="4"/>
        <v/>
      </c>
      <c r="L91" s="45" t="str">
        <f t="shared" si="5"/>
        <v/>
      </c>
      <c r="M91" s="45" t="str">
        <f t="shared" si="6"/>
        <v/>
      </c>
      <c r="N91" s="45" t="str">
        <f t="shared" si="7"/>
        <v/>
      </c>
      <c r="O91" s="45" t="str">
        <f t="shared" si="8"/>
        <v/>
      </c>
      <c r="P91" s="45" t="str">
        <f t="shared" si="9"/>
        <v/>
      </c>
    </row>
    <row r="92" spans="1:16" ht="18">
      <c r="A92" s="347" t="s">
        <v>4685</v>
      </c>
      <c r="B92" s="92">
        <v>1975</v>
      </c>
      <c r="C92" s="92"/>
      <c r="D92" s="92">
        <v>173599</v>
      </c>
      <c r="E92" s="278" t="str">
        <f t="shared" si="2"/>
        <v>https://pubmed.ncbi.nlm.nih.gov/?term=173599</v>
      </c>
      <c r="F92" s="28" t="s">
        <v>511</v>
      </c>
      <c r="G92" s="28" t="s">
        <v>4592</v>
      </c>
      <c r="J92" s="346">
        <f t="shared" si="3"/>
        <v>1</v>
      </c>
      <c r="K92" s="28" t="str">
        <f t="shared" si="4"/>
        <v/>
      </c>
      <c r="L92" s="45" t="str">
        <f t="shared" si="5"/>
        <v/>
      </c>
      <c r="M92" s="45" t="str">
        <f t="shared" si="6"/>
        <v/>
      </c>
      <c r="N92" s="45" t="str">
        <f t="shared" si="7"/>
        <v/>
      </c>
      <c r="O92" s="45" t="str">
        <f t="shared" si="8"/>
        <v/>
      </c>
      <c r="P92" s="45" t="str">
        <f t="shared" si="9"/>
        <v/>
      </c>
    </row>
    <row r="93" spans="1:16" ht="18">
      <c r="A93" s="92" t="s">
        <v>4686</v>
      </c>
      <c r="B93" s="345">
        <v>1999</v>
      </c>
      <c r="C93" s="92"/>
      <c r="D93" s="345">
        <v>10520648</v>
      </c>
      <c r="E93" s="278" t="str">
        <f t="shared" si="2"/>
        <v>https://pubmed.ncbi.nlm.nih.gov/?term=10520648</v>
      </c>
      <c r="F93" s="28" t="s">
        <v>511</v>
      </c>
      <c r="G93" s="28" t="s">
        <v>4592</v>
      </c>
      <c r="J93" s="346">
        <f t="shared" si="3"/>
        <v>1</v>
      </c>
      <c r="K93" s="28" t="str">
        <f t="shared" si="4"/>
        <v/>
      </c>
      <c r="L93" s="45" t="str">
        <f t="shared" si="5"/>
        <v/>
      </c>
      <c r="M93" s="45" t="str">
        <f t="shared" si="6"/>
        <v/>
      </c>
      <c r="N93" s="45" t="str">
        <f t="shared" si="7"/>
        <v/>
      </c>
      <c r="O93" s="45" t="str">
        <f t="shared" si="8"/>
        <v/>
      </c>
      <c r="P93" s="45" t="str">
        <f t="shared" si="9"/>
        <v/>
      </c>
    </row>
    <row r="94" spans="1:16" ht="18">
      <c r="A94" s="92" t="s">
        <v>4687</v>
      </c>
      <c r="B94" s="345">
        <v>1998</v>
      </c>
      <c r="C94" s="92"/>
      <c r="D94" s="345">
        <v>9892025</v>
      </c>
      <c r="E94" s="278" t="str">
        <f t="shared" si="2"/>
        <v>https://pubmed.ncbi.nlm.nih.gov/?term=9892025</v>
      </c>
      <c r="F94" s="28" t="s">
        <v>511</v>
      </c>
      <c r="G94" s="28" t="s">
        <v>4592</v>
      </c>
      <c r="J94" s="346">
        <f t="shared" si="3"/>
        <v>1</v>
      </c>
      <c r="K94" s="28" t="str">
        <f t="shared" si="4"/>
        <v/>
      </c>
      <c r="L94" s="45" t="str">
        <f t="shared" si="5"/>
        <v/>
      </c>
      <c r="M94" s="45" t="str">
        <f t="shared" si="6"/>
        <v/>
      </c>
      <c r="N94" s="45" t="str">
        <f t="shared" si="7"/>
        <v/>
      </c>
      <c r="O94" s="45" t="str">
        <f t="shared" si="8"/>
        <v/>
      </c>
      <c r="P94" s="45" t="str">
        <f t="shared" si="9"/>
        <v/>
      </c>
    </row>
    <row r="95" spans="1:16" ht="18">
      <c r="A95" s="92" t="s">
        <v>4399</v>
      </c>
      <c r="B95" s="345">
        <v>2000</v>
      </c>
      <c r="C95" s="92"/>
      <c r="D95" s="345">
        <v>10697061</v>
      </c>
      <c r="E95" s="278" t="str">
        <f t="shared" si="2"/>
        <v>https://pubmed.ncbi.nlm.nih.gov/?term=10697061</v>
      </c>
      <c r="H95" s="28" t="s">
        <v>511</v>
      </c>
      <c r="J95" s="346" t="str">
        <f t="shared" si="3"/>
        <v/>
      </c>
      <c r="K95" s="28" t="str">
        <f t="shared" si="4"/>
        <v/>
      </c>
      <c r="L95" s="45" t="str">
        <f t="shared" si="5"/>
        <v/>
      </c>
      <c r="M95" s="45" t="str">
        <f t="shared" si="6"/>
        <v/>
      </c>
      <c r="N95" s="45" t="str">
        <f t="shared" si="7"/>
        <v/>
      </c>
      <c r="O95" s="45" t="str">
        <f t="shared" si="8"/>
        <v/>
      </c>
      <c r="P95" s="45" t="str">
        <f t="shared" si="9"/>
        <v/>
      </c>
    </row>
    <row r="96" spans="1:16" ht="18">
      <c r="A96" s="92" t="s">
        <v>4688</v>
      </c>
      <c r="B96" s="345">
        <v>1998</v>
      </c>
      <c r="C96" s="92"/>
      <c r="D96" s="345">
        <v>9748937</v>
      </c>
      <c r="E96" s="278" t="str">
        <f t="shared" si="2"/>
        <v>https://pubmed.ncbi.nlm.nih.gov/?term=9748937</v>
      </c>
      <c r="F96" s="28" t="s">
        <v>511</v>
      </c>
      <c r="G96" s="28" t="s">
        <v>4689</v>
      </c>
      <c r="J96" s="346" t="str">
        <f t="shared" si="3"/>
        <v/>
      </c>
      <c r="K96" s="28" t="str">
        <f t="shared" si="4"/>
        <v/>
      </c>
      <c r="L96" s="45" t="str">
        <f t="shared" si="5"/>
        <v/>
      </c>
      <c r="M96" s="45" t="str">
        <f t="shared" si="6"/>
        <v/>
      </c>
      <c r="N96" s="45" t="str">
        <f t="shared" si="7"/>
        <v/>
      </c>
      <c r="O96" s="45">
        <f t="shared" si="8"/>
        <v>1</v>
      </c>
      <c r="P96" s="45" t="str">
        <f t="shared" si="9"/>
        <v/>
      </c>
    </row>
    <row r="97" spans="1:16" ht="18">
      <c r="A97" s="92" t="s">
        <v>4690</v>
      </c>
      <c r="B97" s="345">
        <v>1992</v>
      </c>
      <c r="C97" s="92"/>
      <c r="D97" s="345">
        <v>1638909</v>
      </c>
      <c r="E97" s="278" t="str">
        <f t="shared" si="2"/>
        <v>https://pubmed.ncbi.nlm.nih.gov/?term=1638909</v>
      </c>
      <c r="F97" s="28" t="s">
        <v>511</v>
      </c>
      <c r="G97" s="28" t="s">
        <v>4592</v>
      </c>
      <c r="J97" s="346">
        <f t="shared" si="3"/>
        <v>1</v>
      </c>
      <c r="K97" s="28" t="str">
        <f t="shared" si="4"/>
        <v/>
      </c>
      <c r="L97" s="45" t="str">
        <f t="shared" si="5"/>
        <v/>
      </c>
      <c r="M97" s="45" t="str">
        <f t="shared" si="6"/>
        <v/>
      </c>
      <c r="N97" s="45" t="str">
        <f t="shared" si="7"/>
        <v/>
      </c>
      <c r="O97" s="45" t="str">
        <f t="shared" si="8"/>
        <v/>
      </c>
      <c r="P97" s="45" t="str">
        <f t="shared" si="9"/>
        <v/>
      </c>
    </row>
    <row r="98" spans="1:16" ht="18">
      <c r="A98" s="92" t="s">
        <v>4691</v>
      </c>
      <c r="B98" s="345">
        <v>1994</v>
      </c>
      <c r="C98" s="92"/>
      <c r="D98" s="345">
        <v>7527632</v>
      </c>
      <c r="E98" s="278" t="str">
        <f t="shared" si="2"/>
        <v>https://pubmed.ncbi.nlm.nih.gov/?term=7527632</v>
      </c>
      <c r="F98" s="28" t="s">
        <v>511</v>
      </c>
      <c r="G98" s="28" t="s">
        <v>4592</v>
      </c>
      <c r="J98" s="346">
        <f t="shared" si="3"/>
        <v>1</v>
      </c>
      <c r="K98" s="28" t="str">
        <f t="shared" si="4"/>
        <v/>
      </c>
      <c r="L98" s="45" t="str">
        <f t="shared" si="5"/>
        <v/>
      </c>
      <c r="M98" s="45" t="str">
        <f t="shared" si="6"/>
        <v/>
      </c>
      <c r="N98" s="45" t="str">
        <f t="shared" si="7"/>
        <v/>
      </c>
      <c r="O98" s="45" t="str">
        <f t="shared" si="8"/>
        <v/>
      </c>
      <c r="P98" s="45" t="str">
        <f t="shared" si="9"/>
        <v/>
      </c>
    </row>
    <row r="99" spans="1:16" ht="18">
      <c r="A99" s="92" t="s">
        <v>4692</v>
      </c>
      <c r="B99" s="345">
        <v>2000</v>
      </c>
      <c r="C99" s="92"/>
      <c r="D99" s="345">
        <v>10987115</v>
      </c>
      <c r="E99" s="278" t="str">
        <f t="shared" si="2"/>
        <v>https://pubmed.ncbi.nlm.nih.gov/?term=10987115</v>
      </c>
      <c r="F99" s="28" t="s">
        <v>511</v>
      </c>
      <c r="G99" s="28" t="s">
        <v>4592</v>
      </c>
      <c r="J99" s="346">
        <f t="shared" si="3"/>
        <v>1</v>
      </c>
      <c r="K99" s="28" t="str">
        <f t="shared" si="4"/>
        <v/>
      </c>
      <c r="L99" s="45" t="str">
        <f t="shared" si="5"/>
        <v/>
      </c>
      <c r="M99" s="45" t="str">
        <f t="shared" si="6"/>
        <v/>
      </c>
      <c r="N99" s="45" t="str">
        <f t="shared" si="7"/>
        <v/>
      </c>
      <c r="O99" s="45" t="str">
        <f t="shared" si="8"/>
        <v/>
      </c>
      <c r="P99" s="45" t="str">
        <f t="shared" si="9"/>
        <v/>
      </c>
    </row>
    <row r="100" spans="1:16" ht="18">
      <c r="A100" s="92" t="s">
        <v>4693</v>
      </c>
      <c r="B100" s="345">
        <v>1999</v>
      </c>
      <c r="C100" s="92"/>
      <c r="D100" s="345">
        <v>10193187</v>
      </c>
      <c r="E100" s="278" t="str">
        <f t="shared" si="2"/>
        <v>https://pubmed.ncbi.nlm.nih.gov/?term=10193187</v>
      </c>
      <c r="F100" s="28" t="s">
        <v>511</v>
      </c>
      <c r="G100" s="28" t="s">
        <v>4592</v>
      </c>
      <c r="J100" s="346">
        <f t="shared" si="3"/>
        <v>1</v>
      </c>
      <c r="K100" s="28" t="str">
        <f t="shared" si="4"/>
        <v/>
      </c>
      <c r="L100" s="45" t="str">
        <f t="shared" si="5"/>
        <v/>
      </c>
      <c r="M100" s="45" t="str">
        <f t="shared" si="6"/>
        <v/>
      </c>
      <c r="N100" s="45" t="str">
        <f t="shared" si="7"/>
        <v/>
      </c>
      <c r="O100" s="45" t="str">
        <f t="shared" si="8"/>
        <v/>
      </c>
      <c r="P100" s="45" t="str">
        <f t="shared" si="9"/>
        <v/>
      </c>
    </row>
    <row r="101" spans="1:16" ht="18">
      <c r="A101" s="92" t="s">
        <v>4694</v>
      </c>
      <c r="B101" s="345">
        <v>1999</v>
      </c>
      <c r="C101" s="92"/>
      <c r="D101" s="345">
        <v>10394645</v>
      </c>
      <c r="E101" s="278" t="str">
        <f t="shared" si="2"/>
        <v>https://pubmed.ncbi.nlm.nih.gov/?term=10394645</v>
      </c>
      <c r="F101" s="28" t="s">
        <v>511</v>
      </c>
      <c r="G101" s="28" t="s">
        <v>4592</v>
      </c>
      <c r="J101" s="346">
        <f t="shared" si="3"/>
        <v>1</v>
      </c>
      <c r="K101" s="28" t="str">
        <f t="shared" si="4"/>
        <v/>
      </c>
      <c r="L101" s="45" t="str">
        <f t="shared" si="5"/>
        <v/>
      </c>
      <c r="M101" s="45" t="str">
        <f t="shared" si="6"/>
        <v/>
      </c>
      <c r="N101" s="45" t="str">
        <f t="shared" si="7"/>
        <v/>
      </c>
      <c r="O101" s="45" t="str">
        <f t="shared" si="8"/>
        <v/>
      </c>
      <c r="P101" s="45" t="str">
        <f t="shared" si="9"/>
        <v/>
      </c>
    </row>
    <row r="102" spans="1:16" ht="18">
      <c r="A102" s="92" t="s">
        <v>4695</v>
      </c>
      <c r="B102" s="345">
        <v>1995</v>
      </c>
      <c r="C102" s="92"/>
      <c r="D102" s="345">
        <v>8519469</v>
      </c>
      <c r="E102" s="278" t="str">
        <f t="shared" si="2"/>
        <v>https://pubmed.ncbi.nlm.nih.gov/?term=8519469</v>
      </c>
      <c r="F102" s="28" t="s">
        <v>511</v>
      </c>
      <c r="G102" s="28" t="s">
        <v>4592</v>
      </c>
      <c r="J102" s="346">
        <f t="shared" si="3"/>
        <v>1</v>
      </c>
      <c r="K102" s="28" t="str">
        <f t="shared" si="4"/>
        <v/>
      </c>
      <c r="L102" s="45" t="str">
        <f t="shared" si="5"/>
        <v/>
      </c>
      <c r="M102" s="45" t="str">
        <f t="shared" si="6"/>
        <v/>
      </c>
      <c r="N102" s="45" t="str">
        <f t="shared" si="7"/>
        <v/>
      </c>
      <c r="O102" s="45" t="str">
        <f t="shared" si="8"/>
        <v/>
      </c>
      <c r="P102" s="45" t="str">
        <f t="shared" si="9"/>
        <v/>
      </c>
    </row>
    <row r="103" spans="1:16" ht="18">
      <c r="A103" s="92" t="s">
        <v>4696</v>
      </c>
      <c r="B103" s="345">
        <v>2000</v>
      </c>
      <c r="C103" s="92"/>
      <c r="D103" s="345">
        <v>10893025</v>
      </c>
      <c r="E103" s="278" t="str">
        <f t="shared" si="2"/>
        <v>https://pubmed.ncbi.nlm.nih.gov/?term=10893025</v>
      </c>
      <c r="F103" s="28" t="s">
        <v>511</v>
      </c>
      <c r="G103" s="28" t="s">
        <v>4592</v>
      </c>
      <c r="J103" s="346">
        <f t="shared" si="3"/>
        <v>1</v>
      </c>
      <c r="K103" s="28" t="str">
        <f t="shared" si="4"/>
        <v/>
      </c>
      <c r="L103" s="45" t="str">
        <f t="shared" si="5"/>
        <v/>
      </c>
      <c r="M103" s="45" t="str">
        <f t="shared" si="6"/>
        <v/>
      </c>
      <c r="N103" s="45" t="str">
        <f t="shared" si="7"/>
        <v/>
      </c>
      <c r="O103" s="45" t="str">
        <f t="shared" si="8"/>
        <v/>
      </c>
      <c r="P103" s="45" t="str">
        <f t="shared" si="9"/>
        <v/>
      </c>
    </row>
    <row r="104" spans="1:16" ht="18">
      <c r="A104" s="92" t="s">
        <v>4697</v>
      </c>
      <c r="B104" s="345">
        <v>1999</v>
      </c>
      <c r="C104" s="92"/>
      <c r="D104" s="345">
        <v>10485358</v>
      </c>
      <c r="E104" s="278" t="str">
        <f t="shared" si="2"/>
        <v>https://pubmed.ncbi.nlm.nih.gov/?term=10485358</v>
      </c>
      <c r="F104" s="28" t="s">
        <v>511</v>
      </c>
      <c r="G104" s="28" t="s">
        <v>4592</v>
      </c>
      <c r="J104" s="346">
        <f t="shared" si="3"/>
        <v>1</v>
      </c>
      <c r="K104" s="28" t="str">
        <f t="shared" si="4"/>
        <v/>
      </c>
      <c r="L104" s="45" t="str">
        <f t="shared" si="5"/>
        <v/>
      </c>
      <c r="M104" s="45" t="str">
        <f t="shared" si="6"/>
        <v/>
      </c>
      <c r="N104" s="45" t="str">
        <f t="shared" si="7"/>
        <v/>
      </c>
      <c r="O104" s="45" t="str">
        <f t="shared" si="8"/>
        <v/>
      </c>
      <c r="P104" s="45" t="str">
        <f t="shared" si="9"/>
        <v/>
      </c>
    </row>
    <row r="105" spans="1:16" ht="18">
      <c r="A105" s="92" t="s">
        <v>4591</v>
      </c>
      <c r="B105" s="345">
        <v>1990</v>
      </c>
      <c r="C105" s="92"/>
      <c r="D105" s="345">
        <v>2277188</v>
      </c>
      <c r="E105" s="278" t="str">
        <f t="shared" si="2"/>
        <v>https://pubmed.ncbi.nlm.nih.gov/?term=2277188</v>
      </c>
      <c r="F105" s="28" t="s">
        <v>511</v>
      </c>
      <c r="G105" s="28" t="s">
        <v>4592</v>
      </c>
      <c r="J105" s="346">
        <f t="shared" si="3"/>
        <v>1</v>
      </c>
      <c r="K105" s="28" t="str">
        <f t="shared" si="4"/>
        <v/>
      </c>
      <c r="L105" s="45" t="str">
        <f t="shared" si="5"/>
        <v/>
      </c>
      <c r="M105" s="45" t="str">
        <f t="shared" si="6"/>
        <v/>
      </c>
      <c r="N105" s="45" t="str">
        <f t="shared" si="7"/>
        <v/>
      </c>
      <c r="O105" s="45" t="str">
        <f t="shared" si="8"/>
        <v/>
      </c>
      <c r="P105" s="45" t="str">
        <f t="shared" si="9"/>
        <v/>
      </c>
    </row>
    <row r="106" spans="1:16" ht="18">
      <c r="A106" s="92" t="s">
        <v>4698</v>
      </c>
      <c r="B106" s="345">
        <v>1992</v>
      </c>
      <c r="C106" s="92"/>
      <c r="D106" s="345">
        <v>1526070</v>
      </c>
      <c r="E106" s="278" t="str">
        <f t="shared" si="2"/>
        <v>https://pubmed.ncbi.nlm.nih.gov/?term=1526070</v>
      </c>
      <c r="F106" s="28" t="s">
        <v>511</v>
      </c>
      <c r="G106" s="28" t="s">
        <v>4592</v>
      </c>
      <c r="J106" s="346">
        <f t="shared" si="3"/>
        <v>1</v>
      </c>
      <c r="K106" s="28" t="str">
        <f t="shared" si="4"/>
        <v/>
      </c>
      <c r="L106" s="45" t="str">
        <f t="shared" si="5"/>
        <v/>
      </c>
      <c r="M106" s="45" t="str">
        <f t="shared" si="6"/>
        <v/>
      </c>
      <c r="N106" s="45" t="str">
        <f t="shared" si="7"/>
        <v/>
      </c>
      <c r="O106" s="45" t="str">
        <f t="shared" si="8"/>
        <v/>
      </c>
      <c r="P106" s="45" t="str">
        <f t="shared" si="9"/>
        <v/>
      </c>
    </row>
    <row r="107" spans="1:16" ht="18">
      <c r="A107" s="92" t="s">
        <v>4699</v>
      </c>
      <c r="B107" s="345">
        <v>2000</v>
      </c>
      <c r="C107" s="92"/>
      <c r="D107" s="345">
        <v>11071016</v>
      </c>
      <c r="E107" s="278" t="str">
        <f t="shared" si="2"/>
        <v>https://pubmed.ncbi.nlm.nih.gov/?term=11071016</v>
      </c>
      <c r="F107" s="28" t="s">
        <v>511</v>
      </c>
      <c r="G107" s="28" t="s">
        <v>4592</v>
      </c>
      <c r="J107" s="346">
        <f t="shared" si="3"/>
        <v>1</v>
      </c>
      <c r="K107" s="28" t="str">
        <f t="shared" si="4"/>
        <v/>
      </c>
      <c r="L107" s="45" t="str">
        <f t="shared" si="5"/>
        <v/>
      </c>
      <c r="M107" s="45" t="str">
        <f t="shared" si="6"/>
        <v/>
      </c>
      <c r="N107" s="45" t="str">
        <f t="shared" si="7"/>
        <v/>
      </c>
      <c r="O107" s="45" t="str">
        <f t="shared" si="8"/>
        <v/>
      </c>
      <c r="P107" s="45" t="str">
        <f t="shared" si="9"/>
        <v/>
      </c>
    </row>
    <row r="108" spans="1:16" ht="18">
      <c r="A108" s="92" t="s">
        <v>4700</v>
      </c>
      <c r="B108" s="345">
        <v>1999</v>
      </c>
      <c r="C108" s="92"/>
      <c r="D108" s="345">
        <v>10574503</v>
      </c>
      <c r="E108" s="278" t="str">
        <f t="shared" si="2"/>
        <v>https://pubmed.ncbi.nlm.nih.gov/?term=10574503</v>
      </c>
      <c r="F108" s="28" t="s">
        <v>511</v>
      </c>
      <c r="G108" s="28" t="s">
        <v>4592</v>
      </c>
      <c r="J108" s="346">
        <f t="shared" si="3"/>
        <v>1</v>
      </c>
      <c r="K108" s="28" t="str">
        <f t="shared" si="4"/>
        <v/>
      </c>
      <c r="L108" s="45" t="str">
        <f t="shared" si="5"/>
        <v/>
      </c>
      <c r="M108" s="45" t="str">
        <f t="shared" si="6"/>
        <v/>
      </c>
      <c r="N108" s="45" t="str">
        <f t="shared" si="7"/>
        <v/>
      </c>
      <c r="O108" s="45" t="str">
        <f t="shared" si="8"/>
        <v/>
      </c>
      <c r="P108" s="45" t="str">
        <f t="shared" si="9"/>
        <v/>
      </c>
    </row>
    <row r="109" spans="1:16" ht="18">
      <c r="A109" s="92" t="s">
        <v>4701</v>
      </c>
      <c r="B109" s="345">
        <v>1998</v>
      </c>
      <c r="C109" s="92" t="s">
        <v>4702</v>
      </c>
      <c r="D109" s="345">
        <v>9593483</v>
      </c>
      <c r="E109" s="278" t="str">
        <f t="shared" si="2"/>
        <v>https://pubmed.ncbi.nlm.nih.gov/?term=9593483</v>
      </c>
      <c r="F109" s="28" t="s">
        <v>511</v>
      </c>
      <c r="G109" s="28" t="s">
        <v>4592</v>
      </c>
      <c r="J109" s="346">
        <f t="shared" si="3"/>
        <v>1</v>
      </c>
      <c r="K109" s="28" t="str">
        <f t="shared" si="4"/>
        <v/>
      </c>
      <c r="L109" s="45" t="str">
        <f t="shared" si="5"/>
        <v/>
      </c>
      <c r="M109" s="45" t="str">
        <f t="shared" si="6"/>
        <v/>
      </c>
      <c r="N109" s="45" t="str">
        <f t="shared" si="7"/>
        <v/>
      </c>
      <c r="O109" s="45" t="str">
        <f t="shared" si="8"/>
        <v/>
      </c>
      <c r="P109" s="45" t="str">
        <f t="shared" si="9"/>
        <v/>
      </c>
    </row>
    <row r="110" spans="1:16" ht="18">
      <c r="A110" s="92" t="s">
        <v>4703</v>
      </c>
      <c r="B110" s="345">
        <v>1996</v>
      </c>
      <c r="C110" s="92"/>
      <c r="D110" s="345">
        <v>8708364</v>
      </c>
      <c r="E110" s="278" t="str">
        <f t="shared" si="2"/>
        <v>https://pubmed.ncbi.nlm.nih.gov/?term=8708364</v>
      </c>
      <c r="F110" s="28" t="s">
        <v>511</v>
      </c>
      <c r="G110" s="28" t="s">
        <v>4592</v>
      </c>
      <c r="J110" s="346">
        <f t="shared" si="3"/>
        <v>1</v>
      </c>
      <c r="K110" s="28" t="str">
        <f t="shared" si="4"/>
        <v/>
      </c>
      <c r="L110" s="45" t="str">
        <f t="shared" si="5"/>
        <v/>
      </c>
      <c r="M110" s="45" t="str">
        <f t="shared" si="6"/>
        <v/>
      </c>
      <c r="N110" s="45" t="str">
        <f t="shared" si="7"/>
        <v/>
      </c>
      <c r="O110" s="45" t="str">
        <f t="shared" si="8"/>
        <v/>
      </c>
      <c r="P110" s="45" t="str">
        <f t="shared" si="9"/>
        <v/>
      </c>
    </row>
    <row r="111" spans="1:16" ht="18">
      <c r="A111" s="92" t="s">
        <v>4704</v>
      </c>
      <c r="B111" s="345">
        <v>2000</v>
      </c>
      <c r="C111" s="92"/>
      <c r="D111" s="345">
        <v>11123085</v>
      </c>
      <c r="E111" s="278" t="str">
        <f t="shared" si="2"/>
        <v>https://pubmed.ncbi.nlm.nih.gov/?term=11123085</v>
      </c>
      <c r="F111" s="28" t="s">
        <v>511</v>
      </c>
      <c r="G111" s="28" t="s">
        <v>4592</v>
      </c>
      <c r="J111" s="346">
        <f t="shared" si="3"/>
        <v>1</v>
      </c>
      <c r="K111" s="28" t="str">
        <f t="shared" si="4"/>
        <v/>
      </c>
      <c r="L111" s="45" t="str">
        <f t="shared" si="5"/>
        <v/>
      </c>
      <c r="M111" s="45" t="str">
        <f t="shared" si="6"/>
        <v/>
      </c>
      <c r="N111" s="45" t="str">
        <f t="shared" si="7"/>
        <v/>
      </c>
      <c r="O111" s="45" t="str">
        <f t="shared" si="8"/>
        <v/>
      </c>
      <c r="P111" s="45" t="str">
        <f t="shared" si="9"/>
        <v/>
      </c>
    </row>
    <row r="112" spans="1:16" ht="18">
      <c r="A112" s="92" t="s">
        <v>4705</v>
      </c>
      <c r="B112" s="345">
        <v>1998</v>
      </c>
      <c r="C112" s="92"/>
      <c r="D112" s="345">
        <v>9472719</v>
      </c>
      <c r="E112" s="278" t="str">
        <f t="shared" si="2"/>
        <v>https://pubmed.ncbi.nlm.nih.gov/?term=9472719</v>
      </c>
      <c r="F112" s="28" t="s">
        <v>511</v>
      </c>
      <c r="G112" s="28" t="s">
        <v>4592</v>
      </c>
      <c r="J112" s="346">
        <f t="shared" si="3"/>
        <v>1</v>
      </c>
      <c r="K112" s="28" t="str">
        <f t="shared" si="4"/>
        <v/>
      </c>
      <c r="L112" s="45" t="str">
        <f t="shared" si="5"/>
        <v/>
      </c>
      <c r="M112" s="45" t="str">
        <f t="shared" si="6"/>
        <v/>
      </c>
      <c r="N112" s="45" t="str">
        <f t="shared" si="7"/>
        <v/>
      </c>
      <c r="O112" s="45" t="str">
        <f t="shared" si="8"/>
        <v/>
      </c>
      <c r="P112" s="45" t="str">
        <f t="shared" si="9"/>
        <v/>
      </c>
    </row>
    <row r="113" spans="1:16" ht="18">
      <c r="A113" s="92" t="s">
        <v>4706</v>
      </c>
      <c r="B113" s="345">
        <v>1995</v>
      </c>
      <c r="C113" s="92"/>
      <c r="D113" s="345">
        <v>7756496</v>
      </c>
      <c r="E113" s="278" t="str">
        <f t="shared" si="2"/>
        <v>https://pubmed.ncbi.nlm.nih.gov/?term=7756496</v>
      </c>
      <c r="F113" s="28" t="s">
        <v>511</v>
      </c>
      <c r="G113" s="28" t="s">
        <v>4592</v>
      </c>
      <c r="J113" s="346">
        <f t="shared" si="3"/>
        <v>1</v>
      </c>
      <c r="K113" s="28" t="str">
        <f t="shared" si="4"/>
        <v/>
      </c>
      <c r="L113" s="45" t="str">
        <f t="shared" si="5"/>
        <v/>
      </c>
      <c r="M113" s="45" t="str">
        <f t="shared" si="6"/>
        <v/>
      </c>
      <c r="N113" s="45" t="str">
        <f t="shared" si="7"/>
        <v/>
      </c>
      <c r="O113" s="45" t="str">
        <f t="shared" si="8"/>
        <v/>
      </c>
      <c r="P113" s="45" t="str">
        <f t="shared" si="9"/>
        <v/>
      </c>
    </row>
    <row r="114" spans="1:16" ht="18">
      <c r="A114" s="92" t="s">
        <v>4707</v>
      </c>
      <c r="B114" s="345">
        <v>2000</v>
      </c>
      <c r="C114" s="92"/>
      <c r="D114" s="345">
        <v>10949062</v>
      </c>
      <c r="E114" s="278" t="str">
        <f t="shared" si="2"/>
        <v>https://pubmed.ncbi.nlm.nih.gov/?term=10949062</v>
      </c>
      <c r="F114" s="28" t="s">
        <v>511</v>
      </c>
      <c r="G114" s="28" t="s">
        <v>4592</v>
      </c>
      <c r="J114" s="346">
        <f t="shared" si="3"/>
        <v>1</v>
      </c>
      <c r="K114" s="28" t="str">
        <f t="shared" si="4"/>
        <v/>
      </c>
      <c r="L114" s="45" t="str">
        <f t="shared" si="5"/>
        <v/>
      </c>
      <c r="M114" s="45" t="str">
        <f t="shared" si="6"/>
        <v/>
      </c>
      <c r="N114" s="45" t="str">
        <f t="shared" si="7"/>
        <v/>
      </c>
      <c r="O114" s="45" t="str">
        <f t="shared" si="8"/>
        <v/>
      </c>
      <c r="P114" s="45" t="str">
        <f t="shared" si="9"/>
        <v/>
      </c>
    </row>
    <row r="115" spans="1:16" ht="18">
      <c r="A115" s="92" t="s">
        <v>4708</v>
      </c>
      <c r="B115" s="345">
        <v>1994</v>
      </c>
      <c r="C115" s="92" t="s">
        <v>4709</v>
      </c>
      <c r="D115" s="345">
        <v>8017889</v>
      </c>
      <c r="E115" s="278" t="str">
        <f t="shared" si="2"/>
        <v>https://pubmed.ncbi.nlm.nih.gov/?term=8017889</v>
      </c>
      <c r="F115" s="28" t="s">
        <v>511</v>
      </c>
      <c r="G115" s="28" t="s">
        <v>4592</v>
      </c>
      <c r="J115" s="346">
        <f t="shared" si="3"/>
        <v>1</v>
      </c>
      <c r="K115" s="28" t="str">
        <f t="shared" si="4"/>
        <v/>
      </c>
      <c r="L115" s="45" t="str">
        <f t="shared" si="5"/>
        <v/>
      </c>
      <c r="M115" s="45" t="str">
        <f t="shared" si="6"/>
        <v/>
      </c>
      <c r="N115" s="45" t="str">
        <f t="shared" si="7"/>
        <v/>
      </c>
      <c r="O115" s="45" t="str">
        <f t="shared" si="8"/>
        <v/>
      </c>
      <c r="P115" s="45" t="str">
        <f t="shared" si="9"/>
        <v/>
      </c>
    </row>
    <row r="116" spans="1:16" ht="18">
      <c r="A116" s="92" t="s">
        <v>4710</v>
      </c>
      <c r="B116" s="345">
        <v>1992</v>
      </c>
      <c r="C116" s="92"/>
      <c r="D116" s="345">
        <v>1524167</v>
      </c>
      <c r="E116" s="278" t="str">
        <f t="shared" si="2"/>
        <v>https://pubmed.ncbi.nlm.nih.gov/?term=1524167</v>
      </c>
      <c r="F116" s="28" t="s">
        <v>511</v>
      </c>
      <c r="G116" s="28" t="s">
        <v>4592</v>
      </c>
      <c r="J116" s="346">
        <f t="shared" si="3"/>
        <v>1</v>
      </c>
      <c r="K116" s="28" t="str">
        <f t="shared" si="4"/>
        <v/>
      </c>
      <c r="L116" s="45" t="str">
        <f t="shared" si="5"/>
        <v/>
      </c>
      <c r="M116" s="45" t="str">
        <f t="shared" si="6"/>
        <v/>
      </c>
      <c r="N116" s="45" t="str">
        <f t="shared" si="7"/>
        <v/>
      </c>
      <c r="O116" s="45" t="str">
        <f t="shared" si="8"/>
        <v/>
      </c>
      <c r="P116" s="45" t="str">
        <f t="shared" si="9"/>
        <v/>
      </c>
    </row>
    <row r="117" spans="1:16" ht="18">
      <c r="A117" s="92" t="s">
        <v>4711</v>
      </c>
      <c r="B117" s="345">
        <v>1999</v>
      </c>
      <c r="C117" s="92"/>
      <c r="D117" s="345">
        <v>10622555</v>
      </c>
      <c r="E117" s="278" t="str">
        <f t="shared" si="2"/>
        <v>https://pubmed.ncbi.nlm.nih.gov/?term=10622555</v>
      </c>
      <c r="F117" s="28" t="s">
        <v>511</v>
      </c>
      <c r="G117" s="28" t="s">
        <v>4592</v>
      </c>
      <c r="J117" s="346">
        <f t="shared" si="3"/>
        <v>1</v>
      </c>
      <c r="K117" s="28" t="str">
        <f t="shared" si="4"/>
        <v/>
      </c>
      <c r="L117" s="45" t="str">
        <f t="shared" si="5"/>
        <v/>
      </c>
      <c r="M117" s="45" t="str">
        <f t="shared" si="6"/>
        <v/>
      </c>
      <c r="N117" s="45" t="str">
        <f t="shared" si="7"/>
        <v/>
      </c>
      <c r="O117" s="45" t="str">
        <f t="shared" si="8"/>
        <v/>
      </c>
      <c r="P117" s="45" t="str">
        <f t="shared" si="9"/>
        <v/>
      </c>
    </row>
    <row r="118" spans="1:16" ht="18">
      <c r="A118" s="92" t="s">
        <v>1557</v>
      </c>
      <c r="B118" s="345">
        <v>1991</v>
      </c>
      <c r="C118" s="92" t="s">
        <v>4712</v>
      </c>
      <c r="D118" s="345">
        <v>1650789</v>
      </c>
      <c r="E118" s="278" t="str">
        <f t="shared" si="2"/>
        <v>https://pubmed.ncbi.nlm.nih.gov/?term=1650789</v>
      </c>
      <c r="H118" s="28" t="s">
        <v>511</v>
      </c>
      <c r="J118" s="346" t="str">
        <f t="shared" si="3"/>
        <v/>
      </c>
      <c r="K118" s="28" t="str">
        <f t="shared" si="4"/>
        <v/>
      </c>
      <c r="L118" s="45" t="str">
        <f t="shared" si="5"/>
        <v/>
      </c>
      <c r="M118" s="45" t="str">
        <f t="shared" si="6"/>
        <v/>
      </c>
      <c r="N118" s="45" t="str">
        <f t="shared" si="7"/>
        <v/>
      </c>
      <c r="O118" s="45" t="str">
        <f t="shared" si="8"/>
        <v/>
      </c>
      <c r="P118" s="45" t="str">
        <f t="shared" si="9"/>
        <v/>
      </c>
    </row>
    <row r="119" spans="1:16" ht="18">
      <c r="A119" s="92" t="s">
        <v>4713</v>
      </c>
      <c r="B119" s="345">
        <v>2000</v>
      </c>
      <c r="C119" s="92"/>
      <c r="D119" s="345">
        <v>10772831</v>
      </c>
      <c r="E119" s="278" t="str">
        <f t="shared" si="2"/>
        <v>https://pubmed.ncbi.nlm.nih.gov/?term=10772831</v>
      </c>
      <c r="F119" s="28" t="s">
        <v>511</v>
      </c>
      <c r="G119" s="28" t="s">
        <v>4592</v>
      </c>
      <c r="J119" s="346">
        <f t="shared" si="3"/>
        <v>1</v>
      </c>
      <c r="K119" s="28" t="str">
        <f t="shared" si="4"/>
        <v/>
      </c>
      <c r="L119" s="45" t="str">
        <f t="shared" si="5"/>
        <v/>
      </c>
      <c r="M119" s="45" t="str">
        <f t="shared" si="6"/>
        <v/>
      </c>
      <c r="N119" s="45" t="str">
        <f t="shared" si="7"/>
        <v/>
      </c>
      <c r="O119" s="45" t="str">
        <f t="shared" si="8"/>
        <v/>
      </c>
      <c r="P119" s="45" t="str">
        <f t="shared" si="9"/>
        <v/>
      </c>
    </row>
    <row r="120" spans="1:16" ht="18">
      <c r="A120" s="92" t="s">
        <v>4714</v>
      </c>
      <c r="B120" s="345">
        <v>1992</v>
      </c>
      <c r="C120" s="92"/>
      <c r="D120" s="345">
        <v>1573320</v>
      </c>
      <c r="E120" s="278" t="str">
        <f t="shared" si="2"/>
        <v>https://pubmed.ncbi.nlm.nih.gov/?term=1573320</v>
      </c>
      <c r="F120" s="28" t="s">
        <v>511</v>
      </c>
      <c r="G120" s="28" t="s">
        <v>4592</v>
      </c>
      <c r="J120" s="346">
        <f t="shared" si="3"/>
        <v>1</v>
      </c>
      <c r="K120" s="28" t="str">
        <f t="shared" si="4"/>
        <v/>
      </c>
      <c r="L120" s="45" t="str">
        <f t="shared" si="5"/>
        <v/>
      </c>
      <c r="M120" s="45" t="str">
        <f t="shared" si="6"/>
        <v/>
      </c>
      <c r="N120" s="45" t="str">
        <f t="shared" si="7"/>
        <v/>
      </c>
      <c r="O120" s="45" t="str">
        <f t="shared" si="8"/>
        <v/>
      </c>
      <c r="P120" s="45" t="str">
        <f t="shared" si="9"/>
        <v/>
      </c>
    </row>
    <row r="121" spans="1:16" ht="18">
      <c r="A121" s="92" t="s">
        <v>4715</v>
      </c>
      <c r="B121" s="345">
        <v>1995</v>
      </c>
      <c r="C121" s="92" t="s">
        <v>4716</v>
      </c>
      <c r="D121" s="345">
        <v>8531887</v>
      </c>
      <c r="E121" s="278" t="str">
        <f t="shared" si="2"/>
        <v>https://pubmed.ncbi.nlm.nih.gov/?term=8531887</v>
      </c>
      <c r="F121" s="28" t="s">
        <v>511</v>
      </c>
      <c r="G121" s="28" t="s">
        <v>4592</v>
      </c>
      <c r="J121" s="346">
        <f t="shared" si="3"/>
        <v>1</v>
      </c>
      <c r="K121" s="28" t="str">
        <f t="shared" si="4"/>
        <v/>
      </c>
      <c r="L121" s="45" t="str">
        <f t="shared" si="5"/>
        <v/>
      </c>
      <c r="M121" s="45" t="str">
        <f t="shared" si="6"/>
        <v/>
      </c>
      <c r="N121" s="45" t="str">
        <f t="shared" si="7"/>
        <v/>
      </c>
      <c r="O121" s="45" t="str">
        <f t="shared" si="8"/>
        <v/>
      </c>
      <c r="P121" s="45" t="str">
        <f t="shared" si="9"/>
        <v/>
      </c>
    </row>
    <row r="122" spans="1:16" ht="18">
      <c r="A122" s="92" t="s">
        <v>4717</v>
      </c>
      <c r="B122" s="345">
        <v>1999</v>
      </c>
      <c r="C122" s="92"/>
      <c r="D122" s="345">
        <v>10200861</v>
      </c>
      <c r="E122" s="278" t="str">
        <f t="shared" si="2"/>
        <v>https://pubmed.ncbi.nlm.nih.gov/?term=10200861</v>
      </c>
      <c r="F122" s="28" t="s">
        <v>511</v>
      </c>
      <c r="G122" s="28" t="s">
        <v>4592</v>
      </c>
      <c r="J122" s="346">
        <f t="shared" si="3"/>
        <v>1</v>
      </c>
      <c r="K122" s="28" t="str">
        <f t="shared" si="4"/>
        <v/>
      </c>
      <c r="L122" s="45" t="str">
        <f t="shared" si="5"/>
        <v/>
      </c>
      <c r="M122" s="45" t="str">
        <f t="shared" si="6"/>
        <v/>
      </c>
      <c r="N122" s="45" t="str">
        <f t="shared" si="7"/>
        <v/>
      </c>
      <c r="O122" s="45" t="str">
        <f t="shared" si="8"/>
        <v/>
      </c>
      <c r="P122" s="45" t="str">
        <f t="shared" si="9"/>
        <v/>
      </c>
    </row>
    <row r="123" spans="1:16" ht="18">
      <c r="A123" s="92" t="s">
        <v>4718</v>
      </c>
      <c r="B123" s="345">
        <v>1999</v>
      </c>
      <c r="C123" s="92"/>
      <c r="D123" s="345">
        <v>10574525</v>
      </c>
      <c r="E123" s="278" t="str">
        <f t="shared" si="2"/>
        <v>https://pubmed.ncbi.nlm.nih.gov/?term=10574525</v>
      </c>
      <c r="F123" s="28" t="s">
        <v>511</v>
      </c>
      <c r="G123" s="28" t="s">
        <v>4346</v>
      </c>
      <c r="J123" s="346" t="str">
        <f t="shared" si="3"/>
        <v/>
      </c>
      <c r="K123" s="28" t="str">
        <f t="shared" si="4"/>
        <v/>
      </c>
      <c r="L123" s="45">
        <f t="shared" si="5"/>
        <v>1</v>
      </c>
      <c r="M123" s="45" t="str">
        <f t="shared" si="6"/>
        <v/>
      </c>
      <c r="N123" s="45" t="str">
        <f t="shared" si="7"/>
        <v/>
      </c>
      <c r="O123" s="45" t="str">
        <f t="shared" si="8"/>
        <v/>
      </c>
      <c r="P123" s="45" t="str">
        <f t="shared" si="9"/>
        <v/>
      </c>
    </row>
    <row r="124" spans="1:16" ht="18">
      <c r="A124" s="92" t="s">
        <v>1750</v>
      </c>
      <c r="B124" s="345">
        <v>2000</v>
      </c>
      <c r="C124" s="92"/>
      <c r="D124" s="345">
        <v>10932062</v>
      </c>
      <c r="E124" s="278" t="str">
        <f t="shared" si="2"/>
        <v>https://pubmed.ncbi.nlm.nih.gov/?term=10932062</v>
      </c>
      <c r="F124" s="28" t="s">
        <v>511</v>
      </c>
      <c r="G124" s="28" t="s">
        <v>4592</v>
      </c>
      <c r="J124" s="346">
        <f t="shared" si="3"/>
        <v>1</v>
      </c>
      <c r="K124" s="28" t="str">
        <f t="shared" si="4"/>
        <v/>
      </c>
      <c r="L124" s="45" t="str">
        <f t="shared" si="5"/>
        <v/>
      </c>
      <c r="M124" s="45" t="str">
        <f t="shared" si="6"/>
        <v/>
      </c>
      <c r="N124" s="45" t="str">
        <f t="shared" si="7"/>
        <v/>
      </c>
      <c r="O124" s="45" t="str">
        <f t="shared" si="8"/>
        <v/>
      </c>
      <c r="P124" s="45" t="str">
        <f t="shared" si="9"/>
        <v/>
      </c>
    </row>
    <row r="125" spans="1:16" ht="18">
      <c r="A125" s="92" t="s">
        <v>4719</v>
      </c>
      <c r="B125" s="345">
        <v>1990</v>
      </c>
      <c r="C125" s="92"/>
      <c r="D125" s="345">
        <v>2195920</v>
      </c>
      <c r="E125" s="278" t="str">
        <f t="shared" si="2"/>
        <v>https://pubmed.ncbi.nlm.nih.gov/?term=2195920</v>
      </c>
      <c r="F125" s="28" t="s">
        <v>511</v>
      </c>
      <c r="G125" s="28" t="s">
        <v>4592</v>
      </c>
      <c r="J125" s="346">
        <f t="shared" si="3"/>
        <v>1</v>
      </c>
      <c r="K125" s="28" t="str">
        <f t="shared" si="4"/>
        <v/>
      </c>
      <c r="L125" s="45" t="str">
        <f t="shared" si="5"/>
        <v/>
      </c>
      <c r="M125" s="45" t="str">
        <f t="shared" si="6"/>
        <v/>
      </c>
      <c r="N125" s="45" t="str">
        <f t="shared" si="7"/>
        <v/>
      </c>
      <c r="O125" s="45" t="str">
        <f t="shared" si="8"/>
        <v/>
      </c>
      <c r="P125" s="45" t="str">
        <f t="shared" si="9"/>
        <v/>
      </c>
    </row>
    <row r="126" spans="1:16" ht="18">
      <c r="A126" s="92" t="s">
        <v>4720</v>
      </c>
      <c r="B126" s="345">
        <v>1999</v>
      </c>
      <c r="C126" s="92"/>
      <c r="D126" s="345">
        <v>10392579</v>
      </c>
      <c r="E126" s="278" t="str">
        <f t="shared" si="2"/>
        <v>https://pubmed.ncbi.nlm.nih.gov/?term=10392579</v>
      </c>
      <c r="F126" s="28" t="s">
        <v>511</v>
      </c>
      <c r="G126" s="28" t="s">
        <v>4592</v>
      </c>
      <c r="J126" s="346">
        <f t="shared" si="3"/>
        <v>1</v>
      </c>
      <c r="K126" s="28" t="str">
        <f t="shared" si="4"/>
        <v/>
      </c>
      <c r="L126" s="45" t="str">
        <f t="shared" si="5"/>
        <v/>
      </c>
      <c r="M126" s="45" t="str">
        <f t="shared" si="6"/>
        <v/>
      </c>
      <c r="N126" s="45" t="str">
        <f t="shared" si="7"/>
        <v/>
      </c>
      <c r="O126" s="45" t="str">
        <f t="shared" si="8"/>
        <v/>
      </c>
      <c r="P126" s="45" t="str">
        <f t="shared" si="9"/>
        <v/>
      </c>
    </row>
    <row r="127" spans="1:16" ht="18">
      <c r="A127" s="92" t="s">
        <v>4721</v>
      </c>
      <c r="B127" s="345">
        <v>1996</v>
      </c>
      <c r="C127" s="92"/>
      <c r="D127" s="345">
        <v>8698234</v>
      </c>
      <c r="E127" s="278" t="str">
        <f t="shared" si="2"/>
        <v>https://pubmed.ncbi.nlm.nih.gov/?term=8698234</v>
      </c>
      <c r="F127" s="28" t="s">
        <v>511</v>
      </c>
      <c r="G127" s="28" t="s">
        <v>4722</v>
      </c>
      <c r="J127" s="346" t="str">
        <f t="shared" si="3"/>
        <v/>
      </c>
      <c r="K127" s="28" t="str">
        <f t="shared" si="4"/>
        <v/>
      </c>
      <c r="L127" s="45">
        <f t="shared" si="5"/>
        <v>1</v>
      </c>
      <c r="M127" s="45" t="str">
        <f t="shared" si="6"/>
        <v/>
      </c>
      <c r="N127" s="45" t="str">
        <f t="shared" si="7"/>
        <v/>
      </c>
      <c r="O127" s="45" t="str">
        <f t="shared" si="8"/>
        <v/>
      </c>
      <c r="P127" s="45" t="str">
        <f t="shared" si="9"/>
        <v/>
      </c>
    </row>
    <row r="128" spans="1:16" ht="18">
      <c r="A128" s="92" t="s">
        <v>4723</v>
      </c>
      <c r="B128" s="345">
        <v>2000</v>
      </c>
      <c r="C128" s="92"/>
      <c r="D128" s="345">
        <v>10945375</v>
      </c>
      <c r="E128" s="278" t="str">
        <f t="shared" si="2"/>
        <v>https://pubmed.ncbi.nlm.nih.gov/?term=10945375</v>
      </c>
      <c r="F128" s="28" t="s">
        <v>511</v>
      </c>
      <c r="G128" s="28" t="s">
        <v>4592</v>
      </c>
      <c r="J128" s="346">
        <f t="shared" si="3"/>
        <v>1</v>
      </c>
      <c r="K128" s="28" t="str">
        <f t="shared" si="4"/>
        <v/>
      </c>
      <c r="L128" s="45" t="str">
        <f t="shared" si="5"/>
        <v/>
      </c>
      <c r="M128" s="45" t="str">
        <f t="shared" si="6"/>
        <v/>
      </c>
      <c r="N128" s="45" t="str">
        <f t="shared" si="7"/>
        <v/>
      </c>
      <c r="O128" s="45" t="str">
        <f t="shared" si="8"/>
        <v/>
      </c>
      <c r="P128" s="45" t="str">
        <f t="shared" si="9"/>
        <v/>
      </c>
    </row>
    <row r="129" spans="1:16" ht="18">
      <c r="A129" s="92" t="s">
        <v>4724</v>
      </c>
      <c r="B129" s="345">
        <v>2000</v>
      </c>
      <c r="C129" s="92"/>
      <c r="D129" s="345">
        <v>10719741</v>
      </c>
      <c r="E129" s="278" t="str">
        <f t="shared" si="2"/>
        <v>https://pubmed.ncbi.nlm.nih.gov/?term=10719741</v>
      </c>
      <c r="F129" s="28" t="s">
        <v>511</v>
      </c>
      <c r="G129" s="28" t="s">
        <v>4592</v>
      </c>
      <c r="J129" s="346">
        <f t="shared" si="3"/>
        <v>1</v>
      </c>
      <c r="K129" s="28" t="str">
        <f t="shared" si="4"/>
        <v/>
      </c>
      <c r="L129" s="45" t="str">
        <f t="shared" si="5"/>
        <v/>
      </c>
      <c r="M129" s="45" t="str">
        <f t="shared" si="6"/>
        <v/>
      </c>
      <c r="N129" s="45" t="str">
        <f t="shared" si="7"/>
        <v/>
      </c>
      <c r="O129" s="45" t="str">
        <f t="shared" si="8"/>
        <v/>
      </c>
      <c r="P129" s="45" t="str">
        <f t="shared" si="9"/>
        <v/>
      </c>
    </row>
    <row r="130" spans="1:16" ht="18">
      <c r="A130" s="92" t="s">
        <v>4725</v>
      </c>
      <c r="B130" s="345">
        <v>1999</v>
      </c>
      <c r="C130" s="92"/>
      <c r="D130" s="345">
        <v>11030607</v>
      </c>
      <c r="E130" s="278" t="str">
        <f t="shared" si="2"/>
        <v>https://pubmed.ncbi.nlm.nih.gov/?term=11030607</v>
      </c>
      <c r="F130" s="28" t="s">
        <v>511</v>
      </c>
      <c r="G130" s="28" t="s">
        <v>4592</v>
      </c>
      <c r="J130" s="346">
        <f t="shared" si="3"/>
        <v>1</v>
      </c>
      <c r="K130" s="28" t="str">
        <f t="shared" si="4"/>
        <v/>
      </c>
      <c r="L130" s="45" t="str">
        <f t="shared" si="5"/>
        <v/>
      </c>
      <c r="M130" s="45" t="str">
        <f t="shared" si="6"/>
        <v/>
      </c>
      <c r="N130" s="45" t="str">
        <f t="shared" si="7"/>
        <v/>
      </c>
      <c r="O130" s="45" t="str">
        <f t="shared" si="8"/>
        <v/>
      </c>
      <c r="P130" s="45" t="str">
        <f t="shared" si="9"/>
        <v/>
      </c>
    </row>
    <row r="131" spans="1:16" ht="18">
      <c r="A131" s="92" t="s">
        <v>4271</v>
      </c>
      <c r="B131" s="345">
        <v>1998</v>
      </c>
      <c r="C131" s="92"/>
      <c r="D131" s="345">
        <v>9806102</v>
      </c>
      <c r="E131" s="278" t="str">
        <f t="shared" si="2"/>
        <v>https://pubmed.ncbi.nlm.nih.gov/?term=9806102</v>
      </c>
      <c r="F131" s="28" t="s">
        <v>511</v>
      </c>
      <c r="G131" s="28" t="s">
        <v>4592</v>
      </c>
      <c r="J131" s="346">
        <f t="shared" si="3"/>
        <v>1</v>
      </c>
      <c r="K131" s="28" t="str">
        <f t="shared" si="4"/>
        <v/>
      </c>
      <c r="L131" s="45" t="str">
        <f t="shared" si="5"/>
        <v/>
      </c>
      <c r="M131" s="45" t="str">
        <f t="shared" si="6"/>
        <v/>
      </c>
      <c r="N131" s="45" t="str">
        <f t="shared" si="7"/>
        <v/>
      </c>
      <c r="O131" s="45" t="str">
        <f t="shared" si="8"/>
        <v/>
      </c>
      <c r="P131" s="45" t="str">
        <f t="shared" si="9"/>
        <v/>
      </c>
    </row>
    <row r="132" spans="1:16" ht="18">
      <c r="A132" s="92" t="s">
        <v>4726</v>
      </c>
      <c r="B132" s="345">
        <v>1995</v>
      </c>
      <c r="C132" s="92"/>
      <c r="D132" s="345">
        <v>8547496</v>
      </c>
      <c r="E132" s="278" t="str">
        <f t="shared" si="2"/>
        <v>https://pubmed.ncbi.nlm.nih.gov/?term=8547496</v>
      </c>
      <c r="F132" s="28" t="s">
        <v>511</v>
      </c>
      <c r="G132" s="28" t="s">
        <v>4592</v>
      </c>
      <c r="J132" s="346">
        <f t="shared" si="3"/>
        <v>1</v>
      </c>
      <c r="K132" s="28" t="str">
        <f t="shared" si="4"/>
        <v/>
      </c>
      <c r="L132" s="45" t="str">
        <f t="shared" si="5"/>
        <v/>
      </c>
      <c r="M132" s="45" t="str">
        <f t="shared" si="6"/>
        <v/>
      </c>
      <c r="N132" s="45" t="str">
        <f t="shared" si="7"/>
        <v/>
      </c>
      <c r="O132" s="45" t="str">
        <f t="shared" si="8"/>
        <v/>
      </c>
      <c r="P132" s="45" t="str">
        <f t="shared" si="9"/>
        <v/>
      </c>
    </row>
    <row r="133" spans="1:16" ht="18">
      <c r="A133" s="92" t="s">
        <v>4727</v>
      </c>
      <c r="B133" s="345">
        <v>1993</v>
      </c>
      <c r="C133" s="92"/>
      <c r="D133" s="345">
        <v>8294625</v>
      </c>
      <c r="E133" s="278" t="str">
        <f t="shared" si="2"/>
        <v>https://pubmed.ncbi.nlm.nih.gov/?term=8294625</v>
      </c>
      <c r="F133" s="28" t="s">
        <v>511</v>
      </c>
      <c r="G133" s="28" t="s">
        <v>4592</v>
      </c>
      <c r="J133" s="346">
        <f t="shared" si="3"/>
        <v>1</v>
      </c>
      <c r="K133" s="28" t="str">
        <f t="shared" si="4"/>
        <v/>
      </c>
      <c r="L133" s="45" t="str">
        <f t="shared" si="5"/>
        <v/>
      </c>
      <c r="M133" s="45" t="str">
        <f t="shared" si="6"/>
        <v/>
      </c>
      <c r="N133" s="45" t="str">
        <f t="shared" si="7"/>
        <v/>
      </c>
      <c r="O133" s="45" t="str">
        <f t="shared" si="8"/>
        <v/>
      </c>
      <c r="P133" s="45" t="str">
        <f t="shared" si="9"/>
        <v/>
      </c>
    </row>
    <row r="134" spans="1:16" ht="18">
      <c r="A134" s="92" t="s">
        <v>4728</v>
      </c>
      <c r="B134" s="345">
        <v>1999</v>
      </c>
      <c r="C134" s="92"/>
      <c r="D134" s="345">
        <v>10578118</v>
      </c>
      <c r="E134" s="278" t="str">
        <f t="shared" si="2"/>
        <v>https://pubmed.ncbi.nlm.nih.gov/?term=10578118</v>
      </c>
      <c r="F134" s="28" t="s">
        <v>511</v>
      </c>
      <c r="G134" s="28" t="s">
        <v>4592</v>
      </c>
      <c r="J134" s="346">
        <f t="shared" si="3"/>
        <v>1</v>
      </c>
      <c r="K134" s="28" t="str">
        <f t="shared" si="4"/>
        <v/>
      </c>
      <c r="L134" s="45" t="str">
        <f t="shared" si="5"/>
        <v/>
      </c>
      <c r="M134" s="45" t="str">
        <f t="shared" si="6"/>
        <v/>
      </c>
      <c r="N134" s="45" t="str">
        <f t="shared" si="7"/>
        <v/>
      </c>
      <c r="O134" s="45" t="str">
        <f t="shared" si="8"/>
        <v/>
      </c>
      <c r="P134" s="45" t="str">
        <f t="shared" si="9"/>
        <v/>
      </c>
    </row>
    <row r="135" spans="1:16" ht="18">
      <c r="A135" s="92" t="s">
        <v>4729</v>
      </c>
      <c r="B135" s="345">
        <v>1996</v>
      </c>
      <c r="C135" s="92"/>
      <c r="D135" s="345">
        <v>8988875</v>
      </c>
      <c r="E135" s="278" t="str">
        <f t="shared" si="2"/>
        <v>https://pubmed.ncbi.nlm.nih.gov/?term=8988875</v>
      </c>
      <c r="F135" s="28" t="s">
        <v>511</v>
      </c>
      <c r="G135" s="28" t="s">
        <v>4592</v>
      </c>
      <c r="J135" s="346">
        <f t="shared" si="3"/>
        <v>1</v>
      </c>
      <c r="K135" s="28" t="str">
        <f t="shared" si="4"/>
        <v/>
      </c>
      <c r="L135" s="45" t="str">
        <f t="shared" si="5"/>
        <v/>
      </c>
      <c r="M135" s="45" t="str">
        <f t="shared" si="6"/>
        <v/>
      </c>
      <c r="N135" s="45" t="str">
        <f t="shared" si="7"/>
        <v/>
      </c>
      <c r="O135" s="45" t="str">
        <f t="shared" si="8"/>
        <v/>
      </c>
      <c r="P135" s="45" t="str">
        <f t="shared" si="9"/>
        <v/>
      </c>
    </row>
    <row r="136" spans="1:16" ht="18">
      <c r="A136" s="92" t="s">
        <v>4730</v>
      </c>
      <c r="B136" s="345">
        <v>1998</v>
      </c>
      <c r="C136" s="92"/>
      <c r="D136" s="345">
        <v>9522228</v>
      </c>
      <c r="E136" s="278" t="str">
        <f t="shared" si="2"/>
        <v>https://pubmed.ncbi.nlm.nih.gov/?term=9522228</v>
      </c>
      <c r="F136" s="28" t="s">
        <v>511</v>
      </c>
      <c r="G136" s="28" t="s">
        <v>4592</v>
      </c>
      <c r="J136" s="346">
        <f t="shared" si="3"/>
        <v>1</v>
      </c>
      <c r="K136" s="28" t="str">
        <f t="shared" si="4"/>
        <v/>
      </c>
      <c r="L136" s="45" t="str">
        <f t="shared" si="5"/>
        <v/>
      </c>
      <c r="M136" s="45" t="str">
        <f t="shared" si="6"/>
        <v/>
      </c>
      <c r="N136" s="45" t="str">
        <f t="shared" si="7"/>
        <v/>
      </c>
      <c r="O136" s="45" t="str">
        <f t="shared" si="8"/>
        <v/>
      </c>
      <c r="P136" s="45" t="str">
        <f t="shared" si="9"/>
        <v/>
      </c>
    </row>
    <row r="137" spans="1:16" ht="18">
      <c r="A137" s="92" t="s">
        <v>4731</v>
      </c>
      <c r="B137" s="345">
        <v>1999</v>
      </c>
      <c r="C137" s="92"/>
      <c r="D137" s="345">
        <v>10589383</v>
      </c>
      <c r="E137" s="278" t="str">
        <f t="shared" si="2"/>
        <v>https://pubmed.ncbi.nlm.nih.gov/?term=10589383</v>
      </c>
      <c r="F137" s="28" t="s">
        <v>511</v>
      </c>
      <c r="G137" s="28" t="s">
        <v>4592</v>
      </c>
      <c r="J137" s="346">
        <f t="shared" si="3"/>
        <v>1</v>
      </c>
      <c r="K137" s="28" t="str">
        <f t="shared" si="4"/>
        <v/>
      </c>
      <c r="L137" s="45" t="str">
        <f t="shared" si="5"/>
        <v/>
      </c>
      <c r="M137" s="45" t="str">
        <f t="shared" si="6"/>
        <v/>
      </c>
      <c r="N137" s="45" t="str">
        <f t="shared" si="7"/>
        <v/>
      </c>
      <c r="O137" s="45" t="str">
        <f t="shared" si="8"/>
        <v/>
      </c>
      <c r="P137" s="45" t="str">
        <f t="shared" si="9"/>
        <v/>
      </c>
    </row>
    <row r="138" spans="1:16" ht="18">
      <c r="A138" s="92" t="s">
        <v>4727</v>
      </c>
      <c r="B138" s="345">
        <v>1994</v>
      </c>
      <c r="C138" s="92"/>
      <c r="D138" s="345">
        <v>8026212</v>
      </c>
      <c r="E138" s="278" t="str">
        <f t="shared" si="2"/>
        <v>https://pubmed.ncbi.nlm.nih.gov/?term=8026212</v>
      </c>
      <c r="F138" s="28" t="s">
        <v>511</v>
      </c>
      <c r="G138" s="28" t="s">
        <v>4592</v>
      </c>
      <c r="J138" s="346">
        <f t="shared" si="3"/>
        <v>1</v>
      </c>
      <c r="K138" s="28" t="str">
        <f t="shared" si="4"/>
        <v/>
      </c>
      <c r="L138" s="45" t="str">
        <f t="shared" si="5"/>
        <v/>
      </c>
      <c r="M138" s="45" t="str">
        <f t="shared" si="6"/>
        <v/>
      </c>
      <c r="N138" s="45" t="str">
        <f t="shared" si="7"/>
        <v/>
      </c>
      <c r="O138" s="45" t="str">
        <f t="shared" si="8"/>
        <v/>
      </c>
      <c r="P138" s="45" t="str">
        <f t="shared" si="9"/>
        <v/>
      </c>
    </row>
    <row r="139" spans="1:16" ht="18">
      <c r="A139" s="92" t="s">
        <v>4732</v>
      </c>
      <c r="B139" s="345">
        <v>2000</v>
      </c>
      <c r="C139" s="92"/>
      <c r="D139" s="345">
        <v>10773116</v>
      </c>
      <c r="E139" s="278" t="str">
        <f t="shared" si="2"/>
        <v>https://pubmed.ncbi.nlm.nih.gov/?term=10773116</v>
      </c>
      <c r="F139" s="28" t="s">
        <v>511</v>
      </c>
      <c r="G139" s="28" t="s">
        <v>4592</v>
      </c>
      <c r="J139" s="346">
        <f t="shared" si="3"/>
        <v>1</v>
      </c>
      <c r="K139" s="28" t="str">
        <f t="shared" si="4"/>
        <v/>
      </c>
      <c r="L139" s="45" t="str">
        <f t="shared" si="5"/>
        <v/>
      </c>
      <c r="M139" s="45" t="str">
        <f t="shared" si="6"/>
        <v/>
      </c>
      <c r="N139" s="45" t="str">
        <f t="shared" si="7"/>
        <v/>
      </c>
      <c r="O139" s="45" t="str">
        <f t="shared" si="8"/>
        <v/>
      </c>
      <c r="P139" s="45" t="str">
        <f t="shared" si="9"/>
        <v/>
      </c>
    </row>
    <row r="140" spans="1:16" ht="18">
      <c r="A140" s="92" t="s">
        <v>1835</v>
      </c>
      <c r="B140" s="345">
        <v>1996</v>
      </c>
      <c r="C140" s="92"/>
      <c r="D140" s="345">
        <v>8544269</v>
      </c>
      <c r="E140" s="278" t="str">
        <f t="shared" si="2"/>
        <v>https://pubmed.ncbi.nlm.nih.gov/?term=8544269</v>
      </c>
      <c r="H140" s="28" t="s">
        <v>511</v>
      </c>
      <c r="J140" s="346" t="str">
        <f t="shared" si="3"/>
        <v/>
      </c>
      <c r="K140" s="28" t="str">
        <f t="shared" si="4"/>
        <v/>
      </c>
      <c r="L140" s="45" t="str">
        <f t="shared" si="5"/>
        <v/>
      </c>
      <c r="M140" s="45" t="str">
        <f t="shared" si="6"/>
        <v/>
      </c>
      <c r="N140" s="45" t="str">
        <f t="shared" si="7"/>
        <v/>
      </c>
      <c r="O140" s="45" t="str">
        <f t="shared" si="8"/>
        <v/>
      </c>
      <c r="P140" s="45" t="str">
        <f t="shared" si="9"/>
        <v/>
      </c>
    </row>
    <row r="141" spans="1:16" ht="18">
      <c r="A141" s="92" t="s">
        <v>4733</v>
      </c>
      <c r="B141" s="345">
        <v>1993</v>
      </c>
      <c r="C141" s="92"/>
      <c r="D141" s="345">
        <v>7691508</v>
      </c>
      <c r="E141" s="278" t="str">
        <f t="shared" si="2"/>
        <v>https://pubmed.ncbi.nlm.nih.gov/?term=7691508</v>
      </c>
      <c r="F141" s="28" t="s">
        <v>511</v>
      </c>
      <c r="G141" s="28" t="s">
        <v>4592</v>
      </c>
      <c r="J141" s="346">
        <f t="shared" si="3"/>
        <v>1</v>
      </c>
      <c r="K141" s="28" t="str">
        <f t="shared" si="4"/>
        <v/>
      </c>
      <c r="L141" s="45" t="str">
        <f t="shared" si="5"/>
        <v/>
      </c>
      <c r="M141" s="45" t="str">
        <f t="shared" si="6"/>
        <v/>
      </c>
      <c r="N141" s="45" t="str">
        <f t="shared" si="7"/>
        <v/>
      </c>
      <c r="O141" s="45" t="str">
        <f t="shared" si="8"/>
        <v/>
      </c>
      <c r="P141" s="45" t="str">
        <f t="shared" si="9"/>
        <v/>
      </c>
    </row>
    <row r="142" spans="1:16" ht="18">
      <c r="A142" s="92" t="s">
        <v>1690</v>
      </c>
      <c r="B142" s="345">
        <v>1994</v>
      </c>
      <c r="C142" s="92"/>
      <c r="D142" s="345">
        <v>8291861</v>
      </c>
      <c r="E142" s="278" t="str">
        <f t="shared" si="2"/>
        <v>https://pubmed.ncbi.nlm.nih.gov/?term=8291861</v>
      </c>
      <c r="H142" s="28" t="s">
        <v>511</v>
      </c>
      <c r="J142" s="346" t="str">
        <f t="shared" si="3"/>
        <v/>
      </c>
      <c r="K142" s="28" t="str">
        <f t="shared" si="4"/>
        <v/>
      </c>
      <c r="L142" s="45" t="str">
        <f t="shared" si="5"/>
        <v/>
      </c>
      <c r="M142" s="45" t="str">
        <f t="shared" si="6"/>
        <v/>
      </c>
      <c r="N142" s="45" t="str">
        <f t="shared" si="7"/>
        <v/>
      </c>
      <c r="O142" s="45" t="str">
        <f t="shared" si="8"/>
        <v/>
      </c>
      <c r="P142" s="45" t="str">
        <f t="shared" si="9"/>
        <v/>
      </c>
    </row>
    <row r="143" spans="1:16" ht="18">
      <c r="A143" s="92" t="s">
        <v>1827</v>
      </c>
      <c r="B143" s="345">
        <v>1996</v>
      </c>
      <c r="C143" s="92"/>
      <c r="D143" s="345">
        <v>8953073</v>
      </c>
      <c r="E143" s="278" t="str">
        <f t="shared" si="2"/>
        <v>https://pubmed.ncbi.nlm.nih.gov/?term=8953073</v>
      </c>
      <c r="H143" s="28" t="s">
        <v>511</v>
      </c>
      <c r="J143" s="346" t="str">
        <f t="shared" si="3"/>
        <v/>
      </c>
      <c r="K143" s="28" t="str">
        <f t="shared" si="4"/>
        <v/>
      </c>
      <c r="L143" s="45" t="str">
        <f t="shared" si="5"/>
        <v/>
      </c>
      <c r="M143" s="45" t="str">
        <f t="shared" si="6"/>
        <v/>
      </c>
      <c r="N143" s="45" t="str">
        <f t="shared" si="7"/>
        <v/>
      </c>
      <c r="O143" s="45" t="str">
        <f t="shared" si="8"/>
        <v/>
      </c>
      <c r="P143" s="45" t="str">
        <f t="shared" si="9"/>
        <v/>
      </c>
    </row>
    <row r="144" spans="1:16" ht="18">
      <c r="A144" s="92" t="s">
        <v>1690</v>
      </c>
      <c r="B144" s="345">
        <v>1999</v>
      </c>
      <c r="C144" s="92"/>
      <c r="D144" s="345">
        <v>10890787</v>
      </c>
      <c r="E144" s="278" t="str">
        <f t="shared" si="2"/>
        <v>https://pubmed.ncbi.nlm.nih.gov/?term=10890787</v>
      </c>
      <c r="H144" s="28" t="s">
        <v>511</v>
      </c>
      <c r="J144" s="346" t="str">
        <f t="shared" si="3"/>
        <v/>
      </c>
      <c r="K144" s="28" t="str">
        <f t="shared" si="4"/>
        <v/>
      </c>
      <c r="L144" s="45" t="str">
        <f t="shared" si="5"/>
        <v/>
      </c>
      <c r="M144" s="45" t="str">
        <f t="shared" si="6"/>
        <v/>
      </c>
      <c r="N144" s="45" t="str">
        <f t="shared" si="7"/>
        <v/>
      </c>
      <c r="O144" s="45" t="str">
        <f t="shared" si="8"/>
        <v/>
      </c>
      <c r="P144" s="45" t="str">
        <f t="shared" si="9"/>
        <v/>
      </c>
    </row>
    <row r="145" spans="1:16" ht="18">
      <c r="A145" s="92" t="s">
        <v>4734</v>
      </c>
      <c r="B145" s="345">
        <v>1997</v>
      </c>
      <c r="C145" s="92"/>
      <c r="D145" s="345">
        <v>9445959</v>
      </c>
      <c r="E145" s="278" t="str">
        <f t="shared" si="2"/>
        <v>https://pubmed.ncbi.nlm.nih.gov/?term=9445959</v>
      </c>
      <c r="F145" s="28" t="s">
        <v>511</v>
      </c>
      <c r="G145" s="28" t="s">
        <v>4592</v>
      </c>
      <c r="J145" s="346">
        <f t="shared" si="3"/>
        <v>1</v>
      </c>
      <c r="K145" s="28" t="str">
        <f t="shared" si="4"/>
        <v/>
      </c>
      <c r="L145" s="45" t="str">
        <f t="shared" si="5"/>
        <v/>
      </c>
      <c r="M145" s="45" t="str">
        <f t="shared" si="6"/>
        <v/>
      </c>
      <c r="N145" s="45" t="str">
        <f t="shared" si="7"/>
        <v/>
      </c>
      <c r="O145" s="45" t="str">
        <f t="shared" si="8"/>
        <v/>
      </c>
      <c r="P145" s="45" t="str">
        <f t="shared" si="9"/>
        <v/>
      </c>
    </row>
    <row r="146" spans="1:16" ht="18">
      <c r="A146" s="92" t="s">
        <v>4735</v>
      </c>
      <c r="B146" s="345">
        <v>1999</v>
      </c>
      <c r="C146" s="92"/>
      <c r="D146" s="345">
        <v>10217584</v>
      </c>
      <c r="E146" s="278" t="str">
        <f t="shared" si="2"/>
        <v>https://pubmed.ncbi.nlm.nih.gov/?term=10217584</v>
      </c>
      <c r="F146" s="28" t="s">
        <v>511</v>
      </c>
      <c r="G146" s="28" t="s">
        <v>4346</v>
      </c>
      <c r="J146" s="346" t="str">
        <f t="shared" si="3"/>
        <v/>
      </c>
      <c r="K146" s="28" t="str">
        <f t="shared" si="4"/>
        <v/>
      </c>
      <c r="L146" s="45">
        <f t="shared" si="5"/>
        <v>1</v>
      </c>
      <c r="M146" s="45" t="str">
        <f t="shared" si="6"/>
        <v/>
      </c>
      <c r="N146" s="45" t="str">
        <f t="shared" si="7"/>
        <v/>
      </c>
      <c r="O146" s="45" t="str">
        <f t="shared" si="8"/>
        <v/>
      </c>
      <c r="P146" s="45" t="str">
        <f t="shared" si="9"/>
        <v/>
      </c>
    </row>
    <row r="147" spans="1:16" ht="18">
      <c r="A147" s="92" t="s">
        <v>4736</v>
      </c>
      <c r="B147" s="345">
        <v>1991</v>
      </c>
      <c r="C147" s="92"/>
      <c r="D147" s="345">
        <v>2042705</v>
      </c>
      <c r="E147" s="278" t="str">
        <f t="shared" si="2"/>
        <v>https://pubmed.ncbi.nlm.nih.gov/?term=2042705</v>
      </c>
      <c r="F147" s="28" t="s">
        <v>511</v>
      </c>
      <c r="G147" s="28" t="s">
        <v>4346</v>
      </c>
      <c r="J147" s="346" t="str">
        <f t="shared" si="3"/>
        <v/>
      </c>
      <c r="K147" s="28" t="str">
        <f t="shared" si="4"/>
        <v/>
      </c>
      <c r="L147" s="45">
        <f t="shared" si="5"/>
        <v>1</v>
      </c>
      <c r="M147" s="45" t="str">
        <f t="shared" si="6"/>
        <v/>
      </c>
      <c r="N147" s="45" t="str">
        <f t="shared" si="7"/>
        <v/>
      </c>
      <c r="O147" s="45" t="str">
        <f t="shared" si="8"/>
        <v/>
      </c>
      <c r="P147" s="45" t="str">
        <f t="shared" si="9"/>
        <v/>
      </c>
    </row>
    <row r="148" spans="1:16" ht="18">
      <c r="A148" s="92" t="s">
        <v>4737</v>
      </c>
      <c r="B148" s="345">
        <v>1993</v>
      </c>
      <c r="C148" s="92"/>
      <c r="D148" s="345">
        <v>7922390</v>
      </c>
      <c r="E148" s="278" t="str">
        <f t="shared" si="2"/>
        <v>https://pubmed.ncbi.nlm.nih.gov/?term=7922390</v>
      </c>
      <c r="F148" s="28" t="s">
        <v>511</v>
      </c>
      <c r="G148" s="28" t="s">
        <v>4592</v>
      </c>
      <c r="J148" s="346">
        <f t="shared" si="3"/>
        <v>1</v>
      </c>
      <c r="K148" s="28" t="str">
        <f t="shared" si="4"/>
        <v/>
      </c>
      <c r="L148" s="45" t="str">
        <f t="shared" si="5"/>
        <v/>
      </c>
      <c r="M148" s="45" t="str">
        <f t="shared" si="6"/>
        <v/>
      </c>
      <c r="N148" s="45" t="str">
        <f t="shared" si="7"/>
        <v/>
      </c>
      <c r="O148" s="45" t="str">
        <f t="shared" si="8"/>
        <v/>
      </c>
      <c r="P148" s="45" t="str">
        <f t="shared" si="9"/>
        <v/>
      </c>
    </row>
    <row r="149" spans="1:16" ht="18">
      <c r="A149" s="92" t="s">
        <v>4738</v>
      </c>
      <c r="B149" s="345">
        <v>1996</v>
      </c>
      <c r="C149" s="92"/>
      <c r="D149" s="345">
        <v>8952023</v>
      </c>
      <c r="E149" s="278" t="str">
        <f t="shared" si="2"/>
        <v>https://pubmed.ncbi.nlm.nih.gov/?term=8952023</v>
      </c>
      <c r="F149" s="28" t="s">
        <v>511</v>
      </c>
      <c r="G149" s="28" t="s">
        <v>4346</v>
      </c>
      <c r="J149" s="346" t="str">
        <f t="shared" si="3"/>
        <v/>
      </c>
      <c r="K149" s="28" t="str">
        <f t="shared" si="4"/>
        <v/>
      </c>
      <c r="L149" s="45">
        <f t="shared" si="5"/>
        <v>1</v>
      </c>
      <c r="M149" s="45" t="str">
        <f t="shared" si="6"/>
        <v/>
      </c>
      <c r="N149" s="45" t="str">
        <f t="shared" si="7"/>
        <v/>
      </c>
      <c r="O149" s="45" t="str">
        <f t="shared" si="8"/>
        <v/>
      </c>
      <c r="P149" s="45" t="str">
        <f t="shared" si="9"/>
        <v/>
      </c>
    </row>
    <row r="150" spans="1:16" ht="18">
      <c r="A150" s="92" t="s">
        <v>1980</v>
      </c>
      <c r="B150" s="345">
        <v>1995</v>
      </c>
      <c r="C150" s="92"/>
      <c r="D150" s="345">
        <v>8578831</v>
      </c>
      <c r="E150" s="278" t="str">
        <f t="shared" si="2"/>
        <v>https://pubmed.ncbi.nlm.nih.gov/?term=8578831</v>
      </c>
      <c r="H150" s="28" t="s">
        <v>511</v>
      </c>
      <c r="J150" s="346" t="str">
        <f t="shared" si="3"/>
        <v/>
      </c>
      <c r="K150" s="28" t="str">
        <f t="shared" si="4"/>
        <v/>
      </c>
      <c r="L150" s="45" t="str">
        <f t="shared" si="5"/>
        <v/>
      </c>
      <c r="M150" s="45" t="str">
        <f t="shared" si="6"/>
        <v/>
      </c>
      <c r="N150" s="45" t="str">
        <f t="shared" si="7"/>
        <v/>
      </c>
      <c r="O150" s="45" t="str">
        <f t="shared" si="8"/>
        <v/>
      </c>
      <c r="P150" s="45" t="str">
        <f t="shared" si="9"/>
        <v/>
      </c>
    </row>
    <row r="151" spans="1:16" ht="18">
      <c r="A151" s="92" t="s">
        <v>1980</v>
      </c>
      <c r="B151" s="345">
        <v>1992</v>
      </c>
      <c r="C151" s="92" t="s">
        <v>4739</v>
      </c>
      <c r="D151" s="345">
        <v>1587589</v>
      </c>
      <c r="E151" s="278" t="str">
        <f t="shared" si="2"/>
        <v>https://pubmed.ncbi.nlm.nih.gov/?term=1587589</v>
      </c>
      <c r="H151" s="28" t="s">
        <v>511</v>
      </c>
      <c r="J151" s="346" t="str">
        <f t="shared" si="3"/>
        <v/>
      </c>
      <c r="K151" s="28" t="str">
        <f t="shared" si="4"/>
        <v/>
      </c>
      <c r="L151" s="45" t="str">
        <f t="shared" si="5"/>
        <v/>
      </c>
      <c r="M151" s="45" t="str">
        <f t="shared" si="6"/>
        <v/>
      </c>
      <c r="N151" s="45" t="str">
        <f t="shared" si="7"/>
        <v/>
      </c>
      <c r="O151" s="45" t="str">
        <f t="shared" si="8"/>
        <v/>
      </c>
      <c r="P151" s="45" t="str">
        <f t="shared" si="9"/>
        <v/>
      </c>
    </row>
    <row r="152" spans="1:16" ht="18">
      <c r="A152" s="92" t="s">
        <v>1800</v>
      </c>
      <c r="B152" s="345">
        <v>1997</v>
      </c>
      <c r="C152" s="92"/>
      <c r="D152" s="345">
        <v>9402380</v>
      </c>
      <c r="E152" s="278" t="str">
        <f t="shared" si="2"/>
        <v>https://pubmed.ncbi.nlm.nih.gov/?term=9402380</v>
      </c>
      <c r="H152" s="28" t="s">
        <v>511</v>
      </c>
      <c r="J152" s="346" t="str">
        <f t="shared" si="3"/>
        <v/>
      </c>
      <c r="K152" s="28" t="str">
        <f t="shared" si="4"/>
        <v/>
      </c>
      <c r="L152" s="45" t="str">
        <f t="shared" si="5"/>
        <v/>
      </c>
      <c r="M152" s="45" t="str">
        <f t="shared" si="6"/>
        <v/>
      </c>
      <c r="N152" s="45" t="str">
        <f t="shared" si="7"/>
        <v/>
      </c>
      <c r="O152" s="45" t="str">
        <f t="shared" si="8"/>
        <v/>
      </c>
      <c r="P152" s="45" t="str">
        <f t="shared" si="9"/>
        <v/>
      </c>
    </row>
    <row r="153" spans="1:16" ht="18">
      <c r="A153" s="92" t="s">
        <v>4740</v>
      </c>
      <c r="B153" s="345">
        <v>1992</v>
      </c>
      <c r="C153" s="92"/>
      <c r="D153" s="345">
        <v>18611520</v>
      </c>
      <c r="E153" s="278" t="str">
        <f t="shared" si="2"/>
        <v>https://pubmed.ncbi.nlm.nih.gov/?term=18611520</v>
      </c>
      <c r="F153" s="28" t="s">
        <v>511</v>
      </c>
      <c r="G153" s="28" t="s">
        <v>4741</v>
      </c>
      <c r="J153" s="346" t="str">
        <f t="shared" si="3"/>
        <v/>
      </c>
      <c r="K153" s="28" t="str">
        <f t="shared" si="4"/>
        <v/>
      </c>
      <c r="L153" s="45" t="str">
        <f t="shared" si="5"/>
        <v/>
      </c>
      <c r="M153" s="45" t="str">
        <f t="shared" si="6"/>
        <v/>
      </c>
      <c r="N153" s="45" t="str">
        <f t="shared" si="7"/>
        <v/>
      </c>
      <c r="O153" s="45">
        <f t="shared" si="8"/>
        <v>1</v>
      </c>
      <c r="P153" s="45" t="str">
        <f t="shared" si="9"/>
        <v/>
      </c>
    </row>
    <row r="154" spans="1:16" ht="18">
      <c r="A154" s="92" t="s">
        <v>4742</v>
      </c>
      <c r="B154" s="345">
        <v>2000</v>
      </c>
      <c r="C154" s="92"/>
      <c r="D154" s="345">
        <v>10796624</v>
      </c>
      <c r="E154" s="278" t="str">
        <f t="shared" si="2"/>
        <v>https://pubmed.ncbi.nlm.nih.gov/?term=10796624</v>
      </c>
      <c r="F154" s="28" t="s">
        <v>511</v>
      </c>
      <c r="G154" s="28" t="s">
        <v>4592</v>
      </c>
      <c r="J154" s="346">
        <f t="shared" si="3"/>
        <v>1</v>
      </c>
      <c r="K154" s="28" t="str">
        <f t="shared" si="4"/>
        <v/>
      </c>
      <c r="L154" s="45" t="str">
        <f t="shared" si="5"/>
        <v/>
      </c>
      <c r="M154" s="45" t="str">
        <f t="shared" si="6"/>
        <v/>
      </c>
      <c r="N154" s="45" t="str">
        <f t="shared" si="7"/>
        <v/>
      </c>
      <c r="O154" s="45" t="str">
        <f t="shared" si="8"/>
        <v/>
      </c>
      <c r="P154" s="45" t="str">
        <f t="shared" si="9"/>
        <v/>
      </c>
    </row>
    <row r="155" spans="1:16" ht="18">
      <c r="A155" s="92" t="s">
        <v>4743</v>
      </c>
      <c r="B155" s="345">
        <v>2000</v>
      </c>
      <c r="C155" s="92"/>
      <c r="D155" s="345">
        <v>10850524</v>
      </c>
      <c r="E155" s="278" t="str">
        <f t="shared" si="2"/>
        <v>https://pubmed.ncbi.nlm.nih.gov/?term=10850524</v>
      </c>
      <c r="F155" s="28" t="s">
        <v>511</v>
      </c>
      <c r="G155" s="28" t="s">
        <v>4744</v>
      </c>
      <c r="J155" s="346" t="str">
        <f t="shared" si="3"/>
        <v/>
      </c>
      <c r="K155" s="28" t="str">
        <f t="shared" si="4"/>
        <v/>
      </c>
      <c r="L155" s="45" t="str">
        <f t="shared" si="5"/>
        <v/>
      </c>
      <c r="M155" s="45" t="str">
        <f t="shared" si="6"/>
        <v/>
      </c>
      <c r="N155" s="45">
        <f t="shared" si="7"/>
        <v>1</v>
      </c>
      <c r="O155" s="45" t="str">
        <f t="shared" si="8"/>
        <v/>
      </c>
      <c r="P155" s="45" t="str">
        <f t="shared" si="9"/>
        <v/>
      </c>
    </row>
    <row r="156" spans="1:16" ht="18">
      <c r="A156" s="92" t="s">
        <v>4745</v>
      </c>
      <c r="B156" s="345">
        <v>1995</v>
      </c>
      <c r="C156" s="92" t="s">
        <v>4746</v>
      </c>
      <c r="D156" s="345">
        <v>7489941</v>
      </c>
      <c r="E156" s="278" t="str">
        <f t="shared" si="2"/>
        <v>https://pubmed.ncbi.nlm.nih.gov/?term=7489941</v>
      </c>
      <c r="F156" s="28" t="s">
        <v>511</v>
      </c>
      <c r="G156" s="28" t="s">
        <v>4747</v>
      </c>
      <c r="J156" s="346" t="str">
        <f t="shared" si="3"/>
        <v/>
      </c>
      <c r="K156" s="28" t="str">
        <f t="shared" si="4"/>
        <v/>
      </c>
      <c r="L156" s="45">
        <f t="shared" si="5"/>
        <v>1</v>
      </c>
      <c r="M156" s="45" t="str">
        <f t="shared" si="6"/>
        <v/>
      </c>
      <c r="N156" s="45" t="str">
        <f t="shared" si="7"/>
        <v/>
      </c>
      <c r="O156" s="45" t="str">
        <f t="shared" si="8"/>
        <v/>
      </c>
      <c r="P156" s="45" t="str">
        <f t="shared" si="9"/>
        <v/>
      </c>
    </row>
    <row r="157" spans="1:16" ht="18">
      <c r="A157" s="92" t="s">
        <v>2432</v>
      </c>
      <c r="B157" s="345">
        <v>1993</v>
      </c>
      <c r="C157" s="92" t="s">
        <v>4748</v>
      </c>
      <c r="D157" s="345">
        <v>8394240</v>
      </c>
      <c r="E157" s="278" t="str">
        <f t="shared" si="2"/>
        <v>https://pubmed.ncbi.nlm.nih.gov/?term=8394240</v>
      </c>
      <c r="H157" s="28" t="s">
        <v>511</v>
      </c>
      <c r="J157" s="346" t="str">
        <f t="shared" si="3"/>
        <v/>
      </c>
      <c r="K157" s="28" t="str">
        <f t="shared" si="4"/>
        <v/>
      </c>
      <c r="L157" s="45" t="str">
        <f t="shared" si="5"/>
        <v/>
      </c>
      <c r="M157" s="45" t="str">
        <f t="shared" si="6"/>
        <v/>
      </c>
      <c r="N157" s="45" t="str">
        <f t="shared" si="7"/>
        <v/>
      </c>
      <c r="O157" s="45" t="str">
        <f t="shared" si="8"/>
        <v/>
      </c>
      <c r="P157" s="45" t="str">
        <f t="shared" si="9"/>
        <v/>
      </c>
    </row>
    <row r="158" spans="1:16" ht="18">
      <c r="A158" s="92" t="s">
        <v>2319</v>
      </c>
      <c r="B158" s="345">
        <v>1990</v>
      </c>
      <c r="C158" s="92" t="s">
        <v>4749</v>
      </c>
      <c r="D158" s="345">
        <v>1692807</v>
      </c>
      <c r="E158" s="278" t="str">
        <f t="shared" si="2"/>
        <v>https://pubmed.ncbi.nlm.nih.gov/?term=1692807</v>
      </c>
      <c r="H158" s="28" t="s">
        <v>511</v>
      </c>
      <c r="J158" s="346" t="str">
        <f t="shared" si="3"/>
        <v/>
      </c>
      <c r="K158" s="28" t="str">
        <f t="shared" si="4"/>
        <v/>
      </c>
      <c r="L158" s="45" t="str">
        <f t="shared" si="5"/>
        <v/>
      </c>
      <c r="M158" s="45" t="str">
        <f t="shared" si="6"/>
        <v/>
      </c>
      <c r="N158" s="45" t="str">
        <f t="shared" si="7"/>
        <v/>
      </c>
      <c r="O158" s="45" t="str">
        <f t="shared" si="8"/>
        <v/>
      </c>
      <c r="P158" s="45" t="str">
        <f t="shared" si="9"/>
        <v/>
      </c>
    </row>
    <row r="159" spans="1:16" ht="18">
      <c r="A159" s="92" t="s">
        <v>4750</v>
      </c>
      <c r="B159" s="345">
        <v>1994</v>
      </c>
      <c r="C159" s="92"/>
      <c r="D159" s="345">
        <v>7980899</v>
      </c>
      <c r="E159" s="278" t="str">
        <f t="shared" si="2"/>
        <v>https://pubmed.ncbi.nlm.nih.gov/?term=7980899</v>
      </c>
      <c r="F159" s="28" t="s">
        <v>511</v>
      </c>
      <c r="G159" s="28" t="s">
        <v>4592</v>
      </c>
      <c r="J159" s="346">
        <f t="shared" si="3"/>
        <v>1</v>
      </c>
      <c r="K159" s="28" t="str">
        <f t="shared" si="4"/>
        <v/>
      </c>
      <c r="L159" s="45" t="str">
        <f t="shared" si="5"/>
        <v/>
      </c>
      <c r="M159" s="45" t="str">
        <f t="shared" si="6"/>
        <v/>
      </c>
      <c r="N159" s="45" t="str">
        <f t="shared" si="7"/>
        <v/>
      </c>
      <c r="O159" s="45" t="str">
        <f t="shared" si="8"/>
        <v/>
      </c>
      <c r="P159" s="45" t="str">
        <f t="shared" si="9"/>
        <v/>
      </c>
    </row>
    <row r="160" spans="1:16" ht="18">
      <c r="A160" s="92" t="s">
        <v>4751</v>
      </c>
      <c r="B160" s="345">
        <v>1998</v>
      </c>
      <c r="C160" s="92"/>
      <c r="D160" s="345">
        <v>9637578</v>
      </c>
      <c r="E160" s="278" t="str">
        <f t="shared" si="2"/>
        <v>https://pubmed.ncbi.nlm.nih.gov/?term=9637578</v>
      </c>
      <c r="F160" s="28" t="s">
        <v>511</v>
      </c>
      <c r="G160" s="28" t="s">
        <v>4744</v>
      </c>
      <c r="J160" s="346" t="str">
        <f t="shared" si="3"/>
        <v/>
      </c>
      <c r="K160" s="28" t="str">
        <f t="shared" si="4"/>
        <v/>
      </c>
      <c r="L160" s="45" t="str">
        <f t="shared" si="5"/>
        <v/>
      </c>
      <c r="M160" s="45" t="str">
        <f t="shared" si="6"/>
        <v/>
      </c>
      <c r="N160" s="45">
        <f t="shared" si="7"/>
        <v>1</v>
      </c>
      <c r="O160" s="45" t="str">
        <f t="shared" si="8"/>
        <v/>
      </c>
      <c r="P160" s="45" t="str">
        <f t="shared" si="9"/>
        <v/>
      </c>
    </row>
    <row r="161" spans="1:16" ht="18">
      <c r="A161" s="92" t="s">
        <v>2371</v>
      </c>
      <c r="B161" s="345">
        <v>2000</v>
      </c>
      <c r="C161" s="92"/>
      <c r="D161" s="345">
        <v>11073753</v>
      </c>
      <c r="E161" s="278" t="str">
        <f t="shared" si="2"/>
        <v>https://pubmed.ncbi.nlm.nih.gov/?term=11073753</v>
      </c>
      <c r="H161" s="28" t="s">
        <v>511</v>
      </c>
      <c r="J161" s="346" t="str">
        <f t="shared" si="3"/>
        <v/>
      </c>
      <c r="K161" s="28" t="str">
        <f t="shared" si="4"/>
        <v/>
      </c>
      <c r="L161" s="45" t="str">
        <f t="shared" si="5"/>
        <v/>
      </c>
      <c r="M161" s="45" t="str">
        <f t="shared" si="6"/>
        <v/>
      </c>
      <c r="N161" s="45" t="str">
        <f t="shared" si="7"/>
        <v/>
      </c>
      <c r="O161" s="45" t="str">
        <f t="shared" si="8"/>
        <v/>
      </c>
      <c r="P161" s="45" t="str">
        <f t="shared" si="9"/>
        <v/>
      </c>
    </row>
    <row r="162" spans="1:16" ht="18">
      <c r="A162" s="92" t="s">
        <v>2289</v>
      </c>
      <c r="B162" s="345">
        <v>1992</v>
      </c>
      <c r="C162" s="92"/>
      <c r="D162" s="345">
        <v>1317694</v>
      </c>
      <c r="E162" s="278" t="str">
        <f t="shared" si="2"/>
        <v>https://pubmed.ncbi.nlm.nih.gov/?term=1317694</v>
      </c>
      <c r="H162" s="28" t="s">
        <v>511</v>
      </c>
      <c r="J162" s="346" t="str">
        <f t="shared" si="3"/>
        <v/>
      </c>
      <c r="K162" s="28" t="str">
        <f t="shared" si="4"/>
        <v/>
      </c>
      <c r="L162" s="45" t="str">
        <f t="shared" si="5"/>
        <v/>
      </c>
      <c r="M162" s="45" t="str">
        <f t="shared" si="6"/>
        <v/>
      </c>
      <c r="N162" s="45" t="str">
        <f t="shared" si="7"/>
        <v/>
      </c>
      <c r="O162" s="45" t="str">
        <f t="shared" si="8"/>
        <v/>
      </c>
      <c r="P162" s="45" t="str">
        <f t="shared" si="9"/>
        <v/>
      </c>
    </row>
    <row r="163" spans="1:16" ht="18">
      <c r="A163" s="92" t="s">
        <v>4752</v>
      </c>
      <c r="B163" s="345">
        <v>2000</v>
      </c>
      <c r="C163" s="92"/>
      <c r="D163" s="345">
        <v>10807510</v>
      </c>
      <c r="E163" s="278" t="str">
        <f t="shared" si="2"/>
        <v>https://pubmed.ncbi.nlm.nih.gov/?term=10807510</v>
      </c>
      <c r="F163" s="28" t="s">
        <v>511</v>
      </c>
      <c r="G163" s="28" t="s">
        <v>4592</v>
      </c>
      <c r="J163" s="346">
        <f t="shared" si="3"/>
        <v>1</v>
      </c>
      <c r="K163" s="28" t="str">
        <f t="shared" si="4"/>
        <v/>
      </c>
      <c r="L163" s="45" t="str">
        <f t="shared" si="5"/>
        <v/>
      </c>
      <c r="M163" s="45" t="str">
        <f t="shared" si="6"/>
        <v/>
      </c>
      <c r="N163" s="45" t="str">
        <f t="shared" si="7"/>
        <v/>
      </c>
      <c r="O163" s="45" t="str">
        <f t="shared" si="8"/>
        <v/>
      </c>
      <c r="P163" s="45" t="str">
        <f t="shared" si="9"/>
        <v/>
      </c>
    </row>
    <row r="164" spans="1:16" ht="18">
      <c r="A164" s="92" t="s">
        <v>4753</v>
      </c>
      <c r="B164" s="345">
        <v>2000</v>
      </c>
      <c r="C164" s="92"/>
      <c r="D164" s="345">
        <v>11354808</v>
      </c>
      <c r="E164" s="278" t="str">
        <f t="shared" si="2"/>
        <v>https://pubmed.ncbi.nlm.nih.gov/?term=11354808</v>
      </c>
      <c r="F164" s="28" t="s">
        <v>511</v>
      </c>
      <c r="G164" s="28" t="s">
        <v>4592</v>
      </c>
      <c r="J164" s="346">
        <f t="shared" si="3"/>
        <v>1</v>
      </c>
      <c r="K164" s="28" t="str">
        <f t="shared" si="4"/>
        <v/>
      </c>
      <c r="L164" s="45" t="str">
        <f t="shared" si="5"/>
        <v/>
      </c>
      <c r="M164" s="45" t="str">
        <f t="shared" si="6"/>
        <v/>
      </c>
      <c r="N164" s="45" t="str">
        <f t="shared" si="7"/>
        <v/>
      </c>
      <c r="O164" s="45" t="str">
        <f t="shared" si="8"/>
        <v/>
      </c>
      <c r="P164" s="45" t="str">
        <f t="shared" si="9"/>
        <v/>
      </c>
    </row>
    <row r="165" spans="1:16" ht="18">
      <c r="A165" s="92" t="s">
        <v>4754</v>
      </c>
      <c r="B165" s="345">
        <v>1996</v>
      </c>
      <c r="C165" s="92"/>
      <c r="D165" s="345">
        <v>8785959</v>
      </c>
      <c r="E165" s="278" t="str">
        <f t="shared" si="2"/>
        <v>https://pubmed.ncbi.nlm.nih.gov/?term=8785959</v>
      </c>
      <c r="F165" s="28" t="s">
        <v>511</v>
      </c>
      <c r="G165" s="28" t="s">
        <v>4592</v>
      </c>
      <c r="J165" s="346">
        <f t="shared" si="3"/>
        <v>1</v>
      </c>
      <c r="K165" s="28" t="str">
        <f t="shared" si="4"/>
        <v/>
      </c>
      <c r="L165" s="45" t="str">
        <f t="shared" si="5"/>
        <v/>
      </c>
      <c r="M165" s="45" t="str">
        <f t="shared" si="6"/>
        <v/>
      </c>
      <c r="N165" s="45" t="str">
        <f t="shared" si="7"/>
        <v/>
      </c>
      <c r="O165" s="45" t="str">
        <f t="shared" si="8"/>
        <v/>
      </c>
      <c r="P165" s="45" t="str">
        <f t="shared" si="9"/>
        <v/>
      </c>
    </row>
    <row r="166" spans="1:16" ht="18">
      <c r="A166" s="92" t="s">
        <v>4755</v>
      </c>
      <c r="B166" s="345">
        <v>1995</v>
      </c>
      <c r="C166" s="92"/>
      <c r="D166" s="345">
        <v>7746977</v>
      </c>
      <c r="E166" s="278" t="str">
        <f t="shared" si="2"/>
        <v>https://pubmed.ncbi.nlm.nih.gov/?term=7746977</v>
      </c>
      <c r="F166" s="28" t="s">
        <v>511</v>
      </c>
      <c r="G166" s="28" t="s">
        <v>4756</v>
      </c>
      <c r="J166" s="346" t="str">
        <f t="shared" si="3"/>
        <v/>
      </c>
      <c r="K166" s="28" t="str">
        <f t="shared" si="4"/>
        <v/>
      </c>
      <c r="L166" s="45" t="str">
        <f t="shared" si="5"/>
        <v/>
      </c>
      <c r="M166" s="45" t="str">
        <f t="shared" si="6"/>
        <v/>
      </c>
      <c r="N166" s="45" t="str">
        <f t="shared" si="7"/>
        <v/>
      </c>
      <c r="O166" s="45">
        <f t="shared" si="8"/>
        <v>1</v>
      </c>
      <c r="P166" s="45" t="str">
        <f t="shared" si="9"/>
        <v/>
      </c>
    </row>
    <row r="167" spans="1:16" ht="18">
      <c r="A167" s="92" t="s">
        <v>4757</v>
      </c>
      <c r="B167" s="345">
        <v>1995</v>
      </c>
      <c r="C167" s="92"/>
      <c r="D167" s="345">
        <v>7788426</v>
      </c>
      <c r="E167" s="278" t="str">
        <f t="shared" si="2"/>
        <v>https://pubmed.ncbi.nlm.nih.gov/?term=7788426</v>
      </c>
      <c r="F167" s="28" t="s">
        <v>511</v>
      </c>
      <c r="G167" s="28" t="s">
        <v>4744</v>
      </c>
      <c r="J167" s="346" t="str">
        <f t="shared" si="3"/>
        <v/>
      </c>
      <c r="K167" s="28" t="str">
        <f t="shared" si="4"/>
        <v/>
      </c>
      <c r="L167" s="45" t="str">
        <f t="shared" si="5"/>
        <v/>
      </c>
      <c r="M167" s="45" t="str">
        <f t="shared" si="6"/>
        <v/>
      </c>
      <c r="N167" s="45">
        <f t="shared" si="7"/>
        <v>1</v>
      </c>
      <c r="O167" s="45" t="str">
        <f t="shared" si="8"/>
        <v/>
      </c>
      <c r="P167" s="45" t="str">
        <f t="shared" si="9"/>
        <v/>
      </c>
    </row>
    <row r="168" spans="1:16" ht="18">
      <c r="A168" s="92" t="s">
        <v>4758</v>
      </c>
      <c r="B168" s="345">
        <v>2000</v>
      </c>
      <c r="C168" s="92"/>
      <c r="D168" s="345">
        <v>10897270</v>
      </c>
      <c r="E168" s="278" t="str">
        <f t="shared" si="2"/>
        <v>https://pubmed.ncbi.nlm.nih.gov/?term=10897270</v>
      </c>
      <c r="F168" s="28" t="s">
        <v>511</v>
      </c>
      <c r="G168" s="28" t="s">
        <v>4592</v>
      </c>
      <c r="J168" s="346">
        <f t="shared" si="3"/>
        <v>1</v>
      </c>
      <c r="K168" s="28" t="str">
        <f t="shared" si="4"/>
        <v/>
      </c>
      <c r="L168" s="45" t="str">
        <f t="shared" si="5"/>
        <v/>
      </c>
      <c r="M168" s="45" t="str">
        <f t="shared" si="6"/>
        <v/>
      </c>
      <c r="N168" s="45" t="str">
        <f t="shared" si="7"/>
        <v/>
      </c>
      <c r="O168" s="45" t="str">
        <f t="shared" si="8"/>
        <v/>
      </c>
      <c r="P168" s="45" t="str">
        <f t="shared" si="9"/>
        <v/>
      </c>
    </row>
    <row r="169" spans="1:16" ht="18">
      <c r="A169" s="92" t="s">
        <v>1800</v>
      </c>
      <c r="B169" s="345">
        <v>1996</v>
      </c>
      <c r="C169" s="92"/>
      <c r="D169" s="345">
        <v>8729205</v>
      </c>
      <c r="E169" s="278" t="str">
        <f t="shared" si="2"/>
        <v>https://pubmed.ncbi.nlm.nih.gov/?term=8729205</v>
      </c>
      <c r="H169" s="28" t="s">
        <v>511</v>
      </c>
      <c r="J169" s="346" t="str">
        <f t="shared" si="3"/>
        <v/>
      </c>
      <c r="K169" s="28" t="str">
        <f t="shared" si="4"/>
        <v/>
      </c>
      <c r="L169" s="45" t="str">
        <f t="shared" si="5"/>
        <v/>
      </c>
      <c r="M169" s="45" t="str">
        <f t="shared" si="6"/>
        <v/>
      </c>
      <c r="N169" s="45" t="str">
        <f t="shared" si="7"/>
        <v/>
      </c>
      <c r="O169" s="45" t="str">
        <f t="shared" si="8"/>
        <v/>
      </c>
      <c r="P169" s="45" t="str">
        <f t="shared" si="9"/>
        <v/>
      </c>
    </row>
    <row r="170" spans="1:16" ht="18">
      <c r="A170" s="92" t="s">
        <v>4759</v>
      </c>
      <c r="B170" s="345">
        <v>1990</v>
      </c>
      <c r="C170" s="92" t="s">
        <v>4760</v>
      </c>
      <c r="D170" s="345">
        <v>2254021</v>
      </c>
      <c r="E170" s="278" t="str">
        <f t="shared" si="2"/>
        <v>https://pubmed.ncbi.nlm.nih.gov/?term=2254021</v>
      </c>
      <c r="F170" s="28" t="s">
        <v>511</v>
      </c>
      <c r="G170" s="28" t="s">
        <v>4346</v>
      </c>
      <c r="J170" s="346" t="str">
        <f t="shared" si="3"/>
        <v/>
      </c>
      <c r="K170" s="28" t="str">
        <f t="shared" si="4"/>
        <v/>
      </c>
      <c r="L170" s="45">
        <f t="shared" si="5"/>
        <v>1</v>
      </c>
      <c r="M170" s="45" t="str">
        <f t="shared" si="6"/>
        <v/>
      </c>
      <c r="N170" s="45" t="str">
        <f t="shared" si="7"/>
        <v/>
      </c>
      <c r="O170" s="45" t="str">
        <f t="shared" si="8"/>
        <v/>
      </c>
      <c r="P170" s="45" t="str">
        <f t="shared" si="9"/>
        <v/>
      </c>
    </row>
    <row r="171" spans="1:16" ht="18">
      <c r="A171" s="92" t="s">
        <v>4269</v>
      </c>
      <c r="B171" s="345">
        <v>1991</v>
      </c>
      <c r="C171" s="92"/>
      <c r="D171" s="345">
        <v>2024815</v>
      </c>
      <c r="E171" s="278" t="str">
        <f t="shared" si="2"/>
        <v>https://pubmed.ncbi.nlm.nih.gov/?term=2024815</v>
      </c>
      <c r="H171" s="28" t="s">
        <v>511</v>
      </c>
      <c r="J171" s="346" t="str">
        <f t="shared" si="3"/>
        <v/>
      </c>
      <c r="K171" s="28" t="str">
        <f t="shared" si="4"/>
        <v/>
      </c>
      <c r="L171" s="45" t="str">
        <f t="shared" si="5"/>
        <v/>
      </c>
      <c r="M171" s="45" t="str">
        <f t="shared" si="6"/>
        <v/>
      </c>
      <c r="N171" s="45" t="str">
        <f t="shared" si="7"/>
        <v/>
      </c>
      <c r="O171" s="45" t="str">
        <f t="shared" si="8"/>
        <v/>
      </c>
      <c r="P171" s="45" t="str">
        <f t="shared" si="9"/>
        <v/>
      </c>
    </row>
    <row r="172" spans="1:16" ht="18">
      <c r="A172" s="92" t="s">
        <v>4761</v>
      </c>
      <c r="B172" s="345">
        <v>1997</v>
      </c>
      <c r="C172" s="92"/>
      <c r="D172" s="345">
        <v>9152932</v>
      </c>
      <c r="E172" s="278" t="str">
        <f t="shared" si="2"/>
        <v>https://pubmed.ncbi.nlm.nih.gov/?term=9152932</v>
      </c>
      <c r="F172" s="28" t="s">
        <v>511</v>
      </c>
      <c r="G172" s="28" t="s">
        <v>4346</v>
      </c>
      <c r="J172" s="346" t="str">
        <f t="shared" si="3"/>
        <v/>
      </c>
      <c r="K172" s="28" t="str">
        <f t="shared" si="4"/>
        <v/>
      </c>
      <c r="L172" s="45">
        <f t="shared" si="5"/>
        <v>1</v>
      </c>
      <c r="M172" s="45" t="str">
        <f t="shared" si="6"/>
        <v/>
      </c>
      <c r="N172" s="45" t="str">
        <f t="shared" si="7"/>
        <v/>
      </c>
      <c r="O172" s="45" t="str">
        <f t="shared" si="8"/>
        <v/>
      </c>
      <c r="P172" s="45" t="str">
        <f t="shared" si="9"/>
        <v/>
      </c>
    </row>
    <row r="173" spans="1:16" ht="18">
      <c r="A173" s="92" t="s">
        <v>4762</v>
      </c>
      <c r="B173" s="345">
        <v>1995</v>
      </c>
      <c r="C173" s="92" t="s">
        <v>4763</v>
      </c>
      <c r="D173" s="345">
        <v>7547435</v>
      </c>
      <c r="E173" s="278" t="str">
        <f t="shared" si="2"/>
        <v>https://pubmed.ncbi.nlm.nih.gov/?term=7547435</v>
      </c>
      <c r="F173" s="28" t="s">
        <v>511</v>
      </c>
      <c r="G173" s="28" t="s">
        <v>4346</v>
      </c>
      <c r="J173" s="346" t="str">
        <f t="shared" si="3"/>
        <v/>
      </c>
      <c r="K173" s="28" t="str">
        <f t="shared" si="4"/>
        <v/>
      </c>
      <c r="L173" s="45">
        <f t="shared" si="5"/>
        <v>1</v>
      </c>
      <c r="M173" s="45" t="str">
        <f t="shared" si="6"/>
        <v/>
      </c>
      <c r="N173" s="45" t="str">
        <f t="shared" si="7"/>
        <v/>
      </c>
      <c r="O173" s="45" t="str">
        <f t="shared" si="8"/>
        <v/>
      </c>
      <c r="P173" s="45" t="str">
        <f t="shared" si="9"/>
        <v/>
      </c>
    </row>
    <row r="174" spans="1:16" ht="18">
      <c r="A174" s="92" t="s">
        <v>4764</v>
      </c>
      <c r="B174" s="345">
        <v>1995</v>
      </c>
      <c r="C174" s="92"/>
      <c r="D174" s="345">
        <v>8673477</v>
      </c>
      <c r="E174" s="278" t="str">
        <f t="shared" si="2"/>
        <v>https://pubmed.ncbi.nlm.nih.gov/?term=8673477</v>
      </c>
      <c r="F174" s="28" t="s">
        <v>511</v>
      </c>
      <c r="G174" s="28" t="s">
        <v>4765</v>
      </c>
      <c r="J174" s="346" t="str">
        <f t="shared" si="3"/>
        <v/>
      </c>
      <c r="K174" s="28" t="str">
        <f t="shared" si="4"/>
        <v/>
      </c>
      <c r="L174" s="45" t="str">
        <f t="shared" si="5"/>
        <v/>
      </c>
      <c r="M174" s="45" t="str">
        <f t="shared" si="6"/>
        <v/>
      </c>
      <c r="N174" s="45" t="str">
        <f t="shared" si="7"/>
        <v/>
      </c>
      <c r="O174" s="45">
        <f t="shared" si="8"/>
        <v>1</v>
      </c>
      <c r="P174" s="45" t="str">
        <f t="shared" si="9"/>
        <v/>
      </c>
    </row>
    <row r="175" spans="1:16" ht="18">
      <c r="A175" s="92" t="s">
        <v>4766</v>
      </c>
      <c r="B175" s="345">
        <v>2000</v>
      </c>
      <c r="C175" s="92"/>
      <c r="D175" s="345">
        <v>11089992</v>
      </c>
      <c r="E175" s="278" t="str">
        <f t="shared" si="2"/>
        <v>https://pubmed.ncbi.nlm.nih.gov/?term=11089992</v>
      </c>
      <c r="F175" s="28" t="s">
        <v>511</v>
      </c>
      <c r="G175" s="28" t="s">
        <v>4346</v>
      </c>
      <c r="J175" s="346" t="str">
        <f t="shared" si="3"/>
        <v/>
      </c>
      <c r="K175" s="28" t="str">
        <f t="shared" si="4"/>
        <v/>
      </c>
      <c r="L175" s="45">
        <f t="shared" si="5"/>
        <v>1</v>
      </c>
      <c r="M175" s="45" t="str">
        <f t="shared" si="6"/>
        <v/>
      </c>
      <c r="N175" s="45" t="str">
        <f t="shared" si="7"/>
        <v/>
      </c>
      <c r="O175" s="45" t="str">
        <f t="shared" si="8"/>
        <v/>
      </c>
      <c r="P175" s="45" t="str">
        <f t="shared" si="9"/>
        <v/>
      </c>
    </row>
    <row r="176" spans="1:16" ht="18">
      <c r="A176" s="92" t="s">
        <v>4767</v>
      </c>
      <c r="B176" s="345">
        <v>1994</v>
      </c>
      <c r="C176" s="92"/>
      <c r="D176" s="345">
        <v>7932927</v>
      </c>
      <c r="E176" s="278" t="str">
        <f t="shared" si="2"/>
        <v>https://pubmed.ncbi.nlm.nih.gov/?term=7932927</v>
      </c>
      <c r="F176" s="28" t="s">
        <v>511</v>
      </c>
      <c r="G176" s="28" t="s">
        <v>4592</v>
      </c>
      <c r="J176" s="346">
        <f t="shared" si="3"/>
        <v>1</v>
      </c>
      <c r="K176" s="28" t="str">
        <f t="shared" si="4"/>
        <v/>
      </c>
      <c r="L176" s="45" t="str">
        <f t="shared" si="5"/>
        <v/>
      </c>
      <c r="M176" s="45" t="str">
        <f t="shared" si="6"/>
        <v/>
      </c>
      <c r="N176" s="45" t="str">
        <f t="shared" si="7"/>
        <v/>
      </c>
      <c r="O176" s="45" t="str">
        <f t="shared" si="8"/>
        <v/>
      </c>
      <c r="P176" s="45" t="str">
        <f t="shared" si="9"/>
        <v/>
      </c>
    </row>
    <row r="177" spans="1:16" ht="18">
      <c r="A177" s="92" t="s">
        <v>4768</v>
      </c>
      <c r="B177" s="345">
        <v>1990</v>
      </c>
      <c r="C177" s="92"/>
      <c r="D177" s="345">
        <v>1970898</v>
      </c>
      <c r="E177" s="278" t="str">
        <f t="shared" si="2"/>
        <v>https://pubmed.ncbi.nlm.nih.gov/?term=1970898</v>
      </c>
      <c r="F177" s="28" t="s">
        <v>511</v>
      </c>
      <c r="G177" s="28" t="s">
        <v>4592</v>
      </c>
      <c r="J177" s="346">
        <f t="shared" si="3"/>
        <v>1</v>
      </c>
      <c r="K177" s="28" t="str">
        <f t="shared" si="4"/>
        <v/>
      </c>
      <c r="L177" s="45" t="str">
        <f t="shared" si="5"/>
        <v/>
      </c>
      <c r="M177" s="45" t="str">
        <f t="shared" si="6"/>
        <v/>
      </c>
      <c r="N177" s="45" t="str">
        <f t="shared" si="7"/>
        <v/>
      </c>
      <c r="O177" s="45" t="str">
        <f t="shared" si="8"/>
        <v/>
      </c>
      <c r="P177" s="45" t="str">
        <f t="shared" si="9"/>
        <v/>
      </c>
    </row>
    <row r="178" spans="1:16" ht="18">
      <c r="A178" s="92" t="s">
        <v>1690</v>
      </c>
      <c r="B178" s="345">
        <v>1993</v>
      </c>
      <c r="C178" s="92"/>
      <c r="D178" s="345">
        <v>8392820</v>
      </c>
      <c r="E178" s="278" t="str">
        <f t="shared" si="2"/>
        <v>https://pubmed.ncbi.nlm.nih.gov/?term=8392820</v>
      </c>
      <c r="H178" s="28" t="s">
        <v>511</v>
      </c>
      <c r="J178" s="346" t="str">
        <f t="shared" si="3"/>
        <v/>
      </c>
      <c r="K178" s="28" t="str">
        <f t="shared" si="4"/>
        <v/>
      </c>
      <c r="L178" s="45" t="str">
        <f t="shared" si="5"/>
        <v/>
      </c>
      <c r="M178" s="45" t="str">
        <f t="shared" si="6"/>
        <v/>
      </c>
      <c r="N178" s="45" t="str">
        <f t="shared" si="7"/>
        <v/>
      </c>
      <c r="O178" s="45" t="str">
        <f t="shared" si="8"/>
        <v/>
      </c>
      <c r="P178" s="45" t="str">
        <f t="shared" si="9"/>
        <v/>
      </c>
    </row>
    <row r="179" spans="1:16" ht="18">
      <c r="A179" s="92" t="s">
        <v>4769</v>
      </c>
      <c r="B179" s="345">
        <v>1997</v>
      </c>
      <c r="C179" s="92"/>
      <c r="D179" s="345">
        <v>9148225</v>
      </c>
      <c r="E179" s="278" t="str">
        <f t="shared" si="2"/>
        <v>https://pubmed.ncbi.nlm.nih.gov/?term=9148225</v>
      </c>
      <c r="F179" s="28" t="s">
        <v>511</v>
      </c>
      <c r="G179" s="28" t="s">
        <v>4587</v>
      </c>
      <c r="J179" s="346" t="str">
        <f t="shared" si="3"/>
        <v/>
      </c>
      <c r="K179" s="28" t="str">
        <f t="shared" si="4"/>
        <v/>
      </c>
      <c r="L179" s="45" t="str">
        <f t="shared" si="5"/>
        <v/>
      </c>
      <c r="M179" s="45">
        <f t="shared" si="6"/>
        <v>1</v>
      </c>
      <c r="N179" s="45" t="str">
        <f t="shared" si="7"/>
        <v/>
      </c>
      <c r="O179" s="45" t="str">
        <f t="shared" si="8"/>
        <v/>
      </c>
      <c r="P179" s="45" t="str">
        <f t="shared" si="9"/>
        <v/>
      </c>
    </row>
    <row r="180" spans="1:16" ht="18">
      <c r="A180" s="92" t="s">
        <v>4770</v>
      </c>
      <c r="B180" s="345">
        <v>1995</v>
      </c>
      <c r="C180" s="92"/>
      <c r="D180" s="345">
        <v>7602326</v>
      </c>
      <c r="E180" s="278" t="str">
        <f t="shared" si="2"/>
        <v>https://pubmed.ncbi.nlm.nih.gov/?term=7602326</v>
      </c>
      <c r="F180" s="28" t="s">
        <v>511</v>
      </c>
      <c r="G180" s="28" t="s">
        <v>4346</v>
      </c>
      <c r="J180" s="346" t="str">
        <f t="shared" si="3"/>
        <v/>
      </c>
      <c r="K180" s="28" t="str">
        <f t="shared" si="4"/>
        <v/>
      </c>
      <c r="L180" s="45">
        <f t="shared" si="5"/>
        <v>1</v>
      </c>
      <c r="M180" s="45" t="str">
        <f t="shared" si="6"/>
        <v/>
      </c>
      <c r="N180" s="45" t="str">
        <f t="shared" si="7"/>
        <v/>
      </c>
      <c r="O180" s="45" t="str">
        <f t="shared" si="8"/>
        <v/>
      </c>
      <c r="P180" s="45" t="str">
        <f t="shared" si="9"/>
        <v/>
      </c>
    </row>
    <row r="181" spans="1:16" ht="18">
      <c r="A181" s="92" t="s">
        <v>4735</v>
      </c>
      <c r="B181" s="345">
        <v>2000</v>
      </c>
      <c r="C181" s="92" t="s">
        <v>4771</v>
      </c>
      <c r="D181" s="345">
        <v>10644345</v>
      </c>
      <c r="E181" s="278" t="str">
        <f t="shared" si="2"/>
        <v>https://pubmed.ncbi.nlm.nih.gov/?term=10644345</v>
      </c>
      <c r="F181" s="28" t="s">
        <v>511</v>
      </c>
      <c r="G181" s="28" t="s">
        <v>4346</v>
      </c>
      <c r="J181" s="346" t="str">
        <f t="shared" si="3"/>
        <v/>
      </c>
      <c r="K181" s="28" t="str">
        <f t="shared" si="4"/>
        <v/>
      </c>
      <c r="L181" s="45">
        <f t="shared" si="5"/>
        <v>1</v>
      </c>
      <c r="M181" s="45" t="str">
        <f t="shared" si="6"/>
        <v/>
      </c>
      <c r="N181" s="45" t="str">
        <f t="shared" si="7"/>
        <v/>
      </c>
      <c r="O181" s="45" t="str">
        <f t="shared" si="8"/>
        <v/>
      </c>
      <c r="P181" s="45" t="str">
        <f t="shared" si="9"/>
        <v/>
      </c>
    </row>
    <row r="182" spans="1:16" ht="18">
      <c r="A182" s="92" t="s">
        <v>4772</v>
      </c>
      <c r="B182" s="345">
        <v>2000</v>
      </c>
      <c r="C182" s="92"/>
      <c r="D182" s="345">
        <v>10782705</v>
      </c>
      <c r="E182" s="278" t="str">
        <f t="shared" si="2"/>
        <v>https://pubmed.ncbi.nlm.nih.gov/?term=10782705</v>
      </c>
      <c r="F182" s="28" t="s">
        <v>511</v>
      </c>
      <c r="G182" s="28" t="s">
        <v>4592</v>
      </c>
      <c r="J182" s="346">
        <f t="shared" si="3"/>
        <v>1</v>
      </c>
      <c r="K182" s="28" t="str">
        <f t="shared" si="4"/>
        <v/>
      </c>
      <c r="L182" s="45" t="str">
        <f t="shared" si="5"/>
        <v/>
      </c>
      <c r="M182" s="45" t="str">
        <f t="shared" si="6"/>
        <v/>
      </c>
      <c r="N182" s="45" t="str">
        <f t="shared" si="7"/>
        <v/>
      </c>
      <c r="O182" s="45" t="str">
        <f t="shared" si="8"/>
        <v/>
      </c>
      <c r="P182" s="45" t="str">
        <f t="shared" si="9"/>
        <v/>
      </c>
    </row>
    <row r="183" spans="1:16" ht="18">
      <c r="A183" s="92" t="s">
        <v>4773</v>
      </c>
      <c r="B183" s="345">
        <v>2000</v>
      </c>
      <c r="C183" s="92"/>
      <c r="D183" s="345">
        <v>10646605</v>
      </c>
      <c r="E183" s="278" t="str">
        <f t="shared" si="2"/>
        <v>https://pubmed.ncbi.nlm.nih.gov/?term=10646605</v>
      </c>
      <c r="F183" s="28" t="s">
        <v>511</v>
      </c>
      <c r="G183" s="28" t="s">
        <v>4346</v>
      </c>
      <c r="J183" s="346" t="str">
        <f t="shared" si="3"/>
        <v/>
      </c>
      <c r="K183" s="28" t="str">
        <f t="shared" si="4"/>
        <v/>
      </c>
      <c r="L183" s="45">
        <f t="shared" si="5"/>
        <v>1</v>
      </c>
      <c r="M183" s="45" t="str">
        <f t="shared" si="6"/>
        <v/>
      </c>
      <c r="N183" s="45" t="str">
        <f t="shared" si="7"/>
        <v/>
      </c>
      <c r="O183" s="45" t="str">
        <f t="shared" si="8"/>
        <v/>
      </c>
      <c r="P183" s="45" t="str">
        <f t="shared" si="9"/>
        <v/>
      </c>
    </row>
    <row r="184" spans="1:16" ht="18">
      <c r="A184" s="92" t="s">
        <v>4272</v>
      </c>
      <c r="B184" s="345">
        <v>1991</v>
      </c>
      <c r="C184" s="92"/>
      <c r="D184" s="345">
        <v>1720601</v>
      </c>
      <c r="E184" s="278" t="str">
        <f t="shared" si="2"/>
        <v>https://pubmed.ncbi.nlm.nih.gov/?term=1720601</v>
      </c>
      <c r="H184" s="28" t="s">
        <v>511</v>
      </c>
      <c r="J184" s="346" t="str">
        <f t="shared" si="3"/>
        <v/>
      </c>
      <c r="K184" s="28" t="str">
        <f t="shared" si="4"/>
        <v/>
      </c>
      <c r="L184" s="45" t="str">
        <f t="shared" si="5"/>
        <v/>
      </c>
      <c r="M184" s="45" t="str">
        <f t="shared" si="6"/>
        <v/>
      </c>
      <c r="N184" s="45" t="str">
        <f t="shared" si="7"/>
        <v/>
      </c>
      <c r="O184" s="45" t="str">
        <f t="shared" si="8"/>
        <v/>
      </c>
      <c r="P184" s="45" t="str">
        <f t="shared" si="9"/>
        <v/>
      </c>
    </row>
    <row r="185" spans="1:16" ht="18">
      <c r="A185" s="92" t="s">
        <v>4774</v>
      </c>
      <c r="B185" s="345">
        <v>1993</v>
      </c>
      <c r="C185" s="92"/>
      <c r="D185" s="345">
        <v>8376833</v>
      </c>
      <c r="E185" s="278" t="str">
        <f t="shared" si="2"/>
        <v>https://pubmed.ncbi.nlm.nih.gov/?term=8376833</v>
      </c>
      <c r="F185" s="28" t="s">
        <v>511</v>
      </c>
      <c r="G185" s="28" t="s">
        <v>4775</v>
      </c>
      <c r="J185" s="346" t="str">
        <f t="shared" si="3"/>
        <v/>
      </c>
      <c r="K185" s="28" t="str">
        <f t="shared" si="4"/>
        <v/>
      </c>
      <c r="L185" s="45" t="str">
        <f t="shared" si="5"/>
        <v/>
      </c>
      <c r="M185" s="45" t="str">
        <f t="shared" si="6"/>
        <v/>
      </c>
      <c r="N185" s="45">
        <f t="shared" si="7"/>
        <v>1</v>
      </c>
      <c r="O185" s="45" t="str">
        <f t="shared" si="8"/>
        <v/>
      </c>
      <c r="P185" s="45" t="str">
        <f t="shared" si="9"/>
        <v/>
      </c>
    </row>
    <row r="186" spans="1:16" ht="18">
      <c r="A186" s="92" t="s">
        <v>4776</v>
      </c>
      <c r="B186" s="345">
        <v>1991</v>
      </c>
      <c r="C186" s="92"/>
      <c r="D186" s="345">
        <v>1760587</v>
      </c>
      <c r="E186" s="278" t="str">
        <f t="shared" si="2"/>
        <v>https://pubmed.ncbi.nlm.nih.gov/?term=1760587</v>
      </c>
      <c r="F186" s="28" t="s">
        <v>511</v>
      </c>
      <c r="G186" s="28" t="s">
        <v>4592</v>
      </c>
      <c r="J186" s="346">
        <f t="shared" si="3"/>
        <v>1</v>
      </c>
      <c r="K186" s="28" t="str">
        <f t="shared" si="4"/>
        <v/>
      </c>
      <c r="L186" s="45" t="str">
        <f t="shared" si="5"/>
        <v/>
      </c>
      <c r="M186" s="45" t="str">
        <f t="shared" si="6"/>
        <v/>
      </c>
      <c r="N186" s="45" t="str">
        <f t="shared" si="7"/>
        <v/>
      </c>
      <c r="O186" s="45" t="str">
        <f t="shared" si="8"/>
        <v/>
      </c>
      <c r="P186" s="45" t="str">
        <f t="shared" si="9"/>
        <v/>
      </c>
    </row>
    <row r="187" spans="1:16" ht="18">
      <c r="A187" s="92" t="s">
        <v>4777</v>
      </c>
      <c r="B187" s="345">
        <v>1992</v>
      </c>
      <c r="C187" s="92"/>
      <c r="D187" s="345">
        <v>12291168</v>
      </c>
      <c r="E187" s="278" t="str">
        <f t="shared" si="2"/>
        <v>https://pubmed.ncbi.nlm.nih.gov/?term=12291168</v>
      </c>
      <c r="F187" s="28" t="s">
        <v>511</v>
      </c>
      <c r="G187" s="28" t="s">
        <v>4778</v>
      </c>
      <c r="J187" s="346" t="str">
        <f t="shared" si="3"/>
        <v/>
      </c>
      <c r="K187" s="28" t="str">
        <f t="shared" si="4"/>
        <v/>
      </c>
      <c r="L187" s="45" t="str">
        <f t="shared" si="5"/>
        <v/>
      </c>
      <c r="M187" s="45" t="str">
        <f t="shared" si="6"/>
        <v/>
      </c>
      <c r="N187" s="45" t="str">
        <f t="shared" si="7"/>
        <v/>
      </c>
      <c r="O187" s="45">
        <f t="shared" si="8"/>
        <v>1</v>
      </c>
      <c r="P187" s="45" t="str">
        <f t="shared" si="9"/>
        <v/>
      </c>
    </row>
    <row r="188" spans="1:16" ht="18">
      <c r="A188" s="92" t="s">
        <v>4594</v>
      </c>
      <c r="B188" s="345">
        <v>1994</v>
      </c>
      <c r="C188" s="92"/>
      <c r="D188" s="345">
        <v>7511715</v>
      </c>
      <c r="E188" s="278" t="str">
        <f t="shared" si="2"/>
        <v>https://pubmed.ncbi.nlm.nih.gov/?term=7511715</v>
      </c>
      <c r="F188" s="28" t="s">
        <v>511</v>
      </c>
      <c r="G188" s="28" t="s">
        <v>4346</v>
      </c>
      <c r="J188" s="346" t="str">
        <f t="shared" si="3"/>
        <v/>
      </c>
      <c r="K188" s="28" t="str">
        <f t="shared" si="4"/>
        <v/>
      </c>
      <c r="L188" s="45">
        <f t="shared" si="5"/>
        <v>1</v>
      </c>
      <c r="M188" s="45" t="str">
        <f t="shared" si="6"/>
        <v/>
      </c>
      <c r="N188" s="45" t="str">
        <f t="shared" si="7"/>
        <v/>
      </c>
      <c r="O188" s="45" t="str">
        <f t="shared" si="8"/>
        <v/>
      </c>
      <c r="P188" s="45" t="str">
        <f t="shared" si="9"/>
        <v/>
      </c>
    </row>
    <row r="189" spans="1:16" ht="18">
      <c r="A189" s="92" t="s">
        <v>2371</v>
      </c>
      <c r="B189" s="345">
        <v>2000</v>
      </c>
      <c r="C189" s="92" t="s">
        <v>4779</v>
      </c>
      <c r="D189" s="345">
        <v>10817735</v>
      </c>
      <c r="E189" s="278" t="str">
        <f t="shared" si="2"/>
        <v>https://pubmed.ncbi.nlm.nih.gov/?term=10817735</v>
      </c>
      <c r="H189" s="28" t="s">
        <v>511</v>
      </c>
      <c r="J189" s="346" t="str">
        <f t="shared" si="3"/>
        <v/>
      </c>
      <c r="K189" s="28" t="str">
        <f t="shared" si="4"/>
        <v/>
      </c>
      <c r="L189" s="45" t="str">
        <f t="shared" si="5"/>
        <v/>
      </c>
      <c r="M189" s="45" t="str">
        <f t="shared" si="6"/>
        <v/>
      </c>
      <c r="N189" s="45" t="str">
        <f t="shared" si="7"/>
        <v/>
      </c>
      <c r="O189" s="45" t="str">
        <f t="shared" si="8"/>
        <v/>
      </c>
      <c r="P189" s="45" t="str">
        <f t="shared" si="9"/>
        <v/>
      </c>
    </row>
    <row r="190" spans="1:16" ht="18">
      <c r="A190" s="92" t="s">
        <v>4780</v>
      </c>
      <c r="B190" s="345">
        <v>1994</v>
      </c>
      <c r="C190" s="92"/>
      <c r="D190" s="345">
        <v>8108468</v>
      </c>
      <c r="E190" s="278" t="str">
        <f t="shared" si="2"/>
        <v>https://pubmed.ncbi.nlm.nih.gov/?term=8108468</v>
      </c>
      <c r="F190" s="28" t="s">
        <v>511</v>
      </c>
      <c r="G190" s="28" t="s">
        <v>4346</v>
      </c>
      <c r="J190" s="346" t="str">
        <f t="shared" si="3"/>
        <v/>
      </c>
      <c r="K190" s="28" t="str">
        <f t="shared" si="4"/>
        <v/>
      </c>
      <c r="L190" s="45">
        <f t="shared" si="5"/>
        <v>1</v>
      </c>
      <c r="M190" s="45" t="str">
        <f t="shared" si="6"/>
        <v/>
      </c>
      <c r="N190" s="45" t="str">
        <f t="shared" si="7"/>
        <v/>
      </c>
      <c r="O190" s="45" t="str">
        <f t="shared" si="8"/>
        <v/>
      </c>
      <c r="P190" s="45" t="str">
        <f t="shared" si="9"/>
        <v/>
      </c>
    </row>
    <row r="191" spans="1:16" ht="18">
      <c r="A191" s="92" t="s">
        <v>4363</v>
      </c>
      <c r="B191" s="345">
        <v>1990</v>
      </c>
      <c r="C191" s="92"/>
      <c r="D191" s="345">
        <v>2180233</v>
      </c>
      <c r="E191" s="278" t="str">
        <f t="shared" si="2"/>
        <v>https://pubmed.ncbi.nlm.nih.gov/?term=2180233</v>
      </c>
      <c r="F191" s="28" t="s">
        <v>511</v>
      </c>
      <c r="G191" s="28" t="s">
        <v>4781</v>
      </c>
      <c r="J191" s="346" t="str">
        <f t="shared" si="3"/>
        <v/>
      </c>
      <c r="K191" s="28" t="str">
        <f t="shared" si="4"/>
        <v/>
      </c>
      <c r="L191" s="45" t="str">
        <f t="shared" si="5"/>
        <v/>
      </c>
      <c r="M191" s="45" t="str">
        <f t="shared" si="6"/>
        <v/>
      </c>
      <c r="N191" s="45" t="str">
        <f t="shared" si="7"/>
        <v/>
      </c>
      <c r="O191" s="45">
        <f t="shared" si="8"/>
        <v>1</v>
      </c>
      <c r="P191" s="45" t="str">
        <f t="shared" si="9"/>
        <v/>
      </c>
    </row>
    <row r="192" spans="1:16" ht="18">
      <c r="A192" s="92" t="s">
        <v>4782</v>
      </c>
      <c r="B192" s="345">
        <v>1994</v>
      </c>
      <c r="C192" s="92"/>
      <c r="D192" s="345">
        <v>8182510</v>
      </c>
      <c r="E192" s="278" t="str">
        <f t="shared" si="2"/>
        <v>https://pubmed.ncbi.nlm.nih.gov/?term=8182510</v>
      </c>
      <c r="F192" s="28" t="s">
        <v>511</v>
      </c>
      <c r="G192" s="28" t="s">
        <v>4592</v>
      </c>
      <c r="J192" s="346">
        <f t="shared" si="3"/>
        <v>1</v>
      </c>
      <c r="K192" s="28" t="str">
        <f t="shared" si="4"/>
        <v/>
      </c>
      <c r="L192" s="45" t="str">
        <f t="shared" si="5"/>
        <v/>
      </c>
      <c r="M192" s="45" t="str">
        <f t="shared" si="6"/>
        <v/>
      </c>
      <c r="N192" s="45" t="str">
        <f t="shared" si="7"/>
        <v/>
      </c>
      <c r="O192" s="45" t="str">
        <f t="shared" si="8"/>
        <v/>
      </c>
      <c r="P192" s="45" t="str">
        <f t="shared" si="9"/>
        <v/>
      </c>
    </row>
    <row r="193" spans="1:16" ht="18">
      <c r="A193" s="92" t="s">
        <v>4344</v>
      </c>
      <c r="B193" s="345">
        <v>1990</v>
      </c>
      <c r="C193" s="92"/>
      <c r="D193" s="345">
        <v>2162116</v>
      </c>
      <c r="E193" s="278" t="str">
        <f t="shared" si="2"/>
        <v>https://pubmed.ncbi.nlm.nih.gov/?term=2162116</v>
      </c>
      <c r="F193" s="28" t="s">
        <v>511</v>
      </c>
      <c r="G193" s="28" t="s">
        <v>4346</v>
      </c>
      <c r="J193" s="346" t="str">
        <f t="shared" si="3"/>
        <v/>
      </c>
      <c r="K193" s="28" t="str">
        <f t="shared" si="4"/>
        <v/>
      </c>
      <c r="L193" s="45">
        <f t="shared" si="5"/>
        <v>1</v>
      </c>
      <c r="M193" s="45" t="str">
        <f t="shared" si="6"/>
        <v/>
      </c>
      <c r="N193" s="45" t="str">
        <f t="shared" si="7"/>
        <v/>
      </c>
      <c r="O193" s="45" t="str">
        <f t="shared" si="8"/>
        <v/>
      </c>
      <c r="P193" s="45" t="str">
        <f t="shared" si="9"/>
        <v/>
      </c>
    </row>
    <row r="194" spans="1:16" ht="18">
      <c r="A194" s="92" t="s">
        <v>4278</v>
      </c>
      <c r="B194" s="345">
        <v>1997</v>
      </c>
      <c r="C194" s="92"/>
      <c r="D194" s="345">
        <v>9086149</v>
      </c>
      <c r="E194" s="278" t="str">
        <f t="shared" si="2"/>
        <v>https://pubmed.ncbi.nlm.nih.gov/?term=9086149</v>
      </c>
      <c r="H194" s="28" t="s">
        <v>511</v>
      </c>
      <c r="J194" s="346" t="str">
        <f t="shared" si="3"/>
        <v/>
      </c>
      <c r="K194" s="28" t="str">
        <f t="shared" si="4"/>
        <v/>
      </c>
      <c r="L194" s="45" t="str">
        <f t="shared" si="5"/>
        <v/>
      </c>
      <c r="M194" s="45" t="str">
        <f t="shared" si="6"/>
        <v/>
      </c>
      <c r="N194" s="45" t="str">
        <f t="shared" si="7"/>
        <v/>
      </c>
      <c r="O194" s="45" t="str">
        <f t="shared" si="8"/>
        <v/>
      </c>
      <c r="P194" s="45" t="str">
        <f t="shared" si="9"/>
        <v/>
      </c>
    </row>
    <row r="195" spans="1:16" ht="18">
      <c r="A195" s="92" t="s">
        <v>4783</v>
      </c>
      <c r="B195" s="345">
        <v>1997</v>
      </c>
      <c r="C195" s="92"/>
      <c r="D195" s="345">
        <v>9249703</v>
      </c>
      <c r="E195" s="278" t="str">
        <f t="shared" si="2"/>
        <v>https://pubmed.ncbi.nlm.nih.gov/?term=9249703</v>
      </c>
      <c r="F195" s="28" t="s">
        <v>511</v>
      </c>
      <c r="G195" s="28" t="s">
        <v>4346</v>
      </c>
      <c r="J195" s="346" t="str">
        <f t="shared" si="3"/>
        <v/>
      </c>
      <c r="K195" s="28" t="str">
        <f t="shared" si="4"/>
        <v/>
      </c>
      <c r="L195" s="45">
        <f t="shared" si="5"/>
        <v>1</v>
      </c>
      <c r="M195" s="45" t="str">
        <f t="shared" si="6"/>
        <v/>
      </c>
      <c r="N195" s="45" t="str">
        <f t="shared" si="7"/>
        <v/>
      </c>
      <c r="O195" s="45" t="str">
        <f t="shared" si="8"/>
        <v/>
      </c>
      <c r="P195" s="45" t="str">
        <f t="shared" si="9"/>
        <v/>
      </c>
    </row>
    <row r="196" spans="1:16" ht="18">
      <c r="A196" s="92" t="s">
        <v>4351</v>
      </c>
      <c r="B196" s="345">
        <v>1996</v>
      </c>
      <c r="C196" s="92"/>
      <c r="D196" s="345">
        <v>8856377</v>
      </c>
      <c r="E196" s="278" t="str">
        <f t="shared" si="2"/>
        <v>https://pubmed.ncbi.nlm.nih.gov/?term=8856377</v>
      </c>
      <c r="H196" s="28" t="s">
        <v>511</v>
      </c>
      <c r="J196" s="346" t="str">
        <f t="shared" si="3"/>
        <v/>
      </c>
      <c r="K196" s="28" t="str">
        <f t="shared" si="4"/>
        <v/>
      </c>
      <c r="L196" s="45" t="str">
        <f t="shared" si="5"/>
        <v/>
      </c>
      <c r="M196" s="45" t="str">
        <f t="shared" si="6"/>
        <v/>
      </c>
      <c r="N196" s="45" t="str">
        <f t="shared" si="7"/>
        <v/>
      </c>
      <c r="O196" s="45" t="str">
        <f t="shared" si="8"/>
        <v/>
      </c>
      <c r="P196" s="45" t="str">
        <f t="shared" si="9"/>
        <v/>
      </c>
    </row>
    <row r="197" spans="1:16" ht="18">
      <c r="A197" s="92" t="s">
        <v>4784</v>
      </c>
      <c r="B197" s="345">
        <v>1994</v>
      </c>
      <c r="C197" s="92"/>
      <c r="D197" s="345">
        <v>7922444</v>
      </c>
      <c r="E197" s="278" t="str">
        <f t="shared" si="2"/>
        <v>https://pubmed.ncbi.nlm.nih.gov/?term=7922444</v>
      </c>
      <c r="F197" s="28" t="s">
        <v>511</v>
      </c>
      <c r="G197" s="28" t="s">
        <v>4592</v>
      </c>
      <c r="J197" s="346">
        <f t="shared" si="3"/>
        <v>1</v>
      </c>
      <c r="K197" s="28" t="str">
        <f t="shared" si="4"/>
        <v/>
      </c>
      <c r="L197" s="45" t="str">
        <f t="shared" si="5"/>
        <v/>
      </c>
      <c r="M197" s="45" t="str">
        <f t="shared" si="6"/>
        <v/>
      </c>
      <c r="N197" s="45" t="str">
        <f t="shared" si="7"/>
        <v/>
      </c>
      <c r="O197" s="45" t="str">
        <f t="shared" si="8"/>
        <v/>
      </c>
      <c r="P197" s="45" t="str">
        <f t="shared" si="9"/>
        <v/>
      </c>
    </row>
    <row r="198" spans="1:16" ht="18">
      <c r="A198" s="92" t="s">
        <v>4367</v>
      </c>
      <c r="B198" s="345">
        <v>1999</v>
      </c>
      <c r="C198" s="92"/>
      <c r="D198" s="345">
        <v>10605976</v>
      </c>
      <c r="E198" s="278" t="str">
        <f t="shared" si="2"/>
        <v>https://pubmed.ncbi.nlm.nih.gov/?term=10605976</v>
      </c>
      <c r="H198" s="28" t="s">
        <v>511</v>
      </c>
      <c r="J198" s="346" t="str">
        <f t="shared" si="3"/>
        <v/>
      </c>
      <c r="K198" s="28" t="str">
        <f t="shared" si="4"/>
        <v/>
      </c>
      <c r="L198" s="45" t="str">
        <f t="shared" si="5"/>
        <v/>
      </c>
      <c r="M198" s="45" t="str">
        <f t="shared" si="6"/>
        <v/>
      </c>
      <c r="N198" s="45" t="str">
        <f t="shared" si="7"/>
        <v/>
      </c>
      <c r="O198" s="45" t="str">
        <f t="shared" si="8"/>
        <v/>
      </c>
      <c r="P198" s="45" t="str">
        <f t="shared" si="9"/>
        <v/>
      </c>
    </row>
    <row r="199" spans="1:16" ht="18">
      <c r="A199" s="92" t="s">
        <v>4785</v>
      </c>
      <c r="B199" s="345">
        <v>1995</v>
      </c>
      <c r="C199" s="92"/>
      <c r="D199" s="345">
        <v>7831815</v>
      </c>
      <c r="E199" s="278" t="str">
        <f t="shared" si="2"/>
        <v>https://pubmed.ncbi.nlm.nih.gov/?term=7831815</v>
      </c>
      <c r="F199" s="28" t="s">
        <v>511</v>
      </c>
      <c r="G199" s="28" t="s">
        <v>4786</v>
      </c>
      <c r="J199" s="346" t="str">
        <f t="shared" si="3"/>
        <v/>
      </c>
      <c r="K199" s="28" t="str">
        <f t="shared" si="4"/>
        <v/>
      </c>
      <c r="L199" s="45" t="str">
        <f t="shared" si="5"/>
        <v/>
      </c>
      <c r="M199" s="45" t="str">
        <f t="shared" si="6"/>
        <v/>
      </c>
      <c r="N199" s="45" t="str">
        <f t="shared" si="7"/>
        <v/>
      </c>
      <c r="O199" s="45">
        <f t="shared" si="8"/>
        <v>1</v>
      </c>
      <c r="P199" s="45" t="str">
        <f t="shared" si="9"/>
        <v/>
      </c>
    </row>
    <row r="200" spans="1:16" ht="18">
      <c r="A200" s="92" t="s">
        <v>4787</v>
      </c>
      <c r="B200" s="345">
        <v>1997</v>
      </c>
      <c r="C200" s="92"/>
      <c r="D200" s="345">
        <v>9191677</v>
      </c>
      <c r="E200" s="278" t="str">
        <f t="shared" si="2"/>
        <v>https://pubmed.ncbi.nlm.nih.gov/?term=9191677</v>
      </c>
      <c r="F200" s="28" t="s">
        <v>511</v>
      </c>
      <c r="G200" s="28" t="s">
        <v>4788</v>
      </c>
      <c r="J200" s="346" t="str">
        <f t="shared" si="3"/>
        <v/>
      </c>
      <c r="K200" s="28" t="str">
        <f t="shared" si="4"/>
        <v/>
      </c>
      <c r="L200" s="45" t="str">
        <f t="shared" si="5"/>
        <v/>
      </c>
      <c r="M200" s="45" t="str">
        <f t="shared" si="6"/>
        <v/>
      </c>
      <c r="N200" s="45">
        <f t="shared" si="7"/>
        <v>1</v>
      </c>
      <c r="O200" s="45" t="str">
        <f t="shared" si="8"/>
        <v/>
      </c>
      <c r="P200" s="45" t="str">
        <f t="shared" si="9"/>
        <v/>
      </c>
    </row>
    <row r="201" spans="1:16" ht="18">
      <c r="A201" s="92" t="s">
        <v>4789</v>
      </c>
      <c r="B201" s="345">
        <v>1998</v>
      </c>
      <c r="C201" s="92"/>
      <c r="D201" s="345">
        <v>9916552</v>
      </c>
      <c r="E201" s="278" t="str">
        <f t="shared" si="2"/>
        <v>https://pubmed.ncbi.nlm.nih.gov/?term=9916552</v>
      </c>
      <c r="F201" s="28" t="s">
        <v>511</v>
      </c>
      <c r="G201" s="28" t="s">
        <v>4346</v>
      </c>
      <c r="J201" s="346" t="str">
        <f t="shared" si="3"/>
        <v/>
      </c>
      <c r="K201" s="28" t="str">
        <f t="shared" si="4"/>
        <v/>
      </c>
      <c r="L201" s="45">
        <f t="shared" si="5"/>
        <v>1</v>
      </c>
      <c r="M201" s="45" t="str">
        <f t="shared" si="6"/>
        <v/>
      </c>
      <c r="N201" s="45" t="str">
        <f t="shared" si="7"/>
        <v/>
      </c>
      <c r="O201" s="45" t="str">
        <f t="shared" si="8"/>
        <v/>
      </c>
      <c r="P201" s="45" t="str">
        <f t="shared" si="9"/>
        <v/>
      </c>
    </row>
    <row r="202" spans="1:16" ht="18">
      <c r="A202" s="92" t="s">
        <v>2021</v>
      </c>
      <c r="B202" s="345">
        <v>1992</v>
      </c>
      <c r="C202" s="92"/>
      <c r="D202" s="345">
        <v>1402032</v>
      </c>
      <c r="E202" s="278" t="str">
        <f t="shared" si="2"/>
        <v>https://pubmed.ncbi.nlm.nih.gov/?term=1402032</v>
      </c>
      <c r="H202" s="28" t="s">
        <v>511</v>
      </c>
      <c r="J202" s="346" t="str">
        <f t="shared" si="3"/>
        <v/>
      </c>
      <c r="K202" s="28" t="str">
        <f t="shared" si="4"/>
        <v/>
      </c>
      <c r="L202" s="45" t="str">
        <f t="shared" si="5"/>
        <v/>
      </c>
      <c r="M202" s="45" t="str">
        <f t="shared" si="6"/>
        <v/>
      </c>
      <c r="N202" s="45" t="str">
        <f t="shared" si="7"/>
        <v/>
      </c>
      <c r="O202" s="45" t="str">
        <f t="shared" si="8"/>
        <v/>
      </c>
      <c r="P202" s="45" t="str">
        <f t="shared" si="9"/>
        <v/>
      </c>
    </row>
    <row r="203" spans="1:16" ht="18">
      <c r="A203" s="92" t="s">
        <v>4790</v>
      </c>
      <c r="B203" s="345">
        <v>1998</v>
      </c>
      <c r="C203" s="92" t="s">
        <v>4791</v>
      </c>
      <c r="D203" s="345">
        <v>9854744</v>
      </c>
      <c r="E203" s="278" t="str">
        <f t="shared" si="2"/>
        <v>https://pubmed.ncbi.nlm.nih.gov/?term=9854744</v>
      </c>
      <c r="F203" s="28" t="s">
        <v>511</v>
      </c>
      <c r="G203" s="28" t="s">
        <v>4792</v>
      </c>
      <c r="J203" s="346" t="str">
        <f t="shared" si="3"/>
        <v/>
      </c>
      <c r="K203" s="28" t="str">
        <f t="shared" si="4"/>
        <v/>
      </c>
      <c r="L203" s="45" t="str">
        <f t="shared" si="5"/>
        <v/>
      </c>
      <c r="M203" s="45" t="str">
        <f t="shared" si="6"/>
        <v/>
      </c>
      <c r="N203" s="45">
        <f t="shared" si="7"/>
        <v>1</v>
      </c>
      <c r="O203" s="45" t="str">
        <f t="shared" si="8"/>
        <v/>
      </c>
      <c r="P203" s="45" t="str">
        <f t="shared" si="9"/>
        <v/>
      </c>
    </row>
    <row r="204" spans="1:16" ht="18">
      <c r="A204" s="92" t="s">
        <v>4793</v>
      </c>
      <c r="B204" s="345">
        <v>1992</v>
      </c>
      <c r="C204" s="92" t="s">
        <v>4794</v>
      </c>
      <c r="D204" s="345">
        <v>1328679</v>
      </c>
      <c r="E204" s="278" t="str">
        <f t="shared" si="2"/>
        <v>https://pubmed.ncbi.nlm.nih.gov/?term=1328679</v>
      </c>
      <c r="F204" s="28" t="s">
        <v>511</v>
      </c>
      <c r="G204" s="28" t="s">
        <v>4795</v>
      </c>
      <c r="J204" s="346" t="str">
        <f t="shared" si="3"/>
        <v/>
      </c>
      <c r="K204" s="28" t="str">
        <f t="shared" si="4"/>
        <v/>
      </c>
      <c r="L204" s="45" t="str">
        <f t="shared" si="5"/>
        <v/>
      </c>
      <c r="M204" s="45" t="str">
        <f t="shared" si="6"/>
        <v/>
      </c>
      <c r="N204" s="45" t="str">
        <f t="shared" si="7"/>
        <v/>
      </c>
      <c r="O204" s="45">
        <f t="shared" si="8"/>
        <v>1</v>
      </c>
      <c r="P204" s="45" t="str">
        <f t="shared" si="9"/>
        <v/>
      </c>
    </row>
    <row r="205" spans="1:16" ht="18">
      <c r="A205" s="92" t="s">
        <v>4796</v>
      </c>
      <c r="B205" s="345">
        <v>2000</v>
      </c>
      <c r="C205" s="92" t="s">
        <v>4797</v>
      </c>
      <c r="D205" s="345">
        <v>10823852</v>
      </c>
      <c r="E205" s="278" t="str">
        <f t="shared" si="2"/>
        <v>https://pubmed.ncbi.nlm.nih.gov/?term=10823852</v>
      </c>
      <c r="F205" s="28" t="s">
        <v>511</v>
      </c>
      <c r="G205" s="28" t="s">
        <v>4346</v>
      </c>
      <c r="J205" s="346" t="str">
        <f t="shared" si="3"/>
        <v/>
      </c>
      <c r="K205" s="28" t="str">
        <f t="shared" si="4"/>
        <v/>
      </c>
      <c r="L205" s="45">
        <f t="shared" si="5"/>
        <v>1</v>
      </c>
      <c r="M205" s="45" t="str">
        <f t="shared" si="6"/>
        <v/>
      </c>
      <c r="N205" s="45" t="str">
        <f t="shared" si="7"/>
        <v/>
      </c>
      <c r="O205" s="45" t="str">
        <f t="shared" si="8"/>
        <v/>
      </c>
      <c r="P205" s="45" t="str">
        <f t="shared" si="9"/>
        <v/>
      </c>
    </row>
    <row r="206" spans="1:16" ht="18">
      <c r="A206" s="92" t="s">
        <v>4798</v>
      </c>
      <c r="B206" s="345">
        <v>1999</v>
      </c>
      <c r="C206" s="92"/>
      <c r="D206" s="345">
        <v>10589798</v>
      </c>
      <c r="E206" s="278" t="str">
        <f t="shared" si="2"/>
        <v>https://pubmed.ncbi.nlm.nih.gov/?term=10589798</v>
      </c>
      <c r="F206" s="28" t="s">
        <v>511</v>
      </c>
      <c r="G206" s="28" t="s">
        <v>4792</v>
      </c>
      <c r="J206" s="346" t="str">
        <f t="shared" si="3"/>
        <v/>
      </c>
      <c r="K206" s="28" t="str">
        <f t="shared" si="4"/>
        <v/>
      </c>
      <c r="L206" s="45" t="str">
        <f t="shared" si="5"/>
        <v/>
      </c>
      <c r="M206" s="45" t="str">
        <f t="shared" si="6"/>
        <v/>
      </c>
      <c r="N206" s="45">
        <f t="shared" si="7"/>
        <v>1</v>
      </c>
      <c r="O206" s="45" t="str">
        <f t="shared" si="8"/>
        <v/>
      </c>
      <c r="P206" s="45" t="str">
        <f t="shared" si="9"/>
        <v/>
      </c>
    </row>
    <row r="207" spans="1:16" ht="18">
      <c r="A207" s="92" t="s">
        <v>4799</v>
      </c>
      <c r="B207" s="345">
        <v>2000</v>
      </c>
      <c r="C207" s="92"/>
      <c r="D207" s="345">
        <v>11190066</v>
      </c>
      <c r="E207" s="278" t="str">
        <f t="shared" si="2"/>
        <v>https://pubmed.ncbi.nlm.nih.gov/?term=11190066</v>
      </c>
      <c r="F207" s="28" t="s">
        <v>511</v>
      </c>
      <c r="G207" s="28" t="s">
        <v>4592</v>
      </c>
      <c r="J207" s="346">
        <f t="shared" si="3"/>
        <v>1</v>
      </c>
      <c r="K207" s="28" t="str">
        <f t="shared" si="4"/>
        <v/>
      </c>
      <c r="L207" s="45" t="str">
        <f t="shared" si="5"/>
        <v/>
      </c>
      <c r="M207" s="45" t="str">
        <f t="shared" si="6"/>
        <v/>
      </c>
      <c r="N207" s="45" t="str">
        <f t="shared" si="7"/>
        <v/>
      </c>
      <c r="O207" s="45" t="str">
        <f t="shared" si="8"/>
        <v/>
      </c>
      <c r="P207" s="45" t="str">
        <f t="shared" si="9"/>
        <v/>
      </c>
    </row>
    <row r="208" spans="1:16" ht="18">
      <c r="A208" s="92" t="s">
        <v>4255</v>
      </c>
      <c r="B208" s="345">
        <v>2000</v>
      </c>
      <c r="C208" s="92"/>
      <c r="D208" s="345">
        <v>10781777</v>
      </c>
      <c r="E208" s="278" t="str">
        <f t="shared" si="2"/>
        <v>https://pubmed.ncbi.nlm.nih.gov/?term=10781777</v>
      </c>
      <c r="H208" s="28" t="s">
        <v>511</v>
      </c>
      <c r="J208" s="346" t="str">
        <f t="shared" si="3"/>
        <v/>
      </c>
      <c r="K208" s="28" t="str">
        <f t="shared" si="4"/>
        <v/>
      </c>
      <c r="L208" s="45" t="str">
        <f t="shared" si="5"/>
        <v/>
      </c>
      <c r="M208" s="45" t="str">
        <f t="shared" si="6"/>
        <v/>
      </c>
      <c r="N208" s="45" t="str">
        <f t="shared" si="7"/>
        <v/>
      </c>
      <c r="O208" s="45" t="str">
        <f t="shared" si="8"/>
        <v/>
      </c>
      <c r="P208" s="45" t="str">
        <f t="shared" si="9"/>
        <v/>
      </c>
    </row>
    <row r="209" spans="1:16" ht="18">
      <c r="A209" s="92" t="s">
        <v>4800</v>
      </c>
      <c r="B209" s="345">
        <v>1996</v>
      </c>
      <c r="C209" s="92"/>
      <c r="D209" s="345">
        <v>8940342</v>
      </c>
      <c r="E209" s="278" t="str">
        <f t="shared" si="2"/>
        <v>https://pubmed.ncbi.nlm.nih.gov/?term=8940342</v>
      </c>
      <c r="F209" s="28" t="s">
        <v>511</v>
      </c>
      <c r="G209" s="28" t="s">
        <v>4801</v>
      </c>
      <c r="J209" s="346" t="str">
        <f t="shared" si="3"/>
        <v/>
      </c>
      <c r="K209" s="28" t="str">
        <f t="shared" si="4"/>
        <v/>
      </c>
      <c r="L209" s="45" t="str">
        <f t="shared" si="5"/>
        <v/>
      </c>
      <c r="M209" s="45" t="str">
        <f t="shared" si="6"/>
        <v/>
      </c>
      <c r="N209" s="45" t="str">
        <f t="shared" si="7"/>
        <v/>
      </c>
      <c r="O209" s="45">
        <f t="shared" si="8"/>
        <v>1</v>
      </c>
      <c r="P209" s="45" t="str">
        <f t="shared" si="9"/>
        <v/>
      </c>
    </row>
    <row r="210" spans="1:16" ht="18">
      <c r="A210" s="92" t="s">
        <v>2463</v>
      </c>
      <c r="B210" s="345">
        <v>1997</v>
      </c>
      <c r="C210" s="92"/>
      <c r="D210" s="345">
        <v>9140895</v>
      </c>
      <c r="E210" s="278" t="str">
        <f t="shared" si="2"/>
        <v>https://pubmed.ncbi.nlm.nih.gov/?term=9140895</v>
      </c>
      <c r="H210" s="28" t="s">
        <v>511</v>
      </c>
      <c r="J210" s="346" t="str">
        <f t="shared" si="3"/>
        <v/>
      </c>
      <c r="K210" s="28" t="str">
        <f t="shared" si="4"/>
        <v/>
      </c>
      <c r="L210" s="45" t="str">
        <f t="shared" si="5"/>
        <v/>
      </c>
      <c r="M210" s="45" t="str">
        <f t="shared" si="6"/>
        <v/>
      </c>
      <c r="N210" s="45" t="str">
        <f t="shared" si="7"/>
        <v/>
      </c>
      <c r="O210" s="45" t="str">
        <f t="shared" si="8"/>
        <v/>
      </c>
      <c r="P210" s="45" t="str">
        <f t="shared" si="9"/>
        <v/>
      </c>
    </row>
    <row r="211" spans="1:16" ht="18">
      <c r="A211" s="92" t="s">
        <v>4371</v>
      </c>
      <c r="B211" s="345">
        <v>2000</v>
      </c>
      <c r="C211" s="92"/>
      <c r="D211" s="345">
        <v>11130213</v>
      </c>
      <c r="E211" s="278" t="str">
        <f t="shared" si="2"/>
        <v>https://pubmed.ncbi.nlm.nih.gov/?term=11130213</v>
      </c>
      <c r="H211" s="28" t="s">
        <v>511</v>
      </c>
      <c r="J211" s="346" t="str">
        <f t="shared" si="3"/>
        <v/>
      </c>
      <c r="K211" s="28" t="str">
        <f t="shared" si="4"/>
        <v/>
      </c>
      <c r="L211" s="45" t="str">
        <f t="shared" si="5"/>
        <v/>
      </c>
      <c r="M211" s="45" t="str">
        <f t="shared" si="6"/>
        <v/>
      </c>
      <c r="N211" s="45" t="str">
        <f t="shared" si="7"/>
        <v/>
      </c>
      <c r="O211" s="45" t="str">
        <f t="shared" si="8"/>
        <v/>
      </c>
      <c r="P211" s="45" t="str">
        <f t="shared" si="9"/>
        <v/>
      </c>
    </row>
    <row r="212" spans="1:16" ht="18">
      <c r="A212" s="92" t="s">
        <v>4802</v>
      </c>
      <c r="B212" s="345">
        <v>1999</v>
      </c>
      <c r="C212" s="92"/>
      <c r="D212" s="345">
        <v>10532139</v>
      </c>
      <c r="E212" s="278" t="str">
        <f t="shared" si="2"/>
        <v>https://pubmed.ncbi.nlm.nih.gov/?term=10532139</v>
      </c>
      <c r="F212" s="28" t="s">
        <v>511</v>
      </c>
      <c r="G212" s="28" t="s">
        <v>4587</v>
      </c>
      <c r="J212" s="346" t="str">
        <f t="shared" si="3"/>
        <v/>
      </c>
      <c r="K212" s="28" t="str">
        <f t="shared" si="4"/>
        <v/>
      </c>
      <c r="L212" s="45" t="str">
        <f t="shared" si="5"/>
        <v/>
      </c>
      <c r="M212" s="45">
        <f t="shared" si="6"/>
        <v>1</v>
      </c>
      <c r="N212" s="45" t="str">
        <f t="shared" si="7"/>
        <v/>
      </c>
      <c r="O212" s="45" t="str">
        <f t="shared" si="8"/>
        <v/>
      </c>
      <c r="P212" s="45" t="str">
        <f t="shared" si="9"/>
        <v/>
      </c>
    </row>
    <row r="213" spans="1:16" ht="18">
      <c r="A213" s="92" t="s">
        <v>2213</v>
      </c>
      <c r="B213" s="345">
        <v>2000</v>
      </c>
      <c r="C213" s="92"/>
      <c r="D213" s="345">
        <v>10608746</v>
      </c>
      <c r="E213" s="278" t="str">
        <f t="shared" si="2"/>
        <v>https://pubmed.ncbi.nlm.nih.gov/?term=10608746</v>
      </c>
      <c r="H213" s="28" t="s">
        <v>511</v>
      </c>
      <c r="J213" s="346" t="str">
        <f t="shared" si="3"/>
        <v/>
      </c>
      <c r="K213" s="28" t="str">
        <f t="shared" si="4"/>
        <v/>
      </c>
      <c r="L213" s="45" t="str">
        <f t="shared" si="5"/>
        <v/>
      </c>
      <c r="M213" s="45" t="str">
        <f t="shared" si="6"/>
        <v/>
      </c>
      <c r="N213" s="45" t="str">
        <f t="shared" si="7"/>
        <v/>
      </c>
      <c r="O213" s="45" t="str">
        <f t="shared" si="8"/>
        <v/>
      </c>
      <c r="P213" s="45" t="str">
        <f t="shared" si="9"/>
        <v/>
      </c>
    </row>
    <row r="214" spans="1:16" ht="18">
      <c r="A214" s="92" t="s">
        <v>4803</v>
      </c>
      <c r="B214" s="345">
        <v>1995</v>
      </c>
      <c r="C214" s="92"/>
      <c r="D214" s="345">
        <v>8591744</v>
      </c>
      <c r="E214" s="278" t="str">
        <f t="shared" si="2"/>
        <v>https://pubmed.ncbi.nlm.nih.gov/?term=8591744</v>
      </c>
      <c r="F214" s="28" t="s">
        <v>511</v>
      </c>
      <c r="G214" s="28" t="s">
        <v>4804</v>
      </c>
      <c r="J214" s="346" t="str">
        <f t="shared" si="3"/>
        <v/>
      </c>
      <c r="K214" s="28" t="str">
        <f t="shared" si="4"/>
        <v/>
      </c>
      <c r="L214" s="45" t="str">
        <f t="shared" si="5"/>
        <v/>
      </c>
      <c r="M214" s="45">
        <f t="shared" si="6"/>
        <v>1</v>
      </c>
      <c r="N214" s="45" t="str">
        <f t="shared" si="7"/>
        <v/>
      </c>
      <c r="O214" s="45" t="str">
        <f t="shared" si="8"/>
        <v/>
      </c>
      <c r="P214" s="45" t="str">
        <f t="shared" si="9"/>
        <v/>
      </c>
    </row>
    <row r="215" spans="1:16" ht="18">
      <c r="A215" s="92" t="s">
        <v>4271</v>
      </c>
      <c r="B215" s="345">
        <v>1999</v>
      </c>
      <c r="C215" s="92" t="s">
        <v>4805</v>
      </c>
      <c r="D215" s="345">
        <v>10390212</v>
      </c>
      <c r="E215" s="278" t="str">
        <f t="shared" si="2"/>
        <v>https://pubmed.ncbi.nlm.nih.gov/?term=10390212</v>
      </c>
      <c r="H215" s="28" t="s">
        <v>511</v>
      </c>
      <c r="J215" s="346" t="str">
        <f t="shared" si="3"/>
        <v/>
      </c>
      <c r="K215" s="28" t="str">
        <f t="shared" si="4"/>
        <v/>
      </c>
      <c r="L215" s="45" t="str">
        <f t="shared" si="5"/>
        <v/>
      </c>
      <c r="M215" s="45" t="str">
        <f t="shared" si="6"/>
        <v/>
      </c>
      <c r="N215" s="45" t="str">
        <f t="shared" si="7"/>
        <v/>
      </c>
      <c r="O215" s="45" t="str">
        <f t="shared" si="8"/>
        <v/>
      </c>
      <c r="P215" s="45" t="str">
        <f t="shared" si="9"/>
        <v/>
      </c>
    </row>
    <row r="216" spans="1:16" ht="18">
      <c r="A216" s="92" t="s">
        <v>4806</v>
      </c>
      <c r="B216" s="345">
        <v>1994</v>
      </c>
      <c r="C216" s="92"/>
      <c r="D216" s="345">
        <v>8046681</v>
      </c>
      <c r="E216" s="278" t="str">
        <f t="shared" si="2"/>
        <v>https://pubmed.ncbi.nlm.nih.gov/?term=8046681</v>
      </c>
      <c r="F216" s="28" t="s">
        <v>511</v>
      </c>
      <c r="G216" s="28" t="s">
        <v>4346</v>
      </c>
      <c r="J216" s="346" t="str">
        <f t="shared" si="3"/>
        <v/>
      </c>
      <c r="K216" s="28" t="str">
        <f t="shared" si="4"/>
        <v/>
      </c>
      <c r="L216" s="45">
        <f t="shared" si="5"/>
        <v>1</v>
      </c>
      <c r="M216" s="45" t="str">
        <f t="shared" si="6"/>
        <v/>
      </c>
      <c r="N216" s="45" t="str">
        <f t="shared" si="7"/>
        <v/>
      </c>
      <c r="O216" s="45" t="str">
        <f t="shared" si="8"/>
        <v/>
      </c>
      <c r="P216" s="45" t="str">
        <f t="shared" si="9"/>
        <v/>
      </c>
    </row>
    <row r="217" spans="1:16" ht="18">
      <c r="A217" s="92" t="s">
        <v>4807</v>
      </c>
      <c r="B217" s="345">
        <v>2000</v>
      </c>
      <c r="C217" s="92"/>
      <c r="D217" s="345">
        <v>11175325</v>
      </c>
      <c r="E217" s="278" t="str">
        <f t="shared" si="2"/>
        <v>https://pubmed.ncbi.nlm.nih.gov/?term=11175325</v>
      </c>
      <c r="F217" s="28" t="s">
        <v>511</v>
      </c>
      <c r="G217" s="28" t="s">
        <v>4346</v>
      </c>
      <c r="J217" s="346" t="str">
        <f t="shared" si="3"/>
        <v/>
      </c>
      <c r="K217" s="28" t="str">
        <f t="shared" si="4"/>
        <v/>
      </c>
      <c r="L217" s="45">
        <f t="shared" si="5"/>
        <v>1</v>
      </c>
      <c r="M217" s="45" t="str">
        <f t="shared" si="6"/>
        <v/>
      </c>
      <c r="N217" s="45" t="str">
        <f t="shared" si="7"/>
        <v/>
      </c>
      <c r="O217" s="45" t="str">
        <f t="shared" si="8"/>
        <v/>
      </c>
      <c r="P217" s="45" t="str">
        <f t="shared" si="9"/>
        <v/>
      </c>
    </row>
    <row r="218" spans="1:16" ht="18">
      <c r="A218" s="92" t="s">
        <v>4808</v>
      </c>
      <c r="B218" s="345">
        <v>1996</v>
      </c>
      <c r="C218" s="92"/>
      <c r="D218" s="345">
        <v>8874304</v>
      </c>
      <c r="E218" s="278" t="str">
        <f t="shared" si="2"/>
        <v>https://pubmed.ncbi.nlm.nih.gov/?term=8874304</v>
      </c>
      <c r="F218" s="28" t="s">
        <v>511</v>
      </c>
      <c r="G218" s="28" t="s">
        <v>4788</v>
      </c>
      <c r="J218" s="346" t="str">
        <f t="shared" si="3"/>
        <v/>
      </c>
      <c r="K218" s="28" t="str">
        <f t="shared" si="4"/>
        <v/>
      </c>
      <c r="L218" s="45" t="str">
        <f t="shared" si="5"/>
        <v/>
      </c>
      <c r="M218" s="45" t="str">
        <f t="shared" si="6"/>
        <v/>
      </c>
      <c r="N218" s="45">
        <f t="shared" si="7"/>
        <v>1</v>
      </c>
      <c r="O218" s="45" t="str">
        <f t="shared" si="8"/>
        <v/>
      </c>
      <c r="P218" s="45" t="str">
        <f t="shared" si="9"/>
        <v/>
      </c>
    </row>
    <row r="219" spans="1:16" ht="18">
      <c r="A219" s="92" t="s">
        <v>1609</v>
      </c>
      <c r="B219" s="345">
        <v>1999</v>
      </c>
      <c r="C219" s="92"/>
      <c r="D219" s="345">
        <v>10204970</v>
      </c>
      <c r="E219" s="278" t="str">
        <f t="shared" si="2"/>
        <v>https://pubmed.ncbi.nlm.nih.gov/?term=10204970</v>
      </c>
      <c r="H219" s="28" t="s">
        <v>511</v>
      </c>
      <c r="J219" s="346" t="str">
        <f t="shared" si="3"/>
        <v/>
      </c>
      <c r="K219" s="28" t="str">
        <f t="shared" si="4"/>
        <v/>
      </c>
      <c r="L219" s="45" t="str">
        <f t="shared" si="5"/>
        <v/>
      </c>
      <c r="M219" s="45" t="str">
        <f t="shared" si="6"/>
        <v/>
      </c>
      <c r="N219" s="45" t="str">
        <f t="shared" si="7"/>
        <v/>
      </c>
      <c r="O219" s="45" t="str">
        <f t="shared" si="8"/>
        <v/>
      </c>
      <c r="P219" s="45" t="str">
        <f t="shared" si="9"/>
        <v/>
      </c>
    </row>
    <row r="220" spans="1:16" ht="18">
      <c r="A220" s="92" t="s">
        <v>4809</v>
      </c>
      <c r="B220" s="345">
        <v>1991</v>
      </c>
      <c r="C220" s="92"/>
      <c r="D220" s="345">
        <v>1885946</v>
      </c>
      <c r="E220" s="278" t="str">
        <f t="shared" si="2"/>
        <v>https://pubmed.ncbi.nlm.nih.gov/?term=1885946</v>
      </c>
      <c r="F220" s="28" t="s">
        <v>511</v>
      </c>
      <c r="G220" s="28" t="s">
        <v>4346</v>
      </c>
      <c r="J220" s="346" t="str">
        <f t="shared" si="3"/>
        <v/>
      </c>
      <c r="K220" s="28" t="str">
        <f t="shared" si="4"/>
        <v/>
      </c>
      <c r="L220" s="45">
        <f t="shared" si="5"/>
        <v>1</v>
      </c>
      <c r="M220" s="45" t="str">
        <f t="shared" si="6"/>
        <v/>
      </c>
      <c r="N220" s="45" t="str">
        <f t="shared" si="7"/>
        <v/>
      </c>
      <c r="O220" s="45" t="str">
        <f t="shared" si="8"/>
        <v/>
      </c>
      <c r="P220" s="45" t="str">
        <f t="shared" si="9"/>
        <v/>
      </c>
    </row>
    <row r="221" spans="1:16" ht="18">
      <c r="A221" s="92" t="s">
        <v>4810</v>
      </c>
      <c r="B221" s="345">
        <v>2000</v>
      </c>
      <c r="C221" s="92"/>
      <c r="D221" s="345">
        <v>10850525</v>
      </c>
      <c r="E221" s="278" t="str">
        <f t="shared" si="2"/>
        <v>https://pubmed.ncbi.nlm.nih.gov/?term=10850525</v>
      </c>
      <c r="F221" s="28" t="s">
        <v>511</v>
      </c>
      <c r="G221" s="28" t="s">
        <v>4811</v>
      </c>
      <c r="J221" s="346" t="str">
        <f t="shared" si="3"/>
        <v/>
      </c>
      <c r="K221" s="28" t="str">
        <f t="shared" si="4"/>
        <v/>
      </c>
      <c r="L221" s="45" t="str">
        <f t="shared" si="5"/>
        <v/>
      </c>
      <c r="M221" s="45" t="str">
        <f t="shared" si="6"/>
        <v/>
      </c>
      <c r="N221" s="45">
        <f t="shared" si="7"/>
        <v>1</v>
      </c>
      <c r="O221" s="45" t="str">
        <f t="shared" si="8"/>
        <v/>
      </c>
      <c r="P221" s="45" t="str">
        <f t="shared" si="9"/>
        <v/>
      </c>
    </row>
    <row r="222" spans="1:16" ht="18">
      <c r="A222" s="92" t="s">
        <v>1538</v>
      </c>
      <c r="B222" s="345">
        <v>1990</v>
      </c>
      <c r="C222" s="92"/>
      <c r="D222" s="345">
        <v>2295861</v>
      </c>
      <c r="E222" s="278" t="str">
        <f t="shared" si="2"/>
        <v>https://pubmed.ncbi.nlm.nih.gov/?term=2295861</v>
      </c>
      <c r="H222" s="28" t="s">
        <v>511</v>
      </c>
      <c r="J222" s="346" t="str">
        <f t="shared" si="3"/>
        <v/>
      </c>
      <c r="K222" s="28" t="str">
        <f t="shared" si="4"/>
        <v/>
      </c>
      <c r="L222" s="45" t="str">
        <f t="shared" si="5"/>
        <v/>
      </c>
      <c r="M222" s="45" t="str">
        <f t="shared" si="6"/>
        <v/>
      </c>
      <c r="N222" s="45" t="str">
        <f t="shared" si="7"/>
        <v/>
      </c>
      <c r="O222" s="45" t="str">
        <f t="shared" si="8"/>
        <v/>
      </c>
      <c r="P222" s="45" t="str">
        <f t="shared" si="9"/>
        <v/>
      </c>
    </row>
    <row r="223" spans="1:16" ht="18">
      <c r="A223" s="92" t="s">
        <v>4812</v>
      </c>
      <c r="B223" s="345">
        <v>1998</v>
      </c>
      <c r="C223" s="92"/>
      <c r="D223" s="345">
        <v>9565411</v>
      </c>
      <c r="E223" s="278" t="str">
        <f t="shared" si="2"/>
        <v>https://pubmed.ncbi.nlm.nih.gov/?term=9565411</v>
      </c>
      <c r="F223" s="28" t="s">
        <v>511</v>
      </c>
      <c r="G223" s="28" t="s">
        <v>4778</v>
      </c>
      <c r="J223" s="346" t="str">
        <f t="shared" si="3"/>
        <v/>
      </c>
      <c r="K223" s="28" t="str">
        <f t="shared" si="4"/>
        <v/>
      </c>
      <c r="L223" s="45" t="str">
        <f t="shared" si="5"/>
        <v/>
      </c>
      <c r="M223" s="45" t="str">
        <f t="shared" si="6"/>
        <v/>
      </c>
      <c r="N223" s="45" t="str">
        <f t="shared" si="7"/>
        <v/>
      </c>
      <c r="O223" s="45">
        <f t="shared" si="8"/>
        <v>1</v>
      </c>
      <c r="P223" s="45" t="str">
        <f t="shared" si="9"/>
        <v/>
      </c>
    </row>
    <row r="224" spans="1:16" ht="18">
      <c r="A224" s="92" t="s">
        <v>4813</v>
      </c>
      <c r="B224" s="345">
        <v>1998</v>
      </c>
      <c r="C224" s="92"/>
      <c r="D224" s="345">
        <v>9544412</v>
      </c>
      <c r="E224" s="278" t="str">
        <f t="shared" si="2"/>
        <v>https://pubmed.ncbi.nlm.nih.gov/?term=9544412</v>
      </c>
      <c r="F224" s="28" t="s">
        <v>511</v>
      </c>
      <c r="G224" s="28" t="s">
        <v>4765</v>
      </c>
      <c r="J224" s="346" t="str">
        <f t="shared" si="3"/>
        <v/>
      </c>
      <c r="K224" s="28" t="str">
        <f t="shared" si="4"/>
        <v/>
      </c>
      <c r="L224" s="45" t="str">
        <f t="shared" si="5"/>
        <v/>
      </c>
      <c r="M224" s="45" t="str">
        <f t="shared" si="6"/>
        <v/>
      </c>
      <c r="N224" s="45" t="str">
        <f t="shared" si="7"/>
        <v/>
      </c>
      <c r="O224" s="45">
        <f t="shared" si="8"/>
        <v>1</v>
      </c>
      <c r="P224" s="45" t="str">
        <f t="shared" si="9"/>
        <v/>
      </c>
    </row>
    <row r="225" spans="1:16" ht="18">
      <c r="A225" s="92" t="s">
        <v>4814</v>
      </c>
      <c r="B225" s="345">
        <v>1997</v>
      </c>
      <c r="C225" s="92"/>
      <c r="D225" s="345">
        <v>9368986</v>
      </c>
      <c r="E225" s="278" t="str">
        <f t="shared" si="2"/>
        <v>https://pubmed.ncbi.nlm.nih.gov/?term=9368986</v>
      </c>
      <c r="F225" s="28" t="s">
        <v>511</v>
      </c>
      <c r="G225" s="28" t="s">
        <v>4592</v>
      </c>
      <c r="J225" s="346">
        <f t="shared" si="3"/>
        <v>1</v>
      </c>
      <c r="K225" s="28" t="str">
        <f t="shared" si="4"/>
        <v/>
      </c>
      <c r="L225" s="45" t="str">
        <f t="shared" si="5"/>
        <v/>
      </c>
      <c r="M225" s="45" t="str">
        <f t="shared" si="6"/>
        <v/>
      </c>
      <c r="N225" s="45" t="str">
        <f t="shared" si="7"/>
        <v/>
      </c>
      <c r="O225" s="45" t="str">
        <f t="shared" si="8"/>
        <v/>
      </c>
      <c r="P225" s="45" t="str">
        <f t="shared" si="9"/>
        <v/>
      </c>
    </row>
    <row r="226" spans="1:16" ht="18">
      <c r="A226" s="92" t="s">
        <v>4815</v>
      </c>
      <c r="B226" s="345">
        <v>1999</v>
      </c>
      <c r="C226" s="92"/>
      <c r="D226" s="345">
        <v>10353352</v>
      </c>
      <c r="E226" s="278" t="str">
        <f t="shared" si="2"/>
        <v>https://pubmed.ncbi.nlm.nih.gov/?term=10353352</v>
      </c>
      <c r="F226" s="28" t="s">
        <v>511</v>
      </c>
      <c r="G226" s="28" t="s">
        <v>4346</v>
      </c>
      <c r="J226" s="346" t="str">
        <f t="shared" si="3"/>
        <v/>
      </c>
      <c r="K226" s="28" t="str">
        <f t="shared" si="4"/>
        <v/>
      </c>
      <c r="L226" s="45">
        <f t="shared" si="5"/>
        <v>1</v>
      </c>
      <c r="M226" s="45" t="str">
        <f t="shared" si="6"/>
        <v/>
      </c>
      <c r="N226" s="45" t="str">
        <f t="shared" si="7"/>
        <v/>
      </c>
      <c r="O226" s="45" t="str">
        <f t="shared" si="8"/>
        <v/>
      </c>
      <c r="P226" s="45" t="str">
        <f t="shared" si="9"/>
        <v/>
      </c>
    </row>
    <row r="227" spans="1:16" ht="18">
      <c r="A227" s="92" t="s">
        <v>4816</v>
      </c>
      <c r="B227" s="345">
        <v>1993</v>
      </c>
      <c r="C227" s="92"/>
      <c r="D227" s="345">
        <v>8433327</v>
      </c>
      <c r="E227" s="278" t="str">
        <f t="shared" si="2"/>
        <v>https://pubmed.ncbi.nlm.nih.gov/?term=8433327</v>
      </c>
      <c r="F227" s="28" t="s">
        <v>511</v>
      </c>
      <c r="G227" s="28" t="s">
        <v>4346</v>
      </c>
      <c r="J227" s="346" t="str">
        <f t="shared" si="3"/>
        <v/>
      </c>
      <c r="K227" s="28" t="str">
        <f t="shared" si="4"/>
        <v/>
      </c>
      <c r="L227" s="45">
        <f t="shared" si="5"/>
        <v>1</v>
      </c>
      <c r="M227" s="45" t="str">
        <f t="shared" si="6"/>
        <v/>
      </c>
      <c r="N227" s="45" t="str">
        <f t="shared" si="7"/>
        <v/>
      </c>
      <c r="O227" s="45" t="str">
        <f t="shared" si="8"/>
        <v/>
      </c>
      <c r="P227" s="45" t="str">
        <f t="shared" si="9"/>
        <v/>
      </c>
    </row>
    <row r="228" spans="1:16" ht="18">
      <c r="A228" s="92" t="s">
        <v>1557</v>
      </c>
      <c r="B228" s="345">
        <v>1990</v>
      </c>
      <c r="C228" s="92"/>
      <c r="D228" s="345">
        <v>2324538</v>
      </c>
      <c r="E228" s="278" t="str">
        <f t="shared" si="2"/>
        <v>https://pubmed.ncbi.nlm.nih.gov/?term=2324538</v>
      </c>
      <c r="H228" s="28" t="s">
        <v>511</v>
      </c>
      <c r="J228" s="346" t="str">
        <f t="shared" si="3"/>
        <v/>
      </c>
      <c r="K228" s="28" t="str">
        <f t="shared" si="4"/>
        <v/>
      </c>
      <c r="L228" s="45" t="str">
        <f t="shared" si="5"/>
        <v/>
      </c>
      <c r="M228" s="45" t="str">
        <f t="shared" si="6"/>
        <v/>
      </c>
      <c r="N228" s="45" t="str">
        <f t="shared" si="7"/>
        <v/>
      </c>
      <c r="O228" s="45" t="str">
        <f t="shared" si="8"/>
        <v/>
      </c>
      <c r="P228" s="45" t="str">
        <f t="shared" si="9"/>
        <v/>
      </c>
    </row>
    <row r="229" spans="1:16" ht="18">
      <c r="A229" s="92" t="s">
        <v>4817</v>
      </c>
      <c r="B229" s="345">
        <v>1998</v>
      </c>
      <c r="C229" s="92"/>
      <c r="D229" s="345">
        <v>9624644</v>
      </c>
      <c r="E229" s="278" t="str">
        <f t="shared" si="2"/>
        <v>https://pubmed.ncbi.nlm.nih.gov/?term=9624644</v>
      </c>
      <c r="F229" s="28" t="s">
        <v>511</v>
      </c>
      <c r="G229" s="28" t="s">
        <v>4346</v>
      </c>
      <c r="J229" s="346" t="str">
        <f t="shared" si="3"/>
        <v/>
      </c>
      <c r="K229" s="28" t="str">
        <f t="shared" si="4"/>
        <v/>
      </c>
      <c r="L229" s="45">
        <f t="shared" si="5"/>
        <v>1</v>
      </c>
      <c r="M229" s="45" t="str">
        <f t="shared" si="6"/>
        <v/>
      </c>
      <c r="N229" s="45" t="str">
        <f t="shared" si="7"/>
        <v/>
      </c>
      <c r="O229" s="45" t="str">
        <f t="shared" si="8"/>
        <v/>
      </c>
      <c r="P229" s="45" t="str">
        <f t="shared" si="9"/>
        <v/>
      </c>
    </row>
    <row r="230" spans="1:16" ht="18">
      <c r="A230" s="92" t="s">
        <v>1835</v>
      </c>
      <c r="B230" s="345">
        <v>1992</v>
      </c>
      <c r="C230" s="92" t="s">
        <v>4818</v>
      </c>
      <c r="D230" s="345">
        <v>1503435</v>
      </c>
      <c r="E230" s="278" t="str">
        <f t="shared" si="2"/>
        <v>https://pubmed.ncbi.nlm.nih.gov/?term=1503435</v>
      </c>
      <c r="H230" s="28" t="s">
        <v>511</v>
      </c>
      <c r="J230" s="346" t="str">
        <f t="shared" si="3"/>
        <v/>
      </c>
      <c r="K230" s="28" t="str">
        <f t="shared" si="4"/>
        <v/>
      </c>
      <c r="L230" s="45" t="str">
        <f t="shared" si="5"/>
        <v/>
      </c>
      <c r="M230" s="45" t="str">
        <f t="shared" si="6"/>
        <v/>
      </c>
      <c r="N230" s="45" t="str">
        <f t="shared" si="7"/>
        <v/>
      </c>
      <c r="O230" s="45" t="str">
        <f t="shared" si="8"/>
        <v/>
      </c>
      <c r="P230" s="45" t="str">
        <f t="shared" si="9"/>
        <v/>
      </c>
    </row>
    <row r="231" spans="1:16" ht="18">
      <c r="A231" s="92" t="s">
        <v>4819</v>
      </c>
      <c r="B231" s="345">
        <v>1998</v>
      </c>
      <c r="C231" s="92" t="s">
        <v>4820</v>
      </c>
      <c r="D231" s="345">
        <v>9525585</v>
      </c>
      <c r="E231" s="278" t="str">
        <f t="shared" si="2"/>
        <v>https://pubmed.ncbi.nlm.nih.gov/?term=9525585</v>
      </c>
      <c r="F231" s="28" t="s">
        <v>511</v>
      </c>
      <c r="G231" s="28" t="s">
        <v>4346</v>
      </c>
      <c r="J231" s="346" t="str">
        <f t="shared" si="3"/>
        <v/>
      </c>
      <c r="K231" s="28" t="str">
        <f t="shared" si="4"/>
        <v/>
      </c>
      <c r="L231" s="45">
        <f t="shared" si="5"/>
        <v>1</v>
      </c>
      <c r="M231" s="45" t="str">
        <f t="shared" si="6"/>
        <v/>
      </c>
      <c r="N231" s="45" t="str">
        <f t="shared" si="7"/>
        <v/>
      </c>
      <c r="O231" s="45" t="str">
        <f t="shared" si="8"/>
        <v/>
      </c>
      <c r="P231" s="45" t="str">
        <f t="shared" si="9"/>
        <v/>
      </c>
    </row>
    <row r="232" spans="1:16" ht="18">
      <c r="A232" s="92" t="s">
        <v>4821</v>
      </c>
      <c r="B232" s="345">
        <v>1999</v>
      </c>
      <c r="C232" s="92"/>
      <c r="D232" s="345">
        <v>10555416</v>
      </c>
      <c r="E232" s="278" t="str">
        <f t="shared" si="2"/>
        <v>https://pubmed.ncbi.nlm.nih.gov/?term=10555416</v>
      </c>
      <c r="F232" s="28" t="s">
        <v>511</v>
      </c>
      <c r="G232" s="28" t="s">
        <v>4592</v>
      </c>
      <c r="J232" s="346">
        <f t="shared" si="3"/>
        <v>1</v>
      </c>
      <c r="K232" s="28" t="str">
        <f t="shared" si="4"/>
        <v/>
      </c>
      <c r="L232" s="45" t="str">
        <f t="shared" si="5"/>
        <v/>
      </c>
      <c r="M232" s="45" t="str">
        <f t="shared" si="6"/>
        <v/>
      </c>
      <c r="N232" s="45" t="str">
        <f t="shared" si="7"/>
        <v/>
      </c>
      <c r="O232" s="45" t="str">
        <f t="shared" si="8"/>
        <v/>
      </c>
      <c r="P232" s="45" t="str">
        <f t="shared" si="9"/>
        <v/>
      </c>
    </row>
    <row r="233" spans="1:16" ht="18">
      <c r="A233" s="92" t="s">
        <v>4822</v>
      </c>
      <c r="B233" s="345">
        <v>1999</v>
      </c>
      <c r="C233" s="92"/>
      <c r="D233" s="345">
        <v>10459535</v>
      </c>
      <c r="E233" s="278" t="str">
        <f t="shared" si="2"/>
        <v>https://pubmed.ncbi.nlm.nih.gov/?term=10459535</v>
      </c>
      <c r="F233" s="28" t="s">
        <v>511</v>
      </c>
      <c r="G233" s="28" t="s">
        <v>4346</v>
      </c>
      <c r="J233" s="346" t="str">
        <f t="shared" si="3"/>
        <v/>
      </c>
      <c r="K233" s="28" t="str">
        <f t="shared" si="4"/>
        <v/>
      </c>
      <c r="L233" s="45">
        <f t="shared" si="5"/>
        <v>1</v>
      </c>
      <c r="M233" s="45" t="str">
        <f t="shared" si="6"/>
        <v/>
      </c>
      <c r="N233" s="45" t="str">
        <f t="shared" si="7"/>
        <v/>
      </c>
      <c r="O233" s="45" t="str">
        <f t="shared" si="8"/>
        <v/>
      </c>
      <c r="P233" s="45" t="str">
        <f t="shared" si="9"/>
        <v/>
      </c>
    </row>
    <row r="234" spans="1:16" ht="18">
      <c r="A234" s="92" t="s">
        <v>4823</v>
      </c>
      <c r="B234" s="345">
        <v>1999</v>
      </c>
      <c r="C234" s="92"/>
      <c r="D234" s="345">
        <v>10194165</v>
      </c>
      <c r="E234" s="278" t="str">
        <f t="shared" si="2"/>
        <v>https://pubmed.ncbi.nlm.nih.gov/?term=10194165</v>
      </c>
      <c r="F234" s="28" t="s">
        <v>511</v>
      </c>
      <c r="G234" s="28" t="s">
        <v>4824</v>
      </c>
      <c r="J234" s="346" t="str">
        <f t="shared" si="3"/>
        <v/>
      </c>
      <c r="K234" s="28" t="str">
        <f t="shared" si="4"/>
        <v/>
      </c>
      <c r="L234" s="45" t="str">
        <f t="shared" si="5"/>
        <v/>
      </c>
      <c r="M234" s="45" t="str">
        <f t="shared" si="6"/>
        <v/>
      </c>
      <c r="N234" s="45" t="str">
        <f t="shared" si="7"/>
        <v/>
      </c>
      <c r="O234" s="45">
        <f t="shared" si="8"/>
        <v>1</v>
      </c>
      <c r="P234" s="45" t="str">
        <f t="shared" si="9"/>
        <v/>
      </c>
    </row>
    <row r="235" spans="1:16" ht="18">
      <c r="A235" s="92" t="s">
        <v>4357</v>
      </c>
      <c r="B235" s="345">
        <v>1999</v>
      </c>
      <c r="C235" s="92"/>
      <c r="D235" s="345">
        <v>10404908</v>
      </c>
      <c r="E235" s="278" t="str">
        <f t="shared" si="2"/>
        <v>https://pubmed.ncbi.nlm.nih.gov/?term=10404908</v>
      </c>
      <c r="H235" s="28" t="s">
        <v>511</v>
      </c>
      <c r="J235" s="346" t="str">
        <f t="shared" si="3"/>
        <v/>
      </c>
      <c r="K235" s="28" t="str">
        <f t="shared" si="4"/>
        <v/>
      </c>
      <c r="L235" s="45" t="str">
        <f t="shared" si="5"/>
        <v/>
      </c>
      <c r="M235" s="45" t="str">
        <f t="shared" si="6"/>
        <v/>
      </c>
      <c r="N235" s="45" t="str">
        <f t="shared" si="7"/>
        <v/>
      </c>
      <c r="O235" s="45" t="str">
        <f t="shared" si="8"/>
        <v/>
      </c>
      <c r="P235" s="45" t="str">
        <f t="shared" si="9"/>
        <v/>
      </c>
    </row>
    <row r="236" spans="1:16" ht="18">
      <c r="A236" s="92" t="s">
        <v>4825</v>
      </c>
      <c r="B236" s="345">
        <v>1997</v>
      </c>
      <c r="C236" s="92"/>
      <c r="D236" s="345">
        <v>9266632</v>
      </c>
      <c r="E236" s="278" t="str">
        <f t="shared" si="2"/>
        <v>https://pubmed.ncbi.nlm.nih.gov/?term=9266632</v>
      </c>
      <c r="F236" s="28" t="s">
        <v>511</v>
      </c>
      <c r="G236" s="28" t="s">
        <v>4592</v>
      </c>
      <c r="J236" s="346">
        <f t="shared" si="3"/>
        <v>1</v>
      </c>
      <c r="K236" s="28" t="str">
        <f t="shared" si="4"/>
        <v/>
      </c>
      <c r="L236" s="45" t="str">
        <f t="shared" si="5"/>
        <v/>
      </c>
      <c r="M236" s="45" t="str">
        <f t="shared" si="6"/>
        <v/>
      </c>
      <c r="N236" s="45" t="str">
        <f t="shared" si="7"/>
        <v/>
      </c>
      <c r="O236" s="45" t="str">
        <f t="shared" si="8"/>
        <v/>
      </c>
      <c r="P236" s="45" t="str">
        <f t="shared" si="9"/>
        <v/>
      </c>
    </row>
    <row r="237" spans="1:16" ht="18">
      <c r="A237" s="92" t="s">
        <v>2371</v>
      </c>
      <c r="B237" s="345">
        <v>1999</v>
      </c>
      <c r="C237" s="92"/>
      <c r="D237" s="345">
        <v>10340366</v>
      </c>
      <c r="E237" s="278" t="str">
        <f t="shared" si="2"/>
        <v>https://pubmed.ncbi.nlm.nih.gov/?term=10340366</v>
      </c>
      <c r="H237" s="28" t="s">
        <v>511</v>
      </c>
      <c r="J237" s="346" t="str">
        <f t="shared" si="3"/>
        <v/>
      </c>
      <c r="K237" s="28" t="str">
        <f t="shared" si="4"/>
        <v/>
      </c>
      <c r="L237" s="45" t="str">
        <f t="shared" si="5"/>
        <v/>
      </c>
      <c r="M237" s="45" t="str">
        <f t="shared" si="6"/>
        <v/>
      </c>
      <c r="N237" s="45" t="str">
        <f t="shared" si="7"/>
        <v/>
      </c>
      <c r="O237" s="45" t="str">
        <f t="shared" si="8"/>
        <v/>
      </c>
      <c r="P237" s="45" t="str">
        <f t="shared" si="9"/>
        <v/>
      </c>
    </row>
    <row r="238" spans="1:16" ht="18">
      <c r="A238" s="92" t="s">
        <v>4826</v>
      </c>
      <c r="B238" s="345">
        <v>1998</v>
      </c>
      <c r="C238" s="92"/>
      <c r="D238" s="345">
        <v>9772318</v>
      </c>
      <c r="E238" s="278" t="str">
        <f t="shared" si="2"/>
        <v>https://pubmed.ncbi.nlm.nih.gov/?term=9772318</v>
      </c>
      <c r="F238" s="28" t="s">
        <v>511</v>
      </c>
      <c r="G238" s="28" t="s">
        <v>4827</v>
      </c>
      <c r="J238" s="346" t="str">
        <f t="shared" si="3"/>
        <v/>
      </c>
      <c r="K238" s="28" t="str">
        <f t="shared" si="4"/>
        <v/>
      </c>
      <c r="L238" s="45" t="str">
        <f t="shared" si="5"/>
        <v/>
      </c>
      <c r="M238" s="45" t="str">
        <f t="shared" si="6"/>
        <v/>
      </c>
      <c r="N238" s="45" t="str">
        <f t="shared" si="7"/>
        <v/>
      </c>
      <c r="O238" s="45">
        <f t="shared" si="8"/>
        <v>1</v>
      </c>
      <c r="P238" s="45" t="str">
        <f t="shared" si="9"/>
        <v/>
      </c>
    </row>
    <row r="239" spans="1:16" ht="18">
      <c r="A239" s="92" t="s">
        <v>4828</v>
      </c>
      <c r="B239" s="345">
        <v>2000</v>
      </c>
      <c r="C239" s="92"/>
      <c r="D239" s="345">
        <v>10932333</v>
      </c>
      <c r="E239" s="278" t="str">
        <f t="shared" si="2"/>
        <v>https://pubmed.ncbi.nlm.nih.gov/?term=10932333</v>
      </c>
      <c r="F239" s="28" t="s">
        <v>511</v>
      </c>
      <c r="G239" s="28" t="s">
        <v>4744</v>
      </c>
      <c r="J239" s="346" t="str">
        <f t="shared" si="3"/>
        <v/>
      </c>
      <c r="K239" s="28" t="str">
        <f t="shared" si="4"/>
        <v/>
      </c>
      <c r="L239" s="45" t="str">
        <f t="shared" si="5"/>
        <v/>
      </c>
      <c r="M239" s="45" t="str">
        <f t="shared" si="6"/>
        <v/>
      </c>
      <c r="N239" s="45">
        <f t="shared" si="7"/>
        <v>1</v>
      </c>
      <c r="O239" s="45" t="str">
        <f t="shared" si="8"/>
        <v/>
      </c>
      <c r="P239" s="45" t="str">
        <f t="shared" si="9"/>
        <v/>
      </c>
    </row>
    <row r="240" spans="1:16" ht="18">
      <c r="A240" s="92" t="s">
        <v>4829</v>
      </c>
      <c r="B240" s="345">
        <v>2000</v>
      </c>
      <c r="C240" s="92"/>
      <c r="D240" s="345">
        <v>10727839</v>
      </c>
      <c r="E240" s="278" t="str">
        <f t="shared" si="2"/>
        <v>https://pubmed.ncbi.nlm.nih.gov/?term=10727839</v>
      </c>
      <c r="F240" s="28" t="s">
        <v>511</v>
      </c>
      <c r="G240" s="28" t="s">
        <v>4346</v>
      </c>
      <c r="J240" s="346" t="str">
        <f t="shared" si="3"/>
        <v/>
      </c>
      <c r="K240" s="28" t="str">
        <f t="shared" si="4"/>
        <v/>
      </c>
      <c r="L240" s="45">
        <f t="shared" si="5"/>
        <v>1</v>
      </c>
      <c r="M240" s="45" t="str">
        <f t="shared" si="6"/>
        <v/>
      </c>
      <c r="N240" s="45" t="str">
        <f t="shared" si="7"/>
        <v/>
      </c>
      <c r="O240" s="45" t="str">
        <f t="shared" si="8"/>
        <v/>
      </c>
      <c r="P240" s="45" t="str">
        <f t="shared" si="9"/>
        <v/>
      </c>
    </row>
    <row r="241" spans="1:16" ht="18">
      <c r="A241" s="92" t="s">
        <v>4830</v>
      </c>
      <c r="B241" s="345">
        <v>1999</v>
      </c>
      <c r="C241" s="92"/>
      <c r="D241" s="345">
        <v>9930873</v>
      </c>
      <c r="E241" s="278" t="str">
        <f t="shared" si="2"/>
        <v>https://pubmed.ncbi.nlm.nih.gov/?term=9930873</v>
      </c>
      <c r="F241" s="28" t="s">
        <v>511</v>
      </c>
      <c r="G241" s="28" t="s">
        <v>4346</v>
      </c>
      <c r="J241" s="346" t="str">
        <f t="shared" si="3"/>
        <v/>
      </c>
      <c r="K241" s="28" t="str">
        <f t="shared" si="4"/>
        <v/>
      </c>
      <c r="L241" s="45">
        <f t="shared" si="5"/>
        <v>1</v>
      </c>
      <c r="M241" s="45" t="str">
        <f t="shared" si="6"/>
        <v/>
      </c>
      <c r="N241" s="45" t="str">
        <f t="shared" si="7"/>
        <v/>
      </c>
      <c r="O241" s="45" t="str">
        <f t="shared" si="8"/>
        <v/>
      </c>
      <c r="P241" s="45" t="str">
        <f t="shared" si="9"/>
        <v/>
      </c>
    </row>
    <row r="242" spans="1:16" ht="18">
      <c r="A242" s="92" t="s">
        <v>2060</v>
      </c>
      <c r="B242" s="345">
        <v>1998</v>
      </c>
      <c r="C242" s="92"/>
      <c r="D242" s="345">
        <v>9728553</v>
      </c>
      <c r="E242" s="278" t="str">
        <f t="shared" si="2"/>
        <v>https://pubmed.ncbi.nlm.nih.gov/?term=9728553</v>
      </c>
      <c r="H242" s="28" t="s">
        <v>511</v>
      </c>
      <c r="J242" s="346" t="str">
        <f t="shared" si="3"/>
        <v/>
      </c>
      <c r="K242" s="28" t="str">
        <f t="shared" si="4"/>
        <v/>
      </c>
      <c r="L242" s="45" t="str">
        <f t="shared" si="5"/>
        <v/>
      </c>
      <c r="M242" s="45" t="str">
        <f t="shared" si="6"/>
        <v/>
      </c>
      <c r="N242" s="45" t="str">
        <f t="shared" si="7"/>
        <v/>
      </c>
      <c r="O242" s="45" t="str">
        <f t="shared" si="8"/>
        <v/>
      </c>
      <c r="P242" s="45" t="str">
        <f t="shared" si="9"/>
        <v/>
      </c>
    </row>
    <row r="243" spans="1:16" ht="18">
      <c r="A243" s="92" t="s">
        <v>4831</v>
      </c>
      <c r="B243" s="345">
        <v>1997</v>
      </c>
      <c r="C243" s="92"/>
      <c r="D243" s="345">
        <v>9207739</v>
      </c>
      <c r="E243" s="278" t="str">
        <f t="shared" si="2"/>
        <v>https://pubmed.ncbi.nlm.nih.gov/?term=9207739</v>
      </c>
      <c r="F243" s="28" t="s">
        <v>511</v>
      </c>
      <c r="G243" s="28" t="s">
        <v>4346</v>
      </c>
      <c r="J243" s="346" t="str">
        <f t="shared" si="3"/>
        <v/>
      </c>
      <c r="K243" s="28" t="str">
        <f t="shared" si="4"/>
        <v/>
      </c>
      <c r="L243" s="45">
        <f t="shared" si="5"/>
        <v>1</v>
      </c>
      <c r="M243" s="45" t="str">
        <f t="shared" si="6"/>
        <v/>
      </c>
      <c r="N243" s="45" t="str">
        <f t="shared" si="7"/>
        <v/>
      </c>
      <c r="O243" s="45" t="str">
        <f t="shared" si="8"/>
        <v/>
      </c>
      <c r="P243" s="45" t="str">
        <f t="shared" si="9"/>
        <v/>
      </c>
    </row>
    <row r="244" spans="1:16" ht="18">
      <c r="A244" s="92" t="s">
        <v>4832</v>
      </c>
      <c r="B244" s="345">
        <v>1993</v>
      </c>
      <c r="C244" s="92"/>
      <c r="D244" s="345">
        <v>8395225</v>
      </c>
      <c r="E244" s="278" t="str">
        <f t="shared" si="2"/>
        <v>https://pubmed.ncbi.nlm.nih.gov/?term=8395225</v>
      </c>
      <c r="F244" s="28" t="s">
        <v>511</v>
      </c>
      <c r="G244" s="28" t="s">
        <v>4346</v>
      </c>
      <c r="J244" s="346" t="str">
        <f t="shared" si="3"/>
        <v/>
      </c>
      <c r="K244" s="28" t="str">
        <f t="shared" si="4"/>
        <v/>
      </c>
      <c r="L244" s="45">
        <f t="shared" si="5"/>
        <v>1</v>
      </c>
      <c r="M244" s="45" t="str">
        <f t="shared" si="6"/>
        <v/>
      </c>
      <c r="N244" s="45" t="str">
        <f t="shared" si="7"/>
        <v/>
      </c>
      <c r="O244" s="45" t="str">
        <f t="shared" si="8"/>
        <v/>
      </c>
      <c r="P244" s="45" t="str">
        <f t="shared" si="9"/>
        <v/>
      </c>
    </row>
    <row r="245" spans="1:16" ht="18">
      <c r="A245" s="92" t="s">
        <v>4833</v>
      </c>
      <c r="B245" s="345">
        <v>2000</v>
      </c>
      <c r="C245" s="92"/>
      <c r="D245" s="345">
        <v>11039151</v>
      </c>
      <c r="E245" s="278" t="str">
        <f t="shared" si="2"/>
        <v>https://pubmed.ncbi.nlm.nih.gov/?term=11039151</v>
      </c>
      <c r="F245" s="28" t="s">
        <v>511</v>
      </c>
      <c r="G245" s="28" t="s">
        <v>4834</v>
      </c>
      <c r="J245" s="346" t="str">
        <f t="shared" si="3"/>
        <v/>
      </c>
      <c r="K245" s="28" t="str">
        <f t="shared" si="4"/>
        <v/>
      </c>
      <c r="L245" s="45" t="str">
        <f t="shared" si="5"/>
        <v/>
      </c>
      <c r="M245" s="45" t="str">
        <f t="shared" si="6"/>
        <v/>
      </c>
      <c r="N245" s="45" t="str">
        <f t="shared" si="7"/>
        <v/>
      </c>
      <c r="O245" s="45">
        <f t="shared" si="8"/>
        <v>1</v>
      </c>
      <c r="P245" s="45" t="str">
        <f t="shared" si="9"/>
        <v/>
      </c>
    </row>
    <row r="246" spans="1:16" ht="18">
      <c r="A246" s="92" t="s">
        <v>4835</v>
      </c>
      <c r="B246" s="345">
        <v>2000</v>
      </c>
      <c r="C246" s="92"/>
      <c r="D246" s="345">
        <v>10930120</v>
      </c>
      <c r="E246" s="278" t="str">
        <f t="shared" si="2"/>
        <v>https://pubmed.ncbi.nlm.nih.gov/?term=10930120</v>
      </c>
      <c r="F246" s="28" t="s">
        <v>511</v>
      </c>
      <c r="G246" s="28" t="s">
        <v>4346</v>
      </c>
      <c r="J246" s="346" t="str">
        <f t="shared" si="3"/>
        <v/>
      </c>
      <c r="K246" s="28" t="str">
        <f t="shared" si="4"/>
        <v/>
      </c>
      <c r="L246" s="45">
        <f t="shared" si="5"/>
        <v>1</v>
      </c>
      <c r="M246" s="45" t="str">
        <f t="shared" si="6"/>
        <v/>
      </c>
      <c r="N246" s="45" t="str">
        <f t="shared" si="7"/>
        <v/>
      </c>
      <c r="O246" s="45" t="str">
        <f t="shared" si="8"/>
        <v/>
      </c>
      <c r="P246" s="45" t="str">
        <f t="shared" si="9"/>
        <v/>
      </c>
    </row>
    <row r="247" spans="1:16" ht="18">
      <c r="A247" s="92" t="s">
        <v>4836</v>
      </c>
      <c r="B247" s="345">
        <v>2000</v>
      </c>
      <c r="C247" s="92"/>
      <c r="D247" s="345">
        <v>10781619</v>
      </c>
      <c r="E247" s="278" t="str">
        <f t="shared" si="2"/>
        <v>https://pubmed.ncbi.nlm.nih.gov/?term=10781619</v>
      </c>
      <c r="F247" s="28" t="s">
        <v>511</v>
      </c>
      <c r="G247" s="28" t="s">
        <v>4837</v>
      </c>
      <c r="J247" s="346" t="str">
        <f t="shared" si="3"/>
        <v/>
      </c>
      <c r="K247" s="28" t="str">
        <f t="shared" si="4"/>
        <v/>
      </c>
      <c r="L247" s="45" t="str">
        <f t="shared" si="5"/>
        <v/>
      </c>
      <c r="M247" s="45" t="str">
        <f t="shared" si="6"/>
        <v/>
      </c>
      <c r="N247" s="45" t="str">
        <f t="shared" si="7"/>
        <v/>
      </c>
      <c r="O247" s="45">
        <f t="shared" si="8"/>
        <v>1</v>
      </c>
      <c r="P247" s="45" t="str">
        <f t="shared" si="9"/>
        <v/>
      </c>
    </row>
    <row r="248" spans="1:16" ht="18">
      <c r="A248" s="92" t="s">
        <v>4838</v>
      </c>
      <c r="B248" s="345">
        <v>1999</v>
      </c>
      <c r="C248" s="92"/>
      <c r="D248" s="345">
        <v>10521733</v>
      </c>
      <c r="E248" s="278" t="str">
        <f t="shared" si="2"/>
        <v>https://pubmed.ncbi.nlm.nih.gov/?term=10521733</v>
      </c>
      <c r="F248" s="28" t="s">
        <v>511</v>
      </c>
      <c r="G248" s="28" t="s">
        <v>4346</v>
      </c>
      <c r="J248" s="346" t="str">
        <f t="shared" si="3"/>
        <v/>
      </c>
      <c r="K248" s="28" t="str">
        <f t="shared" si="4"/>
        <v/>
      </c>
      <c r="L248" s="45">
        <f t="shared" si="5"/>
        <v>1</v>
      </c>
      <c r="M248" s="45" t="str">
        <f t="shared" si="6"/>
        <v/>
      </c>
      <c r="N248" s="45" t="str">
        <f t="shared" si="7"/>
        <v/>
      </c>
      <c r="O248" s="45" t="str">
        <f t="shared" si="8"/>
        <v/>
      </c>
      <c r="P248" s="45" t="str">
        <f t="shared" si="9"/>
        <v/>
      </c>
    </row>
    <row r="249" spans="1:16" ht="18">
      <c r="A249" s="92" t="s">
        <v>4839</v>
      </c>
      <c r="B249" s="345">
        <v>1990</v>
      </c>
      <c r="C249" s="92"/>
      <c r="D249" s="345">
        <v>2336876</v>
      </c>
      <c r="E249" s="278" t="str">
        <f t="shared" si="2"/>
        <v>https://pubmed.ncbi.nlm.nih.gov/?term=2336876</v>
      </c>
      <c r="F249" s="28" t="s">
        <v>511</v>
      </c>
      <c r="G249" s="28" t="s">
        <v>4346</v>
      </c>
      <c r="J249" s="346" t="str">
        <f t="shared" si="3"/>
        <v/>
      </c>
      <c r="K249" s="28" t="str">
        <f t="shared" si="4"/>
        <v/>
      </c>
      <c r="L249" s="45">
        <f t="shared" si="5"/>
        <v>1</v>
      </c>
      <c r="M249" s="45" t="str">
        <f t="shared" si="6"/>
        <v/>
      </c>
      <c r="N249" s="45" t="str">
        <f t="shared" si="7"/>
        <v/>
      </c>
      <c r="O249" s="45" t="str">
        <f t="shared" si="8"/>
        <v/>
      </c>
      <c r="P249" s="45" t="str">
        <f t="shared" si="9"/>
        <v/>
      </c>
    </row>
    <row r="250" spans="1:16" ht="18">
      <c r="A250" s="92" t="s">
        <v>4840</v>
      </c>
      <c r="B250" s="345">
        <v>1999</v>
      </c>
      <c r="C250" s="92" t="s">
        <v>4841</v>
      </c>
      <c r="D250" s="345">
        <v>10103185</v>
      </c>
      <c r="E250" s="278" t="str">
        <f t="shared" si="2"/>
        <v>https://pubmed.ncbi.nlm.nih.gov/?term=10103185</v>
      </c>
      <c r="F250" s="28" t="s">
        <v>511</v>
      </c>
      <c r="G250" s="28" t="s">
        <v>4346</v>
      </c>
      <c r="J250" s="346" t="str">
        <f t="shared" si="3"/>
        <v/>
      </c>
      <c r="K250" s="28" t="str">
        <f t="shared" si="4"/>
        <v/>
      </c>
      <c r="L250" s="45">
        <f t="shared" si="5"/>
        <v>1</v>
      </c>
      <c r="M250" s="45" t="str">
        <f t="shared" si="6"/>
        <v/>
      </c>
      <c r="N250" s="45" t="str">
        <f t="shared" si="7"/>
        <v/>
      </c>
      <c r="O250" s="45" t="str">
        <f t="shared" si="8"/>
        <v/>
      </c>
      <c r="P250" s="45" t="str">
        <f t="shared" si="9"/>
        <v/>
      </c>
    </row>
    <row r="251" spans="1:16" ht="18">
      <c r="A251" s="92" t="s">
        <v>4842</v>
      </c>
      <c r="B251" s="345">
        <v>1996</v>
      </c>
      <c r="C251" s="92" t="s">
        <v>4843</v>
      </c>
      <c r="D251" s="345">
        <v>8982828</v>
      </c>
      <c r="E251" s="278" t="str">
        <f t="shared" si="2"/>
        <v>https://pubmed.ncbi.nlm.nih.gov/?term=8982828</v>
      </c>
      <c r="F251" s="28" t="s">
        <v>511</v>
      </c>
      <c r="G251" s="28" t="s">
        <v>4592</v>
      </c>
      <c r="J251" s="346">
        <f t="shared" si="3"/>
        <v>1</v>
      </c>
      <c r="K251" s="28" t="str">
        <f t="shared" si="4"/>
        <v/>
      </c>
      <c r="L251" s="45" t="str">
        <f t="shared" si="5"/>
        <v/>
      </c>
      <c r="M251" s="45" t="str">
        <f t="shared" si="6"/>
        <v/>
      </c>
      <c r="N251" s="45" t="str">
        <f t="shared" si="7"/>
        <v/>
      </c>
      <c r="O251" s="45" t="str">
        <f t="shared" si="8"/>
        <v/>
      </c>
      <c r="P251" s="45" t="str">
        <f t="shared" si="9"/>
        <v/>
      </c>
    </row>
    <row r="252" spans="1:16" ht="18">
      <c r="A252" s="92" t="s">
        <v>4844</v>
      </c>
      <c r="B252" s="345">
        <v>1992</v>
      </c>
      <c r="C252" s="92"/>
      <c r="D252" s="345">
        <v>1428590</v>
      </c>
      <c r="E252" s="278" t="str">
        <f t="shared" si="2"/>
        <v>https://pubmed.ncbi.nlm.nih.gov/?term=1428590</v>
      </c>
      <c r="F252" s="28" t="s">
        <v>511</v>
      </c>
      <c r="G252" s="28" t="s">
        <v>4845</v>
      </c>
      <c r="J252" s="346" t="str">
        <f t="shared" si="3"/>
        <v/>
      </c>
      <c r="K252" s="28" t="str">
        <f t="shared" si="4"/>
        <v/>
      </c>
      <c r="L252" s="45" t="str">
        <f t="shared" si="5"/>
        <v/>
      </c>
      <c r="M252" s="45" t="str">
        <f t="shared" si="6"/>
        <v/>
      </c>
      <c r="N252" s="45" t="str">
        <f t="shared" si="7"/>
        <v/>
      </c>
      <c r="O252" s="45">
        <f t="shared" si="8"/>
        <v>1</v>
      </c>
      <c r="P252" s="45" t="str">
        <f t="shared" si="9"/>
        <v/>
      </c>
    </row>
    <row r="253" spans="1:16" ht="18">
      <c r="A253" s="92" t="s">
        <v>1835</v>
      </c>
      <c r="B253" s="345">
        <v>1994</v>
      </c>
      <c r="C253" s="92" t="s">
        <v>4846</v>
      </c>
      <c r="D253" s="345">
        <v>8067760</v>
      </c>
      <c r="E253" s="278" t="str">
        <f t="shared" si="2"/>
        <v>https://pubmed.ncbi.nlm.nih.gov/?term=8067760</v>
      </c>
      <c r="H253" s="28" t="s">
        <v>511</v>
      </c>
      <c r="J253" s="346" t="str">
        <f t="shared" si="3"/>
        <v/>
      </c>
      <c r="K253" s="28" t="str">
        <f t="shared" si="4"/>
        <v/>
      </c>
      <c r="L253" s="45" t="str">
        <f t="shared" si="5"/>
        <v/>
      </c>
      <c r="M253" s="45" t="str">
        <f t="shared" si="6"/>
        <v/>
      </c>
      <c r="N253" s="45" t="str">
        <f t="shared" si="7"/>
        <v/>
      </c>
      <c r="O253" s="45" t="str">
        <f t="shared" si="8"/>
        <v/>
      </c>
      <c r="P253" s="45" t="str">
        <f t="shared" si="9"/>
        <v/>
      </c>
    </row>
    <row r="254" spans="1:16" ht="18">
      <c r="A254" s="92" t="s">
        <v>4271</v>
      </c>
      <c r="B254" s="345">
        <v>1999</v>
      </c>
      <c r="C254" s="92"/>
      <c r="D254" s="345">
        <v>12731753</v>
      </c>
      <c r="E254" s="278" t="str">
        <f t="shared" si="2"/>
        <v>https://pubmed.ncbi.nlm.nih.gov/?term=12731753</v>
      </c>
      <c r="H254" s="28" t="s">
        <v>511</v>
      </c>
      <c r="J254" s="346" t="str">
        <f t="shared" si="3"/>
        <v/>
      </c>
      <c r="K254" s="28" t="str">
        <f t="shared" si="4"/>
        <v/>
      </c>
      <c r="L254" s="45" t="str">
        <f t="shared" si="5"/>
        <v/>
      </c>
      <c r="M254" s="45" t="str">
        <f t="shared" si="6"/>
        <v/>
      </c>
      <c r="N254" s="45" t="str">
        <f t="shared" si="7"/>
        <v/>
      </c>
      <c r="O254" s="45" t="str">
        <f t="shared" si="8"/>
        <v/>
      </c>
      <c r="P254" s="45" t="str">
        <f t="shared" si="9"/>
        <v/>
      </c>
    </row>
    <row r="255" spans="1:16" ht="18">
      <c r="A255" s="92" t="s">
        <v>4847</v>
      </c>
      <c r="B255" s="345">
        <v>1997</v>
      </c>
      <c r="C255" s="92"/>
      <c r="D255" s="345">
        <v>9057643</v>
      </c>
      <c r="E255" s="278" t="str">
        <f t="shared" si="2"/>
        <v>https://pubmed.ncbi.nlm.nih.gov/?term=9057643</v>
      </c>
      <c r="F255" s="28" t="s">
        <v>511</v>
      </c>
      <c r="G255" s="28" t="s">
        <v>4848</v>
      </c>
      <c r="J255" s="346" t="str">
        <f t="shared" si="3"/>
        <v/>
      </c>
      <c r="K255" s="28" t="str">
        <f t="shared" si="4"/>
        <v/>
      </c>
      <c r="L255" s="45" t="str">
        <f t="shared" si="5"/>
        <v/>
      </c>
      <c r="M255" s="45" t="str">
        <f t="shared" si="6"/>
        <v/>
      </c>
      <c r="N255" s="45" t="str">
        <f t="shared" si="7"/>
        <v/>
      </c>
      <c r="O255" s="45">
        <f t="shared" si="8"/>
        <v>1</v>
      </c>
      <c r="P255" s="45" t="str">
        <f t="shared" si="9"/>
        <v/>
      </c>
    </row>
    <row r="256" spans="1:16" ht="18">
      <c r="A256" s="92" t="s">
        <v>4849</v>
      </c>
      <c r="B256" s="345">
        <v>1995</v>
      </c>
      <c r="C256" s="92" t="s">
        <v>4850</v>
      </c>
      <c r="D256" s="345">
        <v>7595199</v>
      </c>
      <c r="E256" s="278" t="str">
        <f t="shared" si="2"/>
        <v>https://pubmed.ncbi.nlm.nih.gov/?term=7595199</v>
      </c>
      <c r="F256" s="28" t="s">
        <v>511</v>
      </c>
      <c r="G256" s="28" t="s">
        <v>4346</v>
      </c>
      <c r="J256" s="346" t="str">
        <f t="shared" si="3"/>
        <v/>
      </c>
      <c r="K256" s="28" t="str">
        <f t="shared" si="4"/>
        <v/>
      </c>
      <c r="L256" s="45">
        <f t="shared" si="5"/>
        <v>1</v>
      </c>
      <c r="M256" s="45" t="str">
        <f t="shared" si="6"/>
        <v/>
      </c>
      <c r="N256" s="45" t="str">
        <f t="shared" si="7"/>
        <v/>
      </c>
      <c r="O256" s="45" t="str">
        <f t="shared" si="8"/>
        <v/>
      </c>
      <c r="P256" s="45" t="str">
        <f t="shared" si="9"/>
        <v/>
      </c>
    </row>
    <row r="257" spans="1:16" ht="18">
      <c r="A257" s="92" t="s">
        <v>4851</v>
      </c>
      <c r="B257" s="345">
        <v>1998</v>
      </c>
      <c r="C257" s="92"/>
      <c r="D257" s="345">
        <v>9573735</v>
      </c>
      <c r="E257" s="278" t="str">
        <f t="shared" si="2"/>
        <v>https://pubmed.ncbi.nlm.nih.gov/?term=9573735</v>
      </c>
      <c r="F257" s="28" t="s">
        <v>511</v>
      </c>
      <c r="G257" s="28" t="s">
        <v>4592</v>
      </c>
      <c r="J257" s="346">
        <f t="shared" si="3"/>
        <v>1</v>
      </c>
      <c r="K257" s="28" t="str">
        <f t="shared" si="4"/>
        <v/>
      </c>
      <c r="L257" s="45" t="str">
        <f t="shared" si="5"/>
        <v/>
      </c>
      <c r="M257" s="45" t="str">
        <f t="shared" si="6"/>
        <v/>
      </c>
      <c r="N257" s="45" t="str">
        <f t="shared" si="7"/>
        <v/>
      </c>
      <c r="O257" s="45" t="str">
        <f t="shared" si="8"/>
        <v/>
      </c>
      <c r="P257" s="45" t="str">
        <f t="shared" si="9"/>
        <v/>
      </c>
    </row>
    <row r="258" spans="1:16" ht="18">
      <c r="A258" s="92" t="s">
        <v>4852</v>
      </c>
      <c r="B258" s="345">
        <v>1999</v>
      </c>
      <c r="C258" s="92"/>
      <c r="D258" s="345">
        <v>10480427</v>
      </c>
      <c r="E258" s="278" t="str">
        <f t="shared" si="2"/>
        <v>https://pubmed.ncbi.nlm.nih.gov/?term=10480427</v>
      </c>
      <c r="F258" s="28" t="s">
        <v>511</v>
      </c>
      <c r="G258" s="28" t="s">
        <v>4592</v>
      </c>
      <c r="J258" s="346">
        <f t="shared" si="3"/>
        <v>1</v>
      </c>
      <c r="K258" s="28" t="str">
        <f t="shared" si="4"/>
        <v/>
      </c>
      <c r="L258" s="45" t="str">
        <f t="shared" si="5"/>
        <v/>
      </c>
      <c r="M258" s="45" t="str">
        <f t="shared" si="6"/>
        <v/>
      </c>
      <c r="N258" s="45" t="str">
        <f t="shared" si="7"/>
        <v/>
      </c>
      <c r="O258" s="45" t="str">
        <f t="shared" si="8"/>
        <v/>
      </c>
      <c r="P258" s="45" t="str">
        <f t="shared" si="9"/>
        <v/>
      </c>
    </row>
    <row r="259" spans="1:16" ht="18">
      <c r="A259" s="92" t="s">
        <v>4853</v>
      </c>
      <c r="B259" s="345">
        <v>1998</v>
      </c>
      <c r="C259" s="92"/>
      <c r="D259" s="345">
        <v>10024221</v>
      </c>
      <c r="E259" s="278" t="str">
        <f t="shared" si="2"/>
        <v>https://pubmed.ncbi.nlm.nih.gov/?term=10024221</v>
      </c>
      <c r="F259" s="28" t="s">
        <v>511</v>
      </c>
      <c r="G259" s="28" t="s">
        <v>4346</v>
      </c>
      <c r="J259" s="346" t="str">
        <f t="shared" si="3"/>
        <v/>
      </c>
      <c r="K259" s="28" t="str">
        <f t="shared" si="4"/>
        <v/>
      </c>
      <c r="L259" s="45">
        <f t="shared" si="5"/>
        <v>1</v>
      </c>
      <c r="M259" s="45" t="str">
        <f t="shared" si="6"/>
        <v/>
      </c>
      <c r="N259" s="45" t="str">
        <f t="shared" si="7"/>
        <v/>
      </c>
      <c r="O259" s="45" t="str">
        <f t="shared" si="8"/>
        <v/>
      </c>
      <c r="P259" s="45" t="str">
        <f t="shared" si="9"/>
        <v/>
      </c>
    </row>
    <row r="260" spans="1:16" ht="18">
      <c r="A260" s="92" t="s">
        <v>4854</v>
      </c>
      <c r="B260" s="345">
        <v>1992</v>
      </c>
      <c r="C260" s="92" t="s">
        <v>4855</v>
      </c>
      <c r="D260" s="345">
        <v>1423060</v>
      </c>
      <c r="E260" s="278" t="str">
        <f t="shared" si="2"/>
        <v>https://pubmed.ncbi.nlm.nih.gov/?term=1423060</v>
      </c>
      <c r="F260" s="28" t="s">
        <v>511</v>
      </c>
      <c r="G260" s="28" t="s">
        <v>4346</v>
      </c>
      <c r="J260" s="346" t="str">
        <f t="shared" si="3"/>
        <v/>
      </c>
      <c r="K260" s="28" t="str">
        <f t="shared" si="4"/>
        <v/>
      </c>
      <c r="L260" s="45">
        <f t="shared" si="5"/>
        <v>1</v>
      </c>
      <c r="M260" s="45" t="str">
        <f t="shared" si="6"/>
        <v/>
      </c>
      <c r="N260" s="45" t="str">
        <f t="shared" si="7"/>
        <v/>
      </c>
      <c r="O260" s="45" t="str">
        <f t="shared" si="8"/>
        <v/>
      </c>
      <c r="P260" s="45" t="str">
        <f t="shared" si="9"/>
        <v/>
      </c>
    </row>
    <row r="261" spans="1:16" ht="18">
      <c r="A261" s="92" t="s">
        <v>4856</v>
      </c>
      <c r="B261" s="345">
        <v>1999</v>
      </c>
      <c r="C261" s="92"/>
      <c r="D261" s="345">
        <v>10604749</v>
      </c>
      <c r="E261" s="278" t="str">
        <f t="shared" si="2"/>
        <v>https://pubmed.ncbi.nlm.nih.gov/?term=10604749</v>
      </c>
      <c r="F261" s="28" t="s">
        <v>511</v>
      </c>
      <c r="G261" s="28" t="s">
        <v>4346</v>
      </c>
      <c r="J261" s="346" t="str">
        <f t="shared" si="3"/>
        <v/>
      </c>
      <c r="K261" s="28" t="str">
        <f t="shared" si="4"/>
        <v/>
      </c>
      <c r="L261" s="45">
        <f t="shared" si="5"/>
        <v>1</v>
      </c>
      <c r="M261" s="45" t="str">
        <f t="shared" si="6"/>
        <v/>
      </c>
      <c r="N261" s="45" t="str">
        <f t="shared" si="7"/>
        <v/>
      </c>
      <c r="O261" s="45" t="str">
        <f t="shared" si="8"/>
        <v/>
      </c>
      <c r="P261" s="45" t="str">
        <f t="shared" si="9"/>
        <v/>
      </c>
    </row>
    <row r="262" spans="1:16" ht="18">
      <c r="A262" s="92" t="s">
        <v>4857</v>
      </c>
      <c r="B262" s="345">
        <v>1999</v>
      </c>
      <c r="C262" s="92"/>
      <c r="D262" s="345">
        <v>10458387</v>
      </c>
      <c r="E262" s="278" t="str">
        <f t="shared" si="2"/>
        <v>https://pubmed.ncbi.nlm.nih.gov/?term=10458387</v>
      </c>
      <c r="F262" s="28" t="s">
        <v>511</v>
      </c>
      <c r="G262" s="28" t="s">
        <v>4346</v>
      </c>
      <c r="J262" s="346" t="str">
        <f t="shared" si="3"/>
        <v/>
      </c>
      <c r="K262" s="28" t="str">
        <f t="shared" si="4"/>
        <v/>
      </c>
      <c r="L262" s="45">
        <f t="shared" si="5"/>
        <v>1</v>
      </c>
      <c r="M262" s="45" t="str">
        <f t="shared" si="6"/>
        <v/>
      </c>
      <c r="N262" s="45" t="str">
        <f t="shared" si="7"/>
        <v/>
      </c>
      <c r="O262" s="45" t="str">
        <f t="shared" si="8"/>
        <v/>
      </c>
      <c r="P262" s="45" t="str">
        <f t="shared" si="9"/>
        <v/>
      </c>
    </row>
    <row r="263" spans="1:16" ht="18">
      <c r="A263" s="92" t="s">
        <v>1922</v>
      </c>
      <c r="B263" s="345">
        <v>1990</v>
      </c>
      <c r="C263" s="92"/>
      <c r="D263" s="345">
        <v>2204243</v>
      </c>
      <c r="E263" s="278" t="str">
        <f t="shared" si="2"/>
        <v>https://pubmed.ncbi.nlm.nih.gov/?term=2204243</v>
      </c>
      <c r="H263" s="28" t="s">
        <v>511</v>
      </c>
      <c r="J263" s="346" t="str">
        <f t="shared" si="3"/>
        <v/>
      </c>
      <c r="K263" s="28" t="str">
        <f t="shared" si="4"/>
        <v/>
      </c>
      <c r="L263" s="45" t="str">
        <f t="shared" si="5"/>
        <v/>
      </c>
      <c r="M263" s="45" t="str">
        <f t="shared" si="6"/>
        <v/>
      </c>
      <c r="N263" s="45" t="str">
        <f t="shared" si="7"/>
        <v/>
      </c>
      <c r="O263" s="45" t="str">
        <f t="shared" si="8"/>
        <v/>
      </c>
      <c r="P263" s="45" t="str">
        <f t="shared" si="9"/>
        <v/>
      </c>
    </row>
    <row r="264" spans="1:16" ht="18">
      <c r="A264" s="92" t="s">
        <v>4858</v>
      </c>
      <c r="B264" s="345">
        <v>1997</v>
      </c>
      <c r="C264" s="92"/>
      <c r="D264" s="345">
        <v>9204781</v>
      </c>
      <c r="E264" s="278" t="str">
        <f t="shared" si="2"/>
        <v>https://pubmed.ncbi.nlm.nih.gov/?term=9204781</v>
      </c>
      <c r="F264" s="28" t="s">
        <v>511</v>
      </c>
      <c r="G264" s="28" t="s">
        <v>4592</v>
      </c>
      <c r="J264" s="346">
        <f t="shared" si="3"/>
        <v>1</v>
      </c>
      <c r="K264" s="28" t="str">
        <f t="shared" si="4"/>
        <v/>
      </c>
      <c r="L264" s="45" t="str">
        <f t="shared" si="5"/>
        <v/>
      </c>
      <c r="M264" s="45" t="str">
        <f t="shared" si="6"/>
        <v/>
      </c>
      <c r="N264" s="45" t="str">
        <f t="shared" si="7"/>
        <v/>
      </c>
      <c r="O264" s="45" t="str">
        <f t="shared" si="8"/>
        <v/>
      </c>
      <c r="P264" s="45" t="str">
        <f t="shared" si="9"/>
        <v/>
      </c>
    </row>
    <row r="265" spans="1:16" ht="18">
      <c r="A265" s="92" t="s">
        <v>4859</v>
      </c>
      <c r="B265" s="345">
        <v>1990</v>
      </c>
      <c r="C265" s="92"/>
      <c r="D265" s="345">
        <v>2177742</v>
      </c>
      <c r="E265" s="278" t="str">
        <f t="shared" si="2"/>
        <v>https://pubmed.ncbi.nlm.nih.gov/?term=2177742</v>
      </c>
      <c r="F265" s="28" t="s">
        <v>511</v>
      </c>
      <c r="G265" s="28" t="s">
        <v>4346</v>
      </c>
      <c r="J265" s="346" t="str">
        <f t="shared" si="3"/>
        <v/>
      </c>
      <c r="K265" s="28" t="str">
        <f t="shared" si="4"/>
        <v/>
      </c>
      <c r="L265" s="45">
        <f t="shared" si="5"/>
        <v>1</v>
      </c>
      <c r="M265" s="45" t="str">
        <f t="shared" si="6"/>
        <v/>
      </c>
      <c r="N265" s="45" t="str">
        <f t="shared" si="7"/>
        <v/>
      </c>
      <c r="O265" s="45" t="str">
        <f t="shared" si="8"/>
        <v/>
      </c>
      <c r="P265" s="45" t="str">
        <f t="shared" si="9"/>
        <v/>
      </c>
    </row>
    <row r="266" spans="1:16" ht="18">
      <c r="A266" s="92" t="s">
        <v>4860</v>
      </c>
      <c r="B266" s="345">
        <v>1994</v>
      </c>
      <c r="C266" s="92"/>
      <c r="D266" s="345">
        <v>8179297</v>
      </c>
      <c r="E266" s="278" t="str">
        <f t="shared" si="2"/>
        <v>https://pubmed.ncbi.nlm.nih.gov/?term=8179297</v>
      </c>
      <c r="F266" s="28" t="s">
        <v>511</v>
      </c>
      <c r="G266" s="28" t="s">
        <v>4861</v>
      </c>
      <c r="J266" s="346" t="str">
        <f t="shared" si="3"/>
        <v/>
      </c>
      <c r="K266" s="28" t="str">
        <f t="shared" si="4"/>
        <v/>
      </c>
      <c r="L266" s="45" t="str">
        <f t="shared" si="5"/>
        <v/>
      </c>
      <c r="M266" s="45" t="str">
        <f t="shared" si="6"/>
        <v/>
      </c>
      <c r="N266" s="45" t="str">
        <f t="shared" si="7"/>
        <v/>
      </c>
      <c r="O266" s="45">
        <f t="shared" si="8"/>
        <v>1</v>
      </c>
      <c r="P266" s="45" t="str">
        <f t="shared" si="9"/>
        <v/>
      </c>
    </row>
    <row r="267" spans="1:16" ht="18">
      <c r="A267" s="92" t="s">
        <v>1835</v>
      </c>
      <c r="B267" s="345">
        <v>1997</v>
      </c>
      <c r="C267" s="92"/>
      <c r="D267" s="345">
        <v>9302301</v>
      </c>
      <c r="E267" s="278" t="str">
        <f t="shared" si="2"/>
        <v>https://pubmed.ncbi.nlm.nih.gov/?term=9302301</v>
      </c>
      <c r="H267" s="28" t="s">
        <v>511</v>
      </c>
      <c r="J267" s="346" t="str">
        <f t="shared" si="3"/>
        <v/>
      </c>
      <c r="K267" s="28" t="str">
        <f t="shared" si="4"/>
        <v/>
      </c>
      <c r="L267" s="45" t="str">
        <f t="shared" si="5"/>
        <v/>
      </c>
      <c r="M267" s="45" t="str">
        <f t="shared" si="6"/>
        <v/>
      </c>
      <c r="N267" s="45" t="str">
        <f t="shared" si="7"/>
        <v/>
      </c>
      <c r="O267" s="45" t="str">
        <f t="shared" si="8"/>
        <v/>
      </c>
      <c r="P267" s="45" t="str">
        <f t="shared" si="9"/>
        <v/>
      </c>
    </row>
    <row r="268" spans="1:16" ht="18">
      <c r="A268" s="92" t="s">
        <v>4862</v>
      </c>
      <c r="B268" s="345">
        <v>2000</v>
      </c>
      <c r="C268" s="92"/>
      <c r="D268" s="345">
        <v>11038126</v>
      </c>
      <c r="E268" s="278" t="str">
        <f t="shared" si="2"/>
        <v>https://pubmed.ncbi.nlm.nih.gov/?term=11038126</v>
      </c>
      <c r="F268" s="28" t="s">
        <v>511</v>
      </c>
      <c r="G268" s="28" t="s">
        <v>4346</v>
      </c>
      <c r="J268" s="346" t="str">
        <f t="shared" si="3"/>
        <v/>
      </c>
      <c r="K268" s="28" t="str">
        <f t="shared" si="4"/>
        <v/>
      </c>
      <c r="L268" s="45">
        <f t="shared" si="5"/>
        <v>1</v>
      </c>
      <c r="M268" s="45" t="str">
        <f t="shared" si="6"/>
        <v/>
      </c>
      <c r="N268" s="45" t="str">
        <f t="shared" si="7"/>
        <v/>
      </c>
      <c r="O268" s="45" t="str">
        <f t="shared" si="8"/>
        <v/>
      </c>
      <c r="P268" s="45" t="str">
        <f t="shared" si="9"/>
        <v/>
      </c>
    </row>
    <row r="269" spans="1:16" ht="18">
      <c r="A269" s="92" t="s">
        <v>2481</v>
      </c>
      <c r="B269" s="345">
        <v>1994</v>
      </c>
      <c r="C269" s="92"/>
      <c r="D269" s="345">
        <v>8163832</v>
      </c>
      <c r="E269" s="278" t="str">
        <f t="shared" si="2"/>
        <v>https://pubmed.ncbi.nlm.nih.gov/?term=8163832</v>
      </c>
      <c r="H269" s="28" t="s">
        <v>511</v>
      </c>
      <c r="J269" s="346" t="str">
        <f t="shared" si="3"/>
        <v/>
      </c>
      <c r="K269" s="28" t="str">
        <f t="shared" si="4"/>
        <v/>
      </c>
      <c r="L269" s="45" t="str">
        <f t="shared" si="5"/>
        <v/>
      </c>
      <c r="M269" s="45" t="str">
        <f t="shared" si="6"/>
        <v/>
      </c>
      <c r="N269" s="45" t="str">
        <f t="shared" si="7"/>
        <v/>
      </c>
      <c r="O269" s="45" t="str">
        <f t="shared" si="8"/>
        <v/>
      </c>
      <c r="P269" s="45" t="str">
        <f t="shared" si="9"/>
        <v/>
      </c>
    </row>
    <row r="270" spans="1:16" ht="18">
      <c r="A270" s="92" t="s">
        <v>1654</v>
      </c>
      <c r="B270" s="345">
        <v>1998</v>
      </c>
      <c r="C270" s="92" t="s">
        <v>4863</v>
      </c>
      <c r="D270" s="345">
        <v>9423838</v>
      </c>
      <c r="E270" s="278" t="str">
        <f t="shared" si="2"/>
        <v>https://pubmed.ncbi.nlm.nih.gov/?term=9423838</v>
      </c>
      <c r="H270" s="28" t="s">
        <v>511</v>
      </c>
      <c r="J270" s="346" t="str">
        <f t="shared" si="3"/>
        <v/>
      </c>
      <c r="K270" s="28" t="str">
        <f t="shared" si="4"/>
        <v/>
      </c>
      <c r="L270" s="45" t="str">
        <f t="shared" si="5"/>
        <v/>
      </c>
      <c r="M270" s="45" t="str">
        <f t="shared" si="6"/>
        <v/>
      </c>
      <c r="N270" s="45" t="str">
        <f t="shared" si="7"/>
        <v/>
      </c>
      <c r="O270" s="45" t="str">
        <f t="shared" si="8"/>
        <v/>
      </c>
      <c r="P270" s="45" t="str">
        <f t="shared" si="9"/>
        <v/>
      </c>
    </row>
    <row r="271" spans="1:16" ht="18">
      <c r="A271" s="92" t="s">
        <v>4864</v>
      </c>
      <c r="B271" s="345">
        <v>1991</v>
      </c>
      <c r="C271" s="92"/>
      <c r="D271" s="345">
        <v>1915792</v>
      </c>
      <c r="E271" s="278" t="str">
        <f t="shared" si="2"/>
        <v>https://pubmed.ncbi.nlm.nih.gov/?term=1915792</v>
      </c>
      <c r="F271" s="28" t="s">
        <v>511</v>
      </c>
      <c r="G271" s="28" t="s">
        <v>4346</v>
      </c>
      <c r="J271" s="346" t="str">
        <f t="shared" si="3"/>
        <v/>
      </c>
      <c r="K271" s="28" t="str">
        <f t="shared" si="4"/>
        <v/>
      </c>
      <c r="L271" s="45">
        <f t="shared" si="5"/>
        <v>1</v>
      </c>
      <c r="M271" s="45" t="str">
        <f t="shared" si="6"/>
        <v/>
      </c>
      <c r="N271" s="45" t="str">
        <f t="shared" si="7"/>
        <v/>
      </c>
      <c r="O271" s="45" t="str">
        <f t="shared" si="8"/>
        <v/>
      </c>
      <c r="P271" s="45" t="str">
        <f t="shared" si="9"/>
        <v/>
      </c>
    </row>
    <row r="272" spans="1:16" ht="18">
      <c r="A272" s="92" t="s">
        <v>4385</v>
      </c>
      <c r="B272" s="345">
        <v>1992</v>
      </c>
      <c r="C272" s="92" t="s">
        <v>4865</v>
      </c>
      <c r="D272" s="345">
        <v>1730473</v>
      </c>
      <c r="E272" s="278" t="str">
        <f t="shared" si="2"/>
        <v>https://pubmed.ncbi.nlm.nih.gov/?term=1730473</v>
      </c>
      <c r="F272" s="28" t="s">
        <v>511</v>
      </c>
      <c r="G272" s="28" t="s">
        <v>4346</v>
      </c>
      <c r="J272" s="346" t="str">
        <f t="shared" si="3"/>
        <v/>
      </c>
      <c r="K272" s="28" t="str">
        <f t="shared" si="4"/>
        <v/>
      </c>
      <c r="L272" s="45">
        <f t="shared" si="5"/>
        <v>1</v>
      </c>
      <c r="M272" s="45" t="str">
        <f t="shared" si="6"/>
        <v/>
      </c>
      <c r="N272" s="45" t="str">
        <f t="shared" si="7"/>
        <v/>
      </c>
      <c r="O272" s="45" t="str">
        <f t="shared" si="8"/>
        <v/>
      </c>
      <c r="P272" s="45" t="str">
        <f t="shared" si="9"/>
        <v/>
      </c>
    </row>
    <row r="273" spans="1:16" ht="18">
      <c r="A273" s="92" t="s">
        <v>4866</v>
      </c>
      <c r="B273" s="345">
        <v>1992</v>
      </c>
      <c r="C273" s="92"/>
      <c r="D273" s="345">
        <v>1395658</v>
      </c>
      <c r="E273" s="278" t="str">
        <f t="shared" si="2"/>
        <v>https://pubmed.ncbi.nlm.nih.gov/?term=1395658</v>
      </c>
      <c r="F273" s="28" t="s">
        <v>511</v>
      </c>
      <c r="G273" s="28" t="s">
        <v>4867</v>
      </c>
      <c r="J273" s="346" t="str">
        <f t="shared" si="3"/>
        <v/>
      </c>
      <c r="K273" s="28" t="str">
        <f t="shared" si="4"/>
        <v/>
      </c>
      <c r="L273" s="45" t="str">
        <f t="shared" si="5"/>
        <v/>
      </c>
      <c r="M273" s="45" t="str">
        <f t="shared" si="6"/>
        <v/>
      </c>
      <c r="N273" s="45">
        <f t="shared" si="7"/>
        <v>1</v>
      </c>
      <c r="O273" s="45" t="str">
        <f t="shared" si="8"/>
        <v/>
      </c>
      <c r="P273" s="45" t="str">
        <f t="shared" si="9"/>
        <v/>
      </c>
    </row>
    <row r="274" spans="1:16" ht="18">
      <c r="A274" s="92" t="s">
        <v>4868</v>
      </c>
      <c r="B274" s="345">
        <v>1997</v>
      </c>
      <c r="C274" s="92"/>
      <c r="D274" s="345">
        <v>9098860</v>
      </c>
      <c r="E274" s="278" t="str">
        <f t="shared" si="2"/>
        <v>https://pubmed.ncbi.nlm.nih.gov/?term=9098860</v>
      </c>
      <c r="F274" s="28" t="s">
        <v>511</v>
      </c>
      <c r="G274" s="28" t="s">
        <v>4869</v>
      </c>
      <c r="J274" s="346" t="str">
        <f t="shared" si="3"/>
        <v/>
      </c>
      <c r="K274" s="28" t="str">
        <f t="shared" si="4"/>
        <v/>
      </c>
      <c r="L274" s="45" t="str">
        <f t="shared" si="5"/>
        <v/>
      </c>
      <c r="M274" s="45" t="str">
        <f t="shared" si="6"/>
        <v/>
      </c>
      <c r="N274" s="45" t="str">
        <f t="shared" si="7"/>
        <v/>
      </c>
      <c r="O274" s="45">
        <f t="shared" si="8"/>
        <v>1</v>
      </c>
      <c r="P274" s="45" t="str">
        <f t="shared" si="9"/>
        <v/>
      </c>
    </row>
    <row r="275" spans="1:16" ht="18">
      <c r="A275" s="92" t="s">
        <v>4870</v>
      </c>
      <c r="B275" s="345">
        <v>2000</v>
      </c>
      <c r="C275" s="92"/>
      <c r="D275" s="345">
        <v>10768562</v>
      </c>
      <c r="E275" s="278" t="str">
        <f t="shared" si="2"/>
        <v>https://pubmed.ncbi.nlm.nih.gov/?term=10768562</v>
      </c>
      <c r="F275" s="28" t="s">
        <v>511</v>
      </c>
      <c r="G275" s="28" t="s">
        <v>4871</v>
      </c>
      <c r="J275" s="346" t="str">
        <f t="shared" si="3"/>
        <v/>
      </c>
      <c r="K275" s="28" t="str">
        <f t="shared" si="4"/>
        <v/>
      </c>
      <c r="L275" s="45" t="str">
        <f t="shared" si="5"/>
        <v/>
      </c>
      <c r="M275" s="45" t="str">
        <f t="shared" si="6"/>
        <v/>
      </c>
      <c r="N275" s="45">
        <f t="shared" si="7"/>
        <v>1</v>
      </c>
      <c r="O275" s="45" t="str">
        <f t="shared" si="8"/>
        <v/>
      </c>
      <c r="P275" s="45" t="str">
        <f t="shared" si="9"/>
        <v/>
      </c>
    </row>
    <row r="276" spans="1:16" ht="18">
      <c r="A276" s="92" t="s">
        <v>1775</v>
      </c>
      <c r="B276" s="345">
        <v>1996</v>
      </c>
      <c r="C276" s="92"/>
      <c r="D276" s="345">
        <v>8655877</v>
      </c>
      <c r="E276" s="278" t="str">
        <f t="shared" si="2"/>
        <v>https://pubmed.ncbi.nlm.nih.gov/?term=8655877</v>
      </c>
      <c r="H276" s="28" t="s">
        <v>511</v>
      </c>
      <c r="J276" s="346" t="str">
        <f t="shared" si="3"/>
        <v/>
      </c>
      <c r="K276" s="28" t="str">
        <f t="shared" si="4"/>
        <v/>
      </c>
      <c r="L276" s="45" t="str">
        <f t="shared" si="5"/>
        <v/>
      </c>
      <c r="M276" s="45" t="str">
        <f t="shared" si="6"/>
        <v/>
      </c>
      <c r="N276" s="45" t="str">
        <f t="shared" si="7"/>
        <v/>
      </c>
      <c r="O276" s="45" t="str">
        <f t="shared" si="8"/>
        <v/>
      </c>
      <c r="P276" s="45" t="str">
        <f t="shared" si="9"/>
        <v/>
      </c>
    </row>
    <row r="277" spans="1:16" ht="18">
      <c r="A277" s="92" t="s">
        <v>4872</v>
      </c>
      <c r="B277" s="345">
        <v>2000</v>
      </c>
      <c r="C277" s="92"/>
      <c r="D277" s="345">
        <v>10976979</v>
      </c>
      <c r="E277" s="278" t="str">
        <f t="shared" si="2"/>
        <v>https://pubmed.ncbi.nlm.nih.gov/?term=10976979</v>
      </c>
      <c r="F277" s="28" t="s">
        <v>511</v>
      </c>
      <c r="G277" s="28" t="s">
        <v>4744</v>
      </c>
      <c r="J277" s="346" t="str">
        <f t="shared" si="3"/>
        <v/>
      </c>
      <c r="K277" s="28" t="str">
        <f t="shared" si="4"/>
        <v/>
      </c>
      <c r="L277" s="45" t="str">
        <f t="shared" si="5"/>
        <v/>
      </c>
      <c r="M277" s="45" t="str">
        <f t="shared" si="6"/>
        <v/>
      </c>
      <c r="N277" s="45">
        <f t="shared" si="7"/>
        <v>1</v>
      </c>
      <c r="O277" s="45" t="str">
        <f t="shared" si="8"/>
        <v/>
      </c>
      <c r="P277" s="45" t="str">
        <f t="shared" si="9"/>
        <v/>
      </c>
    </row>
    <row r="278" spans="1:16" ht="18">
      <c r="A278" s="92" t="s">
        <v>4873</v>
      </c>
      <c r="B278" s="345">
        <v>1996</v>
      </c>
      <c r="C278" s="92" t="s">
        <v>4874</v>
      </c>
      <c r="D278" s="345">
        <v>8807062</v>
      </c>
      <c r="E278" s="278" t="str">
        <f t="shared" si="2"/>
        <v>https://pubmed.ncbi.nlm.nih.gov/?term=8807062</v>
      </c>
      <c r="F278" s="28" t="s">
        <v>511</v>
      </c>
      <c r="G278" s="28" t="s">
        <v>4875</v>
      </c>
      <c r="J278" s="346" t="str">
        <f t="shared" si="3"/>
        <v/>
      </c>
      <c r="K278" s="28" t="str">
        <f t="shared" si="4"/>
        <v/>
      </c>
      <c r="L278" s="45" t="str">
        <f t="shared" si="5"/>
        <v/>
      </c>
      <c r="M278" s="45" t="str">
        <f t="shared" si="6"/>
        <v/>
      </c>
      <c r="N278" s="45" t="str">
        <f t="shared" si="7"/>
        <v/>
      </c>
      <c r="O278" s="45">
        <f t="shared" si="8"/>
        <v>1</v>
      </c>
      <c r="P278" s="45" t="str">
        <f t="shared" si="9"/>
        <v/>
      </c>
    </row>
    <row r="279" spans="1:16" ht="18">
      <c r="A279" s="92" t="s">
        <v>4876</v>
      </c>
      <c r="B279" s="345">
        <v>2000</v>
      </c>
      <c r="C279" s="92"/>
      <c r="D279" s="345">
        <v>10877367</v>
      </c>
      <c r="E279" s="278" t="str">
        <f t="shared" si="2"/>
        <v>https://pubmed.ncbi.nlm.nih.gov/?term=10877367</v>
      </c>
      <c r="F279" s="28" t="s">
        <v>511</v>
      </c>
      <c r="G279" s="28" t="s">
        <v>4346</v>
      </c>
      <c r="J279" s="346" t="str">
        <f t="shared" si="3"/>
        <v/>
      </c>
      <c r="K279" s="28" t="str">
        <f t="shared" si="4"/>
        <v/>
      </c>
      <c r="L279" s="45">
        <f t="shared" si="5"/>
        <v>1</v>
      </c>
      <c r="M279" s="45" t="str">
        <f t="shared" si="6"/>
        <v/>
      </c>
      <c r="N279" s="45" t="str">
        <f t="shared" si="7"/>
        <v/>
      </c>
      <c r="O279" s="45" t="str">
        <f t="shared" si="8"/>
        <v/>
      </c>
      <c r="P279" s="45" t="str">
        <f t="shared" si="9"/>
        <v/>
      </c>
    </row>
    <row r="280" spans="1:16" ht="18">
      <c r="A280" s="92" t="s">
        <v>4877</v>
      </c>
      <c r="B280" s="345">
        <v>1999</v>
      </c>
      <c r="C280" s="92"/>
      <c r="D280" s="345">
        <v>10098640</v>
      </c>
      <c r="E280" s="278" t="str">
        <f t="shared" si="2"/>
        <v>https://pubmed.ncbi.nlm.nih.gov/?term=10098640</v>
      </c>
      <c r="F280" s="28" t="s">
        <v>511</v>
      </c>
      <c r="G280" s="28" t="s">
        <v>4346</v>
      </c>
      <c r="J280" s="346" t="str">
        <f t="shared" si="3"/>
        <v/>
      </c>
      <c r="K280" s="28" t="str">
        <f t="shared" si="4"/>
        <v/>
      </c>
      <c r="L280" s="45">
        <f t="shared" si="5"/>
        <v>1</v>
      </c>
      <c r="M280" s="45" t="str">
        <f t="shared" si="6"/>
        <v/>
      </c>
      <c r="N280" s="45" t="str">
        <f t="shared" si="7"/>
        <v/>
      </c>
      <c r="O280" s="45" t="str">
        <f t="shared" si="8"/>
        <v/>
      </c>
      <c r="P280" s="45" t="str">
        <f t="shared" si="9"/>
        <v/>
      </c>
    </row>
    <row r="281" spans="1:16" ht="18">
      <c r="A281" s="92" t="s">
        <v>4840</v>
      </c>
      <c r="B281" s="345">
        <v>1997</v>
      </c>
      <c r="C281" s="92" t="s">
        <v>4878</v>
      </c>
      <c r="D281" s="345">
        <v>8980770</v>
      </c>
      <c r="E281" s="278" t="str">
        <f t="shared" si="2"/>
        <v>https://pubmed.ncbi.nlm.nih.gov/?term=8980770</v>
      </c>
      <c r="F281" s="28" t="s">
        <v>511</v>
      </c>
      <c r="G281" s="28" t="s">
        <v>4346</v>
      </c>
      <c r="J281" s="346" t="str">
        <f t="shared" si="3"/>
        <v/>
      </c>
      <c r="K281" s="28" t="str">
        <f t="shared" si="4"/>
        <v/>
      </c>
      <c r="L281" s="45">
        <f t="shared" si="5"/>
        <v>1</v>
      </c>
      <c r="M281" s="45" t="str">
        <f t="shared" si="6"/>
        <v/>
      </c>
      <c r="N281" s="45" t="str">
        <f t="shared" si="7"/>
        <v/>
      </c>
      <c r="O281" s="45" t="str">
        <f t="shared" si="8"/>
        <v/>
      </c>
      <c r="P281" s="45" t="str">
        <f t="shared" si="9"/>
        <v/>
      </c>
    </row>
    <row r="282" spans="1:16" ht="18">
      <c r="A282" s="92" t="s">
        <v>2446</v>
      </c>
      <c r="B282" s="345">
        <v>1997</v>
      </c>
      <c r="C282" s="92"/>
      <c r="D282" s="345">
        <v>9395349</v>
      </c>
      <c r="E282" s="278" t="str">
        <f t="shared" si="2"/>
        <v>https://pubmed.ncbi.nlm.nih.gov/?term=9395349</v>
      </c>
      <c r="H282" s="28" t="s">
        <v>511</v>
      </c>
      <c r="J282" s="346" t="str">
        <f t="shared" si="3"/>
        <v/>
      </c>
      <c r="K282" s="28" t="str">
        <f t="shared" si="4"/>
        <v/>
      </c>
      <c r="L282" s="45" t="str">
        <f t="shared" si="5"/>
        <v/>
      </c>
      <c r="M282" s="45" t="str">
        <f t="shared" si="6"/>
        <v/>
      </c>
      <c r="N282" s="45" t="str">
        <f t="shared" si="7"/>
        <v/>
      </c>
      <c r="O282" s="45" t="str">
        <f t="shared" si="8"/>
        <v/>
      </c>
      <c r="P282" s="45" t="str">
        <f t="shared" si="9"/>
        <v/>
      </c>
    </row>
    <row r="283" spans="1:16" ht="18">
      <c r="A283" s="92" t="s">
        <v>4879</v>
      </c>
      <c r="B283" s="345">
        <v>1998</v>
      </c>
      <c r="C283" s="92"/>
      <c r="D283" s="345">
        <v>9510221</v>
      </c>
      <c r="E283" s="278" t="str">
        <f t="shared" si="2"/>
        <v>https://pubmed.ncbi.nlm.nih.gov/?term=9510221</v>
      </c>
      <c r="F283" s="28" t="s">
        <v>511</v>
      </c>
      <c r="G283" s="28" t="s">
        <v>4744</v>
      </c>
      <c r="J283" s="346" t="str">
        <f t="shared" si="3"/>
        <v/>
      </c>
      <c r="K283" s="28" t="str">
        <f t="shared" si="4"/>
        <v/>
      </c>
      <c r="L283" s="45" t="str">
        <f t="shared" si="5"/>
        <v/>
      </c>
      <c r="M283" s="45" t="str">
        <f t="shared" si="6"/>
        <v/>
      </c>
      <c r="N283" s="45">
        <f t="shared" si="7"/>
        <v>1</v>
      </c>
      <c r="O283" s="45" t="str">
        <f t="shared" si="8"/>
        <v/>
      </c>
      <c r="P283" s="45" t="str">
        <f t="shared" si="9"/>
        <v/>
      </c>
    </row>
    <row r="284" spans="1:16" ht="18">
      <c r="A284" s="92" t="s">
        <v>1467</v>
      </c>
      <c r="B284" s="345">
        <v>1996</v>
      </c>
      <c r="C284" s="92"/>
      <c r="D284" s="345">
        <v>8849805</v>
      </c>
      <c r="E284" s="278" t="str">
        <f t="shared" si="2"/>
        <v>https://pubmed.ncbi.nlm.nih.gov/?term=8849805</v>
      </c>
      <c r="H284" s="28" t="s">
        <v>511</v>
      </c>
      <c r="J284" s="346" t="str">
        <f t="shared" si="3"/>
        <v/>
      </c>
      <c r="K284" s="28" t="str">
        <f t="shared" si="4"/>
        <v/>
      </c>
      <c r="L284" s="45" t="str">
        <f t="shared" si="5"/>
        <v/>
      </c>
      <c r="M284" s="45" t="str">
        <f t="shared" si="6"/>
        <v/>
      </c>
      <c r="N284" s="45" t="str">
        <f t="shared" si="7"/>
        <v/>
      </c>
      <c r="O284" s="45" t="str">
        <f t="shared" si="8"/>
        <v/>
      </c>
      <c r="P284" s="45" t="str">
        <f t="shared" si="9"/>
        <v/>
      </c>
    </row>
    <row r="285" spans="1:16" ht="18">
      <c r="A285" s="92" t="s">
        <v>4842</v>
      </c>
      <c r="B285" s="345">
        <v>1996</v>
      </c>
      <c r="C285" s="92"/>
      <c r="D285" s="345">
        <v>8739412</v>
      </c>
      <c r="E285" s="278" t="str">
        <f t="shared" si="2"/>
        <v>https://pubmed.ncbi.nlm.nih.gov/?term=8739412</v>
      </c>
      <c r="F285" s="28" t="s">
        <v>511</v>
      </c>
      <c r="G285" s="28" t="s">
        <v>4592</v>
      </c>
      <c r="J285" s="346">
        <f t="shared" si="3"/>
        <v>1</v>
      </c>
      <c r="K285" s="28" t="str">
        <f t="shared" si="4"/>
        <v/>
      </c>
      <c r="L285" s="45" t="str">
        <f t="shared" si="5"/>
        <v/>
      </c>
      <c r="M285" s="45" t="str">
        <f t="shared" si="6"/>
        <v/>
      </c>
      <c r="N285" s="45" t="str">
        <f t="shared" si="7"/>
        <v/>
      </c>
      <c r="O285" s="45" t="str">
        <f t="shared" si="8"/>
        <v/>
      </c>
      <c r="P285" s="45" t="str">
        <f t="shared" si="9"/>
        <v/>
      </c>
    </row>
    <row r="286" spans="1:16" ht="18">
      <c r="A286" s="92" t="s">
        <v>4880</v>
      </c>
      <c r="B286" s="345">
        <v>2000</v>
      </c>
      <c r="C286" s="92"/>
      <c r="D286" s="345">
        <v>10837169</v>
      </c>
      <c r="E286" s="278" t="str">
        <f t="shared" si="2"/>
        <v>https://pubmed.ncbi.nlm.nih.gov/?term=10837169</v>
      </c>
      <c r="F286" s="28" t="s">
        <v>511</v>
      </c>
      <c r="G286" s="28" t="s">
        <v>4881</v>
      </c>
      <c r="J286" s="346" t="str">
        <f t="shared" si="3"/>
        <v/>
      </c>
      <c r="K286" s="28" t="str">
        <f t="shared" si="4"/>
        <v/>
      </c>
      <c r="L286" s="45" t="str">
        <f t="shared" si="5"/>
        <v/>
      </c>
      <c r="M286" s="45" t="str">
        <f t="shared" si="6"/>
        <v/>
      </c>
      <c r="N286" s="45" t="str">
        <f t="shared" si="7"/>
        <v/>
      </c>
      <c r="O286" s="45">
        <f t="shared" si="8"/>
        <v>1</v>
      </c>
      <c r="P286" s="45" t="str">
        <f t="shared" si="9"/>
        <v/>
      </c>
    </row>
    <row r="287" spans="1:16" ht="18">
      <c r="A287" s="92" t="s">
        <v>4882</v>
      </c>
      <c r="B287" s="345">
        <v>1996</v>
      </c>
      <c r="C287" s="92"/>
      <c r="D287" s="345">
        <v>8814072</v>
      </c>
      <c r="E287" s="278" t="str">
        <f t="shared" si="2"/>
        <v>https://pubmed.ncbi.nlm.nih.gov/?term=8814072</v>
      </c>
      <c r="F287" s="28" t="s">
        <v>511</v>
      </c>
      <c r="G287" s="28" t="s">
        <v>4346</v>
      </c>
      <c r="J287" s="346" t="str">
        <f t="shared" si="3"/>
        <v/>
      </c>
      <c r="K287" s="28" t="str">
        <f t="shared" si="4"/>
        <v/>
      </c>
      <c r="L287" s="45">
        <f t="shared" si="5"/>
        <v>1</v>
      </c>
      <c r="M287" s="45" t="str">
        <f t="shared" si="6"/>
        <v/>
      </c>
      <c r="N287" s="45" t="str">
        <f t="shared" si="7"/>
        <v/>
      </c>
      <c r="O287" s="45" t="str">
        <f t="shared" si="8"/>
        <v/>
      </c>
      <c r="P287" s="45" t="str">
        <f t="shared" si="9"/>
        <v/>
      </c>
    </row>
    <row r="288" spans="1:16" ht="18">
      <c r="A288" s="92" t="s">
        <v>4883</v>
      </c>
      <c r="B288" s="345">
        <v>1998</v>
      </c>
      <c r="C288" s="92"/>
      <c r="D288" s="345">
        <v>9556858</v>
      </c>
      <c r="E288" s="278" t="str">
        <f t="shared" si="2"/>
        <v>https://pubmed.ncbi.nlm.nih.gov/?term=9556858</v>
      </c>
      <c r="F288" s="28" t="s">
        <v>511</v>
      </c>
      <c r="G288" s="28" t="s">
        <v>4346</v>
      </c>
      <c r="J288" s="346" t="str">
        <f t="shared" si="3"/>
        <v/>
      </c>
      <c r="K288" s="28" t="str">
        <f t="shared" si="4"/>
        <v/>
      </c>
      <c r="L288" s="45">
        <f t="shared" si="5"/>
        <v>1</v>
      </c>
      <c r="M288" s="45" t="str">
        <f t="shared" si="6"/>
        <v/>
      </c>
      <c r="N288" s="45" t="str">
        <f t="shared" si="7"/>
        <v/>
      </c>
      <c r="O288" s="45" t="str">
        <f t="shared" si="8"/>
        <v/>
      </c>
      <c r="P288" s="45" t="str">
        <f t="shared" si="9"/>
        <v/>
      </c>
    </row>
    <row r="289" spans="1:16" ht="18">
      <c r="A289" s="92" t="s">
        <v>4884</v>
      </c>
      <c r="B289" s="345">
        <v>1993</v>
      </c>
      <c r="C289" s="92"/>
      <c r="D289" s="345">
        <v>8432962</v>
      </c>
      <c r="E289" s="278" t="str">
        <f t="shared" si="2"/>
        <v>https://pubmed.ncbi.nlm.nih.gov/?term=8432962</v>
      </c>
      <c r="F289" s="28" t="s">
        <v>511</v>
      </c>
      <c r="G289" s="28" t="s">
        <v>4885</v>
      </c>
      <c r="J289" s="346" t="str">
        <f t="shared" si="3"/>
        <v/>
      </c>
      <c r="K289" s="28" t="str">
        <f t="shared" si="4"/>
        <v/>
      </c>
      <c r="L289" s="45" t="str">
        <f t="shared" si="5"/>
        <v/>
      </c>
      <c r="M289" s="45" t="str">
        <f t="shared" si="6"/>
        <v/>
      </c>
      <c r="N289" s="45" t="str">
        <f t="shared" si="7"/>
        <v/>
      </c>
      <c r="O289" s="45">
        <f t="shared" si="8"/>
        <v>1</v>
      </c>
      <c r="P289" s="45" t="str">
        <f t="shared" si="9"/>
        <v/>
      </c>
    </row>
    <row r="290" spans="1:16" ht="18">
      <c r="A290" s="92" t="s">
        <v>4886</v>
      </c>
      <c r="B290" s="345">
        <v>1999</v>
      </c>
      <c r="C290" s="92" t="s">
        <v>4887</v>
      </c>
      <c r="D290" s="345">
        <v>10534006</v>
      </c>
      <c r="E290" s="278" t="str">
        <f t="shared" si="2"/>
        <v>https://pubmed.ncbi.nlm.nih.gov/?term=10534006</v>
      </c>
      <c r="F290" s="28" t="s">
        <v>511</v>
      </c>
      <c r="G290" s="28" t="s">
        <v>4346</v>
      </c>
      <c r="J290" s="346" t="str">
        <f t="shared" si="3"/>
        <v/>
      </c>
      <c r="K290" s="28" t="str">
        <f t="shared" si="4"/>
        <v/>
      </c>
      <c r="L290" s="45">
        <f t="shared" si="5"/>
        <v>1</v>
      </c>
      <c r="M290" s="45" t="str">
        <f t="shared" si="6"/>
        <v/>
      </c>
      <c r="N290" s="45" t="str">
        <f t="shared" si="7"/>
        <v/>
      </c>
      <c r="O290" s="45" t="str">
        <f t="shared" si="8"/>
        <v/>
      </c>
      <c r="P290" s="45" t="str">
        <f t="shared" si="9"/>
        <v/>
      </c>
    </row>
    <row r="291" spans="1:16" ht="18">
      <c r="A291" s="92" t="s">
        <v>4888</v>
      </c>
      <c r="B291" s="345">
        <v>1996</v>
      </c>
      <c r="C291" s="92"/>
      <c r="D291" s="345">
        <v>8950424</v>
      </c>
      <c r="E291" s="278" t="str">
        <f t="shared" si="2"/>
        <v>https://pubmed.ncbi.nlm.nih.gov/?term=8950424</v>
      </c>
      <c r="F291" s="28" t="s">
        <v>511</v>
      </c>
      <c r="G291" s="28" t="s">
        <v>4346</v>
      </c>
      <c r="J291" s="346" t="str">
        <f t="shared" si="3"/>
        <v/>
      </c>
      <c r="K291" s="28" t="str">
        <f t="shared" si="4"/>
        <v/>
      </c>
      <c r="L291" s="45">
        <f t="shared" si="5"/>
        <v>1</v>
      </c>
      <c r="M291" s="45" t="str">
        <f t="shared" si="6"/>
        <v/>
      </c>
      <c r="N291" s="45" t="str">
        <f t="shared" si="7"/>
        <v/>
      </c>
      <c r="O291" s="45" t="str">
        <f t="shared" si="8"/>
        <v/>
      </c>
      <c r="P291" s="45" t="str">
        <f t="shared" si="9"/>
        <v/>
      </c>
    </row>
    <row r="292" spans="1:16" ht="18">
      <c r="A292" s="92" t="s">
        <v>4889</v>
      </c>
      <c r="B292" s="345">
        <v>1998</v>
      </c>
      <c r="C292" s="92"/>
      <c r="D292" s="345">
        <v>9855419</v>
      </c>
      <c r="E292" s="278" t="str">
        <f t="shared" si="2"/>
        <v>https://pubmed.ncbi.nlm.nih.gov/?term=9855419</v>
      </c>
      <c r="F292" s="28" t="s">
        <v>511</v>
      </c>
      <c r="G292" s="28" t="s">
        <v>4592</v>
      </c>
      <c r="J292" s="346">
        <f t="shared" si="3"/>
        <v>1</v>
      </c>
      <c r="K292" s="28" t="str">
        <f t="shared" si="4"/>
        <v/>
      </c>
      <c r="L292" s="45" t="str">
        <f t="shared" si="5"/>
        <v/>
      </c>
      <c r="M292" s="45" t="str">
        <f t="shared" si="6"/>
        <v/>
      </c>
      <c r="N292" s="45" t="str">
        <f t="shared" si="7"/>
        <v/>
      </c>
      <c r="O292" s="45" t="str">
        <f t="shared" si="8"/>
        <v/>
      </c>
      <c r="P292" s="45" t="str">
        <f t="shared" si="9"/>
        <v/>
      </c>
    </row>
    <row r="293" spans="1:16" ht="18">
      <c r="A293" s="92" t="s">
        <v>4890</v>
      </c>
      <c r="B293" s="345">
        <v>1999</v>
      </c>
      <c r="C293" s="92"/>
      <c r="D293" s="345">
        <v>9951430</v>
      </c>
      <c r="E293" s="278" t="str">
        <f t="shared" si="2"/>
        <v>https://pubmed.ncbi.nlm.nih.gov/?term=9951430</v>
      </c>
      <c r="F293" s="28" t="s">
        <v>511</v>
      </c>
      <c r="G293" s="28" t="s">
        <v>4875</v>
      </c>
      <c r="J293" s="346" t="str">
        <f t="shared" si="3"/>
        <v/>
      </c>
      <c r="K293" s="28" t="str">
        <f t="shared" si="4"/>
        <v/>
      </c>
      <c r="L293" s="45" t="str">
        <f t="shared" si="5"/>
        <v/>
      </c>
      <c r="M293" s="45" t="str">
        <f t="shared" si="6"/>
        <v/>
      </c>
      <c r="N293" s="45" t="str">
        <f t="shared" si="7"/>
        <v/>
      </c>
      <c r="O293" s="45">
        <f t="shared" si="8"/>
        <v>1</v>
      </c>
      <c r="P293" s="45" t="str">
        <f t="shared" si="9"/>
        <v/>
      </c>
    </row>
    <row r="294" spans="1:16" ht="18">
      <c r="A294" s="92" t="s">
        <v>4891</v>
      </c>
      <c r="B294" s="345">
        <v>1996</v>
      </c>
      <c r="C294" s="92"/>
      <c r="D294" s="345">
        <v>9334450</v>
      </c>
      <c r="E294" s="278" t="str">
        <f t="shared" si="2"/>
        <v>https://pubmed.ncbi.nlm.nih.gov/?term=9334450</v>
      </c>
      <c r="F294" s="28" t="s">
        <v>511</v>
      </c>
      <c r="G294" s="28" t="s">
        <v>4587</v>
      </c>
      <c r="J294" s="346" t="str">
        <f t="shared" si="3"/>
        <v/>
      </c>
      <c r="K294" s="28" t="str">
        <f t="shared" si="4"/>
        <v/>
      </c>
      <c r="L294" s="45" t="str">
        <f t="shared" si="5"/>
        <v/>
      </c>
      <c r="M294" s="45">
        <f t="shared" si="6"/>
        <v>1</v>
      </c>
      <c r="N294" s="45" t="str">
        <f t="shared" si="7"/>
        <v/>
      </c>
      <c r="O294" s="45" t="str">
        <f t="shared" si="8"/>
        <v/>
      </c>
      <c r="P294" s="45" t="str">
        <f t="shared" si="9"/>
        <v/>
      </c>
    </row>
    <row r="295" spans="1:16" ht="18">
      <c r="A295" s="92" t="s">
        <v>4892</v>
      </c>
      <c r="B295" s="345">
        <v>1994</v>
      </c>
      <c r="C295" s="92"/>
      <c r="D295" s="345">
        <v>7610756</v>
      </c>
      <c r="E295" s="278" t="str">
        <f t="shared" si="2"/>
        <v>https://pubmed.ncbi.nlm.nih.gov/?term=7610756</v>
      </c>
      <c r="F295" s="28" t="s">
        <v>511</v>
      </c>
      <c r="G295" s="28" t="s">
        <v>4656</v>
      </c>
      <c r="J295" s="346">
        <f t="shared" si="3"/>
        <v>1</v>
      </c>
      <c r="K295" s="28" t="str">
        <f t="shared" si="4"/>
        <v/>
      </c>
      <c r="L295" s="45" t="str">
        <f t="shared" si="5"/>
        <v/>
      </c>
      <c r="M295" s="45" t="str">
        <f t="shared" si="6"/>
        <v/>
      </c>
      <c r="N295" s="45" t="str">
        <f t="shared" si="7"/>
        <v/>
      </c>
      <c r="O295" s="45" t="str">
        <f t="shared" si="8"/>
        <v/>
      </c>
      <c r="P295" s="45" t="str">
        <f t="shared" si="9"/>
        <v/>
      </c>
    </row>
    <row r="296" spans="1:16" ht="18">
      <c r="A296" s="92" t="s">
        <v>4831</v>
      </c>
      <c r="B296" s="345">
        <v>2000</v>
      </c>
      <c r="C296" s="92"/>
      <c r="D296" s="345">
        <v>10799896</v>
      </c>
      <c r="E296" s="278" t="str">
        <f t="shared" si="2"/>
        <v>https://pubmed.ncbi.nlm.nih.gov/?term=10799896</v>
      </c>
      <c r="F296" s="28" t="s">
        <v>511</v>
      </c>
      <c r="G296" s="28" t="s">
        <v>4346</v>
      </c>
      <c r="J296" s="346" t="str">
        <f t="shared" si="3"/>
        <v/>
      </c>
      <c r="K296" s="28" t="str">
        <f t="shared" si="4"/>
        <v/>
      </c>
      <c r="L296" s="45">
        <f t="shared" si="5"/>
        <v>1</v>
      </c>
      <c r="M296" s="45" t="str">
        <f t="shared" si="6"/>
        <v/>
      </c>
      <c r="N296" s="45" t="str">
        <f t="shared" si="7"/>
        <v/>
      </c>
      <c r="O296" s="45" t="str">
        <f t="shared" si="8"/>
        <v/>
      </c>
      <c r="P296" s="45" t="str">
        <f t="shared" si="9"/>
        <v/>
      </c>
    </row>
    <row r="297" spans="1:16" ht="18">
      <c r="A297" s="92" t="s">
        <v>4646</v>
      </c>
      <c r="B297" s="345">
        <v>1990</v>
      </c>
      <c r="C297" s="92"/>
      <c r="D297" s="345">
        <v>2235209</v>
      </c>
      <c r="E297" s="278" t="str">
        <f t="shared" si="2"/>
        <v>https://pubmed.ncbi.nlm.nih.gov/?term=2235209</v>
      </c>
      <c r="F297" s="28" t="s">
        <v>511</v>
      </c>
      <c r="G297" s="28" t="s">
        <v>4592</v>
      </c>
      <c r="J297" s="346">
        <f t="shared" si="3"/>
        <v>1</v>
      </c>
      <c r="K297" s="28" t="str">
        <f t="shared" si="4"/>
        <v/>
      </c>
      <c r="L297" s="45" t="str">
        <f t="shared" si="5"/>
        <v/>
      </c>
      <c r="M297" s="45" t="str">
        <f t="shared" si="6"/>
        <v/>
      </c>
      <c r="N297" s="45" t="str">
        <f t="shared" si="7"/>
        <v/>
      </c>
      <c r="O297" s="45" t="str">
        <f t="shared" si="8"/>
        <v/>
      </c>
      <c r="P297" s="45" t="str">
        <f t="shared" si="9"/>
        <v/>
      </c>
    </row>
    <row r="298" spans="1:16" ht="18">
      <c r="A298" s="92" t="s">
        <v>1724</v>
      </c>
      <c r="B298" s="345">
        <v>2000</v>
      </c>
      <c r="C298" s="92" t="s">
        <v>4893</v>
      </c>
      <c r="D298" s="345">
        <v>11134688</v>
      </c>
      <c r="E298" s="278" t="str">
        <f t="shared" si="2"/>
        <v>https://pubmed.ncbi.nlm.nih.gov/?term=11134688</v>
      </c>
      <c r="H298" s="28" t="s">
        <v>511</v>
      </c>
      <c r="J298" s="346" t="str">
        <f t="shared" si="3"/>
        <v/>
      </c>
      <c r="K298" s="28" t="str">
        <f t="shared" si="4"/>
        <v/>
      </c>
      <c r="L298" s="45" t="str">
        <f t="shared" si="5"/>
        <v/>
      </c>
      <c r="M298" s="45" t="str">
        <f t="shared" si="6"/>
        <v/>
      </c>
      <c r="N298" s="45" t="str">
        <f t="shared" si="7"/>
        <v/>
      </c>
      <c r="O298" s="45" t="str">
        <f t="shared" si="8"/>
        <v/>
      </c>
      <c r="P298" s="45" t="str">
        <f t="shared" si="9"/>
        <v/>
      </c>
    </row>
    <row r="299" spans="1:16" ht="18">
      <c r="A299" s="92" t="s">
        <v>4894</v>
      </c>
      <c r="B299" s="345">
        <v>1998</v>
      </c>
      <c r="C299" s="92"/>
      <c r="D299" s="345">
        <v>9632915</v>
      </c>
      <c r="E299" s="278" t="str">
        <f t="shared" si="2"/>
        <v>https://pubmed.ncbi.nlm.nih.gov/?term=9632915</v>
      </c>
      <c r="F299" s="28" t="s">
        <v>511</v>
      </c>
      <c r="G299" s="28" t="s">
        <v>4592</v>
      </c>
      <c r="J299" s="346">
        <f t="shared" si="3"/>
        <v>1</v>
      </c>
      <c r="K299" s="28" t="str">
        <f t="shared" si="4"/>
        <v/>
      </c>
      <c r="L299" s="45" t="str">
        <f t="shared" si="5"/>
        <v/>
      </c>
      <c r="M299" s="45" t="str">
        <f t="shared" si="6"/>
        <v/>
      </c>
      <c r="N299" s="45" t="str">
        <f t="shared" si="7"/>
        <v/>
      </c>
      <c r="O299" s="45" t="str">
        <f t="shared" si="8"/>
        <v/>
      </c>
      <c r="P299" s="45" t="str">
        <f t="shared" si="9"/>
        <v/>
      </c>
    </row>
    <row r="300" spans="1:16" ht="18">
      <c r="A300" s="92" t="s">
        <v>2069</v>
      </c>
      <c r="B300" s="345">
        <v>1998</v>
      </c>
      <c r="C300" s="92"/>
      <c r="D300" s="345">
        <v>9726729</v>
      </c>
      <c r="E300" s="278" t="str">
        <f t="shared" si="2"/>
        <v>https://pubmed.ncbi.nlm.nih.gov/?term=9726729</v>
      </c>
      <c r="H300" s="28" t="s">
        <v>511</v>
      </c>
      <c r="J300" s="346" t="str">
        <f t="shared" si="3"/>
        <v/>
      </c>
      <c r="K300" s="28" t="str">
        <f t="shared" si="4"/>
        <v/>
      </c>
      <c r="L300" s="45" t="str">
        <f t="shared" si="5"/>
        <v/>
      </c>
      <c r="M300" s="45" t="str">
        <f t="shared" si="6"/>
        <v/>
      </c>
      <c r="N300" s="45" t="str">
        <f t="shared" si="7"/>
        <v/>
      </c>
      <c r="O300" s="45" t="str">
        <f t="shared" si="8"/>
        <v/>
      </c>
      <c r="P300" s="45" t="str">
        <f t="shared" si="9"/>
        <v/>
      </c>
    </row>
    <row r="301" spans="1:16" ht="18">
      <c r="A301" s="92" t="s">
        <v>4895</v>
      </c>
      <c r="B301" s="345">
        <v>1998</v>
      </c>
      <c r="C301" s="92"/>
      <c r="D301" s="345">
        <v>9524841</v>
      </c>
      <c r="E301" s="278" t="str">
        <f t="shared" si="2"/>
        <v>https://pubmed.ncbi.nlm.nih.gov/?term=9524841</v>
      </c>
      <c r="F301" s="28" t="s">
        <v>511</v>
      </c>
      <c r="G301" s="28" t="s">
        <v>4896</v>
      </c>
      <c r="J301" s="346" t="str">
        <f t="shared" si="3"/>
        <v/>
      </c>
      <c r="K301" s="28" t="str">
        <f t="shared" si="4"/>
        <v/>
      </c>
      <c r="L301" s="45" t="str">
        <f t="shared" si="5"/>
        <v/>
      </c>
      <c r="M301" s="45" t="str">
        <f t="shared" si="6"/>
        <v/>
      </c>
      <c r="N301" s="45" t="str">
        <f t="shared" si="7"/>
        <v/>
      </c>
      <c r="O301" s="45">
        <f t="shared" si="8"/>
        <v>1</v>
      </c>
      <c r="P301" s="45" t="str">
        <f t="shared" si="9"/>
        <v/>
      </c>
    </row>
    <row r="302" spans="1:16" ht="18">
      <c r="A302" s="92" t="s">
        <v>4897</v>
      </c>
      <c r="B302" s="345">
        <v>1999</v>
      </c>
      <c r="C302" s="92"/>
      <c r="D302" s="345">
        <v>10588548</v>
      </c>
      <c r="E302" s="278" t="str">
        <f t="shared" si="2"/>
        <v>https://pubmed.ncbi.nlm.nih.gov/?term=10588548</v>
      </c>
      <c r="F302" s="28" t="s">
        <v>511</v>
      </c>
      <c r="G302" s="28" t="s">
        <v>4898</v>
      </c>
      <c r="J302" s="346" t="str">
        <f t="shared" si="3"/>
        <v/>
      </c>
      <c r="K302" s="28" t="str">
        <f t="shared" si="4"/>
        <v/>
      </c>
      <c r="L302" s="45">
        <f t="shared" si="5"/>
        <v>1</v>
      </c>
      <c r="M302" s="45" t="str">
        <f t="shared" si="6"/>
        <v/>
      </c>
      <c r="N302" s="45" t="str">
        <f t="shared" si="7"/>
        <v/>
      </c>
      <c r="O302" s="45" t="str">
        <f t="shared" si="8"/>
        <v/>
      </c>
      <c r="P302" s="45" t="str">
        <f t="shared" si="9"/>
        <v/>
      </c>
    </row>
    <row r="303" spans="1:16" ht="18">
      <c r="A303" s="92" t="s">
        <v>4899</v>
      </c>
      <c r="B303" s="345">
        <v>1998</v>
      </c>
      <c r="C303" s="92"/>
      <c r="D303" s="345">
        <v>9533898</v>
      </c>
      <c r="E303" s="278" t="str">
        <f t="shared" si="2"/>
        <v>https://pubmed.ncbi.nlm.nih.gov/?term=9533898</v>
      </c>
      <c r="F303" s="28" t="s">
        <v>511</v>
      </c>
      <c r="G303" s="28" t="s">
        <v>4346</v>
      </c>
      <c r="J303" s="346" t="str">
        <f t="shared" si="3"/>
        <v/>
      </c>
      <c r="K303" s="28" t="str">
        <f t="shared" si="4"/>
        <v/>
      </c>
      <c r="L303" s="45">
        <f t="shared" si="5"/>
        <v>1</v>
      </c>
      <c r="M303" s="45" t="str">
        <f t="shared" si="6"/>
        <v/>
      </c>
      <c r="N303" s="45" t="str">
        <f t="shared" si="7"/>
        <v/>
      </c>
      <c r="O303" s="45" t="str">
        <f t="shared" si="8"/>
        <v/>
      </c>
      <c r="P303" s="45" t="str">
        <f t="shared" si="9"/>
        <v/>
      </c>
    </row>
    <row r="304" spans="1:16" ht="18">
      <c r="A304" s="92" t="s">
        <v>4900</v>
      </c>
      <c r="B304" s="345">
        <v>1999</v>
      </c>
      <c r="C304" s="92"/>
      <c r="D304" s="345">
        <v>10901853</v>
      </c>
      <c r="E304" s="278" t="str">
        <f t="shared" si="2"/>
        <v>https://pubmed.ncbi.nlm.nih.gov/?term=10901853</v>
      </c>
      <c r="F304" s="28" t="s">
        <v>511</v>
      </c>
      <c r="G304" s="28" t="s">
        <v>4592</v>
      </c>
      <c r="J304" s="346">
        <f t="shared" si="3"/>
        <v>1</v>
      </c>
      <c r="K304" s="28" t="str">
        <f t="shared" si="4"/>
        <v/>
      </c>
      <c r="L304" s="45" t="str">
        <f t="shared" si="5"/>
        <v/>
      </c>
      <c r="M304" s="45" t="str">
        <f t="shared" si="6"/>
        <v/>
      </c>
      <c r="N304" s="45" t="str">
        <f t="shared" si="7"/>
        <v/>
      </c>
      <c r="O304" s="45" t="str">
        <f t="shared" si="8"/>
        <v/>
      </c>
      <c r="P304" s="45" t="str">
        <f t="shared" si="9"/>
        <v/>
      </c>
    </row>
    <row r="305" spans="1:16" ht="18">
      <c r="A305" s="92" t="s">
        <v>4901</v>
      </c>
      <c r="B305" s="345">
        <v>2000</v>
      </c>
      <c r="C305" s="92"/>
      <c r="D305" s="345">
        <v>10736672</v>
      </c>
      <c r="E305" s="278" t="str">
        <f t="shared" si="2"/>
        <v>https://pubmed.ncbi.nlm.nih.gov/?term=10736672</v>
      </c>
      <c r="F305" s="28" t="s">
        <v>511</v>
      </c>
      <c r="G305" s="28" t="s">
        <v>4346</v>
      </c>
      <c r="J305" s="346" t="str">
        <f t="shared" si="3"/>
        <v/>
      </c>
      <c r="K305" s="28" t="str">
        <f t="shared" si="4"/>
        <v/>
      </c>
      <c r="L305" s="45">
        <f t="shared" si="5"/>
        <v>1</v>
      </c>
      <c r="M305" s="45" t="str">
        <f t="shared" si="6"/>
        <v/>
      </c>
      <c r="N305" s="45" t="str">
        <f t="shared" si="7"/>
        <v/>
      </c>
      <c r="O305" s="45" t="str">
        <f t="shared" si="8"/>
        <v/>
      </c>
      <c r="P305" s="45" t="str">
        <f t="shared" si="9"/>
        <v/>
      </c>
    </row>
    <row r="306" spans="1:16" ht="18">
      <c r="A306" s="92" t="s">
        <v>4902</v>
      </c>
      <c r="B306" s="345">
        <v>1999</v>
      </c>
      <c r="C306" s="92"/>
      <c r="D306" s="345">
        <v>10446866</v>
      </c>
      <c r="E306" s="278" t="str">
        <f t="shared" si="2"/>
        <v>https://pubmed.ncbi.nlm.nih.gov/?term=10446866</v>
      </c>
      <c r="F306" s="28" t="s">
        <v>511</v>
      </c>
      <c r="G306" s="28" t="s">
        <v>4346</v>
      </c>
      <c r="J306" s="346" t="str">
        <f t="shared" si="3"/>
        <v/>
      </c>
      <c r="K306" s="28" t="str">
        <f t="shared" si="4"/>
        <v/>
      </c>
      <c r="L306" s="45">
        <f t="shared" si="5"/>
        <v>1</v>
      </c>
      <c r="M306" s="45" t="str">
        <f t="shared" si="6"/>
        <v/>
      </c>
      <c r="N306" s="45" t="str">
        <f t="shared" si="7"/>
        <v/>
      </c>
      <c r="O306" s="45" t="str">
        <f t="shared" si="8"/>
        <v/>
      </c>
      <c r="P306" s="45" t="str">
        <f t="shared" si="9"/>
        <v/>
      </c>
    </row>
    <row r="307" spans="1:16" ht="18">
      <c r="A307" s="92" t="s">
        <v>4903</v>
      </c>
      <c r="B307" s="345">
        <v>1996</v>
      </c>
      <c r="C307" s="92"/>
      <c r="D307" s="345">
        <v>8891239</v>
      </c>
      <c r="E307" s="278" t="str">
        <f t="shared" si="2"/>
        <v>https://pubmed.ncbi.nlm.nih.gov/?term=8891239</v>
      </c>
      <c r="F307" s="28" t="s">
        <v>511</v>
      </c>
      <c r="G307" s="28" t="s">
        <v>4536</v>
      </c>
      <c r="J307" s="346" t="str">
        <f t="shared" si="3"/>
        <v/>
      </c>
      <c r="K307" s="28">
        <f t="shared" si="4"/>
        <v>1</v>
      </c>
      <c r="L307" s="45" t="str">
        <f t="shared" si="5"/>
        <v/>
      </c>
      <c r="M307" s="45" t="str">
        <f t="shared" si="6"/>
        <v/>
      </c>
      <c r="N307" s="45" t="str">
        <f t="shared" si="7"/>
        <v/>
      </c>
      <c r="O307" s="45" t="str">
        <f t="shared" si="8"/>
        <v/>
      </c>
      <c r="P307" s="45" t="str">
        <f t="shared" si="9"/>
        <v/>
      </c>
    </row>
    <row r="308" spans="1:16" ht="18">
      <c r="A308" s="92" t="s">
        <v>4904</v>
      </c>
      <c r="B308" s="345">
        <v>1995</v>
      </c>
      <c r="C308" s="92"/>
      <c r="D308" s="345">
        <v>8928947</v>
      </c>
      <c r="E308" s="278" t="str">
        <f t="shared" si="2"/>
        <v>https://pubmed.ncbi.nlm.nih.gov/?term=8928947</v>
      </c>
      <c r="F308" s="28" t="s">
        <v>511</v>
      </c>
      <c r="G308" s="28" t="s">
        <v>4346</v>
      </c>
      <c r="J308" s="346" t="str">
        <f t="shared" si="3"/>
        <v/>
      </c>
      <c r="K308" s="28" t="str">
        <f t="shared" si="4"/>
        <v/>
      </c>
      <c r="L308" s="45">
        <f t="shared" si="5"/>
        <v>1</v>
      </c>
      <c r="M308" s="45" t="str">
        <f t="shared" si="6"/>
        <v/>
      </c>
      <c r="N308" s="45" t="str">
        <f t="shared" si="7"/>
        <v/>
      </c>
      <c r="O308" s="45" t="str">
        <f t="shared" si="8"/>
        <v/>
      </c>
      <c r="P308" s="45" t="str">
        <f t="shared" si="9"/>
        <v/>
      </c>
    </row>
    <row r="309" spans="1:16" ht="18">
      <c r="A309" s="92" t="s">
        <v>4905</v>
      </c>
      <c r="B309" s="345">
        <v>1995</v>
      </c>
      <c r="C309" s="92"/>
      <c r="D309" s="345">
        <v>8578828</v>
      </c>
      <c r="E309" s="278" t="str">
        <f t="shared" si="2"/>
        <v>https://pubmed.ncbi.nlm.nih.gov/?term=8578828</v>
      </c>
      <c r="F309" s="28" t="s">
        <v>511</v>
      </c>
      <c r="G309" s="28" t="s">
        <v>4346</v>
      </c>
      <c r="J309" s="346" t="str">
        <f t="shared" si="3"/>
        <v/>
      </c>
      <c r="K309" s="28" t="str">
        <f t="shared" si="4"/>
        <v/>
      </c>
      <c r="L309" s="45">
        <f t="shared" si="5"/>
        <v>1</v>
      </c>
      <c r="M309" s="45" t="str">
        <f t="shared" si="6"/>
        <v/>
      </c>
      <c r="N309" s="45" t="str">
        <f t="shared" si="7"/>
        <v/>
      </c>
      <c r="O309" s="45" t="str">
        <f t="shared" si="8"/>
        <v/>
      </c>
      <c r="P309" s="45" t="str">
        <f t="shared" si="9"/>
        <v/>
      </c>
    </row>
    <row r="310" spans="1:16" ht="18">
      <c r="A310" s="92" t="s">
        <v>4840</v>
      </c>
      <c r="B310" s="345">
        <v>1996</v>
      </c>
      <c r="C310" s="92"/>
      <c r="D310" s="345">
        <v>8712515</v>
      </c>
      <c r="E310" s="278" t="str">
        <f t="shared" si="2"/>
        <v>https://pubmed.ncbi.nlm.nih.gov/?term=8712515</v>
      </c>
      <c r="F310" s="28" t="s">
        <v>511</v>
      </c>
      <c r="G310" s="28" t="s">
        <v>4346</v>
      </c>
      <c r="J310" s="346" t="str">
        <f t="shared" si="3"/>
        <v/>
      </c>
      <c r="K310" s="28" t="str">
        <f t="shared" si="4"/>
        <v/>
      </c>
      <c r="L310" s="45">
        <f t="shared" si="5"/>
        <v>1</v>
      </c>
      <c r="M310" s="45" t="str">
        <f t="shared" si="6"/>
        <v/>
      </c>
      <c r="N310" s="45" t="str">
        <f t="shared" si="7"/>
        <v/>
      </c>
      <c r="O310" s="45" t="str">
        <f t="shared" si="8"/>
        <v/>
      </c>
      <c r="P310" s="45" t="str">
        <f t="shared" si="9"/>
        <v/>
      </c>
    </row>
    <row r="311" spans="1:16" ht="18">
      <c r="A311" s="92" t="s">
        <v>4906</v>
      </c>
      <c r="B311" s="345">
        <v>2000</v>
      </c>
      <c r="C311" s="92"/>
      <c r="D311" s="345">
        <v>11153621</v>
      </c>
      <c r="E311" s="278" t="str">
        <f t="shared" si="2"/>
        <v>https://pubmed.ncbi.nlm.nih.gov/?term=11153621</v>
      </c>
      <c r="F311" s="28" t="s">
        <v>511</v>
      </c>
      <c r="G311" s="28" t="s">
        <v>4867</v>
      </c>
      <c r="J311" s="346" t="str">
        <f t="shared" si="3"/>
        <v/>
      </c>
      <c r="K311" s="28" t="str">
        <f t="shared" si="4"/>
        <v/>
      </c>
      <c r="L311" s="45" t="str">
        <f t="shared" si="5"/>
        <v/>
      </c>
      <c r="M311" s="45" t="str">
        <f t="shared" si="6"/>
        <v/>
      </c>
      <c r="N311" s="45">
        <f t="shared" si="7"/>
        <v>1</v>
      </c>
      <c r="O311" s="45" t="str">
        <f t="shared" si="8"/>
        <v/>
      </c>
      <c r="P311" s="45" t="str">
        <f t="shared" si="9"/>
        <v/>
      </c>
    </row>
    <row r="312" spans="1:16" ht="18">
      <c r="A312" s="92" t="s">
        <v>1835</v>
      </c>
      <c r="B312" s="345">
        <v>1999</v>
      </c>
      <c r="C312" s="92"/>
      <c r="D312" s="345">
        <v>10517426</v>
      </c>
      <c r="E312" s="278" t="str">
        <f t="shared" si="2"/>
        <v>https://pubmed.ncbi.nlm.nih.gov/?term=10517426</v>
      </c>
      <c r="H312" s="28" t="s">
        <v>511</v>
      </c>
      <c r="J312" s="346" t="str">
        <f t="shared" si="3"/>
        <v/>
      </c>
      <c r="K312" s="28" t="str">
        <f t="shared" si="4"/>
        <v/>
      </c>
      <c r="L312" s="45" t="str">
        <f t="shared" si="5"/>
        <v/>
      </c>
      <c r="M312" s="45" t="str">
        <f t="shared" si="6"/>
        <v/>
      </c>
      <c r="N312" s="45" t="str">
        <f t="shared" si="7"/>
        <v/>
      </c>
      <c r="O312" s="45" t="str">
        <f t="shared" si="8"/>
        <v/>
      </c>
      <c r="P312" s="45" t="str">
        <f t="shared" si="9"/>
        <v/>
      </c>
    </row>
    <row r="313" spans="1:16" ht="18">
      <c r="A313" s="92" t="s">
        <v>4907</v>
      </c>
      <c r="B313" s="345">
        <v>1995</v>
      </c>
      <c r="C313" s="92"/>
      <c r="D313" s="345">
        <v>8599282</v>
      </c>
      <c r="E313" s="278" t="str">
        <f t="shared" si="2"/>
        <v>https://pubmed.ncbi.nlm.nih.gov/?term=8599282</v>
      </c>
      <c r="F313" s="28" t="s">
        <v>511</v>
      </c>
      <c r="G313" s="28" t="s">
        <v>4867</v>
      </c>
      <c r="J313" s="346" t="str">
        <f t="shared" si="3"/>
        <v/>
      </c>
      <c r="K313" s="28" t="str">
        <f t="shared" si="4"/>
        <v/>
      </c>
      <c r="L313" s="45" t="str">
        <f t="shared" si="5"/>
        <v/>
      </c>
      <c r="M313" s="45" t="str">
        <f t="shared" si="6"/>
        <v/>
      </c>
      <c r="N313" s="45">
        <f t="shared" si="7"/>
        <v>1</v>
      </c>
      <c r="O313" s="45" t="str">
        <f t="shared" si="8"/>
        <v/>
      </c>
      <c r="P313" s="45" t="str">
        <f t="shared" si="9"/>
        <v/>
      </c>
    </row>
    <row r="314" spans="1:16" ht="18">
      <c r="A314" s="92" t="s">
        <v>4908</v>
      </c>
      <c r="B314" s="345">
        <v>1993</v>
      </c>
      <c r="C314" s="92"/>
      <c r="D314" s="345">
        <v>8257637</v>
      </c>
      <c r="E314" s="278" t="str">
        <f t="shared" si="2"/>
        <v>https://pubmed.ncbi.nlm.nih.gov/?term=8257637</v>
      </c>
      <c r="F314" s="28" t="s">
        <v>511</v>
      </c>
      <c r="G314" s="28" t="s">
        <v>4909</v>
      </c>
      <c r="J314" s="346" t="str">
        <f t="shared" si="3"/>
        <v/>
      </c>
      <c r="K314" s="28" t="str">
        <f t="shared" si="4"/>
        <v/>
      </c>
      <c r="L314" s="45">
        <f t="shared" si="5"/>
        <v>1</v>
      </c>
      <c r="M314" s="45" t="str">
        <f t="shared" si="6"/>
        <v/>
      </c>
      <c r="N314" s="45" t="str">
        <f t="shared" si="7"/>
        <v/>
      </c>
      <c r="O314" s="45" t="str">
        <f t="shared" si="8"/>
        <v/>
      </c>
      <c r="P314" s="45" t="str">
        <f t="shared" si="9"/>
        <v/>
      </c>
    </row>
    <row r="315" spans="1:16" ht="18">
      <c r="A315" s="92" t="s">
        <v>4910</v>
      </c>
      <c r="B315" s="345">
        <v>1997</v>
      </c>
      <c r="C315" s="92"/>
      <c r="D315" s="345">
        <v>9094725</v>
      </c>
      <c r="E315" s="278" t="str">
        <f t="shared" si="2"/>
        <v>https://pubmed.ncbi.nlm.nih.gov/?term=9094725</v>
      </c>
      <c r="F315" s="28" t="s">
        <v>511</v>
      </c>
      <c r="G315" s="28" t="s">
        <v>4656</v>
      </c>
      <c r="J315" s="346">
        <f t="shared" si="3"/>
        <v>1</v>
      </c>
      <c r="K315" s="28" t="str">
        <f t="shared" si="4"/>
        <v/>
      </c>
      <c r="L315" s="45" t="str">
        <f t="shared" si="5"/>
        <v/>
      </c>
      <c r="M315" s="45" t="str">
        <f t="shared" si="6"/>
        <v/>
      </c>
      <c r="N315" s="45" t="str">
        <f t="shared" si="7"/>
        <v/>
      </c>
      <c r="O315" s="45" t="str">
        <f t="shared" si="8"/>
        <v/>
      </c>
      <c r="P315" s="45" t="str">
        <f t="shared" si="9"/>
        <v/>
      </c>
    </row>
    <row r="316" spans="1:16" ht="18">
      <c r="A316" s="92" t="s">
        <v>4911</v>
      </c>
      <c r="B316" s="345">
        <v>1992</v>
      </c>
      <c r="C316" s="92" t="s">
        <v>4912</v>
      </c>
      <c r="D316" s="345">
        <v>1622173</v>
      </c>
      <c r="E316" s="278" t="str">
        <f t="shared" si="2"/>
        <v>https://pubmed.ncbi.nlm.nih.gov/?term=1622173</v>
      </c>
      <c r="F316" s="28" t="s">
        <v>511</v>
      </c>
      <c r="G316" s="28" t="s">
        <v>4867</v>
      </c>
      <c r="J316" s="346" t="str">
        <f t="shared" si="3"/>
        <v/>
      </c>
      <c r="K316" s="28" t="str">
        <f t="shared" si="4"/>
        <v/>
      </c>
      <c r="L316" s="45" t="str">
        <f t="shared" si="5"/>
        <v/>
      </c>
      <c r="M316" s="45" t="str">
        <f t="shared" si="6"/>
        <v/>
      </c>
      <c r="N316" s="45">
        <f t="shared" si="7"/>
        <v>1</v>
      </c>
      <c r="O316" s="45" t="str">
        <f t="shared" si="8"/>
        <v/>
      </c>
      <c r="P316" s="45" t="str">
        <f t="shared" si="9"/>
        <v/>
      </c>
    </row>
    <row r="317" spans="1:16" ht="18">
      <c r="A317" s="92" t="s">
        <v>4913</v>
      </c>
      <c r="B317" s="345">
        <v>1997</v>
      </c>
      <c r="C317" s="92" t="s">
        <v>4914</v>
      </c>
      <c r="D317" s="345">
        <v>9393819</v>
      </c>
      <c r="E317" s="278" t="str">
        <f t="shared" si="2"/>
        <v>https://pubmed.ncbi.nlm.nih.gov/?term=9393819</v>
      </c>
      <c r="F317" s="28" t="s">
        <v>511</v>
      </c>
      <c r="G317" s="28" t="s">
        <v>4909</v>
      </c>
      <c r="J317" s="346" t="str">
        <f t="shared" si="3"/>
        <v/>
      </c>
      <c r="K317" s="28" t="str">
        <f t="shared" si="4"/>
        <v/>
      </c>
      <c r="L317" s="45">
        <f t="shared" si="5"/>
        <v>1</v>
      </c>
      <c r="M317" s="45" t="str">
        <f t="shared" si="6"/>
        <v/>
      </c>
      <c r="N317" s="45" t="str">
        <f t="shared" si="7"/>
        <v/>
      </c>
      <c r="O317" s="45" t="str">
        <f t="shared" si="8"/>
        <v/>
      </c>
      <c r="P317" s="45" t="str">
        <f t="shared" si="9"/>
        <v/>
      </c>
    </row>
    <row r="318" spans="1:16" ht="18">
      <c r="A318" s="92" t="s">
        <v>4915</v>
      </c>
      <c r="B318" s="345">
        <v>1994</v>
      </c>
      <c r="C318" s="92"/>
      <c r="D318" s="345">
        <v>8013184</v>
      </c>
      <c r="E318" s="278" t="str">
        <f t="shared" si="2"/>
        <v>https://pubmed.ncbi.nlm.nih.gov/?term=8013184</v>
      </c>
      <c r="F318" s="28" t="s">
        <v>511</v>
      </c>
      <c r="G318" s="28" t="s">
        <v>4592</v>
      </c>
      <c r="J318" s="346">
        <f t="shared" si="3"/>
        <v>1</v>
      </c>
      <c r="K318" s="28" t="str">
        <f t="shared" si="4"/>
        <v/>
      </c>
      <c r="L318" s="45" t="str">
        <f t="shared" si="5"/>
        <v/>
      </c>
      <c r="M318" s="45" t="str">
        <f t="shared" si="6"/>
        <v/>
      </c>
      <c r="N318" s="45" t="str">
        <f t="shared" si="7"/>
        <v/>
      </c>
      <c r="O318" s="45" t="str">
        <f t="shared" si="8"/>
        <v/>
      </c>
      <c r="P318" s="45" t="str">
        <f t="shared" si="9"/>
        <v/>
      </c>
    </row>
    <row r="319" spans="1:16" ht="18">
      <c r="A319" s="92" t="s">
        <v>4916</v>
      </c>
      <c r="B319" s="345">
        <v>1992</v>
      </c>
      <c r="C319" s="92"/>
      <c r="D319" s="345">
        <v>1602565</v>
      </c>
      <c r="E319" s="278" t="str">
        <f t="shared" si="2"/>
        <v>https://pubmed.ncbi.nlm.nih.gov/?term=1602565</v>
      </c>
      <c r="F319" s="28" t="s">
        <v>511</v>
      </c>
      <c r="G319" s="28" t="s">
        <v>4909</v>
      </c>
      <c r="J319" s="346" t="str">
        <f t="shared" si="3"/>
        <v/>
      </c>
      <c r="K319" s="28" t="str">
        <f t="shared" si="4"/>
        <v/>
      </c>
      <c r="L319" s="45">
        <f t="shared" si="5"/>
        <v>1</v>
      </c>
      <c r="M319" s="45" t="str">
        <f t="shared" si="6"/>
        <v/>
      </c>
      <c r="N319" s="45" t="str">
        <f t="shared" si="7"/>
        <v/>
      </c>
      <c r="O319" s="45" t="str">
        <f t="shared" si="8"/>
        <v/>
      </c>
      <c r="P319" s="45" t="str">
        <f t="shared" si="9"/>
        <v/>
      </c>
    </row>
    <row r="320" spans="1:16" ht="18">
      <c r="A320" s="92" t="s">
        <v>4917</v>
      </c>
      <c r="B320" s="345">
        <v>1997</v>
      </c>
      <c r="C320" s="92"/>
      <c r="D320" s="345">
        <v>9411341</v>
      </c>
      <c r="E320" s="278" t="str">
        <f t="shared" si="2"/>
        <v>https://pubmed.ncbi.nlm.nih.gov/?term=9411341</v>
      </c>
      <c r="F320" s="28" t="s">
        <v>511</v>
      </c>
      <c r="G320" s="28" t="s">
        <v>4592</v>
      </c>
      <c r="J320" s="346">
        <f t="shared" si="3"/>
        <v>1</v>
      </c>
      <c r="K320" s="28" t="str">
        <f t="shared" si="4"/>
        <v/>
      </c>
      <c r="L320" s="45" t="str">
        <f t="shared" si="5"/>
        <v/>
      </c>
      <c r="M320" s="45" t="str">
        <f t="shared" si="6"/>
        <v/>
      </c>
      <c r="N320" s="45" t="str">
        <f t="shared" si="7"/>
        <v/>
      </c>
      <c r="O320" s="45" t="str">
        <f t="shared" si="8"/>
        <v/>
      </c>
      <c r="P320" s="45" t="str">
        <f t="shared" si="9"/>
        <v/>
      </c>
    </row>
    <row r="321" spans="1:16" ht="18">
      <c r="A321" s="92" t="s">
        <v>4918</v>
      </c>
      <c r="B321" s="345">
        <v>1992</v>
      </c>
      <c r="C321" s="92"/>
      <c r="D321" s="345">
        <v>1630426</v>
      </c>
      <c r="E321" s="278" t="str">
        <f t="shared" si="2"/>
        <v>https://pubmed.ncbi.nlm.nih.gov/?term=1630426</v>
      </c>
      <c r="F321" s="28" t="s">
        <v>511</v>
      </c>
      <c r="G321" s="28" t="s">
        <v>4919</v>
      </c>
      <c r="J321" s="346" t="str">
        <f t="shared" si="3"/>
        <v/>
      </c>
      <c r="K321" s="28" t="str">
        <f t="shared" si="4"/>
        <v/>
      </c>
      <c r="L321" s="45" t="str">
        <f t="shared" si="5"/>
        <v/>
      </c>
      <c r="M321" s="45" t="str">
        <f t="shared" si="6"/>
        <v/>
      </c>
      <c r="N321" s="45" t="str">
        <f t="shared" si="7"/>
        <v/>
      </c>
      <c r="O321" s="45">
        <f t="shared" si="8"/>
        <v>1</v>
      </c>
      <c r="P321" s="45" t="str">
        <f t="shared" si="9"/>
        <v/>
      </c>
    </row>
    <row r="322" spans="1:16" ht="18">
      <c r="A322" s="92" t="s">
        <v>4920</v>
      </c>
      <c r="B322" s="345">
        <v>1997</v>
      </c>
      <c r="C322" s="92"/>
      <c r="D322" s="345">
        <v>9362041</v>
      </c>
      <c r="E322" s="278" t="str">
        <f t="shared" si="2"/>
        <v>https://pubmed.ncbi.nlm.nih.gov/?term=9362041</v>
      </c>
      <c r="F322" s="28" t="s">
        <v>511</v>
      </c>
      <c r="G322" s="28" t="s">
        <v>4909</v>
      </c>
      <c r="J322" s="346" t="str">
        <f t="shared" si="3"/>
        <v/>
      </c>
      <c r="K322" s="28" t="str">
        <f t="shared" si="4"/>
        <v/>
      </c>
      <c r="L322" s="45">
        <f t="shared" si="5"/>
        <v>1</v>
      </c>
      <c r="M322" s="45" t="str">
        <f t="shared" si="6"/>
        <v/>
      </c>
      <c r="N322" s="45" t="str">
        <f t="shared" si="7"/>
        <v/>
      </c>
      <c r="O322" s="45" t="str">
        <f t="shared" si="8"/>
        <v/>
      </c>
      <c r="P322" s="45" t="str">
        <f t="shared" si="9"/>
        <v/>
      </c>
    </row>
    <row r="323" spans="1:16" ht="18">
      <c r="A323" s="92" t="s">
        <v>4921</v>
      </c>
      <c r="B323" s="345">
        <v>1996</v>
      </c>
      <c r="C323" s="92"/>
      <c r="D323" s="345">
        <v>9081359</v>
      </c>
      <c r="E323" s="278" t="str">
        <f t="shared" si="2"/>
        <v>https://pubmed.ncbi.nlm.nih.gov/?term=9081359</v>
      </c>
      <c r="F323" s="28" t="s">
        <v>511</v>
      </c>
      <c r="G323" s="28" t="s">
        <v>4867</v>
      </c>
      <c r="J323" s="346" t="str">
        <f t="shared" si="3"/>
        <v/>
      </c>
      <c r="K323" s="28" t="str">
        <f t="shared" si="4"/>
        <v/>
      </c>
      <c r="L323" s="45" t="str">
        <f t="shared" si="5"/>
        <v/>
      </c>
      <c r="M323" s="45" t="str">
        <f t="shared" si="6"/>
        <v/>
      </c>
      <c r="N323" s="45">
        <f t="shared" si="7"/>
        <v>1</v>
      </c>
      <c r="O323" s="45" t="str">
        <f t="shared" si="8"/>
        <v/>
      </c>
      <c r="P323" s="45" t="str">
        <f t="shared" si="9"/>
        <v/>
      </c>
    </row>
    <row r="324" spans="1:16" ht="18">
      <c r="A324" s="92" t="s">
        <v>4922</v>
      </c>
      <c r="B324" s="345">
        <v>1999</v>
      </c>
      <c r="C324" s="92"/>
      <c r="D324" s="345">
        <v>10518352</v>
      </c>
      <c r="E324" s="278" t="str">
        <f t="shared" si="2"/>
        <v>https://pubmed.ncbi.nlm.nih.gov/?term=10518352</v>
      </c>
      <c r="F324" s="28" t="s">
        <v>511</v>
      </c>
      <c r="G324" s="28" t="s">
        <v>4923</v>
      </c>
      <c r="J324" s="346" t="str">
        <f t="shared" si="3"/>
        <v/>
      </c>
      <c r="K324" s="28" t="str">
        <f t="shared" si="4"/>
        <v/>
      </c>
      <c r="L324" s="45" t="str">
        <f t="shared" si="5"/>
        <v/>
      </c>
      <c r="M324" s="45" t="str">
        <f t="shared" si="6"/>
        <v/>
      </c>
      <c r="N324" s="45" t="str">
        <f t="shared" si="7"/>
        <v/>
      </c>
      <c r="O324" s="45">
        <f t="shared" si="8"/>
        <v>1</v>
      </c>
      <c r="P324" s="45" t="str">
        <f t="shared" si="9"/>
        <v/>
      </c>
    </row>
    <row r="325" spans="1:16" ht="18">
      <c r="A325" s="92" t="s">
        <v>4924</v>
      </c>
      <c r="B325" s="345">
        <v>1997</v>
      </c>
      <c r="C325" s="92" t="s">
        <v>4925</v>
      </c>
      <c r="D325" s="345">
        <v>9343160</v>
      </c>
      <c r="E325" s="278" t="str">
        <f t="shared" si="2"/>
        <v>https://pubmed.ncbi.nlm.nih.gov/?term=9343160</v>
      </c>
      <c r="F325" s="28" t="s">
        <v>511</v>
      </c>
      <c r="G325" s="28" t="s">
        <v>4909</v>
      </c>
      <c r="J325" s="346" t="str">
        <f t="shared" si="3"/>
        <v/>
      </c>
      <c r="K325" s="28" t="str">
        <f t="shared" si="4"/>
        <v/>
      </c>
      <c r="L325" s="45">
        <f t="shared" si="5"/>
        <v>1</v>
      </c>
      <c r="M325" s="45" t="str">
        <f t="shared" si="6"/>
        <v/>
      </c>
      <c r="N325" s="45" t="str">
        <f t="shared" si="7"/>
        <v/>
      </c>
      <c r="O325" s="45" t="str">
        <f t="shared" si="8"/>
        <v/>
      </c>
      <c r="P325" s="45" t="str">
        <f t="shared" si="9"/>
        <v/>
      </c>
    </row>
    <row r="326" spans="1:16" ht="18">
      <c r="A326" s="92" t="s">
        <v>4926</v>
      </c>
      <c r="B326" s="345">
        <v>1992</v>
      </c>
      <c r="C326" s="92"/>
      <c r="D326" s="345">
        <v>1320307</v>
      </c>
      <c r="E326" s="278" t="str">
        <f t="shared" si="2"/>
        <v>https://pubmed.ncbi.nlm.nih.gov/?term=1320307</v>
      </c>
      <c r="F326" s="28" t="s">
        <v>511</v>
      </c>
      <c r="G326" s="28" t="s">
        <v>4909</v>
      </c>
      <c r="J326" s="346" t="str">
        <f t="shared" si="3"/>
        <v/>
      </c>
      <c r="K326" s="28" t="str">
        <f t="shared" si="4"/>
        <v/>
      </c>
      <c r="L326" s="45">
        <f t="shared" si="5"/>
        <v>1</v>
      </c>
      <c r="M326" s="45" t="str">
        <f t="shared" si="6"/>
        <v/>
      </c>
      <c r="N326" s="45" t="str">
        <f t="shared" si="7"/>
        <v/>
      </c>
      <c r="O326" s="45" t="str">
        <f t="shared" si="8"/>
        <v/>
      </c>
      <c r="P326" s="45" t="str">
        <f t="shared" si="9"/>
        <v/>
      </c>
    </row>
    <row r="327" spans="1:16" ht="18">
      <c r="A327" s="92" t="s">
        <v>4927</v>
      </c>
      <c r="B327" s="345">
        <v>1998</v>
      </c>
      <c r="C327" s="92"/>
      <c r="D327" s="345">
        <v>9758320</v>
      </c>
      <c r="E327" s="278" t="str">
        <f t="shared" si="2"/>
        <v>https://pubmed.ncbi.nlm.nih.gov/?term=9758320</v>
      </c>
      <c r="F327" s="28" t="s">
        <v>511</v>
      </c>
      <c r="G327" s="28" t="s">
        <v>4867</v>
      </c>
      <c r="J327" s="346" t="str">
        <f t="shared" si="3"/>
        <v/>
      </c>
      <c r="K327" s="28" t="str">
        <f t="shared" si="4"/>
        <v/>
      </c>
      <c r="L327" s="45" t="str">
        <f t="shared" si="5"/>
        <v/>
      </c>
      <c r="M327" s="45" t="str">
        <f t="shared" si="6"/>
        <v/>
      </c>
      <c r="N327" s="45">
        <f t="shared" si="7"/>
        <v>1</v>
      </c>
      <c r="O327" s="45" t="str">
        <f t="shared" si="8"/>
        <v/>
      </c>
      <c r="P327" s="45" t="str">
        <f t="shared" si="9"/>
        <v/>
      </c>
    </row>
    <row r="328" spans="1:16" ht="18">
      <c r="A328" s="92" t="s">
        <v>4860</v>
      </c>
      <c r="B328" s="345">
        <v>1992</v>
      </c>
      <c r="C328" s="92"/>
      <c r="D328" s="345">
        <v>1448645</v>
      </c>
      <c r="E328" s="278" t="str">
        <f t="shared" si="2"/>
        <v>https://pubmed.ncbi.nlm.nih.gov/?term=1448645</v>
      </c>
      <c r="F328" s="28" t="s">
        <v>511</v>
      </c>
      <c r="G328" s="28" t="s">
        <v>4592</v>
      </c>
      <c r="J328" s="346">
        <f t="shared" si="3"/>
        <v>1</v>
      </c>
      <c r="K328" s="28" t="str">
        <f t="shared" si="4"/>
        <v/>
      </c>
      <c r="L328" s="45" t="str">
        <f t="shared" si="5"/>
        <v/>
      </c>
      <c r="M328" s="45" t="str">
        <f t="shared" si="6"/>
        <v/>
      </c>
      <c r="N328" s="45" t="str">
        <f t="shared" si="7"/>
        <v/>
      </c>
      <c r="O328" s="45" t="str">
        <f t="shared" si="8"/>
        <v/>
      </c>
      <c r="P328" s="45" t="str">
        <f t="shared" si="9"/>
        <v/>
      </c>
    </row>
    <row r="329" spans="1:16" ht="18">
      <c r="A329" s="92" t="s">
        <v>4928</v>
      </c>
      <c r="B329" s="345">
        <v>1995</v>
      </c>
      <c r="C329" s="92"/>
      <c r="D329" s="345">
        <v>7583684</v>
      </c>
      <c r="E329" s="278" t="str">
        <f t="shared" si="2"/>
        <v>https://pubmed.ncbi.nlm.nih.gov/?term=7583684</v>
      </c>
      <c r="F329" s="28" t="s">
        <v>511</v>
      </c>
      <c r="G329" s="28" t="s">
        <v>4909</v>
      </c>
      <c r="J329" s="346" t="str">
        <f t="shared" si="3"/>
        <v/>
      </c>
      <c r="K329" s="28" t="str">
        <f t="shared" si="4"/>
        <v/>
      </c>
      <c r="L329" s="45">
        <f t="shared" si="5"/>
        <v>1</v>
      </c>
      <c r="M329" s="45" t="str">
        <f t="shared" si="6"/>
        <v/>
      </c>
      <c r="N329" s="45" t="str">
        <f t="shared" si="7"/>
        <v/>
      </c>
      <c r="O329" s="45" t="str">
        <f t="shared" si="8"/>
        <v/>
      </c>
      <c r="P329" s="45" t="str">
        <f t="shared" si="9"/>
        <v/>
      </c>
    </row>
    <row r="330" spans="1:16" ht="18">
      <c r="A330" s="92" t="s">
        <v>4929</v>
      </c>
      <c r="B330" s="345">
        <v>1998</v>
      </c>
      <c r="C330" s="92"/>
      <c r="D330" s="345">
        <v>9855414</v>
      </c>
      <c r="E330" s="278" t="str">
        <f t="shared" si="2"/>
        <v>https://pubmed.ncbi.nlm.nih.gov/?term=9855414</v>
      </c>
      <c r="F330" s="28" t="s">
        <v>511</v>
      </c>
      <c r="G330" s="28" t="s">
        <v>4592</v>
      </c>
      <c r="J330" s="346">
        <f t="shared" si="3"/>
        <v>1</v>
      </c>
      <c r="K330" s="28" t="str">
        <f t="shared" si="4"/>
        <v/>
      </c>
      <c r="L330" s="45" t="str">
        <f t="shared" si="5"/>
        <v/>
      </c>
      <c r="M330" s="45" t="str">
        <f t="shared" si="6"/>
        <v/>
      </c>
      <c r="N330" s="45" t="str">
        <f t="shared" si="7"/>
        <v/>
      </c>
      <c r="O330" s="45" t="str">
        <f t="shared" si="8"/>
        <v/>
      </c>
      <c r="P330" s="45" t="str">
        <f t="shared" si="9"/>
        <v/>
      </c>
    </row>
    <row r="331" spans="1:16" ht="18">
      <c r="A331" s="92" t="s">
        <v>4930</v>
      </c>
      <c r="B331" s="345">
        <v>1997</v>
      </c>
      <c r="C331" s="92"/>
      <c r="D331" s="345">
        <v>9198338</v>
      </c>
      <c r="E331" s="278" t="str">
        <f t="shared" si="2"/>
        <v>https://pubmed.ncbi.nlm.nih.gov/?term=9198338</v>
      </c>
      <c r="F331" s="28" t="s">
        <v>511</v>
      </c>
      <c r="G331" s="28" t="s">
        <v>4778</v>
      </c>
      <c r="J331" s="346" t="str">
        <f t="shared" si="3"/>
        <v/>
      </c>
      <c r="K331" s="28" t="str">
        <f t="shared" si="4"/>
        <v/>
      </c>
      <c r="L331" s="45" t="str">
        <f t="shared" si="5"/>
        <v/>
      </c>
      <c r="M331" s="45" t="str">
        <f t="shared" si="6"/>
        <v/>
      </c>
      <c r="N331" s="45" t="str">
        <f t="shared" si="7"/>
        <v/>
      </c>
      <c r="O331" s="45">
        <f t="shared" si="8"/>
        <v>1</v>
      </c>
      <c r="P331" s="45" t="str">
        <f t="shared" si="9"/>
        <v/>
      </c>
    </row>
    <row r="332" spans="1:16" ht="18">
      <c r="A332" s="92" t="s">
        <v>4931</v>
      </c>
      <c r="B332" s="345">
        <v>1994</v>
      </c>
      <c r="C332" s="92" t="s">
        <v>4932</v>
      </c>
      <c r="D332" s="345">
        <v>7927754</v>
      </c>
      <c r="E332" s="278" t="str">
        <f t="shared" si="2"/>
        <v>https://pubmed.ncbi.nlm.nih.gov/?term=7927754</v>
      </c>
      <c r="F332" s="28" t="s">
        <v>511</v>
      </c>
      <c r="G332" s="28" t="s">
        <v>4933</v>
      </c>
      <c r="J332" s="346" t="str">
        <f t="shared" si="3"/>
        <v/>
      </c>
      <c r="K332" s="28" t="str">
        <f t="shared" si="4"/>
        <v/>
      </c>
      <c r="L332" s="45" t="str">
        <f t="shared" si="5"/>
        <v/>
      </c>
      <c r="M332" s="45" t="str">
        <f t="shared" si="6"/>
        <v/>
      </c>
      <c r="N332" s="45" t="str">
        <f t="shared" si="7"/>
        <v/>
      </c>
      <c r="O332" s="45">
        <f t="shared" si="8"/>
        <v>1</v>
      </c>
      <c r="P332" s="45" t="str">
        <f t="shared" si="9"/>
        <v/>
      </c>
    </row>
    <row r="333" spans="1:16" ht="18">
      <c r="A333" s="92" t="s">
        <v>4934</v>
      </c>
      <c r="B333" s="345">
        <v>1995</v>
      </c>
      <c r="C333" s="92" t="s">
        <v>4935</v>
      </c>
      <c r="D333" s="345">
        <v>7542634</v>
      </c>
      <c r="E333" s="278" t="str">
        <f t="shared" si="2"/>
        <v>https://pubmed.ncbi.nlm.nih.gov/?term=7542634</v>
      </c>
      <c r="F333" s="28" t="s">
        <v>511</v>
      </c>
      <c r="G333" s="28" t="s">
        <v>4909</v>
      </c>
      <c r="J333" s="346" t="str">
        <f t="shared" si="3"/>
        <v/>
      </c>
      <c r="K333" s="28" t="str">
        <f t="shared" si="4"/>
        <v/>
      </c>
      <c r="L333" s="45">
        <f t="shared" si="5"/>
        <v>1</v>
      </c>
      <c r="M333" s="45" t="str">
        <f t="shared" si="6"/>
        <v/>
      </c>
      <c r="N333" s="45" t="str">
        <f t="shared" si="7"/>
        <v/>
      </c>
      <c r="O333" s="45" t="str">
        <f t="shared" si="8"/>
        <v/>
      </c>
      <c r="P333" s="45" t="str">
        <f t="shared" si="9"/>
        <v/>
      </c>
    </row>
    <row r="334" spans="1:16" ht="18">
      <c r="A334" s="92" t="s">
        <v>4936</v>
      </c>
      <c r="B334" s="345">
        <v>1996</v>
      </c>
      <c r="C334" s="92"/>
      <c r="D334" s="345">
        <v>8736545</v>
      </c>
      <c r="E334" s="278" t="str">
        <f t="shared" si="2"/>
        <v>https://pubmed.ncbi.nlm.nih.gov/?term=8736545</v>
      </c>
      <c r="F334" s="28" t="s">
        <v>511</v>
      </c>
      <c r="G334" s="28" t="s">
        <v>4937</v>
      </c>
      <c r="J334" s="346" t="str">
        <f t="shared" si="3"/>
        <v/>
      </c>
      <c r="K334" s="28" t="str">
        <f t="shared" si="4"/>
        <v/>
      </c>
      <c r="L334" s="45" t="str">
        <f t="shared" si="5"/>
        <v/>
      </c>
      <c r="M334" s="45" t="str">
        <f t="shared" si="6"/>
        <v/>
      </c>
      <c r="N334" s="45" t="str">
        <f t="shared" si="7"/>
        <v/>
      </c>
      <c r="O334" s="45">
        <f t="shared" si="8"/>
        <v>1</v>
      </c>
      <c r="P334" s="45" t="str">
        <f t="shared" si="9"/>
        <v/>
      </c>
    </row>
    <row r="335" spans="1:16" ht="18">
      <c r="A335" s="92" t="s">
        <v>4938</v>
      </c>
      <c r="B335" s="345">
        <v>1998</v>
      </c>
      <c r="C335" s="92" t="s">
        <v>4939</v>
      </c>
      <c r="D335" s="345">
        <v>9658115</v>
      </c>
      <c r="E335" s="278" t="str">
        <f t="shared" si="2"/>
        <v>https://pubmed.ncbi.nlm.nih.gov/?term=9658115</v>
      </c>
      <c r="F335" s="28" t="s">
        <v>511</v>
      </c>
      <c r="G335" s="28" t="s">
        <v>4909</v>
      </c>
      <c r="J335" s="346" t="str">
        <f t="shared" si="3"/>
        <v/>
      </c>
      <c r="K335" s="28" t="str">
        <f t="shared" si="4"/>
        <v/>
      </c>
      <c r="L335" s="45">
        <f t="shared" si="5"/>
        <v>1</v>
      </c>
      <c r="M335" s="45" t="str">
        <f t="shared" si="6"/>
        <v/>
      </c>
      <c r="N335" s="45" t="str">
        <f t="shared" si="7"/>
        <v/>
      </c>
      <c r="O335" s="45" t="str">
        <f t="shared" si="8"/>
        <v/>
      </c>
      <c r="P335" s="45" t="str">
        <f t="shared" si="9"/>
        <v/>
      </c>
    </row>
    <row r="336" spans="1:16" ht="18">
      <c r="A336" s="92" t="s">
        <v>4940</v>
      </c>
      <c r="B336" s="345">
        <v>1994</v>
      </c>
      <c r="C336" s="92"/>
      <c r="D336" s="345">
        <v>8193172</v>
      </c>
      <c r="E336" s="278" t="str">
        <f t="shared" si="2"/>
        <v>https://pubmed.ncbi.nlm.nih.gov/?term=8193172</v>
      </c>
      <c r="F336" s="28" t="s">
        <v>511</v>
      </c>
      <c r="G336" s="28" t="s">
        <v>4909</v>
      </c>
      <c r="J336" s="346" t="str">
        <f t="shared" si="3"/>
        <v/>
      </c>
      <c r="K336" s="28" t="str">
        <f t="shared" si="4"/>
        <v/>
      </c>
      <c r="L336" s="45">
        <f t="shared" si="5"/>
        <v>1</v>
      </c>
      <c r="M336" s="45" t="str">
        <f t="shared" si="6"/>
        <v/>
      </c>
      <c r="N336" s="45" t="str">
        <f t="shared" si="7"/>
        <v/>
      </c>
      <c r="O336" s="45" t="str">
        <f t="shared" si="8"/>
        <v/>
      </c>
      <c r="P336" s="45" t="str">
        <f t="shared" si="9"/>
        <v/>
      </c>
    </row>
    <row r="337" spans="1:16" ht="18">
      <c r="A337" s="92" t="s">
        <v>4941</v>
      </c>
      <c r="B337" s="345">
        <v>1993</v>
      </c>
      <c r="C337" s="92"/>
      <c r="D337" s="345">
        <v>8436664</v>
      </c>
      <c r="E337" s="278" t="str">
        <f t="shared" si="2"/>
        <v>https://pubmed.ncbi.nlm.nih.gov/?term=8436664</v>
      </c>
      <c r="F337" s="28" t="s">
        <v>511</v>
      </c>
      <c r="G337" s="28" t="s">
        <v>4909</v>
      </c>
      <c r="J337" s="346" t="str">
        <f t="shared" si="3"/>
        <v/>
      </c>
      <c r="K337" s="28" t="str">
        <f t="shared" si="4"/>
        <v/>
      </c>
      <c r="L337" s="45">
        <f t="shared" si="5"/>
        <v>1</v>
      </c>
      <c r="M337" s="45" t="str">
        <f t="shared" si="6"/>
        <v/>
      </c>
      <c r="N337" s="45" t="str">
        <f t="shared" si="7"/>
        <v/>
      </c>
      <c r="O337" s="45" t="str">
        <f t="shared" si="8"/>
        <v/>
      </c>
      <c r="P337" s="45" t="str">
        <f t="shared" si="9"/>
        <v/>
      </c>
    </row>
    <row r="338" spans="1:16" ht="18">
      <c r="A338" s="92" t="s">
        <v>4942</v>
      </c>
      <c r="B338" s="345">
        <v>1999</v>
      </c>
      <c r="C338" s="92"/>
      <c r="D338" s="345">
        <v>9922681</v>
      </c>
      <c r="E338" s="278" t="str">
        <f t="shared" si="2"/>
        <v>https://pubmed.ncbi.nlm.nih.gov/?term=9922681</v>
      </c>
      <c r="F338" s="28" t="s">
        <v>511</v>
      </c>
      <c r="G338" s="28" t="s">
        <v>4587</v>
      </c>
      <c r="J338" s="346" t="str">
        <f t="shared" si="3"/>
        <v/>
      </c>
      <c r="K338" s="28" t="str">
        <f t="shared" si="4"/>
        <v/>
      </c>
      <c r="L338" s="45" t="str">
        <f t="shared" si="5"/>
        <v/>
      </c>
      <c r="M338" s="45">
        <f t="shared" si="6"/>
        <v>1</v>
      </c>
      <c r="N338" s="45" t="str">
        <f t="shared" si="7"/>
        <v/>
      </c>
      <c r="O338" s="45" t="str">
        <f t="shared" si="8"/>
        <v/>
      </c>
      <c r="P338" s="45" t="str">
        <f t="shared" si="9"/>
        <v/>
      </c>
    </row>
    <row r="339" spans="1:16" ht="18">
      <c r="A339" s="92" t="s">
        <v>4943</v>
      </c>
      <c r="B339" s="345">
        <v>1991</v>
      </c>
      <c r="C339" s="92" t="s">
        <v>4944</v>
      </c>
      <c r="D339" s="345">
        <v>1836943</v>
      </c>
      <c r="E339" s="278" t="str">
        <f t="shared" si="2"/>
        <v>https://pubmed.ncbi.nlm.nih.gov/?term=1836943</v>
      </c>
      <c r="F339" s="28" t="s">
        <v>511</v>
      </c>
      <c r="G339" s="28" t="s">
        <v>4867</v>
      </c>
      <c r="J339" s="346" t="str">
        <f t="shared" si="3"/>
        <v/>
      </c>
      <c r="K339" s="28" t="str">
        <f t="shared" si="4"/>
        <v/>
      </c>
      <c r="L339" s="45" t="str">
        <f t="shared" si="5"/>
        <v/>
      </c>
      <c r="M339" s="45" t="str">
        <f t="shared" si="6"/>
        <v/>
      </c>
      <c r="N339" s="45">
        <f t="shared" si="7"/>
        <v>1</v>
      </c>
      <c r="O339" s="45" t="str">
        <f t="shared" si="8"/>
        <v/>
      </c>
      <c r="P339" s="45" t="str">
        <f t="shared" si="9"/>
        <v/>
      </c>
    </row>
    <row r="340" spans="1:16" ht="18">
      <c r="A340" s="92" t="s">
        <v>4270</v>
      </c>
      <c r="B340" s="345">
        <v>1995</v>
      </c>
      <c r="C340" s="92"/>
      <c r="D340" s="345">
        <v>7700664</v>
      </c>
      <c r="E340" s="278" t="str">
        <f t="shared" si="2"/>
        <v>https://pubmed.ncbi.nlm.nih.gov/?term=7700664</v>
      </c>
      <c r="F340" s="28" t="s">
        <v>511</v>
      </c>
      <c r="G340" s="28" t="s">
        <v>4909</v>
      </c>
      <c r="J340" s="346" t="str">
        <f t="shared" si="3"/>
        <v/>
      </c>
      <c r="K340" s="28" t="str">
        <f t="shared" si="4"/>
        <v/>
      </c>
      <c r="L340" s="45">
        <f t="shared" si="5"/>
        <v>1</v>
      </c>
      <c r="M340" s="45" t="str">
        <f t="shared" si="6"/>
        <v/>
      </c>
      <c r="N340" s="45" t="str">
        <f t="shared" si="7"/>
        <v/>
      </c>
      <c r="O340" s="45" t="str">
        <f t="shared" si="8"/>
        <v/>
      </c>
      <c r="P340" s="45" t="str">
        <f t="shared" si="9"/>
        <v/>
      </c>
    </row>
    <row r="341" spans="1:16" ht="18">
      <c r="A341" s="92" t="s">
        <v>4727</v>
      </c>
      <c r="B341" s="345">
        <v>1999</v>
      </c>
      <c r="C341" s="92"/>
      <c r="D341" s="345">
        <v>10579255</v>
      </c>
      <c r="E341" s="278" t="str">
        <f t="shared" si="2"/>
        <v>https://pubmed.ncbi.nlm.nih.gov/?term=10579255</v>
      </c>
      <c r="F341" s="28" t="s">
        <v>511</v>
      </c>
      <c r="G341" s="28" t="s">
        <v>4867</v>
      </c>
      <c r="J341" s="346" t="str">
        <f t="shared" si="3"/>
        <v/>
      </c>
      <c r="K341" s="28" t="str">
        <f t="shared" si="4"/>
        <v/>
      </c>
      <c r="L341" s="45" t="str">
        <f t="shared" si="5"/>
        <v/>
      </c>
      <c r="M341" s="45" t="str">
        <f t="shared" si="6"/>
        <v/>
      </c>
      <c r="N341" s="45">
        <f t="shared" si="7"/>
        <v>1</v>
      </c>
      <c r="O341" s="45" t="str">
        <f t="shared" si="8"/>
        <v/>
      </c>
      <c r="P341" s="45" t="str">
        <f t="shared" si="9"/>
        <v/>
      </c>
    </row>
    <row r="342" spans="1:16" ht="18">
      <c r="A342" s="92" t="s">
        <v>4945</v>
      </c>
      <c r="B342" s="345">
        <v>1991</v>
      </c>
      <c r="C342" s="92"/>
      <c r="D342" s="345">
        <v>1806165</v>
      </c>
      <c r="E342" s="278" t="str">
        <f t="shared" si="2"/>
        <v>https://pubmed.ncbi.nlm.nih.gov/?term=1806165</v>
      </c>
      <c r="F342" s="28" t="s">
        <v>511</v>
      </c>
      <c r="G342" s="28" t="s">
        <v>4592</v>
      </c>
      <c r="J342" s="346">
        <f t="shared" si="3"/>
        <v>1</v>
      </c>
      <c r="K342" s="28" t="str">
        <f t="shared" si="4"/>
        <v/>
      </c>
      <c r="L342" s="45" t="str">
        <f t="shared" si="5"/>
        <v/>
      </c>
      <c r="M342" s="45" t="str">
        <f t="shared" si="6"/>
        <v/>
      </c>
      <c r="N342" s="45" t="str">
        <f t="shared" si="7"/>
        <v/>
      </c>
      <c r="O342" s="45" t="str">
        <f t="shared" si="8"/>
        <v/>
      </c>
      <c r="P342" s="45" t="str">
        <f t="shared" si="9"/>
        <v/>
      </c>
    </row>
    <row r="343" spans="1:16" ht="18">
      <c r="A343" s="92" t="s">
        <v>4946</v>
      </c>
      <c r="B343" s="345">
        <v>1995</v>
      </c>
      <c r="C343" s="92"/>
      <c r="D343" s="345">
        <v>8591736</v>
      </c>
      <c r="E343" s="278" t="str">
        <f t="shared" si="2"/>
        <v>https://pubmed.ncbi.nlm.nih.gov/?term=8591736</v>
      </c>
      <c r="F343" s="28" t="s">
        <v>511</v>
      </c>
      <c r="G343" s="28" t="s">
        <v>4536</v>
      </c>
      <c r="J343" s="346" t="str">
        <f t="shared" si="3"/>
        <v/>
      </c>
      <c r="K343" s="28">
        <f t="shared" si="4"/>
        <v>1</v>
      </c>
      <c r="L343" s="45" t="str">
        <f t="shared" si="5"/>
        <v/>
      </c>
      <c r="M343" s="45" t="str">
        <f t="shared" si="6"/>
        <v/>
      </c>
      <c r="N343" s="45" t="str">
        <f t="shared" si="7"/>
        <v/>
      </c>
      <c r="O343" s="45" t="str">
        <f t="shared" si="8"/>
        <v/>
      </c>
      <c r="P343" s="45" t="str">
        <f t="shared" si="9"/>
        <v/>
      </c>
    </row>
    <row r="344" spans="1:16" ht="18">
      <c r="A344" s="92" t="s">
        <v>4947</v>
      </c>
      <c r="B344" s="345">
        <v>1998</v>
      </c>
      <c r="C344" s="92" t="s">
        <v>4948</v>
      </c>
      <c r="D344" s="345">
        <v>9578860</v>
      </c>
      <c r="E344" s="278" t="str">
        <f t="shared" si="2"/>
        <v>https://pubmed.ncbi.nlm.nih.gov/?term=9578860</v>
      </c>
      <c r="F344" s="28" t="s">
        <v>511</v>
      </c>
      <c r="G344" s="28" t="s">
        <v>4949</v>
      </c>
      <c r="J344" s="346" t="str">
        <f t="shared" si="3"/>
        <v/>
      </c>
      <c r="K344" s="28" t="str">
        <f t="shared" si="4"/>
        <v/>
      </c>
      <c r="L344" s="45" t="str">
        <f t="shared" si="5"/>
        <v/>
      </c>
      <c r="M344" s="45" t="str">
        <f t="shared" si="6"/>
        <v/>
      </c>
      <c r="N344" s="45" t="str">
        <f t="shared" si="7"/>
        <v/>
      </c>
      <c r="O344" s="45">
        <f t="shared" si="8"/>
        <v>1</v>
      </c>
      <c r="P344" s="45" t="str">
        <f t="shared" si="9"/>
        <v/>
      </c>
    </row>
    <row r="345" spans="1:16" ht="18">
      <c r="A345" s="92" t="s">
        <v>4950</v>
      </c>
      <c r="B345" s="345">
        <v>1991</v>
      </c>
      <c r="C345" s="92" t="s">
        <v>4951</v>
      </c>
      <c r="D345" s="345">
        <v>1920629</v>
      </c>
      <c r="E345" s="278" t="str">
        <f t="shared" si="2"/>
        <v>https://pubmed.ncbi.nlm.nih.gov/?term=1920629</v>
      </c>
      <c r="F345" s="28" t="s">
        <v>511</v>
      </c>
      <c r="G345" s="28" t="s">
        <v>4909</v>
      </c>
      <c r="J345" s="346" t="str">
        <f t="shared" si="3"/>
        <v/>
      </c>
      <c r="K345" s="28" t="str">
        <f t="shared" si="4"/>
        <v/>
      </c>
      <c r="L345" s="45">
        <f t="shared" si="5"/>
        <v>1</v>
      </c>
      <c r="M345" s="45" t="str">
        <f t="shared" si="6"/>
        <v/>
      </c>
      <c r="N345" s="45" t="str">
        <f t="shared" si="7"/>
        <v/>
      </c>
      <c r="O345" s="45" t="str">
        <f t="shared" si="8"/>
        <v/>
      </c>
      <c r="P345" s="45" t="str">
        <f t="shared" si="9"/>
        <v/>
      </c>
    </row>
    <row r="346" spans="1:16" ht="18">
      <c r="A346" s="92" t="s">
        <v>2091</v>
      </c>
      <c r="B346" s="345">
        <v>2000</v>
      </c>
      <c r="C346" s="92"/>
      <c r="D346" s="345">
        <v>10998316</v>
      </c>
      <c r="E346" s="278" t="str">
        <f t="shared" si="2"/>
        <v>https://pubmed.ncbi.nlm.nih.gov/?term=10998316</v>
      </c>
      <c r="H346" s="28" t="s">
        <v>511</v>
      </c>
      <c r="J346" s="346" t="str">
        <f t="shared" si="3"/>
        <v/>
      </c>
      <c r="K346" s="28" t="str">
        <f t="shared" si="4"/>
        <v/>
      </c>
      <c r="L346" s="45" t="str">
        <f t="shared" si="5"/>
        <v/>
      </c>
      <c r="M346" s="45" t="str">
        <f t="shared" si="6"/>
        <v/>
      </c>
      <c r="N346" s="45" t="str">
        <f t="shared" si="7"/>
        <v/>
      </c>
      <c r="O346" s="45" t="str">
        <f t="shared" si="8"/>
        <v/>
      </c>
      <c r="P346" s="45" t="str">
        <f t="shared" si="9"/>
        <v/>
      </c>
    </row>
    <row r="347" spans="1:16" ht="18">
      <c r="A347" s="92" t="s">
        <v>4952</v>
      </c>
      <c r="B347" s="345">
        <v>1991</v>
      </c>
      <c r="C347" s="92"/>
      <c r="D347" s="345">
        <v>2024229</v>
      </c>
      <c r="E347" s="278" t="str">
        <f t="shared" si="2"/>
        <v>https://pubmed.ncbi.nlm.nih.gov/?term=2024229</v>
      </c>
      <c r="F347" s="28" t="s">
        <v>511</v>
      </c>
      <c r="G347" s="28" t="s">
        <v>4592</v>
      </c>
      <c r="J347" s="346">
        <f t="shared" si="3"/>
        <v>1</v>
      </c>
      <c r="K347" s="28" t="str">
        <f t="shared" si="4"/>
        <v/>
      </c>
      <c r="L347" s="45" t="str">
        <f t="shared" si="5"/>
        <v/>
      </c>
      <c r="M347" s="45" t="str">
        <f t="shared" si="6"/>
        <v/>
      </c>
      <c r="N347" s="45" t="str">
        <f t="shared" si="7"/>
        <v/>
      </c>
      <c r="O347" s="45" t="str">
        <f t="shared" si="8"/>
        <v/>
      </c>
      <c r="P347" s="45" t="str">
        <f t="shared" si="9"/>
        <v/>
      </c>
    </row>
    <row r="348" spans="1:16" ht="18">
      <c r="A348" s="92" t="s">
        <v>4953</v>
      </c>
      <c r="B348" s="345">
        <v>1994</v>
      </c>
      <c r="C348" s="92"/>
      <c r="D348" s="345">
        <v>7735940</v>
      </c>
      <c r="E348" s="278" t="str">
        <f t="shared" si="2"/>
        <v>https://pubmed.ncbi.nlm.nih.gov/?term=7735940</v>
      </c>
      <c r="F348" s="28" t="s">
        <v>511</v>
      </c>
      <c r="G348" s="28" t="s">
        <v>4909</v>
      </c>
      <c r="J348" s="346" t="str">
        <f t="shared" si="3"/>
        <v/>
      </c>
      <c r="K348" s="28" t="str">
        <f t="shared" si="4"/>
        <v/>
      </c>
      <c r="L348" s="45">
        <f t="shared" si="5"/>
        <v>1</v>
      </c>
      <c r="M348" s="45" t="str">
        <f t="shared" si="6"/>
        <v/>
      </c>
      <c r="N348" s="45" t="str">
        <f t="shared" si="7"/>
        <v/>
      </c>
      <c r="O348" s="45" t="str">
        <f t="shared" si="8"/>
        <v/>
      </c>
      <c r="P348" s="45" t="str">
        <f t="shared" si="9"/>
        <v/>
      </c>
    </row>
    <row r="349" spans="1:16" ht="18">
      <c r="A349" s="92" t="s">
        <v>4954</v>
      </c>
      <c r="B349" s="345">
        <v>1996</v>
      </c>
      <c r="C349" s="92" t="s">
        <v>4955</v>
      </c>
      <c r="D349" s="345">
        <v>8627790</v>
      </c>
      <c r="E349" s="278" t="str">
        <f t="shared" si="2"/>
        <v>https://pubmed.ncbi.nlm.nih.gov/?term=8627790</v>
      </c>
      <c r="F349" s="28" t="s">
        <v>511</v>
      </c>
      <c r="G349" s="28" t="s">
        <v>4956</v>
      </c>
      <c r="J349" s="346" t="str">
        <f t="shared" si="3"/>
        <v/>
      </c>
      <c r="K349" s="28" t="str">
        <f t="shared" si="4"/>
        <v/>
      </c>
      <c r="L349" s="45" t="str">
        <f t="shared" si="5"/>
        <v/>
      </c>
      <c r="M349" s="45" t="str">
        <f t="shared" si="6"/>
        <v/>
      </c>
      <c r="N349" s="45" t="str">
        <f t="shared" si="7"/>
        <v/>
      </c>
      <c r="O349" s="45">
        <f t="shared" si="8"/>
        <v>1</v>
      </c>
      <c r="P349" s="45" t="str">
        <f t="shared" si="9"/>
        <v/>
      </c>
    </row>
    <row r="350" spans="1:16" ht="18">
      <c r="A350" s="92" t="s">
        <v>4957</v>
      </c>
      <c r="B350" s="345">
        <v>1992</v>
      </c>
      <c r="C350" s="92"/>
      <c r="D350" s="345">
        <v>1626373</v>
      </c>
      <c r="E350" s="278" t="str">
        <f t="shared" si="2"/>
        <v>https://pubmed.ncbi.nlm.nih.gov/?term=1626373</v>
      </c>
      <c r="F350" s="28" t="s">
        <v>511</v>
      </c>
      <c r="G350" s="28" t="s">
        <v>4909</v>
      </c>
      <c r="J350" s="346" t="str">
        <f t="shared" si="3"/>
        <v/>
      </c>
      <c r="K350" s="28" t="str">
        <f t="shared" si="4"/>
        <v/>
      </c>
      <c r="L350" s="45">
        <f t="shared" si="5"/>
        <v>1</v>
      </c>
      <c r="M350" s="45" t="str">
        <f t="shared" si="6"/>
        <v/>
      </c>
      <c r="N350" s="45" t="str">
        <f t="shared" si="7"/>
        <v/>
      </c>
      <c r="O350" s="45" t="str">
        <f t="shared" si="8"/>
        <v/>
      </c>
      <c r="P350" s="45" t="str">
        <f t="shared" si="9"/>
        <v/>
      </c>
    </row>
    <row r="351" spans="1:16" ht="18">
      <c r="A351" s="92" t="s">
        <v>4958</v>
      </c>
      <c r="B351" s="345">
        <v>1999</v>
      </c>
      <c r="C351" s="92"/>
      <c r="D351" s="345">
        <v>9988188</v>
      </c>
      <c r="E351" s="278" t="str">
        <f t="shared" si="2"/>
        <v>https://pubmed.ncbi.nlm.nih.gov/?term=9988188</v>
      </c>
      <c r="F351" s="28" t="s">
        <v>511</v>
      </c>
      <c r="G351" s="28" t="s">
        <v>4909</v>
      </c>
      <c r="J351" s="346" t="str">
        <f t="shared" si="3"/>
        <v/>
      </c>
      <c r="K351" s="28" t="str">
        <f t="shared" si="4"/>
        <v/>
      </c>
      <c r="L351" s="45">
        <f t="shared" si="5"/>
        <v>1</v>
      </c>
      <c r="M351" s="45" t="str">
        <f t="shared" si="6"/>
        <v/>
      </c>
      <c r="N351" s="45" t="str">
        <f t="shared" si="7"/>
        <v/>
      </c>
      <c r="O351" s="45" t="str">
        <f t="shared" si="8"/>
        <v/>
      </c>
      <c r="P351" s="45" t="str">
        <f t="shared" si="9"/>
        <v/>
      </c>
    </row>
    <row r="352" spans="1:16" ht="18">
      <c r="A352" s="92" t="s">
        <v>4959</v>
      </c>
      <c r="B352" s="345">
        <v>1991</v>
      </c>
      <c r="C352" s="92"/>
      <c r="D352" s="345">
        <v>1859054</v>
      </c>
      <c r="E352" s="278" t="str">
        <f t="shared" si="2"/>
        <v>https://pubmed.ncbi.nlm.nih.gov/?term=1859054</v>
      </c>
      <c r="F352" s="28" t="s">
        <v>511</v>
      </c>
      <c r="G352" s="28" t="s">
        <v>4656</v>
      </c>
      <c r="J352" s="346">
        <f t="shared" si="3"/>
        <v>1</v>
      </c>
      <c r="K352" s="28" t="str">
        <f t="shared" si="4"/>
        <v/>
      </c>
      <c r="L352" s="45" t="str">
        <f t="shared" si="5"/>
        <v/>
      </c>
      <c r="M352" s="45" t="str">
        <f t="shared" si="6"/>
        <v/>
      </c>
      <c r="N352" s="45" t="str">
        <f t="shared" si="7"/>
        <v/>
      </c>
      <c r="O352" s="45" t="str">
        <f t="shared" si="8"/>
        <v/>
      </c>
      <c r="P352" s="45" t="str">
        <f t="shared" si="9"/>
        <v/>
      </c>
    </row>
    <row r="353" spans="1:16" ht="18">
      <c r="A353" s="92" t="s">
        <v>4960</v>
      </c>
      <c r="B353" s="345">
        <v>1993</v>
      </c>
      <c r="C353" s="92"/>
      <c r="D353" s="345">
        <v>8274243</v>
      </c>
      <c r="E353" s="278" t="str">
        <f t="shared" si="2"/>
        <v>https://pubmed.ncbi.nlm.nih.gov/?term=8274243</v>
      </c>
      <c r="F353" s="28" t="s">
        <v>511</v>
      </c>
      <c r="G353" s="28" t="s">
        <v>4592</v>
      </c>
      <c r="J353" s="346">
        <f t="shared" si="3"/>
        <v>1</v>
      </c>
      <c r="K353" s="28" t="str">
        <f t="shared" si="4"/>
        <v/>
      </c>
      <c r="L353" s="45" t="str">
        <f t="shared" si="5"/>
        <v/>
      </c>
      <c r="M353" s="45" t="str">
        <f t="shared" si="6"/>
        <v/>
      </c>
      <c r="N353" s="45" t="str">
        <f t="shared" si="7"/>
        <v/>
      </c>
      <c r="O353" s="45" t="str">
        <f t="shared" si="8"/>
        <v/>
      </c>
      <c r="P353" s="45" t="str">
        <f t="shared" si="9"/>
        <v/>
      </c>
    </row>
    <row r="354" spans="1:16" ht="18">
      <c r="A354" s="92" t="s">
        <v>4961</v>
      </c>
      <c r="B354" s="345">
        <v>1998</v>
      </c>
      <c r="C354" s="92"/>
      <c r="D354" s="345">
        <v>9846250</v>
      </c>
      <c r="E354" s="278" t="str">
        <f t="shared" si="2"/>
        <v>https://pubmed.ncbi.nlm.nih.gov/?term=9846250</v>
      </c>
      <c r="F354" s="28" t="s">
        <v>511</v>
      </c>
      <c r="G354" s="28" t="s">
        <v>4962</v>
      </c>
      <c r="J354" s="346" t="str">
        <f t="shared" si="3"/>
        <v/>
      </c>
      <c r="K354" s="28" t="str">
        <f t="shared" si="4"/>
        <v/>
      </c>
      <c r="L354" s="45" t="str">
        <f t="shared" si="5"/>
        <v/>
      </c>
      <c r="M354" s="45" t="str">
        <f t="shared" si="6"/>
        <v/>
      </c>
      <c r="N354" s="45" t="str">
        <f t="shared" si="7"/>
        <v/>
      </c>
      <c r="O354" s="45">
        <f t="shared" si="8"/>
        <v>1</v>
      </c>
      <c r="P354" s="45" t="str">
        <f t="shared" si="9"/>
        <v/>
      </c>
    </row>
    <row r="355" spans="1:16" ht="18">
      <c r="A355" s="92" t="s">
        <v>4963</v>
      </c>
      <c r="B355" s="345">
        <v>1990</v>
      </c>
      <c r="C355" s="92"/>
      <c r="D355" s="345">
        <v>2093613</v>
      </c>
      <c r="E355" s="278" t="str">
        <f t="shared" si="2"/>
        <v>https://pubmed.ncbi.nlm.nih.gov/?term=2093613</v>
      </c>
      <c r="F355" s="28" t="s">
        <v>511</v>
      </c>
      <c r="G355" s="28" t="s">
        <v>4909</v>
      </c>
      <c r="J355" s="346" t="str">
        <f t="shared" si="3"/>
        <v/>
      </c>
      <c r="K355" s="28" t="str">
        <f t="shared" si="4"/>
        <v/>
      </c>
      <c r="L355" s="45">
        <f t="shared" si="5"/>
        <v>1</v>
      </c>
      <c r="M355" s="45" t="str">
        <f t="shared" si="6"/>
        <v/>
      </c>
      <c r="N355" s="45" t="str">
        <f t="shared" si="7"/>
        <v/>
      </c>
      <c r="O355" s="45" t="str">
        <f t="shared" si="8"/>
        <v/>
      </c>
      <c r="P355" s="45" t="str">
        <f t="shared" si="9"/>
        <v/>
      </c>
    </row>
    <row r="356" spans="1:16" ht="18">
      <c r="A356" s="92" t="s">
        <v>1733</v>
      </c>
      <c r="B356" s="345">
        <v>1999</v>
      </c>
      <c r="C356" s="92"/>
      <c r="D356" s="345">
        <v>10474212</v>
      </c>
      <c r="E356" s="278" t="str">
        <f t="shared" si="2"/>
        <v>https://pubmed.ncbi.nlm.nih.gov/?term=10474212</v>
      </c>
      <c r="H356" s="28" t="s">
        <v>511</v>
      </c>
      <c r="J356" s="346" t="str">
        <f t="shared" si="3"/>
        <v/>
      </c>
      <c r="K356" s="28" t="str">
        <f t="shared" si="4"/>
        <v/>
      </c>
      <c r="L356" s="45" t="str">
        <f t="shared" si="5"/>
        <v/>
      </c>
      <c r="M356" s="45" t="str">
        <f t="shared" si="6"/>
        <v/>
      </c>
      <c r="N356" s="45" t="str">
        <f t="shared" si="7"/>
        <v/>
      </c>
      <c r="O356" s="45" t="str">
        <f t="shared" si="8"/>
        <v/>
      </c>
      <c r="P356" s="45" t="str">
        <f t="shared" si="9"/>
        <v/>
      </c>
    </row>
    <row r="357" spans="1:16" ht="18">
      <c r="A357" s="92" t="s">
        <v>4964</v>
      </c>
      <c r="B357" s="345">
        <v>1991</v>
      </c>
      <c r="C357" s="92"/>
      <c r="D357" s="345">
        <v>1660638</v>
      </c>
      <c r="E357" s="278" t="str">
        <f t="shared" si="2"/>
        <v>https://pubmed.ncbi.nlm.nih.gov/?term=1660638</v>
      </c>
      <c r="F357" s="28" t="s">
        <v>511</v>
      </c>
      <c r="G357" s="28" t="s">
        <v>4346</v>
      </c>
      <c r="J357" s="346" t="str">
        <f t="shared" si="3"/>
        <v/>
      </c>
      <c r="K357" s="28" t="str">
        <f t="shared" si="4"/>
        <v/>
      </c>
      <c r="L357" s="45">
        <f t="shared" si="5"/>
        <v>1</v>
      </c>
      <c r="M357" s="45" t="str">
        <f t="shared" si="6"/>
        <v/>
      </c>
      <c r="N357" s="45" t="str">
        <f t="shared" si="7"/>
        <v/>
      </c>
      <c r="O357" s="45" t="str">
        <f t="shared" si="8"/>
        <v/>
      </c>
      <c r="P357" s="45" t="str">
        <f t="shared" si="9"/>
        <v/>
      </c>
    </row>
    <row r="358" spans="1:16" ht="18">
      <c r="A358" s="92" t="s">
        <v>4965</v>
      </c>
      <c r="B358" s="345">
        <v>2000</v>
      </c>
      <c r="C358" s="92"/>
      <c r="D358" s="345">
        <v>11073159</v>
      </c>
      <c r="E358" s="278" t="str">
        <f t="shared" si="2"/>
        <v>https://pubmed.ncbi.nlm.nih.gov/?term=11073159</v>
      </c>
      <c r="F358" s="28" t="s">
        <v>511</v>
      </c>
      <c r="G358" s="28" t="s">
        <v>4966</v>
      </c>
      <c r="J358" s="346" t="str">
        <f t="shared" si="3"/>
        <v/>
      </c>
      <c r="K358" s="28" t="str">
        <f t="shared" si="4"/>
        <v/>
      </c>
      <c r="L358" s="45">
        <f t="shared" si="5"/>
        <v>1</v>
      </c>
      <c r="M358" s="45" t="str">
        <f t="shared" si="6"/>
        <v/>
      </c>
      <c r="N358" s="45" t="str">
        <f t="shared" si="7"/>
        <v/>
      </c>
      <c r="O358" s="45" t="str">
        <f t="shared" si="8"/>
        <v/>
      </c>
      <c r="P358" s="45" t="str">
        <f t="shared" si="9"/>
        <v/>
      </c>
    </row>
    <row r="359" spans="1:16" ht="18">
      <c r="A359" s="92" t="s">
        <v>4967</v>
      </c>
      <c r="B359" s="345">
        <v>1992</v>
      </c>
      <c r="C359" s="92"/>
      <c r="D359" s="345">
        <v>1478536</v>
      </c>
      <c r="E359" s="278" t="str">
        <f t="shared" si="2"/>
        <v>https://pubmed.ncbi.nlm.nih.gov/?term=1478536</v>
      </c>
      <c r="F359" s="28" t="s">
        <v>511</v>
      </c>
      <c r="G359" s="28" t="s">
        <v>4968</v>
      </c>
      <c r="J359" s="346" t="str">
        <f t="shared" si="3"/>
        <v/>
      </c>
      <c r="K359" s="28" t="str">
        <f t="shared" si="4"/>
        <v/>
      </c>
      <c r="L359" s="45" t="str">
        <f t="shared" si="5"/>
        <v/>
      </c>
      <c r="M359" s="45" t="str">
        <f t="shared" si="6"/>
        <v/>
      </c>
      <c r="N359" s="45" t="str">
        <f t="shared" si="7"/>
        <v/>
      </c>
      <c r="O359" s="45">
        <f t="shared" si="8"/>
        <v>1</v>
      </c>
      <c r="P359" s="45" t="str">
        <f t="shared" si="9"/>
        <v/>
      </c>
    </row>
    <row r="360" spans="1:16" ht="18">
      <c r="A360" s="92" t="s">
        <v>4969</v>
      </c>
      <c r="B360" s="345">
        <v>1992</v>
      </c>
      <c r="C360" s="92" t="s">
        <v>4970</v>
      </c>
      <c r="D360" s="345">
        <v>17424062</v>
      </c>
      <c r="E360" s="278" t="str">
        <f t="shared" si="2"/>
        <v>https://pubmed.ncbi.nlm.nih.gov/?term=17424062</v>
      </c>
      <c r="F360" s="28" t="s">
        <v>511</v>
      </c>
      <c r="G360" s="28" t="s">
        <v>4346</v>
      </c>
      <c r="J360" s="346" t="str">
        <f t="shared" si="3"/>
        <v/>
      </c>
      <c r="K360" s="28" t="str">
        <f t="shared" si="4"/>
        <v/>
      </c>
      <c r="L360" s="45">
        <f t="shared" si="5"/>
        <v>1</v>
      </c>
      <c r="M360" s="45" t="str">
        <f t="shared" si="6"/>
        <v/>
      </c>
      <c r="N360" s="45" t="str">
        <f t="shared" si="7"/>
        <v/>
      </c>
      <c r="O360" s="45" t="str">
        <f t="shared" si="8"/>
        <v/>
      </c>
      <c r="P360" s="45" t="str">
        <f t="shared" si="9"/>
        <v/>
      </c>
    </row>
    <row r="361" spans="1:16" ht="18">
      <c r="A361" s="92" t="s">
        <v>2371</v>
      </c>
      <c r="B361" s="345">
        <v>1993</v>
      </c>
      <c r="C361" s="92" t="s">
        <v>4971</v>
      </c>
      <c r="D361" s="345">
        <v>8383943</v>
      </c>
      <c r="E361" s="278" t="str">
        <f t="shared" si="2"/>
        <v>https://pubmed.ncbi.nlm.nih.gov/?term=8383943</v>
      </c>
      <c r="H361" s="28" t="s">
        <v>511</v>
      </c>
      <c r="J361" s="346" t="str">
        <f t="shared" si="3"/>
        <v/>
      </c>
      <c r="K361" s="28" t="str">
        <f t="shared" si="4"/>
        <v/>
      </c>
      <c r="L361" s="45" t="str">
        <f t="shared" si="5"/>
        <v/>
      </c>
      <c r="M361" s="45" t="str">
        <f t="shared" si="6"/>
        <v/>
      </c>
      <c r="N361" s="45" t="str">
        <f t="shared" si="7"/>
        <v/>
      </c>
      <c r="O361" s="45" t="str">
        <f t="shared" si="8"/>
        <v/>
      </c>
      <c r="P361" s="45" t="str">
        <f t="shared" si="9"/>
        <v/>
      </c>
    </row>
    <row r="362" spans="1:16" ht="18">
      <c r="A362" s="92" t="s">
        <v>4972</v>
      </c>
      <c r="B362" s="345">
        <v>1992</v>
      </c>
      <c r="C362" s="92"/>
      <c r="D362" s="345">
        <v>1332264</v>
      </c>
      <c r="E362" s="278" t="str">
        <f t="shared" si="2"/>
        <v>https://pubmed.ncbi.nlm.nih.gov/?term=1332264</v>
      </c>
      <c r="F362" s="28" t="s">
        <v>511</v>
      </c>
      <c r="G362" s="28" t="s">
        <v>4587</v>
      </c>
      <c r="J362" s="346" t="str">
        <f t="shared" si="3"/>
        <v/>
      </c>
      <c r="K362" s="28" t="str">
        <f t="shared" si="4"/>
        <v/>
      </c>
      <c r="L362" s="45" t="str">
        <f t="shared" si="5"/>
        <v/>
      </c>
      <c r="M362" s="45">
        <f t="shared" si="6"/>
        <v>1</v>
      </c>
      <c r="N362" s="45" t="str">
        <f t="shared" si="7"/>
        <v/>
      </c>
      <c r="O362" s="45" t="str">
        <f t="shared" si="8"/>
        <v/>
      </c>
      <c r="P362" s="45" t="str">
        <f t="shared" si="9"/>
        <v/>
      </c>
    </row>
    <row r="363" spans="1:16" ht="18">
      <c r="A363" s="92" t="s">
        <v>4973</v>
      </c>
      <c r="B363" s="345">
        <v>1993</v>
      </c>
      <c r="C363" s="92"/>
      <c r="D363" s="345">
        <v>8391229</v>
      </c>
      <c r="E363" s="278" t="str">
        <f t="shared" si="2"/>
        <v>https://pubmed.ncbi.nlm.nih.gov/?term=8391229</v>
      </c>
      <c r="F363" s="28" t="s">
        <v>511</v>
      </c>
      <c r="G363" s="28" t="s">
        <v>4346</v>
      </c>
      <c r="J363" s="346" t="str">
        <f t="shared" si="3"/>
        <v/>
      </c>
      <c r="K363" s="28" t="str">
        <f t="shared" si="4"/>
        <v/>
      </c>
      <c r="L363" s="45">
        <f t="shared" si="5"/>
        <v>1</v>
      </c>
      <c r="M363" s="45" t="str">
        <f t="shared" si="6"/>
        <v/>
      </c>
      <c r="N363" s="45" t="str">
        <f t="shared" si="7"/>
        <v/>
      </c>
      <c r="O363" s="45" t="str">
        <f t="shared" si="8"/>
        <v/>
      </c>
      <c r="P363" s="45" t="str">
        <f t="shared" si="9"/>
        <v/>
      </c>
    </row>
    <row r="364" spans="1:16" ht="18">
      <c r="A364" s="92" t="s">
        <v>4974</v>
      </c>
      <c r="B364" s="345">
        <v>1994</v>
      </c>
      <c r="C364" s="92" t="s">
        <v>4975</v>
      </c>
      <c r="D364" s="345">
        <v>8200998</v>
      </c>
      <c r="E364" s="278" t="str">
        <f t="shared" si="2"/>
        <v>https://pubmed.ncbi.nlm.nih.gov/?term=8200998</v>
      </c>
      <c r="F364" s="28" t="s">
        <v>511</v>
      </c>
      <c r="G364" s="28" t="s">
        <v>4976</v>
      </c>
      <c r="J364" s="346" t="str">
        <f t="shared" si="3"/>
        <v/>
      </c>
      <c r="K364" s="28" t="str">
        <f t="shared" si="4"/>
        <v/>
      </c>
      <c r="L364" s="45" t="str">
        <f t="shared" si="5"/>
        <v/>
      </c>
      <c r="M364" s="45" t="str">
        <f t="shared" si="6"/>
        <v/>
      </c>
      <c r="N364" s="45" t="str">
        <f t="shared" si="7"/>
        <v/>
      </c>
      <c r="O364" s="45">
        <f t="shared" si="8"/>
        <v>1</v>
      </c>
      <c r="P364" s="45" t="str">
        <f t="shared" si="9"/>
        <v/>
      </c>
    </row>
    <row r="365" spans="1:16" ht="18">
      <c r="A365" s="92" t="s">
        <v>4977</v>
      </c>
      <c r="B365" s="345">
        <v>1993</v>
      </c>
      <c r="C365" s="92"/>
      <c r="D365" s="345">
        <v>7777323</v>
      </c>
      <c r="E365" s="278" t="str">
        <f t="shared" si="2"/>
        <v>https://pubmed.ncbi.nlm.nih.gov/?term=7777323</v>
      </c>
      <c r="F365" s="28" t="s">
        <v>511</v>
      </c>
      <c r="G365" s="28" t="s">
        <v>4978</v>
      </c>
      <c r="J365" s="346" t="str">
        <f t="shared" si="3"/>
        <v/>
      </c>
      <c r="K365" s="28" t="str">
        <f t="shared" si="4"/>
        <v/>
      </c>
      <c r="L365" s="45" t="str">
        <f t="shared" si="5"/>
        <v/>
      </c>
      <c r="M365" s="45" t="str">
        <f t="shared" si="6"/>
        <v/>
      </c>
      <c r="N365" s="45" t="str">
        <f t="shared" si="7"/>
        <v/>
      </c>
      <c r="O365" s="45">
        <f t="shared" si="8"/>
        <v>1</v>
      </c>
      <c r="P365" s="45" t="str">
        <f t="shared" si="9"/>
        <v/>
      </c>
    </row>
    <row r="366" spans="1:16" ht="18">
      <c r="A366" s="92" t="s">
        <v>4979</v>
      </c>
      <c r="B366" s="345">
        <v>1995</v>
      </c>
      <c r="C366" s="92"/>
      <c r="D366" s="345">
        <v>7502876</v>
      </c>
      <c r="E366" s="278" t="str">
        <f t="shared" si="2"/>
        <v>https://pubmed.ncbi.nlm.nih.gov/?term=7502876</v>
      </c>
      <c r="F366" s="28" t="s">
        <v>511</v>
      </c>
      <c r="G366" s="28" t="s">
        <v>4346</v>
      </c>
      <c r="J366" s="346" t="str">
        <f t="shared" si="3"/>
        <v/>
      </c>
      <c r="K366" s="28" t="str">
        <f t="shared" si="4"/>
        <v/>
      </c>
      <c r="L366" s="45">
        <f t="shared" si="5"/>
        <v>1</v>
      </c>
      <c r="M366" s="45" t="str">
        <f t="shared" si="6"/>
        <v/>
      </c>
      <c r="N366" s="45" t="str">
        <f t="shared" si="7"/>
        <v/>
      </c>
      <c r="O366" s="45" t="str">
        <f t="shared" si="8"/>
        <v/>
      </c>
      <c r="P366" s="45" t="str">
        <f t="shared" si="9"/>
        <v/>
      </c>
    </row>
    <row r="367" spans="1:16" ht="18">
      <c r="A367" s="92" t="s">
        <v>4980</v>
      </c>
      <c r="B367" s="345">
        <v>2000</v>
      </c>
      <c r="C367" s="92"/>
      <c r="D367" s="345">
        <v>10817634</v>
      </c>
      <c r="E367" s="278" t="str">
        <f t="shared" si="2"/>
        <v>https://pubmed.ncbi.nlm.nih.gov/?term=10817634</v>
      </c>
      <c r="F367" s="28" t="s">
        <v>511</v>
      </c>
      <c r="G367" s="28" t="s">
        <v>4981</v>
      </c>
      <c r="J367" s="346" t="str">
        <f t="shared" si="3"/>
        <v/>
      </c>
      <c r="K367" s="28" t="str">
        <f t="shared" si="4"/>
        <v/>
      </c>
      <c r="L367" s="45" t="str">
        <f t="shared" si="5"/>
        <v/>
      </c>
      <c r="M367" s="45" t="str">
        <f t="shared" si="6"/>
        <v/>
      </c>
      <c r="N367" s="45" t="str">
        <f t="shared" si="7"/>
        <v/>
      </c>
      <c r="O367" s="45">
        <f t="shared" si="8"/>
        <v>1</v>
      </c>
      <c r="P367" s="45" t="str">
        <f t="shared" si="9"/>
        <v/>
      </c>
    </row>
    <row r="368" spans="1:16" ht="18">
      <c r="A368" s="92" t="s">
        <v>4982</v>
      </c>
      <c r="B368" s="345">
        <v>1997</v>
      </c>
      <c r="C368" s="92"/>
      <c r="D368" s="345">
        <v>9151474</v>
      </c>
      <c r="E368" s="278" t="str">
        <f t="shared" si="2"/>
        <v>https://pubmed.ncbi.nlm.nih.gov/?term=9151474</v>
      </c>
      <c r="F368" s="28" t="s">
        <v>511</v>
      </c>
      <c r="G368" s="28" t="s">
        <v>4346</v>
      </c>
      <c r="J368" s="346" t="str">
        <f t="shared" si="3"/>
        <v/>
      </c>
      <c r="K368" s="28" t="str">
        <f t="shared" si="4"/>
        <v/>
      </c>
      <c r="L368" s="45">
        <f t="shared" si="5"/>
        <v>1</v>
      </c>
      <c r="M368" s="45" t="str">
        <f t="shared" si="6"/>
        <v/>
      </c>
      <c r="N368" s="45" t="str">
        <f t="shared" si="7"/>
        <v/>
      </c>
      <c r="O368" s="45" t="str">
        <f t="shared" si="8"/>
        <v/>
      </c>
      <c r="P368" s="45" t="str">
        <f t="shared" si="9"/>
        <v/>
      </c>
    </row>
    <row r="369" spans="1:16" ht="18">
      <c r="A369" s="92" t="s">
        <v>2289</v>
      </c>
      <c r="B369" s="345">
        <v>1992</v>
      </c>
      <c r="C369" s="92"/>
      <c r="D369" s="345">
        <v>1323974</v>
      </c>
      <c r="E369" s="278" t="str">
        <f t="shared" si="2"/>
        <v>https://pubmed.ncbi.nlm.nih.gov/?term=1323974</v>
      </c>
      <c r="H369" s="28" t="s">
        <v>511</v>
      </c>
      <c r="J369" s="346" t="str">
        <f t="shared" si="3"/>
        <v/>
      </c>
      <c r="K369" s="28" t="str">
        <f t="shared" si="4"/>
        <v/>
      </c>
      <c r="L369" s="45" t="str">
        <f t="shared" si="5"/>
        <v/>
      </c>
      <c r="M369" s="45" t="str">
        <f t="shared" si="6"/>
        <v/>
      </c>
      <c r="N369" s="45" t="str">
        <f t="shared" si="7"/>
        <v/>
      </c>
      <c r="O369" s="45" t="str">
        <f t="shared" si="8"/>
        <v/>
      </c>
      <c r="P369" s="45" t="str">
        <f t="shared" si="9"/>
        <v/>
      </c>
    </row>
    <row r="370" spans="1:16" ht="18">
      <c r="A370" s="92" t="s">
        <v>2021</v>
      </c>
      <c r="B370" s="345">
        <v>1994</v>
      </c>
      <c r="C370" s="92"/>
      <c r="D370" s="345">
        <v>7893886</v>
      </c>
      <c r="E370" s="278" t="str">
        <f t="shared" si="2"/>
        <v>https://pubmed.ncbi.nlm.nih.gov/?term=7893886</v>
      </c>
      <c r="H370" s="28" t="s">
        <v>511</v>
      </c>
      <c r="J370" s="346" t="str">
        <f t="shared" si="3"/>
        <v/>
      </c>
      <c r="K370" s="28" t="str">
        <f t="shared" si="4"/>
        <v/>
      </c>
      <c r="L370" s="45" t="str">
        <f t="shared" si="5"/>
        <v/>
      </c>
      <c r="M370" s="45" t="str">
        <f t="shared" si="6"/>
        <v/>
      </c>
      <c r="N370" s="45" t="str">
        <f t="shared" si="7"/>
        <v/>
      </c>
      <c r="O370" s="45" t="str">
        <f t="shared" si="8"/>
        <v/>
      </c>
      <c r="P370" s="45" t="str">
        <f t="shared" si="9"/>
        <v/>
      </c>
    </row>
    <row r="371" spans="1:16" ht="18">
      <c r="A371" s="92" t="s">
        <v>4983</v>
      </c>
      <c r="B371" s="345">
        <v>1993</v>
      </c>
      <c r="C371" s="92"/>
      <c r="D371" s="345">
        <v>8266017</v>
      </c>
      <c r="E371" s="278" t="str">
        <f t="shared" si="2"/>
        <v>https://pubmed.ncbi.nlm.nih.gov/?term=8266017</v>
      </c>
      <c r="F371" s="28" t="s">
        <v>511</v>
      </c>
      <c r="G371" s="28" t="s">
        <v>4346</v>
      </c>
      <c r="J371" s="346" t="str">
        <f t="shared" si="3"/>
        <v/>
      </c>
      <c r="K371" s="28" t="str">
        <f t="shared" si="4"/>
        <v/>
      </c>
      <c r="L371" s="45">
        <f t="shared" si="5"/>
        <v>1</v>
      </c>
      <c r="M371" s="45" t="str">
        <f t="shared" si="6"/>
        <v/>
      </c>
      <c r="N371" s="45" t="str">
        <f t="shared" si="7"/>
        <v/>
      </c>
      <c r="O371" s="45" t="str">
        <f t="shared" si="8"/>
        <v/>
      </c>
      <c r="P371" s="45" t="str">
        <f t="shared" si="9"/>
        <v/>
      </c>
    </row>
    <row r="372" spans="1:16" ht="18">
      <c r="A372" s="92" t="s">
        <v>4984</v>
      </c>
      <c r="B372" s="345">
        <v>1990</v>
      </c>
      <c r="C372" s="92" t="s">
        <v>4985</v>
      </c>
      <c r="D372" s="345">
        <v>2165848</v>
      </c>
      <c r="E372" s="278" t="str">
        <f t="shared" si="2"/>
        <v>https://pubmed.ncbi.nlm.nih.gov/?term=2165848</v>
      </c>
      <c r="F372" s="28" t="s">
        <v>511</v>
      </c>
      <c r="G372" s="28" t="s">
        <v>4346</v>
      </c>
      <c r="J372" s="346" t="str">
        <f t="shared" si="3"/>
        <v/>
      </c>
      <c r="K372" s="28" t="str">
        <f t="shared" si="4"/>
        <v/>
      </c>
      <c r="L372" s="45">
        <f t="shared" si="5"/>
        <v>1</v>
      </c>
      <c r="M372" s="45" t="str">
        <f t="shared" si="6"/>
        <v/>
      </c>
      <c r="N372" s="45" t="str">
        <f t="shared" si="7"/>
        <v/>
      </c>
      <c r="O372" s="45" t="str">
        <f t="shared" si="8"/>
        <v/>
      </c>
      <c r="P372" s="45" t="str">
        <f t="shared" si="9"/>
        <v/>
      </c>
    </row>
    <row r="373" spans="1:16" ht="18">
      <c r="A373" s="92" t="s">
        <v>4986</v>
      </c>
      <c r="B373" s="345">
        <v>1990</v>
      </c>
      <c r="C373" s="92"/>
      <c r="D373" s="345">
        <v>2176532</v>
      </c>
      <c r="E373" s="278" t="str">
        <f t="shared" si="2"/>
        <v>https://pubmed.ncbi.nlm.nih.gov/?term=2176532</v>
      </c>
      <c r="F373" s="28" t="s">
        <v>511</v>
      </c>
      <c r="G373" s="28" t="s">
        <v>4587</v>
      </c>
      <c r="J373" s="346" t="str">
        <f t="shared" si="3"/>
        <v/>
      </c>
      <c r="K373" s="28" t="str">
        <f t="shared" si="4"/>
        <v/>
      </c>
      <c r="L373" s="45" t="str">
        <f t="shared" si="5"/>
        <v/>
      </c>
      <c r="M373" s="45">
        <f t="shared" si="6"/>
        <v>1</v>
      </c>
      <c r="N373" s="45" t="str">
        <f t="shared" si="7"/>
        <v/>
      </c>
      <c r="O373" s="45" t="str">
        <f t="shared" si="8"/>
        <v/>
      </c>
      <c r="P373" s="45" t="str">
        <f t="shared" si="9"/>
        <v/>
      </c>
    </row>
    <row r="374" spans="1:16" ht="18">
      <c r="A374" s="92" t="s">
        <v>4987</v>
      </c>
      <c r="B374" s="345">
        <v>1993</v>
      </c>
      <c r="C374" s="92"/>
      <c r="D374" s="345">
        <v>8237198</v>
      </c>
      <c r="E374" s="278" t="str">
        <f t="shared" si="2"/>
        <v>https://pubmed.ncbi.nlm.nih.gov/?term=8237198</v>
      </c>
      <c r="F374" s="28" t="s">
        <v>511</v>
      </c>
      <c r="G374" s="28" t="s">
        <v>4346</v>
      </c>
      <c r="J374" s="346" t="str">
        <f t="shared" si="3"/>
        <v/>
      </c>
      <c r="K374" s="28" t="str">
        <f t="shared" si="4"/>
        <v/>
      </c>
      <c r="L374" s="45">
        <f t="shared" si="5"/>
        <v>1</v>
      </c>
      <c r="M374" s="45" t="str">
        <f t="shared" si="6"/>
        <v/>
      </c>
      <c r="N374" s="45" t="str">
        <f t="shared" si="7"/>
        <v/>
      </c>
      <c r="O374" s="45" t="str">
        <f t="shared" si="8"/>
        <v/>
      </c>
      <c r="P374" s="45" t="str">
        <f t="shared" si="9"/>
        <v/>
      </c>
    </row>
    <row r="375" spans="1:16" ht="18">
      <c r="A375" s="92" t="s">
        <v>4988</v>
      </c>
      <c r="B375" s="345">
        <v>1993</v>
      </c>
      <c r="C375" s="92"/>
      <c r="D375" s="345">
        <v>8274235</v>
      </c>
      <c r="E375" s="278" t="str">
        <f t="shared" si="2"/>
        <v>https://pubmed.ncbi.nlm.nih.gov/?term=8274235</v>
      </c>
      <c r="F375" s="28" t="s">
        <v>511</v>
      </c>
      <c r="G375" s="28" t="s">
        <v>4587</v>
      </c>
      <c r="J375" s="346" t="str">
        <f t="shared" si="3"/>
        <v/>
      </c>
      <c r="K375" s="28" t="str">
        <f t="shared" si="4"/>
        <v/>
      </c>
      <c r="L375" s="45" t="str">
        <f t="shared" si="5"/>
        <v/>
      </c>
      <c r="M375" s="45">
        <f t="shared" si="6"/>
        <v>1</v>
      </c>
      <c r="N375" s="45" t="str">
        <f t="shared" si="7"/>
        <v/>
      </c>
      <c r="O375" s="45" t="str">
        <f t="shared" si="8"/>
        <v/>
      </c>
      <c r="P375" s="45" t="str">
        <f t="shared" si="9"/>
        <v/>
      </c>
    </row>
    <row r="376" spans="1:16" ht="18">
      <c r="A376" s="92" t="s">
        <v>4989</v>
      </c>
      <c r="B376" s="345">
        <v>1993</v>
      </c>
      <c r="C376" s="92"/>
      <c r="D376" s="345">
        <v>8479350</v>
      </c>
      <c r="E376" s="278" t="str">
        <f t="shared" si="2"/>
        <v>https://pubmed.ncbi.nlm.nih.gov/?term=8479350</v>
      </c>
      <c r="F376" s="28" t="s">
        <v>511</v>
      </c>
      <c r="G376" s="28" t="s">
        <v>4990</v>
      </c>
      <c r="J376" s="346" t="str">
        <f t="shared" si="3"/>
        <v/>
      </c>
      <c r="K376" s="28" t="str">
        <f t="shared" si="4"/>
        <v/>
      </c>
      <c r="L376" s="45" t="str">
        <f t="shared" si="5"/>
        <v/>
      </c>
      <c r="M376" s="45" t="str">
        <f t="shared" si="6"/>
        <v/>
      </c>
      <c r="N376" s="45" t="str">
        <f t="shared" si="7"/>
        <v/>
      </c>
      <c r="O376" s="45">
        <f t="shared" si="8"/>
        <v>1</v>
      </c>
      <c r="P376" s="45" t="str">
        <f t="shared" si="9"/>
        <v/>
      </c>
    </row>
    <row r="377" spans="1:16" ht="18">
      <c r="A377" s="92" t="s">
        <v>4991</v>
      </c>
      <c r="B377" s="345">
        <v>1995</v>
      </c>
      <c r="C377" s="92"/>
      <c r="D377" s="345">
        <v>7601702</v>
      </c>
      <c r="E377" s="278" t="str">
        <f t="shared" si="2"/>
        <v>https://pubmed.ncbi.nlm.nih.gov/?term=7601702</v>
      </c>
      <c r="F377" s="28" t="s">
        <v>511</v>
      </c>
      <c r="G377" s="28" t="s">
        <v>4536</v>
      </c>
      <c r="J377" s="346" t="str">
        <f t="shared" si="3"/>
        <v/>
      </c>
      <c r="K377" s="28">
        <f t="shared" si="4"/>
        <v>1</v>
      </c>
      <c r="L377" s="45" t="str">
        <f t="shared" si="5"/>
        <v/>
      </c>
      <c r="M377" s="45" t="str">
        <f t="shared" si="6"/>
        <v/>
      </c>
      <c r="N377" s="45" t="str">
        <f t="shared" si="7"/>
        <v/>
      </c>
      <c r="O377" s="45" t="str">
        <f t="shared" si="8"/>
        <v/>
      </c>
      <c r="P377" s="45" t="str">
        <f t="shared" si="9"/>
        <v/>
      </c>
    </row>
    <row r="378" spans="1:16" ht="18">
      <c r="A378" s="92" t="s">
        <v>4992</v>
      </c>
      <c r="B378" s="345">
        <v>1990</v>
      </c>
      <c r="C378" s="92" t="s">
        <v>4993</v>
      </c>
      <c r="D378" s="345">
        <v>2107204</v>
      </c>
      <c r="E378" s="278" t="str">
        <f t="shared" si="2"/>
        <v>https://pubmed.ncbi.nlm.nih.gov/?term=2107204</v>
      </c>
      <c r="F378" s="28" t="s">
        <v>511</v>
      </c>
      <c r="G378" s="28" t="s">
        <v>4346</v>
      </c>
      <c r="J378" s="346" t="str">
        <f t="shared" si="3"/>
        <v/>
      </c>
      <c r="K378" s="28" t="str">
        <f t="shared" si="4"/>
        <v/>
      </c>
      <c r="L378" s="45">
        <f t="shared" si="5"/>
        <v>1</v>
      </c>
      <c r="M378" s="45" t="str">
        <f t="shared" si="6"/>
        <v/>
      </c>
      <c r="N378" s="45" t="str">
        <f t="shared" si="7"/>
        <v/>
      </c>
      <c r="O378" s="45" t="str">
        <f t="shared" si="8"/>
        <v/>
      </c>
      <c r="P378" s="45" t="str">
        <f t="shared" si="9"/>
        <v/>
      </c>
    </row>
    <row r="379" spans="1:16" ht="18">
      <c r="A379" s="92" t="s">
        <v>4994</v>
      </c>
      <c r="B379" s="345">
        <v>1990</v>
      </c>
      <c r="C379" s="92"/>
      <c r="D379" s="345">
        <v>2227400</v>
      </c>
      <c r="E379" s="278" t="str">
        <f t="shared" si="2"/>
        <v>https://pubmed.ncbi.nlm.nih.gov/?term=2227400</v>
      </c>
      <c r="F379" s="28" t="s">
        <v>511</v>
      </c>
      <c r="G379" s="28" t="s">
        <v>4587</v>
      </c>
      <c r="J379" s="346" t="str">
        <f t="shared" si="3"/>
        <v/>
      </c>
      <c r="K379" s="28" t="str">
        <f t="shared" si="4"/>
        <v/>
      </c>
      <c r="L379" s="45" t="str">
        <f t="shared" si="5"/>
        <v/>
      </c>
      <c r="M379" s="45">
        <f t="shared" si="6"/>
        <v>1</v>
      </c>
      <c r="N379" s="45" t="str">
        <f t="shared" si="7"/>
        <v/>
      </c>
      <c r="O379" s="45" t="str">
        <f t="shared" si="8"/>
        <v/>
      </c>
      <c r="P379" s="45" t="str">
        <f t="shared" si="9"/>
        <v/>
      </c>
    </row>
    <row r="380" spans="1:16" ht="18">
      <c r="A380" s="92" t="s">
        <v>4995</v>
      </c>
      <c r="B380" s="345">
        <v>1990</v>
      </c>
      <c r="C380" s="92"/>
      <c r="D380" s="345">
        <v>2175064</v>
      </c>
      <c r="E380" s="278" t="str">
        <f t="shared" si="2"/>
        <v>https://pubmed.ncbi.nlm.nih.gov/?term=2175064</v>
      </c>
      <c r="F380" s="28" t="s">
        <v>511</v>
      </c>
      <c r="G380" s="28" t="s">
        <v>4587</v>
      </c>
      <c r="J380" s="346" t="str">
        <f t="shared" si="3"/>
        <v/>
      </c>
      <c r="K380" s="28" t="str">
        <f t="shared" si="4"/>
        <v/>
      </c>
      <c r="L380" s="45" t="str">
        <f t="shared" si="5"/>
        <v/>
      </c>
      <c r="M380" s="45">
        <f t="shared" si="6"/>
        <v>1</v>
      </c>
      <c r="N380" s="45" t="str">
        <f t="shared" si="7"/>
        <v/>
      </c>
      <c r="O380" s="45" t="str">
        <f t="shared" si="8"/>
        <v/>
      </c>
      <c r="P380" s="45" t="str">
        <f t="shared" si="9"/>
        <v/>
      </c>
    </row>
    <row r="381" spans="1:16" ht="18">
      <c r="A381" s="92" t="s">
        <v>4996</v>
      </c>
      <c r="B381" s="345">
        <v>1999</v>
      </c>
      <c r="C381" s="92"/>
      <c r="D381" s="345">
        <v>11798711</v>
      </c>
      <c r="E381" s="278" t="str">
        <f t="shared" si="2"/>
        <v>https://pubmed.ncbi.nlm.nih.gov/?term=11798711</v>
      </c>
      <c r="F381" s="28" t="s">
        <v>511</v>
      </c>
      <c r="G381" s="28" t="s">
        <v>4587</v>
      </c>
      <c r="J381" s="346" t="str">
        <f t="shared" si="3"/>
        <v/>
      </c>
      <c r="K381" s="28" t="str">
        <f t="shared" si="4"/>
        <v/>
      </c>
      <c r="L381" s="45" t="str">
        <f t="shared" si="5"/>
        <v/>
      </c>
      <c r="M381" s="45">
        <f t="shared" si="6"/>
        <v>1</v>
      </c>
      <c r="N381" s="45" t="str">
        <f t="shared" si="7"/>
        <v/>
      </c>
      <c r="O381" s="45" t="str">
        <f t="shared" si="8"/>
        <v/>
      </c>
      <c r="P381" s="45" t="str">
        <f t="shared" si="9"/>
        <v/>
      </c>
    </row>
    <row r="382" spans="1:16" ht="18">
      <c r="A382" s="92" t="s">
        <v>4997</v>
      </c>
      <c r="B382" s="345">
        <v>1999</v>
      </c>
      <c r="C382" s="92"/>
      <c r="D382" s="345">
        <v>10632989</v>
      </c>
      <c r="E382" s="278" t="str">
        <f t="shared" si="2"/>
        <v>https://pubmed.ncbi.nlm.nih.gov/?term=10632989</v>
      </c>
      <c r="F382" s="28" t="s">
        <v>511</v>
      </c>
      <c r="G382" s="28" t="s">
        <v>4998</v>
      </c>
      <c r="J382" s="346" t="str">
        <f t="shared" si="3"/>
        <v/>
      </c>
      <c r="K382" s="28" t="str">
        <f t="shared" si="4"/>
        <v/>
      </c>
      <c r="L382" s="45" t="str">
        <f t="shared" si="5"/>
        <v/>
      </c>
      <c r="M382" s="45" t="str">
        <f t="shared" si="6"/>
        <v/>
      </c>
      <c r="N382" s="45" t="str">
        <f t="shared" si="7"/>
        <v/>
      </c>
      <c r="O382" s="45">
        <f t="shared" si="8"/>
        <v>1</v>
      </c>
      <c r="P382" s="45" t="str">
        <f t="shared" si="9"/>
        <v/>
      </c>
    </row>
    <row r="383" spans="1:16" ht="18">
      <c r="A383" s="92" t="s">
        <v>4999</v>
      </c>
      <c r="B383" s="345">
        <v>1994</v>
      </c>
      <c r="C383" s="92"/>
      <c r="D383" s="345">
        <v>8072763</v>
      </c>
      <c r="E383" s="278" t="str">
        <f t="shared" si="2"/>
        <v>https://pubmed.ncbi.nlm.nih.gov/?term=8072763</v>
      </c>
      <c r="F383" s="28" t="s">
        <v>511</v>
      </c>
      <c r="G383" s="28" t="s">
        <v>4587</v>
      </c>
      <c r="J383" s="346" t="str">
        <f t="shared" si="3"/>
        <v/>
      </c>
      <c r="K383" s="28" t="str">
        <f t="shared" si="4"/>
        <v/>
      </c>
      <c r="L383" s="45" t="str">
        <f t="shared" si="5"/>
        <v/>
      </c>
      <c r="M383" s="45">
        <f t="shared" si="6"/>
        <v>1</v>
      </c>
      <c r="N383" s="45" t="str">
        <f t="shared" si="7"/>
        <v/>
      </c>
      <c r="O383" s="45" t="str">
        <f t="shared" si="8"/>
        <v/>
      </c>
      <c r="P383" s="45" t="str">
        <f t="shared" si="9"/>
        <v/>
      </c>
    </row>
    <row r="384" spans="1:16" ht="18">
      <c r="A384" s="92" t="s">
        <v>5000</v>
      </c>
      <c r="B384" s="345">
        <v>2000</v>
      </c>
      <c r="C384" s="92"/>
      <c r="D384" s="345">
        <v>10864514</v>
      </c>
      <c r="E384" s="278" t="str">
        <f t="shared" si="2"/>
        <v>https://pubmed.ncbi.nlm.nih.gov/?term=10864514</v>
      </c>
      <c r="F384" s="28" t="s">
        <v>511</v>
      </c>
      <c r="G384" s="28" t="s">
        <v>4346</v>
      </c>
      <c r="J384" s="346" t="str">
        <f t="shared" si="3"/>
        <v/>
      </c>
      <c r="K384" s="28" t="str">
        <f t="shared" si="4"/>
        <v/>
      </c>
      <c r="L384" s="45">
        <f t="shared" si="5"/>
        <v>1</v>
      </c>
      <c r="M384" s="45" t="str">
        <f t="shared" si="6"/>
        <v/>
      </c>
      <c r="N384" s="45" t="str">
        <f t="shared" si="7"/>
        <v/>
      </c>
      <c r="O384" s="45" t="str">
        <f t="shared" si="8"/>
        <v/>
      </c>
      <c r="P384" s="45" t="str">
        <f t="shared" si="9"/>
        <v/>
      </c>
    </row>
    <row r="385" spans="1:16" ht="18">
      <c r="A385" s="92" t="s">
        <v>4790</v>
      </c>
      <c r="B385" s="345">
        <v>1999</v>
      </c>
      <c r="C385" s="92"/>
      <c r="D385" s="345">
        <v>10475720</v>
      </c>
      <c r="E385" s="278" t="str">
        <f t="shared" si="2"/>
        <v>https://pubmed.ncbi.nlm.nih.gov/?term=10475720</v>
      </c>
      <c r="F385" s="28" t="s">
        <v>511</v>
      </c>
      <c r="G385" s="28" t="s">
        <v>4867</v>
      </c>
      <c r="J385" s="346" t="str">
        <f t="shared" si="3"/>
        <v/>
      </c>
      <c r="K385" s="28" t="str">
        <f t="shared" si="4"/>
        <v/>
      </c>
      <c r="L385" s="45" t="str">
        <f t="shared" si="5"/>
        <v/>
      </c>
      <c r="M385" s="45" t="str">
        <f t="shared" si="6"/>
        <v/>
      </c>
      <c r="N385" s="45">
        <f t="shared" si="7"/>
        <v>1</v>
      </c>
      <c r="O385" s="45" t="str">
        <f t="shared" si="8"/>
        <v/>
      </c>
      <c r="P385" s="45" t="str">
        <f t="shared" si="9"/>
        <v/>
      </c>
    </row>
    <row r="386" spans="1:16" ht="18">
      <c r="A386" s="92" t="s">
        <v>5001</v>
      </c>
      <c r="B386" s="345">
        <v>1999</v>
      </c>
      <c r="C386" s="92"/>
      <c r="D386" s="345">
        <v>10331961</v>
      </c>
      <c r="E386" s="278" t="str">
        <f t="shared" si="2"/>
        <v>https://pubmed.ncbi.nlm.nih.gov/?term=10331961</v>
      </c>
      <c r="F386" s="28" t="s">
        <v>511</v>
      </c>
      <c r="G386" s="28" t="s">
        <v>4536</v>
      </c>
      <c r="J386" s="346" t="str">
        <f t="shared" si="3"/>
        <v/>
      </c>
      <c r="K386" s="28">
        <f t="shared" si="4"/>
        <v>1</v>
      </c>
      <c r="L386" s="45" t="str">
        <f t="shared" si="5"/>
        <v/>
      </c>
      <c r="M386" s="45" t="str">
        <f t="shared" si="6"/>
        <v/>
      </c>
      <c r="N386" s="45" t="str">
        <f t="shared" si="7"/>
        <v/>
      </c>
      <c r="O386" s="45" t="str">
        <f t="shared" si="8"/>
        <v/>
      </c>
      <c r="P386" s="45" t="str">
        <f t="shared" si="9"/>
        <v/>
      </c>
    </row>
    <row r="387" spans="1:16" ht="18">
      <c r="A387" s="92" t="s">
        <v>5002</v>
      </c>
      <c r="B387" s="345">
        <v>1993</v>
      </c>
      <c r="C387" s="92"/>
      <c r="D387" s="345">
        <v>8212568</v>
      </c>
      <c r="E387" s="278" t="str">
        <f t="shared" si="2"/>
        <v>https://pubmed.ncbi.nlm.nih.gov/?term=8212568</v>
      </c>
      <c r="F387" s="28" t="s">
        <v>511</v>
      </c>
      <c r="G387" s="28" t="s">
        <v>4346</v>
      </c>
      <c r="J387" s="346" t="str">
        <f t="shared" si="3"/>
        <v/>
      </c>
      <c r="K387" s="28" t="str">
        <f t="shared" si="4"/>
        <v/>
      </c>
      <c r="L387" s="45">
        <f t="shared" si="5"/>
        <v>1</v>
      </c>
      <c r="M387" s="45" t="str">
        <f t="shared" si="6"/>
        <v/>
      </c>
      <c r="N387" s="45" t="str">
        <f t="shared" si="7"/>
        <v/>
      </c>
      <c r="O387" s="45" t="str">
        <f t="shared" si="8"/>
        <v/>
      </c>
      <c r="P387" s="45" t="str">
        <f t="shared" si="9"/>
        <v/>
      </c>
    </row>
    <row r="388" spans="1:16" ht="18">
      <c r="A388" s="92" t="s">
        <v>5003</v>
      </c>
      <c r="B388" s="345">
        <v>1999</v>
      </c>
      <c r="C388" s="92"/>
      <c r="D388" s="345">
        <v>10603669</v>
      </c>
      <c r="E388" s="278" t="str">
        <f t="shared" si="2"/>
        <v>https://pubmed.ncbi.nlm.nih.gov/?term=10603669</v>
      </c>
      <c r="F388" s="28" t="s">
        <v>511</v>
      </c>
      <c r="G388" s="28" t="s">
        <v>4587</v>
      </c>
      <c r="J388" s="346" t="str">
        <f t="shared" si="3"/>
        <v/>
      </c>
      <c r="K388" s="28" t="str">
        <f t="shared" si="4"/>
        <v/>
      </c>
      <c r="L388" s="45" t="str">
        <f t="shared" si="5"/>
        <v/>
      </c>
      <c r="M388" s="45">
        <f t="shared" si="6"/>
        <v>1</v>
      </c>
      <c r="N388" s="45" t="str">
        <f t="shared" si="7"/>
        <v/>
      </c>
      <c r="O388" s="45" t="str">
        <f t="shared" si="8"/>
        <v/>
      </c>
      <c r="P388" s="45" t="str">
        <f t="shared" si="9"/>
        <v/>
      </c>
    </row>
    <row r="389" spans="1:16" ht="18">
      <c r="A389" s="92" t="s">
        <v>5004</v>
      </c>
      <c r="B389" s="345">
        <v>1998</v>
      </c>
      <c r="C389" s="92"/>
      <c r="D389" s="345">
        <v>9674494</v>
      </c>
      <c r="E389" s="278" t="str">
        <f t="shared" si="2"/>
        <v>https://pubmed.ncbi.nlm.nih.gov/?term=9674494</v>
      </c>
      <c r="F389" s="28" t="s">
        <v>511</v>
      </c>
      <c r="G389" s="28" t="s">
        <v>4536</v>
      </c>
      <c r="J389" s="346" t="str">
        <f t="shared" si="3"/>
        <v/>
      </c>
      <c r="K389" s="28">
        <f t="shared" si="4"/>
        <v>1</v>
      </c>
      <c r="L389" s="45" t="str">
        <f t="shared" si="5"/>
        <v/>
      </c>
      <c r="M389" s="45" t="str">
        <f t="shared" si="6"/>
        <v/>
      </c>
      <c r="N389" s="45" t="str">
        <f t="shared" si="7"/>
        <v/>
      </c>
      <c r="O389" s="45" t="str">
        <f t="shared" si="8"/>
        <v/>
      </c>
      <c r="P389" s="45" t="str">
        <f t="shared" si="9"/>
        <v/>
      </c>
    </row>
    <row r="390" spans="1:16" ht="18">
      <c r="A390" s="92" t="s">
        <v>5005</v>
      </c>
      <c r="B390" s="345">
        <v>1994</v>
      </c>
      <c r="C390" s="92" t="s">
        <v>5006</v>
      </c>
      <c r="D390" s="345">
        <v>7916462</v>
      </c>
      <c r="E390" s="278" t="str">
        <f t="shared" si="2"/>
        <v>https://pubmed.ncbi.nlm.nih.gov/?term=7916462</v>
      </c>
      <c r="F390" s="28" t="s">
        <v>511</v>
      </c>
      <c r="G390" s="28" t="s">
        <v>5007</v>
      </c>
      <c r="J390" s="346" t="str">
        <f t="shared" si="3"/>
        <v/>
      </c>
      <c r="K390" s="28" t="str">
        <f t="shared" si="4"/>
        <v/>
      </c>
      <c r="L390" s="45">
        <f t="shared" si="5"/>
        <v>1</v>
      </c>
      <c r="M390" s="45" t="str">
        <f t="shared" si="6"/>
        <v/>
      </c>
      <c r="N390" s="45" t="str">
        <f t="shared" si="7"/>
        <v/>
      </c>
      <c r="O390" s="45" t="str">
        <f t="shared" si="8"/>
        <v/>
      </c>
      <c r="P390" s="45" t="str">
        <f t="shared" si="9"/>
        <v/>
      </c>
    </row>
    <row r="391" spans="1:16" ht="18">
      <c r="A391" s="92" t="s">
        <v>5008</v>
      </c>
      <c r="B391" s="345">
        <v>1994</v>
      </c>
      <c r="C391" s="92"/>
      <c r="D391" s="345">
        <v>8012763</v>
      </c>
      <c r="E391" s="278" t="str">
        <f t="shared" si="2"/>
        <v>https://pubmed.ncbi.nlm.nih.gov/?term=8012763</v>
      </c>
      <c r="F391" s="28" t="s">
        <v>511</v>
      </c>
      <c r="G391" s="28" t="s">
        <v>5009</v>
      </c>
      <c r="J391" s="346" t="str">
        <f t="shared" si="3"/>
        <v/>
      </c>
      <c r="K391" s="28" t="str">
        <f t="shared" si="4"/>
        <v/>
      </c>
      <c r="L391" s="45" t="str">
        <f t="shared" si="5"/>
        <v/>
      </c>
      <c r="M391" s="45" t="str">
        <f t="shared" si="6"/>
        <v/>
      </c>
      <c r="N391" s="45">
        <f t="shared" si="7"/>
        <v>1</v>
      </c>
      <c r="O391" s="45" t="str">
        <f t="shared" si="8"/>
        <v/>
      </c>
      <c r="P391" s="45" t="str">
        <f t="shared" si="9"/>
        <v/>
      </c>
    </row>
    <row r="392" spans="1:16" ht="18">
      <c r="A392" s="92" t="s">
        <v>5010</v>
      </c>
      <c r="B392" s="345">
        <v>1993</v>
      </c>
      <c r="C392" s="92"/>
      <c r="D392" s="345">
        <v>8141855</v>
      </c>
      <c r="E392" s="278" t="str">
        <f t="shared" si="2"/>
        <v>https://pubmed.ncbi.nlm.nih.gov/?term=8141855</v>
      </c>
      <c r="F392" s="28" t="s">
        <v>511</v>
      </c>
      <c r="G392" s="28" t="s">
        <v>4867</v>
      </c>
      <c r="J392" s="346" t="str">
        <f t="shared" si="3"/>
        <v/>
      </c>
      <c r="K392" s="28" t="str">
        <f t="shared" si="4"/>
        <v/>
      </c>
      <c r="L392" s="45" t="str">
        <f t="shared" si="5"/>
        <v/>
      </c>
      <c r="M392" s="45" t="str">
        <f t="shared" si="6"/>
        <v/>
      </c>
      <c r="N392" s="45">
        <f t="shared" si="7"/>
        <v>1</v>
      </c>
      <c r="O392" s="45" t="str">
        <f t="shared" si="8"/>
        <v/>
      </c>
      <c r="P392" s="45" t="str">
        <f t="shared" si="9"/>
        <v/>
      </c>
    </row>
    <row r="393" spans="1:16" ht="18">
      <c r="A393" s="92" t="s">
        <v>5011</v>
      </c>
      <c r="B393" s="345">
        <v>1994</v>
      </c>
      <c r="C393" s="92"/>
      <c r="D393" s="345">
        <v>7866354</v>
      </c>
      <c r="E393" s="278" t="str">
        <f t="shared" si="2"/>
        <v>https://pubmed.ncbi.nlm.nih.gov/?term=7866354</v>
      </c>
      <c r="F393" s="28" t="s">
        <v>511</v>
      </c>
      <c r="G393" s="28" t="s">
        <v>4346</v>
      </c>
      <c r="J393" s="346" t="str">
        <f t="shared" si="3"/>
        <v/>
      </c>
      <c r="K393" s="28" t="str">
        <f t="shared" si="4"/>
        <v/>
      </c>
      <c r="L393" s="45">
        <f t="shared" si="5"/>
        <v>1</v>
      </c>
      <c r="M393" s="45" t="str">
        <f t="shared" si="6"/>
        <v/>
      </c>
      <c r="N393" s="45" t="str">
        <f t="shared" si="7"/>
        <v/>
      </c>
      <c r="O393" s="45" t="str">
        <f t="shared" si="8"/>
        <v/>
      </c>
      <c r="P393" s="45" t="str">
        <f t="shared" si="9"/>
        <v/>
      </c>
    </row>
    <row r="394" spans="1:16" ht="18">
      <c r="A394" s="92" t="s">
        <v>5012</v>
      </c>
      <c r="B394" s="345">
        <v>1997</v>
      </c>
      <c r="C394" s="92"/>
      <c r="D394" s="345">
        <v>9363980</v>
      </c>
      <c r="E394" s="278" t="str">
        <f t="shared" si="2"/>
        <v>https://pubmed.ncbi.nlm.nih.gov/?term=9363980</v>
      </c>
      <c r="F394" s="28" t="s">
        <v>511</v>
      </c>
      <c r="G394" s="28" t="s">
        <v>5013</v>
      </c>
      <c r="J394" s="346" t="str">
        <f t="shared" si="3"/>
        <v/>
      </c>
      <c r="K394" s="28" t="str">
        <f t="shared" si="4"/>
        <v/>
      </c>
      <c r="L394" s="45" t="str">
        <f t="shared" si="5"/>
        <v/>
      </c>
      <c r="M394" s="45" t="str">
        <f t="shared" si="6"/>
        <v/>
      </c>
      <c r="N394" s="45" t="str">
        <f t="shared" si="7"/>
        <v/>
      </c>
      <c r="O394" s="45">
        <f t="shared" si="8"/>
        <v>1</v>
      </c>
      <c r="P394" s="45" t="str">
        <f t="shared" si="9"/>
        <v/>
      </c>
    </row>
    <row r="395" spans="1:16" ht="18">
      <c r="A395" s="92" t="s">
        <v>5014</v>
      </c>
      <c r="B395" s="345">
        <v>1994</v>
      </c>
      <c r="C395" s="92" t="s">
        <v>5015</v>
      </c>
      <c r="D395" s="345">
        <v>8151773</v>
      </c>
      <c r="E395" s="278" t="str">
        <f t="shared" si="2"/>
        <v>https://pubmed.ncbi.nlm.nih.gov/?term=8151773</v>
      </c>
      <c r="F395" s="28" t="s">
        <v>511</v>
      </c>
      <c r="G395" s="28" t="s">
        <v>4346</v>
      </c>
      <c r="J395" s="346" t="str">
        <f t="shared" si="3"/>
        <v/>
      </c>
      <c r="K395" s="28" t="str">
        <f t="shared" si="4"/>
        <v/>
      </c>
      <c r="L395" s="45">
        <f t="shared" si="5"/>
        <v>1</v>
      </c>
      <c r="M395" s="45" t="str">
        <f t="shared" si="6"/>
        <v/>
      </c>
      <c r="N395" s="45" t="str">
        <f t="shared" si="7"/>
        <v/>
      </c>
      <c r="O395" s="45" t="str">
        <f t="shared" si="8"/>
        <v/>
      </c>
      <c r="P395" s="45" t="str">
        <f t="shared" si="9"/>
        <v/>
      </c>
    </row>
    <row r="396" spans="1:16" ht="18">
      <c r="A396" s="92" t="s">
        <v>5016</v>
      </c>
      <c r="B396" s="345">
        <v>1997</v>
      </c>
      <c r="C396" s="92"/>
      <c r="D396" s="345">
        <v>9163727</v>
      </c>
      <c r="E396" s="278" t="str">
        <f t="shared" si="2"/>
        <v>https://pubmed.ncbi.nlm.nih.gov/?term=9163727</v>
      </c>
      <c r="F396" s="28" t="s">
        <v>511</v>
      </c>
      <c r="G396" s="28" t="s">
        <v>4346</v>
      </c>
      <c r="J396" s="346" t="str">
        <f t="shared" si="3"/>
        <v/>
      </c>
      <c r="K396" s="28" t="str">
        <f t="shared" si="4"/>
        <v/>
      </c>
      <c r="L396" s="45">
        <f t="shared" si="5"/>
        <v>1</v>
      </c>
      <c r="M396" s="45" t="str">
        <f t="shared" si="6"/>
        <v/>
      </c>
      <c r="N396" s="45" t="str">
        <f t="shared" si="7"/>
        <v/>
      </c>
      <c r="O396" s="45" t="str">
        <f t="shared" si="8"/>
        <v/>
      </c>
      <c r="P396" s="45" t="str">
        <f t="shared" si="9"/>
        <v/>
      </c>
    </row>
    <row r="397" spans="1:16" ht="18">
      <c r="A397" s="92" t="s">
        <v>5017</v>
      </c>
      <c r="B397" s="345">
        <v>1992</v>
      </c>
      <c r="C397" s="92"/>
      <c r="D397" s="345">
        <v>1306885</v>
      </c>
      <c r="E397" s="278" t="str">
        <f t="shared" si="2"/>
        <v>https://pubmed.ncbi.nlm.nih.gov/?term=1306885</v>
      </c>
      <c r="F397" s="28" t="s">
        <v>511</v>
      </c>
      <c r="G397" s="28" t="s">
        <v>4592</v>
      </c>
      <c r="J397" s="346">
        <f t="shared" si="3"/>
        <v>1</v>
      </c>
      <c r="K397" s="28" t="str">
        <f t="shared" si="4"/>
        <v/>
      </c>
      <c r="L397" s="45" t="str">
        <f t="shared" si="5"/>
        <v/>
      </c>
      <c r="M397" s="45" t="str">
        <f t="shared" si="6"/>
        <v/>
      </c>
      <c r="N397" s="45" t="str">
        <f t="shared" si="7"/>
        <v/>
      </c>
      <c r="O397" s="45" t="str">
        <f t="shared" si="8"/>
        <v/>
      </c>
      <c r="P397" s="45" t="str">
        <f t="shared" si="9"/>
        <v/>
      </c>
    </row>
    <row r="398" spans="1:16" ht="18">
      <c r="A398" s="92" t="s">
        <v>2100</v>
      </c>
      <c r="B398" s="345">
        <v>1990</v>
      </c>
      <c r="C398" s="92"/>
      <c r="D398" s="345">
        <v>2310304</v>
      </c>
      <c r="E398" s="278" t="str">
        <f t="shared" si="2"/>
        <v>https://pubmed.ncbi.nlm.nih.gov/?term=2310304</v>
      </c>
      <c r="H398" s="28" t="s">
        <v>308</v>
      </c>
      <c r="J398" s="346" t="str">
        <f t="shared" si="3"/>
        <v/>
      </c>
      <c r="K398" s="28" t="str">
        <f t="shared" si="4"/>
        <v/>
      </c>
      <c r="L398" s="45" t="str">
        <f t="shared" si="5"/>
        <v/>
      </c>
      <c r="M398" s="45" t="str">
        <f t="shared" si="6"/>
        <v/>
      </c>
      <c r="N398" s="45" t="str">
        <f t="shared" si="7"/>
        <v/>
      </c>
      <c r="O398" s="45" t="str">
        <f t="shared" si="8"/>
        <v/>
      </c>
      <c r="P398" s="45" t="str">
        <f t="shared" si="9"/>
        <v/>
      </c>
    </row>
    <row r="399" spans="1:16" ht="18">
      <c r="A399" s="92" t="s">
        <v>5018</v>
      </c>
      <c r="B399" s="345">
        <v>1990</v>
      </c>
      <c r="C399" s="92"/>
      <c r="D399" s="345">
        <v>2373880</v>
      </c>
      <c r="E399" s="278" t="str">
        <f t="shared" si="2"/>
        <v>https://pubmed.ncbi.nlm.nih.gov/?term=2373880</v>
      </c>
      <c r="F399" s="28" t="s">
        <v>511</v>
      </c>
      <c r="G399" s="28" t="s">
        <v>5019</v>
      </c>
      <c r="J399" s="346" t="str">
        <f t="shared" si="3"/>
        <v/>
      </c>
      <c r="K399" s="28" t="str">
        <f t="shared" si="4"/>
        <v/>
      </c>
      <c r="L399" s="45" t="str">
        <f t="shared" si="5"/>
        <v/>
      </c>
      <c r="M399" s="45" t="str">
        <f t="shared" si="6"/>
        <v/>
      </c>
      <c r="N399" s="45">
        <f t="shared" si="7"/>
        <v>1</v>
      </c>
      <c r="O399" s="45" t="str">
        <f t="shared" si="8"/>
        <v/>
      </c>
      <c r="P399" s="45" t="str">
        <f t="shared" si="9"/>
        <v/>
      </c>
    </row>
    <row r="400" spans="1:16" ht="18">
      <c r="A400" s="92" t="s">
        <v>5020</v>
      </c>
      <c r="B400" s="345">
        <v>1999</v>
      </c>
      <c r="C400" s="92"/>
      <c r="D400" s="345">
        <v>10607243</v>
      </c>
      <c r="E400" s="278" t="str">
        <f t="shared" si="2"/>
        <v>https://pubmed.ncbi.nlm.nih.gov/?term=10607243</v>
      </c>
      <c r="F400" s="28" t="s">
        <v>511</v>
      </c>
      <c r="G400" s="28" t="s">
        <v>4346</v>
      </c>
      <c r="J400" s="346" t="str">
        <f t="shared" si="3"/>
        <v/>
      </c>
      <c r="K400" s="28" t="str">
        <f t="shared" si="4"/>
        <v/>
      </c>
      <c r="L400" s="45">
        <f t="shared" si="5"/>
        <v>1</v>
      </c>
      <c r="M400" s="45" t="str">
        <f t="shared" si="6"/>
        <v/>
      </c>
      <c r="N400" s="45" t="str">
        <f t="shared" si="7"/>
        <v/>
      </c>
      <c r="O400" s="45" t="str">
        <f t="shared" si="8"/>
        <v/>
      </c>
      <c r="P400" s="45" t="str">
        <f t="shared" si="9"/>
        <v/>
      </c>
    </row>
    <row r="401" spans="1:16" ht="18">
      <c r="A401" s="92" t="s">
        <v>5021</v>
      </c>
      <c r="B401" s="345">
        <v>1993</v>
      </c>
      <c r="C401" s="92"/>
      <c r="D401" s="345">
        <v>8235089</v>
      </c>
      <c r="E401" s="278" t="str">
        <f t="shared" si="2"/>
        <v>https://pubmed.ncbi.nlm.nih.gov/?term=8235089</v>
      </c>
      <c r="F401" s="28" t="s">
        <v>511</v>
      </c>
      <c r="G401" s="28" t="s">
        <v>4346</v>
      </c>
      <c r="J401" s="346" t="str">
        <f t="shared" si="3"/>
        <v/>
      </c>
      <c r="K401" s="28" t="str">
        <f t="shared" si="4"/>
        <v/>
      </c>
      <c r="L401" s="45">
        <f t="shared" si="5"/>
        <v>1</v>
      </c>
      <c r="M401" s="45" t="str">
        <f t="shared" si="6"/>
        <v/>
      </c>
      <c r="N401" s="45" t="str">
        <f t="shared" si="7"/>
        <v/>
      </c>
      <c r="O401" s="45" t="str">
        <f t="shared" si="8"/>
        <v/>
      </c>
      <c r="P401" s="45" t="str">
        <f t="shared" si="9"/>
        <v/>
      </c>
    </row>
    <row r="402" spans="1:16" ht="18">
      <c r="A402" s="92" t="s">
        <v>5022</v>
      </c>
      <c r="B402" s="345">
        <v>1992</v>
      </c>
      <c r="C402" s="92"/>
      <c r="D402" s="345">
        <v>1492524</v>
      </c>
      <c r="E402" s="278" t="str">
        <f t="shared" si="2"/>
        <v>https://pubmed.ncbi.nlm.nih.gov/?term=1492524</v>
      </c>
      <c r="F402" s="28" t="s">
        <v>511</v>
      </c>
      <c r="G402" s="28" t="s">
        <v>4346</v>
      </c>
      <c r="J402" s="346" t="str">
        <f t="shared" si="3"/>
        <v/>
      </c>
      <c r="K402" s="28" t="str">
        <f t="shared" si="4"/>
        <v/>
      </c>
      <c r="L402" s="45">
        <f t="shared" si="5"/>
        <v>1</v>
      </c>
      <c r="M402" s="45" t="str">
        <f t="shared" si="6"/>
        <v/>
      </c>
      <c r="N402" s="45" t="str">
        <f t="shared" si="7"/>
        <v/>
      </c>
      <c r="O402" s="45" t="str">
        <f t="shared" si="8"/>
        <v/>
      </c>
      <c r="P402" s="45" t="str">
        <f t="shared" si="9"/>
        <v/>
      </c>
    </row>
    <row r="403" spans="1:16" ht="18">
      <c r="A403" s="92" t="s">
        <v>5023</v>
      </c>
      <c r="B403" s="345">
        <v>2000</v>
      </c>
      <c r="C403" s="92"/>
      <c r="D403" s="345">
        <v>11145025</v>
      </c>
      <c r="E403" s="278" t="str">
        <f t="shared" si="2"/>
        <v>https://pubmed.ncbi.nlm.nih.gov/?term=11145025</v>
      </c>
      <c r="F403" s="28" t="s">
        <v>511</v>
      </c>
      <c r="G403" s="28" t="s">
        <v>4346</v>
      </c>
      <c r="J403" s="346" t="str">
        <f t="shared" si="3"/>
        <v/>
      </c>
      <c r="K403" s="28" t="str">
        <f t="shared" si="4"/>
        <v/>
      </c>
      <c r="L403" s="45">
        <f t="shared" si="5"/>
        <v>1</v>
      </c>
      <c r="M403" s="45" t="str">
        <f t="shared" si="6"/>
        <v/>
      </c>
      <c r="N403" s="45" t="str">
        <f t="shared" si="7"/>
        <v/>
      </c>
      <c r="O403" s="45" t="str">
        <f t="shared" si="8"/>
        <v/>
      </c>
      <c r="P403" s="45" t="str">
        <f t="shared" si="9"/>
        <v/>
      </c>
    </row>
    <row r="404" spans="1:16" ht="18">
      <c r="A404" s="92" t="s">
        <v>5024</v>
      </c>
      <c r="B404" s="345">
        <v>1997</v>
      </c>
      <c r="C404" s="92"/>
      <c r="D404" s="345">
        <v>9656381</v>
      </c>
      <c r="E404" s="278" t="str">
        <f t="shared" si="2"/>
        <v>https://pubmed.ncbi.nlm.nih.gov/?term=9656381</v>
      </c>
      <c r="F404" s="28" t="s">
        <v>511</v>
      </c>
      <c r="G404" s="28" t="s">
        <v>5025</v>
      </c>
      <c r="J404" s="346" t="str">
        <f t="shared" si="3"/>
        <v/>
      </c>
      <c r="K404" s="28" t="str">
        <f t="shared" si="4"/>
        <v/>
      </c>
      <c r="L404" s="45" t="str">
        <f t="shared" si="5"/>
        <v/>
      </c>
      <c r="M404" s="45" t="str">
        <f t="shared" si="6"/>
        <v/>
      </c>
      <c r="N404" s="45">
        <f t="shared" si="7"/>
        <v>1</v>
      </c>
      <c r="O404" s="45" t="str">
        <f t="shared" si="8"/>
        <v/>
      </c>
      <c r="P404" s="45" t="str">
        <f t="shared" si="9"/>
        <v/>
      </c>
    </row>
    <row r="405" spans="1:16" ht="18">
      <c r="A405" s="92" t="s">
        <v>5026</v>
      </c>
      <c r="B405" s="345">
        <v>1996</v>
      </c>
      <c r="C405" s="92"/>
      <c r="D405" s="345">
        <v>9017888</v>
      </c>
      <c r="E405" s="278" t="str">
        <f t="shared" si="2"/>
        <v>https://pubmed.ncbi.nlm.nih.gov/?term=9017888</v>
      </c>
      <c r="F405" s="28" t="s">
        <v>511</v>
      </c>
      <c r="G405" s="28" t="s">
        <v>4346</v>
      </c>
      <c r="J405" s="346" t="str">
        <f t="shared" si="3"/>
        <v/>
      </c>
      <c r="K405" s="28" t="str">
        <f t="shared" si="4"/>
        <v/>
      </c>
      <c r="L405" s="45">
        <f t="shared" si="5"/>
        <v>1</v>
      </c>
      <c r="M405" s="45" t="str">
        <f t="shared" si="6"/>
        <v/>
      </c>
      <c r="N405" s="45" t="str">
        <f t="shared" si="7"/>
        <v/>
      </c>
      <c r="O405" s="45" t="str">
        <f t="shared" si="8"/>
        <v/>
      </c>
      <c r="P405" s="45" t="str">
        <f t="shared" si="9"/>
        <v/>
      </c>
    </row>
    <row r="406" spans="1:16" ht="18">
      <c r="A406" s="92"/>
      <c r="B406" s="345">
        <v>1994</v>
      </c>
      <c r="C406" s="92"/>
      <c r="D406" s="345">
        <v>12287505</v>
      </c>
      <c r="E406" s="278" t="str">
        <f t="shared" si="2"/>
        <v>https://pubmed.ncbi.nlm.nih.gov/?term=12287505</v>
      </c>
      <c r="F406" s="28" t="s">
        <v>511</v>
      </c>
      <c r="G406" s="28" t="s">
        <v>5027</v>
      </c>
      <c r="J406" s="346" t="str">
        <f t="shared" si="3"/>
        <v/>
      </c>
      <c r="K406" s="28" t="str">
        <f t="shared" si="4"/>
        <v/>
      </c>
      <c r="L406" s="45" t="str">
        <f t="shared" si="5"/>
        <v/>
      </c>
      <c r="M406" s="45" t="str">
        <f t="shared" si="6"/>
        <v/>
      </c>
      <c r="N406" s="45">
        <f t="shared" si="7"/>
        <v>1</v>
      </c>
      <c r="O406" s="45" t="str">
        <f t="shared" si="8"/>
        <v/>
      </c>
      <c r="P406" s="45" t="str">
        <f t="shared" si="9"/>
        <v/>
      </c>
    </row>
    <row r="407" spans="1:16" ht="18">
      <c r="A407" s="92" t="s">
        <v>5028</v>
      </c>
      <c r="B407" s="345">
        <v>2000</v>
      </c>
      <c r="C407" s="92"/>
      <c r="D407" s="345">
        <v>11964790</v>
      </c>
      <c r="E407" s="278" t="str">
        <f t="shared" si="2"/>
        <v>https://pubmed.ncbi.nlm.nih.gov/?term=11964790</v>
      </c>
      <c r="F407" s="28" t="s">
        <v>511</v>
      </c>
      <c r="G407" s="28" t="s">
        <v>4592</v>
      </c>
      <c r="J407" s="346">
        <f t="shared" si="3"/>
        <v>1</v>
      </c>
      <c r="K407" s="28" t="str">
        <f t="shared" si="4"/>
        <v/>
      </c>
      <c r="L407" s="45" t="str">
        <f t="shared" si="5"/>
        <v/>
      </c>
      <c r="M407" s="45" t="str">
        <f t="shared" si="6"/>
        <v/>
      </c>
      <c r="N407" s="45" t="str">
        <f t="shared" si="7"/>
        <v/>
      </c>
      <c r="O407" s="45" t="str">
        <f t="shared" si="8"/>
        <v/>
      </c>
      <c r="P407" s="45" t="str">
        <f t="shared" si="9"/>
        <v/>
      </c>
    </row>
    <row r="408" spans="1:16" ht="18">
      <c r="A408" s="92" t="s">
        <v>5029</v>
      </c>
      <c r="B408" s="345">
        <v>1996</v>
      </c>
      <c r="C408" s="92"/>
      <c r="D408" s="345">
        <v>8627938</v>
      </c>
      <c r="E408" s="278" t="str">
        <f t="shared" si="2"/>
        <v>https://pubmed.ncbi.nlm.nih.gov/?term=8627938</v>
      </c>
      <c r="F408" s="28" t="s">
        <v>511</v>
      </c>
      <c r="G408" s="28" t="s">
        <v>4346</v>
      </c>
      <c r="J408" s="346" t="str">
        <f t="shared" si="3"/>
        <v/>
      </c>
      <c r="K408" s="28" t="str">
        <f t="shared" si="4"/>
        <v/>
      </c>
      <c r="L408" s="45">
        <f t="shared" si="5"/>
        <v>1</v>
      </c>
      <c r="M408" s="45" t="str">
        <f t="shared" si="6"/>
        <v/>
      </c>
      <c r="N408" s="45" t="str">
        <f t="shared" si="7"/>
        <v/>
      </c>
      <c r="O408" s="45" t="str">
        <f t="shared" si="8"/>
        <v/>
      </c>
      <c r="P408" s="45" t="str">
        <f t="shared" si="9"/>
        <v/>
      </c>
    </row>
    <row r="409" spans="1:16" ht="18">
      <c r="A409" s="92" t="s">
        <v>5030</v>
      </c>
      <c r="B409" s="345">
        <v>1990</v>
      </c>
      <c r="C409" s="92"/>
      <c r="D409" s="345">
        <v>2219105</v>
      </c>
      <c r="E409" s="278" t="str">
        <f t="shared" si="2"/>
        <v>https://pubmed.ncbi.nlm.nih.gov/?term=2219105</v>
      </c>
      <c r="F409" s="28" t="s">
        <v>511</v>
      </c>
      <c r="G409" s="28" t="s">
        <v>4587</v>
      </c>
      <c r="J409" s="346" t="str">
        <f t="shared" si="3"/>
        <v/>
      </c>
      <c r="K409" s="28" t="str">
        <f t="shared" si="4"/>
        <v/>
      </c>
      <c r="L409" s="45" t="str">
        <f t="shared" si="5"/>
        <v/>
      </c>
      <c r="M409" s="45">
        <f t="shared" si="6"/>
        <v>1</v>
      </c>
      <c r="N409" s="45" t="str">
        <f t="shared" si="7"/>
        <v/>
      </c>
      <c r="O409" s="45" t="str">
        <f t="shared" si="8"/>
        <v/>
      </c>
      <c r="P409" s="45" t="str">
        <f t="shared" si="9"/>
        <v/>
      </c>
    </row>
    <row r="410" spans="1:16" ht="18">
      <c r="A410" s="92" t="s">
        <v>5031</v>
      </c>
      <c r="B410" s="345">
        <v>1998</v>
      </c>
      <c r="C410" s="92"/>
      <c r="D410" s="345">
        <v>9795803</v>
      </c>
      <c r="E410" s="278" t="str">
        <f t="shared" si="2"/>
        <v>https://pubmed.ncbi.nlm.nih.gov/?term=9795803</v>
      </c>
      <c r="F410" s="28" t="s">
        <v>511</v>
      </c>
      <c r="G410" s="28" t="s">
        <v>5032</v>
      </c>
      <c r="J410" s="346" t="str">
        <f t="shared" si="3"/>
        <v/>
      </c>
      <c r="K410" s="28" t="str">
        <f t="shared" si="4"/>
        <v/>
      </c>
      <c r="L410" s="45" t="str">
        <f t="shared" si="5"/>
        <v/>
      </c>
      <c r="M410" s="45" t="str">
        <f t="shared" si="6"/>
        <v/>
      </c>
      <c r="N410" s="45">
        <f t="shared" si="7"/>
        <v>1</v>
      </c>
      <c r="O410" s="45" t="str">
        <f t="shared" si="8"/>
        <v/>
      </c>
      <c r="P410" s="45" t="str">
        <f t="shared" si="9"/>
        <v/>
      </c>
    </row>
    <row r="411" spans="1:16" ht="18">
      <c r="A411" s="92" t="s">
        <v>5033</v>
      </c>
      <c r="B411" s="345">
        <v>1994</v>
      </c>
      <c r="C411" s="92"/>
      <c r="D411" s="345">
        <v>8189410</v>
      </c>
      <c r="E411" s="278" t="str">
        <f t="shared" si="2"/>
        <v>https://pubmed.ncbi.nlm.nih.gov/?term=8189410</v>
      </c>
      <c r="F411" s="28" t="s">
        <v>511</v>
      </c>
      <c r="G411" s="28" t="s">
        <v>5034</v>
      </c>
      <c r="J411" s="346" t="str">
        <f t="shared" si="3"/>
        <v/>
      </c>
      <c r="K411" s="28" t="str">
        <f t="shared" si="4"/>
        <v/>
      </c>
      <c r="L411" s="45" t="str">
        <f t="shared" si="5"/>
        <v/>
      </c>
      <c r="M411" s="45" t="str">
        <f t="shared" si="6"/>
        <v/>
      </c>
      <c r="N411" s="45" t="str">
        <f t="shared" si="7"/>
        <v/>
      </c>
      <c r="O411" s="45">
        <f t="shared" si="8"/>
        <v>1</v>
      </c>
      <c r="P411" s="45" t="str">
        <f t="shared" si="9"/>
        <v/>
      </c>
    </row>
    <row r="412" spans="1:16" ht="18">
      <c r="A412" s="92" t="s">
        <v>5035</v>
      </c>
      <c r="B412" s="345">
        <v>1994</v>
      </c>
      <c r="C412" s="92"/>
      <c r="D412" s="345">
        <v>8205400</v>
      </c>
      <c r="E412" s="278" t="str">
        <f t="shared" si="2"/>
        <v>https://pubmed.ncbi.nlm.nih.gov/?term=8205400</v>
      </c>
      <c r="F412" s="28" t="s">
        <v>511</v>
      </c>
      <c r="G412" s="28" t="s">
        <v>4346</v>
      </c>
      <c r="J412" s="346" t="str">
        <f t="shared" si="3"/>
        <v/>
      </c>
      <c r="K412" s="28" t="str">
        <f t="shared" si="4"/>
        <v/>
      </c>
      <c r="L412" s="45">
        <f t="shared" si="5"/>
        <v>1</v>
      </c>
      <c r="M412" s="45" t="str">
        <f t="shared" si="6"/>
        <v/>
      </c>
      <c r="N412" s="45" t="str">
        <f t="shared" si="7"/>
        <v/>
      </c>
      <c r="O412" s="45" t="str">
        <f t="shared" si="8"/>
        <v/>
      </c>
      <c r="P412" s="45" t="str">
        <f t="shared" si="9"/>
        <v/>
      </c>
    </row>
    <row r="413" spans="1:16" ht="18">
      <c r="A413" s="92" t="s">
        <v>4594</v>
      </c>
      <c r="B413" s="345">
        <v>1997</v>
      </c>
      <c r="C413" s="92"/>
      <c r="D413" s="345">
        <v>9346184</v>
      </c>
      <c r="E413" s="278" t="str">
        <f t="shared" si="2"/>
        <v>https://pubmed.ncbi.nlm.nih.gov/?term=9346184</v>
      </c>
      <c r="F413" s="28" t="s">
        <v>511</v>
      </c>
      <c r="G413" s="28" t="s">
        <v>4536</v>
      </c>
      <c r="J413" s="346" t="str">
        <f t="shared" si="3"/>
        <v/>
      </c>
      <c r="K413" s="28">
        <f t="shared" si="4"/>
        <v>1</v>
      </c>
      <c r="L413" s="45" t="str">
        <f t="shared" si="5"/>
        <v/>
      </c>
      <c r="M413" s="45" t="str">
        <f t="shared" si="6"/>
        <v/>
      </c>
      <c r="N413" s="45" t="str">
        <f t="shared" si="7"/>
        <v/>
      </c>
      <c r="O413" s="45" t="str">
        <f t="shared" si="8"/>
        <v/>
      </c>
      <c r="P413" s="45" t="str">
        <f t="shared" si="9"/>
        <v/>
      </c>
    </row>
    <row r="414" spans="1:16" ht="18">
      <c r="A414" s="92" t="s">
        <v>4415</v>
      </c>
      <c r="B414" s="345">
        <v>1990</v>
      </c>
      <c r="C414" s="92" t="s">
        <v>4684</v>
      </c>
      <c r="D414" s="345">
        <v>1692813</v>
      </c>
      <c r="E414" s="278" t="str">
        <f t="shared" si="2"/>
        <v>https://pubmed.ncbi.nlm.nih.gov/?term=1692813</v>
      </c>
      <c r="H414" s="28" t="s">
        <v>511</v>
      </c>
      <c r="J414" s="346" t="str">
        <f t="shared" si="3"/>
        <v/>
      </c>
      <c r="K414" s="28" t="str">
        <f t="shared" si="4"/>
        <v/>
      </c>
      <c r="L414" s="45" t="str">
        <f t="shared" si="5"/>
        <v/>
      </c>
      <c r="M414" s="45" t="str">
        <f t="shared" si="6"/>
        <v/>
      </c>
      <c r="N414" s="45" t="str">
        <f t="shared" si="7"/>
        <v/>
      </c>
      <c r="O414" s="45" t="str">
        <f t="shared" si="8"/>
        <v/>
      </c>
      <c r="P414" s="45" t="str">
        <f t="shared" si="9"/>
        <v/>
      </c>
    </row>
    <row r="415" spans="1:16" ht="18">
      <c r="A415" s="92" t="s">
        <v>5036</v>
      </c>
      <c r="B415" s="345">
        <v>1992</v>
      </c>
      <c r="C415" s="92"/>
      <c r="D415" s="345">
        <v>1364023</v>
      </c>
      <c r="E415" s="278" t="str">
        <f t="shared" si="2"/>
        <v>https://pubmed.ncbi.nlm.nih.gov/?term=1364023</v>
      </c>
      <c r="F415" s="28" t="s">
        <v>511</v>
      </c>
      <c r="G415" s="28" t="s">
        <v>4346</v>
      </c>
      <c r="J415" s="346" t="str">
        <f t="shared" si="3"/>
        <v/>
      </c>
      <c r="K415" s="28" t="str">
        <f t="shared" si="4"/>
        <v/>
      </c>
      <c r="L415" s="45">
        <f t="shared" si="5"/>
        <v>1</v>
      </c>
      <c r="M415" s="45" t="str">
        <f t="shared" si="6"/>
        <v/>
      </c>
      <c r="N415" s="45" t="str">
        <f t="shared" si="7"/>
        <v/>
      </c>
      <c r="O415" s="45" t="str">
        <f t="shared" si="8"/>
        <v/>
      </c>
      <c r="P415" s="45" t="str">
        <f t="shared" si="9"/>
        <v/>
      </c>
    </row>
    <row r="416" spans="1:16" ht="18">
      <c r="A416" s="92" t="s">
        <v>5037</v>
      </c>
      <c r="B416" s="345">
        <v>1991</v>
      </c>
      <c r="C416" s="92"/>
      <c r="D416" s="345">
        <v>1858356</v>
      </c>
      <c r="E416" s="278" t="str">
        <f t="shared" si="2"/>
        <v>https://pubmed.ncbi.nlm.nih.gov/?term=1858356</v>
      </c>
      <c r="F416" s="28" t="s">
        <v>511</v>
      </c>
      <c r="G416" s="28" t="s">
        <v>4587</v>
      </c>
      <c r="J416" s="346" t="str">
        <f t="shared" si="3"/>
        <v/>
      </c>
      <c r="K416" s="28" t="str">
        <f t="shared" si="4"/>
        <v/>
      </c>
      <c r="L416" s="45" t="str">
        <f t="shared" si="5"/>
        <v/>
      </c>
      <c r="M416" s="45">
        <f t="shared" si="6"/>
        <v>1</v>
      </c>
      <c r="N416" s="45" t="str">
        <f t="shared" si="7"/>
        <v/>
      </c>
      <c r="O416" s="45" t="str">
        <f t="shared" si="8"/>
        <v/>
      </c>
      <c r="P416" s="45" t="str">
        <f t="shared" si="9"/>
        <v/>
      </c>
    </row>
    <row r="417" spans="1:16" ht="18">
      <c r="A417" s="92" t="s">
        <v>5038</v>
      </c>
      <c r="B417" s="345">
        <v>1990</v>
      </c>
      <c r="C417" s="92"/>
      <c r="D417" s="345">
        <v>2227533</v>
      </c>
      <c r="E417" s="278" t="str">
        <f t="shared" si="2"/>
        <v>https://pubmed.ncbi.nlm.nih.gov/?term=2227533</v>
      </c>
      <c r="F417" s="28" t="s">
        <v>511</v>
      </c>
      <c r="G417" s="28" t="s">
        <v>4587</v>
      </c>
      <c r="J417" s="346" t="str">
        <f t="shared" si="3"/>
        <v/>
      </c>
      <c r="K417" s="28" t="str">
        <f t="shared" si="4"/>
        <v/>
      </c>
      <c r="L417" s="45" t="str">
        <f t="shared" si="5"/>
        <v/>
      </c>
      <c r="M417" s="45">
        <f t="shared" si="6"/>
        <v>1</v>
      </c>
      <c r="N417" s="45" t="str">
        <f t="shared" si="7"/>
        <v/>
      </c>
      <c r="O417" s="45" t="str">
        <f t="shared" si="8"/>
        <v/>
      </c>
      <c r="P417" s="45" t="str">
        <f t="shared" si="9"/>
        <v/>
      </c>
    </row>
    <row r="418" spans="1:16" ht="18">
      <c r="A418" s="347" t="s">
        <v>5039</v>
      </c>
      <c r="B418" s="92">
        <v>1995</v>
      </c>
      <c r="C418" s="92"/>
      <c r="D418" s="92">
        <v>7676671</v>
      </c>
      <c r="E418" s="278" t="str">
        <f t="shared" si="2"/>
        <v>https://pubmed.ncbi.nlm.nih.gov/?term=7676671</v>
      </c>
      <c r="F418" s="28" t="s">
        <v>511</v>
      </c>
      <c r="G418" s="28" t="s">
        <v>4587</v>
      </c>
      <c r="J418" s="346" t="str">
        <f t="shared" si="3"/>
        <v/>
      </c>
      <c r="K418" s="28" t="str">
        <f t="shared" si="4"/>
        <v/>
      </c>
      <c r="L418" s="45" t="str">
        <f t="shared" si="5"/>
        <v/>
      </c>
      <c r="M418" s="45">
        <f t="shared" si="6"/>
        <v>1</v>
      </c>
      <c r="N418" s="45" t="str">
        <f t="shared" si="7"/>
        <v/>
      </c>
      <c r="O418" s="45" t="str">
        <f t="shared" si="8"/>
        <v/>
      </c>
      <c r="P418" s="45" t="str">
        <f t="shared" si="9"/>
        <v/>
      </c>
    </row>
    <row r="419" spans="1:16" ht="18">
      <c r="A419" s="92" t="s">
        <v>5040</v>
      </c>
      <c r="B419" s="345">
        <v>2009</v>
      </c>
      <c r="C419" s="92"/>
      <c r="D419" s="345">
        <v>19095497</v>
      </c>
      <c r="E419" s="278" t="str">
        <f t="shared" si="2"/>
        <v>https://pubmed.ncbi.nlm.nih.gov/?term=19095497</v>
      </c>
      <c r="F419" s="28" t="s">
        <v>511</v>
      </c>
      <c r="G419" s="28" t="s">
        <v>4867</v>
      </c>
      <c r="J419" s="346" t="str">
        <f t="shared" si="3"/>
        <v/>
      </c>
      <c r="K419" s="28" t="str">
        <f t="shared" si="4"/>
        <v/>
      </c>
      <c r="L419" s="45" t="str">
        <f t="shared" si="5"/>
        <v/>
      </c>
      <c r="M419" s="45" t="str">
        <f t="shared" si="6"/>
        <v/>
      </c>
      <c r="N419" s="45">
        <f t="shared" si="7"/>
        <v>1</v>
      </c>
      <c r="O419" s="45" t="str">
        <f t="shared" si="8"/>
        <v/>
      </c>
      <c r="P419" s="45" t="str">
        <f t="shared" si="9"/>
        <v/>
      </c>
    </row>
    <row r="420" spans="1:16" ht="18">
      <c r="A420" s="92" t="s">
        <v>5041</v>
      </c>
      <c r="B420" s="345">
        <v>2009</v>
      </c>
      <c r="C420" s="92"/>
      <c r="D420" s="345">
        <v>19880020</v>
      </c>
      <c r="E420" s="278" t="str">
        <f t="shared" si="2"/>
        <v>https://pubmed.ncbi.nlm.nih.gov/?term=19880020</v>
      </c>
      <c r="F420" s="28" t="s">
        <v>511</v>
      </c>
      <c r="G420" s="28" t="s">
        <v>4592</v>
      </c>
      <c r="J420" s="346">
        <f t="shared" si="3"/>
        <v>1</v>
      </c>
      <c r="K420" s="28" t="str">
        <f t="shared" si="4"/>
        <v/>
      </c>
      <c r="L420" s="45" t="str">
        <f t="shared" si="5"/>
        <v/>
      </c>
      <c r="M420" s="45" t="str">
        <f t="shared" si="6"/>
        <v/>
      </c>
      <c r="N420" s="45" t="str">
        <f t="shared" si="7"/>
        <v/>
      </c>
      <c r="O420" s="45" t="str">
        <f t="shared" si="8"/>
        <v/>
      </c>
      <c r="P420" s="45" t="str">
        <f t="shared" si="9"/>
        <v/>
      </c>
    </row>
    <row r="421" spans="1:16" ht="18">
      <c r="A421" s="92" t="s">
        <v>5042</v>
      </c>
      <c r="B421" s="345">
        <v>2008</v>
      </c>
      <c r="C421" s="92"/>
      <c r="D421" s="345">
        <v>18503626</v>
      </c>
      <c r="E421" s="278" t="str">
        <f t="shared" si="2"/>
        <v>https://pubmed.ncbi.nlm.nih.gov/?term=18503626</v>
      </c>
      <c r="F421" s="28" t="s">
        <v>511</v>
      </c>
      <c r="G421" s="28" t="s">
        <v>5043</v>
      </c>
      <c r="J421" s="346" t="str">
        <f t="shared" si="3"/>
        <v/>
      </c>
      <c r="K421" s="28" t="str">
        <f t="shared" si="4"/>
        <v/>
      </c>
      <c r="L421" s="45" t="str">
        <f t="shared" si="5"/>
        <v/>
      </c>
      <c r="M421" s="45" t="str">
        <f t="shared" si="6"/>
        <v/>
      </c>
      <c r="N421" s="45">
        <f t="shared" si="7"/>
        <v>1</v>
      </c>
      <c r="O421" s="45" t="str">
        <f t="shared" si="8"/>
        <v/>
      </c>
      <c r="P421" s="45" t="str">
        <f t="shared" si="9"/>
        <v/>
      </c>
    </row>
    <row r="422" spans="1:16" ht="18">
      <c r="A422" s="92" t="s">
        <v>5044</v>
      </c>
      <c r="B422" s="345">
        <v>2009</v>
      </c>
      <c r="C422" s="92"/>
      <c r="D422" s="345">
        <v>19441868</v>
      </c>
      <c r="E422" s="278" t="str">
        <f t="shared" si="2"/>
        <v>https://pubmed.ncbi.nlm.nih.gov/?term=19441868</v>
      </c>
      <c r="F422" s="28" t="s">
        <v>511</v>
      </c>
      <c r="G422" s="28" t="s">
        <v>4592</v>
      </c>
      <c r="J422" s="346">
        <f t="shared" si="3"/>
        <v>1</v>
      </c>
      <c r="K422" s="28" t="str">
        <f t="shared" si="4"/>
        <v/>
      </c>
      <c r="L422" s="45" t="str">
        <f t="shared" si="5"/>
        <v/>
      </c>
      <c r="M422" s="45" t="str">
        <f t="shared" si="6"/>
        <v/>
      </c>
      <c r="N422" s="45" t="str">
        <f t="shared" si="7"/>
        <v/>
      </c>
      <c r="O422" s="45" t="str">
        <f t="shared" si="8"/>
        <v/>
      </c>
      <c r="P422" s="45" t="str">
        <f t="shared" si="9"/>
        <v/>
      </c>
    </row>
    <row r="423" spans="1:16" ht="18">
      <c r="A423" s="92" t="s">
        <v>5045</v>
      </c>
      <c r="B423" s="345">
        <v>2009</v>
      </c>
      <c r="C423" s="92"/>
      <c r="D423" s="345">
        <v>19278981</v>
      </c>
      <c r="E423" s="278" t="str">
        <f t="shared" si="2"/>
        <v>https://pubmed.ncbi.nlm.nih.gov/?term=19278981</v>
      </c>
      <c r="F423" s="28" t="s">
        <v>511</v>
      </c>
      <c r="G423" s="28" t="s">
        <v>4592</v>
      </c>
      <c r="J423" s="346">
        <f t="shared" si="3"/>
        <v>1</v>
      </c>
      <c r="K423" s="28" t="str">
        <f t="shared" si="4"/>
        <v/>
      </c>
      <c r="L423" s="45" t="str">
        <f t="shared" si="5"/>
        <v/>
      </c>
      <c r="M423" s="45" t="str">
        <f t="shared" si="6"/>
        <v/>
      </c>
      <c r="N423" s="45" t="str">
        <f t="shared" si="7"/>
        <v/>
      </c>
      <c r="O423" s="45" t="str">
        <f t="shared" si="8"/>
        <v/>
      </c>
      <c r="P423" s="45" t="str">
        <f t="shared" si="9"/>
        <v/>
      </c>
    </row>
    <row r="424" spans="1:16" ht="18">
      <c r="A424" s="92" t="s">
        <v>5046</v>
      </c>
      <c r="B424" s="345">
        <v>2004</v>
      </c>
      <c r="C424" s="92"/>
      <c r="D424" s="345">
        <v>16088455</v>
      </c>
      <c r="E424" s="278" t="str">
        <f t="shared" si="2"/>
        <v>https://pubmed.ncbi.nlm.nih.gov/?term=16088455</v>
      </c>
      <c r="F424" s="28" t="s">
        <v>511</v>
      </c>
      <c r="G424" s="28" t="s">
        <v>4592</v>
      </c>
      <c r="J424" s="346">
        <f t="shared" si="3"/>
        <v>1</v>
      </c>
      <c r="K424" s="28" t="str">
        <f t="shared" si="4"/>
        <v/>
      </c>
      <c r="L424" s="45" t="str">
        <f t="shared" si="5"/>
        <v/>
      </c>
      <c r="M424" s="45" t="str">
        <f t="shared" si="6"/>
        <v/>
      </c>
      <c r="N424" s="45" t="str">
        <f t="shared" si="7"/>
        <v/>
      </c>
      <c r="O424" s="45" t="str">
        <f t="shared" si="8"/>
        <v/>
      </c>
      <c r="P424" s="45" t="str">
        <f t="shared" si="9"/>
        <v/>
      </c>
    </row>
    <row r="425" spans="1:16" ht="18">
      <c r="A425" s="92" t="s">
        <v>2371</v>
      </c>
      <c r="B425" s="345">
        <v>2005</v>
      </c>
      <c r="C425" s="92"/>
      <c r="D425" s="345">
        <v>16049208</v>
      </c>
      <c r="E425" s="278" t="str">
        <f t="shared" si="2"/>
        <v>https://pubmed.ncbi.nlm.nih.gov/?term=16049208</v>
      </c>
      <c r="H425" s="28" t="s">
        <v>511</v>
      </c>
      <c r="J425" s="346" t="str">
        <f t="shared" si="3"/>
        <v/>
      </c>
      <c r="K425" s="28" t="str">
        <f t="shared" si="4"/>
        <v/>
      </c>
      <c r="L425" s="45" t="str">
        <f t="shared" si="5"/>
        <v/>
      </c>
      <c r="M425" s="45" t="str">
        <f t="shared" si="6"/>
        <v/>
      </c>
      <c r="N425" s="45" t="str">
        <f t="shared" si="7"/>
        <v/>
      </c>
      <c r="O425" s="45" t="str">
        <f t="shared" si="8"/>
        <v/>
      </c>
      <c r="P425" s="45" t="str">
        <f t="shared" si="9"/>
        <v/>
      </c>
    </row>
    <row r="426" spans="1:16" ht="18">
      <c r="A426" s="92" t="s">
        <v>5047</v>
      </c>
      <c r="B426" s="345">
        <v>2007</v>
      </c>
      <c r="C426" s="92"/>
      <c r="D426" s="345">
        <v>17296917</v>
      </c>
      <c r="E426" s="278" t="str">
        <f t="shared" si="2"/>
        <v>https://pubmed.ncbi.nlm.nih.gov/?term=17296917</v>
      </c>
      <c r="F426" s="28" t="s">
        <v>511</v>
      </c>
      <c r="G426" s="28" t="s">
        <v>4867</v>
      </c>
      <c r="J426" s="346" t="str">
        <f t="shared" si="3"/>
        <v/>
      </c>
      <c r="K426" s="28" t="str">
        <f t="shared" si="4"/>
        <v/>
      </c>
      <c r="L426" s="45" t="str">
        <f t="shared" si="5"/>
        <v/>
      </c>
      <c r="M426" s="45" t="str">
        <f t="shared" si="6"/>
        <v/>
      </c>
      <c r="N426" s="45">
        <f t="shared" si="7"/>
        <v>1</v>
      </c>
      <c r="O426" s="45" t="str">
        <f t="shared" si="8"/>
        <v/>
      </c>
      <c r="P426" s="45" t="str">
        <f t="shared" si="9"/>
        <v/>
      </c>
    </row>
    <row r="427" spans="1:16" ht="18">
      <c r="A427" s="92" t="s">
        <v>5048</v>
      </c>
      <c r="B427" s="345">
        <v>2007</v>
      </c>
      <c r="C427" s="92"/>
      <c r="D427" s="345">
        <v>17346212</v>
      </c>
      <c r="E427" s="278" t="str">
        <f t="shared" si="2"/>
        <v>https://pubmed.ncbi.nlm.nih.gov/?term=17346212</v>
      </c>
      <c r="F427" s="28" t="s">
        <v>511</v>
      </c>
      <c r="G427" s="28" t="s">
        <v>4592</v>
      </c>
      <c r="J427" s="346">
        <f t="shared" si="3"/>
        <v>1</v>
      </c>
      <c r="K427" s="28" t="str">
        <f t="shared" si="4"/>
        <v/>
      </c>
      <c r="L427" s="45" t="str">
        <f t="shared" si="5"/>
        <v/>
      </c>
      <c r="M427" s="45" t="str">
        <f t="shared" si="6"/>
        <v/>
      </c>
      <c r="N427" s="45" t="str">
        <f t="shared" si="7"/>
        <v/>
      </c>
      <c r="O427" s="45" t="str">
        <f t="shared" si="8"/>
        <v/>
      </c>
      <c r="P427" s="45" t="str">
        <f t="shared" si="9"/>
        <v/>
      </c>
    </row>
    <row r="428" spans="1:16" ht="18">
      <c r="A428" s="92" t="s">
        <v>5049</v>
      </c>
      <c r="B428" s="345">
        <v>2005</v>
      </c>
      <c r="C428" s="92"/>
      <c r="D428" s="345">
        <v>16330791</v>
      </c>
      <c r="E428" s="278" t="str">
        <f t="shared" si="2"/>
        <v>https://pubmed.ncbi.nlm.nih.gov/?term=16330791</v>
      </c>
      <c r="F428" s="28" t="s">
        <v>511</v>
      </c>
      <c r="G428" s="28" t="s">
        <v>4871</v>
      </c>
      <c r="J428" s="346" t="str">
        <f t="shared" si="3"/>
        <v/>
      </c>
      <c r="K428" s="28" t="str">
        <f t="shared" si="4"/>
        <v/>
      </c>
      <c r="L428" s="45" t="str">
        <f t="shared" si="5"/>
        <v/>
      </c>
      <c r="M428" s="45" t="str">
        <f t="shared" si="6"/>
        <v/>
      </c>
      <c r="N428" s="45">
        <f t="shared" si="7"/>
        <v>1</v>
      </c>
      <c r="O428" s="45" t="str">
        <f t="shared" si="8"/>
        <v/>
      </c>
      <c r="P428" s="45" t="str">
        <f t="shared" si="9"/>
        <v/>
      </c>
    </row>
    <row r="429" spans="1:16" ht="18">
      <c r="A429" s="92" t="s">
        <v>5050</v>
      </c>
      <c r="B429" s="345">
        <v>2010</v>
      </c>
      <c r="C429" s="92"/>
      <c r="D429" s="345">
        <v>20926833</v>
      </c>
      <c r="E429" s="278" t="str">
        <f t="shared" si="2"/>
        <v>https://pubmed.ncbi.nlm.nih.gov/?term=20926833</v>
      </c>
      <c r="F429" s="28" t="s">
        <v>511</v>
      </c>
      <c r="G429" s="28" t="s">
        <v>5051</v>
      </c>
      <c r="J429" s="346" t="str">
        <f t="shared" si="3"/>
        <v/>
      </c>
      <c r="K429" s="28" t="str">
        <f t="shared" si="4"/>
        <v/>
      </c>
      <c r="L429" s="45" t="str">
        <f t="shared" si="5"/>
        <v/>
      </c>
      <c r="M429" s="45" t="str">
        <f t="shared" si="6"/>
        <v/>
      </c>
      <c r="N429" s="45">
        <f t="shared" si="7"/>
        <v>1</v>
      </c>
      <c r="O429" s="45" t="str">
        <f t="shared" si="8"/>
        <v/>
      </c>
      <c r="P429" s="45" t="str">
        <f t="shared" si="9"/>
        <v/>
      </c>
    </row>
    <row r="430" spans="1:16" ht="18">
      <c r="A430" s="92" t="s">
        <v>5052</v>
      </c>
      <c r="B430" s="345">
        <v>2003</v>
      </c>
      <c r="C430" s="92"/>
      <c r="D430" s="345">
        <v>12682561</v>
      </c>
      <c r="E430" s="278" t="str">
        <f t="shared" si="2"/>
        <v>https://pubmed.ncbi.nlm.nih.gov/?term=12682561</v>
      </c>
      <c r="F430" s="28" t="s">
        <v>511</v>
      </c>
      <c r="G430" s="28" t="s">
        <v>4592</v>
      </c>
      <c r="J430" s="346">
        <f t="shared" si="3"/>
        <v>1</v>
      </c>
      <c r="K430" s="28" t="str">
        <f t="shared" si="4"/>
        <v/>
      </c>
      <c r="L430" s="45" t="str">
        <f t="shared" si="5"/>
        <v/>
      </c>
      <c r="M430" s="45" t="str">
        <f t="shared" si="6"/>
        <v/>
      </c>
      <c r="N430" s="45" t="str">
        <f t="shared" si="7"/>
        <v/>
      </c>
      <c r="O430" s="45" t="str">
        <f t="shared" si="8"/>
        <v/>
      </c>
      <c r="P430" s="45" t="str">
        <f t="shared" si="9"/>
        <v/>
      </c>
    </row>
    <row r="431" spans="1:16" ht="18">
      <c r="A431" s="92" t="s">
        <v>5053</v>
      </c>
      <c r="B431" s="345">
        <v>2004</v>
      </c>
      <c r="C431" s="92"/>
      <c r="D431" s="345">
        <v>15248252</v>
      </c>
      <c r="E431" s="278" t="str">
        <f t="shared" si="2"/>
        <v>https://pubmed.ncbi.nlm.nih.gov/?term=15248252</v>
      </c>
      <c r="F431" s="28" t="s">
        <v>511</v>
      </c>
      <c r="G431" s="28" t="s">
        <v>4592</v>
      </c>
      <c r="J431" s="346">
        <f t="shared" si="3"/>
        <v>1</v>
      </c>
      <c r="K431" s="28" t="str">
        <f t="shared" si="4"/>
        <v/>
      </c>
      <c r="L431" s="45" t="str">
        <f t="shared" si="5"/>
        <v/>
      </c>
      <c r="M431" s="45" t="str">
        <f t="shared" si="6"/>
        <v/>
      </c>
      <c r="N431" s="45" t="str">
        <f t="shared" si="7"/>
        <v/>
      </c>
      <c r="O431" s="45" t="str">
        <f t="shared" si="8"/>
        <v/>
      </c>
      <c r="P431" s="45" t="str">
        <f t="shared" si="9"/>
        <v/>
      </c>
    </row>
    <row r="432" spans="1:16" ht="18">
      <c r="A432" s="92" t="s">
        <v>4399</v>
      </c>
      <c r="B432" s="345">
        <v>2000</v>
      </c>
      <c r="C432" s="92"/>
      <c r="D432" s="345">
        <v>10697061</v>
      </c>
      <c r="E432" s="278" t="str">
        <f t="shared" si="2"/>
        <v>https://pubmed.ncbi.nlm.nih.gov/?term=10697061</v>
      </c>
      <c r="F432" s="28" t="s">
        <v>511</v>
      </c>
      <c r="G432" s="28" t="s">
        <v>4867</v>
      </c>
      <c r="J432" s="346" t="str">
        <f t="shared" si="3"/>
        <v/>
      </c>
      <c r="K432" s="28" t="str">
        <f t="shared" si="4"/>
        <v/>
      </c>
      <c r="L432" s="45" t="str">
        <f t="shared" si="5"/>
        <v/>
      </c>
      <c r="M432" s="45" t="str">
        <f t="shared" si="6"/>
        <v/>
      </c>
      <c r="N432" s="45">
        <f t="shared" si="7"/>
        <v>1</v>
      </c>
      <c r="O432" s="45" t="str">
        <f t="shared" si="8"/>
        <v/>
      </c>
      <c r="P432" s="45" t="str">
        <f t="shared" si="9"/>
        <v/>
      </c>
    </row>
    <row r="433" spans="1:16" ht="18">
      <c r="A433" s="92" t="s">
        <v>5054</v>
      </c>
      <c r="B433" s="345">
        <v>2003</v>
      </c>
      <c r="C433" s="92"/>
      <c r="D433" s="345">
        <v>14724468</v>
      </c>
      <c r="E433" s="278" t="str">
        <f t="shared" si="2"/>
        <v>https://pubmed.ncbi.nlm.nih.gov/?term=14724468</v>
      </c>
      <c r="F433" s="28" t="s">
        <v>511</v>
      </c>
      <c r="G433" s="28" t="s">
        <v>4592</v>
      </c>
      <c r="J433" s="346">
        <f t="shared" si="3"/>
        <v>1</v>
      </c>
      <c r="K433" s="28" t="str">
        <f t="shared" si="4"/>
        <v/>
      </c>
      <c r="L433" s="45" t="str">
        <f t="shared" si="5"/>
        <v/>
      </c>
      <c r="M433" s="45" t="str">
        <f t="shared" si="6"/>
        <v/>
      </c>
      <c r="N433" s="45" t="str">
        <f t="shared" si="7"/>
        <v/>
      </c>
      <c r="O433" s="45" t="str">
        <f t="shared" si="8"/>
        <v/>
      </c>
      <c r="P433" s="45" t="str">
        <f t="shared" si="9"/>
        <v/>
      </c>
    </row>
    <row r="434" spans="1:16" ht="18">
      <c r="A434" s="92" t="s">
        <v>5055</v>
      </c>
      <c r="B434" s="345">
        <v>2007</v>
      </c>
      <c r="C434" s="92"/>
      <c r="D434" s="345">
        <v>18027987</v>
      </c>
      <c r="E434" s="278" t="str">
        <f t="shared" si="2"/>
        <v>https://pubmed.ncbi.nlm.nih.gov/?term=18027987</v>
      </c>
      <c r="F434" s="28" t="s">
        <v>511</v>
      </c>
      <c r="G434" s="28" t="s">
        <v>4592</v>
      </c>
      <c r="J434" s="346">
        <f t="shared" si="3"/>
        <v>1</v>
      </c>
      <c r="K434" s="28" t="str">
        <f t="shared" si="4"/>
        <v/>
      </c>
      <c r="L434" s="45" t="str">
        <f t="shared" si="5"/>
        <v/>
      </c>
      <c r="M434" s="45" t="str">
        <f t="shared" si="6"/>
        <v/>
      </c>
      <c r="N434" s="45" t="str">
        <f t="shared" si="7"/>
        <v/>
      </c>
      <c r="O434" s="45" t="str">
        <f t="shared" si="8"/>
        <v/>
      </c>
      <c r="P434" s="45" t="str">
        <f t="shared" si="9"/>
        <v/>
      </c>
    </row>
    <row r="435" spans="1:16" ht="18">
      <c r="A435" s="92" t="s">
        <v>5056</v>
      </c>
      <c r="B435" s="345">
        <v>2005</v>
      </c>
      <c r="C435" s="92"/>
      <c r="D435" s="345">
        <v>15740542</v>
      </c>
      <c r="E435" s="278" t="str">
        <f t="shared" si="2"/>
        <v>https://pubmed.ncbi.nlm.nih.gov/?term=15740542</v>
      </c>
      <c r="F435" s="28" t="s">
        <v>511</v>
      </c>
      <c r="G435" s="28" t="s">
        <v>4867</v>
      </c>
      <c r="J435" s="346" t="str">
        <f t="shared" si="3"/>
        <v/>
      </c>
      <c r="K435" s="28" t="str">
        <f t="shared" si="4"/>
        <v/>
      </c>
      <c r="L435" s="45" t="str">
        <f t="shared" si="5"/>
        <v/>
      </c>
      <c r="M435" s="45" t="str">
        <f t="shared" si="6"/>
        <v/>
      </c>
      <c r="N435" s="45">
        <f t="shared" si="7"/>
        <v>1</v>
      </c>
      <c r="O435" s="45" t="str">
        <f t="shared" si="8"/>
        <v/>
      </c>
      <c r="P435" s="45" t="str">
        <f t="shared" si="9"/>
        <v/>
      </c>
    </row>
    <row r="436" spans="1:16" ht="18">
      <c r="A436" s="92" t="s">
        <v>5057</v>
      </c>
      <c r="B436" s="345">
        <v>2008</v>
      </c>
      <c r="C436" s="92" t="s">
        <v>5058</v>
      </c>
      <c r="D436" s="345">
        <v>18974084</v>
      </c>
      <c r="E436" s="278" t="str">
        <f t="shared" si="2"/>
        <v>https://pubmed.ncbi.nlm.nih.gov/?term=18974084</v>
      </c>
      <c r="F436" s="28" t="s">
        <v>511</v>
      </c>
      <c r="G436" s="28" t="s">
        <v>4592</v>
      </c>
      <c r="J436" s="346">
        <f t="shared" si="3"/>
        <v>1</v>
      </c>
      <c r="K436" s="28" t="str">
        <f t="shared" si="4"/>
        <v/>
      </c>
      <c r="L436" s="45" t="str">
        <f t="shared" si="5"/>
        <v/>
      </c>
      <c r="M436" s="45" t="str">
        <f t="shared" si="6"/>
        <v/>
      </c>
      <c r="N436" s="45" t="str">
        <f t="shared" si="7"/>
        <v/>
      </c>
      <c r="O436" s="45" t="str">
        <f t="shared" si="8"/>
        <v/>
      </c>
      <c r="P436" s="45" t="str">
        <f t="shared" si="9"/>
        <v/>
      </c>
    </row>
    <row r="437" spans="1:16" ht="18">
      <c r="A437" s="92" t="s">
        <v>5059</v>
      </c>
      <c r="B437" s="345">
        <v>2004</v>
      </c>
      <c r="C437" s="92"/>
      <c r="D437" s="345">
        <v>15207963</v>
      </c>
      <c r="E437" s="278" t="str">
        <f t="shared" si="2"/>
        <v>https://pubmed.ncbi.nlm.nih.gov/?term=15207963</v>
      </c>
      <c r="F437" s="28" t="s">
        <v>511</v>
      </c>
      <c r="G437" s="28" t="s">
        <v>5060</v>
      </c>
      <c r="J437" s="346">
        <f t="shared" si="3"/>
        <v>1</v>
      </c>
      <c r="K437" s="28" t="str">
        <f t="shared" si="4"/>
        <v/>
      </c>
      <c r="L437" s="45" t="str">
        <f t="shared" si="5"/>
        <v/>
      </c>
      <c r="M437" s="45" t="str">
        <f t="shared" si="6"/>
        <v/>
      </c>
      <c r="N437" s="45" t="str">
        <f t="shared" si="7"/>
        <v/>
      </c>
      <c r="O437" s="45" t="str">
        <f t="shared" si="8"/>
        <v/>
      </c>
      <c r="P437" s="45" t="str">
        <f t="shared" si="9"/>
        <v/>
      </c>
    </row>
    <row r="438" spans="1:16" ht="18">
      <c r="A438" s="92" t="s">
        <v>5061</v>
      </c>
      <c r="B438" s="345">
        <v>2008</v>
      </c>
      <c r="C438" s="92" t="s">
        <v>5062</v>
      </c>
      <c r="D438" s="345">
        <v>18231878</v>
      </c>
      <c r="E438" s="278" t="str">
        <f t="shared" si="2"/>
        <v>https://pubmed.ncbi.nlm.nih.gov/?term=18231878</v>
      </c>
      <c r="F438" s="28" t="s">
        <v>511</v>
      </c>
      <c r="G438" s="28" t="s">
        <v>4592</v>
      </c>
      <c r="J438" s="346">
        <f t="shared" si="3"/>
        <v>1</v>
      </c>
      <c r="K438" s="28" t="str">
        <f t="shared" si="4"/>
        <v/>
      </c>
      <c r="L438" s="45" t="str">
        <f t="shared" si="5"/>
        <v/>
      </c>
      <c r="M438" s="45" t="str">
        <f t="shared" si="6"/>
        <v/>
      </c>
      <c r="N438" s="45" t="str">
        <f t="shared" si="7"/>
        <v/>
      </c>
      <c r="O438" s="45" t="str">
        <f t="shared" si="8"/>
        <v/>
      </c>
      <c r="P438" s="45" t="str">
        <f t="shared" si="9"/>
        <v/>
      </c>
    </row>
    <row r="439" spans="1:16" ht="18">
      <c r="A439" s="92" t="s">
        <v>5063</v>
      </c>
      <c r="B439" s="345">
        <v>2010</v>
      </c>
      <c r="C439" s="92"/>
      <c r="D439" s="345">
        <v>20970725</v>
      </c>
      <c r="E439" s="278" t="str">
        <f t="shared" si="2"/>
        <v>https://pubmed.ncbi.nlm.nih.gov/?term=20970725</v>
      </c>
      <c r="F439" s="28" t="s">
        <v>511</v>
      </c>
      <c r="G439" s="28" t="s">
        <v>4592</v>
      </c>
      <c r="J439" s="346">
        <f t="shared" si="3"/>
        <v>1</v>
      </c>
      <c r="K439" s="28" t="str">
        <f t="shared" si="4"/>
        <v/>
      </c>
      <c r="L439" s="45" t="str">
        <f t="shared" si="5"/>
        <v/>
      </c>
      <c r="M439" s="45" t="str">
        <f t="shared" si="6"/>
        <v/>
      </c>
      <c r="N439" s="45" t="str">
        <f t="shared" si="7"/>
        <v/>
      </c>
      <c r="O439" s="45" t="str">
        <f t="shared" si="8"/>
        <v/>
      </c>
      <c r="P439" s="45" t="str">
        <f t="shared" si="9"/>
        <v/>
      </c>
    </row>
    <row r="440" spans="1:16" ht="18">
      <c r="A440" s="92" t="s">
        <v>5064</v>
      </c>
      <c r="B440" s="345">
        <v>2010</v>
      </c>
      <c r="C440" s="92"/>
      <c r="D440" s="345">
        <v>21076711</v>
      </c>
      <c r="E440" s="278" t="str">
        <f t="shared" si="2"/>
        <v>https://pubmed.ncbi.nlm.nih.gov/?term=21076711</v>
      </c>
      <c r="F440" s="28" t="s">
        <v>511</v>
      </c>
      <c r="G440" s="28" t="s">
        <v>4592</v>
      </c>
      <c r="J440" s="346">
        <f t="shared" si="3"/>
        <v>1</v>
      </c>
      <c r="K440" s="28" t="str">
        <f t="shared" si="4"/>
        <v/>
      </c>
      <c r="L440" s="45" t="str">
        <f t="shared" si="5"/>
        <v/>
      </c>
      <c r="M440" s="45" t="str">
        <f t="shared" si="6"/>
        <v/>
      </c>
      <c r="N440" s="45" t="str">
        <f t="shared" si="7"/>
        <v/>
      </c>
      <c r="O440" s="45" t="str">
        <f t="shared" si="8"/>
        <v/>
      </c>
      <c r="P440" s="45" t="str">
        <f t="shared" si="9"/>
        <v/>
      </c>
    </row>
    <row r="441" spans="1:16" ht="18">
      <c r="A441" s="92" t="s">
        <v>5065</v>
      </c>
      <c r="B441" s="345">
        <v>2010</v>
      </c>
      <c r="C441" s="92"/>
      <c r="D441" s="345">
        <v>20687080</v>
      </c>
      <c r="E441" s="278" t="str">
        <f t="shared" si="2"/>
        <v>https://pubmed.ncbi.nlm.nih.gov/?term=20687080</v>
      </c>
      <c r="F441" s="28" t="s">
        <v>511</v>
      </c>
      <c r="G441" s="28" t="s">
        <v>4592</v>
      </c>
      <c r="J441" s="346">
        <f t="shared" si="3"/>
        <v>1</v>
      </c>
      <c r="K441" s="28" t="str">
        <f t="shared" si="4"/>
        <v/>
      </c>
      <c r="L441" s="45" t="str">
        <f t="shared" si="5"/>
        <v/>
      </c>
      <c r="M441" s="45" t="str">
        <f t="shared" si="6"/>
        <v/>
      </c>
      <c r="N441" s="45" t="str">
        <f t="shared" si="7"/>
        <v/>
      </c>
      <c r="O441" s="45" t="str">
        <f t="shared" si="8"/>
        <v/>
      </c>
      <c r="P441" s="45" t="str">
        <f t="shared" si="9"/>
        <v/>
      </c>
    </row>
    <row r="442" spans="1:16" ht="18">
      <c r="A442" s="92" t="s">
        <v>4692</v>
      </c>
      <c r="B442" s="345">
        <v>2000</v>
      </c>
      <c r="C442" s="92"/>
      <c r="D442" s="345">
        <v>10987115</v>
      </c>
      <c r="E442" s="278" t="str">
        <f t="shared" si="2"/>
        <v>https://pubmed.ncbi.nlm.nih.gov/?term=10987115</v>
      </c>
      <c r="F442" s="28" t="s">
        <v>511</v>
      </c>
      <c r="G442" s="28" t="s">
        <v>4592</v>
      </c>
      <c r="J442" s="346">
        <f t="shared" si="3"/>
        <v>1</v>
      </c>
      <c r="K442" s="28" t="str">
        <f t="shared" si="4"/>
        <v/>
      </c>
      <c r="L442" s="45" t="str">
        <f t="shared" si="5"/>
        <v/>
      </c>
      <c r="M442" s="45" t="str">
        <f t="shared" si="6"/>
        <v/>
      </c>
      <c r="N442" s="45" t="str">
        <f t="shared" si="7"/>
        <v/>
      </c>
      <c r="O442" s="45" t="str">
        <f t="shared" si="8"/>
        <v/>
      </c>
      <c r="P442" s="45" t="str">
        <f t="shared" si="9"/>
        <v/>
      </c>
    </row>
    <row r="443" spans="1:16" ht="18">
      <c r="A443" s="92" t="s">
        <v>5066</v>
      </c>
      <c r="B443" s="345">
        <v>2007</v>
      </c>
      <c r="C443" s="92"/>
      <c r="D443" s="345">
        <v>17645934</v>
      </c>
      <c r="E443" s="278" t="str">
        <f t="shared" si="2"/>
        <v>https://pubmed.ncbi.nlm.nih.gov/?term=17645934</v>
      </c>
      <c r="F443" s="28" t="s">
        <v>511</v>
      </c>
      <c r="G443" s="28" t="s">
        <v>4592</v>
      </c>
      <c r="J443" s="346">
        <f t="shared" si="3"/>
        <v>1</v>
      </c>
      <c r="K443" s="28" t="str">
        <f t="shared" si="4"/>
        <v/>
      </c>
      <c r="L443" s="45" t="str">
        <f t="shared" si="5"/>
        <v/>
      </c>
      <c r="M443" s="45" t="str">
        <f t="shared" si="6"/>
        <v/>
      </c>
      <c r="N443" s="45" t="str">
        <f t="shared" si="7"/>
        <v/>
      </c>
      <c r="O443" s="45" t="str">
        <f t="shared" si="8"/>
        <v/>
      </c>
      <c r="P443" s="45" t="str">
        <f t="shared" si="9"/>
        <v/>
      </c>
    </row>
    <row r="444" spans="1:16" ht="18">
      <c r="A444" s="92" t="s">
        <v>5067</v>
      </c>
      <c r="B444" s="345">
        <v>2001</v>
      </c>
      <c r="C444" s="92"/>
      <c r="D444" s="345">
        <v>11603617</v>
      </c>
      <c r="E444" s="278" t="str">
        <f t="shared" si="2"/>
        <v>https://pubmed.ncbi.nlm.nih.gov/?term=11603617</v>
      </c>
      <c r="F444" s="28" t="s">
        <v>511</v>
      </c>
      <c r="G444" s="28" t="s">
        <v>4592</v>
      </c>
      <c r="J444" s="346">
        <f t="shared" si="3"/>
        <v>1</v>
      </c>
      <c r="K444" s="28" t="str">
        <f t="shared" si="4"/>
        <v/>
      </c>
      <c r="L444" s="45" t="str">
        <f t="shared" si="5"/>
        <v/>
      </c>
      <c r="M444" s="45" t="str">
        <f t="shared" si="6"/>
        <v/>
      </c>
      <c r="N444" s="45" t="str">
        <f t="shared" si="7"/>
        <v/>
      </c>
      <c r="O444" s="45" t="str">
        <f t="shared" si="8"/>
        <v/>
      </c>
      <c r="P444" s="45" t="str">
        <f t="shared" si="9"/>
        <v/>
      </c>
    </row>
    <row r="445" spans="1:16" ht="18">
      <c r="A445" s="92" t="s">
        <v>5068</v>
      </c>
      <c r="B445" s="345">
        <v>2010</v>
      </c>
      <c r="C445" s="92"/>
      <c r="D445" s="345">
        <v>20828335</v>
      </c>
      <c r="E445" s="278" t="str">
        <f t="shared" si="2"/>
        <v>https://pubmed.ncbi.nlm.nih.gov/?term=20828335</v>
      </c>
      <c r="F445" s="28" t="s">
        <v>511</v>
      </c>
      <c r="G445" s="28" t="s">
        <v>4592</v>
      </c>
      <c r="J445" s="346">
        <f t="shared" si="3"/>
        <v>1</v>
      </c>
      <c r="K445" s="28" t="str">
        <f t="shared" si="4"/>
        <v/>
      </c>
      <c r="L445" s="45" t="str">
        <f t="shared" si="5"/>
        <v/>
      </c>
      <c r="M445" s="45" t="str">
        <f t="shared" si="6"/>
        <v/>
      </c>
      <c r="N445" s="45" t="str">
        <f t="shared" si="7"/>
        <v/>
      </c>
      <c r="O445" s="45" t="str">
        <f t="shared" si="8"/>
        <v/>
      </c>
      <c r="P445" s="45" t="str">
        <f t="shared" si="9"/>
        <v/>
      </c>
    </row>
    <row r="446" spans="1:16" ht="18">
      <c r="A446" s="92" t="s">
        <v>5069</v>
      </c>
      <c r="B446" s="345">
        <v>2010</v>
      </c>
      <c r="C446" s="92"/>
      <c r="D446" s="345">
        <v>20799759</v>
      </c>
      <c r="E446" s="278" t="str">
        <f t="shared" si="2"/>
        <v>https://pubmed.ncbi.nlm.nih.gov/?term=20799759</v>
      </c>
      <c r="F446" s="28" t="s">
        <v>511</v>
      </c>
      <c r="G446" s="28" t="s">
        <v>4592</v>
      </c>
      <c r="J446" s="346">
        <f t="shared" si="3"/>
        <v>1</v>
      </c>
      <c r="K446" s="28" t="str">
        <f t="shared" si="4"/>
        <v/>
      </c>
      <c r="L446" s="45" t="str">
        <f t="shared" si="5"/>
        <v/>
      </c>
      <c r="M446" s="45" t="str">
        <f t="shared" si="6"/>
        <v/>
      </c>
      <c r="N446" s="45" t="str">
        <f t="shared" si="7"/>
        <v/>
      </c>
      <c r="O446" s="45" t="str">
        <f t="shared" si="8"/>
        <v/>
      </c>
      <c r="P446" s="45" t="str">
        <f t="shared" si="9"/>
        <v/>
      </c>
    </row>
    <row r="447" spans="1:16" ht="18">
      <c r="A447" s="92" t="s">
        <v>5070</v>
      </c>
      <c r="B447" s="345">
        <v>2004</v>
      </c>
      <c r="C447" s="92"/>
      <c r="D447" s="345">
        <v>15288821</v>
      </c>
      <c r="E447" s="278" t="str">
        <f t="shared" si="2"/>
        <v>https://pubmed.ncbi.nlm.nih.gov/?term=15288821</v>
      </c>
      <c r="F447" s="28" t="s">
        <v>511</v>
      </c>
      <c r="G447" s="28" t="s">
        <v>4592</v>
      </c>
      <c r="J447" s="346">
        <f t="shared" si="3"/>
        <v>1</v>
      </c>
      <c r="K447" s="28" t="str">
        <f t="shared" si="4"/>
        <v/>
      </c>
      <c r="L447" s="45" t="str">
        <f t="shared" si="5"/>
        <v/>
      </c>
      <c r="M447" s="45" t="str">
        <f t="shared" si="6"/>
        <v/>
      </c>
      <c r="N447" s="45" t="str">
        <f t="shared" si="7"/>
        <v/>
      </c>
      <c r="O447" s="45" t="str">
        <f t="shared" si="8"/>
        <v/>
      </c>
      <c r="P447" s="45" t="str">
        <f t="shared" si="9"/>
        <v/>
      </c>
    </row>
    <row r="448" spans="1:16" ht="18">
      <c r="A448" s="92" t="s">
        <v>5071</v>
      </c>
      <c r="B448" s="345">
        <v>2007</v>
      </c>
      <c r="C448" s="92" t="s">
        <v>5072</v>
      </c>
      <c r="D448" s="345">
        <v>18044074</v>
      </c>
      <c r="E448" s="278" t="str">
        <f t="shared" si="2"/>
        <v>https://pubmed.ncbi.nlm.nih.gov/?term=18044074</v>
      </c>
      <c r="F448" s="28" t="s">
        <v>511</v>
      </c>
      <c r="G448" s="28" t="s">
        <v>4592</v>
      </c>
      <c r="J448" s="346">
        <f t="shared" si="3"/>
        <v>1</v>
      </c>
      <c r="K448" s="28" t="str">
        <f t="shared" si="4"/>
        <v/>
      </c>
      <c r="L448" s="45" t="str">
        <f t="shared" si="5"/>
        <v/>
      </c>
      <c r="M448" s="45" t="str">
        <f t="shared" si="6"/>
        <v/>
      </c>
      <c r="N448" s="45" t="str">
        <f t="shared" si="7"/>
        <v/>
      </c>
      <c r="O448" s="45" t="str">
        <f t="shared" si="8"/>
        <v/>
      </c>
      <c r="P448" s="45" t="str">
        <f t="shared" si="9"/>
        <v/>
      </c>
    </row>
    <row r="449" spans="1:16" ht="18">
      <c r="A449" s="92" t="s">
        <v>5073</v>
      </c>
      <c r="B449" s="345">
        <v>2010</v>
      </c>
      <c r="C449" s="92"/>
      <c r="D449" s="345">
        <v>20824838</v>
      </c>
      <c r="E449" s="278" t="str">
        <f t="shared" si="2"/>
        <v>https://pubmed.ncbi.nlm.nih.gov/?term=20824838</v>
      </c>
      <c r="F449" s="28" t="s">
        <v>511</v>
      </c>
      <c r="G449" s="28" t="s">
        <v>4592</v>
      </c>
      <c r="J449" s="346">
        <f t="shared" si="3"/>
        <v>1</v>
      </c>
      <c r="K449" s="28" t="str">
        <f t="shared" si="4"/>
        <v/>
      </c>
      <c r="L449" s="45" t="str">
        <f t="shared" si="5"/>
        <v/>
      </c>
      <c r="M449" s="45" t="str">
        <f t="shared" si="6"/>
        <v/>
      </c>
      <c r="N449" s="45" t="str">
        <f t="shared" si="7"/>
        <v/>
      </c>
      <c r="O449" s="45" t="str">
        <f t="shared" si="8"/>
        <v/>
      </c>
      <c r="P449" s="45" t="str">
        <f t="shared" si="9"/>
        <v/>
      </c>
    </row>
    <row r="450" spans="1:16" ht="18">
      <c r="A450" s="92" t="s">
        <v>5074</v>
      </c>
      <c r="B450" s="345">
        <v>2010</v>
      </c>
      <c r="C450" s="92"/>
      <c r="D450" s="345">
        <v>20524912</v>
      </c>
      <c r="E450" s="278" t="str">
        <f t="shared" si="2"/>
        <v>https://pubmed.ncbi.nlm.nih.gov/?term=20524912</v>
      </c>
      <c r="F450" s="28" t="s">
        <v>511</v>
      </c>
      <c r="G450" s="28" t="s">
        <v>4592</v>
      </c>
      <c r="J450" s="346">
        <f t="shared" si="3"/>
        <v>1</v>
      </c>
      <c r="K450" s="28" t="str">
        <f t="shared" si="4"/>
        <v/>
      </c>
      <c r="L450" s="45" t="str">
        <f t="shared" si="5"/>
        <v/>
      </c>
      <c r="M450" s="45" t="str">
        <f t="shared" si="6"/>
        <v/>
      </c>
      <c r="N450" s="45" t="str">
        <f t="shared" si="7"/>
        <v/>
      </c>
      <c r="O450" s="45" t="str">
        <f t="shared" si="8"/>
        <v/>
      </c>
      <c r="P450" s="45" t="str">
        <f t="shared" si="9"/>
        <v/>
      </c>
    </row>
    <row r="451" spans="1:16" ht="18">
      <c r="A451" s="92" t="s">
        <v>5075</v>
      </c>
      <c r="B451" s="345">
        <v>2004</v>
      </c>
      <c r="C451" s="92"/>
      <c r="D451" s="345">
        <v>15312114</v>
      </c>
      <c r="E451" s="278" t="str">
        <f t="shared" si="2"/>
        <v>https://pubmed.ncbi.nlm.nih.gov/?term=15312114</v>
      </c>
      <c r="F451" s="28" t="s">
        <v>511</v>
      </c>
      <c r="G451" s="28" t="s">
        <v>4592</v>
      </c>
      <c r="J451" s="346">
        <f t="shared" si="3"/>
        <v>1</v>
      </c>
      <c r="K451" s="28" t="str">
        <f t="shared" si="4"/>
        <v/>
      </c>
      <c r="L451" s="45" t="str">
        <f t="shared" si="5"/>
        <v/>
      </c>
      <c r="M451" s="45" t="str">
        <f t="shared" si="6"/>
        <v/>
      </c>
      <c r="N451" s="45" t="str">
        <f t="shared" si="7"/>
        <v/>
      </c>
      <c r="O451" s="45" t="str">
        <f t="shared" si="8"/>
        <v/>
      </c>
      <c r="P451" s="45" t="str">
        <f t="shared" si="9"/>
        <v/>
      </c>
    </row>
    <row r="452" spans="1:16" ht="18">
      <c r="A452" s="92" t="s">
        <v>5076</v>
      </c>
      <c r="B452" s="345">
        <v>2006</v>
      </c>
      <c r="C452" s="92"/>
      <c r="D452" s="345">
        <v>17054156</v>
      </c>
      <c r="E452" s="278" t="str">
        <f t="shared" si="2"/>
        <v>https://pubmed.ncbi.nlm.nih.gov/?term=17054156</v>
      </c>
      <c r="F452" s="28" t="s">
        <v>511</v>
      </c>
      <c r="G452" s="28" t="s">
        <v>4592</v>
      </c>
      <c r="J452" s="346">
        <f t="shared" si="3"/>
        <v>1</v>
      </c>
      <c r="K452" s="28" t="str">
        <f t="shared" si="4"/>
        <v/>
      </c>
      <c r="L452" s="45" t="str">
        <f t="shared" si="5"/>
        <v/>
      </c>
      <c r="M452" s="45" t="str">
        <f t="shared" si="6"/>
        <v/>
      </c>
      <c r="N452" s="45" t="str">
        <f t="shared" si="7"/>
        <v/>
      </c>
      <c r="O452" s="45" t="str">
        <f t="shared" si="8"/>
        <v/>
      </c>
      <c r="P452" s="45" t="str">
        <f t="shared" si="9"/>
        <v/>
      </c>
    </row>
    <row r="453" spans="1:16" ht="18">
      <c r="A453" s="92" t="s">
        <v>5077</v>
      </c>
      <c r="B453" s="345">
        <v>2006</v>
      </c>
      <c r="C453" s="92" t="s">
        <v>5078</v>
      </c>
      <c r="D453" s="345">
        <v>17132140</v>
      </c>
      <c r="E453" s="278" t="str">
        <f t="shared" si="2"/>
        <v>https://pubmed.ncbi.nlm.nih.gov/?term=17132140</v>
      </c>
      <c r="F453" s="28" t="s">
        <v>511</v>
      </c>
      <c r="G453" s="28" t="s">
        <v>4592</v>
      </c>
      <c r="J453" s="346">
        <f t="shared" si="3"/>
        <v>1</v>
      </c>
      <c r="K453" s="28" t="str">
        <f t="shared" si="4"/>
        <v/>
      </c>
      <c r="L453" s="45" t="str">
        <f t="shared" si="5"/>
        <v/>
      </c>
      <c r="M453" s="45" t="str">
        <f t="shared" si="6"/>
        <v/>
      </c>
      <c r="N453" s="45" t="str">
        <f t="shared" si="7"/>
        <v/>
      </c>
      <c r="O453" s="45" t="str">
        <f t="shared" si="8"/>
        <v/>
      </c>
      <c r="P453" s="45" t="str">
        <f t="shared" si="9"/>
        <v/>
      </c>
    </row>
    <row r="454" spans="1:16" ht="18">
      <c r="A454" s="92" t="s">
        <v>5079</v>
      </c>
      <c r="B454" s="345">
        <v>2008</v>
      </c>
      <c r="C454" s="92"/>
      <c r="D454" s="345">
        <v>18827584</v>
      </c>
      <c r="E454" s="278" t="str">
        <f t="shared" si="2"/>
        <v>https://pubmed.ncbi.nlm.nih.gov/?term=18827584</v>
      </c>
      <c r="F454" s="28" t="s">
        <v>511</v>
      </c>
      <c r="G454" s="28" t="s">
        <v>4592</v>
      </c>
      <c r="J454" s="346">
        <f t="shared" si="3"/>
        <v>1</v>
      </c>
      <c r="K454" s="28" t="str">
        <f t="shared" si="4"/>
        <v/>
      </c>
      <c r="L454" s="45" t="str">
        <f t="shared" si="5"/>
        <v/>
      </c>
      <c r="M454" s="45" t="str">
        <f t="shared" si="6"/>
        <v/>
      </c>
      <c r="N454" s="45" t="str">
        <f t="shared" si="7"/>
        <v/>
      </c>
      <c r="O454" s="45" t="str">
        <f t="shared" si="8"/>
        <v/>
      </c>
      <c r="P454" s="45" t="str">
        <f t="shared" si="9"/>
        <v/>
      </c>
    </row>
    <row r="455" spans="1:16" ht="18">
      <c r="A455" s="92" t="s">
        <v>5080</v>
      </c>
      <c r="B455" s="345">
        <v>2005</v>
      </c>
      <c r="C455" s="92"/>
      <c r="D455" s="345">
        <v>16113484</v>
      </c>
      <c r="E455" s="278" t="str">
        <f t="shared" si="2"/>
        <v>https://pubmed.ncbi.nlm.nih.gov/?term=16113484</v>
      </c>
      <c r="F455" s="28" t="s">
        <v>511</v>
      </c>
      <c r="G455" s="28" t="s">
        <v>4592</v>
      </c>
      <c r="J455" s="346">
        <f t="shared" si="3"/>
        <v>1</v>
      </c>
      <c r="K455" s="28" t="str">
        <f t="shared" si="4"/>
        <v/>
      </c>
      <c r="L455" s="45" t="str">
        <f t="shared" si="5"/>
        <v/>
      </c>
      <c r="M455" s="45" t="str">
        <f t="shared" si="6"/>
        <v/>
      </c>
      <c r="N455" s="45" t="str">
        <f t="shared" si="7"/>
        <v/>
      </c>
      <c r="O455" s="45" t="str">
        <f t="shared" si="8"/>
        <v/>
      </c>
      <c r="P455" s="45" t="str">
        <f t="shared" si="9"/>
        <v/>
      </c>
    </row>
    <row r="456" spans="1:16" ht="18">
      <c r="A456" s="92" t="s">
        <v>5081</v>
      </c>
      <c r="B456" s="345">
        <v>2008</v>
      </c>
      <c r="C456" s="92" t="s">
        <v>5082</v>
      </c>
      <c r="D456" s="345">
        <v>18298852</v>
      </c>
      <c r="E456" s="278" t="str">
        <f t="shared" si="2"/>
        <v>https://pubmed.ncbi.nlm.nih.gov/?term=18298852</v>
      </c>
      <c r="F456" s="28" t="s">
        <v>511</v>
      </c>
      <c r="G456" s="28" t="s">
        <v>4592</v>
      </c>
      <c r="J456" s="346">
        <f t="shared" si="3"/>
        <v>1</v>
      </c>
      <c r="K456" s="28" t="str">
        <f t="shared" si="4"/>
        <v/>
      </c>
      <c r="L456" s="45" t="str">
        <f t="shared" si="5"/>
        <v/>
      </c>
      <c r="M456" s="45" t="str">
        <f t="shared" si="6"/>
        <v/>
      </c>
      <c r="N456" s="45" t="str">
        <f t="shared" si="7"/>
        <v/>
      </c>
      <c r="O456" s="45" t="str">
        <f t="shared" si="8"/>
        <v/>
      </c>
      <c r="P456" s="45" t="str">
        <f t="shared" si="9"/>
        <v/>
      </c>
    </row>
    <row r="457" spans="1:16" ht="18">
      <c r="A457" s="92" t="s">
        <v>5083</v>
      </c>
      <c r="B457" s="345">
        <v>2009</v>
      </c>
      <c r="C457" s="92"/>
      <c r="D457" s="345">
        <v>19751550</v>
      </c>
      <c r="E457" s="278" t="str">
        <f t="shared" si="2"/>
        <v>https://pubmed.ncbi.nlm.nih.gov/?term=19751550</v>
      </c>
      <c r="F457" s="28" t="s">
        <v>511</v>
      </c>
      <c r="G457" s="28" t="s">
        <v>4592</v>
      </c>
      <c r="J457" s="346">
        <f t="shared" si="3"/>
        <v>1</v>
      </c>
      <c r="K457" s="28" t="str">
        <f t="shared" si="4"/>
        <v/>
      </c>
      <c r="L457" s="45" t="str">
        <f t="shared" si="5"/>
        <v/>
      </c>
      <c r="M457" s="45" t="str">
        <f t="shared" si="6"/>
        <v/>
      </c>
      <c r="N457" s="45" t="str">
        <f t="shared" si="7"/>
        <v/>
      </c>
      <c r="O457" s="45" t="str">
        <f t="shared" si="8"/>
        <v/>
      </c>
      <c r="P457" s="45" t="str">
        <f t="shared" si="9"/>
        <v/>
      </c>
    </row>
    <row r="458" spans="1:16" ht="18">
      <c r="A458" s="92" t="s">
        <v>5084</v>
      </c>
      <c r="B458" s="345">
        <v>2007</v>
      </c>
      <c r="C458" s="92"/>
      <c r="D458" s="345">
        <v>17636705</v>
      </c>
      <c r="E458" s="278" t="str">
        <f t="shared" si="2"/>
        <v>https://pubmed.ncbi.nlm.nih.gov/?term=17636705</v>
      </c>
      <c r="F458" s="28" t="s">
        <v>511</v>
      </c>
      <c r="G458" s="28" t="s">
        <v>4592</v>
      </c>
      <c r="J458" s="346">
        <f t="shared" si="3"/>
        <v>1</v>
      </c>
      <c r="K458" s="28" t="str">
        <f t="shared" si="4"/>
        <v/>
      </c>
      <c r="L458" s="45" t="str">
        <f t="shared" si="5"/>
        <v/>
      </c>
      <c r="M458" s="45" t="str">
        <f t="shared" si="6"/>
        <v/>
      </c>
      <c r="N458" s="45" t="str">
        <f t="shared" si="7"/>
        <v/>
      </c>
      <c r="O458" s="45" t="str">
        <f t="shared" si="8"/>
        <v/>
      </c>
      <c r="P458" s="45" t="str">
        <f t="shared" si="9"/>
        <v/>
      </c>
    </row>
    <row r="459" spans="1:16" ht="18">
      <c r="A459" s="92" t="s">
        <v>5085</v>
      </c>
      <c r="B459" s="345">
        <v>2010</v>
      </c>
      <c r="C459" s="92"/>
      <c r="D459" s="345">
        <v>20409026</v>
      </c>
      <c r="E459" s="278" t="str">
        <f t="shared" si="2"/>
        <v>https://pubmed.ncbi.nlm.nih.gov/?term=20409026</v>
      </c>
      <c r="F459" s="28" t="s">
        <v>511</v>
      </c>
      <c r="G459" s="28" t="s">
        <v>4592</v>
      </c>
      <c r="J459" s="346">
        <f t="shared" si="3"/>
        <v>1</v>
      </c>
      <c r="K459" s="28" t="str">
        <f t="shared" si="4"/>
        <v/>
      </c>
      <c r="L459" s="45" t="str">
        <f t="shared" si="5"/>
        <v/>
      </c>
      <c r="M459" s="45" t="str">
        <f t="shared" si="6"/>
        <v/>
      </c>
      <c r="N459" s="45" t="str">
        <f t="shared" si="7"/>
        <v/>
      </c>
      <c r="O459" s="45" t="str">
        <f t="shared" si="8"/>
        <v/>
      </c>
      <c r="P459" s="45" t="str">
        <f t="shared" si="9"/>
        <v/>
      </c>
    </row>
    <row r="460" spans="1:16" ht="18">
      <c r="A460" s="92" t="s">
        <v>5086</v>
      </c>
      <c r="B460" s="345">
        <v>2010</v>
      </c>
      <c r="C460" s="92" t="s">
        <v>5087</v>
      </c>
      <c r="D460" s="345">
        <v>20619382</v>
      </c>
      <c r="E460" s="278" t="str">
        <f t="shared" si="2"/>
        <v>https://pubmed.ncbi.nlm.nih.gov/?term=20619382</v>
      </c>
      <c r="F460" s="28" t="s">
        <v>511</v>
      </c>
      <c r="G460" s="28" t="s">
        <v>4867</v>
      </c>
      <c r="J460" s="346" t="str">
        <f t="shared" si="3"/>
        <v/>
      </c>
      <c r="K460" s="28" t="str">
        <f t="shared" si="4"/>
        <v/>
      </c>
      <c r="L460" s="45" t="str">
        <f t="shared" si="5"/>
        <v/>
      </c>
      <c r="M460" s="45" t="str">
        <f t="shared" si="6"/>
        <v/>
      </c>
      <c r="N460" s="45">
        <f t="shared" si="7"/>
        <v>1</v>
      </c>
      <c r="O460" s="45" t="str">
        <f t="shared" si="8"/>
        <v/>
      </c>
      <c r="P460" s="45" t="str">
        <f t="shared" si="9"/>
        <v/>
      </c>
    </row>
    <row r="461" spans="1:16" ht="18">
      <c r="A461" s="92" t="s">
        <v>5088</v>
      </c>
      <c r="B461" s="345">
        <v>2001</v>
      </c>
      <c r="C461" s="92"/>
      <c r="D461" s="345">
        <v>11270942</v>
      </c>
      <c r="E461" s="278" t="str">
        <f t="shared" si="2"/>
        <v>https://pubmed.ncbi.nlm.nih.gov/?term=11270942</v>
      </c>
      <c r="F461" s="28" t="s">
        <v>511</v>
      </c>
      <c r="G461" s="28" t="s">
        <v>4592</v>
      </c>
      <c r="J461" s="346">
        <f t="shared" si="3"/>
        <v>1</v>
      </c>
      <c r="K461" s="28" t="str">
        <f t="shared" si="4"/>
        <v/>
      </c>
      <c r="L461" s="45" t="str">
        <f t="shared" si="5"/>
        <v/>
      </c>
      <c r="M461" s="45" t="str">
        <f t="shared" si="6"/>
        <v/>
      </c>
      <c r="N461" s="45" t="str">
        <f t="shared" si="7"/>
        <v/>
      </c>
      <c r="O461" s="45" t="str">
        <f t="shared" si="8"/>
        <v/>
      </c>
      <c r="P461" s="45" t="str">
        <f t="shared" si="9"/>
        <v/>
      </c>
    </row>
    <row r="462" spans="1:16" ht="18">
      <c r="A462" s="92" t="s">
        <v>5089</v>
      </c>
      <c r="B462" s="345">
        <v>2010</v>
      </c>
      <c r="C462" s="92" t="s">
        <v>5090</v>
      </c>
      <c r="D462" s="345">
        <v>20626907</v>
      </c>
      <c r="E462" s="278" t="str">
        <f t="shared" si="2"/>
        <v>https://pubmed.ncbi.nlm.nih.gov/?term=20626907</v>
      </c>
      <c r="F462" s="28" t="s">
        <v>511</v>
      </c>
      <c r="G462" s="28" t="s">
        <v>4592</v>
      </c>
      <c r="J462" s="346">
        <f t="shared" si="3"/>
        <v>1</v>
      </c>
      <c r="K462" s="28" t="str">
        <f t="shared" si="4"/>
        <v/>
      </c>
      <c r="L462" s="45" t="str">
        <f t="shared" si="5"/>
        <v/>
      </c>
      <c r="M462" s="45" t="str">
        <f t="shared" si="6"/>
        <v/>
      </c>
      <c r="N462" s="45" t="str">
        <f t="shared" si="7"/>
        <v/>
      </c>
      <c r="O462" s="45" t="str">
        <f t="shared" si="8"/>
        <v/>
      </c>
      <c r="P462" s="45" t="str">
        <f t="shared" si="9"/>
        <v/>
      </c>
    </row>
    <row r="463" spans="1:16" ht="18">
      <c r="A463" s="92" t="s">
        <v>4696</v>
      </c>
      <c r="B463" s="345">
        <v>2000</v>
      </c>
      <c r="C463" s="92"/>
      <c r="D463" s="345">
        <v>10893025</v>
      </c>
      <c r="E463" s="278" t="str">
        <f t="shared" si="2"/>
        <v>https://pubmed.ncbi.nlm.nih.gov/?term=10893025</v>
      </c>
      <c r="F463" s="28" t="s">
        <v>511</v>
      </c>
      <c r="G463" s="28" t="s">
        <v>4592</v>
      </c>
      <c r="J463" s="346">
        <f t="shared" si="3"/>
        <v>1</v>
      </c>
      <c r="K463" s="28" t="str">
        <f t="shared" si="4"/>
        <v/>
      </c>
      <c r="L463" s="45" t="str">
        <f t="shared" si="5"/>
        <v/>
      </c>
      <c r="M463" s="45" t="str">
        <f t="shared" si="6"/>
        <v/>
      </c>
      <c r="N463" s="45" t="str">
        <f t="shared" si="7"/>
        <v/>
      </c>
      <c r="O463" s="45" t="str">
        <f t="shared" si="8"/>
        <v/>
      </c>
      <c r="P463" s="45" t="str">
        <f t="shared" si="9"/>
        <v/>
      </c>
    </row>
    <row r="464" spans="1:16" ht="18">
      <c r="A464" s="92" t="s">
        <v>5091</v>
      </c>
      <c r="B464" s="345">
        <v>2002</v>
      </c>
      <c r="C464" s="92"/>
      <c r="D464" s="345">
        <v>11869593</v>
      </c>
      <c r="E464" s="278" t="str">
        <f t="shared" si="2"/>
        <v>https://pubmed.ncbi.nlm.nih.gov/?term=11869593</v>
      </c>
      <c r="F464" s="28" t="s">
        <v>511</v>
      </c>
      <c r="G464" s="28" t="s">
        <v>4592</v>
      </c>
      <c r="J464" s="346">
        <f t="shared" si="3"/>
        <v>1</v>
      </c>
      <c r="K464" s="28" t="str">
        <f t="shared" si="4"/>
        <v/>
      </c>
      <c r="L464" s="45" t="str">
        <f t="shared" si="5"/>
        <v/>
      </c>
      <c r="M464" s="45" t="str">
        <f t="shared" si="6"/>
        <v/>
      </c>
      <c r="N464" s="45" t="str">
        <f t="shared" si="7"/>
        <v/>
      </c>
      <c r="O464" s="45" t="str">
        <f t="shared" si="8"/>
        <v/>
      </c>
      <c r="P464" s="45" t="str">
        <f t="shared" si="9"/>
        <v/>
      </c>
    </row>
    <row r="465" spans="1:16" ht="18">
      <c r="A465" s="92" t="s">
        <v>5092</v>
      </c>
      <c r="B465" s="345">
        <v>2006</v>
      </c>
      <c r="C465" s="92"/>
      <c r="D465" s="345">
        <v>16625588</v>
      </c>
      <c r="E465" s="278" t="str">
        <f t="shared" si="2"/>
        <v>https://pubmed.ncbi.nlm.nih.gov/?term=16625588</v>
      </c>
      <c r="F465" s="28" t="s">
        <v>511</v>
      </c>
      <c r="G465" s="28" t="s">
        <v>4592</v>
      </c>
      <c r="J465" s="346">
        <f t="shared" si="3"/>
        <v>1</v>
      </c>
      <c r="K465" s="28" t="str">
        <f t="shared" si="4"/>
        <v/>
      </c>
      <c r="L465" s="45" t="str">
        <f t="shared" si="5"/>
        <v/>
      </c>
      <c r="M465" s="45" t="str">
        <f t="shared" si="6"/>
        <v/>
      </c>
      <c r="N465" s="45" t="str">
        <f t="shared" si="7"/>
        <v/>
      </c>
      <c r="O465" s="45" t="str">
        <f t="shared" si="8"/>
        <v/>
      </c>
      <c r="P465" s="45" t="str">
        <f t="shared" si="9"/>
        <v/>
      </c>
    </row>
    <row r="466" spans="1:16" ht="18">
      <c r="A466" s="92" t="s">
        <v>5093</v>
      </c>
      <c r="B466" s="345">
        <v>2001</v>
      </c>
      <c r="C466" s="92"/>
      <c r="D466" s="345">
        <v>11431134</v>
      </c>
      <c r="E466" s="278" t="str">
        <f t="shared" si="2"/>
        <v>https://pubmed.ncbi.nlm.nih.gov/?term=11431134</v>
      </c>
      <c r="F466" s="28" t="s">
        <v>511</v>
      </c>
      <c r="G466" s="28" t="s">
        <v>4592</v>
      </c>
      <c r="J466" s="346">
        <f t="shared" si="3"/>
        <v>1</v>
      </c>
      <c r="K466" s="28" t="str">
        <f t="shared" si="4"/>
        <v/>
      </c>
      <c r="L466" s="45" t="str">
        <f t="shared" si="5"/>
        <v/>
      </c>
      <c r="M466" s="45" t="str">
        <f t="shared" si="6"/>
        <v/>
      </c>
      <c r="N466" s="45" t="str">
        <f t="shared" si="7"/>
        <v/>
      </c>
      <c r="O466" s="45" t="str">
        <f t="shared" si="8"/>
        <v/>
      </c>
      <c r="P466" s="45" t="str">
        <f t="shared" si="9"/>
        <v/>
      </c>
    </row>
    <row r="467" spans="1:16" ht="18">
      <c r="A467" s="92" t="s">
        <v>5094</v>
      </c>
      <c r="B467" s="345">
        <v>2008</v>
      </c>
      <c r="C467" s="92" t="s">
        <v>5095</v>
      </c>
      <c r="D467" s="345">
        <v>18306464</v>
      </c>
      <c r="E467" s="278" t="str">
        <f t="shared" si="2"/>
        <v>https://pubmed.ncbi.nlm.nih.gov/?term=18306464</v>
      </c>
      <c r="F467" s="28" t="s">
        <v>511</v>
      </c>
      <c r="G467" s="28" t="s">
        <v>4592</v>
      </c>
      <c r="J467" s="346">
        <f t="shared" si="3"/>
        <v>1</v>
      </c>
      <c r="K467" s="28" t="str">
        <f t="shared" si="4"/>
        <v/>
      </c>
      <c r="L467" s="45" t="str">
        <f t="shared" si="5"/>
        <v/>
      </c>
      <c r="M467" s="45" t="str">
        <f t="shared" si="6"/>
        <v/>
      </c>
      <c r="N467" s="45" t="str">
        <f t="shared" si="7"/>
        <v/>
      </c>
      <c r="O467" s="45" t="str">
        <f t="shared" si="8"/>
        <v/>
      </c>
      <c r="P467" s="45" t="str">
        <f t="shared" si="9"/>
        <v/>
      </c>
    </row>
    <row r="468" spans="1:16" ht="18">
      <c r="A468" s="92" t="s">
        <v>5084</v>
      </c>
      <c r="B468" s="345">
        <v>2001</v>
      </c>
      <c r="C468" s="92"/>
      <c r="D468" s="345">
        <v>11687023</v>
      </c>
      <c r="E468" s="278" t="str">
        <f t="shared" si="2"/>
        <v>https://pubmed.ncbi.nlm.nih.gov/?term=11687023</v>
      </c>
      <c r="F468" s="28" t="s">
        <v>511</v>
      </c>
      <c r="G468" s="28" t="s">
        <v>4592</v>
      </c>
      <c r="J468" s="346">
        <f t="shared" si="3"/>
        <v>1</v>
      </c>
      <c r="K468" s="28" t="str">
        <f t="shared" si="4"/>
        <v/>
      </c>
      <c r="L468" s="45" t="str">
        <f t="shared" si="5"/>
        <v/>
      </c>
      <c r="M468" s="45" t="str">
        <f t="shared" si="6"/>
        <v/>
      </c>
      <c r="N468" s="45" t="str">
        <f t="shared" si="7"/>
        <v/>
      </c>
      <c r="O468" s="45" t="str">
        <f t="shared" si="8"/>
        <v/>
      </c>
      <c r="P468" s="45" t="str">
        <f t="shared" si="9"/>
        <v/>
      </c>
    </row>
    <row r="469" spans="1:16" ht="18">
      <c r="A469" s="92" t="s">
        <v>4707</v>
      </c>
      <c r="B469" s="345">
        <v>2002</v>
      </c>
      <c r="C469" s="92"/>
      <c r="D469" s="345">
        <v>11844988</v>
      </c>
      <c r="E469" s="278" t="str">
        <f t="shared" si="2"/>
        <v>https://pubmed.ncbi.nlm.nih.gov/?term=11844988</v>
      </c>
      <c r="F469" s="28" t="s">
        <v>511</v>
      </c>
      <c r="G469" s="28" t="s">
        <v>4592</v>
      </c>
      <c r="J469" s="346">
        <f t="shared" si="3"/>
        <v>1</v>
      </c>
      <c r="K469" s="28" t="str">
        <f t="shared" si="4"/>
        <v/>
      </c>
      <c r="L469" s="45" t="str">
        <f t="shared" si="5"/>
        <v/>
      </c>
      <c r="M469" s="45" t="str">
        <f t="shared" si="6"/>
        <v/>
      </c>
      <c r="N469" s="45" t="str">
        <f t="shared" si="7"/>
        <v/>
      </c>
      <c r="O469" s="45" t="str">
        <f t="shared" si="8"/>
        <v/>
      </c>
      <c r="P469" s="45" t="str">
        <f t="shared" si="9"/>
        <v/>
      </c>
    </row>
    <row r="470" spans="1:16" ht="18">
      <c r="A470" s="92" t="s">
        <v>5096</v>
      </c>
      <c r="B470" s="345">
        <v>2001</v>
      </c>
      <c r="C470" s="92"/>
      <c r="D470" s="345">
        <v>11444404</v>
      </c>
      <c r="E470" s="278" t="str">
        <f t="shared" si="2"/>
        <v>https://pubmed.ncbi.nlm.nih.gov/?term=11444404</v>
      </c>
      <c r="F470" s="28" t="s">
        <v>511</v>
      </c>
      <c r="G470" s="28" t="s">
        <v>4592</v>
      </c>
      <c r="J470" s="346">
        <f t="shared" si="3"/>
        <v>1</v>
      </c>
      <c r="K470" s="28" t="str">
        <f t="shared" si="4"/>
        <v/>
      </c>
      <c r="L470" s="45" t="str">
        <f t="shared" si="5"/>
        <v/>
      </c>
      <c r="M470" s="45" t="str">
        <f t="shared" si="6"/>
        <v/>
      </c>
      <c r="N470" s="45" t="str">
        <f t="shared" si="7"/>
        <v/>
      </c>
      <c r="O470" s="45" t="str">
        <f t="shared" si="8"/>
        <v/>
      </c>
      <c r="P470" s="45" t="str">
        <f t="shared" si="9"/>
        <v/>
      </c>
    </row>
    <row r="471" spans="1:16" ht="18">
      <c r="A471" s="92" t="s">
        <v>5097</v>
      </c>
      <c r="B471" s="345">
        <v>2005</v>
      </c>
      <c r="C471" s="92"/>
      <c r="D471" s="345">
        <v>15720525</v>
      </c>
      <c r="E471" s="278" t="str">
        <f t="shared" si="2"/>
        <v>https://pubmed.ncbi.nlm.nih.gov/?term=15720525</v>
      </c>
      <c r="F471" s="28" t="s">
        <v>511</v>
      </c>
      <c r="G471" s="28" t="s">
        <v>4592</v>
      </c>
      <c r="J471" s="346">
        <f t="shared" si="3"/>
        <v>1</v>
      </c>
      <c r="K471" s="28" t="str">
        <f t="shared" si="4"/>
        <v/>
      </c>
      <c r="L471" s="45" t="str">
        <f t="shared" si="5"/>
        <v/>
      </c>
      <c r="M471" s="45" t="str">
        <f t="shared" si="6"/>
        <v/>
      </c>
      <c r="N471" s="45" t="str">
        <f t="shared" si="7"/>
        <v/>
      </c>
      <c r="O471" s="45" t="str">
        <f t="shared" si="8"/>
        <v/>
      </c>
      <c r="P471" s="45" t="str">
        <f t="shared" si="9"/>
        <v/>
      </c>
    </row>
    <row r="472" spans="1:16" ht="18">
      <c r="A472" s="92" t="s">
        <v>5098</v>
      </c>
      <c r="B472" s="345">
        <v>2006</v>
      </c>
      <c r="C472" s="92"/>
      <c r="D472" s="345">
        <v>16498249</v>
      </c>
      <c r="E472" s="278" t="str">
        <f t="shared" si="2"/>
        <v>https://pubmed.ncbi.nlm.nih.gov/?term=16498249</v>
      </c>
      <c r="F472" s="28" t="s">
        <v>511</v>
      </c>
      <c r="G472" s="28" t="s">
        <v>4592</v>
      </c>
      <c r="J472" s="346">
        <f t="shared" si="3"/>
        <v>1</v>
      </c>
      <c r="K472" s="28" t="str">
        <f t="shared" si="4"/>
        <v/>
      </c>
      <c r="L472" s="45" t="str">
        <f t="shared" si="5"/>
        <v/>
      </c>
      <c r="M472" s="45" t="str">
        <f t="shared" si="6"/>
        <v/>
      </c>
      <c r="N472" s="45" t="str">
        <f t="shared" si="7"/>
        <v/>
      </c>
      <c r="O472" s="45" t="str">
        <f t="shared" si="8"/>
        <v/>
      </c>
      <c r="P472" s="45" t="str">
        <f t="shared" si="9"/>
        <v/>
      </c>
    </row>
    <row r="473" spans="1:16" ht="18">
      <c r="A473" s="92" t="s">
        <v>5099</v>
      </c>
      <c r="B473" s="345">
        <v>2007</v>
      </c>
      <c r="C473" s="92"/>
      <c r="D473" s="345">
        <v>18220953</v>
      </c>
      <c r="E473" s="278" t="str">
        <f t="shared" si="2"/>
        <v>https://pubmed.ncbi.nlm.nih.gov/?term=18220953</v>
      </c>
      <c r="F473" s="28" t="s">
        <v>511</v>
      </c>
      <c r="G473" s="28" t="s">
        <v>4592</v>
      </c>
      <c r="J473" s="346">
        <f t="shared" si="3"/>
        <v>1</v>
      </c>
      <c r="K473" s="28" t="str">
        <f t="shared" si="4"/>
        <v/>
      </c>
      <c r="L473" s="45" t="str">
        <f t="shared" si="5"/>
        <v/>
      </c>
      <c r="M473" s="45" t="str">
        <f t="shared" si="6"/>
        <v/>
      </c>
      <c r="N473" s="45" t="str">
        <f t="shared" si="7"/>
        <v/>
      </c>
      <c r="O473" s="45" t="str">
        <f t="shared" si="8"/>
        <v/>
      </c>
      <c r="P473" s="45" t="str">
        <f t="shared" si="9"/>
        <v/>
      </c>
    </row>
    <row r="474" spans="1:16" ht="18">
      <c r="A474" s="92" t="s">
        <v>5100</v>
      </c>
      <c r="B474" s="345">
        <v>2005</v>
      </c>
      <c r="C474" s="92" t="s">
        <v>5101</v>
      </c>
      <c r="D474" s="345">
        <v>16254097</v>
      </c>
      <c r="E474" s="278" t="str">
        <f t="shared" si="2"/>
        <v>https://pubmed.ncbi.nlm.nih.gov/?term=16254097</v>
      </c>
      <c r="F474" s="28" t="s">
        <v>511</v>
      </c>
      <c r="G474" s="28" t="s">
        <v>4592</v>
      </c>
      <c r="J474" s="346">
        <f t="shared" si="3"/>
        <v>1</v>
      </c>
      <c r="K474" s="28" t="str">
        <f t="shared" si="4"/>
        <v/>
      </c>
      <c r="L474" s="45" t="str">
        <f t="shared" si="5"/>
        <v/>
      </c>
      <c r="M474" s="45" t="str">
        <f t="shared" si="6"/>
        <v/>
      </c>
      <c r="N474" s="45" t="str">
        <f t="shared" si="7"/>
        <v/>
      </c>
      <c r="O474" s="45" t="str">
        <f t="shared" si="8"/>
        <v/>
      </c>
      <c r="P474" s="45" t="str">
        <f t="shared" si="9"/>
        <v/>
      </c>
    </row>
    <row r="475" spans="1:16" ht="18">
      <c r="A475" s="92" t="s">
        <v>5102</v>
      </c>
      <c r="B475" s="345">
        <v>2008</v>
      </c>
      <c r="C475" s="92"/>
      <c r="D475" s="345">
        <v>18806700</v>
      </c>
      <c r="E475" s="278" t="str">
        <f t="shared" si="2"/>
        <v>https://pubmed.ncbi.nlm.nih.gov/?term=18806700</v>
      </c>
      <c r="F475" s="28" t="s">
        <v>511</v>
      </c>
      <c r="G475" s="28" t="s">
        <v>4592</v>
      </c>
      <c r="J475" s="346">
        <f t="shared" si="3"/>
        <v>1</v>
      </c>
      <c r="K475" s="28" t="str">
        <f t="shared" si="4"/>
        <v/>
      </c>
      <c r="L475" s="45" t="str">
        <f t="shared" si="5"/>
        <v/>
      </c>
      <c r="M475" s="45" t="str">
        <f t="shared" si="6"/>
        <v/>
      </c>
      <c r="N475" s="45" t="str">
        <f t="shared" si="7"/>
        <v/>
      </c>
      <c r="O475" s="45" t="str">
        <f t="shared" si="8"/>
        <v/>
      </c>
      <c r="P475" s="45" t="str">
        <f t="shared" si="9"/>
        <v/>
      </c>
    </row>
    <row r="476" spans="1:16" ht="18">
      <c r="A476" s="92" t="s">
        <v>5103</v>
      </c>
      <c r="B476" s="345">
        <v>2005</v>
      </c>
      <c r="C476" s="92"/>
      <c r="D476" s="345">
        <v>16178047</v>
      </c>
      <c r="E476" s="278" t="str">
        <f t="shared" si="2"/>
        <v>https://pubmed.ncbi.nlm.nih.gov/?term=16178047</v>
      </c>
      <c r="F476" s="28" t="s">
        <v>511</v>
      </c>
      <c r="G476" s="28" t="s">
        <v>4592</v>
      </c>
      <c r="J476" s="346">
        <f t="shared" si="3"/>
        <v>1</v>
      </c>
      <c r="K476" s="28" t="str">
        <f t="shared" si="4"/>
        <v/>
      </c>
      <c r="L476" s="45" t="str">
        <f t="shared" si="5"/>
        <v/>
      </c>
      <c r="M476" s="45" t="str">
        <f t="shared" si="6"/>
        <v/>
      </c>
      <c r="N476" s="45" t="str">
        <f t="shared" si="7"/>
        <v/>
      </c>
      <c r="O476" s="45" t="str">
        <f t="shared" si="8"/>
        <v/>
      </c>
      <c r="P476" s="45" t="str">
        <f t="shared" si="9"/>
        <v/>
      </c>
    </row>
    <row r="477" spans="1:16" ht="18">
      <c r="A477" s="92" t="s">
        <v>5104</v>
      </c>
      <c r="B477" s="345">
        <v>2006</v>
      </c>
      <c r="C477" s="92"/>
      <c r="D477" s="345">
        <v>16972155</v>
      </c>
      <c r="E477" s="278" t="str">
        <f t="shared" si="2"/>
        <v>https://pubmed.ncbi.nlm.nih.gov/?term=16972155</v>
      </c>
      <c r="F477" s="28" t="s">
        <v>511</v>
      </c>
      <c r="G477" s="28" t="s">
        <v>4592</v>
      </c>
      <c r="J477" s="346">
        <f t="shared" si="3"/>
        <v>1</v>
      </c>
      <c r="K477" s="28" t="str">
        <f t="shared" si="4"/>
        <v/>
      </c>
      <c r="L477" s="45" t="str">
        <f t="shared" si="5"/>
        <v/>
      </c>
      <c r="M477" s="45" t="str">
        <f t="shared" si="6"/>
        <v/>
      </c>
      <c r="N477" s="45" t="str">
        <f t="shared" si="7"/>
        <v/>
      </c>
      <c r="O477" s="45" t="str">
        <f t="shared" si="8"/>
        <v/>
      </c>
      <c r="P477" s="45" t="str">
        <f t="shared" si="9"/>
        <v/>
      </c>
    </row>
    <row r="478" spans="1:16" ht="18">
      <c r="A478" s="92" t="s">
        <v>5105</v>
      </c>
      <c r="B478" s="345">
        <v>2004</v>
      </c>
      <c r="C478" s="92"/>
      <c r="D478" s="345">
        <v>14730266</v>
      </c>
      <c r="E478" s="278" t="str">
        <f t="shared" si="2"/>
        <v>https://pubmed.ncbi.nlm.nih.gov/?term=14730266</v>
      </c>
      <c r="F478" s="28" t="s">
        <v>511</v>
      </c>
      <c r="G478" s="28" t="s">
        <v>4592</v>
      </c>
      <c r="J478" s="346">
        <f t="shared" si="3"/>
        <v>1</v>
      </c>
      <c r="K478" s="28" t="str">
        <f t="shared" si="4"/>
        <v/>
      </c>
      <c r="L478" s="45" t="str">
        <f t="shared" si="5"/>
        <v/>
      </c>
      <c r="M478" s="45" t="str">
        <f t="shared" si="6"/>
        <v/>
      </c>
      <c r="N478" s="45" t="str">
        <f t="shared" si="7"/>
        <v/>
      </c>
      <c r="O478" s="45" t="str">
        <f t="shared" si="8"/>
        <v/>
      </c>
      <c r="P478" s="45" t="str">
        <f t="shared" si="9"/>
        <v/>
      </c>
    </row>
    <row r="479" spans="1:16" ht="18">
      <c r="A479" s="92" t="s">
        <v>4704</v>
      </c>
      <c r="B479" s="345">
        <v>2000</v>
      </c>
      <c r="C479" s="92"/>
      <c r="D479" s="345">
        <v>11123085</v>
      </c>
      <c r="E479" s="278" t="str">
        <f t="shared" si="2"/>
        <v>https://pubmed.ncbi.nlm.nih.gov/?term=11123085</v>
      </c>
      <c r="F479" s="28" t="s">
        <v>511</v>
      </c>
      <c r="G479" s="28" t="s">
        <v>4592</v>
      </c>
      <c r="J479" s="346">
        <f t="shared" si="3"/>
        <v>1</v>
      </c>
      <c r="K479" s="28" t="str">
        <f t="shared" si="4"/>
        <v/>
      </c>
      <c r="L479" s="45" t="str">
        <f t="shared" si="5"/>
        <v/>
      </c>
      <c r="M479" s="45" t="str">
        <f t="shared" si="6"/>
        <v/>
      </c>
      <c r="N479" s="45" t="str">
        <f t="shared" si="7"/>
        <v/>
      </c>
      <c r="O479" s="45" t="str">
        <f t="shared" si="8"/>
        <v/>
      </c>
      <c r="P479" s="45" t="str">
        <f t="shared" si="9"/>
        <v/>
      </c>
    </row>
    <row r="480" spans="1:16" ht="18">
      <c r="A480" s="92" t="s">
        <v>5106</v>
      </c>
      <c r="B480" s="345">
        <v>2006</v>
      </c>
      <c r="C480" s="92" t="s">
        <v>5107</v>
      </c>
      <c r="D480" s="345">
        <v>16625582</v>
      </c>
      <c r="E480" s="278" t="str">
        <f t="shared" si="2"/>
        <v>https://pubmed.ncbi.nlm.nih.gov/?term=16625582</v>
      </c>
      <c r="F480" s="28" t="s">
        <v>511</v>
      </c>
      <c r="G480" s="28" t="s">
        <v>4592</v>
      </c>
      <c r="J480" s="346">
        <f t="shared" si="3"/>
        <v>1</v>
      </c>
      <c r="K480" s="28" t="str">
        <f t="shared" si="4"/>
        <v/>
      </c>
      <c r="L480" s="45" t="str">
        <f t="shared" si="5"/>
        <v/>
      </c>
      <c r="M480" s="45" t="str">
        <f t="shared" si="6"/>
        <v/>
      </c>
      <c r="N480" s="45" t="str">
        <f t="shared" si="7"/>
        <v/>
      </c>
      <c r="O480" s="45" t="str">
        <f t="shared" si="8"/>
        <v/>
      </c>
      <c r="P480" s="45" t="str">
        <f t="shared" si="9"/>
        <v/>
      </c>
    </row>
    <row r="481" spans="1:16" ht="18">
      <c r="A481" s="92" t="s">
        <v>5108</v>
      </c>
      <c r="B481" s="345">
        <v>2010</v>
      </c>
      <c r="C481" s="92"/>
      <c r="D481" s="345">
        <v>20367536</v>
      </c>
      <c r="E481" s="278" t="str">
        <f t="shared" si="2"/>
        <v>https://pubmed.ncbi.nlm.nih.gov/?term=20367536</v>
      </c>
      <c r="F481" s="28" t="s">
        <v>511</v>
      </c>
      <c r="G481" s="28" t="s">
        <v>4592</v>
      </c>
      <c r="J481" s="346">
        <f t="shared" si="3"/>
        <v>1</v>
      </c>
      <c r="K481" s="28" t="str">
        <f t="shared" si="4"/>
        <v/>
      </c>
      <c r="L481" s="45" t="str">
        <f t="shared" si="5"/>
        <v/>
      </c>
      <c r="M481" s="45" t="str">
        <f t="shared" si="6"/>
        <v/>
      </c>
      <c r="N481" s="45" t="str">
        <f t="shared" si="7"/>
        <v/>
      </c>
      <c r="O481" s="45" t="str">
        <f t="shared" si="8"/>
        <v/>
      </c>
      <c r="P481" s="45" t="str">
        <f t="shared" si="9"/>
        <v/>
      </c>
    </row>
    <row r="482" spans="1:16" ht="18">
      <c r="A482" s="92" t="s">
        <v>5109</v>
      </c>
      <c r="B482" s="345">
        <v>2006</v>
      </c>
      <c r="C482" s="92"/>
      <c r="D482" s="345">
        <v>16456528</v>
      </c>
      <c r="E482" s="278" t="str">
        <f t="shared" si="2"/>
        <v>https://pubmed.ncbi.nlm.nih.gov/?term=16456528</v>
      </c>
      <c r="F482" s="28" t="s">
        <v>511</v>
      </c>
      <c r="G482" s="28" t="s">
        <v>5110</v>
      </c>
      <c r="J482" s="346">
        <f t="shared" si="3"/>
        <v>1</v>
      </c>
      <c r="K482" s="28" t="str">
        <f t="shared" si="4"/>
        <v/>
      </c>
      <c r="L482" s="45" t="str">
        <f t="shared" si="5"/>
        <v/>
      </c>
      <c r="M482" s="45" t="str">
        <f t="shared" si="6"/>
        <v/>
      </c>
      <c r="N482" s="45" t="str">
        <f t="shared" si="7"/>
        <v/>
      </c>
      <c r="O482" s="45" t="str">
        <f t="shared" si="8"/>
        <v/>
      </c>
      <c r="P482" s="45" t="str">
        <f t="shared" si="9"/>
        <v/>
      </c>
    </row>
    <row r="483" spans="1:16" ht="18">
      <c r="A483" s="92" t="s">
        <v>5111</v>
      </c>
      <c r="B483" s="345">
        <v>2010</v>
      </c>
      <c r="C483" s="92"/>
      <c r="D483" s="345">
        <v>20960380</v>
      </c>
      <c r="E483" s="278" t="str">
        <f t="shared" si="2"/>
        <v>https://pubmed.ncbi.nlm.nih.gov/?term=20960380</v>
      </c>
      <c r="F483" s="28" t="s">
        <v>511</v>
      </c>
      <c r="G483" s="28" t="s">
        <v>4592</v>
      </c>
      <c r="J483" s="346">
        <f t="shared" si="3"/>
        <v>1</v>
      </c>
      <c r="K483" s="28" t="str">
        <f t="shared" si="4"/>
        <v/>
      </c>
      <c r="L483" s="45" t="str">
        <f t="shared" si="5"/>
        <v/>
      </c>
      <c r="M483" s="45" t="str">
        <f t="shared" si="6"/>
        <v/>
      </c>
      <c r="N483" s="45" t="str">
        <f t="shared" si="7"/>
        <v/>
      </c>
      <c r="O483" s="45" t="str">
        <f t="shared" si="8"/>
        <v/>
      </c>
      <c r="P483" s="45" t="str">
        <f t="shared" si="9"/>
        <v/>
      </c>
    </row>
    <row r="484" spans="1:16" ht="18">
      <c r="A484" s="92" t="s">
        <v>5112</v>
      </c>
      <c r="B484" s="345">
        <v>2007</v>
      </c>
      <c r="C484" s="92"/>
      <c r="D484" s="345">
        <v>18220944</v>
      </c>
      <c r="E484" s="278" t="str">
        <f t="shared" si="2"/>
        <v>https://pubmed.ncbi.nlm.nih.gov/?term=18220944</v>
      </c>
      <c r="F484" s="28" t="s">
        <v>511</v>
      </c>
      <c r="G484" s="28" t="s">
        <v>4592</v>
      </c>
      <c r="J484" s="346">
        <f t="shared" si="3"/>
        <v>1</v>
      </c>
      <c r="K484" s="28" t="str">
        <f t="shared" si="4"/>
        <v/>
      </c>
      <c r="L484" s="45" t="str">
        <f t="shared" si="5"/>
        <v/>
      </c>
      <c r="M484" s="45" t="str">
        <f t="shared" si="6"/>
        <v/>
      </c>
      <c r="N484" s="45" t="str">
        <f t="shared" si="7"/>
        <v/>
      </c>
      <c r="O484" s="45" t="str">
        <f t="shared" si="8"/>
        <v/>
      </c>
      <c r="P484" s="45" t="str">
        <f t="shared" si="9"/>
        <v/>
      </c>
    </row>
    <row r="485" spans="1:16" ht="18">
      <c r="A485" s="92" t="s">
        <v>5113</v>
      </c>
      <c r="B485" s="345">
        <v>2007</v>
      </c>
      <c r="C485" s="92"/>
      <c r="D485" s="345">
        <v>17986486</v>
      </c>
      <c r="E485" s="278" t="str">
        <f t="shared" si="2"/>
        <v>https://pubmed.ncbi.nlm.nih.gov/?term=17986486</v>
      </c>
      <c r="F485" s="28" t="s">
        <v>511</v>
      </c>
      <c r="G485" s="28" t="s">
        <v>4592</v>
      </c>
      <c r="J485" s="346">
        <f t="shared" si="3"/>
        <v>1</v>
      </c>
      <c r="K485" s="28" t="str">
        <f t="shared" si="4"/>
        <v/>
      </c>
      <c r="L485" s="45" t="str">
        <f t="shared" si="5"/>
        <v/>
      </c>
      <c r="M485" s="45" t="str">
        <f t="shared" si="6"/>
        <v/>
      </c>
      <c r="N485" s="45" t="str">
        <f t="shared" si="7"/>
        <v/>
      </c>
      <c r="O485" s="45" t="str">
        <f t="shared" si="8"/>
        <v/>
      </c>
      <c r="P485" s="45" t="str">
        <f t="shared" si="9"/>
        <v/>
      </c>
    </row>
    <row r="486" spans="1:16" ht="18">
      <c r="A486" s="92" t="s">
        <v>5114</v>
      </c>
      <c r="B486" s="345">
        <v>2005</v>
      </c>
      <c r="C486" s="92"/>
      <c r="D486" s="345">
        <v>15942333</v>
      </c>
      <c r="E486" s="278" t="str">
        <f t="shared" si="2"/>
        <v>https://pubmed.ncbi.nlm.nih.gov/?term=15942333</v>
      </c>
      <c r="F486" s="28" t="s">
        <v>511</v>
      </c>
      <c r="G486" s="28" t="s">
        <v>4592</v>
      </c>
      <c r="J486" s="346">
        <f t="shared" si="3"/>
        <v>1</v>
      </c>
      <c r="K486" s="28" t="str">
        <f t="shared" si="4"/>
        <v/>
      </c>
      <c r="L486" s="45" t="str">
        <f t="shared" si="5"/>
        <v/>
      </c>
      <c r="M486" s="45" t="str">
        <f t="shared" si="6"/>
        <v/>
      </c>
      <c r="N486" s="45" t="str">
        <f t="shared" si="7"/>
        <v/>
      </c>
      <c r="O486" s="45" t="str">
        <f t="shared" si="8"/>
        <v/>
      </c>
      <c r="P486" s="45" t="str">
        <f t="shared" si="9"/>
        <v/>
      </c>
    </row>
    <row r="487" spans="1:16" ht="18">
      <c r="A487" s="92" t="s">
        <v>5115</v>
      </c>
      <c r="B487" s="345">
        <v>2003</v>
      </c>
      <c r="C487" s="92"/>
      <c r="D487" s="345">
        <v>12700038</v>
      </c>
      <c r="E487" s="278" t="str">
        <f t="shared" si="2"/>
        <v>https://pubmed.ncbi.nlm.nih.gov/?term=12700038</v>
      </c>
      <c r="F487" s="28" t="s">
        <v>511</v>
      </c>
      <c r="G487" s="28" t="s">
        <v>4592</v>
      </c>
      <c r="J487" s="346">
        <f t="shared" si="3"/>
        <v>1</v>
      </c>
      <c r="K487" s="28" t="str">
        <f t="shared" si="4"/>
        <v/>
      </c>
      <c r="L487" s="45" t="str">
        <f t="shared" si="5"/>
        <v/>
      </c>
      <c r="M487" s="45" t="str">
        <f t="shared" si="6"/>
        <v/>
      </c>
      <c r="N487" s="45" t="str">
        <f t="shared" si="7"/>
        <v/>
      </c>
      <c r="O487" s="45" t="str">
        <f t="shared" si="8"/>
        <v/>
      </c>
      <c r="P487" s="45" t="str">
        <f t="shared" si="9"/>
        <v/>
      </c>
    </row>
    <row r="488" spans="1:16" ht="18">
      <c r="A488" s="92" t="s">
        <v>5116</v>
      </c>
      <c r="B488" s="345">
        <v>2005</v>
      </c>
      <c r="C488" s="92"/>
      <c r="D488" s="345">
        <v>16416391</v>
      </c>
      <c r="E488" s="278" t="str">
        <f t="shared" si="2"/>
        <v>https://pubmed.ncbi.nlm.nih.gov/?term=16416391</v>
      </c>
      <c r="F488" s="28" t="s">
        <v>511</v>
      </c>
      <c r="G488" s="28" t="s">
        <v>4592</v>
      </c>
      <c r="J488" s="346">
        <f t="shared" si="3"/>
        <v>1</v>
      </c>
      <c r="K488" s="28" t="str">
        <f t="shared" si="4"/>
        <v/>
      </c>
      <c r="L488" s="45" t="str">
        <f t="shared" si="5"/>
        <v/>
      </c>
      <c r="M488" s="45" t="str">
        <f t="shared" si="6"/>
        <v/>
      </c>
      <c r="N488" s="45" t="str">
        <f t="shared" si="7"/>
        <v/>
      </c>
      <c r="O488" s="45" t="str">
        <f t="shared" si="8"/>
        <v/>
      </c>
      <c r="P488" s="45" t="str">
        <f t="shared" si="9"/>
        <v/>
      </c>
    </row>
    <row r="489" spans="1:16" ht="18">
      <c r="A489" s="92" t="s">
        <v>4707</v>
      </c>
      <c r="B489" s="345">
        <v>2000</v>
      </c>
      <c r="C489" s="92"/>
      <c r="D489" s="345">
        <v>10949062</v>
      </c>
      <c r="E489" s="278" t="str">
        <f t="shared" si="2"/>
        <v>https://pubmed.ncbi.nlm.nih.gov/?term=10949062</v>
      </c>
      <c r="F489" s="28" t="s">
        <v>511</v>
      </c>
      <c r="G489" s="28" t="s">
        <v>4592</v>
      </c>
      <c r="J489" s="346">
        <f t="shared" si="3"/>
        <v>1</v>
      </c>
      <c r="K489" s="28" t="str">
        <f t="shared" si="4"/>
        <v/>
      </c>
      <c r="L489" s="45" t="str">
        <f t="shared" si="5"/>
        <v/>
      </c>
      <c r="M489" s="45" t="str">
        <f t="shared" si="6"/>
        <v/>
      </c>
      <c r="N489" s="45" t="str">
        <f t="shared" si="7"/>
        <v/>
      </c>
      <c r="O489" s="45" t="str">
        <f t="shared" si="8"/>
        <v/>
      </c>
      <c r="P489" s="45" t="str">
        <f t="shared" si="9"/>
        <v/>
      </c>
    </row>
    <row r="490" spans="1:16" ht="18">
      <c r="A490" s="92" t="s">
        <v>5117</v>
      </c>
      <c r="B490" s="345">
        <v>2003</v>
      </c>
      <c r="C490" s="92"/>
      <c r="D490" s="345">
        <v>12563604</v>
      </c>
      <c r="E490" s="278" t="str">
        <f t="shared" si="2"/>
        <v>https://pubmed.ncbi.nlm.nih.gov/?term=12563604</v>
      </c>
      <c r="F490" s="28" t="s">
        <v>511</v>
      </c>
      <c r="G490" s="28" t="s">
        <v>4592</v>
      </c>
      <c r="J490" s="346">
        <f t="shared" si="3"/>
        <v>1</v>
      </c>
      <c r="K490" s="28" t="str">
        <f t="shared" si="4"/>
        <v/>
      </c>
      <c r="L490" s="45" t="str">
        <f t="shared" si="5"/>
        <v/>
      </c>
      <c r="M490" s="45" t="str">
        <f t="shared" si="6"/>
        <v/>
      </c>
      <c r="N490" s="45" t="str">
        <f t="shared" si="7"/>
        <v/>
      </c>
      <c r="O490" s="45" t="str">
        <f t="shared" si="8"/>
        <v/>
      </c>
      <c r="P490" s="45" t="str">
        <f t="shared" si="9"/>
        <v/>
      </c>
    </row>
    <row r="491" spans="1:16" ht="18">
      <c r="A491" s="92" t="s">
        <v>5118</v>
      </c>
      <c r="B491" s="345">
        <v>2008</v>
      </c>
      <c r="C491" s="92"/>
      <c r="D491" s="345">
        <v>18421239</v>
      </c>
      <c r="E491" s="278" t="str">
        <f t="shared" si="2"/>
        <v>https://pubmed.ncbi.nlm.nih.gov/?term=18421239</v>
      </c>
      <c r="F491" s="28" t="s">
        <v>511</v>
      </c>
      <c r="G491" s="28" t="s">
        <v>4592</v>
      </c>
      <c r="J491" s="346">
        <f t="shared" si="3"/>
        <v>1</v>
      </c>
      <c r="K491" s="28" t="str">
        <f t="shared" si="4"/>
        <v/>
      </c>
      <c r="L491" s="45" t="str">
        <f t="shared" si="5"/>
        <v/>
      </c>
      <c r="M491" s="45" t="str">
        <f t="shared" si="6"/>
        <v/>
      </c>
      <c r="N491" s="45" t="str">
        <f t="shared" si="7"/>
        <v/>
      </c>
      <c r="O491" s="45" t="str">
        <f t="shared" si="8"/>
        <v/>
      </c>
      <c r="P491" s="45" t="str">
        <f t="shared" si="9"/>
        <v/>
      </c>
    </row>
    <row r="492" spans="1:16" ht="18">
      <c r="A492" s="92" t="s">
        <v>5119</v>
      </c>
      <c r="B492" s="345">
        <v>2008</v>
      </c>
      <c r="C492" s="92"/>
      <c r="D492" s="345">
        <v>18317024</v>
      </c>
      <c r="E492" s="278" t="str">
        <f t="shared" si="2"/>
        <v>https://pubmed.ncbi.nlm.nih.gov/?term=18317024</v>
      </c>
      <c r="F492" s="28" t="s">
        <v>511</v>
      </c>
      <c r="G492" s="28" t="s">
        <v>4592</v>
      </c>
      <c r="J492" s="346">
        <f t="shared" si="3"/>
        <v>1</v>
      </c>
      <c r="K492" s="28" t="str">
        <f t="shared" si="4"/>
        <v/>
      </c>
      <c r="L492" s="45" t="str">
        <f t="shared" si="5"/>
        <v/>
      </c>
      <c r="M492" s="45" t="str">
        <f t="shared" si="6"/>
        <v/>
      </c>
      <c r="N492" s="45" t="str">
        <f t="shared" si="7"/>
        <v/>
      </c>
      <c r="O492" s="45" t="str">
        <f t="shared" si="8"/>
        <v/>
      </c>
      <c r="P492" s="45" t="str">
        <f t="shared" si="9"/>
        <v/>
      </c>
    </row>
    <row r="493" spans="1:16" ht="18">
      <c r="A493" s="92" t="s">
        <v>5120</v>
      </c>
      <c r="B493" s="345">
        <v>2003</v>
      </c>
      <c r="C493" s="92"/>
      <c r="D493" s="345">
        <v>12589192</v>
      </c>
      <c r="E493" s="278" t="str">
        <f t="shared" si="2"/>
        <v>https://pubmed.ncbi.nlm.nih.gov/?term=12589192</v>
      </c>
      <c r="F493" s="28" t="s">
        <v>511</v>
      </c>
      <c r="G493" s="28" t="s">
        <v>4592</v>
      </c>
      <c r="J493" s="346">
        <f t="shared" si="3"/>
        <v>1</v>
      </c>
      <c r="K493" s="28" t="str">
        <f t="shared" si="4"/>
        <v/>
      </c>
      <c r="L493" s="45" t="str">
        <f t="shared" si="5"/>
        <v/>
      </c>
      <c r="M493" s="45" t="str">
        <f t="shared" si="6"/>
        <v/>
      </c>
      <c r="N493" s="45" t="str">
        <f t="shared" si="7"/>
        <v/>
      </c>
      <c r="O493" s="45" t="str">
        <f t="shared" si="8"/>
        <v/>
      </c>
      <c r="P493" s="45" t="str">
        <f t="shared" si="9"/>
        <v/>
      </c>
    </row>
    <row r="494" spans="1:16" ht="18">
      <c r="A494" s="92" t="s">
        <v>5103</v>
      </c>
      <c r="B494" s="345">
        <v>2005</v>
      </c>
      <c r="C494" s="92"/>
      <c r="D494" s="345">
        <v>15643346</v>
      </c>
      <c r="E494" s="278" t="str">
        <f t="shared" si="2"/>
        <v>https://pubmed.ncbi.nlm.nih.gov/?term=15643346</v>
      </c>
      <c r="F494" s="28" t="s">
        <v>511</v>
      </c>
      <c r="G494" s="28" t="s">
        <v>4592</v>
      </c>
      <c r="J494" s="346">
        <f t="shared" si="3"/>
        <v>1</v>
      </c>
      <c r="K494" s="28" t="str">
        <f t="shared" si="4"/>
        <v/>
      </c>
      <c r="L494" s="45" t="str">
        <f t="shared" si="5"/>
        <v/>
      </c>
      <c r="M494" s="45" t="str">
        <f t="shared" si="6"/>
        <v/>
      </c>
      <c r="N494" s="45" t="str">
        <f t="shared" si="7"/>
        <v/>
      </c>
      <c r="O494" s="45" t="str">
        <f t="shared" si="8"/>
        <v/>
      </c>
      <c r="P494" s="45" t="str">
        <f t="shared" si="9"/>
        <v/>
      </c>
    </row>
    <row r="495" spans="1:16" ht="18">
      <c r="A495" s="92" t="s">
        <v>5121</v>
      </c>
      <c r="B495" s="345">
        <v>2004</v>
      </c>
      <c r="C495" s="92"/>
      <c r="D495" s="345">
        <v>14992788</v>
      </c>
      <c r="E495" s="278" t="str">
        <f t="shared" si="2"/>
        <v>https://pubmed.ncbi.nlm.nih.gov/?term=14992788</v>
      </c>
      <c r="F495" s="28" t="s">
        <v>511</v>
      </c>
      <c r="G495" s="28" t="s">
        <v>4592</v>
      </c>
      <c r="J495" s="346">
        <f t="shared" si="3"/>
        <v>1</v>
      </c>
      <c r="K495" s="28" t="str">
        <f t="shared" si="4"/>
        <v/>
      </c>
      <c r="L495" s="45" t="str">
        <f t="shared" si="5"/>
        <v/>
      </c>
      <c r="M495" s="45" t="str">
        <f t="shared" si="6"/>
        <v/>
      </c>
      <c r="N495" s="45" t="str">
        <f t="shared" si="7"/>
        <v/>
      </c>
      <c r="O495" s="45" t="str">
        <f t="shared" si="8"/>
        <v/>
      </c>
      <c r="P495" s="45" t="str">
        <f t="shared" si="9"/>
        <v/>
      </c>
    </row>
    <row r="496" spans="1:16" ht="18">
      <c r="A496" s="92" t="s">
        <v>5122</v>
      </c>
      <c r="B496" s="345">
        <v>2005</v>
      </c>
      <c r="C496" s="92"/>
      <c r="D496" s="345">
        <v>15871909</v>
      </c>
      <c r="E496" s="278" t="str">
        <f t="shared" si="2"/>
        <v>https://pubmed.ncbi.nlm.nih.gov/?term=15871909</v>
      </c>
      <c r="F496" s="28" t="s">
        <v>511</v>
      </c>
      <c r="G496" s="28" t="s">
        <v>4592</v>
      </c>
      <c r="J496" s="346">
        <f t="shared" si="3"/>
        <v>1</v>
      </c>
      <c r="K496" s="28" t="str">
        <f t="shared" si="4"/>
        <v/>
      </c>
      <c r="L496" s="45" t="str">
        <f t="shared" si="5"/>
        <v/>
      </c>
      <c r="M496" s="45" t="str">
        <f t="shared" si="6"/>
        <v/>
      </c>
      <c r="N496" s="45" t="str">
        <f t="shared" si="7"/>
        <v/>
      </c>
      <c r="O496" s="45" t="str">
        <f t="shared" si="8"/>
        <v/>
      </c>
      <c r="P496" s="45" t="str">
        <f t="shared" si="9"/>
        <v/>
      </c>
    </row>
    <row r="497" spans="1:16" ht="18">
      <c r="A497" s="92" t="s">
        <v>4731</v>
      </c>
      <c r="B497" s="345">
        <v>2001</v>
      </c>
      <c r="C497" s="92"/>
      <c r="D497" s="345">
        <v>11445742</v>
      </c>
      <c r="E497" s="278" t="str">
        <f t="shared" si="2"/>
        <v>https://pubmed.ncbi.nlm.nih.gov/?term=11445742</v>
      </c>
      <c r="F497" s="28" t="s">
        <v>511</v>
      </c>
      <c r="G497" s="28" t="s">
        <v>4592</v>
      </c>
      <c r="J497" s="346">
        <f t="shared" si="3"/>
        <v>1</v>
      </c>
      <c r="K497" s="28" t="str">
        <f t="shared" si="4"/>
        <v/>
      </c>
      <c r="L497" s="45" t="str">
        <f t="shared" si="5"/>
        <v/>
      </c>
      <c r="M497" s="45" t="str">
        <f t="shared" si="6"/>
        <v/>
      </c>
      <c r="N497" s="45" t="str">
        <f t="shared" si="7"/>
        <v/>
      </c>
      <c r="O497" s="45" t="str">
        <f t="shared" si="8"/>
        <v/>
      </c>
      <c r="P497" s="45" t="str">
        <f t="shared" si="9"/>
        <v/>
      </c>
    </row>
    <row r="498" spans="1:16" ht="18">
      <c r="A498" s="92" t="s">
        <v>5123</v>
      </c>
      <c r="B498" s="345">
        <v>2003</v>
      </c>
      <c r="C498" s="92"/>
      <c r="D498" s="345">
        <v>12871283</v>
      </c>
      <c r="E498" s="278" t="str">
        <f t="shared" si="2"/>
        <v>https://pubmed.ncbi.nlm.nih.gov/?term=12871283</v>
      </c>
      <c r="F498" s="28" t="s">
        <v>511</v>
      </c>
      <c r="G498" s="28" t="s">
        <v>4592</v>
      </c>
      <c r="J498" s="346">
        <f t="shared" si="3"/>
        <v>1</v>
      </c>
      <c r="K498" s="28" t="str">
        <f t="shared" si="4"/>
        <v/>
      </c>
      <c r="L498" s="45" t="str">
        <f t="shared" si="5"/>
        <v/>
      </c>
      <c r="M498" s="45" t="str">
        <f t="shared" si="6"/>
        <v/>
      </c>
      <c r="N498" s="45" t="str">
        <f t="shared" si="7"/>
        <v/>
      </c>
      <c r="O498" s="45" t="str">
        <f t="shared" si="8"/>
        <v/>
      </c>
      <c r="P498" s="45" t="str">
        <f t="shared" si="9"/>
        <v/>
      </c>
    </row>
    <row r="499" spans="1:16" ht="18">
      <c r="A499" s="92" t="s">
        <v>5124</v>
      </c>
      <c r="B499" s="345">
        <v>2007</v>
      </c>
      <c r="C499" s="92" t="s">
        <v>5125</v>
      </c>
      <c r="D499" s="345">
        <v>17244339</v>
      </c>
      <c r="E499" s="278" t="str">
        <f t="shared" si="2"/>
        <v>https://pubmed.ncbi.nlm.nih.gov/?term=17244339</v>
      </c>
      <c r="F499" s="28" t="s">
        <v>511</v>
      </c>
      <c r="G499" s="28" t="s">
        <v>4346</v>
      </c>
      <c r="J499" s="346" t="str">
        <f t="shared" si="3"/>
        <v/>
      </c>
      <c r="K499" s="28" t="str">
        <f t="shared" si="4"/>
        <v/>
      </c>
      <c r="L499" s="45">
        <f t="shared" si="5"/>
        <v>1</v>
      </c>
      <c r="M499" s="45" t="str">
        <f t="shared" si="6"/>
        <v/>
      </c>
      <c r="N499" s="45" t="str">
        <f t="shared" si="7"/>
        <v/>
      </c>
      <c r="O499" s="45" t="str">
        <f t="shared" si="8"/>
        <v/>
      </c>
      <c r="P499" s="45" t="str">
        <f t="shared" si="9"/>
        <v/>
      </c>
    </row>
    <row r="500" spans="1:16" ht="18">
      <c r="A500" s="92" t="s">
        <v>5126</v>
      </c>
      <c r="B500" s="345">
        <v>2008</v>
      </c>
      <c r="C500" s="92" t="s">
        <v>5127</v>
      </c>
      <c r="D500" s="345">
        <v>18447621</v>
      </c>
      <c r="E500" s="278" t="str">
        <f t="shared" si="2"/>
        <v>https://pubmed.ncbi.nlm.nih.gov/?term=18447621</v>
      </c>
      <c r="F500" s="28" t="s">
        <v>511</v>
      </c>
      <c r="G500" s="28" t="s">
        <v>5128</v>
      </c>
      <c r="J500" s="346" t="str">
        <f t="shared" si="3"/>
        <v/>
      </c>
      <c r="K500" s="28" t="str">
        <f t="shared" si="4"/>
        <v/>
      </c>
      <c r="L500" s="45">
        <f t="shared" si="5"/>
        <v>1</v>
      </c>
      <c r="M500" s="45" t="str">
        <f t="shared" si="6"/>
        <v/>
      </c>
      <c r="N500" s="45" t="str">
        <f t="shared" si="7"/>
        <v/>
      </c>
      <c r="O500" s="45" t="str">
        <f t="shared" si="8"/>
        <v/>
      </c>
      <c r="P500" s="45" t="str">
        <f t="shared" si="9"/>
        <v/>
      </c>
    </row>
    <row r="501" spans="1:16" ht="18">
      <c r="A501" s="92" t="s">
        <v>5129</v>
      </c>
      <c r="B501" s="345">
        <v>2005</v>
      </c>
      <c r="C501" s="92"/>
      <c r="D501" s="345">
        <v>16155441</v>
      </c>
      <c r="E501" s="278" t="str">
        <f t="shared" si="2"/>
        <v>https://pubmed.ncbi.nlm.nih.gov/?term=16155441</v>
      </c>
      <c r="F501" s="28" t="s">
        <v>511</v>
      </c>
      <c r="G501" s="28" t="s">
        <v>4592</v>
      </c>
      <c r="J501" s="346">
        <f t="shared" si="3"/>
        <v>1</v>
      </c>
      <c r="K501" s="28" t="str">
        <f t="shared" si="4"/>
        <v/>
      </c>
      <c r="L501" s="45" t="str">
        <f t="shared" si="5"/>
        <v/>
      </c>
      <c r="M501" s="45" t="str">
        <f t="shared" si="6"/>
        <v/>
      </c>
      <c r="N501" s="45" t="str">
        <f t="shared" si="7"/>
        <v/>
      </c>
      <c r="O501" s="45" t="str">
        <f t="shared" si="8"/>
        <v/>
      </c>
      <c r="P501" s="45" t="str">
        <f t="shared" si="9"/>
        <v/>
      </c>
    </row>
    <row r="502" spans="1:16" ht="18">
      <c r="A502" s="92" t="s">
        <v>5130</v>
      </c>
      <c r="B502" s="345">
        <v>2010</v>
      </c>
      <c r="C502" s="92" t="s">
        <v>5131</v>
      </c>
      <c r="D502" s="345">
        <v>20042666</v>
      </c>
      <c r="E502" s="278" t="str">
        <f t="shared" si="2"/>
        <v>https://pubmed.ncbi.nlm.nih.gov/?term=20042666</v>
      </c>
      <c r="F502" s="28" t="s">
        <v>511</v>
      </c>
      <c r="G502" s="28" t="s">
        <v>4346</v>
      </c>
      <c r="J502" s="346" t="str">
        <f t="shared" si="3"/>
        <v/>
      </c>
      <c r="K502" s="28" t="str">
        <f t="shared" si="4"/>
        <v/>
      </c>
      <c r="L502" s="45">
        <f t="shared" si="5"/>
        <v>1</v>
      </c>
      <c r="M502" s="45" t="str">
        <f t="shared" si="6"/>
        <v/>
      </c>
      <c r="N502" s="45" t="str">
        <f t="shared" si="7"/>
        <v/>
      </c>
      <c r="O502" s="45" t="str">
        <f t="shared" si="8"/>
        <v/>
      </c>
      <c r="P502" s="45" t="str">
        <f t="shared" si="9"/>
        <v/>
      </c>
    </row>
    <row r="503" spans="1:16" ht="18">
      <c r="A503" s="92" t="s">
        <v>5132</v>
      </c>
      <c r="B503" s="345">
        <v>2007</v>
      </c>
      <c r="C503" s="92"/>
      <c r="D503" s="345">
        <v>17699131</v>
      </c>
      <c r="E503" s="278" t="str">
        <f t="shared" si="2"/>
        <v>https://pubmed.ncbi.nlm.nih.gov/?term=17699131</v>
      </c>
      <c r="F503" s="28" t="s">
        <v>511</v>
      </c>
      <c r="G503" s="28" t="s">
        <v>4346</v>
      </c>
      <c r="J503" s="346" t="str">
        <f t="shared" si="3"/>
        <v/>
      </c>
      <c r="K503" s="28" t="str">
        <f t="shared" si="4"/>
        <v/>
      </c>
      <c r="L503" s="45">
        <f t="shared" si="5"/>
        <v>1</v>
      </c>
      <c r="M503" s="45" t="str">
        <f t="shared" si="6"/>
        <v/>
      </c>
      <c r="N503" s="45" t="str">
        <f t="shared" si="7"/>
        <v/>
      </c>
      <c r="O503" s="45" t="str">
        <f t="shared" si="8"/>
        <v/>
      </c>
      <c r="P503" s="45" t="str">
        <f t="shared" si="9"/>
        <v/>
      </c>
    </row>
    <row r="504" spans="1:16" ht="18">
      <c r="A504" s="92" t="s">
        <v>5133</v>
      </c>
      <c r="B504" s="345">
        <v>2005</v>
      </c>
      <c r="C504" s="92"/>
      <c r="D504" s="345">
        <v>15758651</v>
      </c>
      <c r="E504" s="278" t="str">
        <f t="shared" si="2"/>
        <v>https://pubmed.ncbi.nlm.nih.gov/?term=15758651</v>
      </c>
      <c r="F504" s="28" t="s">
        <v>511</v>
      </c>
      <c r="G504" s="28" t="s">
        <v>4592</v>
      </c>
      <c r="J504" s="346">
        <f t="shared" si="3"/>
        <v>1</v>
      </c>
      <c r="K504" s="28" t="str">
        <f t="shared" si="4"/>
        <v/>
      </c>
      <c r="L504" s="45" t="str">
        <f t="shared" si="5"/>
        <v/>
      </c>
      <c r="M504" s="45" t="str">
        <f t="shared" si="6"/>
        <v/>
      </c>
      <c r="N504" s="45" t="str">
        <f t="shared" si="7"/>
        <v/>
      </c>
      <c r="O504" s="45" t="str">
        <f t="shared" si="8"/>
        <v/>
      </c>
      <c r="P504" s="45" t="str">
        <f t="shared" si="9"/>
        <v/>
      </c>
    </row>
    <row r="505" spans="1:16" ht="18">
      <c r="A505" s="92" t="s">
        <v>4273</v>
      </c>
      <c r="B505" s="345">
        <v>2011</v>
      </c>
      <c r="C505" s="92" t="s">
        <v>5134</v>
      </c>
      <c r="D505" s="345">
        <v>21191031</v>
      </c>
      <c r="E505" s="278" t="str">
        <f t="shared" si="2"/>
        <v>https://pubmed.ncbi.nlm.nih.gov/?term=21191031</v>
      </c>
      <c r="H505" s="28" t="s">
        <v>511</v>
      </c>
      <c r="J505" s="346" t="str">
        <f t="shared" si="3"/>
        <v/>
      </c>
      <c r="K505" s="28" t="str">
        <f t="shared" si="4"/>
        <v/>
      </c>
      <c r="L505" s="45" t="str">
        <f t="shared" si="5"/>
        <v/>
      </c>
      <c r="M505" s="45" t="str">
        <f t="shared" si="6"/>
        <v/>
      </c>
      <c r="N505" s="45" t="str">
        <f t="shared" si="7"/>
        <v/>
      </c>
      <c r="O505" s="45" t="str">
        <f t="shared" si="8"/>
        <v/>
      </c>
      <c r="P505" s="45" t="str">
        <f t="shared" si="9"/>
        <v/>
      </c>
    </row>
    <row r="506" spans="1:16" ht="18">
      <c r="A506" s="92" t="s">
        <v>5135</v>
      </c>
      <c r="B506" s="345">
        <v>2010</v>
      </c>
      <c r="C506" s="92"/>
      <c r="D506" s="345">
        <v>20964456</v>
      </c>
      <c r="E506" s="278" t="str">
        <f t="shared" si="2"/>
        <v>https://pubmed.ncbi.nlm.nih.gov/?term=20964456</v>
      </c>
      <c r="F506" s="28" t="s">
        <v>511</v>
      </c>
      <c r="G506" s="28" t="s">
        <v>4592</v>
      </c>
      <c r="J506" s="346">
        <f t="shared" si="3"/>
        <v>1</v>
      </c>
      <c r="K506" s="28" t="str">
        <f t="shared" si="4"/>
        <v/>
      </c>
      <c r="L506" s="45" t="str">
        <f t="shared" si="5"/>
        <v/>
      </c>
      <c r="M506" s="45" t="str">
        <f t="shared" si="6"/>
        <v/>
      </c>
      <c r="N506" s="45" t="str">
        <f t="shared" si="7"/>
        <v/>
      </c>
      <c r="O506" s="45" t="str">
        <f t="shared" si="8"/>
        <v/>
      </c>
      <c r="P506" s="45" t="str">
        <f t="shared" si="9"/>
        <v/>
      </c>
    </row>
    <row r="507" spans="1:16" ht="18">
      <c r="A507" s="92" t="s">
        <v>4399</v>
      </c>
      <c r="B507" s="345">
        <v>2007</v>
      </c>
      <c r="C507" s="92"/>
      <c r="D507" s="345">
        <v>17426277</v>
      </c>
      <c r="E507" s="278" t="str">
        <f t="shared" si="2"/>
        <v>https://pubmed.ncbi.nlm.nih.gov/?term=17426277</v>
      </c>
      <c r="H507" s="28" t="s">
        <v>511</v>
      </c>
      <c r="J507" s="346" t="str">
        <f t="shared" si="3"/>
        <v/>
      </c>
      <c r="K507" s="28" t="str">
        <f t="shared" si="4"/>
        <v/>
      </c>
      <c r="L507" s="45" t="str">
        <f t="shared" si="5"/>
        <v/>
      </c>
      <c r="M507" s="45" t="str">
        <f t="shared" si="6"/>
        <v/>
      </c>
      <c r="N507" s="45" t="str">
        <f t="shared" si="7"/>
        <v/>
      </c>
      <c r="O507" s="45" t="str">
        <f t="shared" si="8"/>
        <v/>
      </c>
      <c r="P507" s="45" t="str">
        <f t="shared" si="9"/>
        <v/>
      </c>
    </row>
    <row r="508" spans="1:16" ht="18">
      <c r="A508" s="92" t="s">
        <v>5136</v>
      </c>
      <c r="B508" s="345">
        <v>2006</v>
      </c>
      <c r="C508" s="92"/>
      <c r="D508" s="345">
        <v>17065921</v>
      </c>
      <c r="E508" s="278" t="str">
        <f t="shared" si="2"/>
        <v>https://pubmed.ncbi.nlm.nih.gov/?term=17065921</v>
      </c>
      <c r="F508" s="28" t="s">
        <v>511</v>
      </c>
      <c r="G508" s="28" t="s">
        <v>4592</v>
      </c>
      <c r="J508" s="346">
        <f t="shared" si="3"/>
        <v>1</v>
      </c>
      <c r="K508" s="28" t="str">
        <f t="shared" si="4"/>
        <v/>
      </c>
      <c r="L508" s="45" t="str">
        <f t="shared" si="5"/>
        <v/>
      </c>
      <c r="M508" s="45" t="str">
        <f t="shared" si="6"/>
        <v/>
      </c>
      <c r="N508" s="45" t="str">
        <f t="shared" si="7"/>
        <v/>
      </c>
      <c r="O508" s="45" t="str">
        <f t="shared" si="8"/>
        <v/>
      </c>
      <c r="P508" s="45" t="str">
        <f t="shared" si="9"/>
        <v/>
      </c>
    </row>
    <row r="509" spans="1:16" ht="18">
      <c r="A509" s="92" t="s">
        <v>1690</v>
      </c>
      <c r="B509" s="345">
        <v>2006</v>
      </c>
      <c r="C509" s="92"/>
      <c r="D509" s="345">
        <v>16023829</v>
      </c>
      <c r="E509" s="278" t="str">
        <f t="shared" si="2"/>
        <v>https://pubmed.ncbi.nlm.nih.gov/?term=16023829</v>
      </c>
      <c r="H509" s="28" t="s">
        <v>511</v>
      </c>
      <c r="J509" s="346" t="str">
        <f t="shared" si="3"/>
        <v/>
      </c>
      <c r="K509" s="28" t="str">
        <f t="shared" si="4"/>
        <v/>
      </c>
      <c r="L509" s="45" t="str">
        <f t="shared" si="5"/>
        <v/>
      </c>
      <c r="M509" s="45" t="str">
        <f t="shared" si="6"/>
        <v/>
      </c>
      <c r="N509" s="45" t="str">
        <f t="shared" si="7"/>
        <v/>
      </c>
      <c r="O509" s="45" t="str">
        <f t="shared" si="8"/>
        <v/>
      </c>
      <c r="P509" s="45" t="str">
        <f t="shared" si="9"/>
        <v/>
      </c>
    </row>
    <row r="510" spans="1:16" ht="18">
      <c r="A510" s="92" t="s">
        <v>5137</v>
      </c>
      <c r="B510" s="345">
        <v>2008</v>
      </c>
      <c r="C510" s="92"/>
      <c r="D510" s="345">
        <v>17984288</v>
      </c>
      <c r="E510" s="278" t="str">
        <f t="shared" si="2"/>
        <v>https://pubmed.ncbi.nlm.nih.gov/?term=17984288</v>
      </c>
      <c r="F510" s="28" t="s">
        <v>511</v>
      </c>
      <c r="G510" s="28" t="s">
        <v>4592</v>
      </c>
      <c r="J510" s="346">
        <f t="shared" si="3"/>
        <v>1</v>
      </c>
      <c r="K510" s="28" t="str">
        <f t="shared" si="4"/>
        <v/>
      </c>
      <c r="L510" s="45" t="str">
        <f t="shared" si="5"/>
        <v/>
      </c>
      <c r="M510" s="45" t="str">
        <f t="shared" si="6"/>
        <v/>
      </c>
      <c r="N510" s="45" t="str">
        <f t="shared" si="7"/>
        <v/>
      </c>
      <c r="O510" s="45" t="str">
        <f t="shared" si="8"/>
        <v/>
      </c>
      <c r="P510" s="45" t="str">
        <f t="shared" si="9"/>
        <v/>
      </c>
    </row>
    <row r="511" spans="1:16" ht="18">
      <c r="A511" s="92" t="s">
        <v>5138</v>
      </c>
      <c r="B511" s="345">
        <v>2007</v>
      </c>
      <c r="C511" s="92"/>
      <c r="D511" s="345">
        <v>17825959</v>
      </c>
      <c r="E511" s="278" t="str">
        <f t="shared" si="2"/>
        <v>https://pubmed.ncbi.nlm.nih.gov/?term=17825959</v>
      </c>
      <c r="F511" s="28" t="s">
        <v>511</v>
      </c>
      <c r="G511" s="28" t="s">
        <v>4346</v>
      </c>
      <c r="J511" s="346" t="str">
        <f t="shared" si="3"/>
        <v/>
      </c>
      <c r="K511" s="28" t="str">
        <f t="shared" si="4"/>
        <v/>
      </c>
      <c r="L511" s="45">
        <f t="shared" si="5"/>
        <v>1</v>
      </c>
      <c r="M511" s="45" t="str">
        <f t="shared" si="6"/>
        <v/>
      </c>
      <c r="N511" s="45" t="str">
        <f t="shared" si="7"/>
        <v/>
      </c>
      <c r="O511" s="45" t="str">
        <f t="shared" si="8"/>
        <v/>
      </c>
      <c r="P511" s="45" t="str">
        <f t="shared" si="9"/>
        <v/>
      </c>
    </row>
    <row r="512" spans="1:16" ht="18">
      <c r="A512" s="92" t="s">
        <v>5139</v>
      </c>
      <c r="B512" s="345">
        <v>2003</v>
      </c>
      <c r="C512" s="92"/>
      <c r="D512" s="345">
        <v>12706674</v>
      </c>
      <c r="E512" s="278" t="str">
        <f t="shared" si="2"/>
        <v>https://pubmed.ncbi.nlm.nih.gov/?term=12706674</v>
      </c>
      <c r="F512" s="28" t="s">
        <v>511</v>
      </c>
      <c r="G512" s="28" t="s">
        <v>4781</v>
      </c>
      <c r="J512" s="346" t="str">
        <f t="shared" si="3"/>
        <v/>
      </c>
      <c r="K512" s="28" t="str">
        <f t="shared" si="4"/>
        <v/>
      </c>
      <c r="L512" s="45" t="str">
        <f t="shared" si="5"/>
        <v/>
      </c>
      <c r="M512" s="45" t="str">
        <f t="shared" si="6"/>
        <v/>
      </c>
      <c r="N512" s="45" t="str">
        <f t="shared" si="7"/>
        <v/>
      </c>
      <c r="O512" s="45">
        <f t="shared" si="8"/>
        <v>1</v>
      </c>
      <c r="P512" s="45" t="str">
        <f t="shared" si="9"/>
        <v/>
      </c>
    </row>
    <row r="513" spans="1:16" ht="18">
      <c r="A513" s="92" t="s">
        <v>2051</v>
      </c>
      <c r="B513" s="345">
        <v>2006</v>
      </c>
      <c r="C513" s="92" t="s">
        <v>5140</v>
      </c>
      <c r="D513" s="345">
        <v>16956406</v>
      </c>
      <c r="E513" s="278" t="str">
        <f t="shared" si="2"/>
        <v>https://pubmed.ncbi.nlm.nih.gov/?term=16956406</v>
      </c>
      <c r="H513" s="28" t="s">
        <v>511</v>
      </c>
      <c r="J513" s="346" t="str">
        <f t="shared" si="3"/>
        <v/>
      </c>
      <c r="K513" s="28" t="str">
        <f t="shared" si="4"/>
        <v/>
      </c>
      <c r="L513" s="45" t="str">
        <f t="shared" si="5"/>
        <v/>
      </c>
      <c r="M513" s="45" t="str">
        <f t="shared" si="6"/>
        <v/>
      </c>
      <c r="N513" s="45" t="str">
        <f t="shared" si="7"/>
        <v/>
      </c>
      <c r="O513" s="45" t="str">
        <f t="shared" si="8"/>
        <v/>
      </c>
      <c r="P513" s="45" t="str">
        <f t="shared" si="9"/>
        <v/>
      </c>
    </row>
    <row r="514" spans="1:16" ht="18">
      <c r="A514" s="92" t="s">
        <v>5141</v>
      </c>
      <c r="B514" s="345">
        <v>2007</v>
      </c>
      <c r="C514" s="92"/>
      <c r="D514" s="345">
        <v>17984354</v>
      </c>
      <c r="E514" s="278" t="str">
        <f t="shared" si="2"/>
        <v>https://pubmed.ncbi.nlm.nih.gov/?term=17984354</v>
      </c>
      <c r="F514" s="28" t="s">
        <v>511</v>
      </c>
      <c r="G514" s="28" t="s">
        <v>4346</v>
      </c>
      <c r="J514" s="346" t="str">
        <f t="shared" si="3"/>
        <v/>
      </c>
      <c r="K514" s="28" t="str">
        <f t="shared" si="4"/>
        <v/>
      </c>
      <c r="L514" s="45">
        <f t="shared" si="5"/>
        <v>1</v>
      </c>
      <c r="M514" s="45" t="str">
        <f t="shared" si="6"/>
        <v/>
      </c>
      <c r="N514" s="45" t="str">
        <f t="shared" si="7"/>
        <v/>
      </c>
      <c r="O514" s="45" t="str">
        <f t="shared" si="8"/>
        <v/>
      </c>
      <c r="P514" s="45" t="str">
        <f t="shared" si="9"/>
        <v/>
      </c>
    </row>
    <row r="515" spans="1:16" ht="18">
      <c r="A515" s="92" t="s">
        <v>5142</v>
      </c>
      <c r="B515" s="345">
        <v>2004</v>
      </c>
      <c r="C515" s="92"/>
      <c r="D515" s="345">
        <v>15381135</v>
      </c>
      <c r="E515" s="278" t="str">
        <f t="shared" si="2"/>
        <v>https://pubmed.ncbi.nlm.nih.gov/?term=15381135</v>
      </c>
      <c r="F515" s="28" t="s">
        <v>511</v>
      </c>
      <c r="G515" s="28" t="s">
        <v>4592</v>
      </c>
      <c r="J515" s="346">
        <f t="shared" si="3"/>
        <v>1</v>
      </c>
      <c r="K515" s="28" t="str">
        <f t="shared" si="4"/>
        <v/>
      </c>
      <c r="L515" s="45" t="str">
        <f t="shared" si="5"/>
        <v/>
      </c>
      <c r="M515" s="45" t="str">
        <f t="shared" si="6"/>
        <v/>
      </c>
      <c r="N515" s="45" t="str">
        <f t="shared" si="7"/>
        <v/>
      </c>
      <c r="O515" s="45" t="str">
        <f t="shared" si="8"/>
        <v/>
      </c>
      <c r="P515" s="45" t="str">
        <f t="shared" si="9"/>
        <v/>
      </c>
    </row>
    <row r="516" spans="1:16" ht="18">
      <c r="A516" s="92" t="s">
        <v>5143</v>
      </c>
      <c r="B516" s="345">
        <v>2010</v>
      </c>
      <c r="C516" s="92"/>
      <c r="D516" s="345">
        <v>20100756</v>
      </c>
      <c r="E516" s="278" t="str">
        <f t="shared" si="2"/>
        <v>https://pubmed.ncbi.nlm.nih.gov/?term=20100756</v>
      </c>
      <c r="F516" s="28" t="s">
        <v>511</v>
      </c>
      <c r="G516" s="28" t="s">
        <v>5144</v>
      </c>
      <c r="J516" s="346" t="str">
        <f t="shared" si="3"/>
        <v/>
      </c>
      <c r="K516" s="28" t="str">
        <f t="shared" si="4"/>
        <v/>
      </c>
      <c r="L516" s="45" t="str">
        <f t="shared" si="5"/>
        <v/>
      </c>
      <c r="M516" s="45" t="str">
        <f t="shared" si="6"/>
        <v/>
      </c>
      <c r="N516" s="45">
        <f t="shared" si="7"/>
        <v>1</v>
      </c>
      <c r="O516" s="45" t="str">
        <f t="shared" si="8"/>
        <v/>
      </c>
      <c r="P516" s="45" t="str">
        <f t="shared" si="9"/>
        <v/>
      </c>
    </row>
    <row r="517" spans="1:16" ht="18">
      <c r="A517" s="92" t="s">
        <v>5145</v>
      </c>
      <c r="B517" s="345">
        <v>2006</v>
      </c>
      <c r="C517" s="92"/>
      <c r="D517" s="345">
        <v>16981048</v>
      </c>
      <c r="E517" s="278" t="str">
        <f t="shared" si="2"/>
        <v>https://pubmed.ncbi.nlm.nih.gov/?term=16981048</v>
      </c>
      <c r="F517" s="28" t="s">
        <v>511</v>
      </c>
      <c r="G517" s="28" t="s">
        <v>4346</v>
      </c>
      <c r="J517" s="346" t="str">
        <f t="shared" si="3"/>
        <v/>
      </c>
      <c r="K517" s="28" t="str">
        <f t="shared" si="4"/>
        <v/>
      </c>
      <c r="L517" s="45">
        <f t="shared" si="5"/>
        <v>1</v>
      </c>
      <c r="M517" s="45" t="str">
        <f t="shared" si="6"/>
        <v/>
      </c>
      <c r="N517" s="45" t="str">
        <f t="shared" si="7"/>
        <v/>
      </c>
      <c r="O517" s="45" t="str">
        <f t="shared" si="8"/>
        <v/>
      </c>
      <c r="P517" s="45" t="str">
        <f t="shared" si="9"/>
        <v/>
      </c>
    </row>
    <row r="518" spans="1:16" ht="18">
      <c r="A518" s="92" t="s">
        <v>5146</v>
      </c>
      <c r="B518" s="345">
        <v>2006</v>
      </c>
      <c r="C518" s="92"/>
      <c r="D518" s="345">
        <v>16023266</v>
      </c>
      <c r="E518" s="278" t="str">
        <f t="shared" si="2"/>
        <v>https://pubmed.ncbi.nlm.nih.gov/?term=16023266</v>
      </c>
      <c r="F518" s="28" t="s">
        <v>511</v>
      </c>
      <c r="G518" s="28" t="s">
        <v>5147</v>
      </c>
      <c r="J518" s="346">
        <f t="shared" si="3"/>
        <v>1</v>
      </c>
      <c r="K518" s="28" t="str">
        <f t="shared" si="4"/>
        <v/>
      </c>
      <c r="L518" s="45" t="str">
        <f t="shared" si="5"/>
        <v/>
      </c>
      <c r="M518" s="45" t="str">
        <f t="shared" si="6"/>
        <v/>
      </c>
      <c r="N518" s="45" t="str">
        <f t="shared" si="7"/>
        <v/>
      </c>
      <c r="O518" s="45" t="str">
        <f t="shared" si="8"/>
        <v/>
      </c>
      <c r="P518" s="45" t="str">
        <f t="shared" si="9"/>
        <v/>
      </c>
    </row>
    <row r="519" spans="1:16" ht="18">
      <c r="A519" s="92" t="s">
        <v>5148</v>
      </c>
      <c r="B519" s="345">
        <v>2010</v>
      </c>
      <c r="C519" s="92"/>
      <c r="D519" s="345">
        <v>21137022</v>
      </c>
      <c r="E519" s="278" t="str">
        <f t="shared" si="2"/>
        <v>https://pubmed.ncbi.nlm.nih.gov/?term=21137022</v>
      </c>
      <c r="F519" s="28" t="s">
        <v>511</v>
      </c>
      <c r="G519" s="28" t="s">
        <v>4592</v>
      </c>
      <c r="J519" s="346">
        <f t="shared" si="3"/>
        <v>1</v>
      </c>
      <c r="K519" s="28" t="str">
        <f t="shared" si="4"/>
        <v/>
      </c>
      <c r="L519" s="45" t="str">
        <f t="shared" si="5"/>
        <v/>
      </c>
      <c r="M519" s="45" t="str">
        <f t="shared" si="6"/>
        <v/>
      </c>
      <c r="N519" s="45" t="str">
        <f t="shared" si="7"/>
        <v/>
      </c>
      <c r="O519" s="45" t="str">
        <f t="shared" si="8"/>
        <v/>
      </c>
      <c r="P519" s="45" t="str">
        <f t="shared" si="9"/>
        <v/>
      </c>
    </row>
    <row r="520" spans="1:16" ht="18">
      <c r="A520" s="92" t="s">
        <v>5149</v>
      </c>
      <c r="B520" s="345">
        <v>2010</v>
      </c>
      <c r="C520" s="92"/>
      <c r="D520" s="345">
        <v>20416394</v>
      </c>
      <c r="E520" s="278" t="str">
        <f t="shared" si="2"/>
        <v>https://pubmed.ncbi.nlm.nih.gov/?term=20416394</v>
      </c>
      <c r="F520" s="28" t="s">
        <v>511</v>
      </c>
      <c r="G520" s="28" t="s">
        <v>4346</v>
      </c>
      <c r="J520" s="346" t="str">
        <f t="shared" si="3"/>
        <v/>
      </c>
      <c r="K520" s="28" t="str">
        <f t="shared" si="4"/>
        <v/>
      </c>
      <c r="L520" s="45">
        <f t="shared" si="5"/>
        <v>1</v>
      </c>
      <c r="M520" s="45" t="str">
        <f t="shared" si="6"/>
        <v/>
      </c>
      <c r="N520" s="45" t="str">
        <f t="shared" si="7"/>
        <v/>
      </c>
      <c r="O520" s="45" t="str">
        <f t="shared" si="8"/>
        <v/>
      </c>
      <c r="P520" s="45" t="str">
        <f t="shared" si="9"/>
        <v/>
      </c>
    </row>
    <row r="521" spans="1:16" ht="18">
      <c r="A521" s="92" t="s">
        <v>5150</v>
      </c>
      <c r="B521" s="345">
        <v>2010</v>
      </c>
      <c r="C521" s="92" t="s">
        <v>5151</v>
      </c>
      <c r="D521" s="345">
        <v>20123054</v>
      </c>
      <c r="E521" s="278" t="str">
        <f t="shared" si="2"/>
        <v>https://pubmed.ncbi.nlm.nih.gov/?term=20123054</v>
      </c>
      <c r="F521" s="28" t="s">
        <v>511</v>
      </c>
      <c r="G521" s="28" t="s">
        <v>4346</v>
      </c>
      <c r="J521" s="346" t="str">
        <f t="shared" si="3"/>
        <v/>
      </c>
      <c r="K521" s="28" t="str">
        <f t="shared" si="4"/>
        <v/>
      </c>
      <c r="L521" s="45">
        <f t="shared" si="5"/>
        <v>1</v>
      </c>
      <c r="M521" s="45" t="str">
        <f t="shared" si="6"/>
        <v/>
      </c>
      <c r="N521" s="45" t="str">
        <f t="shared" si="7"/>
        <v/>
      </c>
      <c r="O521" s="45" t="str">
        <f t="shared" si="8"/>
        <v/>
      </c>
      <c r="P521" s="45" t="str">
        <f t="shared" si="9"/>
        <v/>
      </c>
    </row>
    <row r="522" spans="1:16" ht="18">
      <c r="A522" s="92" t="s">
        <v>2128</v>
      </c>
      <c r="B522" s="345">
        <v>2009</v>
      </c>
      <c r="C522" s="92"/>
      <c r="D522" s="345">
        <v>19320235</v>
      </c>
      <c r="E522" s="278" t="str">
        <f t="shared" si="2"/>
        <v>https://pubmed.ncbi.nlm.nih.gov/?term=19320235</v>
      </c>
      <c r="H522" s="28" t="s">
        <v>511</v>
      </c>
      <c r="I522" s="348" t="s">
        <v>5152</v>
      </c>
      <c r="J522" s="346" t="str">
        <f t="shared" si="3"/>
        <v/>
      </c>
      <c r="K522" s="28" t="str">
        <f t="shared" si="4"/>
        <v/>
      </c>
      <c r="L522" s="45" t="str">
        <f t="shared" si="5"/>
        <v/>
      </c>
      <c r="M522" s="45" t="str">
        <f t="shared" si="6"/>
        <v/>
      </c>
      <c r="N522" s="45" t="str">
        <f t="shared" si="7"/>
        <v/>
      </c>
      <c r="O522" s="45" t="str">
        <f t="shared" si="8"/>
        <v/>
      </c>
      <c r="P522" s="45" t="str">
        <f t="shared" si="9"/>
        <v/>
      </c>
    </row>
    <row r="523" spans="1:16" ht="18">
      <c r="A523" s="92" t="s">
        <v>5098</v>
      </c>
      <c r="B523" s="345">
        <v>2005</v>
      </c>
      <c r="C523" s="92"/>
      <c r="D523" s="345">
        <v>15855748</v>
      </c>
      <c r="E523" s="278" t="str">
        <f t="shared" si="2"/>
        <v>https://pubmed.ncbi.nlm.nih.gov/?term=15855748</v>
      </c>
      <c r="F523" s="28" t="s">
        <v>511</v>
      </c>
      <c r="G523" s="28" t="s">
        <v>4592</v>
      </c>
      <c r="J523" s="346">
        <f t="shared" si="3"/>
        <v>1</v>
      </c>
      <c r="K523" s="28" t="str">
        <f t="shared" si="4"/>
        <v/>
      </c>
      <c r="L523" s="45" t="str">
        <f t="shared" si="5"/>
        <v/>
      </c>
      <c r="M523" s="45" t="str">
        <f t="shared" si="6"/>
        <v/>
      </c>
      <c r="N523" s="45" t="str">
        <f t="shared" si="7"/>
        <v/>
      </c>
      <c r="O523" s="45" t="str">
        <f t="shared" si="8"/>
        <v/>
      </c>
      <c r="P523" s="45" t="str">
        <f t="shared" si="9"/>
        <v/>
      </c>
    </row>
    <row r="524" spans="1:16" ht="18">
      <c r="A524" s="92" t="s">
        <v>5153</v>
      </c>
      <c r="B524" s="345">
        <v>2010</v>
      </c>
      <c r="C524" s="92" t="s">
        <v>5154</v>
      </c>
      <c r="D524" s="345">
        <v>20721317</v>
      </c>
      <c r="E524" s="278" t="str">
        <f t="shared" si="2"/>
        <v>https://pubmed.ncbi.nlm.nih.gov/?term=20721317</v>
      </c>
      <c r="F524" s="28" t="s">
        <v>511</v>
      </c>
      <c r="G524" s="28" t="s">
        <v>4592</v>
      </c>
      <c r="J524" s="346">
        <f t="shared" si="3"/>
        <v>1</v>
      </c>
      <c r="K524" s="28" t="str">
        <f t="shared" si="4"/>
        <v/>
      </c>
      <c r="L524" s="45" t="str">
        <f t="shared" si="5"/>
        <v/>
      </c>
      <c r="M524" s="45" t="str">
        <f t="shared" si="6"/>
        <v/>
      </c>
      <c r="N524" s="45" t="str">
        <f t="shared" si="7"/>
        <v/>
      </c>
      <c r="O524" s="45" t="str">
        <f t="shared" si="8"/>
        <v/>
      </c>
      <c r="P524" s="45" t="str">
        <f t="shared" si="9"/>
        <v/>
      </c>
    </row>
    <row r="525" spans="1:16" ht="18">
      <c r="A525" s="92" t="s">
        <v>5155</v>
      </c>
      <c r="B525" s="345">
        <v>2003</v>
      </c>
      <c r="C525" s="92"/>
      <c r="D525" s="345">
        <v>12535387</v>
      </c>
      <c r="E525" s="278" t="str">
        <f t="shared" si="2"/>
        <v>https://pubmed.ncbi.nlm.nih.gov/?term=12535387</v>
      </c>
      <c r="F525" s="28" t="s">
        <v>511</v>
      </c>
      <c r="G525" s="28" t="s">
        <v>4592</v>
      </c>
      <c r="J525" s="346">
        <f t="shared" si="3"/>
        <v>1</v>
      </c>
      <c r="K525" s="28" t="str">
        <f t="shared" si="4"/>
        <v/>
      </c>
      <c r="L525" s="45" t="str">
        <f t="shared" si="5"/>
        <v/>
      </c>
      <c r="M525" s="45" t="str">
        <f t="shared" si="6"/>
        <v/>
      </c>
      <c r="N525" s="45" t="str">
        <f t="shared" si="7"/>
        <v/>
      </c>
      <c r="O525" s="45" t="str">
        <f t="shared" si="8"/>
        <v/>
      </c>
      <c r="P525" s="45" t="str">
        <f t="shared" si="9"/>
        <v/>
      </c>
    </row>
    <row r="526" spans="1:16" ht="18">
      <c r="A526" s="92" t="s">
        <v>5156</v>
      </c>
      <c r="B526" s="345">
        <v>2010</v>
      </c>
      <c r="C526" s="92"/>
      <c r="D526" s="345">
        <v>21048484</v>
      </c>
      <c r="E526" s="278" t="str">
        <f t="shared" si="2"/>
        <v>https://pubmed.ncbi.nlm.nih.gov/?term=21048484</v>
      </c>
      <c r="F526" s="28" t="s">
        <v>511</v>
      </c>
      <c r="G526" s="28" t="s">
        <v>5157</v>
      </c>
      <c r="J526" s="346" t="str">
        <f t="shared" si="3"/>
        <v/>
      </c>
      <c r="K526" s="28" t="str">
        <f t="shared" si="4"/>
        <v/>
      </c>
      <c r="L526" s="45" t="str">
        <f t="shared" si="5"/>
        <v/>
      </c>
      <c r="M526" s="45" t="str">
        <f t="shared" si="6"/>
        <v/>
      </c>
      <c r="N526" s="45">
        <f t="shared" si="7"/>
        <v>1</v>
      </c>
      <c r="O526" s="45" t="str">
        <f t="shared" si="8"/>
        <v/>
      </c>
      <c r="P526" s="45" t="str">
        <f t="shared" si="9"/>
        <v/>
      </c>
    </row>
    <row r="527" spans="1:16" ht="18">
      <c r="A527" s="92" t="s">
        <v>5158</v>
      </c>
      <c r="B527" s="345">
        <v>2010</v>
      </c>
      <c r="C527" s="92" t="s">
        <v>5159</v>
      </c>
      <c r="D527" s="345">
        <v>20549558</v>
      </c>
      <c r="E527" s="278" t="str">
        <f t="shared" si="2"/>
        <v>https://pubmed.ncbi.nlm.nih.gov/?term=20549558</v>
      </c>
      <c r="F527" s="28" t="s">
        <v>511</v>
      </c>
      <c r="G527" s="28" t="s">
        <v>5160</v>
      </c>
      <c r="J527" s="346" t="str">
        <f t="shared" si="3"/>
        <v/>
      </c>
      <c r="K527" s="28" t="str">
        <f t="shared" si="4"/>
        <v/>
      </c>
      <c r="L527" s="45" t="str">
        <f t="shared" si="5"/>
        <v/>
      </c>
      <c r="M527" s="45" t="str">
        <f t="shared" si="6"/>
        <v/>
      </c>
      <c r="N527" s="45">
        <f t="shared" si="7"/>
        <v>1</v>
      </c>
      <c r="O527" s="45" t="str">
        <f t="shared" si="8"/>
        <v/>
      </c>
      <c r="P527" s="45" t="str">
        <f t="shared" si="9"/>
        <v/>
      </c>
    </row>
    <row r="528" spans="1:16" ht="18">
      <c r="A528" s="92" t="s">
        <v>4723</v>
      </c>
      <c r="B528" s="345">
        <v>2000</v>
      </c>
      <c r="C528" s="92"/>
      <c r="D528" s="345">
        <v>10945375</v>
      </c>
      <c r="E528" s="278" t="str">
        <f t="shared" si="2"/>
        <v>https://pubmed.ncbi.nlm.nih.gov/?term=10945375</v>
      </c>
      <c r="F528" s="28" t="s">
        <v>511</v>
      </c>
      <c r="G528" s="28" t="s">
        <v>4592</v>
      </c>
      <c r="J528" s="346">
        <f t="shared" si="3"/>
        <v>1</v>
      </c>
      <c r="K528" s="28" t="str">
        <f t="shared" si="4"/>
        <v/>
      </c>
      <c r="L528" s="45" t="str">
        <f t="shared" si="5"/>
        <v/>
      </c>
      <c r="M528" s="45" t="str">
        <f t="shared" si="6"/>
        <v/>
      </c>
      <c r="N528" s="45" t="str">
        <f t="shared" si="7"/>
        <v/>
      </c>
      <c r="O528" s="45" t="str">
        <f t="shared" si="8"/>
        <v/>
      </c>
      <c r="P528" s="45" t="str">
        <f t="shared" si="9"/>
        <v/>
      </c>
    </row>
    <row r="529" spans="1:16" ht="18">
      <c r="A529" s="92" t="s">
        <v>5161</v>
      </c>
      <c r="B529" s="345">
        <v>2010</v>
      </c>
      <c r="C529" s="92"/>
      <c r="D529" s="345">
        <v>20694562</v>
      </c>
      <c r="E529" s="278" t="str">
        <f t="shared" si="2"/>
        <v>https://pubmed.ncbi.nlm.nih.gov/?term=20694562</v>
      </c>
      <c r="F529" s="28" t="s">
        <v>511</v>
      </c>
      <c r="G529" s="28" t="s">
        <v>4346</v>
      </c>
      <c r="J529" s="346" t="str">
        <f t="shared" si="3"/>
        <v/>
      </c>
      <c r="K529" s="28" t="str">
        <f t="shared" si="4"/>
        <v/>
      </c>
      <c r="L529" s="45">
        <f t="shared" si="5"/>
        <v>1</v>
      </c>
      <c r="M529" s="45" t="str">
        <f t="shared" si="6"/>
        <v/>
      </c>
      <c r="N529" s="45" t="str">
        <f t="shared" si="7"/>
        <v/>
      </c>
      <c r="O529" s="45" t="str">
        <f t="shared" si="8"/>
        <v/>
      </c>
      <c r="P529" s="45" t="str">
        <f t="shared" si="9"/>
        <v/>
      </c>
    </row>
    <row r="530" spans="1:16" ht="18">
      <c r="A530" s="92" t="s">
        <v>5162</v>
      </c>
      <c r="B530" s="345">
        <v>2007</v>
      </c>
      <c r="C530" s="92"/>
      <c r="D530" s="345">
        <v>17253505</v>
      </c>
      <c r="E530" s="278" t="str">
        <f t="shared" si="2"/>
        <v>https://pubmed.ncbi.nlm.nih.gov/?term=17253505</v>
      </c>
      <c r="F530" s="28" t="s">
        <v>511</v>
      </c>
      <c r="G530" s="28" t="s">
        <v>4592</v>
      </c>
      <c r="J530" s="346">
        <f t="shared" si="3"/>
        <v>1</v>
      </c>
      <c r="K530" s="28" t="str">
        <f t="shared" si="4"/>
        <v/>
      </c>
      <c r="L530" s="45" t="str">
        <f t="shared" si="5"/>
        <v/>
      </c>
      <c r="M530" s="45" t="str">
        <f t="shared" si="6"/>
        <v/>
      </c>
      <c r="N530" s="45" t="str">
        <f t="shared" si="7"/>
        <v/>
      </c>
      <c r="O530" s="45" t="str">
        <f t="shared" si="8"/>
        <v/>
      </c>
      <c r="P530" s="45" t="str">
        <f t="shared" si="9"/>
        <v/>
      </c>
    </row>
    <row r="531" spans="1:16" ht="18">
      <c r="A531" s="92" t="s">
        <v>4724</v>
      </c>
      <c r="B531" s="345">
        <v>2000</v>
      </c>
      <c r="C531" s="92"/>
      <c r="D531" s="345">
        <v>10719741</v>
      </c>
      <c r="E531" s="278" t="str">
        <f t="shared" si="2"/>
        <v>https://pubmed.ncbi.nlm.nih.gov/?term=10719741</v>
      </c>
      <c r="F531" s="28" t="s">
        <v>511</v>
      </c>
      <c r="G531" s="28" t="s">
        <v>4592</v>
      </c>
      <c r="J531" s="346">
        <f t="shared" si="3"/>
        <v>1</v>
      </c>
      <c r="K531" s="28" t="str">
        <f t="shared" si="4"/>
        <v/>
      </c>
      <c r="L531" s="45" t="str">
        <f t="shared" si="5"/>
        <v/>
      </c>
      <c r="M531" s="45" t="str">
        <f t="shared" si="6"/>
        <v/>
      </c>
      <c r="N531" s="45" t="str">
        <f t="shared" si="7"/>
        <v/>
      </c>
      <c r="O531" s="45" t="str">
        <f t="shared" si="8"/>
        <v/>
      </c>
      <c r="P531" s="45" t="str">
        <f t="shared" si="9"/>
        <v/>
      </c>
    </row>
    <row r="532" spans="1:16" ht="18">
      <c r="A532" s="92" t="s">
        <v>4742</v>
      </c>
      <c r="B532" s="345">
        <v>2007</v>
      </c>
      <c r="C532" s="92" t="s">
        <v>5163</v>
      </c>
      <c r="D532" s="345">
        <v>17636662</v>
      </c>
      <c r="E532" s="278" t="str">
        <f t="shared" si="2"/>
        <v>https://pubmed.ncbi.nlm.nih.gov/?term=17636662</v>
      </c>
      <c r="F532" s="28" t="s">
        <v>511</v>
      </c>
      <c r="G532" s="28" t="s">
        <v>4592</v>
      </c>
      <c r="J532" s="346">
        <f t="shared" si="3"/>
        <v>1</v>
      </c>
      <c r="K532" s="28" t="str">
        <f t="shared" si="4"/>
        <v/>
      </c>
      <c r="L532" s="45" t="str">
        <f t="shared" si="5"/>
        <v/>
      </c>
      <c r="M532" s="45" t="str">
        <f t="shared" si="6"/>
        <v/>
      </c>
      <c r="N532" s="45" t="str">
        <f t="shared" si="7"/>
        <v/>
      </c>
      <c r="O532" s="45" t="str">
        <f t="shared" si="8"/>
        <v/>
      </c>
      <c r="P532" s="45" t="str">
        <f t="shared" si="9"/>
        <v/>
      </c>
    </row>
    <row r="533" spans="1:16" ht="18">
      <c r="A533" s="92" t="s">
        <v>5164</v>
      </c>
      <c r="B533" s="345">
        <v>2008</v>
      </c>
      <c r="C533" s="92"/>
      <c r="D533" s="345">
        <v>18764771</v>
      </c>
      <c r="E533" s="278" t="str">
        <f t="shared" si="2"/>
        <v>https://pubmed.ncbi.nlm.nih.gov/?term=18764771</v>
      </c>
      <c r="F533" s="28" t="s">
        <v>511</v>
      </c>
      <c r="G533" s="28" t="s">
        <v>4744</v>
      </c>
      <c r="J533" s="346" t="str">
        <f t="shared" si="3"/>
        <v/>
      </c>
      <c r="K533" s="28" t="str">
        <f t="shared" si="4"/>
        <v/>
      </c>
      <c r="L533" s="45" t="str">
        <f t="shared" si="5"/>
        <v/>
      </c>
      <c r="M533" s="45" t="str">
        <f t="shared" si="6"/>
        <v/>
      </c>
      <c r="N533" s="45">
        <f t="shared" si="7"/>
        <v>1</v>
      </c>
      <c r="O533" s="45" t="str">
        <f t="shared" si="8"/>
        <v/>
      </c>
      <c r="P533" s="45" t="str">
        <f t="shared" si="9"/>
        <v/>
      </c>
    </row>
    <row r="534" spans="1:16" ht="18">
      <c r="A534" s="92" t="s">
        <v>5165</v>
      </c>
      <c r="B534" s="345">
        <v>2009</v>
      </c>
      <c r="C534" s="92"/>
      <c r="D534" s="345">
        <v>19720365</v>
      </c>
      <c r="E534" s="278" t="str">
        <f t="shared" si="2"/>
        <v>https://pubmed.ncbi.nlm.nih.gov/?term=19720365</v>
      </c>
      <c r="F534" s="28" t="s">
        <v>511</v>
      </c>
      <c r="G534" s="28" t="s">
        <v>5166</v>
      </c>
      <c r="J534" s="346" t="str">
        <f t="shared" si="3"/>
        <v/>
      </c>
      <c r="K534" s="28" t="str">
        <f t="shared" si="4"/>
        <v/>
      </c>
      <c r="L534" s="45" t="str">
        <f t="shared" si="5"/>
        <v/>
      </c>
      <c r="M534" s="45" t="str">
        <f t="shared" si="6"/>
        <v/>
      </c>
      <c r="N534" s="45">
        <f t="shared" si="7"/>
        <v>1</v>
      </c>
      <c r="O534" s="45" t="str">
        <f t="shared" si="8"/>
        <v/>
      </c>
      <c r="P534" s="45" t="str">
        <f t="shared" si="9"/>
        <v/>
      </c>
    </row>
    <row r="535" spans="1:16" ht="18">
      <c r="A535" s="92" t="s">
        <v>5167</v>
      </c>
      <c r="B535" s="345">
        <v>2010</v>
      </c>
      <c r="C535" s="92" t="s">
        <v>5168</v>
      </c>
      <c r="D535" s="345">
        <v>20616187</v>
      </c>
      <c r="E535" s="278" t="str">
        <f t="shared" si="2"/>
        <v>https://pubmed.ncbi.nlm.nih.gov/?term=20616187</v>
      </c>
      <c r="F535" s="28" t="s">
        <v>511</v>
      </c>
      <c r="G535" s="28" t="s">
        <v>4346</v>
      </c>
      <c r="J535" s="346" t="str">
        <f t="shared" si="3"/>
        <v/>
      </c>
      <c r="K535" s="28" t="str">
        <f t="shared" si="4"/>
        <v/>
      </c>
      <c r="L535" s="45">
        <f t="shared" si="5"/>
        <v>1</v>
      </c>
      <c r="M535" s="45" t="str">
        <f t="shared" si="6"/>
        <v/>
      </c>
      <c r="N535" s="45" t="str">
        <f t="shared" si="7"/>
        <v/>
      </c>
      <c r="O535" s="45" t="str">
        <f t="shared" si="8"/>
        <v/>
      </c>
      <c r="P535" s="45" t="str">
        <f t="shared" si="9"/>
        <v/>
      </c>
    </row>
    <row r="536" spans="1:16" ht="18">
      <c r="A536" s="92" t="s">
        <v>5169</v>
      </c>
      <c r="B536" s="345">
        <v>2002</v>
      </c>
      <c r="C536" s="92"/>
      <c r="D536" s="345">
        <v>12492903</v>
      </c>
      <c r="E536" s="278" t="str">
        <f t="shared" si="2"/>
        <v>https://pubmed.ncbi.nlm.nih.gov/?term=12492903</v>
      </c>
      <c r="F536" s="28" t="s">
        <v>511</v>
      </c>
      <c r="G536" s="28" t="s">
        <v>4744</v>
      </c>
      <c r="J536" s="346" t="str">
        <f t="shared" si="3"/>
        <v/>
      </c>
      <c r="K536" s="28" t="str">
        <f t="shared" si="4"/>
        <v/>
      </c>
      <c r="L536" s="45" t="str">
        <f t="shared" si="5"/>
        <v/>
      </c>
      <c r="M536" s="45" t="str">
        <f t="shared" si="6"/>
        <v/>
      </c>
      <c r="N536" s="45">
        <f t="shared" si="7"/>
        <v>1</v>
      </c>
      <c r="O536" s="45" t="str">
        <f t="shared" si="8"/>
        <v/>
      </c>
      <c r="P536" s="45" t="str">
        <f t="shared" si="9"/>
        <v/>
      </c>
    </row>
    <row r="537" spans="1:16" ht="18">
      <c r="A537" s="92" t="s">
        <v>5170</v>
      </c>
      <c r="B537" s="345">
        <v>2001</v>
      </c>
      <c r="C537" s="92"/>
      <c r="D537" s="345">
        <v>11445748</v>
      </c>
      <c r="E537" s="278" t="str">
        <f t="shared" si="2"/>
        <v>https://pubmed.ncbi.nlm.nih.gov/?term=11445748</v>
      </c>
      <c r="F537" s="28" t="s">
        <v>511</v>
      </c>
      <c r="G537" s="28" t="s">
        <v>4592</v>
      </c>
      <c r="J537" s="346">
        <f t="shared" si="3"/>
        <v>1</v>
      </c>
      <c r="K537" s="28" t="str">
        <f t="shared" si="4"/>
        <v/>
      </c>
      <c r="L537" s="45" t="str">
        <f t="shared" si="5"/>
        <v/>
      </c>
      <c r="M537" s="45" t="str">
        <f t="shared" si="6"/>
        <v/>
      </c>
      <c r="N537" s="45" t="str">
        <f t="shared" si="7"/>
        <v/>
      </c>
      <c r="O537" s="45" t="str">
        <f t="shared" si="8"/>
        <v/>
      </c>
      <c r="P537" s="45" t="str">
        <f t="shared" si="9"/>
        <v/>
      </c>
    </row>
    <row r="538" spans="1:16" ht="18">
      <c r="A538" s="92" t="s">
        <v>4055</v>
      </c>
      <c r="B538" s="345">
        <v>2006</v>
      </c>
      <c r="C538" s="92"/>
      <c r="D538" s="345">
        <v>17012875</v>
      </c>
      <c r="E538" s="278" t="str">
        <f t="shared" si="2"/>
        <v>https://pubmed.ncbi.nlm.nih.gov/?term=17012875</v>
      </c>
      <c r="F538" s="28" t="s">
        <v>511</v>
      </c>
      <c r="G538" s="28" t="s">
        <v>5171</v>
      </c>
      <c r="J538" s="346" t="str">
        <f t="shared" si="3"/>
        <v/>
      </c>
      <c r="K538" s="28" t="str">
        <f t="shared" si="4"/>
        <v/>
      </c>
      <c r="L538" s="45" t="str">
        <f t="shared" si="5"/>
        <v/>
      </c>
      <c r="M538" s="45" t="str">
        <f t="shared" si="6"/>
        <v/>
      </c>
      <c r="N538" s="45">
        <f t="shared" si="7"/>
        <v>1</v>
      </c>
      <c r="O538" s="45" t="str">
        <f t="shared" si="8"/>
        <v/>
      </c>
      <c r="P538" s="45" t="str">
        <f t="shared" si="9"/>
        <v/>
      </c>
    </row>
    <row r="539" spans="1:16" ht="18">
      <c r="A539" s="92" t="s">
        <v>5172</v>
      </c>
      <c r="B539" s="345">
        <v>2004</v>
      </c>
      <c r="C539" s="92"/>
      <c r="D539" s="345">
        <v>15373955</v>
      </c>
      <c r="E539" s="278" t="str">
        <f t="shared" si="2"/>
        <v>https://pubmed.ncbi.nlm.nih.gov/?term=15373955</v>
      </c>
      <c r="F539" s="28" t="s">
        <v>511</v>
      </c>
      <c r="G539" s="28" t="s">
        <v>4592</v>
      </c>
      <c r="J539" s="346">
        <f t="shared" si="3"/>
        <v>1</v>
      </c>
      <c r="K539" s="28" t="str">
        <f t="shared" si="4"/>
        <v/>
      </c>
      <c r="L539" s="45" t="str">
        <f t="shared" si="5"/>
        <v/>
      </c>
      <c r="M539" s="45" t="str">
        <f t="shared" si="6"/>
        <v/>
      </c>
      <c r="N539" s="45" t="str">
        <f t="shared" si="7"/>
        <v/>
      </c>
      <c r="O539" s="45" t="str">
        <f t="shared" si="8"/>
        <v/>
      </c>
      <c r="P539" s="45" t="str">
        <f t="shared" si="9"/>
        <v/>
      </c>
    </row>
    <row r="540" spans="1:16" ht="18">
      <c r="A540" s="92" t="s">
        <v>5173</v>
      </c>
      <c r="B540" s="345">
        <v>2001</v>
      </c>
      <c r="C540" s="92" t="s">
        <v>5174</v>
      </c>
      <c r="D540" s="345">
        <v>11811892</v>
      </c>
      <c r="E540" s="278" t="str">
        <f t="shared" si="2"/>
        <v>https://pubmed.ncbi.nlm.nih.gov/?term=11811892</v>
      </c>
      <c r="F540" s="28" t="s">
        <v>511</v>
      </c>
      <c r="G540" s="28" t="s">
        <v>5175</v>
      </c>
      <c r="J540" s="346" t="str">
        <f t="shared" si="3"/>
        <v/>
      </c>
      <c r="K540" s="28" t="str">
        <f t="shared" si="4"/>
        <v/>
      </c>
      <c r="L540" s="45" t="str">
        <f t="shared" si="5"/>
        <v/>
      </c>
      <c r="M540" s="45" t="str">
        <f t="shared" si="6"/>
        <v/>
      </c>
      <c r="N540" s="45">
        <f t="shared" si="7"/>
        <v>1</v>
      </c>
      <c r="O540" s="45" t="str">
        <f t="shared" si="8"/>
        <v/>
      </c>
      <c r="P540" s="45" t="str">
        <f t="shared" si="9"/>
        <v/>
      </c>
    </row>
    <row r="541" spans="1:16" ht="18">
      <c r="A541" s="92" t="s">
        <v>4270</v>
      </c>
      <c r="B541" s="345">
        <v>2002</v>
      </c>
      <c r="C541" s="92"/>
      <c r="D541" s="345">
        <v>11893972</v>
      </c>
      <c r="E541" s="278" t="str">
        <f t="shared" si="2"/>
        <v>https://pubmed.ncbi.nlm.nih.gov/?term=11893972</v>
      </c>
      <c r="H541" s="28" t="s">
        <v>511</v>
      </c>
      <c r="J541" s="346" t="str">
        <f t="shared" si="3"/>
        <v/>
      </c>
      <c r="K541" s="28" t="str">
        <f t="shared" si="4"/>
        <v/>
      </c>
      <c r="L541" s="45" t="str">
        <f t="shared" si="5"/>
        <v/>
      </c>
      <c r="M541" s="45" t="str">
        <f t="shared" si="6"/>
        <v/>
      </c>
      <c r="N541" s="45" t="str">
        <f t="shared" si="7"/>
        <v/>
      </c>
      <c r="O541" s="45" t="str">
        <f t="shared" si="8"/>
        <v/>
      </c>
      <c r="P541" s="45" t="str">
        <f t="shared" si="9"/>
        <v/>
      </c>
    </row>
    <row r="542" spans="1:16" ht="18">
      <c r="A542" s="92" t="s">
        <v>5176</v>
      </c>
      <c r="B542" s="345">
        <v>2005</v>
      </c>
      <c r="C542" s="92"/>
      <c r="D542" s="345">
        <v>16235362</v>
      </c>
      <c r="E542" s="278" t="str">
        <f t="shared" si="2"/>
        <v>https://pubmed.ncbi.nlm.nih.gov/?term=16235362</v>
      </c>
      <c r="F542" s="28" t="s">
        <v>511</v>
      </c>
      <c r="G542" s="28" t="s">
        <v>4592</v>
      </c>
      <c r="J542" s="346">
        <f t="shared" si="3"/>
        <v>1</v>
      </c>
      <c r="K542" s="28" t="str">
        <f t="shared" si="4"/>
        <v/>
      </c>
      <c r="L542" s="45" t="str">
        <f t="shared" si="5"/>
        <v/>
      </c>
      <c r="M542" s="45" t="str">
        <f t="shared" si="6"/>
        <v/>
      </c>
      <c r="N542" s="45" t="str">
        <f t="shared" si="7"/>
        <v/>
      </c>
      <c r="O542" s="45" t="str">
        <f t="shared" si="8"/>
        <v/>
      </c>
      <c r="P542" s="45" t="str">
        <f t="shared" si="9"/>
        <v/>
      </c>
    </row>
    <row r="543" spans="1:16" ht="18">
      <c r="A543" s="92" t="s">
        <v>1616</v>
      </c>
      <c r="B543" s="345">
        <v>2007</v>
      </c>
      <c r="C543" s="92" t="s">
        <v>5177</v>
      </c>
      <c r="D543" s="345">
        <v>17074855</v>
      </c>
      <c r="E543" s="278" t="str">
        <f t="shared" si="2"/>
        <v>https://pubmed.ncbi.nlm.nih.gov/?term=17074855</v>
      </c>
      <c r="H543" s="28" t="s">
        <v>511</v>
      </c>
      <c r="J543" s="346" t="str">
        <f t="shared" si="3"/>
        <v/>
      </c>
      <c r="K543" s="28" t="str">
        <f t="shared" si="4"/>
        <v/>
      </c>
      <c r="L543" s="45" t="str">
        <f t="shared" si="5"/>
        <v/>
      </c>
      <c r="M543" s="45" t="str">
        <f t="shared" si="6"/>
        <v/>
      </c>
      <c r="N543" s="45" t="str">
        <f t="shared" si="7"/>
        <v/>
      </c>
      <c r="O543" s="45" t="str">
        <f t="shared" si="8"/>
        <v/>
      </c>
      <c r="P543" s="45" t="str">
        <f t="shared" si="9"/>
        <v/>
      </c>
    </row>
    <row r="544" spans="1:16" ht="18">
      <c r="A544" s="92" t="s">
        <v>5178</v>
      </c>
      <c r="B544" s="345">
        <v>2007</v>
      </c>
      <c r="C544" s="92"/>
      <c r="D544" s="345">
        <v>17551890</v>
      </c>
      <c r="E544" s="278" t="str">
        <f t="shared" si="2"/>
        <v>https://pubmed.ncbi.nlm.nih.gov/?term=17551890</v>
      </c>
      <c r="F544" s="28" t="s">
        <v>511</v>
      </c>
      <c r="G544" s="28" t="s">
        <v>4744</v>
      </c>
      <c r="J544" s="346" t="str">
        <f t="shared" si="3"/>
        <v/>
      </c>
      <c r="K544" s="28" t="str">
        <f t="shared" si="4"/>
        <v/>
      </c>
      <c r="L544" s="45" t="str">
        <f t="shared" si="5"/>
        <v/>
      </c>
      <c r="M544" s="45" t="str">
        <f t="shared" si="6"/>
        <v/>
      </c>
      <c r="N544" s="45">
        <f t="shared" si="7"/>
        <v>1</v>
      </c>
      <c r="O544" s="45" t="str">
        <f t="shared" si="8"/>
        <v/>
      </c>
      <c r="P544" s="45" t="str">
        <f t="shared" si="9"/>
        <v/>
      </c>
    </row>
    <row r="545" spans="1:16" ht="18">
      <c r="A545" s="92" t="s">
        <v>5179</v>
      </c>
      <c r="B545" s="345">
        <v>2010</v>
      </c>
      <c r="C545" s="92"/>
      <c r="D545" s="345">
        <v>20074161</v>
      </c>
      <c r="E545" s="278" t="str">
        <f t="shared" si="2"/>
        <v>https://pubmed.ncbi.nlm.nih.gov/?term=20074161</v>
      </c>
      <c r="F545" s="28" t="s">
        <v>511</v>
      </c>
      <c r="G545" s="28" t="s">
        <v>4346</v>
      </c>
      <c r="J545" s="346" t="str">
        <f t="shared" si="3"/>
        <v/>
      </c>
      <c r="K545" s="28" t="str">
        <f t="shared" si="4"/>
        <v/>
      </c>
      <c r="L545" s="45">
        <f t="shared" si="5"/>
        <v>1</v>
      </c>
      <c r="M545" s="45" t="str">
        <f t="shared" si="6"/>
        <v/>
      </c>
      <c r="N545" s="45" t="str">
        <f t="shared" si="7"/>
        <v/>
      </c>
      <c r="O545" s="45" t="str">
        <f t="shared" si="8"/>
        <v/>
      </c>
      <c r="P545" s="45" t="str">
        <f t="shared" si="9"/>
        <v/>
      </c>
    </row>
    <row r="546" spans="1:16" ht="18">
      <c r="A546" s="92" t="s">
        <v>5180</v>
      </c>
      <c r="B546" s="345">
        <v>2007</v>
      </c>
      <c r="C546" s="92"/>
      <c r="D546" s="345">
        <v>17957154</v>
      </c>
      <c r="E546" s="278" t="str">
        <f t="shared" si="2"/>
        <v>https://pubmed.ncbi.nlm.nih.gov/?term=17957154</v>
      </c>
      <c r="F546" s="28" t="s">
        <v>511</v>
      </c>
      <c r="G546" s="28" t="s">
        <v>4346</v>
      </c>
      <c r="J546" s="346" t="str">
        <f t="shared" si="3"/>
        <v/>
      </c>
      <c r="K546" s="28" t="str">
        <f t="shared" si="4"/>
        <v/>
      </c>
      <c r="L546" s="45">
        <f t="shared" si="5"/>
        <v>1</v>
      </c>
      <c r="M546" s="45" t="str">
        <f t="shared" si="6"/>
        <v/>
      </c>
      <c r="N546" s="45" t="str">
        <f t="shared" si="7"/>
        <v/>
      </c>
      <c r="O546" s="45" t="str">
        <f t="shared" si="8"/>
        <v/>
      </c>
      <c r="P546" s="45" t="str">
        <f t="shared" si="9"/>
        <v/>
      </c>
    </row>
    <row r="547" spans="1:16" ht="18">
      <c r="A547" s="92" t="s">
        <v>5044</v>
      </c>
      <c r="B547" s="345">
        <v>2004</v>
      </c>
      <c r="C547" s="92"/>
      <c r="D547" s="345">
        <v>15555475</v>
      </c>
      <c r="E547" s="278" t="str">
        <f t="shared" si="2"/>
        <v>https://pubmed.ncbi.nlm.nih.gov/?term=15555475</v>
      </c>
      <c r="F547" s="28" t="s">
        <v>511</v>
      </c>
      <c r="G547" s="28" t="s">
        <v>4592</v>
      </c>
      <c r="J547" s="346">
        <f t="shared" si="3"/>
        <v>1</v>
      </c>
      <c r="K547" s="28" t="str">
        <f t="shared" si="4"/>
        <v/>
      </c>
      <c r="L547" s="45" t="str">
        <f t="shared" si="5"/>
        <v/>
      </c>
      <c r="M547" s="45" t="str">
        <f t="shared" si="6"/>
        <v/>
      </c>
      <c r="N547" s="45" t="str">
        <f t="shared" si="7"/>
        <v/>
      </c>
      <c r="O547" s="45" t="str">
        <f t="shared" si="8"/>
        <v/>
      </c>
      <c r="P547" s="45" t="str">
        <f t="shared" si="9"/>
        <v/>
      </c>
    </row>
    <row r="548" spans="1:16" ht="18">
      <c r="A548" s="92" t="s">
        <v>5181</v>
      </c>
      <c r="B548" s="345">
        <v>2003</v>
      </c>
      <c r="C548" s="92"/>
      <c r="D548" s="345">
        <v>14583957</v>
      </c>
      <c r="E548" s="278" t="str">
        <f t="shared" si="2"/>
        <v>https://pubmed.ncbi.nlm.nih.gov/?term=14583957</v>
      </c>
      <c r="F548" s="28" t="s">
        <v>511</v>
      </c>
      <c r="G548" s="28" t="s">
        <v>4592</v>
      </c>
      <c r="J548" s="346">
        <f t="shared" si="3"/>
        <v>1</v>
      </c>
      <c r="K548" s="28" t="str">
        <f t="shared" si="4"/>
        <v/>
      </c>
      <c r="L548" s="45" t="str">
        <f t="shared" si="5"/>
        <v/>
      </c>
      <c r="M548" s="45" t="str">
        <f t="shared" si="6"/>
        <v/>
      </c>
      <c r="N548" s="45" t="str">
        <f t="shared" si="7"/>
        <v/>
      </c>
      <c r="O548" s="45" t="str">
        <f t="shared" si="8"/>
        <v/>
      </c>
      <c r="P548" s="45" t="str">
        <f t="shared" si="9"/>
        <v/>
      </c>
    </row>
    <row r="549" spans="1:16" ht="18">
      <c r="A549" s="92" t="s">
        <v>5123</v>
      </c>
      <c r="B549" s="345">
        <v>2004</v>
      </c>
      <c r="C549" s="92"/>
      <c r="D549" s="345">
        <v>15479374</v>
      </c>
      <c r="E549" s="278" t="str">
        <f t="shared" si="2"/>
        <v>https://pubmed.ncbi.nlm.nih.gov/?term=15479374</v>
      </c>
      <c r="F549" s="28" t="s">
        <v>511</v>
      </c>
      <c r="G549" s="28" t="s">
        <v>4592</v>
      </c>
      <c r="J549" s="346">
        <f t="shared" si="3"/>
        <v>1</v>
      </c>
      <c r="K549" s="28" t="str">
        <f t="shared" si="4"/>
        <v/>
      </c>
      <c r="L549" s="45" t="str">
        <f t="shared" si="5"/>
        <v/>
      </c>
      <c r="M549" s="45" t="str">
        <f t="shared" si="6"/>
        <v/>
      </c>
      <c r="N549" s="45" t="str">
        <f t="shared" si="7"/>
        <v/>
      </c>
      <c r="O549" s="45" t="str">
        <f t="shared" si="8"/>
        <v/>
      </c>
      <c r="P549" s="45" t="str">
        <f t="shared" si="9"/>
        <v/>
      </c>
    </row>
    <row r="550" spans="1:16" ht="18">
      <c r="A550" s="92" t="s">
        <v>5182</v>
      </c>
      <c r="B550" s="345">
        <v>2002</v>
      </c>
      <c r="C550" s="92"/>
      <c r="D550" s="345">
        <v>12127863</v>
      </c>
      <c r="E550" s="278" t="str">
        <f t="shared" si="2"/>
        <v>https://pubmed.ncbi.nlm.nih.gov/?term=12127863</v>
      </c>
      <c r="F550" s="28" t="s">
        <v>511</v>
      </c>
      <c r="G550" s="28" t="s">
        <v>4592</v>
      </c>
      <c r="J550" s="346">
        <f t="shared" si="3"/>
        <v>1</v>
      </c>
      <c r="K550" s="28" t="str">
        <f t="shared" si="4"/>
        <v/>
      </c>
      <c r="L550" s="45" t="str">
        <f t="shared" si="5"/>
        <v/>
      </c>
      <c r="M550" s="45" t="str">
        <f t="shared" si="6"/>
        <v/>
      </c>
      <c r="N550" s="45" t="str">
        <f t="shared" si="7"/>
        <v/>
      </c>
      <c r="O550" s="45" t="str">
        <f t="shared" si="8"/>
        <v/>
      </c>
      <c r="P550" s="45" t="str">
        <f t="shared" si="9"/>
        <v/>
      </c>
    </row>
    <row r="551" spans="1:16" ht="18">
      <c r="A551" s="92" t="s">
        <v>5183</v>
      </c>
      <c r="B551" s="345">
        <v>2008</v>
      </c>
      <c r="C551" s="92"/>
      <c r="D551" s="345">
        <v>18714060</v>
      </c>
      <c r="E551" s="278" t="str">
        <f t="shared" si="2"/>
        <v>https://pubmed.ncbi.nlm.nih.gov/?term=18714060</v>
      </c>
      <c r="F551" s="28" t="s">
        <v>511</v>
      </c>
      <c r="G551" s="28" t="s">
        <v>5184</v>
      </c>
      <c r="J551" s="346" t="str">
        <f t="shared" si="3"/>
        <v/>
      </c>
      <c r="K551" s="28" t="str">
        <f t="shared" si="4"/>
        <v/>
      </c>
      <c r="L551" s="45" t="str">
        <f t="shared" si="5"/>
        <v/>
      </c>
      <c r="M551" s="45" t="str">
        <f t="shared" si="6"/>
        <v/>
      </c>
      <c r="N551" s="45">
        <f t="shared" si="7"/>
        <v>1</v>
      </c>
      <c r="O551" s="45" t="str">
        <f t="shared" si="8"/>
        <v/>
      </c>
      <c r="P551" s="45" t="str">
        <f t="shared" si="9"/>
        <v/>
      </c>
    </row>
    <row r="552" spans="1:16" ht="18">
      <c r="A552" s="92" t="s">
        <v>1265</v>
      </c>
      <c r="B552" s="345">
        <v>2009</v>
      </c>
      <c r="C552" s="92"/>
      <c r="D552" s="345">
        <v>19641203</v>
      </c>
      <c r="E552" s="278" t="str">
        <f t="shared" si="2"/>
        <v>https://pubmed.ncbi.nlm.nih.gov/?term=19641203</v>
      </c>
      <c r="H552" s="28" t="s">
        <v>511</v>
      </c>
      <c r="J552" s="346" t="str">
        <f t="shared" si="3"/>
        <v/>
      </c>
      <c r="K552" s="28" t="str">
        <f t="shared" si="4"/>
        <v/>
      </c>
      <c r="L552" s="45" t="str">
        <f t="shared" si="5"/>
        <v/>
      </c>
      <c r="M552" s="45" t="str">
        <f t="shared" si="6"/>
        <v/>
      </c>
      <c r="N552" s="45" t="str">
        <f t="shared" si="7"/>
        <v/>
      </c>
      <c r="O552" s="45" t="str">
        <f t="shared" si="8"/>
        <v/>
      </c>
      <c r="P552" s="45" t="str">
        <f t="shared" si="9"/>
        <v/>
      </c>
    </row>
    <row r="553" spans="1:16" ht="18">
      <c r="A553" s="92" t="s">
        <v>5185</v>
      </c>
      <c r="B553" s="345">
        <v>2007</v>
      </c>
      <c r="C553" s="92"/>
      <c r="D553" s="345">
        <v>18094803</v>
      </c>
      <c r="E553" s="278" t="str">
        <f t="shared" si="2"/>
        <v>https://pubmed.ncbi.nlm.nih.gov/?term=18094803</v>
      </c>
      <c r="F553" s="28" t="s">
        <v>511</v>
      </c>
      <c r="G553" s="28" t="s">
        <v>4346</v>
      </c>
      <c r="J553" s="346" t="str">
        <f t="shared" si="3"/>
        <v/>
      </c>
      <c r="K553" s="28" t="str">
        <f t="shared" si="4"/>
        <v/>
      </c>
      <c r="L553" s="45">
        <f t="shared" si="5"/>
        <v>1</v>
      </c>
      <c r="M553" s="45" t="str">
        <f t="shared" si="6"/>
        <v/>
      </c>
      <c r="N553" s="45" t="str">
        <f t="shared" si="7"/>
        <v/>
      </c>
      <c r="O553" s="45" t="str">
        <f t="shared" si="8"/>
        <v/>
      </c>
      <c r="P553" s="45" t="str">
        <f t="shared" si="9"/>
        <v/>
      </c>
    </row>
    <row r="554" spans="1:16" ht="18">
      <c r="A554" s="92" t="s">
        <v>5186</v>
      </c>
      <c r="B554" s="345">
        <v>2004</v>
      </c>
      <c r="C554" s="92" t="s">
        <v>5187</v>
      </c>
      <c r="D554" s="345">
        <v>15025767</v>
      </c>
      <c r="E554" s="278" t="str">
        <f t="shared" si="2"/>
        <v>https://pubmed.ncbi.nlm.nih.gov/?term=15025767</v>
      </c>
      <c r="F554" s="28" t="s">
        <v>511</v>
      </c>
      <c r="G554" s="28" t="s">
        <v>5188</v>
      </c>
      <c r="J554" s="346">
        <f t="shared" si="3"/>
        <v>1</v>
      </c>
      <c r="K554" s="28" t="str">
        <f t="shared" si="4"/>
        <v/>
      </c>
      <c r="L554" s="45" t="str">
        <f t="shared" si="5"/>
        <v/>
      </c>
      <c r="M554" s="45" t="str">
        <f t="shared" si="6"/>
        <v/>
      </c>
      <c r="N554" s="45" t="str">
        <f t="shared" si="7"/>
        <v/>
      </c>
      <c r="O554" s="45" t="str">
        <f t="shared" si="8"/>
        <v/>
      </c>
      <c r="P554" s="45" t="str">
        <f t="shared" si="9"/>
        <v/>
      </c>
    </row>
    <row r="555" spans="1:16" ht="18">
      <c r="A555" s="92" t="s">
        <v>5189</v>
      </c>
      <c r="B555" s="345">
        <v>2009</v>
      </c>
      <c r="C555" s="92"/>
      <c r="D555" s="345">
        <v>19036570</v>
      </c>
      <c r="E555" s="278" t="str">
        <f t="shared" si="2"/>
        <v>https://pubmed.ncbi.nlm.nih.gov/?term=19036570</v>
      </c>
      <c r="F555" s="28" t="s">
        <v>511</v>
      </c>
      <c r="G555" s="28" t="s">
        <v>5190</v>
      </c>
      <c r="J555" s="346" t="str">
        <f t="shared" si="3"/>
        <v/>
      </c>
      <c r="K555" s="28" t="str">
        <f t="shared" si="4"/>
        <v/>
      </c>
      <c r="L555" s="45" t="str">
        <f t="shared" si="5"/>
        <v/>
      </c>
      <c r="M555" s="45" t="str">
        <f t="shared" si="6"/>
        <v/>
      </c>
      <c r="N555" s="45">
        <f t="shared" si="7"/>
        <v>1</v>
      </c>
      <c r="O555" s="45" t="str">
        <f t="shared" si="8"/>
        <v/>
      </c>
      <c r="P555" s="45" t="str">
        <f t="shared" si="9"/>
        <v/>
      </c>
    </row>
    <row r="556" spans="1:16" ht="18">
      <c r="A556" s="92" t="s">
        <v>5191</v>
      </c>
      <c r="B556" s="345">
        <v>2007</v>
      </c>
      <c r="C556" s="92" t="s">
        <v>5192</v>
      </c>
      <c r="D556" s="345">
        <v>17651479</v>
      </c>
      <c r="E556" s="278" t="str">
        <f t="shared" si="2"/>
        <v>https://pubmed.ncbi.nlm.nih.gov/?term=17651479</v>
      </c>
      <c r="F556" s="28" t="s">
        <v>511</v>
      </c>
      <c r="G556" s="28" t="s">
        <v>4744</v>
      </c>
      <c r="J556" s="346" t="str">
        <f t="shared" si="3"/>
        <v/>
      </c>
      <c r="K556" s="28" t="str">
        <f t="shared" si="4"/>
        <v/>
      </c>
      <c r="L556" s="45" t="str">
        <f t="shared" si="5"/>
        <v/>
      </c>
      <c r="M556" s="45" t="str">
        <f t="shared" si="6"/>
        <v/>
      </c>
      <c r="N556" s="45">
        <f t="shared" si="7"/>
        <v>1</v>
      </c>
      <c r="O556" s="45" t="str">
        <f t="shared" si="8"/>
        <v/>
      </c>
      <c r="P556" s="45" t="str">
        <f t="shared" si="9"/>
        <v/>
      </c>
    </row>
    <row r="557" spans="1:16" ht="18">
      <c r="A557" s="92" t="s">
        <v>5193</v>
      </c>
      <c r="B557" s="345">
        <v>2009</v>
      </c>
      <c r="C557" s="92"/>
      <c r="D557" s="345">
        <v>19770750</v>
      </c>
      <c r="E557" s="278" t="str">
        <f t="shared" si="2"/>
        <v>https://pubmed.ncbi.nlm.nih.gov/?term=19770750</v>
      </c>
      <c r="F557" s="28" t="s">
        <v>511</v>
      </c>
      <c r="G557" s="28" t="s">
        <v>4346</v>
      </c>
      <c r="J557" s="346" t="str">
        <f t="shared" si="3"/>
        <v/>
      </c>
      <c r="K557" s="28" t="str">
        <f t="shared" si="4"/>
        <v/>
      </c>
      <c r="L557" s="45">
        <f t="shared" si="5"/>
        <v>1</v>
      </c>
      <c r="M557" s="45" t="str">
        <f t="shared" si="6"/>
        <v/>
      </c>
      <c r="N557" s="45" t="str">
        <f t="shared" si="7"/>
        <v/>
      </c>
      <c r="O557" s="45" t="str">
        <f t="shared" si="8"/>
        <v/>
      </c>
      <c r="P557" s="45" t="str">
        <f t="shared" si="9"/>
        <v/>
      </c>
    </row>
    <row r="558" spans="1:16" ht="18">
      <c r="A558" s="92" t="s">
        <v>5194</v>
      </c>
      <c r="B558" s="345">
        <v>2009</v>
      </c>
      <c r="C558" s="92" t="s">
        <v>5195</v>
      </c>
      <c r="D558" s="345">
        <v>18981253</v>
      </c>
      <c r="E558" s="278" t="str">
        <f t="shared" si="2"/>
        <v>https://pubmed.ncbi.nlm.nih.gov/?term=18981253</v>
      </c>
      <c r="F558" s="28" t="s">
        <v>511</v>
      </c>
      <c r="G558" s="28" t="s">
        <v>4346</v>
      </c>
      <c r="J558" s="346" t="str">
        <f t="shared" si="3"/>
        <v/>
      </c>
      <c r="K558" s="28" t="str">
        <f t="shared" si="4"/>
        <v/>
      </c>
      <c r="L558" s="45">
        <f t="shared" si="5"/>
        <v>1</v>
      </c>
      <c r="M558" s="45" t="str">
        <f t="shared" si="6"/>
        <v/>
      </c>
      <c r="N558" s="45" t="str">
        <f t="shared" si="7"/>
        <v/>
      </c>
      <c r="O558" s="45" t="str">
        <f t="shared" si="8"/>
        <v/>
      </c>
      <c r="P558" s="45" t="str">
        <f t="shared" si="9"/>
        <v/>
      </c>
    </row>
    <row r="559" spans="1:16" ht="18">
      <c r="A559" s="92" t="s">
        <v>5196</v>
      </c>
      <c r="B559" s="345">
        <v>2008</v>
      </c>
      <c r="C559" s="92"/>
      <c r="D559" s="345">
        <v>17311056</v>
      </c>
      <c r="E559" s="278" t="str">
        <f t="shared" si="2"/>
        <v>https://pubmed.ncbi.nlm.nih.gov/?term=17311056</v>
      </c>
      <c r="F559" s="28" t="s">
        <v>511</v>
      </c>
      <c r="G559" s="28" t="s">
        <v>5197</v>
      </c>
      <c r="J559" s="346" t="str">
        <f t="shared" si="3"/>
        <v/>
      </c>
      <c r="K559" s="28" t="str">
        <f t="shared" si="4"/>
        <v/>
      </c>
      <c r="L559" s="45" t="str">
        <f t="shared" si="5"/>
        <v/>
      </c>
      <c r="M559" s="45" t="str">
        <f t="shared" si="6"/>
        <v/>
      </c>
      <c r="N559" s="45">
        <f t="shared" si="7"/>
        <v>1</v>
      </c>
      <c r="O559" s="45" t="str">
        <f t="shared" si="8"/>
        <v/>
      </c>
      <c r="P559" s="45" t="str">
        <f t="shared" si="9"/>
        <v/>
      </c>
    </row>
    <row r="560" spans="1:16" ht="18">
      <c r="A560" s="92" t="s">
        <v>5198</v>
      </c>
      <c r="B560" s="345">
        <v>2003</v>
      </c>
      <c r="C560" s="92"/>
      <c r="D560" s="345">
        <v>12888986</v>
      </c>
      <c r="E560" s="278" t="str">
        <f t="shared" si="2"/>
        <v>https://pubmed.ncbi.nlm.nih.gov/?term=12888986</v>
      </c>
      <c r="F560" s="28" t="s">
        <v>511</v>
      </c>
      <c r="G560" s="28" t="s">
        <v>5199</v>
      </c>
      <c r="J560" s="346" t="str">
        <f t="shared" si="3"/>
        <v/>
      </c>
      <c r="K560" s="28" t="str">
        <f t="shared" si="4"/>
        <v/>
      </c>
      <c r="L560" s="45" t="str">
        <f t="shared" si="5"/>
        <v/>
      </c>
      <c r="M560" s="45" t="str">
        <f t="shared" si="6"/>
        <v/>
      </c>
      <c r="N560" s="45">
        <f t="shared" si="7"/>
        <v>1</v>
      </c>
      <c r="O560" s="45" t="str">
        <f t="shared" si="8"/>
        <v/>
      </c>
      <c r="P560" s="45" t="str">
        <f t="shared" si="9"/>
        <v/>
      </c>
    </row>
    <row r="561" spans="1:16" ht="18">
      <c r="A561" s="92" t="s">
        <v>5200</v>
      </c>
      <c r="B561" s="345">
        <v>2005</v>
      </c>
      <c r="C561" s="92"/>
      <c r="D561" s="345">
        <v>16101105</v>
      </c>
      <c r="E561" s="278" t="str">
        <f t="shared" si="2"/>
        <v>https://pubmed.ncbi.nlm.nih.gov/?term=16101105</v>
      </c>
      <c r="F561" s="28" t="s">
        <v>511</v>
      </c>
      <c r="G561" s="28" t="s">
        <v>4592</v>
      </c>
      <c r="J561" s="346">
        <f t="shared" si="3"/>
        <v>1</v>
      </c>
      <c r="K561" s="28" t="str">
        <f t="shared" si="4"/>
        <v/>
      </c>
      <c r="L561" s="45" t="str">
        <f t="shared" si="5"/>
        <v/>
      </c>
      <c r="M561" s="45" t="str">
        <f t="shared" si="6"/>
        <v/>
      </c>
      <c r="N561" s="45" t="str">
        <f t="shared" si="7"/>
        <v/>
      </c>
      <c r="O561" s="45" t="str">
        <f t="shared" si="8"/>
        <v/>
      </c>
      <c r="P561" s="45" t="str">
        <f t="shared" si="9"/>
        <v/>
      </c>
    </row>
    <row r="562" spans="1:16" ht="18">
      <c r="A562" s="92" t="s">
        <v>5201</v>
      </c>
      <c r="B562" s="345">
        <v>2011</v>
      </c>
      <c r="C562" s="92"/>
      <c r="D562" s="345">
        <v>20723147</v>
      </c>
      <c r="E562" s="278" t="str">
        <f t="shared" si="2"/>
        <v>https://pubmed.ncbi.nlm.nih.gov/?term=20723147</v>
      </c>
      <c r="F562" s="28" t="s">
        <v>511</v>
      </c>
      <c r="G562" s="28" t="s">
        <v>4346</v>
      </c>
      <c r="J562" s="346" t="str">
        <f t="shared" si="3"/>
        <v/>
      </c>
      <c r="K562" s="28" t="str">
        <f t="shared" si="4"/>
        <v/>
      </c>
      <c r="L562" s="45">
        <f t="shared" si="5"/>
        <v>1</v>
      </c>
      <c r="M562" s="45" t="str">
        <f t="shared" si="6"/>
        <v/>
      </c>
      <c r="N562" s="45" t="str">
        <f t="shared" si="7"/>
        <v/>
      </c>
      <c r="O562" s="45" t="str">
        <f t="shared" si="8"/>
        <v/>
      </c>
      <c r="P562" s="45" t="str">
        <f t="shared" si="9"/>
        <v/>
      </c>
    </row>
    <row r="563" spans="1:16" ht="18">
      <c r="A563" s="92" t="s">
        <v>5202</v>
      </c>
      <c r="B563" s="345">
        <v>2004</v>
      </c>
      <c r="C563" s="92"/>
      <c r="D563" s="345">
        <v>15577578</v>
      </c>
      <c r="E563" s="278" t="str">
        <f t="shared" si="2"/>
        <v>https://pubmed.ncbi.nlm.nih.gov/?term=15577578</v>
      </c>
      <c r="F563" s="28" t="s">
        <v>511</v>
      </c>
      <c r="G563" s="28" t="s">
        <v>4592</v>
      </c>
      <c r="J563" s="346">
        <f t="shared" si="3"/>
        <v>1</v>
      </c>
      <c r="K563" s="28" t="str">
        <f t="shared" si="4"/>
        <v/>
      </c>
      <c r="L563" s="45" t="str">
        <f t="shared" si="5"/>
        <v/>
      </c>
      <c r="M563" s="45" t="str">
        <f t="shared" si="6"/>
        <v/>
      </c>
      <c r="N563" s="45" t="str">
        <f t="shared" si="7"/>
        <v/>
      </c>
      <c r="O563" s="45" t="str">
        <f t="shared" si="8"/>
        <v/>
      </c>
      <c r="P563" s="45" t="str">
        <f t="shared" si="9"/>
        <v/>
      </c>
    </row>
    <row r="564" spans="1:16" ht="18">
      <c r="A564" s="92" t="s">
        <v>5203</v>
      </c>
      <c r="B564" s="345">
        <v>2009</v>
      </c>
      <c r="C564" s="92"/>
      <c r="D564" s="345">
        <v>19124087</v>
      </c>
      <c r="E564" s="278" t="str">
        <f t="shared" si="2"/>
        <v>https://pubmed.ncbi.nlm.nih.gov/?term=19124087</v>
      </c>
      <c r="F564" s="28" t="s">
        <v>511</v>
      </c>
      <c r="G564" s="28" t="s">
        <v>4346</v>
      </c>
      <c r="J564" s="346" t="str">
        <f t="shared" si="3"/>
        <v/>
      </c>
      <c r="K564" s="28" t="str">
        <f t="shared" si="4"/>
        <v/>
      </c>
      <c r="L564" s="45">
        <f t="shared" si="5"/>
        <v>1</v>
      </c>
      <c r="M564" s="45" t="str">
        <f t="shared" si="6"/>
        <v/>
      </c>
      <c r="N564" s="45" t="str">
        <f t="shared" si="7"/>
        <v/>
      </c>
      <c r="O564" s="45" t="str">
        <f t="shared" si="8"/>
        <v/>
      </c>
      <c r="P564" s="45" t="str">
        <f t="shared" si="9"/>
        <v/>
      </c>
    </row>
    <row r="565" spans="1:16" ht="18">
      <c r="A565" s="92" t="s">
        <v>5204</v>
      </c>
      <c r="B565" s="345">
        <v>2009</v>
      </c>
      <c r="C565" s="92" t="s">
        <v>5205</v>
      </c>
      <c r="D565" s="345">
        <v>19409533</v>
      </c>
      <c r="E565" s="278" t="str">
        <f t="shared" si="2"/>
        <v>https://pubmed.ncbi.nlm.nih.gov/?term=19409533</v>
      </c>
      <c r="F565" s="28" t="s">
        <v>511</v>
      </c>
      <c r="G565" s="28" t="s">
        <v>5206</v>
      </c>
      <c r="J565" s="346" t="str">
        <f t="shared" si="3"/>
        <v/>
      </c>
      <c r="K565" s="28" t="str">
        <f t="shared" si="4"/>
        <v/>
      </c>
      <c r="L565" s="45" t="str">
        <f t="shared" si="5"/>
        <v/>
      </c>
      <c r="M565" s="45" t="str">
        <f t="shared" si="6"/>
        <v/>
      </c>
      <c r="N565" s="45">
        <f t="shared" si="7"/>
        <v>1</v>
      </c>
      <c r="O565" s="45" t="str">
        <f t="shared" si="8"/>
        <v/>
      </c>
      <c r="P565" s="45" t="str">
        <f t="shared" si="9"/>
        <v/>
      </c>
    </row>
    <row r="566" spans="1:16" ht="18">
      <c r="A566" s="92" t="s">
        <v>5207</v>
      </c>
      <c r="B566" s="345">
        <v>2010</v>
      </c>
      <c r="C566" s="92" t="s">
        <v>5208</v>
      </c>
      <c r="D566" s="345">
        <v>21179538</v>
      </c>
      <c r="E566" s="278" t="str">
        <f t="shared" si="2"/>
        <v>https://pubmed.ncbi.nlm.nih.gov/?term=21179538</v>
      </c>
      <c r="F566" s="28" t="s">
        <v>511</v>
      </c>
      <c r="G566" s="28" t="s">
        <v>4346</v>
      </c>
      <c r="J566" s="346" t="str">
        <f t="shared" si="3"/>
        <v/>
      </c>
      <c r="K566" s="28" t="str">
        <f t="shared" si="4"/>
        <v/>
      </c>
      <c r="L566" s="45">
        <f t="shared" si="5"/>
        <v>1</v>
      </c>
      <c r="M566" s="45" t="str">
        <f t="shared" si="6"/>
        <v/>
      </c>
      <c r="N566" s="45" t="str">
        <f t="shared" si="7"/>
        <v/>
      </c>
      <c r="O566" s="45" t="str">
        <f t="shared" si="8"/>
        <v/>
      </c>
      <c r="P566" s="45" t="str">
        <f t="shared" si="9"/>
        <v/>
      </c>
    </row>
    <row r="567" spans="1:16" ht="18">
      <c r="A567" s="92" t="s">
        <v>4732</v>
      </c>
      <c r="B567" s="345">
        <v>2000</v>
      </c>
      <c r="C567" s="92"/>
      <c r="D567" s="345">
        <v>10773116</v>
      </c>
      <c r="E567" s="278" t="str">
        <f t="shared" si="2"/>
        <v>https://pubmed.ncbi.nlm.nih.gov/?term=10773116</v>
      </c>
      <c r="F567" s="28" t="s">
        <v>511</v>
      </c>
      <c r="G567" s="28" t="s">
        <v>4592</v>
      </c>
      <c r="J567" s="346">
        <f t="shared" si="3"/>
        <v>1</v>
      </c>
      <c r="K567" s="28" t="str">
        <f t="shared" si="4"/>
        <v/>
      </c>
      <c r="L567" s="45" t="str">
        <f t="shared" si="5"/>
        <v/>
      </c>
      <c r="M567" s="45" t="str">
        <f t="shared" si="6"/>
        <v/>
      </c>
      <c r="N567" s="45" t="str">
        <f t="shared" si="7"/>
        <v/>
      </c>
      <c r="O567" s="45" t="str">
        <f t="shared" si="8"/>
        <v/>
      </c>
      <c r="P567" s="45" t="str">
        <f t="shared" si="9"/>
        <v/>
      </c>
    </row>
    <row r="568" spans="1:16" ht="18">
      <c r="A568" s="92" t="s">
        <v>5209</v>
      </c>
      <c r="B568" s="345">
        <v>2004</v>
      </c>
      <c r="C568" s="92"/>
      <c r="D568" s="345">
        <v>15027996</v>
      </c>
      <c r="E568" s="278" t="str">
        <f t="shared" si="2"/>
        <v>https://pubmed.ncbi.nlm.nih.gov/?term=15027996</v>
      </c>
      <c r="F568" s="28" t="s">
        <v>511</v>
      </c>
      <c r="G568" s="28" t="s">
        <v>5210</v>
      </c>
      <c r="J568" s="346" t="str">
        <f t="shared" si="3"/>
        <v/>
      </c>
      <c r="K568" s="28" t="str">
        <f t="shared" si="4"/>
        <v/>
      </c>
      <c r="L568" s="45" t="str">
        <f t="shared" si="5"/>
        <v/>
      </c>
      <c r="M568" s="45" t="str">
        <f t="shared" si="6"/>
        <v/>
      </c>
      <c r="N568" s="45">
        <f t="shared" si="7"/>
        <v>1</v>
      </c>
      <c r="O568" s="45" t="str">
        <f t="shared" si="8"/>
        <v/>
      </c>
      <c r="P568" s="45" t="str">
        <f t="shared" si="9"/>
        <v/>
      </c>
    </row>
    <row r="569" spans="1:16" ht="18">
      <c r="A569" s="92" t="s">
        <v>5211</v>
      </c>
      <c r="B569" s="345">
        <v>2010</v>
      </c>
      <c r="C569" s="92"/>
      <c r="D569" s="345">
        <v>19818365</v>
      </c>
      <c r="E569" s="278" t="str">
        <f t="shared" si="2"/>
        <v>https://pubmed.ncbi.nlm.nih.gov/?term=19818365</v>
      </c>
      <c r="F569" s="28" t="s">
        <v>511</v>
      </c>
      <c r="G569" s="28" t="s">
        <v>5210</v>
      </c>
      <c r="J569" s="346" t="str">
        <f t="shared" si="3"/>
        <v/>
      </c>
      <c r="K569" s="28" t="str">
        <f t="shared" si="4"/>
        <v/>
      </c>
      <c r="L569" s="45" t="str">
        <f t="shared" si="5"/>
        <v/>
      </c>
      <c r="M569" s="45" t="str">
        <f t="shared" si="6"/>
        <v/>
      </c>
      <c r="N569" s="45">
        <f t="shared" si="7"/>
        <v>1</v>
      </c>
      <c r="O569" s="45" t="str">
        <f t="shared" si="8"/>
        <v/>
      </c>
      <c r="P569" s="45" t="str">
        <f t="shared" si="9"/>
        <v/>
      </c>
    </row>
    <row r="570" spans="1:16" ht="18">
      <c r="A570" s="92" t="s">
        <v>5212</v>
      </c>
      <c r="B570" s="345">
        <v>2010</v>
      </c>
      <c r="C570" s="92" t="s">
        <v>5213</v>
      </c>
      <c r="D570" s="345">
        <v>20720211</v>
      </c>
      <c r="E570" s="278" t="str">
        <f t="shared" si="2"/>
        <v>https://pubmed.ncbi.nlm.nih.gov/?term=20720211</v>
      </c>
      <c r="F570" s="28" t="s">
        <v>511</v>
      </c>
      <c r="G570" s="28" t="s">
        <v>4346</v>
      </c>
      <c r="J570" s="346" t="str">
        <f t="shared" si="3"/>
        <v/>
      </c>
      <c r="K570" s="28" t="str">
        <f t="shared" si="4"/>
        <v/>
      </c>
      <c r="L570" s="45">
        <f t="shared" si="5"/>
        <v>1</v>
      </c>
      <c r="M570" s="45" t="str">
        <f t="shared" si="6"/>
        <v/>
      </c>
      <c r="N570" s="45" t="str">
        <f t="shared" si="7"/>
        <v/>
      </c>
      <c r="O570" s="45" t="str">
        <f t="shared" si="8"/>
        <v/>
      </c>
      <c r="P570" s="45" t="str">
        <f t="shared" si="9"/>
        <v/>
      </c>
    </row>
    <row r="571" spans="1:16" ht="18">
      <c r="A571" s="92" t="s">
        <v>5214</v>
      </c>
      <c r="B571" s="345">
        <v>2005</v>
      </c>
      <c r="C571" s="92" t="s">
        <v>5215</v>
      </c>
      <c r="D571" s="345">
        <v>15971954</v>
      </c>
      <c r="E571" s="278" t="str">
        <f t="shared" si="2"/>
        <v>https://pubmed.ncbi.nlm.nih.gov/?term=15971954</v>
      </c>
      <c r="F571" s="28" t="s">
        <v>511</v>
      </c>
      <c r="G571" s="28" t="s">
        <v>4346</v>
      </c>
      <c r="J571" s="346" t="str">
        <f t="shared" si="3"/>
        <v/>
      </c>
      <c r="K571" s="28" t="str">
        <f t="shared" si="4"/>
        <v/>
      </c>
      <c r="L571" s="45">
        <f t="shared" si="5"/>
        <v>1</v>
      </c>
      <c r="M571" s="45" t="str">
        <f t="shared" si="6"/>
        <v/>
      </c>
      <c r="N571" s="45" t="str">
        <f t="shared" si="7"/>
        <v/>
      </c>
      <c r="O571" s="45" t="str">
        <f t="shared" si="8"/>
        <v/>
      </c>
      <c r="P571" s="45" t="str">
        <f t="shared" si="9"/>
        <v/>
      </c>
    </row>
    <row r="572" spans="1:16" ht="18">
      <c r="A572" s="92" t="s">
        <v>5216</v>
      </c>
      <c r="B572" s="345">
        <v>2008</v>
      </c>
      <c r="C572" s="92"/>
      <c r="D572" s="345">
        <v>19013336</v>
      </c>
      <c r="E572" s="278" t="str">
        <f t="shared" si="2"/>
        <v>https://pubmed.ncbi.nlm.nih.gov/?term=19013336</v>
      </c>
      <c r="F572" s="28" t="s">
        <v>511</v>
      </c>
      <c r="G572" s="28" t="s">
        <v>4592</v>
      </c>
      <c r="J572" s="346">
        <f t="shared" si="3"/>
        <v>1</v>
      </c>
      <c r="K572" s="28" t="str">
        <f t="shared" si="4"/>
        <v/>
      </c>
      <c r="L572" s="45" t="str">
        <f t="shared" si="5"/>
        <v/>
      </c>
      <c r="M572" s="45" t="str">
        <f t="shared" si="6"/>
        <v/>
      </c>
      <c r="N572" s="45" t="str">
        <f t="shared" si="7"/>
        <v/>
      </c>
      <c r="O572" s="45" t="str">
        <f t="shared" si="8"/>
        <v/>
      </c>
      <c r="P572" s="45" t="str">
        <f t="shared" si="9"/>
        <v/>
      </c>
    </row>
    <row r="573" spans="1:16" ht="18">
      <c r="A573" s="92" t="s">
        <v>2289</v>
      </c>
      <c r="B573" s="345">
        <v>2004</v>
      </c>
      <c r="C573" s="92" t="s">
        <v>5217</v>
      </c>
      <c r="D573" s="345">
        <v>15156472</v>
      </c>
      <c r="E573" s="278" t="str">
        <f t="shared" si="2"/>
        <v>https://pubmed.ncbi.nlm.nih.gov/?term=15156472</v>
      </c>
      <c r="H573" s="28" t="s">
        <v>511</v>
      </c>
      <c r="J573" s="346" t="str">
        <f t="shared" si="3"/>
        <v/>
      </c>
      <c r="K573" s="28" t="str">
        <f t="shared" si="4"/>
        <v/>
      </c>
      <c r="L573" s="45" t="str">
        <f t="shared" si="5"/>
        <v/>
      </c>
      <c r="M573" s="45" t="str">
        <f t="shared" si="6"/>
        <v/>
      </c>
      <c r="N573" s="45" t="str">
        <f t="shared" si="7"/>
        <v/>
      </c>
      <c r="O573" s="45" t="str">
        <f t="shared" si="8"/>
        <v/>
      </c>
      <c r="P573" s="45" t="str">
        <f t="shared" si="9"/>
        <v/>
      </c>
    </row>
    <row r="574" spans="1:16" ht="18">
      <c r="A574" s="92" t="s">
        <v>5218</v>
      </c>
      <c r="B574" s="345">
        <v>2010</v>
      </c>
      <c r="C574" s="92"/>
      <c r="D574" s="345">
        <v>20658486</v>
      </c>
      <c r="E574" s="278" t="str">
        <f t="shared" si="2"/>
        <v>https://pubmed.ncbi.nlm.nih.gov/?term=20658486</v>
      </c>
      <c r="F574" s="28" t="s">
        <v>511</v>
      </c>
      <c r="G574" s="28" t="s">
        <v>4346</v>
      </c>
      <c r="J574" s="346" t="str">
        <f t="shared" si="3"/>
        <v/>
      </c>
      <c r="K574" s="28" t="str">
        <f t="shared" si="4"/>
        <v/>
      </c>
      <c r="L574" s="45">
        <f t="shared" si="5"/>
        <v>1</v>
      </c>
      <c r="M574" s="45" t="str">
        <f t="shared" si="6"/>
        <v/>
      </c>
      <c r="N574" s="45" t="str">
        <f t="shared" si="7"/>
        <v/>
      </c>
      <c r="O574" s="45" t="str">
        <f t="shared" si="8"/>
        <v/>
      </c>
      <c r="P574" s="45" t="str">
        <f t="shared" si="9"/>
        <v/>
      </c>
    </row>
    <row r="575" spans="1:16" ht="18">
      <c r="A575" s="92" t="s">
        <v>5219</v>
      </c>
      <c r="B575" s="345">
        <v>2002</v>
      </c>
      <c r="C575" s="92"/>
      <c r="D575" s="345">
        <v>11928904</v>
      </c>
      <c r="E575" s="278" t="str">
        <f t="shared" si="2"/>
        <v>https://pubmed.ncbi.nlm.nih.gov/?term=11928904</v>
      </c>
      <c r="F575" s="28" t="s">
        <v>511</v>
      </c>
      <c r="G575" s="28" t="s">
        <v>4346</v>
      </c>
      <c r="J575" s="346" t="str">
        <f t="shared" si="3"/>
        <v/>
      </c>
      <c r="K575" s="28" t="str">
        <f t="shared" si="4"/>
        <v/>
      </c>
      <c r="L575" s="45">
        <f t="shared" si="5"/>
        <v>1</v>
      </c>
      <c r="M575" s="45" t="str">
        <f t="shared" si="6"/>
        <v/>
      </c>
      <c r="N575" s="45" t="str">
        <f t="shared" si="7"/>
        <v/>
      </c>
      <c r="O575" s="45" t="str">
        <f t="shared" si="8"/>
        <v/>
      </c>
      <c r="P575" s="45" t="str">
        <f t="shared" si="9"/>
        <v/>
      </c>
    </row>
    <row r="576" spans="1:16" ht="18">
      <c r="A576" s="92" t="s">
        <v>5220</v>
      </c>
      <c r="B576" s="345">
        <v>2010</v>
      </c>
      <c r="C576" s="92"/>
      <c r="D576" s="345">
        <v>20855659</v>
      </c>
      <c r="E576" s="278" t="str">
        <f t="shared" si="2"/>
        <v>https://pubmed.ncbi.nlm.nih.gov/?term=20855659</v>
      </c>
      <c r="F576" s="28" t="s">
        <v>511</v>
      </c>
      <c r="G576" s="28" t="s">
        <v>4346</v>
      </c>
      <c r="J576" s="346" t="str">
        <f t="shared" si="3"/>
        <v/>
      </c>
      <c r="K576" s="28" t="str">
        <f t="shared" si="4"/>
        <v/>
      </c>
      <c r="L576" s="45">
        <f t="shared" si="5"/>
        <v>1</v>
      </c>
      <c r="M576" s="45" t="str">
        <f t="shared" si="6"/>
        <v/>
      </c>
      <c r="N576" s="45" t="str">
        <f t="shared" si="7"/>
        <v/>
      </c>
      <c r="O576" s="45" t="str">
        <f t="shared" si="8"/>
        <v/>
      </c>
      <c r="P576" s="45" t="str">
        <f t="shared" si="9"/>
        <v/>
      </c>
    </row>
    <row r="577" spans="1:16" ht="18">
      <c r="A577" s="92" t="s">
        <v>5221</v>
      </c>
      <c r="B577" s="345">
        <v>2007</v>
      </c>
      <c r="C577" s="92"/>
      <c r="D577" s="345">
        <v>16997473</v>
      </c>
      <c r="E577" s="278" t="str">
        <f t="shared" si="2"/>
        <v>https://pubmed.ncbi.nlm.nih.gov/?term=16997473</v>
      </c>
      <c r="F577" s="28" t="s">
        <v>511</v>
      </c>
      <c r="G577" s="28" t="s">
        <v>4346</v>
      </c>
      <c r="J577" s="346" t="str">
        <f t="shared" si="3"/>
        <v/>
      </c>
      <c r="K577" s="28" t="str">
        <f t="shared" si="4"/>
        <v/>
      </c>
      <c r="L577" s="45">
        <f t="shared" si="5"/>
        <v>1</v>
      </c>
      <c r="M577" s="45" t="str">
        <f t="shared" si="6"/>
        <v/>
      </c>
      <c r="N577" s="45" t="str">
        <f t="shared" si="7"/>
        <v/>
      </c>
      <c r="O577" s="45" t="str">
        <f t="shared" si="8"/>
        <v/>
      </c>
      <c r="P577" s="45" t="str">
        <f t="shared" si="9"/>
        <v/>
      </c>
    </row>
    <row r="578" spans="1:16" ht="18">
      <c r="A578" s="92" t="s">
        <v>5222</v>
      </c>
      <c r="B578" s="345">
        <v>2006</v>
      </c>
      <c r="C578" s="92" t="s">
        <v>5223</v>
      </c>
      <c r="D578" s="345">
        <v>16605302</v>
      </c>
      <c r="E578" s="278" t="str">
        <f t="shared" si="2"/>
        <v>https://pubmed.ncbi.nlm.nih.gov/?term=16605302</v>
      </c>
      <c r="F578" s="28" t="s">
        <v>511</v>
      </c>
      <c r="G578" s="28" t="s">
        <v>4346</v>
      </c>
      <c r="J578" s="346" t="str">
        <f t="shared" si="3"/>
        <v/>
      </c>
      <c r="K578" s="28" t="str">
        <f t="shared" si="4"/>
        <v/>
      </c>
      <c r="L578" s="45">
        <f t="shared" si="5"/>
        <v>1</v>
      </c>
      <c r="M578" s="45" t="str">
        <f t="shared" si="6"/>
        <v/>
      </c>
      <c r="N578" s="45" t="str">
        <f t="shared" si="7"/>
        <v/>
      </c>
      <c r="O578" s="45" t="str">
        <f t="shared" si="8"/>
        <v/>
      </c>
      <c r="P578" s="45" t="str">
        <f t="shared" si="9"/>
        <v/>
      </c>
    </row>
    <row r="579" spans="1:16" ht="18">
      <c r="A579" s="92" t="s">
        <v>2142</v>
      </c>
      <c r="B579" s="345">
        <v>2001</v>
      </c>
      <c r="C579" s="92"/>
      <c r="D579" s="345">
        <v>11343523</v>
      </c>
      <c r="E579" s="278" t="str">
        <f t="shared" si="2"/>
        <v>https://pubmed.ncbi.nlm.nih.gov/?term=11343523</v>
      </c>
      <c r="H579" s="28" t="s">
        <v>511</v>
      </c>
      <c r="J579" s="346" t="str">
        <f t="shared" si="3"/>
        <v/>
      </c>
      <c r="K579" s="28" t="str">
        <f t="shared" si="4"/>
        <v/>
      </c>
      <c r="L579" s="45" t="str">
        <f t="shared" si="5"/>
        <v/>
      </c>
      <c r="M579" s="45" t="str">
        <f t="shared" si="6"/>
        <v/>
      </c>
      <c r="N579" s="45" t="str">
        <f t="shared" si="7"/>
        <v/>
      </c>
      <c r="O579" s="45" t="str">
        <f t="shared" si="8"/>
        <v/>
      </c>
      <c r="P579" s="45" t="str">
        <f t="shared" si="9"/>
        <v/>
      </c>
    </row>
    <row r="580" spans="1:16" ht="18">
      <c r="A580" s="92" t="s">
        <v>2354</v>
      </c>
      <c r="B580" s="345">
        <v>2010</v>
      </c>
      <c r="C580" s="92" t="s">
        <v>5224</v>
      </c>
      <c r="D580" s="345">
        <v>20086085</v>
      </c>
      <c r="E580" s="278" t="str">
        <f t="shared" si="2"/>
        <v>https://pubmed.ncbi.nlm.nih.gov/?term=20086085</v>
      </c>
      <c r="H580" s="28" t="s">
        <v>511</v>
      </c>
      <c r="J580" s="346" t="str">
        <f t="shared" si="3"/>
        <v/>
      </c>
      <c r="K580" s="28" t="str">
        <f t="shared" si="4"/>
        <v/>
      </c>
      <c r="L580" s="45" t="str">
        <f t="shared" si="5"/>
        <v/>
      </c>
      <c r="M580" s="45" t="str">
        <f t="shared" si="6"/>
        <v/>
      </c>
      <c r="N580" s="45" t="str">
        <f t="shared" si="7"/>
        <v/>
      </c>
      <c r="O580" s="45" t="str">
        <f t="shared" si="8"/>
        <v/>
      </c>
      <c r="P580" s="45" t="str">
        <f t="shared" si="9"/>
        <v/>
      </c>
    </row>
    <row r="581" spans="1:16" ht="18">
      <c r="A581" s="92" t="s">
        <v>5225</v>
      </c>
      <c r="B581" s="345">
        <v>2010</v>
      </c>
      <c r="C581" s="92" t="s">
        <v>5226</v>
      </c>
      <c r="D581" s="345">
        <v>20673363</v>
      </c>
      <c r="E581" s="278" t="str">
        <f t="shared" si="2"/>
        <v>https://pubmed.ncbi.nlm.nih.gov/?term=20673363</v>
      </c>
      <c r="F581" s="28" t="s">
        <v>511</v>
      </c>
      <c r="G581" s="28" t="s">
        <v>4346</v>
      </c>
      <c r="J581" s="346" t="str">
        <f t="shared" si="3"/>
        <v/>
      </c>
      <c r="K581" s="28" t="str">
        <f t="shared" si="4"/>
        <v/>
      </c>
      <c r="L581" s="45">
        <f t="shared" si="5"/>
        <v>1</v>
      </c>
      <c r="M581" s="45" t="str">
        <f t="shared" si="6"/>
        <v/>
      </c>
      <c r="N581" s="45" t="str">
        <f t="shared" si="7"/>
        <v/>
      </c>
      <c r="O581" s="45" t="str">
        <f t="shared" si="8"/>
        <v/>
      </c>
      <c r="P581" s="45" t="str">
        <f t="shared" si="9"/>
        <v/>
      </c>
    </row>
    <row r="582" spans="1:16" ht="18">
      <c r="A582" s="92" t="s">
        <v>5155</v>
      </c>
      <c r="B582" s="345">
        <v>2007</v>
      </c>
      <c r="C582" s="92" t="s">
        <v>5227</v>
      </c>
      <c r="D582" s="345">
        <v>17636596</v>
      </c>
      <c r="E582" s="278" t="str">
        <f t="shared" si="2"/>
        <v>https://pubmed.ncbi.nlm.nih.gov/?term=17636596</v>
      </c>
      <c r="F582" s="28" t="s">
        <v>511</v>
      </c>
      <c r="G582" s="28" t="s">
        <v>4592</v>
      </c>
      <c r="J582" s="346">
        <f t="shared" si="3"/>
        <v>1</v>
      </c>
      <c r="K582" s="28" t="str">
        <f t="shared" si="4"/>
        <v/>
      </c>
      <c r="L582" s="45" t="str">
        <f t="shared" si="5"/>
        <v/>
      </c>
      <c r="M582" s="45" t="str">
        <f t="shared" si="6"/>
        <v/>
      </c>
      <c r="N582" s="45" t="str">
        <f t="shared" si="7"/>
        <v/>
      </c>
      <c r="O582" s="45" t="str">
        <f t="shared" si="8"/>
        <v/>
      </c>
      <c r="P582" s="45" t="str">
        <f t="shared" si="9"/>
        <v/>
      </c>
    </row>
    <row r="583" spans="1:16" ht="18">
      <c r="A583" s="92" t="s">
        <v>5228</v>
      </c>
      <c r="B583" s="345">
        <v>2009</v>
      </c>
      <c r="C583" s="92" t="s">
        <v>5229</v>
      </c>
      <c r="D583" s="345">
        <v>19301588</v>
      </c>
      <c r="E583" s="278" t="str">
        <f t="shared" si="2"/>
        <v>https://pubmed.ncbi.nlm.nih.gov/?term=19301588</v>
      </c>
      <c r="F583" s="28" t="s">
        <v>511</v>
      </c>
      <c r="G583" s="28" t="s">
        <v>4346</v>
      </c>
      <c r="J583" s="346" t="str">
        <f t="shared" si="3"/>
        <v/>
      </c>
      <c r="K583" s="28" t="str">
        <f t="shared" si="4"/>
        <v/>
      </c>
      <c r="L583" s="45">
        <f t="shared" si="5"/>
        <v>1</v>
      </c>
      <c r="M583" s="45" t="str">
        <f t="shared" si="6"/>
        <v/>
      </c>
      <c r="N583" s="45" t="str">
        <f t="shared" si="7"/>
        <v/>
      </c>
      <c r="O583" s="45" t="str">
        <f t="shared" si="8"/>
        <v/>
      </c>
      <c r="P583" s="45" t="str">
        <f t="shared" si="9"/>
        <v/>
      </c>
    </row>
    <row r="584" spans="1:16" ht="18">
      <c r="A584" s="92" t="s">
        <v>5186</v>
      </c>
      <c r="B584" s="345">
        <v>2008</v>
      </c>
      <c r="C584" s="92"/>
      <c r="D584" s="345">
        <v>18956286</v>
      </c>
      <c r="E584" s="278" t="str">
        <f t="shared" si="2"/>
        <v>https://pubmed.ncbi.nlm.nih.gov/?term=18956286</v>
      </c>
      <c r="F584" s="28" t="s">
        <v>511</v>
      </c>
      <c r="G584" s="28" t="s">
        <v>4592</v>
      </c>
      <c r="J584" s="346">
        <f t="shared" si="3"/>
        <v>1</v>
      </c>
      <c r="K584" s="28" t="str">
        <f t="shared" si="4"/>
        <v/>
      </c>
      <c r="L584" s="45" t="str">
        <f t="shared" si="5"/>
        <v/>
      </c>
      <c r="M584" s="45" t="str">
        <f t="shared" si="6"/>
        <v/>
      </c>
      <c r="N584" s="45" t="str">
        <f t="shared" si="7"/>
        <v/>
      </c>
      <c r="O584" s="45" t="str">
        <f t="shared" si="8"/>
        <v/>
      </c>
      <c r="P584" s="45" t="str">
        <f t="shared" si="9"/>
        <v/>
      </c>
    </row>
    <row r="585" spans="1:16" ht="18">
      <c r="A585" s="92" t="s">
        <v>5230</v>
      </c>
      <c r="B585" s="345">
        <v>2010</v>
      </c>
      <c r="C585" s="92"/>
      <c r="D585" s="345">
        <v>20196950</v>
      </c>
      <c r="E585" s="278" t="str">
        <f t="shared" si="2"/>
        <v>https://pubmed.ncbi.nlm.nih.gov/?term=20196950</v>
      </c>
      <c r="F585" s="28" t="s">
        <v>511</v>
      </c>
      <c r="G585" s="28" t="s">
        <v>4587</v>
      </c>
      <c r="J585" s="346" t="str">
        <f t="shared" si="3"/>
        <v/>
      </c>
      <c r="K585" s="28" t="str">
        <f t="shared" si="4"/>
        <v/>
      </c>
      <c r="L585" s="45" t="str">
        <f t="shared" si="5"/>
        <v/>
      </c>
      <c r="M585" s="45">
        <f t="shared" si="6"/>
        <v>1</v>
      </c>
      <c r="N585" s="45" t="str">
        <f t="shared" si="7"/>
        <v/>
      </c>
      <c r="O585" s="45" t="str">
        <f t="shared" si="8"/>
        <v/>
      </c>
      <c r="P585" s="45" t="str">
        <f t="shared" si="9"/>
        <v/>
      </c>
    </row>
    <row r="586" spans="1:16" ht="18">
      <c r="A586" s="92" t="s">
        <v>5231</v>
      </c>
      <c r="B586" s="345">
        <v>2002</v>
      </c>
      <c r="C586" s="92"/>
      <c r="D586" s="345">
        <v>11884466</v>
      </c>
      <c r="E586" s="278" t="str">
        <f t="shared" si="2"/>
        <v>https://pubmed.ncbi.nlm.nih.gov/?term=11884466</v>
      </c>
      <c r="F586" s="28" t="s">
        <v>511</v>
      </c>
      <c r="G586" s="28" t="s">
        <v>5232</v>
      </c>
      <c r="J586" s="346" t="str">
        <f t="shared" si="3"/>
        <v/>
      </c>
      <c r="K586" s="28" t="str">
        <f t="shared" si="4"/>
        <v/>
      </c>
      <c r="L586" s="45" t="str">
        <f t="shared" si="5"/>
        <v/>
      </c>
      <c r="M586" s="45" t="str">
        <f t="shared" si="6"/>
        <v/>
      </c>
      <c r="N586" s="45" t="str">
        <f t="shared" si="7"/>
        <v/>
      </c>
      <c r="O586" s="45">
        <f t="shared" si="8"/>
        <v>1</v>
      </c>
      <c r="P586" s="45" t="str">
        <f t="shared" si="9"/>
        <v/>
      </c>
    </row>
    <row r="587" spans="1:16" ht="18">
      <c r="A587" s="92" t="s">
        <v>5233</v>
      </c>
      <c r="B587" s="345">
        <v>2004</v>
      </c>
      <c r="C587" s="92" t="s">
        <v>5234</v>
      </c>
      <c r="D587" s="345">
        <v>15498157</v>
      </c>
      <c r="E587" s="278" t="str">
        <f t="shared" si="2"/>
        <v>https://pubmed.ncbi.nlm.nih.gov/?term=15498157</v>
      </c>
      <c r="F587" s="28" t="s">
        <v>511</v>
      </c>
      <c r="G587" s="28" t="s">
        <v>4346</v>
      </c>
      <c r="J587" s="346" t="str">
        <f t="shared" si="3"/>
        <v/>
      </c>
      <c r="K587" s="28" t="str">
        <f t="shared" si="4"/>
        <v/>
      </c>
      <c r="L587" s="45">
        <f t="shared" si="5"/>
        <v>1</v>
      </c>
      <c r="M587" s="45" t="str">
        <f t="shared" si="6"/>
        <v/>
      </c>
      <c r="N587" s="45" t="str">
        <f t="shared" si="7"/>
        <v/>
      </c>
      <c r="O587" s="45" t="str">
        <f t="shared" si="8"/>
        <v/>
      </c>
      <c r="P587" s="45" t="str">
        <f t="shared" si="9"/>
        <v/>
      </c>
    </row>
    <row r="588" spans="1:16" ht="18">
      <c r="A588" s="92" t="s">
        <v>5235</v>
      </c>
      <c r="B588" s="345">
        <v>2003</v>
      </c>
      <c r="C588" s="92"/>
      <c r="D588" s="345">
        <v>12893645</v>
      </c>
      <c r="E588" s="278" t="str">
        <f t="shared" si="2"/>
        <v>https://pubmed.ncbi.nlm.nih.gov/?term=12893645</v>
      </c>
      <c r="F588" s="28" t="s">
        <v>511</v>
      </c>
      <c r="G588" s="28" t="s">
        <v>4811</v>
      </c>
      <c r="J588" s="346" t="str">
        <f t="shared" si="3"/>
        <v/>
      </c>
      <c r="K588" s="28" t="str">
        <f t="shared" si="4"/>
        <v/>
      </c>
      <c r="L588" s="45" t="str">
        <f t="shared" si="5"/>
        <v/>
      </c>
      <c r="M588" s="45" t="str">
        <f t="shared" si="6"/>
        <v/>
      </c>
      <c r="N588" s="45">
        <f t="shared" si="7"/>
        <v>1</v>
      </c>
      <c r="O588" s="45" t="str">
        <f t="shared" si="8"/>
        <v/>
      </c>
      <c r="P588" s="45" t="str">
        <f t="shared" si="9"/>
        <v/>
      </c>
    </row>
    <row r="589" spans="1:16" ht="18">
      <c r="A589" s="92" t="s">
        <v>1740</v>
      </c>
      <c r="B589" s="345">
        <v>2003</v>
      </c>
      <c r="C589" s="92"/>
      <c r="D589" s="345">
        <v>14533659</v>
      </c>
      <c r="E589" s="278" t="str">
        <f t="shared" si="2"/>
        <v>https://pubmed.ncbi.nlm.nih.gov/?term=14533659</v>
      </c>
      <c r="H589" s="28" t="s">
        <v>511</v>
      </c>
      <c r="J589" s="346" t="str">
        <f t="shared" si="3"/>
        <v/>
      </c>
      <c r="K589" s="28" t="str">
        <f t="shared" si="4"/>
        <v/>
      </c>
      <c r="L589" s="45" t="str">
        <f t="shared" si="5"/>
        <v/>
      </c>
      <c r="M589" s="45" t="str">
        <f t="shared" si="6"/>
        <v/>
      </c>
      <c r="N589" s="45" t="str">
        <f t="shared" si="7"/>
        <v/>
      </c>
      <c r="O589" s="45" t="str">
        <f t="shared" si="8"/>
        <v/>
      </c>
      <c r="P589" s="45" t="str">
        <f t="shared" si="9"/>
        <v/>
      </c>
    </row>
    <row r="590" spans="1:16" ht="18">
      <c r="A590" s="92" t="s">
        <v>5236</v>
      </c>
      <c r="B590" s="345">
        <v>2009</v>
      </c>
      <c r="C590" s="92"/>
      <c r="D590" s="345">
        <v>19428902</v>
      </c>
      <c r="E590" s="278" t="str">
        <f t="shared" si="2"/>
        <v>https://pubmed.ncbi.nlm.nih.gov/?term=19428902</v>
      </c>
      <c r="F590" s="28" t="s">
        <v>511</v>
      </c>
      <c r="G590" s="28" t="s">
        <v>4346</v>
      </c>
      <c r="J590" s="346" t="str">
        <f t="shared" si="3"/>
        <v/>
      </c>
      <c r="K590" s="28" t="str">
        <f t="shared" si="4"/>
        <v/>
      </c>
      <c r="L590" s="45">
        <f t="shared" si="5"/>
        <v>1</v>
      </c>
      <c r="M590" s="45" t="str">
        <f t="shared" si="6"/>
        <v/>
      </c>
      <c r="N590" s="45" t="str">
        <f t="shared" si="7"/>
        <v/>
      </c>
      <c r="O590" s="45" t="str">
        <f t="shared" si="8"/>
        <v/>
      </c>
      <c r="P590" s="45" t="str">
        <f t="shared" si="9"/>
        <v/>
      </c>
    </row>
    <row r="591" spans="1:16" ht="18">
      <c r="A591" s="92" t="s">
        <v>5237</v>
      </c>
      <c r="B591" s="345">
        <v>2010</v>
      </c>
      <c r="C591" s="92" t="s">
        <v>5238</v>
      </c>
      <c r="D591" s="345">
        <v>21118577</v>
      </c>
      <c r="E591" s="278" t="str">
        <f t="shared" si="2"/>
        <v>https://pubmed.ncbi.nlm.nih.gov/?term=21118577</v>
      </c>
      <c r="F591" s="28" t="s">
        <v>511</v>
      </c>
      <c r="G591" s="28" t="s">
        <v>4346</v>
      </c>
      <c r="J591" s="346" t="str">
        <f t="shared" si="3"/>
        <v/>
      </c>
      <c r="K591" s="28" t="str">
        <f t="shared" si="4"/>
        <v/>
      </c>
      <c r="L591" s="45">
        <f t="shared" si="5"/>
        <v>1</v>
      </c>
      <c r="M591" s="45" t="str">
        <f t="shared" si="6"/>
        <v/>
      </c>
      <c r="N591" s="45" t="str">
        <f t="shared" si="7"/>
        <v/>
      </c>
      <c r="O591" s="45" t="str">
        <f t="shared" si="8"/>
        <v/>
      </c>
      <c r="P591" s="45" t="str">
        <f t="shared" si="9"/>
        <v/>
      </c>
    </row>
    <row r="592" spans="1:16" ht="18">
      <c r="A592" s="92" t="s">
        <v>1635</v>
      </c>
      <c r="B592" s="345">
        <v>2010</v>
      </c>
      <c r="C592" s="92"/>
      <c r="D592" s="345">
        <v>19737527</v>
      </c>
      <c r="E592" s="278" t="str">
        <f t="shared" si="2"/>
        <v>https://pubmed.ncbi.nlm.nih.gov/?term=19737527</v>
      </c>
      <c r="H592" s="28" t="s">
        <v>511</v>
      </c>
      <c r="J592" s="346" t="str">
        <f t="shared" si="3"/>
        <v/>
      </c>
      <c r="K592" s="28" t="str">
        <f t="shared" si="4"/>
        <v/>
      </c>
      <c r="L592" s="45" t="str">
        <f t="shared" si="5"/>
        <v/>
      </c>
      <c r="M592" s="45" t="str">
        <f t="shared" si="6"/>
        <v/>
      </c>
      <c r="N592" s="45" t="str">
        <f t="shared" si="7"/>
        <v/>
      </c>
      <c r="O592" s="45" t="str">
        <f t="shared" si="8"/>
        <v/>
      </c>
      <c r="P592" s="45" t="str">
        <f t="shared" si="9"/>
        <v/>
      </c>
    </row>
    <row r="593" spans="1:16" ht="18">
      <c r="A593" s="92" t="s">
        <v>5239</v>
      </c>
      <c r="B593" s="345">
        <v>2010</v>
      </c>
      <c r="C593" s="92"/>
      <c r="D593" s="345">
        <v>20581392</v>
      </c>
      <c r="E593" s="278" t="str">
        <f t="shared" si="2"/>
        <v>https://pubmed.ncbi.nlm.nih.gov/?term=20581392</v>
      </c>
      <c r="F593" s="28" t="s">
        <v>511</v>
      </c>
      <c r="G593" s="28" t="s">
        <v>4867</v>
      </c>
      <c r="J593" s="346" t="str">
        <f t="shared" si="3"/>
        <v/>
      </c>
      <c r="K593" s="28" t="str">
        <f t="shared" si="4"/>
        <v/>
      </c>
      <c r="L593" s="45" t="str">
        <f t="shared" si="5"/>
        <v/>
      </c>
      <c r="M593" s="45" t="str">
        <f t="shared" si="6"/>
        <v/>
      </c>
      <c r="N593" s="45">
        <f t="shared" si="7"/>
        <v>1</v>
      </c>
      <c r="O593" s="45" t="str">
        <f t="shared" si="8"/>
        <v/>
      </c>
      <c r="P593" s="45" t="str">
        <f t="shared" si="9"/>
        <v/>
      </c>
    </row>
    <row r="594" spans="1:16" ht="18">
      <c r="A594" s="92" t="s">
        <v>4055</v>
      </c>
      <c r="B594" s="345">
        <v>2005</v>
      </c>
      <c r="C594" s="92"/>
      <c r="D594" s="345">
        <v>15688284</v>
      </c>
      <c r="E594" s="278" t="str">
        <f t="shared" si="2"/>
        <v>https://pubmed.ncbi.nlm.nih.gov/?term=15688284</v>
      </c>
      <c r="F594" s="28" t="s">
        <v>511</v>
      </c>
      <c r="G594" s="28" t="s">
        <v>5240</v>
      </c>
      <c r="J594" s="346" t="str">
        <f t="shared" si="3"/>
        <v/>
      </c>
      <c r="K594" s="28" t="str">
        <f t="shared" si="4"/>
        <v/>
      </c>
      <c r="L594" s="45" t="str">
        <f t="shared" si="5"/>
        <v/>
      </c>
      <c r="M594" s="45" t="str">
        <f t="shared" si="6"/>
        <v/>
      </c>
      <c r="N594" s="45" t="str">
        <f t="shared" si="7"/>
        <v/>
      </c>
      <c r="O594" s="45">
        <f t="shared" si="8"/>
        <v>1</v>
      </c>
      <c r="P594" s="45" t="str">
        <f t="shared" si="9"/>
        <v/>
      </c>
    </row>
    <row r="595" spans="1:16" ht="18">
      <c r="A595" s="92" t="s">
        <v>5241</v>
      </c>
      <c r="B595" s="345">
        <v>2008</v>
      </c>
      <c r="C595" s="92" t="s">
        <v>5242</v>
      </c>
      <c r="D595" s="345">
        <v>18443087</v>
      </c>
      <c r="E595" s="278" t="str">
        <f t="shared" si="2"/>
        <v>https://pubmed.ncbi.nlm.nih.gov/?term=18443087</v>
      </c>
      <c r="F595" s="28" t="s">
        <v>511</v>
      </c>
      <c r="G595" s="28" t="s">
        <v>4346</v>
      </c>
      <c r="J595" s="346" t="str">
        <f t="shared" si="3"/>
        <v/>
      </c>
      <c r="K595" s="28" t="str">
        <f t="shared" si="4"/>
        <v/>
      </c>
      <c r="L595" s="45">
        <f t="shared" si="5"/>
        <v>1</v>
      </c>
      <c r="M595" s="45" t="str">
        <f t="shared" si="6"/>
        <v/>
      </c>
      <c r="N595" s="45" t="str">
        <f t="shared" si="7"/>
        <v/>
      </c>
      <c r="O595" s="45" t="str">
        <f t="shared" si="8"/>
        <v/>
      </c>
      <c r="P595" s="45" t="str">
        <f t="shared" si="9"/>
        <v/>
      </c>
    </row>
    <row r="596" spans="1:16" ht="18">
      <c r="A596" s="92" t="s">
        <v>5243</v>
      </c>
      <c r="B596" s="345">
        <v>2010</v>
      </c>
      <c r="C596" s="92" t="s">
        <v>5244</v>
      </c>
      <c r="D596" s="345">
        <v>20130126</v>
      </c>
      <c r="E596" s="278" t="str">
        <f t="shared" si="2"/>
        <v>https://pubmed.ncbi.nlm.nih.gov/?term=20130126</v>
      </c>
      <c r="F596" s="28" t="s">
        <v>511</v>
      </c>
      <c r="G596" s="28" t="s">
        <v>4346</v>
      </c>
      <c r="J596" s="346" t="str">
        <f t="shared" si="3"/>
        <v/>
      </c>
      <c r="K596" s="28" t="str">
        <f t="shared" si="4"/>
        <v/>
      </c>
      <c r="L596" s="45">
        <f t="shared" si="5"/>
        <v>1</v>
      </c>
      <c r="M596" s="45" t="str">
        <f t="shared" si="6"/>
        <v/>
      </c>
      <c r="N596" s="45" t="str">
        <f t="shared" si="7"/>
        <v/>
      </c>
      <c r="O596" s="45" t="str">
        <f t="shared" si="8"/>
        <v/>
      </c>
      <c r="P596" s="45" t="str">
        <f t="shared" si="9"/>
        <v/>
      </c>
    </row>
    <row r="597" spans="1:16" ht="18">
      <c r="A597" s="92" t="s">
        <v>5245</v>
      </c>
      <c r="B597" s="345">
        <v>2009</v>
      </c>
      <c r="C597" s="92"/>
      <c r="D597" s="345">
        <v>19623694</v>
      </c>
      <c r="E597" s="278" t="str">
        <f t="shared" si="2"/>
        <v>https://pubmed.ncbi.nlm.nih.gov/?term=19623694</v>
      </c>
      <c r="F597" s="28" t="s">
        <v>511</v>
      </c>
      <c r="G597" s="28" t="s">
        <v>4867</v>
      </c>
      <c r="J597" s="346" t="str">
        <f t="shared" si="3"/>
        <v/>
      </c>
      <c r="K597" s="28" t="str">
        <f t="shared" si="4"/>
        <v/>
      </c>
      <c r="L597" s="45" t="str">
        <f t="shared" si="5"/>
        <v/>
      </c>
      <c r="M597" s="45" t="str">
        <f t="shared" si="6"/>
        <v/>
      </c>
      <c r="N597" s="45">
        <f t="shared" si="7"/>
        <v>1</v>
      </c>
      <c r="O597" s="45" t="str">
        <f t="shared" si="8"/>
        <v/>
      </c>
      <c r="P597" s="45" t="str">
        <f t="shared" si="9"/>
        <v/>
      </c>
    </row>
    <row r="598" spans="1:16" ht="18">
      <c r="A598" s="92" t="s">
        <v>5246</v>
      </c>
      <c r="B598" s="345">
        <v>2004</v>
      </c>
      <c r="C598" s="92"/>
      <c r="D598" s="345">
        <v>14758160</v>
      </c>
      <c r="E598" s="278" t="str">
        <f t="shared" si="2"/>
        <v>https://pubmed.ncbi.nlm.nih.gov/?term=14758160</v>
      </c>
      <c r="F598" s="28" t="s">
        <v>511</v>
      </c>
      <c r="G598" s="28" t="s">
        <v>5247</v>
      </c>
      <c r="J598" s="346" t="str">
        <f t="shared" si="3"/>
        <v/>
      </c>
      <c r="K598" s="28" t="str">
        <f t="shared" si="4"/>
        <v/>
      </c>
      <c r="L598" s="45" t="str">
        <f t="shared" si="5"/>
        <v/>
      </c>
      <c r="M598" s="45" t="str">
        <f t="shared" si="6"/>
        <v/>
      </c>
      <c r="N598" s="45">
        <f t="shared" si="7"/>
        <v>1</v>
      </c>
      <c r="O598" s="45" t="str">
        <f t="shared" si="8"/>
        <v/>
      </c>
      <c r="P598" s="45" t="str">
        <f t="shared" si="9"/>
        <v/>
      </c>
    </row>
    <row r="599" spans="1:16" ht="18">
      <c r="A599" s="92" t="s">
        <v>5248</v>
      </c>
      <c r="B599" s="345">
        <v>2008</v>
      </c>
      <c r="C599" s="92" t="s">
        <v>5249</v>
      </c>
      <c r="D599" s="345">
        <v>18262264</v>
      </c>
      <c r="E599" s="278" t="str">
        <f t="shared" si="2"/>
        <v>https://pubmed.ncbi.nlm.nih.gov/?term=18262264</v>
      </c>
      <c r="F599" s="28" t="s">
        <v>511</v>
      </c>
      <c r="G599" s="28" t="s">
        <v>4346</v>
      </c>
      <c r="J599" s="346" t="str">
        <f t="shared" si="3"/>
        <v/>
      </c>
      <c r="K599" s="28" t="str">
        <f t="shared" si="4"/>
        <v/>
      </c>
      <c r="L599" s="45">
        <f t="shared" si="5"/>
        <v>1</v>
      </c>
      <c r="M599" s="45" t="str">
        <f t="shared" si="6"/>
        <v/>
      </c>
      <c r="N599" s="45" t="str">
        <f t="shared" si="7"/>
        <v/>
      </c>
      <c r="O599" s="45" t="str">
        <f t="shared" si="8"/>
        <v/>
      </c>
      <c r="P599" s="45" t="str">
        <f t="shared" si="9"/>
        <v/>
      </c>
    </row>
    <row r="600" spans="1:16" ht="18">
      <c r="A600" s="92" t="s">
        <v>4742</v>
      </c>
      <c r="B600" s="345">
        <v>2000</v>
      </c>
      <c r="C600" s="92"/>
      <c r="D600" s="345">
        <v>10796624</v>
      </c>
      <c r="E600" s="278" t="str">
        <f t="shared" si="2"/>
        <v>https://pubmed.ncbi.nlm.nih.gov/?term=10796624</v>
      </c>
      <c r="F600" s="28" t="s">
        <v>511</v>
      </c>
      <c r="G600" s="28" t="s">
        <v>4592</v>
      </c>
      <c r="J600" s="346">
        <f t="shared" si="3"/>
        <v>1</v>
      </c>
      <c r="K600" s="28" t="str">
        <f t="shared" si="4"/>
        <v/>
      </c>
      <c r="L600" s="45" t="str">
        <f t="shared" si="5"/>
        <v/>
      </c>
      <c r="M600" s="45" t="str">
        <f t="shared" si="6"/>
        <v/>
      </c>
      <c r="N600" s="45" t="str">
        <f t="shared" si="7"/>
        <v/>
      </c>
      <c r="O600" s="45" t="str">
        <f t="shared" si="8"/>
        <v/>
      </c>
      <c r="P600" s="45" t="str">
        <f t="shared" si="9"/>
        <v/>
      </c>
    </row>
    <row r="601" spans="1:16" ht="18">
      <c r="A601" s="92" t="s">
        <v>5250</v>
      </c>
      <c r="B601" s="345">
        <v>2008</v>
      </c>
      <c r="C601" s="92"/>
      <c r="D601" s="345">
        <v>18939623</v>
      </c>
      <c r="E601" s="278" t="str">
        <f t="shared" si="2"/>
        <v>https://pubmed.ncbi.nlm.nih.gov/?term=18939623</v>
      </c>
      <c r="F601" s="28" t="s">
        <v>511</v>
      </c>
      <c r="G601" s="28" t="s">
        <v>4346</v>
      </c>
      <c r="J601" s="346" t="str">
        <f t="shared" si="3"/>
        <v/>
      </c>
      <c r="K601" s="28" t="str">
        <f t="shared" si="4"/>
        <v/>
      </c>
      <c r="L601" s="45">
        <f t="shared" si="5"/>
        <v>1</v>
      </c>
      <c r="M601" s="45" t="str">
        <f t="shared" si="6"/>
        <v/>
      </c>
      <c r="N601" s="45" t="str">
        <f t="shared" si="7"/>
        <v/>
      </c>
      <c r="O601" s="45" t="str">
        <f t="shared" si="8"/>
        <v/>
      </c>
      <c r="P601" s="45" t="str">
        <f t="shared" si="9"/>
        <v/>
      </c>
    </row>
    <row r="602" spans="1:16" ht="18">
      <c r="A602" s="92" t="s">
        <v>5251</v>
      </c>
      <c r="B602" s="345">
        <v>2004</v>
      </c>
      <c r="C602" s="92"/>
      <c r="D602" s="345">
        <v>15195260</v>
      </c>
      <c r="E602" s="278" t="str">
        <f t="shared" si="2"/>
        <v>https://pubmed.ncbi.nlm.nih.gov/?term=15195260</v>
      </c>
      <c r="F602" s="28" t="s">
        <v>511</v>
      </c>
      <c r="G602" s="28" t="s">
        <v>4346</v>
      </c>
      <c r="J602" s="346" t="str">
        <f t="shared" si="3"/>
        <v/>
      </c>
      <c r="K602" s="28" t="str">
        <f t="shared" si="4"/>
        <v/>
      </c>
      <c r="L602" s="45">
        <f t="shared" si="5"/>
        <v>1</v>
      </c>
      <c r="M602" s="45" t="str">
        <f t="shared" si="6"/>
        <v/>
      </c>
      <c r="N602" s="45" t="str">
        <f t="shared" si="7"/>
        <v/>
      </c>
      <c r="O602" s="45" t="str">
        <f t="shared" si="8"/>
        <v/>
      </c>
      <c r="P602" s="45" t="str">
        <f t="shared" si="9"/>
        <v/>
      </c>
    </row>
    <row r="603" spans="1:16" ht="18">
      <c r="A603" s="92" t="s">
        <v>5252</v>
      </c>
      <c r="B603" s="345">
        <v>2008</v>
      </c>
      <c r="C603" s="92" t="s">
        <v>5253</v>
      </c>
      <c r="D603" s="345">
        <v>18848937</v>
      </c>
      <c r="E603" s="278" t="str">
        <f t="shared" si="2"/>
        <v>https://pubmed.ncbi.nlm.nih.gov/?term=18848937</v>
      </c>
      <c r="F603" s="28" t="s">
        <v>511</v>
      </c>
      <c r="G603" s="28" t="s">
        <v>4867</v>
      </c>
      <c r="J603" s="346" t="str">
        <f t="shared" si="3"/>
        <v/>
      </c>
      <c r="K603" s="28" t="str">
        <f t="shared" si="4"/>
        <v/>
      </c>
      <c r="L603" s="45" t="str">
        <f t="shared" si="5"/>
        <v/>
      </c>
      <c r="M603" s="45" t="str">
        <f t="shared" si="6"/>
        <v/>
      </c>
      <c r="N603" s="45">
        <f t="shared" si="7"/>
        <v>1</v>
      </c>
      <c r="O603" s="45" t="str">
        <f t="shared" si="8"/>
        <v/>
      </c>
      <c r="P603" s="45" t="str">
        <f t="shared" si="9"/>
        <v/>
      </c>
    </row>
    <row r="604" spans="1:16" ht="18">
      <c r="A604" s="92" t="s">
        <v>5254</v>
      </c>
      <c r="B604" s="345">
        <v>2007</v>
      </c>
      <c r="C604" s="92" t="s">
        <v>5255</v>
      </c>
      <c r="D604" s="345">
        <v>18008245</v>
      </c>
      <c r="E604" s="278" t="str">
        <f t="shared" si="2"/>
        <v>https://pubmed.ncbi.nlm.nih.gov/?term=18008245</v>
      </c>
      <c r="F604" s="28" t="s">
        <v>511</v>
      </c>
      <c r="G604" s="28" t="s">
        <v>5256</v>
      </c>
      <c r="J604" s="346" t="str">
        <f t="shared" si="3"/>
        <v/>
      </c>
      <c r="K604" s="28" t="str">
        <f t="shared" si="4"/>
        <v/>
      </c>
      <c r="L604" s="45" t="str">
        <f t="shared" si="5"/>
        <v/>
      </c>
      <c r="M604" s="45" t="str">
        <f t="shared" si="6"/>
        <v/>
      </c>
      <c r="N604" s="45" t="str">
        <f t="shared" si="7"/>
        <v/>
      </c>
      <c r="O604" s="45">
        <f t="shared" si="8"/>
        <v>1</v>
      </c>
      <c r="P604" s="45" t="str">
        <f t="shared" si="9"/>
        <v/>
      </c>
    </row>
    <row r="605" spans="1:16" ht="18">
      <c r="A605" s="92" t="s">
        <v>5257</v>
      </c>
      <c r="B605" s="345">
        <v>2002</v>
      </c>
      <c r="C605" s="92"/>
      <c r="D605" s="345">
        <v>12602351</v>
      </c>
      <c r="E605" s="278" t="str">
        <f t="shared" si="2"/>
        <v>https://pubmed.ncbi.nlm.nih.gov/?term=12602351</v>
      </c>
      <c r="F605" s="28" t="s">
        <v>511</v>
      </c>
      <c r="G605" s="28" t="s">
        <v>4592</v>
      </c>
      <c r="J605" s="346">
        <f t="shared" si="3"/>
        <v>1</v>
      </c>
      <c r="K605" s="28" t="str">
        <f t="shared" si="4"/>
        <v/>
      </c>
      <c r="L605" s="45" t="str">
        <f t="shared" si="5"/>
        <v/>
      </c>
      <c r="M605" s="45" t="str">
        <f t="shared" si="6"/>
        <v/>
      </c>
      <c r="N605" s="45" t="str">
        <f t="shared" si="7"/>
        <v/>
      </c>
      <c r="O605" s="45" t="str">
        <f t="shared" si="8"/>
        <v/>
      </c>
      <c r="P605" s="45" t="str">
        <f t="shared" si="9"/>
        <v/>
      </c>
    </row>
    <row r="606" spans="1:16" ht="18">
      <c r="A606" s="92" t="s">
        <v>5258</v>
      </c>
      <c r="B606" s="345">
        <v>2004</v>
      </c>
      <c r="C606" s="92"/>
      <c r="D606" s="345">
        <v>15007741</v>
      </c>
      <c r="E606" s="278" t="str">
        <f t="shared" si="2"/>
        <v>https://pubmed.ncbi.nlm.nih.gov/?term=15007741</v>
      </c>
      <c r="F606" s="28" t="s">
        <v>511</v>
      </c>
      <c r="G606" s="28" t="s">
        <v>4592</v>
      </c>
      <c r="J606" s="346">
        <f t="shared" si="3"/>
        <v>1</v>
      </c>
      <c r="K606" s="28" t="str">
        <f t="shared" si="4"/>
        <v/>
      </c>
      <c r="L606" s="45" t="str">
        <f t="shared" si="5"/>
        <v/>
      </c>
      <c r="M606" s="45" t="str">
        <f t="shared" si="6"/>
        <v/>
      </c>
      <c r="N606" s="45" t="str">
        <f t="shared" si="7"/>
        <v/>
      </c>
      <c r="O606" s="45" t="str">
        <f t="shared" si="8"/>
        <v/>
      </c>
      <c r="P606" s="45" t="str">
        <f t="shared" si="9"/>
        <v/>
      </c>
    </row>
    <row r="607" spans="1:16" ht="18">
      <c r="A607" s="92" t="s">
        <v>4743</v>
      </c>
      <c r="B607" s="345">
        <v>2000</v>
      </c>
      <c r="C607" s="92"/>
      <c r="D607" s="345">
        <v>10850524</v>
      </c>
      <c r="E607" s="278" t="str">
        <f t="shared" si="2"/>
        <v>https://pubmed.ncbi.nlm.nih.gov/?term=10850524</v>
      </c>
      <c r="F607" s="28" t="s">
        <v>511</v>
      </c>
      <c r="G607" s="28" t="s">
        <v>4867</v>
      </c>
      <c r="J607" s="346" t="str">
        <f t="shared" si="3"/>
        <v/>
      </c>
      <c r="K607" s="28" t="str">
        <f t="shared" si="4"/>
        <v/>
      </c>
      <c r="L607" s="45" t="str">
        <f t="shared" si="5"/>
        <v/>
      </c>
      <c r="M607" s="45" t="str">
        <f t="shared" si="6"/>
        <v/>
      </c>
      <c r="N607" s="45">
        <f t="shared" si="7"/>
        <v>1</v>
      </c>
      <c r="O607" s="45" t="str">
        <f t="shared" si="8"/>
        <v/>
      </c>
      <c r="P607" s="45" t="str">
        <f t="shared" si="9"/>
        <v/>
      </c>
    </row>
    <row r="608" spans="1:16" ht="18">
      <c r="A608" s="92" t="s">
        <v>5259</v>
      </c>
      <c r="B608" s="345">
        <v>2006</v>
      </c>
      <c r="C608" s="92" t="s">
        <v>5260</v>
      </c>
      <c r="D608" s="345">
        <v>16719931</v>
      </c>
      <c r="E608" s="278" t="str">
        <f t="shared" si="2"/>
        <v>https://pubmed.ncbi.nlm.nih.gov/?term=16719931</v>
      </c>
      <c r="F608" s="28" t="s">
        <v>511</v>
      </c>
      <c r="G608" s="28" t="s">
        <v>4867</v>
      </c>
      <c r="J608" s="346" t="str">
        <f t="shared" si="3"/>
        <v/>
      </c>
      <c r="K608" s="28" t="str">
        <f t="shared" si="4"/>
        <v/>
      </c>
      <c r="L608" s="45" t="str">
        <f t="shared" si="5"/>
        <v/>
      </c>
      <c r="M608" s="45" t="str">
        <f t="shared" si="6"/>
        <v/>
      </c>
      <c r="N608" s="45">
        <f t="shared" si="7"/>
        <v>1</v>
      </c>
      <c r="O608" s="45" t="str">
        <f t="shared" si="8"/>
        <v/>
      </c>
      <c r="P608" s="45" t="str">
        <f t="shared" si="9"/>
        <v/>
      </c>
    </row>
    <row r="609" spans="1:16" ht="18">
      <c r="A609" s="92" t="s">
        <v>5261</v>
      </c>
      <c r="B609" s="345">
        <v>2003</v>
      </c>
      <c r="C609" s="92"/>
      <c r="D609" s="345">
        <v>16215069</v>
      </c>
      <c r="E609" s="278" t="str">
        <f t="shared" si="2"/>
        <v>https://pubmed.ncbi.nlm.nih.gov/?term=16215069</v>
      </c>
      <c r="F609" s="28" t="s">
        <v>511</v>
      </c>
      <c r="G609" s="28" t="s">
        <v>4592</v>
      </c>
      <c r="J609" s="346">
        <f t="shared" si="3"/>
        <v>1</v>
      </c>
      <c r="K609" s="28" t="str">
        <f t="shared" si="4"/>
        <v/>
      </c>
      <c r="L609" s="45" t="str">
        <f t="shared" si="5"/>
        <v/>
      </c>
      <c r="M609" s="45" t="str">
        <f t="shared" si="6"/>
        <v/>
      </c>
      <c r="N609" s="45" t="str">
        <f t="shared" si="7"/>
        <v/>
      </c>
      <c r="O609" s="45" t="str">
        <f t="shared" si="8"/>
        <v/>
      </c>
      <c r="P609" s="45" t="str">
        <f t="shared" si="9"/>
        <v/>
      </c>
    </row>
    <row r="610" spans="1:16" ht="18">
      <c r="A610" s="92" t="s">
        <v>5262</v>
      </c>
      <c r="B610" s="345">
        <v>2005</v>
      </c>
      <c r="C610" s="92"/>
      <c r="D610" s="345">
        <v>15758595</v>
      </c>
      <c r="E610" s="278" t="str">
        <f t="shared" si="2"/>
        <v>https://pubmed.ncbi.nlm.nih.gov/?term=15758595</v>
      </c>
      <c r="F610" s="28" t="s">
        <v>511</v>
      </c>
      <c r="G610" s="28" t="s">
        <v>4592</v>
      </c>
      <c r="J610" s="346">
        <f t="shared" si="3"/>
        <v>1</v>
      </c>
      <c r="K610" s="28" t="str">
        <f t="shared" si="4"/>
        <v/>
      </c>
      <c r="L610" s="45" t="str">
        <f t="shared" si="5"/>
        <v/>
      </c>
      <c r="M610" s="45" t="str">
        <f t="shared" si="6"/>
        <v/>
      </c>
      <c r="N610" s="45" t="str">
        <f t="shared" si="7"/>
        <v/>
      </c>
      <c r="O610" s="45" t="str">
        <f t="shared" si="8"/>
        <v/>
      </c>
      <c r="P610" s="45" t="str">
        <f t="shared" si="9"/>
        <v/>
      </c>
    </row>
    <row r="611" spans="1:16" ht="18">
      <c r="A611" s="92" t="s">
        <v>5263</v>
      </c>
      <c r="B611" s="345">
        <v>2010</v>
      </c>
      <c r="C611" s="92"/>
      <c r="D611" s="345">
        <v>20448220</v>
      </c>
      <c r="E611" s="278" t="str">
        <f t="shared" si="2"/>
        <v>https://pubmed.ncbi.nlm.nih.gov/?term=20448220</v>
      </c>
      <c r="F611" s="28" t="s">
        <v>511</v>
      </c>
      <c r="G611" s="28" t="s">
        <v>4867</v>
      </c>
      <c r="J611" s="346" t="str">
        <f t="shared" si="3"/>
        <v/>
      </c>
      <c r="K611" s="28" t="str">
        <f t="shared" si="4"/>
        <v/>
      </c>
      <c r="L611" s="45" t="str">
        <f t="shared" si="5"/>
        <v/>
      </c>
      <c r="M611" s="45" t="str">
        <f t="shared" si="6"/>
        <v/>
      </c>
      <c r="N611" s="45">
        <f t="shared" si="7"/>
        <v>1</v>
      </c>
      <c r="O611" s="45" t="str">
        <f t="shared" si="8"/>
        <v/>
      </c>
      <c r="P611" s="45" t="str">
        <f t="shared" si="9"/>
        <v/>
      </c>
    </row>
    <row r="612" spans="1:16" ht="18">
      <c r="A612" s="92" t="s">
        <v>5264</v>
      </c>
      <c r="B612" s="345">
        <v>2001</v>
      </c>
      <c r="C612" s="92"/>
      <c r="D612" s="345">
        <v>11798240</v>
      </c>
      <c r="E612" s="278" t="str">
        <f t="shared" si="2"/>
        <v>https://pubmed.ncbi.nlm.nih.gov/?term=11798240</v>
      </c>
      <c r="F612" s="28" t="s">
        <v>511</v>
      </c>
      <c r="G612" s="28" t="s">
        <v>4346</v>
      </c>
      <c r="J612" s="346" t="str">
        <f t="shared" si="3"/>
        <v/>
      </c>
      <c r="K612" s="28" t="str">
        <f t="shared" si="4"/>
        <v/>
      </c>
      <c r="L612" s="45">
        <f t="shared" si="5"/>
        <v>1</v>
      </c>
      <c r="M612" s="45" t="str">
        <f t="shared" si="6"/>
        <v/>
      </c>
      <c r="N612" s="45" t="str">
        <f t="shared" si="7"/>
        <v/>
      </c>
      <c r="O612" s="45" t="str">
        <f t="shared" si="8"/>
        <v/>
      </c>
      <c r="P612" s="45" t="str">
        <f t="shared" si="9"/>
        <v/>
      </c>
    </row>
    <row r="613" spans="1:16" ht="18">
      <c r="A613" s="92" t="s">
        <v>5265</v>
      </c>
      <c r="B613" s="345">
        <v>2002</v>
      </c>
      <c r="C613" s="92" t="s">
        <v>5266</v>
      </c>
      <c r="D613" s="345">
        <v>12002538</v>
      </c>
      <c r="E613" s="278" t="str">
        <f t="shared" si="2"/>
        <v>https://pubmed.ncbi.nlm.nih.gov/?term=12002538</v>
      </c>
      <c r="F613" s="28" t="s">
        <v>511</v>
      </c>
      <c r="G613" s="28" t="s">
        <v>4628</v>
      </c>
      <c r="J613" s="346" t="str">
        <f t="shared" si="3"/>
        <v/>
      </c>
      <c r="K613" s="28" t="str">
        <f t="shared" si="4"/>
        <v/>
      </c>
      <c r="L613" s="45" t="str">
        <f t="shared" si="5"/>
        <v/>
      </c>
      <c r="M613" s="45" t="str">
        <f t="shared" si="6"/>
        <v/>
      </c>
      <c r="N613" s="45" t="str">
        <f t="shared" si="7"/>
        <v/>
      </c>
      <c r="O613" s="45">
        <f t="shared" si="8"/>
        <v>1</v>
      </c>
      <c r="P613" s="45" t="str">
        <f t="shared" si="9"/>
        <v/>
      </c>
    </row>
    <row r="614" spans="1:16" ht="18">
      <c r="A614" s="92" t="s">
        <v>5267</v>
      </c>
      <c r="B614" s="345">
        <v>2003</v>
      </c>
      <c r="C614" s="92"/>
      <c r="D614" s="345">
        <v>12842328</v>
      </c>
      <c r="E614" s="278" t="str">
        <f t="shared" si="2"/>
        <v>https://pubmed.ncbi.nlm.nih.gov/?term=12842328</v>
      </c>
      <c r="F614" s="28" t="s">
        <v>511</v>
      </c>
      <c r="G614" s="28" t="s">
        <v>4867</v>
      </c>
      <c r="J614" s="346" t="str">
        <f t="shared" si="3"/>
        <v/>
      </c>
      <c r="K614" s="28" t="str">
        <f t="shared" si="4"/>
        <v/>
      </c>
      <c r="L614" s="45" t="str">
        <f t="shared" si="5"/>
        <v/>
      </c>
      <c r="M614" s="45" t="str">
        <f t="shared" si="6"/>
        <v/>
      </c>
      <c r="N614" s="45">
        <f t="shared" si="7"/>
        <v>1</v>
      </c>
      <c r="O614" s="45" t="str">
        <f t="shared" si="8"/>
        <v/>
      </c>
      <c r="P614" s="45" t="str">
        <f t="shared" si="9"/>
        <v/>
      </c>
    </row>
    <row r="615" spans="1:16" ht="18">
      <c r="A615" s="92" t="s">
        <v>5268</v>
      </c>
      <c r="B615" s="345">
        <v>2008</v>
      </c>
      <c r="C615" s="92"/>
      <c r="D615" s="345">
        <v>18444850</v>
      </c>
      <c r="E615" s="278" t="str">
        <f t="shared" si="2"/>
        <v>https://pubmed.ncbi.nlm.nih.gov/?term=18444850</v>
      </c>
      <c r="F615" s="28" t="s">
        <v>511</v>
      </c>
      <c r="G615" s="28" t="s">
        <v>4867</v>
      </c>
      <c r="J615" s="346" t="str">
        <f t="shared" si="3"/>
        <v/>
      </c>
      <c r="K615" s="28" t="str">
        <f t="shared" si="4"/>
        <v/>
      </c>
      <c r="L615" s="45" t="str">
        <f t="shared" si="5"/>
        <v/>
      </c>
      <c r="M615" s="45" t="str">
        <f t="shared" si="6"/>
        <v/>
      </c>
      <c r="N615" s="45">
        <f t="shared" si="7"/>
        <v>1</v>
      </c>
      <c r="O615" s="45" t="str">
        <f t="shared" si="8"/>
        <v/>
      </c>
      <c r="P615" s="45" t="str">
        <f t="shared" si="9"/>
        <v/>
      </c>
    </row>
    <row r="616" spans="1:16" ht="18">
      <c r="A616" s="92" t="s">
        <v>5269</v>
      </c>
      <c r="B616" s="345">
        <v>2005</v>
      </c>
      <c r="C616" s="92"/>
      <c r="D616" s="345">
        <v>15910010</v>
      </c>
      <c r="E616" s="278" t="str">
        <f t="shared" si="2"/>
        <v>https://pubmed.ncbi.nlm.nih.gov/?term=15910010</v>
      </c>
      <c r="F616" s="28" t="s">
        <v>511</v>
      </c>
      <c r="G616" s="28" t="s">
        <v>5270</v>
      </c>
      <c r="J616" s="346" t="str">
        <f t="shared" si="3"/>
        <v/>
      </c>
      <c r="K616" s="28" t="str">
        <f t="shared" si="4"/>
        <v/>
      </c>
      <c r="L616" s="45" t="str">
        <f t="shared" si="5"/>
        <v/>
      </c>
      <c r="M616" s="45" t="str">
        <f t="shared" si="6"/>
        <v/>
      </c>
      <c r="N616" s="45" t="str">
        <f t="shared" si="7"/>
        <v/>
      </c>
      <c r="O616" s="45">
        <f t="shared" si="8"/>
        <v>1</v>
      </c>
      <c r="P616" s="45" t="str">
        <f t="shared" si="9"/>
        <v/>
      </c>
    </row>
    <row r="617" spans="1:16" ht="18">
      <c r="A617" s="92" t="s">
        <v>5271</v>
      </c>
      <c r="B617" s="345">
        <v>2009</v>
      </c>
      <c r="C617" s="92" t="s">
        <v>5272</v>
      </c>
      <c r="D617" s="345">
        <v>20054439</v>
      </c>
      <c r="E617" s="278" t="str">
        <f t="shared" si="2"/>
        <v>https://pubmed.ncbi.nlm.nih.gov/?term=20054439</v>
      </c>
      <c r="F617" s="28" t="s">
        <v>511</v>
      </c>
      <c r="G617" s="28" t="s">
        <v>5273</v>
      </c>
      <c r="J617" s="346">
        <f t="shared" si="3"/>
        <v>1</v>
      </c>
      <c r="K617" s="28" t="str">
        <f t="shared" si="4"/>
        <v/>
      </c>
      <c r="L617" s="45" t="str">
        <f t="shared" si="5"/>
        <v/>
      </c>
      <c r="M617" s="45" t="str">
        <f t="shared" si="6"/>
        <v/>
      </c>
      <c r="N617" s="45" t="str">
        <f t="shared" si="7"/>
        <v/>
      </c>
      <c r="O617" s="45" t="str">
        <f t="shared" si="8"/>
        <v/>
      </c>
      <c r="P617" s="45" t="str">
        <f t="shared" si="9"/>
        <v/>
      </c>
    </row>
    <row r="618" spans="1:16" ht="18">
      <c r="A618" s="92" t="s">
        <v>4261</v>
      </c>
      <c r="B618" s="345">
        <v>2010</v>
      </c>
      <c r="C618" s="92"/>
      <c r="D618" s="345">
        <v>20720206</v>
      </c>
      <c r="E618" s="278" t="str">
        <f t="shared" si="2"/>
        <v>https://pubmed.ncbi.nlm.nih.gov/?term=20720206</v>
      </c>
      <c r="H618" s="28" t="s">
        <v>511</v>
      </c>
      <c r="J618" s="346" t="str">
        <f t="shared" si="3"/>
        <v/>
      </c>
      <c r="K618" s="28" t="str">
        <f t="shared" si="4"/>
        <v/>
      </c>
      <c r="L618" s="45" t="str">
        <f t="shared" si="5"/>
        <v/>
      </c>
      <c r="M618" s="45" t="str">
        <f t="shared" si="6"/>
        <v/>
      </c>
      <c r="N618" s="45" t="str">
        <f t="shared" si="7"/>
        <v/>
      </c>
      <c r="O618" s="45" t="str">
        <f t="shared" si="8"/>
        <v/>
      </c>
      <c r="P618" s="45" t="str">
        <f t="shared" si="9"/>
        <v/>
      </c>
    </row>
    <row r="619" spans="1:16" ht="18">
      <c r="A619" s="92" t="s">
        <v>5274</v>
      </c>
      <c r="B619" s="345">
        <v>2003</v>
      </c>
      <c r="C619" s="92"/>
      <c r="D619" s="345">
        <v>12902183</v>
      </c>
      <c r="E619" s="278" t="str">
        <f t="shared" si="2"/>
        <v>https://pubmed.ncbi.nlm.nih.gov/?term=12902183</v>
      </c>
      <c r="F619" s="28" t="s">
        <v>511</v>
      </c>
      <c r="G619" s="28" t="s">
        <v>4346</v>
      </c>
      <c r="J619" s="346" t="str">
        <f t="shared" si="3"/>
        <v/>
      </c>
      <c r="K619" s="28" t="str">
        <f t="shared" si="4"/>
        <v/>
      </c>
      <c r="L619" s="45">
        <f t="shared" si="5"/>
        <v>1</v>
      </c>
      <c r="M619" s="45" t="str">
        <f t="shared" si="6"/>
        <v/>
      </c>
      <c r="N619" s="45" t="str">
        <f t="shared" si="7"/>
        <v/>
      </c>
      <c r="O619" s="45" t="str">
        <f t="shared" si="8"/>
        <v/>
      </c>
      <c r="P619" s="45" t="str">
        <f t="shared" si="9"/>
        <v/>
      </c>
    </row>
    <row r="620" spans="1:16" ht="18">
      <c r="A620" s="92" t="s">
        <v>5275</v>
      </c>
      <c r="B620" s="345">
        <v>2009</v>
      </c>
      <c r="C620" s="92"/>
      <c r="D620" s="345">
        <v>19835977</v>
      </c>
      <c r="E620" s="278" t="str">
        <f t="shared" si="2"/>
        <v>https://pubmed.ncbi.nlm.nih.gov/?term=19835977</v>
      </c>
      <c r="F620" s="28" t="s">
        <v>511</v>
      </c>
      <c r="G620" s="28" t="s">
        <v>4592</v>
      </c>
      <c r="J620" s="346">
        <f t="shared" si="3"/>
        <v>1</v>
      </c>
      <c r="K620" s="28" t="str">
        <f t="shared" si="4"/>
        <v/>
      </c>
      <c r="L620" s="45" t="str">
        <f t="shared" si="5"/>
        <v/>
      </c>
      <c r="M620" s="45" t="str">
        <f t="shared" si="6"/>
        <v/>
      </c>
      <c r="N620" s="45" t="str">
        <f t="shared" si="7"/>
        <v/>
      </c>
      <c r="O620" s="45" t="str">
        <f t="shared" si="8"/>
        <v/>
      </c>
      <c r="P620" s="45" t="str">
        <f t="shared" si="9"/>
        <v/>
      </c>
    </row>
    <row r="621" spans="1:16" ht="18">
      <c r="A621" s="92" t="s">
        <v>5276</v>
      </c>
      <c r="B621" s="345">
        <v>2008</v>
      </c>
      <c r="C621" s="92" t="s">
        <v>5277</v>
      </c>
      <c r="D621" s="345">
        <v>19090972</v>
      </c>
      <c r="E621" s="278" t="str">
        <f t="shared" si="2"/>
        <v>https://pubmed.ncbi.nlm.nih.gov/?term=19090972</v>
      </c>
      <c r="F621" s="28" t="s">
        <v>511</v>
      </c>
      <c r="G621" s="28" t="s">
        <v>5278</v>
      </c>
      <c r="J621" s="346">
        <f t="shared" si="3"/>
        <v>1</v>
      </c>
      <c r="K621" s="28" t="str">
        <f t="shared" si="4"/>
        <v/>
      </c>
      <c r="L621" s="45" t="str">
        <f t="shared" si="5"/>
        <v/>
      </c>
      <c r="M621" s="45" t="str">
        <f t="shared" si="6"/>
        <v/>
      </c>
      <c r="N621" s="45" t="str">
        <f t="shared" si="7"/>
        <v/>
      </c>
      <c r="O621" s="45" t="str">
        <f t="shared" si="8"/>
        <v/>
      </c>
      <c r="P621" s="45" t="str">
        <f t="shared" si="9"/>
        <v/>
      </c>
    </row>
    <row r="622" spans="1:16" ht="18">
      <c r="A622" s="92" t="s">
        <v>4374</v>
      </c>
      <c r="B622" s="345">
        <v>2010</v>
      </c>
      <c r="C622" s="92" t="s">
        <v>5279</v>
      </c>
      <c r="D622" s="345">
        <v>20815703</v>
      </c>
      <c r="E622" s="278" t="str">
        <f t="shared" si="2"/>
        <v>https://pubmed.ncbi.nlm.nih.gov/?term=20815703</v>
      </c>
      <c r="H622" s="28" t="s">
        <v>511</v>
      </c>
      <c r="J622" s="346" t="str">
        <f t="shared" si="3"/>
        <v/>
      </c>
      <c r="K622" s="28" t="str">
        <f t="shared" si="4"/>
        <v/>
      </c>
      <c r="L622" s="45" t="str">
        <f t="shared" si="5"/>
        <v/>
      </c>
      <c r="M622" s="45" t="str">
        <f t="shared" si="6"/>
        <v/>
      </c>
      <c r="N622" s="45" t="str">
        <f t="shared" si="7"/>
        <v/>
      </c>
      <c r="O622" s="45" t="str">
        <f t="shared" si="8"/>
        <v/>
      </c>
      <c r="P622" s="45" t="str">
        <f t="shared" si="9"/>
        <v/>
      </c>
    </row>
    <row r="623" spans="1:16" ht="18">
      <c r="A623" s="92" t="s">
        <v>5280</v>
      </c>
      <c r="B623" s="345">
        <v>2009</v>
      </c>
      <c r="C623" s="92" t="s">
        <v>5281</v>
      </c>
      <c r="D623" s="345">
        <v>18835437</v>
      </c>
      <c r="E623" s="278" t="str">
        <f t="shared" si="2"/>
        <v>https://pubmed.ncbi.nlm.nih.gov/?term=18835437</v>
      </c>
      <c r="F623" s="28" t="s">
        <v>511</v>
      </c>
      <c r="G623" s="28" t="s">
        <v>5282</v>
      </c>
      <c r="J623" s="346" t="str">
        <f t="shared" si="3"/>
        <v/>
      </c>
      <c r="K623" s="28" t="str">
        <f t="shared" si="4"/>
        <v/>
      </c>
      <c r="L623" s="45" t="str">
        <f t="shared" si="5"/>
        <v/>
      </c>
      <c r="M623" s="45" t="str">
        <f t="shared" si="6"/>
        <v/>
      </c>
      <c r="N623" s="45">
        <f t="shared" si="7"/>
        <v>1</v>
      </c>
      <c r="O623" s="45" t="str">
        <f t="shared" si="8"/>
        <v/>
      </c>
      <c r="P623" s="45" t="str">
        <f t="shared" si="9"/>
        <v/>
      </c>
    </row>
    <row r="624" spans="1:16" ht="18">
      <c r="A624" s="92" t="s">
        <v>5283</v>
      </c>
      <c r="B624" s="345">
        <v>2004</v>
      </c>
      <c r="C624" s="92"/>
      <c r="D624" s="345">
        <v>15034063</v>
      </c>
      <c r="E624" s="278" t="str">
        <f t="shared" si="2"/>
        <v>https://pubmed.ncbi.nlm.nih.gov/?term=15034063</v>
      </c>
      <c r="F624" s="28" t="s">
        <v>511</v>
      </c>
      <c r="G624" s="28" t="s">
        <v>5284</v>
      </c>
      <c r="J624" s="346" t="str">
        <f t="shared" si="3"/>
        <v/>
      </c>
      <c r="K624" s="28" t="str">
        <f t="shared" si="4"/>
        <v/>
      </c>
      <c r="L624" s="45" t="str">
        <f t="shared" si="5"/>
        <v/>
      </c>
      <c r="M624" s="45" t="str">
        <f t="shared" si="6"/>
        <v/>
      </c>
      <c r="N624" s="45" t="str">
        <f t="shared" si="7"/>
        <v/>
      </c>
      <c r="O624" s="45">
        <f t="shared" si="8"/>
        <v>1</v>
      </c>
      <c r="P624" s="45" t="str">
        <f t="shared" si="9"/>
        <v/>
      </c>
    </row>
    <row r="625" spans="1:16" ht="18">
      <c r="A625" s="92" t="s">
        <v>2371</v>
      </c>
      <c r="B625" s="345">
        <v>2000</v>
      </c>
      <c r="C625" s="92"/>
      <c r="D625" s="345">
        <v>11073753</v>
      </c>
      <c r="E625" s="278" t="str">
        <f t="shared" si="2"/>
        <v>https://pubmed.ncbi.nlm.nih.gov/?term=11073753</v>
      </c>
      <c r="H625" s="28" t="s">
        <v>511</v>
      </c>
      <c r="J625" s="346" t="str">
        <f t="shared" si="3"/>
        <v/>
      </c>
      <c r="K625" s="28" t="str">
        <f t="shared" si="4"/>
        <v/>
      </c>
      <c r="L625" s="45" t="str">
        <f t="shared" si="5"/>
        <v/>
      </c>
      <c r="M625" s="45" t="str">
        <f t="shared" si="6"/>
        <v/>
      </c>
      <c r="N625" s="45" t="str">
        <f t="shared" si="7"/>
        <v/>
      </c>
      <c r="O625" s="45" t="str">
        <f t="shared" si="8"/>
        <v/>
      </c>
      <c r="P625" s="45" t="str">
        <f t="shared" si="9"/>
        <v/>
      </c>
    </row>
    <row r="626" spans="1:16" ht="18">
      <c r="A626" s="92" t="s">
        <v>5285</v>
      </c>
      <c r="B626" s="345">
        <v>2010</v>
      </c>
      <c r="C626" s="92"/>
      <c r="D626" s="345">
        <v>21316534</v>
      </c>
      <c r="E626" s="278" t="str">
        <f t="shared" si="2"/>
        <v>https://pubmed.ncbi.nlm.nih.gov/?term=21316534</v>
      </c>
      <c r="F626" s="28" t="s">
        <v>511</v>
      </c>
      <c r="G626" s="28" t="s">
        <v>4592</v>
      </c>
      <c r="J626" s="346">
        <f t="shared" si="3"/>
        <v>1</v>
      </c>
      <c r="K626" s="28" t="str">
        <f t="shared" si="4"/>
        <v/>
      </c>
      <c r="L626" s="45" t="str">
        <f t="shared" si="5"/>
        <v/>
      </c>
      <c r="M626" s="45" t="str">
        <f t="shared" si="6"/>
        <v/>
      </c>
      <c r="N626" s="45" t="str">
        <f t="shared" si="7"/>
        <v/>
      </c>
      <c r="O626" s="45" t="str">
        <f t="shared" si="8"/>
        <v/>
      </c>
      <c r="P626" s="45" t="str">
        <f t="shared" si="9"/>
        <v/>
      </c>
    </row>
    <row r="627" spans="1:16" ht="18">
      <c r="A627" s="92" t="s">
        <v>5286</v>
      </c>
      <c r="B627" s="345">
        <v>2008</v>
      </c>
      <c r="C627" s="92" t="s">
        <v>5287</v>
      </c>
      <c r="D627" s="345">
        <v>18285493</v>
      </c>
      <c r="E627" s="278" t="str">
        <f t="shared" si="2"/>
        <v>https://pubmed.ncbi.nlm.nih.gov/?term=18285493</v>
      </c>
      <c r="F627" s="28" t="s">
        <v>511</v>
      </c>
      <c r="G627" s="28" t="s">
        <v>4346</v>
      </c>
      <c r="J627" s="346" t="str">
        <f t="shared" si="3"/>
        <v/>
      </c>
      <c r="K627" s="28" t="str">
        <f t="shared" si="4"/>
        <v/>
      </c>
      <c r="L627" s="45">
        <f t="shared" si="5"/>
        <v>1</v>
      </c>
      <c r="M627" s="45" t="str">
        <f t="shared" si="6"/>
        <v/>
      </c>
      <c r="N627" s="45" t="str">
        <f t="shared" si="7"/>
        <v/>
      </c>
      <c r="O627" s="45" t="str">
        <f t="shared" si="8"/>
        <v/>
      </c>
      <c r="P627" s="45" t="str">
        <f t="shared" si="9"/>
        <v/>
      </c>
    </row>
    <row r="628" spans="1:16" ht="18">
      <c r="A628" s="92" t="s">
        <v>5288</v>
      </c>
      <c r="B628" s="345">
        <v>2006</v>
      </c>
      <c r="C628" s="92"/>
      <c r="D628" s="345">
        <v>17242485</v>
      </c>
      <c r="E628" s="278" t="str">
        <f t="shared" si="2"/>
        <v>https://pubmed.ncbi.nlm.nih.gov/?term=17242485</v>
      </c>
      <c r="F628" s="28" t="s">
        <v>511</v>
      </c>
      <c r="G628" s="28" t="s">
        <v>4592</v>
      </c>
      <c r="J628" s="346">
        <f t="shared" si="3"/>
        <v>1</v>
      </c>
      <c r="K628" s="28" t="str">
        <f t="shared" si="4"/>
        <v/>
      </c>
      <c r="L628" s="45" t="str">
        <f t="shared" si="5"/>
        <v/>
      </c>
      <c r="M628" s="45" t="str">
        <f t="shared" si="6"/>
        <v/>
      </c>
      <c r="N628" s="45" t="str">
        <f t="shared" si="7"/>
        <v/>
      </c>
      <c r="O628" s="45" t="str">
        <f t="shared" si="8"/>
        <v/>
      </c>
      <c r="P628" s="45" t="str">
        <f t="shared" si="9"/>
        <v/>
      </c>
    </row>
    <row r="629" spans="1:16" ht="18">
      <c r="A629" s="92" t="s">
        <v>5289</v>
      </c>
      <c r="B629" s="345">
        <v>2009</v>
      </c>
      <c r="C629" s="92"/>
      <c r="D629" s="345">
        <v>19010372</v>
      </c>
      <c r="E629" s="278" t="str">
        <f t="shared" si="2"/>
        <v>https://pubmed.ncbi.nlm.nih.gov/?term=19010372</v>
      </c>
      <c r="F629" s="28" t="s">
        <v>511</v>
      </c>
      <c r="G629" s="28" t="s">
        <v>4346</v>
      </c>
      <c r="J629" s="346" t="str">
        <f t="shared" si="3"/>
        <v/>
      </c>
      <c r="K629" s="28" t="str">
        <f t="shared" si="4"/>
        <v/>
      </c>
      <c r="L629" s="45">
        <f t="shared" si="5"/>
        <v>1</v>
      </c>
      <c r="M629" s="45" t="str">
        <f t="shared" si="6"/>
        <v/>
      </c>
      <c r="N629" s="45" t="str">
        <f t="shared" si="7"/>
        <v/>
      </c>
      <c r="O629" s="45" t="str">
        <f t="shared" si="8"/>
        <v/>
      </c>
      <c r="P629" s="45" t="str">
        <f t="shared" si="9"/>
        <v/>
      </c>
    </row>
    <row r="630" spans="1:16" ht="18">
      <c r="A630" s="92" t="s">
        <v>5290</v>
      </c>
      <c r="B630" s="345">
        <v>2001</v>
      </c>
      <c r="C630" s="92"/>
      <c r="D630" s="345">
        <v>11438771</v>
      </c>
      <c r="E630" s="278" t="str">
        <f t="shared" si="2"/>
        <v>https://pubmed.ncbi.nlm.nih.gov/?term=11438771</v>
      </c>
      <c r="F630" s="28" t="s">
        <v>511</v>
      </c>
      <c r="G630" s="28" t="s">
        <v>4656</v>
      </c>
      <c r="J630" s="346">
        <f t="shared" si="3"/>
        <v>1</v>
      </c>
      <c r="K630" s="28" t="str">
        <f t="shared" si="4"/>
        <v/>
      </c>
      <c r="L630" s="45" t="str">
        <f t="shared" si="5"/>
        <v/>
      </c>
      <c r="M630" s="45" t="str">
        <f t="shared" si="6"/>
        <v/>
      </c>
      <c r="N630" s="45" t="str">
        <f t="shared" si="7"/>
        <v/>
      </c>
      <c r="O630" s="45" t="str">
        <f t="shared" si="8"/>
        <v/>
      </c>
      <c r="P630" s="45" t="str">
        <f t="shared" si="9"/>
        <v/>
      </c>
    </row>
    <row r="631" spans="1:16" ht="18">
      <c r="A631" s="92" t="s">
        <v>1800</v>
      </c>
      <c r="B631" s="345">
        <v>2003</v>
      </c>
      <c r="C631" s="92" t="s">
        <v>5291</v>
      </c>
      <c r="D631" s="345">
        <v>12627355</v>
      </c>
      <c r="E631" s="278" t="str">
        <f t="shared" si="2"/>
        <v>https://pubmed.ncbi.nlm.nih.gov/?term=12627355</v>
      </c>
      <c r="H631" s="28" t="s">
        <v>511</v>
      </c>
      <c r="J631" s="346" t="str">
        <f t="shared" si="3"/>
        <v/>
      </c>
      <c r="K631" s="28" t="str">
        <f t="shared" si="4"/>
        <v/>
      </c>
      <c r="L631" s="45" t="str">
        <f t="shared" si="5"/>
        <v/>
      </c>
      <c r="M631" s="45" t="str">
        <f t="shared" si="6"/>
        <v/>
      </c>
      <c r="N631" s="45" t="str">
        <f t="shared" si="7"/>
        <v/>
      </c>
      <c r="O631" s="45" t="str">
        <f t="shared" si="8"/>
        <v/>
      </c>
      <c r="P631" s="45" t="str">
        <f t="shared" si="9"/>
        <v/>
      </c>
    </row>
    <row r="632" spans="1:16" ht="18">
      <c r="A632" s="92" t="s">
        <v>5292</v>
      </c>
      <c r="B632" s="345">
        <v>2001</v>
      </c>
      <c r="C632" s="92"/>
      <c r="D632" s="345">
        <v>11785887</v>
      </c>
      <c r="E632" s="278" t="str">
        <f t="shared" si="2"/>
        <v>https://pubmed.ncbi.nlm.nih.gov/?term=11785887</v>
      </c>
      <c r="F632" s="28" t="s">
        <v>511</v>
      </c>
      <c r="G632" s="28" t="s">
        <v>4346</v>
      </c>
      <c r="J632" s="346" t="str">
        <f t="shared" si="3"/>
        <v/>
      </c>
      <c r="K632" s="28" t="str">
        <f t="shared" si="4"/>
        <v/>
      </c>
      <c r="L632" s="45">
        <f t="shared" si="5"/>
        <v>1</v>
      </c>
      <c r="M632" s="45" t="str">
        <f t="shared" si="6"/>
        <v/>
      </c>
      <c r="N632" s="45" t="str">
        <f t="shared" si="7"/>
        <v/>
      </c>
      <c r="O632" s="45" t="str">
        <f t="shared" si="8"/>
        <v/>
      </c>
      <c r="P632" s="45" t="str">
        <f t="shared" si="9"/>
        <v/>
      </c>
    </row>
    <row r="633" spans="1:16" ht="18">
      <c r="A633" s="92" t="s">
        <v>4753</v>
      </c>
      <c r="B633" s="345">
        <v>2000</v>
      </c>
      <c r="C633" s="92"/>
      <c r="D633" s="345">
        <v>11354808</v>
      </c>
      <c r="E633" s="278" t="str">
        <f t="shared" si="2"/>
        <v>https://pubmed.ncbi.nlm.nih.gov/?term=11354808</v>
      </c>
      <c r="F633" s="28" t="s">
        <v>511</v>
      </c>
      <c r="G633" s="28" t="s">
        <v>4592</v>
      </c>
      <c r="J633" s="346">
        <f t="shared" si="3"/>
        <v>1</v>
      </c>
      <c r="K633" s="28" t="str">
        <f t="shared" si="4"/>
        <v/>
      </c>
      <c r="L633" s="45" t="str">
        <f t="shared" si="5"/>
        <v/>
      </c>
      <c r="M633" s="45" t="str">
        <f t="shared" si="6"/>
        <v/>
      </c>
      <c r="N633" s="45" t="str">
        <f t="shared" si="7"/>
        <v/>
      </c>
      <c r="O633" s="45" t="str">
        <f t="shared" si="8"/>
        <v/>
      </c>
      <c r="P633" s="45" t="str">
        <f t="shared" si="9"/>
        <v/>
      </c>
    </row>
    <row r="634" spans="1:16" ht="18">
      <c r="A634" s="92" t="s">
        <v>5293</v>
      </c>
      <c r="B634" s="345">
        <v>2010</v>
      </c>
      <c r="C634" s="92"/>
      <c r="D634" s="345">
        <v>20219540</v>
      </c>
      <c r="E634" s="278" t="str">
        <f t="shared" si="2"/>
        <v>https://pubmed.ncbi.nlm.nih.gov/?term=20219540</v>
      </c>
      <c r="F634" s="28" t="s">
        <v>511</v>
      </c>
      <c r="G634" s="28" t="s">
        <v>4346</v>
      </c>
      <c r="J634" s="346" t="str">
        <f t="shared" si="3"/>
        <v/>
      </c>
      <c r="K634" s="28" t="str">
        <f t="shared" si="4"/>
        <v/>
      </c>
      <c r="L634" s="45">
        <f t="shared" si="5"/>
        <v>1</v>
      </c>
      <c r="M634" s="45" t="str">
        <f t="shared" si="6"/>
        <v/>
      </c>
      <c r="N634" s="45" t="str">
        <f t="shared" si="7"/>
        <v/>
      </c>
      <c r="O634" s="45" t="str">
        <f t="shared" si="8"/>
        <v/>
      </c>
      <c r="P634" s="45" t="str">
        <f t="shared" si="9"/>
        <v/>
      </c>
    </row>
    <row r="635" spans="1:16" ht="18">
      <c r="A635" s="92" t="s">
        <v>5294</v>
      </c>
      <c r="B635" s="345">
        <v>2002</v>
      </c>
      <c r="C635" s="92"/>
      <c r="D635" s="345">
        <v>12473576</v>
      </c>
      <c r="E635" s="278" t="str">
        <f t="shared" si="2"/>
        <v>https://pubmed.ncbi.nlm.nih.gov/?term=12473576</v>
      </c>
      <c r="F635" s="28" t="s">
        <v>511</v>
      </c>
      <c r="G635" s="28" t="s">
        <v>4781</v>
      </c>
      <c r="J635" s="346" t="str">
        <f t="shared" si="3"/>
        <v/>
      </c>
      <c r="K635" s="28" t="str">
        <f t="shared" si="4"/>
        <v/>
      </c>
      <c r="L635" s="45" t="str">
        <f t="shared" si="5"/>
        <v/>
      </c>
      <c r="M635" s="45" t="str">
        <f t="shared" si="6"/>
        <v/>
      </c>
      <c r="N635" s="45" t="str">
        <f t="shared" si="7"/>
        <v/>
      </c>
      <c r="O635" s="45">
        <f t="shared" si="8"/>
        <v>1</v>
      </c>
      <c r="P635" s="45" t="str">
        <f t="shared" si="9"/>
        <v/>
      </c>
    </row>
    <row r="636" spans="1:16" ht="18">
      <c r="A636" s="92" t="s">
        <v>5295</v>
      </c>
      <c r="B636" s="345">
        <v>2004</v>
      </c>
      <c r="C636" s="92"/>
      <c r="D636" s="345">
        <v>15089110</v>
      </c>
      <c r="E636" s="278" t="str">
        <f t="shared" si="2"/>
        <v>https://pubmed.ncbi.nlm.nih.gov/?term=15089110</v>
      </c>
      <c r="F636" s="28" t="s">
        <v>511</v>
      </c>
      <c r="G636" s="28" t="s">
        <v>4592</v>
      </c>
      <c r="J636" s="346">
        <f t="shared" si="3"/>
        <v>1</v>
      </c>
      <c r="K636" s="28" t="str">
        <f t="shared" si="4"/>
        <v/>
      </c>
      <c r="L636" s="45" t="str">
        <f t="shared" si="5"/>
        <v/>
      </c>
      <c r="M636" s="45" t="str">
        <f t="shared" si="6"/>
        <v/>
      </c>
      <c r="N636" s="45" t="str">
        <f t="shared" si="7"/>
        <v/>
      </c>
      <c r="O636" s="45" t="str">
        <f t="shared" si="8"/>
        <v/>
      </c>
      <c r="P636" s="45" t="str">
        <f t="shared" si="9"/>
        <v/>
      </c>
    </row>
    <row r="637" spans="1:16" ht="18">
      <c r="A637" s="92" t="s">
        <v>4752</v>
      </c>
      <c r="B637" s="345">
        <v>2000</v>
      </c>
      <c r="C637" s="92"/>
      <c r="D637" s="345">
        <v>10807510</v>
      </c>
      <c r="E637" s="278" t="str">
        <f t="shared" si="2"/>
        <v>https://pubmed.ncbi.nlm.nih.gov/?term=10807510</v>
      </c>
      <c r="F637" s="28" t="s">
        <v>511</v>
      </c>
      <c r="G637" s="28" t="s">
        <v>4592</v>
      </c>
      <c r="J637" s="346">
        <f t="shared" si="3"/>
        <v>1</v>
      </c>
      <c r="K637" s="28" t="str">
        <f t="shared" si="4"/>
        <v/>
      </c>
      <c r="L637" s="45" t="str">
        <f t="shared" si="5"/>
        <v/>
      </c>
      <c r="M637" s="45" t="str">
        <f t="shared" si="6"/>
        <v/>
      </c>
      <c r="N637" s="45" t="str">
        <f t="shared" si="7"/>
        <v/>
      </c>
      <c r="O637" s="45" t="str">
        <f t="shared" si="8"/>
        <v/>
      </c>
      <c r="P637" s="45" t="str">
        <f t="shared" si="9"/>
        <v/>
      </c>
    </row>
    <row r="638" spans="1:16" ht="18">
      <c r="A638" s="92" t="s">
        <v>5296</v>
      </c>
      <c r="B638" s="345">
        <v>2010</v>
      </c>
      <c r="C638" s="92" t="s">
        <v>5297</v>
      </c>
      <c r="D638" s="345">
        <v>20508214</v>
      </c>
      <c r="E638" s="278" t="str">
        <f t="shared" si="2"/>
        <v>https://pubmed.ncbi.nlm.nih.gov/?term=20508214</v>
      </c>
      <c r="F638" s="28" t="s">
        <v>511</v>
      </c>
      <c r="G638" s="28" t="s">
        <v>4346</v>
      </c>
      <c r="J638" s="346" t="str">
        <f t="shared" si="3"/>
        <v/>
      </c>
      <c r="K638" s="28" t="str">
        <f t="shared" si="4"/>
        <v/>
      </c>
      <c r="L638" s="45">
        <f t="shared" si="5"/>
        <v>1</v>
      </c>
      <c r="M638" s="45" t="str">
        <f t="shared" si="6"/>
        <v/>
      </c>
      <c r="N638" s="45" t="str">
        <f t="shared" si="7"/>
        <v/>
      </c>
      <c r="O638" s="45" t="str">
        <f t="shared" si="8"/>
        <v/>
      </c>
      <c r="P638" s="45" t="str">
        <f t="shared" si="9"/>
        <v/>
      </c>
    </row>
    <row r="639" spans="1:16" ht="18">
      <c r="A639" s="92" t="s">
        <v>5298</v>
      </c>
      <c r="B639" s="345">
        <v>2007</v>
      </c>
      <c r="C639" s="92"/>
      <c r="D639" s="345">
        <v>17505917</v>
      </c>
      <c r="E639" s="278" t="str">
        <f t="shared" si="2"/>
        <v>https://pubmed.ncbi.nlm.nih.gov/?term=17505917</v>
      </c>
      <c r="F639" s="28" t="s">
        <v>511</v>
      </c>
      <c r="G639" s="28" t="s">
        <v>5299</v>
      </c>
      <c r="J639" s="346" t="str">
        <f t="shared" si="3"/>
        <v/>
      </c>
      <c r="K639" s="28" t="str">
        <f t="shared" si="4"/>
        <v/>
      </c>
      <c r="L639" s="45" t="str">
        <f t="shared" si="5"/>
        <v/>
      </c>
      <c r="M639" s="45" t="str">
        <f t="shared" si="6"/>
        <v/>
      </c>
      <c r="N639" s="45">
        <f t="shared" si="7"/>
        <v>1</v>
      </c>
      <c r="O639" s="45" t="str">
        <f t="shared" si="8"/>
        <v/>
      </c>
      <c r="P639" s="45" t="str">
        <f t="shared" si="9"/>
        <v/>
      </c>
    </row>
    <row r="640" spans="1:16" ht="18">
      <c r="A640" s="92" t="s">
        <v>5300</v>
      </c>
      <c r="B640" s="345">
        <v>2009</v>
      </c>
      <c r="C640" s="92"/>
      <c r="D640" s="345">
        <v>19443795</v>
      </c>
      <c r="E640" s="278" t="str">
        <f t="shared" si="2"/>
        <v>https://pubmed.ncbi.nlm.nih.gov/?term=19443795</v>
      </c>
      <c r="F640" s="28" t="s">
        <v>511</v>
      </c>
      <c r="G640" s="28" t="s">
        <v>5043</v>
      </c>
      <c r="J640" s="346" t="str">
        <f t="shared" si="3"/>
        <v/>
      </c>
      <c r="K640" s="28" t="str">
        <f t="shared" si="4"/>
        <v/>
      </c>
      <c r="L640" s="45" t="str">
        <f t="shared" si="5"/>
        <v/>
      </c>
      <c r="M640" s="45" t="str">
        <f t="shared" si="6"/>
        <v/>
      </c>
      <c r="N640" s="45">
        <f t="shared" si="7"/>
        <v>1</v>
      </c>
      <c r="O640" s="45" t="str">
        <f t="shared" si="8"/>
        <v/>
      </c>
      <c r="P640" s="45" t="str">
        <f t="shared" si="9"/>
        <v/>
      </c>
    </row>
    <row r="641" spans="1:16" ht="18">
      <c r="A641" s="92" t="s">
        <v>5301</v>
      </c>
      <c r="B641" s="345">
        <v>2004</v>
      </c>
      <c r="C641" s="92"/>
      <c r="D641" s="345">
        <v>14758179</v>
      </c>
      <c r="E641" s="278" t="str">
        <f t="shared" si="2"/>
        <v>https://pubmed.ncbi.nlm.nih.gov/?term=14758179</v>
      </c>
      <c r="F641" s="28" t="s">
        <v>511</v>
      </c>
      <c r="G641" s="28" t="s">
        <v>4867</v>
      </c>
      <c r="J641" s="346" t="str">
        <f t="shared" si="3"/>
        <v/>
      </c>
      <c r="K641" s="28" t="str">
        <f t="shared" si="4"/>
        <v/>
      </c>
      <c r="L641" s="45" t="str">
        <f t="shared" si="5"/>
        <v/>
      </c>
      <c r="M641" s="45" t="str">
        <f t="shared" si="6"/>
        <v/>
      </c>
      <c r="N641" s="45">
        <f t="shared" si="7"/>
        <v>1</v>
      </c>
      <c r="O641" s="45" t="str">
        <f t="shared" si="8"/>
        <v/>
      </c>
      <c r="P641" s="45" t="str">
        <f t="shared" si="9"/>
        <v/>
      </c>
    </row>
    <row r="642" spans="1:16" ht="18">
      <c r="A642" s="92" t="s">
        <v>5302</v>
      </c>
      <c r="B642" s="345">
        <v>2006</v>
      </c>
      <c r="C642" s="92"/>
      <c r="D642" s="345">
        <v>16764676</v>
      </c>
      <c r="E642" s="278" t="str">
        <f t="shared" si="2"/>
        <v>https://pubmed.ncbi.nlm.nih.gov/?term=16764676</v>
      </c>
      <c r="F642" s="28" t="s">
        <v>511</v>
      </c>
      <c r="G642" s="28" t="s">
        <v>4346</v>
      </c>
      <c r="J642" s="346" t="str">
        <f t="shared" si="3"/>
        <v/>
      </c>
      <c r="K642" s="28" t="str">
        <f t="shared" si="4"/>
        <v/>
      </c>
      <c r="L642" s="45">
        <f t="shared" si="5"/>
        <v>1</v>
      </c>
      <c r="M642" s="45" t="str">
        <f t="shared" si="6"/>
        <v/>
      </c>
      <c r="N642" s="45" t="str">
        <f t="shared" si="7"/>
        <v/>
      </c>
      <c r="O642" s="45" t="str">
        <f t="shared" si="8"/>
        <v/>
      </c>
      <c r="P642" s="45" t="str">
        <f t="shared" si="9"/>
        <v/>
      </c>
    </row>
    <row r="643" spans="1:16" ht="18">
      <c r="A643" s="92" t="s">
        <v>5303</v>
      </c>
      <c r="B643" s="345">
        <v>2009</v>
      </c>
      <c r="C643" s="92"/>
      <c r="D643" s="345">
        <v>19215941</v>
      </c>
      <c r="E643" s="278" t="str">
        <f t="shared" si="2"/>
        <v>https://pubmed.ncbi.nlm.nih.gov/?term=19215941</v>
      </c>
      <c r="F643" s="28" t="s">
        <v>511</v>
      </c>
      <c r="G643" s="28" t="s">
        <v>5304</v>
      </c>
      <c r="J643" s="346" t="str">
        <f t="shared" si="3"/>
        <v/>
      </c>
      <c r="K643" s="28" t="str">
        <f t="shared" si="4"/>
        <v/>
      </c>
      <c r="L643" s="45" t="str">
        <f t="shared" si="5"/>
        <v/>
      </c>
      <c r="M643" s="45" t="str">
        <f t="shared" si="6"/>
        <v/>
      </c>
      <c r="N643" s="45" t="str">
        <f t="shared" si="7"/>
        <v/>
      </c>
      <c r="O643" s="45">
        <f t="shared" si="8"/>
        <v>1</v>
      </c>
      <c r="P643" s="45" t="str">
        <f t="shared" si="9"/>
        <v/>
      </c>
    </row>
    <row r="644" spans="1:16" ht="18">
      <c r="A644" s="92" t="s">
        <v>5305</v>
      </c>
      <c r="B644" s="345">
        <v>2004</v>
      </c>
      <c r="C644" s="92"/>
      <c r="D644" s="345">
        <v>15284384</v>
      </c>
      <c r="E644" s="278" t="str">
        <f t="shared" si="2"/>
        <v>https://pubmed.ncbi.nlm.nih.gov/?term=15284384</v>
      </c>
      <c r="F644" s="28" t="s">
        <v>511</v>
      </c>
      <c r="G644" s="28" t="s">
        <v>4346</v>
      </c>
      <c r="J644" s="346" t="str">
        <f t="shared" si="3"/>
        <v/>
      </c>
      <c r="K644" s="28" t="str">
        <f t="shared" si="4"/>
        <v/>
      </c>
      <c r="L644" s="45">
        <f t="shared" si="5"/>
        <v>1</v>
      </c>
      <c r="M644" s="45" t="str">
        <f t="shared" si="6"/>
        <v/>
      </c>
      <c r="N644" s="45" t="str">
        <f t="shared" si="7"/>
        <v/>
      </c>
      <c r="O644" s="45" t="str">
        <f t="shared" si="8"/>
        <v/>
      </c>
      <c r="P644" s="45" t="str">
        <f t="shared" si="9"/>
        <v/>
      </c>
    </row>
    <row r="645" spans="1:16" ht="18">
      <c r="A645" s="92" t="s">
        <v>4800</v>
      </c>
      <c r="B645" s="345">
        <v>2008</v>
      </c>
      <c r="C645" s="92"/>
      <c r="D645" s="345">
        <v>18816180</v>
      </c>
      <c r="E645" s="278" t="str">
        <f t="shared" si="2"/>
        <v>https://pubmed.ncbi.nlm.nih.gov/?term=18816180</v>
      </c>
      <c r="F645" s="28" t="s">
        <v>511</v>
      </c>
      <c r="G645" s="28" t="s">
        <v>4346</v>
      </c>
      <c r="J645" s="346" t="str">
        <f t="shared" si="3"/>
        <v/>
      </c>
      <c r="K645" s="28" t="str">
        <f t="shared" si="4"/>
        <v/>
      </c>
      <c r="L645" s="45">
        <f t="shared" si="5"/>
        <v>1</v>
      </c>
      <c r="M645" s="45" t="str">
        <f t="shared" si="6"/>
        <v/>
      </c>
      <c r="N645" s="45" t="str">
        <f t="shared" si="7"/>
        <v/>
      </c>
      <c r="O645" s="45" t="str">
        <f t="shared" si="8"/>
        <v/>
      </c>
      <c r="P645" s="45" t="str">
        <f t="shared" si="9"/>
        <v/>
      </c>
    </row>
    <row r="646" spans="1:16" ht="18">
      <c r="A646" s="92" t="s">
        <v>5306</v>
      </c>
      <c r="B646" s="345">
        <v>2003</v>
      </c>
      <c r="C646" s="92"/>
      <c r="D646" s="345">
        <v>14628995</v>
      </c>
      <c r="E646" s="278" t="str">
        <f t="shared" si="2"/>
        <v>https://pubmed.ncbi.nlm.nih.gov/?term=14628995</v>
      </c>
      <c r="F646" s="28" t="s">
        <v>511</v>
      </c>
      <c r="G646" s="28" t="s">
        <v>4346</v>
      </c>
      <c r="J646" s="346" t="str">
        <f t="shared" si="3"/>
        <v/>
      </c>
      <c r="K646" s="28" t="str">
        <f t="shared" si="4"/>
        <v/>
      </c>
      <c r="L646" s="45">
        <f t="shared" si="5"/>
        <v>1</v>
      </c>
      <c r="M646" s="45" t="str">
        <f t="shared" si="6"/>
        <v/>
      </c>
      <c r="N646" s="45" t="str">
        <f t="shared" si="7"/>
        <v/>
      </c>
      <c r="O646" s="45" t="str">
        <f t="shared" si="8"/>
        <v/>
      </c>
      <c r="P646" s="45" t="str">
        <f t="shared" si="9"/>
        <v/>
      </c>
    </row>
    <row r="647" spans="1:16" ht="18">
      <c r="A647" s="92" t="s">
        <v>4341</v>
      </c>
      <c r="B647" s="345">
        <v>2001</v>
      </c>
      <c r="C647" s="92"/>
      <c r="D647" s="345">
        <v>11424113</v>
      </c>
      <c r="E647" s="278" t="str">
        <f t="shared" si="2"/>
        <v>https://pubmed.ncbi.nlm.nih.gov/?term=11424113</v>
      </c>
      <c r="H647" s="28" t="s">
        <v>511</v>
      </c>
      <c r="J647" s="346" t="str">
        <f t="shared" si="3"/>
        <v/>
      </c>
      <c r="K647" s="28" t="str">
        <f t="shared" si="4"/>
        <v/>
      </c>
      <c r="L647" s="45" t="str">
        <f t="shared" si="5"/>
        <v/>
      </c>
      <c r="M647" s="45" t="str">
        <f t="shared" si="6"/>
        <v/>
      </c>
      <c r="N647" s="45" t="str">
        <f t="shared" si="7"/>
        <v/>
      </c>
      <c r="O647" s="45" t="str">
        <f t="shared" si="8"/>
        <v/>
      </c>
      <c r="P647" s="45" t="str">
        <f t="shared" si="9"/>
        <v/>
      </c>
    </row>
    <row r="648" spans="1:16" ht="18">
      <c r="A648" s="92" t="s">
        <v>5307</v>
      </c>
      <c r="B648" s="345">
        <v>2010</v>
      </c>
      <c r="C648" s="92"/>
      <c r="D648" s="345">
        <v>19748521</v>
      </c>
      <c r="E648" s="278" t="str">
        <f t="shared" si="2"/>
        <v>https://pubmed.ncbi.nlm.nih.gov/?term=19748521</v>
      </c>
      <c r="F648" s="28" t="s">
        <v>511</v>
      </c>
      <c r="G648" s="28" t="s">
        <v>4346</v>
      </c>
      <c r="J648" s="346" t="str">
        <f t="shared" si="3"/>
        <v/>
      </c>
      <c r="K648" s="28" t="str">
        <f t="shared" si="4"/>
        <v/>
      </c>
      <c r="L648" s="45">
        <f t="shared" si="5"/>
        <v>1</v>
      </c>
      <c r="M648" s="45" t="str">
        <f t="shared" si="6"/>
        <v/>
      </c>
      <c r="N648" s="45" t="str">
        <f t="shared" si="7"/>
        <v/>
      </c>
      <c r="O648" s="45" t="str">
        <f t="shared" si="8"/>
        <v/>
      </c>
      <c r="P648" s="45" t="str">
        <f t="shared" si="9"/>
        <v/>
      </c>
    </row>
    <row r="649" spans="1:16" ht="18">
      <c r="A649" s="92" t="s">
        <v>4766</v>
      </c>
      <c r="B649" s="345">
        <v>2000</v>
      </c>
      <c r="C649" s="92"/>
      <c r="D649" s="345">
        <v>11089992</v>
      </c>
      <c r="E649" s="278" t="str">
        <f t="shared" si="2"/>
        <v>https://pubmed.ncbi.nlm.nih.gov/?term=11089992</v>
      </c>
      <c r="F649" s="28" t="s">
        <v>511</v>
      </c>
      <c r="G649" s="28" t="s">
        <v>4346</v>
      </c>
      <c r="J649" s="346" t="str">
        <f t="shared" si="3"/>
        <v/>
      </c>
      <c r="K649" s="28" t="str">
        <f t="shared" si="4"/>
        <v/>
      </c>
      <c r="L649" s="45">
        <f t="shared" si="5"/>
        <v>1</v>
      </c>
      <c r="M649" s="45" t="str">
        <f t="shared" si="6"/>
        <v/>
      </c>
      <c r="N649" s="45" t="str">
        <f t="shared" si="7"/>
        <v/>
      </c>
      <c r="O649" s="45" t="str">
        <f t="shared" si="8"/>
        <v/>
      </c>
      <c r="P649" s="45" t="str">
        <f t="shared" si="9"/>
        <v/>
      </c>
    </row>
    <row r="650" spans="1:16" ht="18">
      <c r="A650" s="92" t="s">
        <v>5308</v>
      </c>
      <c r="B650" s="345">
        <v>2007</v>
      </c>
      <c r="C650" s="92"/>
      <c r="D650" s="345">
        <v>17883282</v>
      </c>
      <c r="E650" s="278" t="str">
        <f t="shared" si="2"/>
        <v>https://pubmed.ncbi.nlm.nih.gov/?term=17883282</v>
      </c>
      <c r="F650" s="28" t="s">
        <v>511</v>
      </c>
      <c r="G650" s="28" t="s">
        <v>4592</v>
      </c>
      <c r="J650" s="346">
        <f t="shared" si="3"/>
        <v>1</v>
      </c>
      <c r="K650" s="28" t="str">
        <f t="shared" si="4"/>
        <v/>
      </c>
      <c r="L650" s="45" t="str">
        <f t="shared" si="5"/>
        <v/>
      </c>
      <c r="M650" s="45" t="str">
        <f t="shared" si="6"/>
        <v/>
      </c>
      <c r="N650" s="45" t="str">
        <f t="shared" si="7"/>
        <v/>
      </c>
      <c r="O650" s="45" t="str">
        <f t="shared" si="8"/>
        <v/>
      </c>
      <c r="P650" s="45" t="str">
        <f t="shared" si="9"/>
        <v/>
      </c>
    </row>
    <row r="651" spans="1:16" ht="18">
      <c r="A651" s="92" t="s">
        <v>5309</v>
      </c>
      <c r="B651" s="345">
        <v>2002</v>
      </c>
      <c r="C651" s="92"/>
      <c r="D651" s="345">
        <v>12430998</v>
      </c>
      <c r="E651" s="278" t="str">
        <f t="shared" si="2"/>
        <v>https://pubmed.ncbi.nlm.nih.gov/?term=12430998</v>
      </c>
      <c r="F651" s="28" t="s">
        <v>511</v>
      </c>
      <c r="G651" s="28" t="s">
        <v>4346</v>
      </c>
      <c r="J651" s="346" t="str">
        <f t="shared" si="3"/>
        <v/>
      </c>
      <c r="K651" s="28" t="str">
        <f t="shared" si="4"/>
        <v/>
      </c>
      <c r="L651" s="45">
        <f t="shared" si="5"/>
        <v>1</v>
      </c>
      <c r="M651" s="45" t="str">
        <f t="shared" si="6"/>
        <v/>
      </c>
      <c r="N651" s="45" t="str">
        <f t="shared" si="7"/>
        <v/>
      </c>
      <c r="O651" s="45" t="str">
        <f t="shared" si="8"/>
        <v/>
      </c>
      <c r="P651" s="45" t="str">
        <f t="shared" si="9"/>
        <v/>
      </c>
    </row>
    <row r="652" spans="1:16" ht="18">
      <c r="A652" s="92" t="s">
        <v>5310</v>
      </c>
      <c r="B652" s="345">
        <v>2004</v>
      </c>
      <c r="C652" s="92"/>
      <c r="D652" s="345">
        <v>15046213</v>
      </c>
      <c r="E652" s="278" t="str">
        <f t="shared" si="2"/>
        <v>https://pubmed.ncbi.nlm.nih.gov/?term=15046213</v>
      </c>
      <c r="F652" s="28" t="s">
        <v>511</v>
      </c>
      <c r="G652" s="28" t="s">
        <v>4867</v>
      </c>
      <c r="J652" s="346" t="str">
        <f t="shared" si="3"/>
        <v/>
      </c>
      <c r="K652" s="28" t="str">
        <f t="shared" si="4"/>
        <v/>
      </c>
      <c r="L652" s="45" t="str">
        <f t="shared" si="5"/>
        <v/>
      </c>
      <c r="M652" s="45" t="str">
        <f t="shared" si="6"/>
        <v/>
      </c>
      <c r="N652" s="45">
        <f t="shared" si="7"/>
        <v>1</v>
      </c>
      <c r="O652" s="45" t="str">
        <f t="shared" si="8"/>
        <v/>
      </c>
      <c r="P652" s="45" t="str">
        <f t="shared" si="9"/>
        <v/>
      </c>
    </row>
    <row r="653" spans="1:16" ht="18">
      <c r="A653" s="92" t="s">
        <v>5311</v>
      </c>
      <c r="B653" s="345">
        <v>2004</v>
      </c>
      <c r="C653" s="92"/>
      <c r="D653" s="345">
        <v>15552877</v>
      </c>
      <c r="E653" s="278" t="str">
        <f t="shared" si="2"/>
        <v>https://pubmed.ncbi.nlm.nih.gov/?term=15552877</v>
      </c>
      <c r="F653" s="28" t="s">
        <v>511</v>
      </c>
      <c r="G653" s="28" t="s">
        <v>4587</v>
      </c>
      <c r="J653" s="346" t="str">
        <f t="shared" si="3"/>
        <v/>
      </c>
      <c r="K653" s="28" t="str">
        <f t="shared" si="4"/>
        <v/>
      </c>
      <c r="L653" s="45" t="str">
        <f t="shared" si="5"/>
        <v/>
      </c>
      <c r="M653" s="45">
        <f t="shared" si="6"/>
        <v>1</v>
      </c>
      <c r="N653" s="45" t="str">
        <f t="shared" si="7"/>
        <v/>
      </c>
      <c r="O653" s="45" t="str">
        <f t="shared" si="8"/>
        <v/>
      </c>
      <c r="P653" s="45" t="str">
        <f t="shared" si="9"/>
        <v/>
      </c>
    </row>
    <row r="654" spans="1:16" ht="18">
      <c r="A654" s="92" t="s">
        <v>5312</v>
      </c>
      <c r="B654" s="345">
        <v>2008</v>
      </c>
      <c r="C654" s="92"/>
      <c r="D654" s="345">
        <v>18318936</v>
      </c>
      <c r="E654" s="278" t="str">
        <f t="shared" si="2"/>
        <v>https://pubmed.ncbi.nlm.nih.gov/?term=18318936</v>
      </c>
      <c r="F654" s="28" t="s">
        <v>511</v>
      </c>
      <c r="G654" s="28" t="s">
        <v>4346</v>
      </c>
      <c r="J654" s="346" t="str">
        <f t="shared" si="3"/>
        <v/>
      </c>
      <c r="K654" s="28" t="str">
        <f t="shared" si="4"/>
        <v/>
      </c>
      <c r="L654" s="45">
        <f t="shared" si="5"/>
        <v>1</v>
      </c>
      <c r="M654" s="45" t="str">
        <f t="shared" si="6"/>
        <v/>
      </c>
      <c r="N654" s="45" t="str">
        <f t="shared" si="7"/>
        <v/>
      </c>
      <c r="O654" s="45" t="str">
        <f t="shared" si="8"/>
        <v/>
      </c>
      <c r="P654" s="45" t="str">
        <f t="shared" si="9"/>
        <v/>
      </c>
    </row>
    <row r="655" spans="1:16" ht="18">
      <c r="A655" s="92" t="s">
        <v>5313</v>
      </c>
      <c r="B655" s="345">
        <v>2004</v>
      </c>
      <c r="C655" s="92"/>
      <c r="D655" s="345">
        <v>15077021</v>
      </c>
      <c r="E655" s="278" t="str">
        <f t="shared" si="2"/>
        <v>https://pubmed.ncbi.nlm.nih.gov/?term=15077021</v>
      </c>
      <c r="F655" s="28" t="s">
        <v>511</v>
      </c>
      <c r="G655" s="28" t="s">
        <v>5314</v>
      </c>
      <c r="J655" s="346" t="str">
        <f t="shared" si="3"/>
        <v/>
      </c>
      <c r="K655" s="28" t="str">
        <f t="shared" si="4"/>
        <v/>
      </c>
      <c r="L655" s="45">
        <f t="shared" si="5"/>
        <v>1</v>
      </c>
      <c r="M655" s="45" t="str">
        <f t="shared" si="6"/>
        <v/>
      </c>
      <c r="N655" s="45" t="str">
        <f t="shared" si="7"/>
        <v/>
      </c>
      <c r="O655" s="45" t="str">
        <f t="shared" si="8"/>
        <v/>
      </c>
      <c r="P655" s="45" t="str">
        <f t="shared" si="9"/>
        <v/>
      </c>
    </row>
    <row r="656" spans="1:16" ht="18">
      <c r="A656" s="92" t="s">
        <v>5315</v>
      </c>
      <c r="B656" s="345">
        <v>2006</v>
      </c>
      <c r="C656" s="92"/>
      <c r="D656" s="345">
        <v>16919749</v>
      </c>
      <c r="E656" s="278" t="str">
        <f t="shared" si="2"/>
        <v>https://pubmed.ncbi.nlm.nih.gov/?term=16919749</v>
      </c>
      <c r="F656" s="28" t="s">
        <v>511</v>
      </c>
      <c r="G656" s="28" t="s">
        <v>4867</v>
      </c>
      <c r="J656" s="346" t="str">
        <f t="shared" si="3"/>
        <v/>
      </c>
      <c r="K656" s="28" t="str">
        <f t="shared" si="4"/>
        <v/>
      </c>
      <c r="L656" s="45" t="str">
        <f t="shared" si="5"/>
        <v/>
      </c>
      <c r="M656" s="45" t="str">
        <f t="shared" si="6"/>
        <v/>
      </c>
      <c r="N656" s="45">
        <f t="shared" si="7"/>
        <v>1</v>
      </c>
      <c r="O656" s="45" t="str">
        <f t="shared" si="8"/>
        <v/>
      </c>
      <c r="P656" s="45" t="str">
        <f t="shared" si="9"/>
        <v/>
      </c>
    </row>
    <row r="657" spans="1:16" ht="18">
      <c r="A657" s="92" t="s">
        <v>5316</v>
      </c>
      <c r="B657" s="345">
        <v>2004</v>
      </c>
      <c r="C657" s="92"/>
      <c r="D657" s="345">
        <v>15353364</v>
      </c>
      <c r="E657" s="278" t="str">
        <f t="shared" si="2"/>
        <v>https://pubmed.ncbi.nlm.nih.gov/?term=15353364</v>
      </c>
      <c r="F657" s="28" t="s">
        <v>511</v>
      </c>
      <c r="G657" s="28" t="s">
        <v>5317</v>
      </c>
      <c r="J657" s="346" t="str">
        <f t="shared" si="3"/>
        <v/>
      </c>
      <c r="K657" s="28" t="str">
        <f t="shared" si="4"/>
        <v/>
      </c>
      <c r="L657" s="45" t="str">
        <f t="shared" si="5"/>
        <v/>
      </c>
      <c r="M657" s="45" t="str">
        <f t="shared" si="6"/>
        <v/>
      </c>
      <c r="N657" s="45" t="str">
        <f t="shared" si="7"/>
        <v/>
      </c>
      <c r="O657" s="45">
        <f t="shared" si="8"/>
        <v>1</v>
      </c>
      <c r="P657" s="45" t="str">
        <f t="shared" si="9"/>
        <v/>
      </c>
    </row>
    <row r="658" spans="1:16" ht="18">
      <c r="A658" s="92" t="s">
        <v>5318</v>
      </c>
      <c r="B658" s="345">
        <v>2007</v>
      </c>
      <c r="C658" s="92"/>
      <c r="D658" s="345">
        <v>17947482</v>
      </c>
      <c r="E658" s="278" t="str">
        <f t="shared" si="2"/>
        <v>https://pubmed.ncbi.nlm.nih.gov/?term=17947482</v>
      </c>
      <c r="F658" s="28" t="s">
        <v>511</v>
      </c>
      <c r="G658" s="28" t="s">
        <v>4867</v>
      </c>
      <c r="J658" s="346" t="str">
        <f t="shared" si="3"/>
        <v/>
      </c>
      <c r="K658" s="28" t="str">
        <f t="shared" si="4"/>
        <v/>
      </c>
      <c r="L658" s="45" t="str">
        <f t="shared" si="5"/>
        <v/>
      </c>
      <c r="M658" s="45" t="str">
        <f t="shared" si="6"/>
        <v/>
      </c>
      <c r="N658" s="45">
        <f t="shared" si="7"/>
        <v>1</v>
      </c>
      <c r="O658" s="45" t="str">
        <f t="shared" si="8"/>
        <v/>
      </c>
      <c r="P658" s="45" t="str">
        <f t="shared" si="9"/>
        <v/>
      </c>
    </row>
    <row r="659" spans="1:16" ht="18">
      <c r="A659" s="92" t="s">
        <v>5319</v>
      </c>
      <c r="B659" s="345">
        <v>2010</v>
      </c>
      <c r="C659" s="92"/>
      <c r="D659" s="345">
        <v>19995389</v>
      </c>
      <c r="E659" s="278" t="str">
        <f t="shared" si="2"/>
        <v>https://pubmed.ncbi.nlm.nih.gov/?term=19995389</v>
      </c>
      <c r="F659" s="28" t="s">
        <v>511</v>
      </c>
      <c r="G659" s="28" t="s">
        <v>4765</v>
      </c>
      <c r="J659" s="346" t="str">
        <f t="shared" si="3"/>
        <v/>
      </c>
      <c r="K659" s="28" t="str">
        <f t="shared" si="4"/>
        <v/>
      </c>
      <c r="L659" s="45" t="str">
        <f t="shared" si="5"/>
        <v/>
      </c>
      <c r="M659" s="45" t="str">
        <f t="shared" si="6"/>
        <v/>
      </c>
      <c r="N659" s="45" t="str">
        <f t="shared" si="7"/>
        <v/>
      </c>
      <c r="O659" s="45">
        <f t="shared" si="8"/>
        <v>1</v>
      </c>
      <c r="P659" s="45" t="str">
        <f t="shared" si="9"/>
        <v/>
      </c>
    </row>
    <row r="660" spans="1:16" ht="18">
      <c r="A660" s="92" t="s">
        <v>5320</v>
      </c>
      <c r="B660" s="345">
        <v>2003</v>
      </c>
      <c r="C660" s="92"/>
      <c r="D660" s="345">
        <v>12552430</v>
      </c>
      <c r="E660" s="278" t="str">
        <f t="shared" si="2"/>
        <v>https://pubmed.ncbi.nlm.nih.gov/?term=12552430</v>
      </c>
      <c r="F660" s="28" t="s">
        <v>511</v>
      </c>
      <c r="G660" s="28" t="s">
        <v>5321</v>
      </c>
      <c r="J660" s="346" t="str">
        <f t="shared" si="3"/>
        <v/>
      </c>
      <c r="K660" s="28" t="str">
        <f t="shared" si="4"/>
        <v/>
      </c>
      <c r="L660" s="45">
        <f t="shared" si="5"/>
        <v>1</v>
      </c>
      <c r="M660" s="45" t="str">
        <f t="shared" si="6"/>
        <v/>
      </c>
      <c r="N660" s="45" t="str">
        <f t="shared" si="7"/>
        <v/>
      </c>
      <c r="O660" s="45" t="str">
        <f t="shared" si="8"/>
        <v/>
      </c>
      <c r="P660" s="45" t="str">
        <f t="shared" si="9"/>
        <v/>
      </c>
    </row>
    <row r="661" spans="1:16" ht="18">
      <c r="A661" s="92" t="s">
        <v>5322</v>
      </c>
      <c r="B661" s="345">
        <v>2002</v>
      </c>
      <c r="C661" s="92"/>
      <c r="D661" s="345">
        <v>11968154</v>
      </c>
      <c r="E661" s="278" t="str">
        <f t="shared" si="2"/>
        <v>https://pubmed.ncbi.nlm.nih.gov/?term=11968154</v>
      </c>
      <c r="F661" s="28" t="s">
        <v>511</v>
      </c>
      <c r="G661" s="28" t="s">
        <v>4765</v>
      </c>
      <c r="J661" s="346" t="str">
        <f t="shared" si="3"/>
        <v/>
      </c>
      <c r="K661" s="28" t="str">
        <f t="shared" si="4"/>
        <v/>
      </c>
      <c r="L661" s="45" t="str">
        <f t="shared" si="5"/>
        <v/>
      </c>
      <c r="M661" s="45" t="str">
        <f t="shared" si="6"/>
        <v/>
      </c>
      <c r="N661" s="45" t="str">
        <f t="shared" si="7"/>
        <v/>
      </c>
      <c r="O661" s="45">
        <f t="shared" si="8"/>
        <v>1</v>
      </c>
      <c r="P661" s="45" t="str">
        <f t="shared" si="9"/>
        <v/>
      </c>
    </row>
    <row r="662" spans="1:16" ht="18">
      <c r="A662" s="92" t="s">
        <v>5323</v>
      </c>
      <c r="B662" s="345">
        <v>2004</v>
      </c>
      <c r="C662" s="92"/>
      <c r="D662" s="345">
        <v>15326138</v>
      </c>
      <c r="E662" s="278" t="str">
        <f t="shared" si="2"/>
        <v>https://pubmed.ncbi.nlm.nih.gov/?term=15326138</v>
      </c>
      <c r="F662" s="28" t="s">
        <v>511</v>
      </c>
      <c r="G662" s="28" t="s">
        <v>4346</v>
      </c>
      <c r="J662" s="346" t="str">
        <f t="shared" si="3"/>
        <v/>
      </c>
      <c r="K662" s="28" t="str">
        <f t="shared" si="4"/>
        <v/>
      </c>
      <c r="L662" s="45">
        <f t="shared" si="5"/>
        <v>1</v>
      </c>
      <c r="M662" s="45" t="str">
        <f t="shared" si="6"/>
        <v/>
      </c>
      <c r="N662" s="45" t="str">
        <f t="shared" si="7"/>
        <v/>
      </c>
      <c r="O662" s="45" t="str">
        <f t="shared" si="8"/>
        <v/>
      </c>
      <c r="P662" s="45" t="str">
        <f t="shared" si="9"/>
        <v/>
      </c>
    </row>
    <row r="663" spans="1:16" ht="18">
      <c r="A663" s="92" t="s">
        <v>5324</v>
      </c>
      <c r="B663" s="345">
        <v>2007</v>
      </c>
      <c r="C663" s="92" t="s">
        <v>5325</v>
      </c>
      <c r="D663" s="345">
        <v>17643872</v>
      </c>
      <c r="E663" s="278" t="str">
        <f t="shared" si="2"/>
        <v>https://pubmed.ncbi.nlm.nih.gov/?term=17643872</v>
      </c>
      <c r="F663" s="28" t="s">
        <v>511</v>
      </c>
      <c r="G663" s="28" t="s">
        <v>4346</v>
      </c>
      <c r="J663" s="346" t="str">
        <f t="shared" si="3"/>
        <v/>
      </c>
      <c r="K663" s="28" t="str">
        <f t="shared" si="4"/>
        <v/>
      </c>
      <c r="L663" s="45">
        <f t="shared" si="5"/>
        <v>1</v>
      </c>
      <c r="M663" s="45" t="str">
        <f t="shared" si="6"/>
        <v/>
      </c>
      <c r="N663" s="45" t="str">
        <f t="shared" si="7"/>
        <v/>
      </c>
      <c r="O663" s="45" t="str">
        <f t="shared" si="8"/>
        <v/>
      </c>
      <c r="P663" s="45" t="str">
        <f t="shared" si="9"/>
        <v/>
      </c>
    </row>
    <row r="664" spans="1:16" ht="18">
      <c r="A664" s="92" t="s">
        <v>5326</v>
      </c>
      <c r="B664" s="345">
        <v>2003</v>
      </c>
      <c r="C664" s="92"/>
      <c r="D664" s="345">
        <v>12821734</v>
      </c>
      <c r="E664" s="278" t="str">
        <f t="shared" si="2"/>
        <v>https://pubmed.ncbi.nlm.nih.gov/?term=12821734</v>
      </c>
      <c r="F664" s="28" t="s">
        <v>511</v>
      </c>
      <c r="G664" s="28" t="s">
        <v>4867</v>
      </c>
      <c r="J664" s="346" t="str">
        <f t="shared" si="3"/>
        <v/>
      </c>
      <c r="K664" s="28" t="str">
        <f t="shared" si="4"/>
        <v/>
      </c>
      <c r="L664" s="45" t="str">
        <f t="shared" si="5"/>
        <v/>
      </c>
      <c r="M664" s="45" t="str">
        <f t="shared" si="6"/>
        <v/>
      </c>
      <c r="N664" s="45">
        <f t="shared" si="7"/>
        <v>1</v>
      </c>
      <c r="O664" s="45" t="str">
        <f t="shared" si="8"/>
        <v/>
      </c>
      <c r="P664" s="45" t="str">
        <f t="shared" si="9"/>
        <v/>
      </c>
    </row>
    <row r="665" spans="1:16" ht="18">
      <c r="A665" s="92" t="s">
        <v>5327</v>
      </c>
      <c r="B665" s="345">
        <v>2007</v>
      </c>
      <c r="C665" s="92"/>
      <c r="D665" s="345">
        <v>17251588</v>
      </c>
      <c r="E665" s="278" t="str">
        <f t="shared" si="2"/>
        <v>https://pubmed.ncbi.nlm.nih.gov/?term=17251588</v>
      </c>
      <c r="F665" s="28" t="s">
        <v>511</v>
      </c>
      <c r="G665" s="28" t="s">
        <v>4346</v>
      </c>
      <c r="J665" s="346" t="str">
        <f t="shared" si="3"/>
        <v/>
      </c>
      <c r="K665" s="28" t="str">
        <f t="shared" si="4"/>
        <v/>
      </c>
      <c r="L665" s="45">
        <f t="shared" si="5"/>
        <v>1</v>
      </c>
      <c r="M665" s="45" t="str">
        <f t="shared" si="6"/>
        <v/>
      </c>
      <c r="N665" s="45" t="str">
        <f t="shared" si="7"/>
        <v/>
      </c>
      <c r="O665" s="45" t="str">
        <f t="shared" si="8"/>
        <v/>
      </c>
      <c r="P665" s="45" t="str">
        <f t="shared" si="9"/>
        <v/>
      </c>
    </row>
    <row r="666" spans="1:16" ht="18">
      <c r="A666" s="92" t="s">
        <v>5328</v>
      </c>
      <c r="B666" s="345">
        <v>2008</v>
      </c>
      <c r="C666" s="92"/>
      <c r="D666" s="345">
        <v>19167593</v>
      </c>
      <c r="E666" s="278" t="str">
        <f t="shared" si="2"/>
        <v>https://pubmed.ncbi.nlm.nih.gov/?term=19167593</v>
      </c>
      <c r="F666" s="28" t="s">
        <v>511</v>
      </c>
      <c r="G666" s="28" t="s">
        <v>4867</v>
      </c>
      <c r="J666" s="346" t="str">
        <f t="shared" si="3"/>
        <v/>
      </c>
      <c r="K666" s="28" t="str">
        <f t="shared" si="4"/>
        <v/>
      </c>
      <c r="L666" s="45" t="str">
        <f t="shared" si="5"/>
        <v/>
      </c>
      <c r="M666" s="45" t="str">
        <f t="shared" si="6"/>
        <v/>
      </c>
      <c r="N666" s="45">
        <f t="shared" si="7"/>
        <v>1</v>
      </c>
      <c r="O666" s="45" t="str">
        <f t="shared" si="8"/>
        <v/>
      </c>
      <c r="P666" s="45" t="str">
        <f t="shared" si="9"/>
        <v/>
      </c>
    </row>
    <row r="667" spans="1:16" ht="18">
      <c r="A667" s="92" t="s">
        <v>5329</v>
      </c>
      <c r="B667" s="345">
        <v>2004</v>
      </c>
      <c r="C667" s="92"/>
      <c r="D667" s="345">
        <v>15345231</v>
      </c>
      <c r="E667" s="278" t="str">
        <f t="shared" si="2"/>
        <v>https://pubmed.ncbi.nlm.nih.gov/?term=15345231</v>
      </c>
      <c r="F667" s="28" t="s">
        <v>511</v>
      </c>
      <c r="G667" s="28" t="s">
        <v>4346</v>
      </c>
      <c r="J667" s="346" t="str">
        <f t="shared" si="3"/>
        <v/>
      </c>
      <c r="K667" s="28" t="str">
        <f t="shared" si="4"/>
        <v/>
      </c>
      <c r="L667" s="45">
        <f t="shared" si="5"/>
        <v>1</v>
      </c>
      <c r="M667" s="45" t="str">
        <f t="shared" si="6"/>
        <v/>
      </c>
      <c r="N667" s="45" t="str">
        <f t="shared" si="7"/>
        <v/>
      </c>
      <c r="O667" s="45" t="str">
        <f t="shared" si="8"/>
        <v/>
      </c>
      <c r="P667" s="45" t="str">
        <f t="shared" si="9"/>
        <v/>
      </c>
    </row>
    <row r="668" spans="1:16" ht="18">
      <c r="A668" s="92" t="s">
        <v>4735</v>
      </c>
      <c r="B668" s="345">
        <v>2000</v>
      </c>
      <c r="C668" s="92" t="s">
        <v>4771</v>
      </c>
      <c r="D668" s="345">
        <v>10644345</v>
      </c>
      <c r="E668" s="278" t="str">
        <f t="shared" si="2"/>
        <v>https://pubmed.ncbi.nlm.nih.gov/?term=10644345</v>
      </c>
      <c r="F668" s="28" t="s">
        <v>511</v>
      </c>
      <c r="G668" s="28" t="s">
        <v>4346</v>
      </c>
      <c r="J668" s="346" t="str">
        <f t="shared" si="3"/>
        <v/>
      </c>
      <c r="K668" s="28" t="str">
        <f t="shared" si="4"/>
        <v/>
      </c>
      <c r="L668" s="45">
        <f t="shared" si="5"/>
        <v>1</v>
      </c>
      <c r="M668" s="45" t="str">
        <f t="shared" si="6"/>
        <v/>
      </c>
      <c r="N668" s="45" t="str">
        <f t="shared" si="7"/>
        <v/>
      </c>
      <c r="O668" s="45" t="str">
        <f t="shared" si="8"/>
        <v/>
      </c>
      <c r="P668" s="45" t="str">
        <f t="shared" si="9"/>
        <v/>
      </c>
    </row>
    <row r="669" spans="1:16" ht="18">
      <c r="A669" s="92" t="s">
        <v>5330</v>
      </c>
      <c r="B669" s="345">
        <v>2008</v>
      </c>
      <c r="C669" s="92"/>
      <c r="D669" s="345">
        <v>18072873</v>
      </c>
      <c r="E669" s="278" t="str">
        <f t="shared" si="2"/>
        <v>https://pubmed.ncbi.nlm.nih.gov/?term=18072873</v>
      </c>
      <c r="F669" s="28" t="s">
        <v>511</v>
      </c>
      <c r="G669" s="28" t="s">
        <v>5299</v>
      </c>
      <c r="J669" s="346" t="str">
        <f t="shared" si="3"/>
        <v/>
      </c>
      <c r="K669" s="28" t="str">
        <f t="shared" si="4"/>
        <v/>
      </c>
      <c r="L669" s="45" t="str">
        <f t="shared" si="5"/>
        <v/>
      </c>
      <c r="M669" s="45" t="str">
        <f t="shared" si="6"/>
        <v/>
      </c>
      <c r="N669" s="45">
        <f t="shared" si="7"/>
        <v>1</v>
      </c>
      <c r="O669" s="45" t="str">
        <f t="shared" si="8"/>
        <v/>
      </c>
      <c r="P669" s="45" t="str">
        <f t="shared" si="9"/>
        <v/>
      </c>
    </row>
    <row r="670" spans="1:16" ht="18">
      <c r="A670" s="92" t="s">
        <v>5331</v>
      </c>
      <c r="B670" s="345">
        <v>2006</v>
      </c>
      <c r="C670" s="92"/>
      <c r="D670" s="345">
        <v>16965415</v>
      </c>
      <c r="E670" s="278" t="str">
        <f t="shared" si="2"/>
        <v>https://pubmed.ncbi.nlm.nih.gov/?term=16965415</v>
      </c>
      <c r="F670" s="28" t="s">
        <v>511</v>
      </c>
      <c r="G670" s="28" t="s">
        <v>5299</v>
      </c>
      <c r="J670" s="346" t="str">
        <f t="shared" si="3"/>
        <v/>
      </c>
      <c r="K670" s="28" t="str">
        <f t="shared" si="4"/>
        <v/>
      </c>
      <c r="L670" s="45" t="str">
        <f t="shared" si="5"/>
        <v/>
      </c>
      <c r="M670" s="45" t="str">
        <f t="shared" si="6"/>
        <v/>
      </c>
      <c r="N670" s="45">
        <f t="shared" si="7"/>
        <v>1</v>
      </c>
      <c r="O670" s="45" t="str">
        <f t="shared" si="8"/>
        <v/>
      </c>
      <c r="P670" s="45" t="str">
        <f t="shared" si="9"/>
        <v/>
      </c>
    </row>
    <row r="671" spans="1:16" ht="18">
      <c r="A671" s="92" t="s">
        <v>5332</v>
      </c>
      <c r="B671" s="345">
        <v>2009</v>
      </c>
      <c r="C671" s="92"/>
      <c r="D671" s="345">
        <v>19275277</v>
      </c>
      <c r="E671" s="278" t="str">
        <f t="shared" si="2"/>
        <v>https://pubmed.ncbi.nlm.nih.gov/?term=19275277</v>
      </c>
      <c r="F671" s="28" t="s">
        <v>511</v>
      </c>
      <c r="G671" s="28" t="s">
        <v>4592</v>
      </c>
      <c r="J671" s="346">
        <f t="shared" si="3"/>
        <v>1</v>
      </c>
      <c r="K671" s="28" t="str">
        <f t="shared" si="4"/>
        <v/>
      </c>
      <c r="L671" s="45" t="str">
        <f t="shared" si="5"/>
        <v/>
      </c>
      <c r="M671" s="45" t="str">
        <f t="shared" si="6"/>
        <v/>
      </c>
      <c r="N671" s="45" t="str">
        <f t="shared" si="7"/>
        <v/>
      </c>
      <c r="O671" s="45" t="str">
        <f t="shared" si="8"/>
        <v/>
      </c>
      <c r="P671" s="45" t="str">
        <f t="shared" si="9"/>
        <v/>
      </c>
    </row>
    <row r="672" spans="1:16" ht="18">
      <c r="A672" s="92" t="s">
        <v>5333</v>
      </c>
      <c r="B672" s="345">
        <v>2006</v>
      </c>
      <c r="C672" s="92"/>
      <c r="D672" s="345">
        <v>16433956</v>
      </c>
      <c r="E672" s="278" t="str">
        <f t="shared" si="2"/>
        <v>https://pubmed.ncbi.nlm.nih.gov/?term=16433956</v>
      </c>
      <c r="F672" s="28" t="s">
        <v>511</v>
      </c>
      <c r="G672" s="28" t="s">
        <v>4346</v>
      </c>
      <c r="J672" s="346" t="str">
        <f t="shared" si="3"/>
        <v/>
      </c>
      <c r="K672" s="28" t="str">
        <f t="shared" si="4"/>
        <v/>
      </c>
      <c r="L672" s="45">
        <f t="shared" si="5"/>
        <v>1</v>
      </c>
      <c r="M672" s="45" t="str">
        <f t="shared" si="6"/>
        <v/>
      </c>
      <c r="N672" s="45" t="str">
        <f t="shared" si="7"/>
        <v/>
      </c>
      <c r="O672" s="45" t="str">
        <f t="shared" si="8"/>
        <v/>
      </c>
      <c r="P672" s="45" t="str">
        <f t="shared" si="9"/>
        <v/>
      </c>
    </row>
    <row r="673" spans="1:16" ht="18">
      <c r="A673" s="92" t="s">
        <v>4773</v>
      </c>
      <c r="B673" s="345">
        <v>2000</v>
      </c>
      <c r="C673" s="92"/>
      <c r="D673" s="345">
        <v>10646605</v>
      </c>
      <c r="E673" s="278" t="str">
        <f t="shared" si="2"/>
        <v>https://pubmed.ncbi.nlm.nih.gov/?term=10646605</v>
      </c>
      <c r="F673" s="28" t="s">
        <v>511</v>
      </c>
      <c r="G673" s="28" t="s">
        <v>5334</v>
      </c>
      <c r="J673" s="346" t="str">
        <f t="shared" si="3"/>
        <v/>
      </c>
      <c r="K673" s="28" t="str">
        <f t="shared" si="4"/>
        <v/>
      </c>
      <c r="L673" s="45" t="str">
        <f t="shared" si="5"/>
        <v/>
      </c>
      <c r="M673" s="45" t="str">
        <f t="shared" si="6"/>
        <v/>
      </c>
      <c r="N673" s="45" t="str">
        <f t="shared" si="7"/>
        <v/>
      </c>
      <c r="O673" s="45">
        <f t="shared" si="8"/>
        <v>1</v>
      </c>
      <c r="P673" s="45" t="str">
        <f t="shared" si="9"/>
        <v/>
      </c>
    </row>
    <row r="674" spans="1:16" ht="18">
      <c r="A674" s="92" t="s">
        <v>5335</v>
      </c>
      <c r="B674" s="345">
        <v>2008</v>
      </c>
      <c r="C674" s="92" t="s">
        <v>5336</v>
      </c>
      <c r="D674" s="345">
        <v>18562525</v>
      </c>
      <c r="E674" s="278" t="str">
        <f t="shared" si="2"/>
        <v>https://pubmed.ncbi.nlm.nih.gov/?term=18562525</v>
      </c>
      <c r="F674" s="28" t="s">
        <v>511</v>
      </c>
      <c r="G674" s="28" t="s">
        <v>4346</v>
      </c>
      <c r="J674" s="346" t="str">
        <f t="shared" si="3"/>
        <v/>
      </c>
      <c r="K674" s="28" t="str">
        <f t="shared" si="4"/>
        <v/>
      </c>
      <c r="L674" s="45">
        <f t="shared" si="5"/>
        <v>1</v>
      </c>
      <c r="M674" s="45" t="str">
        <f t="shared" si="6"/>
        <v/>
      </c>
      <c r="N674" s="45" t="str">
        <f t="shared" si="7"/>
        <v/>
      </c>
      <c r="O674" s="45" t="str">
        <f t="shared" si="8"/>
        <v/>
      </c>
      <c r="P674" s="45" t="str">
        <f t="shared" si="9"/>
        <v/>
      </c>
    </row>
    <row r="675" spans="1:16" ht="18">
      <c r="A675" s="92" t="s">
        <v>5337</v>
      </c>
      <c r="B675" s="345">
        <v>2010</v>
      </c>
      <c r="C675" s="92" t="s">
        <v>5338</v>
      </c>
      <c r="D675" s="345">
        <v>20649596</v>
      </c>
      <c r="E675" s="278" t="str">
        <f t="shared" si="2"/>
        <v>https://pubmed.ncbi.nlm.nih.gov/?term=20649596</v>
      </c>
      <c r="F675" s="28" t="s">
        <v>511</v>
      </c>
      <c r="G675" s="28" t="s">
        <v>5339</v>
      </c>
      <c r="J675" s="346" t="str">
        <f t="shared" si="3"/>
        <v/>
      </c>
      <c r="K675" s="28" t="str">
        <f t="shared" si="4"/>
        <v/>
      </c>
      <c r="L675" s="45">
        <f t="shared" si="5"/>
        <v>1</v>
      </c>
      <c r="M675" s="45" t="str">
        <f t="shared" si="6"/>
        <v/>
      </c>
      <c r="N675" s="45" t="str">
        <f t="shared" si="7"/>
        <v/>
      </c>
      <c r="O675" s="45" t="str">
        <f t="shared" si="8"/>
        <v/>
      </c>
      <c r="P675" s="45" t="str">
        <f t="shared" si="9"/>
        <v/>
      </c>
    </row>
    <row r="676" spans="1:16" ht="18">
      <c r="A676" s="92" t="s">
        <v>5340</v>
      </c>
      <c r="B676" s="345">
        <v>2008</v>
      </c>
      <c r="C676" s="92"/>
      <c r="D676" s="345">
        <v>18312555</v>
      </c>
      <c r="E676" s="278" t="str">
        <f t="shared" si="2"/>
        <v>https://pubmed.ncbi.nlm.nih.gov/?term=18312555</v>
      </c>
      <c r="F676" s="28" t="s">
        <v>511</v>
      </c>
      <c r="G676" s="28" t="s">
        <v>4346</v>
      </c>
      <c r="J676" s="346" t="str">
        <f t="shared" si="3"/>
        <v/>
      </c>
      <c r="K676" s="28" t="str">
        <f t="shared" si="4"/>
        <v/>
      </c>
      <c r="L676" s="45">
        <f t="shared" si="5"/>
        <v>1</v>
      </c>
      <c r="M676" s="45" t="str">
        <f t="shared" si="6"/>
        <v/>
      </c>
      <c r="N676" s="45" t="str">
        <f t="shared" si="7"/>
        <v/>
      </c>
      <c r="O676" s="45" t="str">
        <f t="shared" si="8"/>
        <v/>
      </c>
      <c r="P676" s="45" t="str">
        <f t="shared" si="9"/>
        <v/>
      </c>
    </row>
    <row r="677" spans="1:16" ht="18">
      <c r="A677" s="92" t="s">
        <v>5341</v>
      </c>
      <c r="B677" s="345">
        <v>2010</v>
      </c>
      <c r="C677" s="92" t="s">
        <v>5342</v>
      </c>
      <c r="D677" s="345">
        <v>22558559</v>
      </c>
      <c r="E677" s="278" t="str">
        <f t="shared" si="2"/>
        <v>https://pubmed.ncbi.nlm.nih.gov/?term=22558559</v>
      </c>
      <c r="F677" s="28" t="s">
        <v>511</v>
      </c>
      <c r="G677" s="28" t="s">
        <v>4346</v>
      </c>
      <c r="J677" s="346" t="str">
        <f t="shared" si="3"/>
        <v/>
      </c>
      <c r="K677" s="28" t="str">
        <f t="shared" si="4"/>
        <v/>
      </c>
      <c r="L677" s="45">
        <f t="shared" si="5"/>
        <v>1</v>
      </c>
      <c r="M677" s="45" t="str">
        <f t="shared" si="6"/>
        <v/>
      </c>
      <c r="N677" s="45" t="str">
        <f t="shared" si="7"/>
        <v/>
      </c>
      <c r="O677" s="45" t="str">
        <f t="shared" si="8"/>
        <v/>
      </c>
      <c r="P677" s="45" t="str">
        <f t="shared" si="9"/>
        <v/>
      </c>
    </row>
    <row r="678" spans="1:16" ht="18">
      <c r="A678" s="92" t="s">
        <v>5343</v>
      </c>
      <c r="B678" s="345">
        <v>2010</v>
      </c>
      <c r="C678" s="92" t="s">
        <v>5344</v>
      </c>
      <c r="D678" s="345">
        <v>20146111</v>
      </c>
      <c r="E678" s="278" t="str">
        <f t="shared" si="2"/>
        <v>https://pubmed.ncbi.nlm.nih.gov/?term=20146111</v>
      </c>
      <c r="F678" s="28" t="s">
        <v>511</v>
      </c>
      <c r="G678" s="28" t="s">
        <v>5299</v>
      </c>
      <c r="J678" s="346" t="str">
        <f t="shared" si="3"/>
        <v/>
      </c>
      <c r="K678" s="28" t="str">
        <f t="shared" si="4"/>
        <v/>
      </c>
      <c r="L678" s="45" t="str">
        <f t="shared" si="5"/>
        <v/>
      </c>
      <c r="M678" s="45" t="str">
        <f t="shared" si="6"/>
        <v/>
      </c>
      <c r="N678" s="45">
        <f t="shared" si="7"/>
        <v>1</v>
      </c>
      <c r="O678" s="45" t="str">
        <f t="shared" si="8"/>
        <v/>
      </c>
      <c r="P678" s="45" t="str">
        <f t="shared" si="9"/>
        <v/>
      </c>
    </row>
    <row r="679" spans="1:16" ht="18">
      <c r="A679" s="92" t="s">
        <v>5345</v>
      </c>
      <c r="B679" s="345">
        <v>2008</v>
      </c>
      <c r="C679" s="92" t="s">
        <v>5346</v>
      </c>
      <c r="D679" s="345">
        <v>18586871</v>
      </c>
      <c r="E679" s="278" t="str">
        <f t="shared" si="2"/>
        <v>https://pubmed.ncbi.nlm.nih.gov/?term=18586871</v>
      </c>
      <c r="F679" s="28" t="s">
        <v>511</v>
      </c>
      <c r="G679" s="28" t="s">
        <v>4346</v>
      </c>
      <c r="J679" s="346" t="str">
        <f t="shared" si="3"/>
        <v/>
      </c>
      <c r="K679" s="28" t="str">
        <f t="shared" si="4"/>
        <v/>
      </c>
      <c r="L679" s="45">
        <f t="shared" si="5"/>
        <v>1</v>
      </c>
      <c r="M679" s="45" t="str">
        <f t="shared" si="6"/>
        <v/>
      </c>
      <c r="N679" s="45" t="str">
        <f t="shared" si="7"/>
        <v/>
      </c>
      <c r="O679" s="45" t="str">
        <f t="shared" si="8"/>
        <v/>
      </c>
      <c r="P679" s="45" t="str">
        <f t="shared" si="9"/>
        <v/>
      </c>
    </row>
    <row r="680" spans="1:16" ht="18">
      <c r="A680" s="92" t="s">
        <v>5347</v>
      </c>
      <c r="B680" s="345">
        <v>2005</v>
      </c>
      <c r="C680" s="92"/>
      <c r="D680" s="345">
        <v>15914198</v>
      </c>
      <c r="E680" s="278" t="str">
        <f t="shared" si="2"/>
        <v>https://pubmed.ncbi.nlm.nih.gov/?term=15914198</v>
      </c>
      <c r="F680" s="28" t="s">
        <v>511</v>
      </c>
      <c r="G680" s="28" t="s">
        <v>4346</v>
      </c>
      <c r="J680" s="346" t="str">
        <f t="shared" si="3"/>
        <v/>
      </c>
      <c r="K680" s="28" t="str">
        <f t="shared" si="4"/>
        <v/>
      </c>
      <c r="L680" s="45">
        <f t="shared" si="5"/>
        <v>1</v>
      </c>
      <c r="M680" s="45" t="str">
        <f t="shared" si="6"/>
        <v/>
      </c>
      <c r="N680" s="45" t="str">
        <f t="shared" si="7"/>
        <v/>
      </c>
      <c r="O680" s="45" t="str">
        <f t="shared" si="8"/>
        <v/>
      </c>
      <c r="P680" s="45" t="str">
        <f t="shared" si="9"/>
        <v/>
      </c>
    </row>
    <row r="681" spans="1:16" ht="18">
      <c r="A681" s="92" t="s">
        <v>5348</v>
      </c>
      <c r="B681" s="345">
        <v>2009</v>
      </c>
      <c r="C681" s="92"/>
      <c r="D681" s="345">
        <v>19715525</v>
      </c>
      <c r="E681" s="278" t="str">
        <f t="shared" si="2"/>
        <v>https://pubmed.ncbi.nlm.nih.gov/?term=19715525</v>
      </c>
      <c r="F681" s="28" t="s">
        <v>511</v>
      </c>
      <c r="G681" s="28" t="s">
        <v>5349</v>
      </c>
      <c r="J681" s="346" t="str">
        <f t="shared" si="3"/>
        <v/>
      </c>
      <c r="K681" s="28" t="str">
        <f t="shared" si="4"/>
        <v/>
      </c>
      <c r="L681" s="45" t="str">
        <f t="shared" si="5"/>
        <v/>
      </c>
      <c r="M681" s="45" t="str">
        <f t="shared" si="6"/>
        <v/>
      </c>
      <c r="N681" s="45">
        <f t="shared" si="7"/>
        <v>1</v>
      </c>
      <c r="O681" s="45" t="str">
        <f t="shared" si="8"/>
        <v/>
      </c>
      <c r="P681" s="45" t="str">
        <f t="shared" si="9"/>
        <v/>
      </c>
    </row>
    <row r="682" spans="1:16" ht="18">
      <c r="A682" s="92" t="s">
        <v>5350</v>
      </c>
      <c r="B682" s="345">
        <v>2007</v>
      </c>
      <c r="C682" s="92"/>
      <c r="D682" s="345">
        <v>17189085</v>
      </c>
      <c r="E682" s="278" t="str">
        <f t="shared" si="2"/>
        <v>https://pubmed.ncbi.nlm.nih.gov/?term=17189085</v>
      </c>
      <c r="F682" s="28" t="s">
        <v>511</v>
      </c>
      <c r="G682" s="28" t="s">
        <v>5299</v>
      </c>
      <c r="J682" s="346" t="str">
        <f t="shared" si="3"/>
        <v/>
      </c>
      <c r="K682" s="28" t="str">
        <f t="shared" si="4"/>
        <v/>
      </c>
      <c r="L682" s="45" t="str">
        <f t="shared" si="5"/>
        <v/>
      </c>
      <c r="M682" s="45" t="str">
        <f t="shared" si="6"/>
        <v/>
      </c>
      <c r="N682" s="45">
        <f t="shared" si="7"/>
        <v>1</v>
      </c>
      <c r="O682" s="45" t="str">
        <f t="shared" si="8"/>
        <v/>
      </c>
      <c r="P682" s="45" t="str">
        <f t="shared" si="9"/>
        <v/>
      </c>
    </row>
    <row r="683" spans="1:16" ht="18">
      <c r="A683" s="92" t="s">
        <v>5351</v>
      </c>
      <c r="B683" s="345">
        <v>2010</v>
      </c>
      <c r="C683" s="92" t="s">
        <v>5352</v>
      </c>
      <c r="D683" s="345">
        <v>20202432</v>
      </c>
      <c r="E683" s="278" t="str">
        <f t="shared" si="2"/>
        <v>https://pubmed.ncbi.nlm.nih.gov/?term=20202432</v>
      </c>
      <c r="F683" s="28" t="s">
        <v>511</v>
      </c>
      <c r="G683" s="28" t="s">
        <v>4346</v>
      </c>
      <c r="J683" s="346" t="str">
        <f t="shared" si="3"/>
        <v/>
      </c>
      <c r="K683" s="28" t="str">
        <f t="shared" si="4"/>
        <v/>
      </c>
      <c r="L683" s="45">
        <f t="shared" si="5"/>
        <v>1</v>
      </c>
      <c r="M683" s="45" t="str">
        <f t="shared" si="6"/>
        <v/>
      </c>
      <c r="N683" s="45" t="str">
        <f t="shared" si="7"/>
        <v/>
      </c>
      <c r="O683" s="45" t="str">
        <f t="shared" si="8"/>
        <v/>
      </c>
      <c r="P683" s="45" t="str">
        <f t="shared" si="9"/>
        <v/>
      </c>
    </row>
    <row r="684" spans="1:16" ht="18">
      <c r="A684" s="92" t="s">
        <v>5353</v>
      </c>
      <c r="B684" s="345">
        <v>2009</v>
      </c>
      <c r="C684" s="92"/>
      <c r="D684" s="345">
        <v>19770753</v>
      </c>
      <c r="E684" s="278" t="str">
        <f t="shared" si="2"/>
        <v>https://pubmed.ncbi.nlm.nih.gov/?term=19770753</v>
      </c>
      <c r="F684" s="28" t="s">
        <v>511</v>
      </c>
      <c r="G684" s="28" t="s">
        <v>4867</v>
      </c>
      <c r="J684" s="346" t="str">
        <f t="shared" si="3"/>
        <v/>
      </c>
      <c r="K684" s="28" t="str">
        <f t="shared" si="4"/>
        <v/>
      </c>
      <c r="L684" s="45" t="str">
        <f t="shared" si="5"/>
        <v/>
      </c>
      <c r="M684" s="45" t="str">
        <f t="shared" si="6"/>
        <v/>
      </c>
      <c r="N684" s="45">
        <f t="shared" si="7"/>
        <v>1</v>
      </c>
      <c r="O684" s="45" t="str">
        <f t="shared" si="8"/>
        <v/>
      </c>
      <c r="P684" s="45" t="str">
        <f t="shared" si="9"/>
        <v/>
      </c>
    </row>
    <row r="685" spans="1:16" ht="18">
      <c r="A685" s="92" t="s">
        <v>4772</v>
      </c>
      <c r="B685" s="345">
        <v>2000</v>
      </c>
      <c r="C685" s="92"/>
      <c r="D685" s="345">
        <v>10782705</v>
      </c>
      <c r="E685" s="278" t="str">
        <f t="shared" si="2"/>
        <v>https://pubmed.ncbi.nlm.nih.gov/?term=10782705</v>
      </c>
      <c r="F685" s="28" t="s">
        <v>511</v>
      </c>
      <c r="G685" s="28" t="s">
        <v>4592</v>
      </c>
      <c r="J685" s="346">
        <f t="shared" si="3"/>
        <v>1</v>
      </c>
      <c r="K685" s="28" t="str">
        <f t="shared" si="4"/>
        <v/>
      </c>
      <c r="L685" s="45" t="str">
        <f t="shared" si="5"/>
        <v/>
      </c>
      <c r="M685" s="45" t="str">
        <f t="shared" si="6"/>
        <v/>
      </c>
      <c r="N685" s="45" t="str">
        <f t="shared" si="7"/>
        <v/>
      </c>
      <c r="O685" s="45" t="str">
        <f t="shared" si="8"/>
        <v/>
      </c>
      <c r="P685" s="45" t="str">
        <f t="shared" si="9"/>
        <v/>
      </c>
    </row>
    <row r="686" spans="1:16" ht="18">
      <c r="A686" s="92" t="s">
        <v>5354</v>
      </c>
      <c r="B686" s="345">
        <v>2008</v>
      </c>
      <c r="C686" s="92"/>
      <c r="D686" s="345">
        <v>18397685</v>
      </c>
      <c r="E686" s="278" t="str">
        <f t="shared" si="2"/>
        <v>https://pubmed.ncbi.nlm.nih.gov/?term=18397685</v>
      </c>
      <c r="F686" s="28" t="s">
        <v>511</v>
      </c>
      <c r="G686" s="28" t="s">
        <v>5349</v>
      </c>
      <c r="J686" s="346" t="str">
        <f t="shared" si="3"/>
        <v/>
      </c>
      <c r="K686" s="28" t="str">
        <f t="shared" si="4"/>
        <v/>
      </c>
      <c r="L686" s="45" t="str">
        <f t="shared" si="5"/>
        <v/>
      </c>
      <c r="M686" s="45" t="str">
        <f t="shared" si="6"/>
        <v/>
      </c>
      <c r="N686" s="45">
        <f t="shared" si="7"/>
        <v>1</v>
      </c>
      <c r="O686" s="45" t="str">
        <f t="shared" si="8"/>
        <v/>
      </c>
      <c r="P686" s="45" t="str">
        <f t="shared" si="9"/>
        <v/>
      </c>
    </row>
    <row r="687" spans="1:16" ht="18">
      <c r="A687" s="92" t="s">
        <v>5355</v>
      </c>
      <c r="B687" s="345">
        <v>2008</v>
      </c>
      <c r="C687" s="92"/>
      <c r="D687" s="345">
        <v>18165444</v>
      </c>
      <c r="E687" s="278" t="str">
        <f t="shared" si="2"/>
        <v>https://pubmed.ncbi.nlm.nih.gov/?term=18165444</v>
      </c>
      <c r="F687" s="28" t="s">
        <v>511</v>
      </c>
      <c r="G687" s="28" t="s">
        <v>5349</v>
      </c>
      <c r="J687" s="346" t="str">
        <f t="shared" si="3"/>
        <v/>
      </c>
      <c r="K687" s="28" t="str">
        <f t="shared" si="4"/>
        <v/>
      </c>
      <c r="L687" s="45" t="str">
        <f t="shared" si="5"/>
        <v/>
      </c>
      <c r="M687" s="45" t="str">
        <f t="shared" si="6"/>
        <v/>
      </c>
      <c r="N687" s="45">
        <f t="shared" si="7"/>
        <v>1</v>
      </c>
      <c r="O687" s="45" t="str">
        <f t="shared" si="8"/>
        <v/>
      </c>
      <c r="P687" s="45" t="str">
        <f t="shared" si="9"/>
        <v/>
      </c>
    </row>
    <row r="688" spans="1:16" ht="18">
      <c r="A688" s="92" t="s">
        <v>5356</v>
      </c>
      <c r="B688" s="345">
        <v>2004</v>
      </c>
      <c r="C688" s="92" t="s">
        <v>5357</v>
      </c>
      <c r="D688" s="345">
        <v>15155612</v>
      </c>
      <c r="E688" s="278" t="str">
        <f t="shared" si="2"/>
        <v>https://pubmed.ncbi.nlm.nih.gov/?term=15155612</v>
      </c>
      <c r="F688" s="28" t="s">
        <v>511</v>
      </c>
      <c r="G688" s="28" t="s">
        <v>4346</v>
      </c>
      <c r="J688" s="346" t="str">
        <f t="shared" si="3"/>
        <v/>
      </c>
      <c r="K688" s="28" t="str">
        <f t="shared" si="4"/>
        <v/>
      </c>
      <c r="L688" s="45">
        <f t="shared" si="5"/>
        <v>1</v>
      </c>
      <c r="M688" s="45" t="str">
        <f t="shared" si="6"/>
        <v/>
      </c>
      <c r="N688" s="45" t="str">
        <f t="shared" si="7"/>
        <v/>
      </c>
      <c r="O688" s="45" t="str">
        <f t="shared" si="8"/>
        <v/>
      </c>
      <c r="P688" s="45" t="str">
        <f t="shared" si="9"/>
        <v/>
      </c>
    </row>
    <row r="689" spans="1:16" ht="18">
      <c r="A689" s="92" t="s">
        <v>5055</v>
      </c>
      <c r="B689" s="345">
        <v>2004</v>
      </c>
      <c r="C689" s="92"/>
      <c r="D689" s="345">
        <v>15255555</v>
      </c>
      <c r="E689" s="278" t="str">
        <f t="shared" si="2"/>
        <v>https://pubmed.ncbi.nlm.nih.gov/?term=15255555</v>
      </c>
      <c r="F689" s="28" t="s">
        <v>511</v>
      </c>
      <c r="G689" s="28" t="s">
        <v>4592</v>
      </c>
      <c r="J689" s="346">
        <f t="shared" si="3"/>
        <v>1</v>
      </c>
      <c r="K689" s="28" t="str">
        <f t="shared" si="4"/>
        <v/>
      </c>
      <c r="L689" s="45" t="str">
        <f t="shared" si="5"/>
        <v/>
      </c>
      <c r="M689" s="45" t="str">
        <f t="shared" si="6"/>
        <v/>
      </c>
      <c r="N689" s="45" t="str">
        <f t="shared" si="7"/>
        <v/>
      </c>
      <c r="O689" s="45" t="str">
        <f t="shared" si="8"/>
        <v/>
      </c>
      <c r="P689" s="45" t="str">
        <f t="shared" si="9"/>
        <v/>
      </c>
    </row>
    <row r="690" spans="1:16" ht="18">
      <c r="A690" s="92" t="s">
        <v>2371</v>
      </c>
      <c r="B690" s="345">
        <v>2000</v>
      </c>
      <c r="C690" s="92" t="s">
        <v>4779</v>
      </c>
      <c r="D690" s="345">
        <v>10817735</v>
      </c>
      <c r="E690" s="278" t="str">
        <f t="shared" si="2"/>
        <v>https://pubmed.ncbi.nlm.nih.gov/?term=10817735</v>
      </c>
      <c r="F690" s="28" t="s">
        <v>511</v>
      </c>
      <c r="G690" s="28" t="s">
        <v>5349</v>
      </c>
      <c r="J690" s="346" t="str">
        <f t="shared" si="3"/>
        <v/>
      </c>
      <c r="K690" s="28" t="str">
        <f t="shared" si="4"/>
        <v/>
      </c>
      <c r="L690" s="45" t="str">
        <f t="shared" si="5"/>
        <v/>
      </c>
      <c r="M690" s="45" t="str">
        <f t="shared" si="6"/>
        <v/>
      </c>
      <c r="N690" s="45">
        <f t="shared" si="7"/>
        <v>1</v>
      </c>
      <c r="O690" s="45" t="str">
        <f t="shared" si="8"/>
        <v/>
      </c>
      <c r="P690" s="45" t="str">
        <f t="shared" si="9"/>
        <v/>
      </c>
    </row>
    <row r="691" spans="1:16" ht="18">
      <c r="A691" s="92" t="s">
        <v>5358</v>
      </c>
      <c r="B691" s="345">
        <v>2009</v>
      </c>
      <c r="C691" s="92"/>
      <c r="D691" s="345">
        <v>19951553</v>
      </c>
      <c r="E691" s="278" t="str">
        <f t="shared" si="2"/>
        <v>https://pubmed.ncbi.nlm.nih.gov/?term=19951553</v>
      </c>
      <c r="F691" s="28" t="s">
        <v>511</v>
      </c>
      <c r="G691" s="28" t="s">
        <v>4592</v>
      </c>
      <c r="J691" s="346">
        <f t="shared" si="3"/>
        <v>1</v>
      </c>
      <c r="K691" s="28" t="str">
        <f t="shared" si="4"/>
        <v/>
      </c>
      <c r="L691" s="45" t="str">
        <f t="shared" si="5"/>
        <v/>
      </c>
      <c r="M691" s="45" t="str">
        <f t="shared" si="6"/>
        <v/>
      </c>
      <c r="N691" s="45" t="str">
        <f t="shared" si="7"/>
        <v/>
      </c>
      <c r="O691" s="45" t="str">
        <f t="shared" si="8"/>
        <v/>
      </c>
      <c r="P691" s="45" t="str">
        <f t="shared" si="9"/>
        <v/>
      </c>
    </row>
    <row r="692" spans="1:16" ht="18">
      <c r="A692" s="92" t="s">
        <v>5359</v>
      </c>
      <c r="B692" s="345">
        <v>2007</v>
      </c>
      <c r="C692" s="92" t="s">
        <v>5360</v>
      </c>
      <c r="D692" s="345">
        <v>17254623</v>
      </c>
      <c r="E692" s="278" t="str">
        <f t="shared" si="2"/>
        <v>https://pubmed.ncbi.nlm.nih.gov/?term=17254623</v>
      </c>
      <c r="F692" s="28" t="s">
        <v>511</v>
      </c>
      <c r="G692" s="28" t="s">
        <v>4346</v>
      </c>
      <c r="J692" s="346" t="str">
        <f t="shared" si="3"/>
        <v/>
      </c>
      <c r="K692" s="28" t="str">
        <f t="shared" si="4"/>
        <v/>
      </c>
      <c r="L692" s="45">
        <f t="shared" si="5"/>
        <v>1</v>
      </c>
      <c r="M692" s="45" t="str">
        <f t="shared" si="6"/>
        <v/>
      </c>
      <c r="N692" s="45" t="str">
        <f t="shared" si="7"/>
        <v/>
      </c>
      <c r="O692" s="45" t="str">
        <f t="shared" si="8"/>
        <v/>
      </c>
      <c r="P692" s="45" t="str">
        <f t="shared" si="9"/>
        <v/>
      </c>
    </row>
    <row r="693" spans="1:16" ht="18">
      <c r="A693" s="92" t="s">
        <v>5361</v>
      </c>
      <c r="B693" s="345">
        <v>2010</v>
      </c>
      <c r="C693" s="92"/>
      <c r="D693" s="345">
        <v>20674178</v>
      </c>
      <c r="E693" s="278" t="str">
        <f t="shared" si="2"/>
        <v>https://pubmed.ncbi.nlm.nih.gov/?term=20674178</v>
      </c>
      <c r="F693" s="28" t="s">
        <v>511</v>
      </c>
      <c r="G693" s="28" t="s">
        <v>4346</v>
      </c>
      <c r="J693" s="346" t="str">
        <f t="shared" si="3"/>
        <v/>
      </c>
      <c r="K693" s="28" t="str">
        <f t="shared" si="4"/>
        <v/>
      </c>
      <c r="L693" s="45">
        <f t="shared" si="5"/>
        <v>1</v>
      </c>
      <c r="M693" s="45" t="str">
        <f t="shared" si="6"/>
        <v/>
      </c>
      <c r="N693" s="45" t="str">
        <f t="shared" si="7"/>
        <v/>
      </c>
      <c r="O693" s="45" t="str">
        <f t="shared" si="8"/>
        <v/>
      </c>
      <c r="P693" s="45" t="str">
        <f t="shared" si="9"/>
        <v/>
      </c>
    </row>
    <row r="694" spans="1:16" ht="18">
      <c r="A694" s="92" t="s">
        <v>5362</v>
      </c>
      <c r="B694" s="345">
        <v>2011</v>
      </c>
      <c r="C694" s="92"/>
      <c r="D694" s="345">
        <v>21042827</v>
      </c>
      <c r="E694" s="278" t="str">
        <f t="shared" si="2"/>
        <v>https://pubmed.ncbi.nlm.nih.gov/?term=21042827</v>
      </c>
      <c r="F694" s="28" t="s">
        <v>511</v>
      </c>
      <c r="G694" s="28" t="s">
        <v>4346</v>
      </c>
      <c r="J694" s="346" t="str">
        <f t="shared" si="3"/>
        <v/>
      </c>
      <c r="K694" s="28" t="str">
        <f t="shared" si="4"/>
        <v/>
      </c>
      <c r="L694" s="45">
        <f t="shared" si="5"/>
        <v>1</v>
      </c>
      <c r="M694" s="45" t="str">
        <f t="shared" si="6"/>
        <v/>
      </c>
      <c r="N694" s="45" t="str">
        <f t="shared" si="7"/>
        <v/>
      </c>
      <c r="O694" s="45" t="str">
        <f t="shared" si="8"/>
        <v/>
      </c>
      <c r="P694" s="45" t="str">
        <f t="shared" si="9"/>
        <v/>
      </c>
    </row>
    <row r="695" spans="1:16" ht="18">
      <c r="A695" s="92" t="s">
        <v>5363</v>
      </c>
      <c r="B695" s="345">
        <v>2008</v>
      </c>
      <c r="C695" s="92"/>
      <c r="D695" s="345">
        <v>18821697</v>
      </c>
      <c r="E695" s="278" t="str">
        <f t="shared" si="2"/>
        <v>https://pubmed.ncbi.nlm.nih.gov/?term=18821697</v>
      </c>
      <c r="F695" s="28" t="s">
        <v>511</v>
      </c>
      <c r="G695" s="28" t="s">
        <v>4346</v>
      </c>
      <c r="J695" s="346" t="str">
        <f t="shared" si="3"/>
        <v/>
      </c>
      <c r="K695" s="28" t="str">
        <f t="shared" si="4"/>
        <v/>
      </c>
      <c r="L695" s="45">
        <f t="shared" si="5"/>
        <v>1</v>
      </c>
      <c r="M695" s="45" t="str">
        <f t="shared" si="6"/>
        <v/>
      </c>
      <c r="N695" s="45" t="str">
        <f t="shared" si="7"/>
        <v/>
      </c>
      <c r="O695" s="45" t="str">
        <f t="shared" si="8"/>
        <v/>
      </c>
      <c r="P695" s="45" t="str">
        <f t="shared" si="9"/>
        <v/>
      </c>
    </row>
    <row r="696" spans="1:16" ht="18">
      <c r="A696" s="92" t="s">
        <v>5364</v>
      </c>
      <c r="B696" s="345">
        <v>2009</v>
      </c>
      <c r="C696" s="92"/>
      <c r="D696" s="345">
        <v>19174586</v>
      </c>
      <c r="E696" s="278" t="str">
        <f t="shared" si="2"/>
        <v>https://pubmed.ncbi.nlm.nih.gov/?term=19174586</v>
      </c>
      <c r="F696" s="28" t="s">
        <v>511</v>
      </c>
      <c r="G696" s="28" t="s">
        <v>5365</v>
      </c>
      <c r="J696" s="346" t="str">
        <f t="shared" si="3"/>
        <v/>
      </c>
      <c r="K696" s="28" t="str">
        <f t="shared" si="4"/>
        <v/>
      </c>
      <c r="L696" s="45" t="str">
        <f t="shared" si="5"/>
        <v/>
      </c>
      <c r="M696" s="45" t="str">
        <f t="shared" si="6"/>
        <v/>
      </c>
      <c r="N696" s="45">
        <f t="shared" si="7"/>
        <v>1</v>
      </c>
      <c r="O696" s="45" t="str">
        <f t="shared" si="8"/>
        <v/>
      </c>
      <c r="P696" s="45" t="str">
        <f t="shared" si="9"/>
        <v/>
      </c>
    </row>
    <row r="697" spans="1:16" ht="18">
      <c r="A697" s="92" t="s">
        <v>5366</v>
      </c>
      <c r="B697" s="345">
        <v>2002</v>
      </c>
      <c r="C697" s="92"/>
      <c r="D697" s="345">
        <v>11793394</v>
      </c>
      <c r="E697" s="278" t="str">
        <f t="shared" si="2"/>
        <v>https://pubmed.ncbi.nlm.nih.gov/?term=11793394</v>
      </c>
      <c r="F697" s="28" t="s">
        <v>511</v>
      </c>
      <c r="G697" s="28" t="s">
        <v>4346</v>
      </c>
      <c r="J697" s="346" t="str">
        <f t="shared" si="3"/>
        <v/>
      </c>
      <c r="K697" s="28" t="str">
        <f t="shared" si="4"/>
        <v/>
      </c>
      <c r="L697" s="45">
        <f t="shared" si="5"/>
        <v>1</v>
      </c>
      <c r="M697" s="45" t="str">
        <f t="shared" si="6"/>
        <v/>
      </c>
      <c r="N697" s="45" t="str">
        <f t="shared" si="7"/>
        <v/>
      </c>
      <c r="O697" s="45" t="str">
        <f t="shared" si="8"/>
        <v/>
      </c>
      <c r="P697" s="45" t="str">
        <f t="shared" si="9"/>
        <v/>
      </c>
    </row>
    <row r="698" spans="1:16" ht="18">
      <c r="A698" s="92" t="s">
        <v>5241</v>
      </c>
      <c r="B698" s="345">
        <v>2007</v>
      </c>
      <c r="C698" s="92"/>
      <c r="D698" s="345">
        <v>17348292</v>
      </c>
      <c r="E698" s="278" t="str">
        <f t="shared" si="2"/>
        <v>https://pubmed.ncbi.nlm.nih.gov/?term=17348292</v>
      </c>
      <c r="F698" s="28" t="s">
        <v>511</v>
      </c>
      <c r="G698" s="28" t="s">
        <v>4346</v>
      </c>
      <c r="J698" s="346" t="str">
        <f t="shared" si="3"/>
        <v/>
      </c>
      <c r="K698" s="28" t="str">
        <f t="shared" si="4"/>
        <v/>
      </c>
      <c r="L698" s="45">
        <f t="shared" si="5"/>
        <v>1</v>
      </c>
      <c r="M698" s="45" t="str">
        <f t="shared" si="6"/>
        <v/>
      </c>
      <c r="N698" s="45" t="str">
        <f t="shared" si="7"/>
        <v/>
      </c>
      <c r="O698" s="45" t="str">
        <f t="shared" si="8"/>
        <v/>
      </c>
      <c r="P698" s="45" t="str">
        <f t="shared" si="9"/>
        <v/>
      </c>
    </row>
    <row r="699" spans="1:16" ht="18">
      <c r="A699" s="92" t="s">
        <v>5367</v>
      </c>
      <c r="B699" s="345">
        <v>2009</v>
      </c>
      <c r="C699" s="92"/>
      <c r="D699" s="345">
        <v>19219398</v>
      </c>
      <c r="E699" s="278" t="str">
        <f t="shared" si="2"/>
        <v>https://pubmed.ncbi.nlm.nih.gov/?term=19219398</v>
      </c>
      <c r="F699" s="28" t="s">
        <v>511</v>
      </c>
      <c r="G699" s="28" t="s">
        <v>4346</v>
      </c>
      <c r="J699" s="346" t="str">
        <f t="shared" si="3"/>
        <v/>
      </c>
      <c r="K699" s="28" t="str">
        <f t="shared" si="4"/>
        <v/>
      </c>
      <c r="L699" s="45">
        <f t="shared" si="5"/>
        <v>1</v>
      </c>
      <c r="M699" s="45" t="str">
        <f t="shared" si="6"/>
        <v/>
      </c>
      <c r="N699" s="45" t="str">
        <f t="shared" si="7"/>
        <v/>
      </c>
      <c r="O699" s="45" t="str">
        <f t="shared" si="8"/>
        <v/>
      </c>
      <c r="P699" s="45" t="str">
        <f t="shared" si="9"/>
        <v/>
      </c>
    </row>
    <row r="700" spans="1:16" ht="18">
      <c r="A700" s="92" t="s">
        <v>5267</v>
      </c>
      <c r="B700" s="345">
        <v>2008</v>
      </c>
      <c r="C700" s="92"/>
      <c r="D700" s="345">
        <v>18663041</v>
      </c>
      <c r="E700" s="278" t="str">
        <f t="shared" si="2"/>
        <v>https://pubmed.ncbi.nlm.nih.gov/?term=18663041</v>
      </c>
      <c r="F700" s="28" t="s">
        <v>511</v>
      </c>
      <c r="G700" s="28" t="s">
        <v>4744</v>
      </c>
      <c r="J700" s="346" t="str">
        <f t="shared" si="3"/>
        <v/>
      </c>
      <c r="K700" s="28" t="str">
        <f t="shared" si="4"/>
        <v/>
      </c>
      <c r="L700" s="45" t="str">
        <f t="shared" si="5"/>
        <v/>
      </c>
      <c r="M700" s="45" t="str">
        <f t="shared" si="6"/>
        <v/>
      </c>
      <c r="N700" s="45">
        <f t="shared" si="7"/>
        <v>1</v>
      </c>
      <c r="O700" s="45" t="str">
        <f t="shared" si="8"/>
        <v/>
      </c>
      <c r="P700" s="45" t="str">
        <f t="shared" si="9"/>
        <v/>
      </c>
    </row>
    <row r="701" spans="1:16" ht="18">
      <c r="A701" s="92" t="s">
        <v>5368</v>
      </c>
      <c r="B701" s="345">
        <v>2007</v>
      </c>
      <c r="C701" s="92"/>
      <c r="D701" s="345">
        <v>17893497</v>
      </c>
      <c r="E701" s="278" t="str">
        <f t="shared" si="2"/>
        <v>https://pubmed.ncbi.nlm.nih.gov/?term=17893497</v>
      </c>
      <c r="F701" s="28" t="s">
        <v>511</v>
      </c>
      <c r="G701" s="28" t="s">
        <v>5349</v>
      </c>
      <c r="J701" s="346" t="str">
        <f t="shared" si="3"/>
        <v/>
      </c>
      <c r="K701" s="28" t="str">
        <f t="shared" si="4"/>
        <v/>
      </c>
      <c r="L701" s="45" t="str">
        <f t="shared" si="5"/>
        <v/>
      </c>
      <c r="M701" s="45" t="str">
        <f t="shared" si="6"/>
        <v/>
      </c>
      <c r="N701" s="45">
        <f t="shared" si="7"/>
        <v>1</v>
      </c>
      <c r="O701" s="45" t="str">
        <f t="shared" si="8"/>
        <v/>
      </c>
      <c r="P701" s="45" t="str">
        <f t="shared" si="9"/>
        <v/>
      </c>
    </row>
    <row r="702" spans="1:16" ht="18">
      <c r="A702" s="92" t="s">
        <v>5369</v>
      </c>
      <c r="B702" s="345">
        <v>2010</v>
      </c>
      <c r="C702" s="92"/>
      <c r="D702" s="345">
        <v>20951424</v>
      </c>
      <c r="E702" s="278" t="str">
        <f t="shared" si="2"/>
        <v>https://pubmed.ncbi.nlm.nih.gov/?term=20951424</v>
      </c>
      <c r="F702" s="28" t="s">
        <v>511</v>
      </c>
      <c r="G702" s="28" t="s">
        <v>5299</v>
      </c>
      <c r="J702" s="346" t="str">
        <f t="shared" si="3"/>
        <v/>
      </c>
      <c r="K702" s="28" t="str">
        <f t="shared" si="4"/>
        <v/>
      </c>
      <c r="L702" s="45" t="str">
        <f t="shared" si="5"/>
        <v/>
      </c>
      <c r="M702" s="45" t="str">
        <f t="shared" si="6"/>
        <v/>
      </c>
      <c r="N702" s="45">
        <f t="shared" si="7"/>
        <v>1</v>
      </c>
      <c r="O702" s="45" t="str">
        <f t="shared" si="8"/>
        <v/>
      </c>
      <c r="P702" s="45" t="str">
        <f t="shared" si="9"/>
        <v/>
      </c>
    </row>
    <row r="703" spans="1:16" ht="18">
      <c r="A703" s="92" t="s">
        <v>5370</v>
      </c>
      <c r="B703" s="345">
        <v>2005</v>
      </c>
      <c r="C703" s="92"/>
      <c r="D703" s="345">
        <v>16119511</v>
      </c>
      <c r="E703" s="278" t="str">
        <f t="shared" si="2"/>
        <v>https://pubmed.ncbi.nlm.nih.gov/?term=16119511</v>
      </c>
      <c r="F703" s="28" t="s">
        <v>511</v>
      </c>
      <c r="G703" s="28" t="s">
        <v>4744</v>
      </c>
      <c r="J703" s="346" t="str">
        <f t="shared" si="3"/>
        <v/>
      </c>
      <c r="K703" s="28" t="str">
        <f t="shared" si="4"/>
        <v/>
      </c>
      <c r="L703" s="45" t="str">
        <f t="shared" si="5"/>
        <v/>
      </c>
      <c r="M703" s="45" t="str">
        <f t="shared" si="6"/>
        <v/>
      </c>
      <c r="N703" s="45">
        <f t="shared" si="7"/>
        <v>1</v>
      </c>
      <c r="O703" s="45" t="str">
        <f t="shared" si="8"/>
        <v/>
      </c>
      <c r="P703" s="45" t="str">
        <f t="shared" si="9"/>
        <v/>
      </c>
    </row>
    <row r="704" spans="1:16" ht="18">
      <c r="A704" s="92" t="s">
        <v>4338</v>
      </c>
      <c r="B704" s="345">
        <v>2007</v>
      </c>
      <c r="C704" s="92" t="s">
        <v>5371</v>
      </c>
      <c r="D704" s="345">
        <v>17055218</v>
      </c>
      <c r="E704" s="278" t="str">
        <f t="shared" si="2"/>
        <v>https://pubmed.ncbi.nlm.nih.gov/?term=17055218</v>
      </c>
      <c r="H704" s="28" t="s">
        <v>511</v>
      </c>
      <c r="J704" s="346" t="str">
        <f t="shared" si="3"/>
        <v/>
      </c>
      <c r="K704" s="28" t="str">
        <f t="shared" si="4"/>
        <v/>
      </c>
      <c r="L704" s="45" t="str">
        <f t="shared" si="5"/>
        <v/>
      </c>
      <c r="M704" s="45" t="str">
        <f t="shared" si="6"/>
        <v/>
      </c>
      <c r="N704" s="45" t="str">
        <f t="shared" si="7"/>
        <v/>
      </c>
      <c r="O704" s="45" t="str">
        <f t="shared" si="8"/>
        <v/>
      </c>
      <c r="P704" s="45" t="str">
        <f t="shared" si="9"/>
        <v/>
      </c>
    </row>
    <row r="705" spans="1:16" ht="18">
      <c r="A705" s="92" t="s">
        <v>5372</v>
      </c>
      <c r="B705" s="345">
        <v>2008</v>
      </c>
      <c r="C705" s="92" t="s">
        <v>5373</v>
      </c>
      <c r="D705" s="345">
        <v>18199647</v>
      </c>
      <c r="E705" s="278" t="str">
        <f t="shared" si="2"/>
        <v>https://pubmed.ncbi.nlm.nih.gov/?term=18199647</v>
      </c>
      <c r="F705" s="28" t="s">
        <v>511</v>
      </c>
      <c r="G705" s="28" t="s">
        <v>4346</v>
      </c>
      <c r="J705" s="346" t="str">
        <f t="shared" si="3"/>
        <v/>
      </c>
      <c r="K705" s="28" t="str">
        <f t="shared" si="4"/>
        <v/>
      </c>
      <c r="L705" s="45">
        <f t="shared" si="5"/>
        <v>1</v>
      </c>
      <c r="M705" s="45" t="str">
        <f t="shared" si="6"/>
        <v/>
      </c>
      <c r="N705" s="45" t="str">
        <f t="shared" si="7"/>
        <v/>
      </c>
      <c r="O705" s="45" t="str">
        <f t="shared" si="8"/>
        <v/>
      </c>
      <c r="P705" s="45" t="str">
        <f t="shared" si="9"/>
        <v/>
      </c>
    </row>
    <row r="706" spans="1:16" ht="18">
      <c r="A706" s="92" t="s">
        <v>5374</v>
      </c>
      <c r="B706" s="345">
        <v>2007</v>
      </c>
      <c r="C706" s="92"/>
      <c r="D706" s="345">
        <v>17698669</v>
      </c>
      <c r="E706" s="278" t="str">
        <f t="shared" si="2"/>
        <v>https://pubmed.ncbi.nlm.nih.gov/?term=17698669</v>
      </c>
      <c r="F706" s="28" t="s">
        <v>511</v>
      </c>
      <c r="G706" s="28" t="s">
        <v>4346</v>
      </c>
      <c r="J706" s="346" t="str">
        <f t="shared" si="3"/>
        <v/>
      </c>
      <c r="K706" s="28" t="str">
        <f t="shared" si="4"/>
        <v/>
      </c>
      <c r="L706" s="45">
        <f t="shared" si="5"/>
        <v>1</v>
      </c>
      <c r="M706" s="45" t="str">
        <f t="shared" si="6"/>
        <v/>
      </c>
      <c r="N706" s="45" t="str">
        <f t="shared" si="7"/>
        <v/>
      </c>
      <c r="O706" s="45" t="str">
        <f t="shared" si="8"/>
        <v/>
      </c>
      <c r="P706" s="45" t="str">
        <f t="shared" si="9"/>
        <v/>
      </c>
    </row>
    <row r="707" spans="1:16" ht="18">
      <c r="A707" s="92" t="s">
        <v>5375</v>
      </c>
      <c r="B707" s="345">
        <v>2009</v>
      </c>
      <c r="C707" s="92"/>
      <c r="D707" s="345">
        <v>19753470</v>
      </c>
      <c r="E707" s="278" t="str">
        <f t="shared" si="2"/>
        <v>https://pubmed.ncbi.nlm.nih.gov/?term=19753470</v>
      </c>
      <c r="F707" s="28" t="s">
        <v>511</v>
      </c>
      <c r="G707" s="28" t="s">
        <v>4592</v>
      </c>
      <c r="J707" s="346">
        <f t="shared" si="3"/>
        <v>1</v>
      </c>
      <c r="K707" s="28" t="str">
        <f t="shared" si="4"/>
        <v/>
      </c>
      <c r="L707" s="45" t="str">
        <f t="shared" si="5"/>
        <v/>
      </c>
      <c r="M707" s="45" t="str">
        <f t="shared" si="6"/>
        <v/>
      </c>
      <c r="N707" s="45" t="str">
        <f t="shared" si="7"/>
        <v/>
      </c>
      <c r="O707" s="45" t="str">
        <f t="shared" si="8"/>
        <v/>
      </c>
      <c r="P707" s="45" t="str">
        <f t="shared" si="9"/>
        <v/>
      </c>
    </row>
    <row r="708" spans="1:16" ht="18">
      <c r="A708" s="92" t="s">
        <v>4711</v>
      </c>
      <c r="B708" s="345">
        <v>2004</v>
      </c>
      <c r="C708" s="92"/>
      <c r="D708" s="345">
        <v>15506661</v>
      </c>
      <c r="E708" s="278" t="str">
        <f t="shared" si="2"/>
        <v>https://pubmed.ncbi.nlm.nih.gov/?term=15506661</v>
      </c>
      <c r="F708" s="28" t="s">
        <v>511</v>
      </c>
      <c r="G708" s="28" t="s">
        <v>4592</v>
      </c>
      <c r="J708" s="346">
        <f t="shared" si="3"/>
        <v>1</v>
      </c>
      <c r="K708" s="28" t="str">
        <f t="shared" si="4"/>
        <v/>
      </c>
      <c r="L708" s="45" t="str">
        <f t="shared" si="5"/>
        <v/>
      </c>
      <c r="M708" s="45" t="str">
        <f t="shared" si="6"/>
        <v/>
      </c>
      <c r="N708" s="45" t="str">
        <f t="shared" si="7"/>
        <v/>
      </c>
      <c r="O708" s="45" t="str">
        <f t="shared" si="8"/>
        <v/>
      </c>
      <c r="P708" s="45" t="str">
        <f t="shared" si="9"/>
        <v/>
      </c>
    </row>
    <row r="709" spans="1:16" ht="18">
      <c r="A709" s="92" t="s">
        <v>5376</v>
      </c>
      <c r="B709" s="345">
        <v>2010</v>
      </c>
      <c r="C709" s="92"/>
      <c r="D709" s="345">
        <v>19841607</v>
      </c>
      <c r="E709" s="278" t="str">
        <f t="shared" si="2"/>
        <v>https://pubmed.ncbi.nlm.nih.gov/?term=19841607</v>
      </c>
      <c r="F709" s="28" t="s">
        <v>511</v>
      </c>
      <c r="G709" s="28" t="s">
        <v>5349</v>
      </c>
      <c r="J709" s="346" t="str">
        <f t="shared" si="3"/>
        <v/>
      </c>
      <c r="K709" s="28" t="str">
        <f t="shared" si="4"/>
        <v/>
      </c>
      <c r="L709" s="45" t="str">
        <f t="shared" si="5"/>
        <v/>
      </c>
      <c r="M709" s="45" t="str">
        <f t="shared" si="6"/>
        <v/>
      </c>
      <c r="N709" s="45">
        <f t="shared" si="7"/>
        <v>1</v>
      </c>
      <c r="O709" s="45" t="str">
        <f t="shared" si="8"/>
        <v/>
      </c>
      <c r="P709" s="45" t="str">
        <f t="shared" si="9"/>
        <v/>
      </c>
    </row>
    <row r="710" spans="1:16" ht="18">
      <c r="A710" s="92" t="s">
        <v>5377</v>
      </c>
      <c r="B710" s="345">
        <v>2007</v>
      </c>
      <c r="C710" s="92" t="s">
        <v>5378</v>
      </c>
      <c r="D710" s="345">
        <v>17641671</v>
      </c>
      <c r="E710" s="278" t="str">
        <f t="shared" si="2"/>
        <v>https://pubmed.ncbi.nlm.nih.gov/?term=17641671</v>
      </c>
      <c r="F710" s="28" t="s">
        <v>511</v>
      </c>
      <c r="G710" s="28" t="s">
        <v>4346</v>
      </c>
      <c r="J710" s="346" t="str">
        <f t="shared" si="3"/>
        <v/>
      </c>
      <c r="K710" s="28" t="str">
        <f t="shared" si="4"/>
        <v/>
      </c>
      <c r="L710" s="45">
        <f t="shared" si="5"/>
        <v>1</v>
      </c>
      <c r="M710" s="45" t="str">
        <f t="shared" si="6"/>
        <v/>
      </c>
      <c r="N710" s="45" t="str">
        <f t="shared" si="7"/>
        <v/>
      </c>
      <c r="O710" s="45" t="str">
        <f t="shared" si="8"/>
        <v/>
      </c>
      <c r="P710" s="45" t="str">
        <f t="shared" si="9"/>
        <v/>
      </c>
    </row>
    <row r="711" spans="1:16" ht="18">
      <c r="A711" s="92" t="s">
        <v>5379</v>
      </c>
      <c r="B711" s="345">
        <v>2010</v>
      </c>
      <c r="C711" s="92" t="s">
        <v>5380</v>
      </c>
      <c r="D711" s="345">
        <v>20376320</v>
      </c>
      <c r="E711" s="278" t="str">
        <f t="shared" si="2"/>
        <v>https://pubmed.ncbi.nlm.nih.gov/?term=20376320</v>
      </c>
      <c r="F711" s="28" t="s">
        <v>511</v>
      </c>
      <c r="G711" s="28" t="s">
        <v>4346</v>
      </c>
      <c r="J711" s="346" t="str">
        <f t="shared" si="3"/>
        <v/>
      </c>
      <c r="K711" s="28" t="str">
        <f t="shared" si="4"/>
        <v/>
      </c>
      <c r="L711" s="45">
        <f t="shared" si="5"/>
        <v>1</v>
      </c>
      <c r="M711" s="45" t="str">
        <f t="shared" si="6"/>
        <v/>
      </c>
      <c r="N711" s="45" t="str">
        <f t="shared" si="7"/>
        <v/>
      </c>
      <c r="O711" s="45" t="str">
        <f t="shared" si="8"/>
        <v/>
      </c>
      <c r="P711" s="45" t="str">
        <f t="shared" si="9"/>
        <v/>
      </c>
    </row>
    <row r="712" spans="1:16" ht="18">
      <c r="A712" s="92" t="s">
        <v>4333</v>
      </c>
      <c r="B712" s="345">
        <v>2010</v>
      </c>
      <c r="C712" s="92"/>
      <c r="D712" s="345">
        <v>20525715</v>
      </c>
      <c r="E712" s="278" t="str">
        <f t="shared" si="2"/>
        <v>https://pubmed.ncbi.nlm.nih.gov/?term=20525715</v>
      </c>
      <c r="H712" s="28" t="s">
        <v>511</v>
      </c>
      <c r="J712" s="346" t="str">
        <f t="shared" si="3"/>
        <v/>
      </c>
      <c r="K712" s="28" t="str">
        <f t="shared" si="4"/>
        <v/>
      </c>
      <c r="L712" s="45" t="str">
        <f t="shared" si="5"/>
        <v/>
      </c>
      <c r="M712" s="45" t="str">
        <f t="shared" si="6"/>
        <v/>
      </c>
      <c r="N712" s="45" t="str">
        <f t="shared" si="7"/>
        <v/>
      </c>
      <c r="O712" s="45" t="str">
        <f t="shared" si="8"/>
        <v/>
      </c>
      <c r="P712" s="45" t="str">
        <f t="shared" si="9"/>
        <v/>
      </c>
    </row>
    <row r="713" spans="1:16" ht="18">
      <c r="A713" s="92" t="s">
        <v>5381</v>
      </c>
      <c r="B713" s="345">
        <v>2005</v>
      </c>
      <c r="C713" s="92" t="s">
        <v>5382</v>
      </c>
      <c r="D713" s="345">
        <v>15742410</v>
      </c>
      <c r="E713" s="278" t="str">
        <f t="shared" si="2"/>
        <v>https://pubmed.ncbi.nlm.nih.gov/?term=15742410</v>
      </c>
      <c r="F713" s="28" t="s">
        <v>511</v>
      </c>
      <c r="G713" s="28" t="s">
        <v>4628</v>
      </c>
      <c r="J713" s="346" t="str">
        <f t="shared" si="3"/>
        <v/>
      </c>
      <c r="K713" s="28" t="str">
        <f t="shared" si="4"/>
        <v/>
      </c>
      <c r="L713" s="45" t="str">
        <f t="shared" si="5"/>
        <v/>
      </c>
      <c r="M713" s="45" t="str">
        <f t="shared" si="6"/>
        <v/>
      </c>
      <c r="N713" s="45" t="str">
        <f t="shared" si="7"/>
        <v/>
      </c>
      <c r="O713" s="45">
        <f t="shared" si="8"/>
        <v>1</v>
      </c>
      <c r="P713" s="45" t="str">
        <f t="shared" si="9"/>
        <v/>
      </c>
    </row>
    <row r="714" spans="1:16" ht="18">
      <c r="A714" s="92" t="s">
        <v>4796</v>
      </c>
      <c r="B714" s="345">
        <v>2000</v>
      </c>
      <c r="C714" s="92" t="s">
        <v>4797</v>
      </c>
      <c r="D714" s="345">
        <v>10823852</v>
      </c>
      <c r="E714" s="278" t="str">
        <f t="shared" si="2"/>
        <v>https://pubmed.ncbi.nlm.nih.gov/?term=10823852</v>
      </c>
      <c r="F714" s="28" t="s">
        <v>511</v>
      </c>
      <c r="G714" s="28" t="s">
        <v>4346</v>
      </c>
      <c r="J714" s="346" t="str">
        <f t="shared" si="3"/>
        <v/>
      </c>
      <c r="K714" s="28" t="str">
        <f t="shared" si="4"/>
        <v/>
      </c>
      <c r="L714" s="45">
        <f t="shared" si="5"/>
        <v>1</v>
      </c>
      <c r="M714" s="45" t="str">
        <f t="shared" si="6"/>
        <v/>
      </c>
      <c r="N714" s="45" t="str">
        <f t="shared" si="7"/>
        <v/>
      </c>
      <c r="O714" s="45" t="str">
        <f t="shared" si="8"/>
        <v/>
      </c>
      <c r="P714" s="45" t="str">
        <f t="shared" si="9"/>
        <v/>
      </c>
    </row>
    <row r="715" spans="1:16" ht="18">
      <c r="A715" s="92" t="s">
        <v>5383</v>
      </c>
      <c r="B715" s="345">
        <v>2009</v>
      </c>
      <c r="C715" s="92"/>
      <c r="D715" s="345">
        <v>19190224</v>
      </c>
      <c r="E715" s="278" t="str">
        <f t="shared" si="2"/>
        <v>https://pubmed.ncbi.nlm.nih.gov/?term=19190224</v>
      </c>
      <c r="F715" s="28" t="s">
        <v>511</v>
      </c>
      <c r="G715" s="28" t="s">
        <v>4346</v>
      </c>
      <c r="J715" s="346" t="str">
        <f t="shared" si="3"/>
        <v/>
      </c>
      <c r="K715" s="28" t="str">
        <f t="shared" si="4"/>
        <v/>
      </c>
      <c r="L715" s="45">
        <f t="shared" si="5"/>
        <v>1</v>
      </c>
      <c r="M715" s="45" t="str">
        <f t="shared" si="6"/>
        <v/>
      </c>
      <c r="N715" s="45" t="str">
        <f t="shared" si="7"/>
        <v/>
      </c>
      <c r="O715" s="45" t="str">
        <f t="shared" si="8"/>
        <v/>
      </c>
      <c r="P715" s="45" t="str">
        <f t="shared" si="9"/>
        <v/>
      </c>
    </row>
    <row r="716" spans="1:16" ht="18">
      <c r="A716" s="92" t="s">
        <v>5384</v>
      </c>
      <c r="B716" s="345">
        <v>2005</v>
      </c>
      <c r="C716" s="92"/>
      <c r="D716" s="345">
        <v>15663066</v>
      </c>
      <c r="E716" s="278" t="str">
        <f t="shared" si="2"/>
        <v>https://pubmed.ncbi.nlm.nih.gov/?term=15663066</v>
      </c>
      <c r="F716" s="28" t="s">
        <v>511</v>
      </c>
      <c r="G716" s="28" t="s">
        <v>5349</v>
      </c>
      <c r="J716" s="346" t="str">
        <f t="shared" si="3"/>
        <v/>
      </c>
      <c r="K716" s="28" t="str">
        <f t="shared" si="4"/>
        <v/>
      </c>
      <c r="L716" s="45" t="str">
        <f t="shared" si="5"/>
        <v/>
      </c>
      <c r="M716" s="45" t="str">
        <f t="shared" si="6"/>
        <v/>
      </c>
      <c r="N716" s="45">
        <f t="shared" si="7"/>
        <v>1</v>
      </c>
      <c r="O716" s="45" t="str">
        <f t="shared" si="8"/>
        <v/>
      </c>
      <c r="P716" s="45" t="str">
        <f t="shared" si="9"/>
        <v/>
      </c>
    </row>
    <row r="717" spans="1:16" ht="18">
      <c r="A717" s="92" t="s">
        <v>5385</v>
      </c>
      <c r="B717" s="345">
        <v>2010</v>
      </c>
      <c r="C717" s="92" t="s">
        <v>5386</v>
      </c>
      <c r="D717" s="345">
        <v>20823213</v>
      </c>
      <c r="E717" s="278" t="str">
        <f t="shared" si="2"/>
        <v>https://pubmed.ncbi.nlm.nih.gov/?term=20823213</v>
      </c>
      <c r="F717" s="28" t="s">
        <v>511</v>
      </c>
      <c r="G717" s="28" t="s">
        <v>4346</v>
      </c>
      <c r="J717" s="346" t="str">
        <f t="shared" si="3"/>
        <v/>
      </c>
      <c r="K717" s="28" t="str">
        <f t="shared" si="4"/>
        <v/>
      </c>
      <c r="L717" s="45">
        <f t="shared" si="5"/>
        <v>1</v>
      </c>
      <c r="M717" s="45" t="str">
        <f t="shared" si="6"/>
        <v/>
      </c>
      <c r="N717" s="45" t="str">
        <f t="shared" si="7"/>
        <v/>
      </c>
      <c r="O717" s="45" t="str">
        <f t="shared" si="8"/>
        <v/>
      </c>
      <c r="P717" s="45" t="str">
        <f t="shared" si="9"/>
        <v/>
      </c>
    </row>
    <row r="718" spans="1:16" ht="18">
      <c r="A718" s="92" t="s">
        <v>2371</v>
      </c>
      <c r="B718" s="345">
        <v>2001</v>
      </c>
      <c r="C718" s="92"/>
      <c r="D718" s="345">
        <v>11692298</v>
      </c>
      <c r="E718" s="278" t="str">
        <f t="shared" si="2"/>
        <v>https://pubmed.ncbi.nlm.nih.gov/?term=11692298</v>
      </c>
      <c r="H718" s="28" t="s">
        <v>511</v>
      </c>
      <c r="J718" s="346" t="str">
        <f t="shared" si="3"/>
        <v/>
      </c>
      <c r="K718" s="28" t="str">
        <f t="shared" si="4"/>
        <v/>
      </c>
      <c r="L718" s="45" t="str">
        <f t="shared" si="5"/>
        <v/>
      </c>
      <c r="M718" s="45" t="str">
        <f t="shared" si="6"/>
        <v/>
      </c>
      <c r="N718" s="45" t="str">
        <f t="shared" si="7"/>
        <v/>
      </c>
      <c r="O718" s="45" t="str">
        <f t="shared" si="8"/>
        <v/>
      </c>
      <c r="P718" s="45" t="str">
        <f t="shared" si="9"/>
        <v/>
      </c>
    </row>
    <row r="719" spans="1:16" ht="18">
      <c r="A719" s="92" t="s">
        <v>5387</v>
      </c>
      <c r="B719" s="345">
        <v>2009</v>
      </c>
      <c r="C719" s="92"/>
      <c r="D719" s="345">
        <v>19488785</v>
      </c>
      <c r="E719" s="278" t="str">
        <f t="shared" si="2"/>
        <v>https://pubmed.ncbi.nlm.nih.gov/?term=19488785</v>
      </c>
      <c r="F719" s="28" t="s">
        <v>511</v>
      </c>
      <c r="G719" s="28" t="s">
        <v>4346</v>
      </c>
      <c r="J719" s="346" t="str">
        <f t="shared" si="3"/>
        <v/>
      </c>
      <c r="K719" s="28" t="str">
        <f t="shared" si="4"/>
        <v/>
      </c>
      <c r="L719" s="45">
        <f t="shared" si="5"/>
        <v>1</v>
      </c>
      <c r="M719" s="45" t="str">
        <f t="shared" si="6"/>
        <v/>
      </c>
      <c r="N719" s="45" t="str">
        <f t="shared" si="7"/>
        <v/>
      </c>
      <c r="O719" s="45" t="str">
        <f t="shared" si="8"/>
        <v/>
      </c>
      <c r="P719" s="45" t="str">
        <f t="shared" si="9"/>
        <v/>
      </c>
    </row>
    <row r="720" spans="1:16" ht="18">
      <c r="A720" s="92" t="s">
        <v>5388</v>
      </c>
      <c r="B720" s="345">
        <v>2009</v>
      </c>
      <c r="C720" s="92" t="s">
        <v>5389</v>
      </c>
      <c r="D720" s="345">
        <v>19797063</v>
      </c>
      <c r="E720" s="278" t="str">
        <f t="shared" si="2"/>
        <v>https://pubmed.ncbi.nlm.nih.gov/?term=19797063</v>
      </c>
      <c r="F720" s="28" t="s">
        <v>511</v>
      </c>
      <c r="G720" s="28" t="s">
        <v>4346</v>
      </c>
      <c r="J720" s="346" t="str">
        <f t="shared" si="3"/>
        <v/>
      </c>
      <c r="K720" s="28" t="str">
        <f t="shared" si="4"/>
        <v/>
      </c>
      <c r="L720" s="45">
        <f t="shared" si="5"/>
        <v>1</v>
      </c>
      <c r="M720" s="45" t="str">
        <f t="shared" si="6"/>
        <v/>
      </c>
      <c r="N720" s="45" t="str">
        <f t="shared" si="7"/>
        <v/>
      </c>
      <c r="O720" s="45" t="str">
        <f t="shared" si="8"/>
        <v/>
      </c>
      <c r="P720" s="45" t="str">
        <f t="shared" si="9"/>
        <v/>
      </c>
    </row>
    <row r="721" spans="1:16" ht="18">
      <c r="A721" s="92" t="s">
        <v>4371</v>
      </c>
      <c r="B721" s="345">
        <v>2000</v>
      </c>
      <c r="C721" s="92"/>
      <c r="D721" s="345">
        <v>11130213</v>
      </c>
      <c r="E721" s="278" t="str">
        <f t="shared" si="2"/>
        <v>https://pubmed.ncbi.nlm.nih.gov/?term=11130213</v>
      </c>
      <c r="H721" s="28" t="s">
        <v>511</v>
      </c>
      <c r="J721" s="346" t="str">
        <f t="shared" si="3"/>
        <v/>
      </c>
      <c r="K721" s="28" t="str">
        <f t="shared" si="4"/>
        <v/>
      </c>
      <c r="L721" s="45" t="str">
        <f t="shared" si="5"/>
        <v/>
      </c>
      <c r="M721" s="45" t="str">
        <f t="shared" si="6"/>
        <v/>
      </c>
      <c r="N721" s="45" t="str">
        <f t="shared" si="7"/>
        <v/>
      </c>
      <c r="O721" s="45" t="str">
        <f t="shared" si="8"/>
        <v/>
      </c>
      <c r="P721" s="45" t="str">
        <f t="shared" si="9"/>
        <v/>
      </c>
    </row>
    <row r="722" spans="1:16" ht="18">
      <c r="A722" s="92" t="s">
        <v>5390</v>
      </c>
      <c r="B722" s="345">
        <v>2003</v>
      </c>
      <c r="C722" s="92"/>
      <c r="D722" s="345">
        <v>14648065</v>
      </c>
      <c r="E722" s="278" t="str">
        <f t="shared" si="2"/>
        <v>https://pubmed.ncbi.nlm.nih.gov/?term=14648065</v>
      </c>
      <c r="F722" s="28" t="s">
        <v>511</v>
      </c>
      <c r="G722" s="28" t="s">
        <v>5365</v>
      </c>
      <c r="J722" s="346" t="str">
        <f t="shared" si="3"/>
        <v/>
      </c>
      <c r="K722" s="28" t="str">
        <f t="shared" si="4"/>
        <v/>
      </c>
      <c r="L722" s="45" t="str">
        <f t="shared" si="5"/>
        <v/>
      </c>
      <c r="M722" s="45" t="str">
        <f t="shared" si="6"/>
        <v/>
      </c>
      <c r="N722" s="45">
        <f t="shared" si="7"/>
        <v>1</v>
      </c>
      <c r="O722" s="45" t="str">
        <f t="shared" si="8"/>
        <v/>
      </c>
      <c r="P722" s="45" t="str">
        <f t="shared" si="9"/>
        <v/>
      </c>
    </row>
    <row r="723" spans="1:16" ht="18">
      <c r="A723" s="92" t="s">
        <v>2213</v>
      </c>
      <c r="B723" s="345">
        <v>2000</v>
      </c>
      <c r="C723" s="92"/>
      <c r="D723" s="345">
        <v>10608746</v>
      </c>
      <c r="E723" s="278" t="str">
        <f t="shared" si="2"/>
        <v>https://pubmed.ncbi.nlm.nih.gov/?term=10608746</v>
      </c>
      <c r="H723" s="28" t="s">
        <v>511</v>
      </c>
      <c r="J723" s="346" t="str">
        <f t="shared" si="3"/>
        <v/>
      </c>
      <c r="K723" s="28" t="str">
        <f t="shared" si="4"/>
        <v/>
      </c>
      <c r="L723" s="45" t="str">
        <f t="shared" si="5"/>
        <v/>
      </c>
      <c r="M723" s="45" t="str">
        <f t="shared" si="6"/>
        <v/>
      </c>
      <c r="N723" s="45" t="str">
        <f t="shared" si="7"/>
        <v/>
      </c>
      <c r="O723" s="45" t="str">
        <f t="shared" si="8"/>
        <v/>
      </c>
      <c r="P723" s="45" t="str">
        <f t="shared" si="9"/>
        <v/>
      </c>
    </row>
    <row r="724" spans="1:16" ht="18">
      <c r="A724" s="92" t="s">
        <v>5391</v>
      </c>
      <c r="B724" s="345">
        <v>2006</v>
      </c>
      <c r="C724" s="92"/>
      <c r="D724" s="345">
        <v>16459029</v>
      </c>
      <c r="E724" s="278" t="str">
        <f t="shared" si="2"/>
        <v>https://pubmed.ncbi.nlm.nih.gov/?term=16459029</v>
      </c>
      <c r="F724" s="28" t="s">
        <v>511</v>
      </c>
      <c r="G724" s="28" t="s">
        <v>4346</v>
      </c>
      <c r="J724" s="346" t="str">
        <f t="shared" si="3"/>
        <v/>
      </c>
      <c r="K724" s="28" t="str">
        <f t="shared" si="4"/>
        <v/>
      </c>
      <c r="L724" s="45">
        <f t="shared" si="5"/>
        <v>1</v>
      </c>
      <c r="M724" s="45" t="str">
        <f t="shared" si="6"/>
        <v/>
      </c>
      <c r="N724" s="45" t="str">
        <f t="shared" si="7"/>
        <v/>
      </c>
      <c r="O724" s="45" t="str">
        <f t="shared" si="8"/>
        <v/>
      </c>
      <c r="P724" s="45" t="str">
        <f t="shared" si="9"/>
        <v/>
      </c>
    </row>
    <row r="725" spans="1:16" ht="18">
      <c r="A725" s="92" t="s">
        <v>4255</v>
      </c>
      <c r="B725" s="345">
        <v>2000</v>
      </c>
      <c r="C725" s="92"/>
      <c r="D725" s="345">
        <v>10781777</v>
      </c>
      <c r="E725" s="278" t="str">
        <f t="shared" si="2"/>
        <v>https://pubmed.ncbi.nlm.nih.gov/?term=10781777</v>
      </c>
      <c r="H725" s="28" t="s">
        <v>511</v>
      </c>
      <c r="J725" s="346" t="str">
        <f t="shared" si="3"/>
        <v/>
      </c>
      <c r="K725" s="28" t="str">
        <f t="shared" si="4"/>
        <v/>
      </c>
      <c r="L725" s="45" t="str">
        <f t="shared" si="5"/>
        <v/>
      </c>
      <c r="M725" s="45" t="str">
        <f t="shared" si="6"/>
        <v/>
      </c>
      <c r="N725" s="45" t="str">
        <f t="shared" si="7"/>
        <v/>
      </c>
      <c r="O725" s="45" t="str">
        <f t="shared" si="8"/>
        <v/>
      </c>
      <c r="P725" s="45" t="str">
        <f t="shared" si="9"/>
        <v/>
      </c>
    </row>
    <row r="726" spans="1:16" ht="18">
      <c r="A726" s="92" t="s">
        <v>5392</v>
      </c>
      <c r="B726" s="345">
        <v>2009</v>
      </c>
      <c r="C726" s="92"/>
      <c r="D726" s="345">
        <v>19395735</v>
      </c>
      <c r="E726" s="278" t="str">
        <f t="shared" si="2"/>
        <v>https://pubmed.ncbi.nlm.nih.gov/?term=19395735</v>
      </c>
      <c r="F726" s="28" t="s">
        <v>511</v>
      </c>
      <c r="G726" s="28" t="s">
        <v>4346</v>
      </c>
      <c r="J726" s="346" t="str">
        <f t="shared" si="3"/>
        <v/>
      </c>
      <c r="K726" s="28" t="str">
        <f t="shared" si="4"/>
        <v/>
      </c>
      <c r="L726" s="45">
        <f t="shared" si="5"/>
        <v>1</v>
      </c>
      <c r="M726" s="45" t="str">
        <f t="shared" si="6"/>
        <v/>
      </c>
      <c r="N726" s="45" t="str">
        <f t="shared" si="7"/>
        <v/>
      </c>
      <c r="O726" s="45" t="str">
        <f t="shared" si="8"/>
        <v/>
      </c>
      <c r="P726" s="45" t="str">
        <f t="shared" si="9"/>
        <v/>
      </c>
    </row>
    <row r="727" spans="1:16" ht="18">
      <c r="A727" s="92" t="s">
        <v>5393</v>
      </c>
      <c r="B727" s="345">
        <v>2009</v>
      </c>
      <c r="C727" s="92" t="s">
        <v>5394</v>
      </c>
      <c r="D727" s="345">
        <v>19235917</v>
      </c>
      <c r="E727" s="278" t="str">
        <f t="shared" si="2"/>
        <v>https://pubmed.ncbi.nlm.nih.gov/?term=19235917</v>
      </c>
      <c r="F727" s="28" t="s">
        <v>511</v>
      </c>
      <c r="G727" s="28" t="s">
        <v>4346</v>
      </c>
      <c r="J727" s="346" t="str">
        <f t="shared" si="3"/>
        <v/>
      </c>
      <c r="K727" s="28" t="str">
        <f t="shared" si="4"/>
        <v/>
      </c>
      <c r="L727" s="45">
        <f t="shared" si="5"/>
        <v>1</v>
      </c>
      <c r="M727" s="45" t="str">
        <f t="shared" si="6"/>
        <v/>
      </c>
      <c r="N727" s="45" t="str">
        <f t="shared" si="7"/>
        <v/>
      </c>
      <c r="O727" s="45" t="str">
        <f t="shared" si="8"/>
        <v/>
      </c>
      <c r="P727" s="45" t="str">
        <f t="shared" si="9"/>
        <v/>
      </c>
    </row>
    <row r="728" spans="1:16" ht="18">
      <c r="A728" s="92" t="s">
        <v>5395</v>
      </c>
      <c r="B728" s="345">
        <v>2003</v>
      </c>
      <c r="C728" s="92"/>
      <c r="D728" s="345">
        <v>12966125</v>
      </c>
      <c r="E728" s="278" t="str">
        <f t="shared" si="2"/>
        <v>https://pubmed.ncbi.nlm.nih.gov/?term=12966125</v>
      </c>
      <c r="F728" s="28" t="s">
        <v>511</v>
      </c>
      <c r="G728" s="28" t="s">
        <v>5349</v>
      </c>
      <c r="J728" s="346" t="str">
        <f t="shared" si="3"/>
        <v/>
      </c>
      <c r="K728" s="28" t="str">
        <f t="shared" si="4"/>
        <v/>
      </c>
      <c r="L728" s="45" t="str">
        <f t="shared" si="5"/>
        <v/>
      </c>
      <c r="M728" s="45" t="str">
        <f t="shared" si="6"/>
        <v/>
      </c>
      <c r="N728" s="45">
        <f t="shared" si="7"/>
        <v>1</v>
      </c>
      <c r="O728" s="45" t="str">
        <f t="shared" si="8"/>
        <v/>
      </c>
      <c r="P728" s="45" t="str">
        <f t="shared" si="9"/>
        <v/>
      </c>
    </row>
    <row r="729" spans="1:16" ht="18">
      <c r="A729" s="92" t="s">
        <v>5396</v>
      </c>
      <c r="B729" s="345">
        <v>2008</v>
      </c>
      <c r="C729" s="92" t="s">
        <v>5397</v>
      </c>
      <c r="D729" s="345">
        <v>18577209</v>
      </c>
      <c r="E729" s="278" t="str">
        <f t="shared" si="2"/>
        <v>https://pubmed.ncbi.nlm.nih.gov/?term=18577209</v>
      </c>
      <c r="F729" s="28" t="s">
        <v>511</v>
      </c>
      <c r="G729" s="28" t="s">
        <v>5349</v>
      </c>
      <c r="J729" s="346" t="str">
        <f t="shared" si="3"/>
        <v/>
      </c>
      <c r="K729" s="28" t="str">
        <f t="shared" si="4"/>
        <v/>
      </c>
      <c r="L729" s="45" t="str">
        <f t="shared" si="5"/>
        <v/>
      </c>
      <c r="M729" s="45" t="str">
        <f t="shared" si="6"/>
        <v/>
      </c>
      <c r="N729" s="45">
        <f t="shared" si="7"/>
        <v>1</v>
      </c>
      <c r="O729" s="45" t="str">
        <f t="shared" si="8"/>
        <v/>
      </c>
      <c r="P729" s="45" t="str">
        <f t="shared" si="9"/>
        <v/>
      </c>
    </row>
    <row r="730" spans="1:16" ht="18">
      <c r="A730" s="92" t="s">
        <v>5398</v>
      </c>
      <c r="B730" s="345">
        <v>2004</v>
      </c>
      <c r="C730" s="92"/>
      <c r="D730" s="345">
        <v>15166422</v>
      </c>
      <c r="E730" s="278" t="str">
        <f t="shared" si="2"/>
        <v>https://pubmed.ncbi.nlm.nih.gov/?term=15166422</v>
      </c>
      <c r="F730" s="28" t="s">
        <v>511</v>
      </c>
      <c r="G730" s="28" t="s">
        <v>5349</v>
      </c>
      <c r="J730" s="346" t="str">
        <f t="shared" si="3"/>
        <v/>
      </c>
      <c r="K730" s="28" t="str">
        <f t="shared" si="4"/>
        <v/>
      </c>
      <c r="L730" s="45" t="str">
        <f t="shared" si="5"/>
        <v/>
      </c>
      <c r="M730" s="45" t="str">
        <f t="shared" si="6"/>
        <v/>
      </c>
      <c r="N730" s="45">
        <f t="shared" si="7"/>
        <v>1</v>
      </c>
      <c r="O730" s="45" t="str">
        <f t="shared" si="8"/>
        <v/>
      </c>
      <c r="P730" s="45" t="str">
        <f t="shared" si="9"/>
        <v/>
      </c>
    </row>
    <row r="731" spans="1:16" ht="18">
      <c r="A731" s="92" t="s">
        <v>5399</v>
      </c>
      <c r="B731" s="345">
        <v>2003</v>
      </c>
      <c r="C731" s="92"/>
      <c r="D731" s="345">
        <v>14971250</v>
      </c>
      <c r="E731" s="278" t="str">
        <f t="shared" si="2"/>
        <v>https://pubmed.ncbi.nlm.nih.gov/?term=14971250</v>
      </c>
      <c r="F731" s="28" t="s">
        <v>511</v>
      </c>
      <c r="G731" s="28" t="s">
        <v>4592</v>
      </c>
      <c r="J731" s="346">
        <f t="shared" si="3"/>
        <v>1</v>
      </c>
      <c r="K731" s="28" t="str">
        <f t="shared" si="4"/>
        <v/>
      </c>
      <c r="L731" s="45" t="str">
        <f t="shared" si="5"/>
        <v/>
      </c>
      <c r="M731" s="45" t="str">
        <f t="shared" si="6"/>
        <v/>
      </c>
      <c r="N731" s="45" t="str">
        <f t="shared" si="7"/>
        <v/>
      </c>
      <c r="O731" s="45" t="str">
        <f t="shared" si="8"/>
        <v/>
      </c>
      <c r="P731" s="45" t="str">
        <f t="shared" si="9"/>
        <v/>
      </c>
    </row>
    <row r="732" spans="1:16" ht="18">
      <c r="A732" s="92" t="s">
        <v>5400</v>
      </c>
      <c r="B732" s="345">
        <v>2007</v>
      </c>
      <c r="C732" s="92"/>
      <c r="D732" s="345">
        <v>17376565</v>
      </c>
      <c r="E732" s="278" t="str">
        <f t="shared" si="2"/>
        <v>https://pubmed.ncbi.nlm.nih.gov/?term=17376565</v>
      </c>
      <c r="F732" s="28" t="s">
        <v>511</v>
      </c>
      <c r="G732" s="28" t="s">
        <v>4592</v>
      </c>
      <c r="J732" s="346">
        <f t="shared" si="3"/>
        <v>1</v>
      </c>
      <c r="K732" s="28" t="str">
        <f t="shared" si="4"/>
        <v/>
      </c>
      <c r="L732" s="45" t="str">
        <f t="shared" si="5"/>
        <v/>
      </c>
      <c r="M732" s="45" t="str">
        <f t="shared" si="6"/>
        <v/>
      </c>
      <c r="N732" s="45" t="str">
        <f t="shared" si="7"/>
        <v/>
      </c>
      <c r="O732" s="45" t="str">
        <f t="shared" si="8"/>
        <v/>
      </c>
      <c r="P732" s="45" t="str">
        <f t="shared" si="9"/>
        <v/>
      </c>
    </row>
    <row r="733" spans="1:16" ht="18">
      <c r="A733" s="92" t="s">
        <v>5401</v>
      </c>
      <c r="B733" s="345">
        <v>2008</v>
      </c>
      <c r="C733" s="92"/>
      <c r="D733" s="345">
        <v>18840492</v>
      </c>
      <c r="E733" s="278" t="str">
        <f t="shared" si="2"/>
        <v>https://pubmed.ncbi.nlm.nih.gov/?term=18840492</v>
      </c>
      <c r="F733" s="28" t="s">
        <v>511</v>
      </c>
      <c r="G733" s="28" t="s">
        <v>4346</v>
      </c>
      <c r="J733" s="346" t="str">
        <f t="shared" si="3"/>
        <v/>
      </c>
      <c r="K733" s="28" t="str">
        <f t="shared" si="4"/>
        <v/>
      </c>
      <c r="L733" s="45">
        <f t="shared" si="5"/>
        <v>1</v>
      </c>
      <c r="M733" s="45" t="str">
        <f t="shared" si="6"/>
        <v/>
      </c>
      <c r="N733" s="45" t="str">
        <f t="shared" si="7"/>
        <v/>
      </c>
      <c r="O733" s="45" t="str">
        <f t="shared" si="8"/>
        <v/>
      </c>
      <c r="P733" s="45" t="str">
        <f t="shared" si="9"/>
        <v/>
      </c>
    </row>
    <row r="734" spans="1:16" ht="18">
      <c r="A734" s="92" t="s">
        <v>5402</v>
      </c>
      <c r="B734" s="345">
        <v>2007</v>
      </c>
      <c r="C734" s="92"/>
      <c r="D734" s="345">
        <v>17513796</v>
      </c>
      <c r="E734" s="278" t="str">
        <f t="shared" si="2"/>
        <v>https://pubmed.ncbi.nlm.nih.gov/?term=17513796</v>
      </c>
      <c r="F734" s="28" t="s">
        <v>511</v>
      </c>
      <c r="G734" s="28" t="s">
        <v>4346</v>
      </c>
      <c r="J734" s="346" t="str">
        <f t="shared" si="3"/>
        <v/>
      </c>
      <c r="K734" s="28" t="str">
        <f t="shared" si="4"/>
        <v/>
      </c>
      <c r="L734" s="45">
        <f t="shared" si="5"/>
        <v>1</v>
      </c>
      <c r="M734" s="45" t="str">
        <f t="shared" si="6"/>
        <v/>
      </c>
      <c r="N734" s="45" t="str">
        <f t="shared" si="7"/>
        <v/>
      </c>
      <c r="O734" s="45" t="str">
        <f t="shared" si="8"/>
        <v/>
      </c>
      <c r="P734" s="45" t="str">
        <f t="shared" si="9"/>
        <v/>
      </c>
    </row>
    <row r="735" spans="1:16" ht="18">
      <c r="A735" s="92" t="s">
        <v>5403</v>
      </c>
      <c r="B735" s="345">
        <v>2005</v>
      </c>
      <c r="C735" s="92"/>
      <c r="D735" s="345">
        <v>16255669</v>
      </c>
      <c r="E735" s="278" t="str">
        <f t="shared" si="2"/>
        <v>https://pubmed.ncbi.nlm.nih.gov/?term=16255669</v>
      </c>
      <c r="F735" s="28" t="s">
        <v>511</v>
      </c>
      <c r="G735" s="28" t="s">
        <v>4592</v>
      </c>
      <c r="J735" s="346">
        <f t="shared" si="3"/>
        <v>1</v>
      </c>
      <c r="K735" s="28" t="str">
        <f t="shared" si="4"/>
        <v/>
      </c>
      <c r="L735" s="45" t="str">
        <f t="shared" si="5"/>
        <v/>
      </c>
      <c r="M735" s="45" t="str">
        <f t="shared" si="6"/>
        <v/>
      </c>
      <c r="N735" s="45" t="str">
        <f t="shared" si="7"/>
        <v/>
      </c>
      <c r="O735" s="45" t="str">
        <f t="shared" si="8"/>
        <v/>
      </c>
      <c r="P735" s="45" t="str">
        <f t="shared" si="9"/>
        <v/>
      </c>
    </row>
    <row r="736" spans="1:16" ht="18">
      <c r="A736" s="92" t="s">
        <v>5404</v>
      </c>
      <c r="B736" s="345">
        <v>2007</v>
      </c>
      <c r="C736" s="92"/>
      <c r="D736" s="345">
        <v>17575228</v>
      </c>
      <c r="E736" s="278" t="str">
        <f t="shared" si="2"/>
        <v>https://pubmed.ncbi.nlm.nih.gov/?term=17575228</v>
      </c>
      <c r="F736" s="28" t="s">
        <v>511</v>
      </c>
      <c r="G736" s="28" t="s">
        <v>5349</v>
      </c>
      <c r="J736" s="346" t="str">
        <f t="shared" si="3"/>
        <v/>
      </c>
      <c r="K736" s="28" t="str">
        <f t="shared" si="4"/>
        <v/>
      </c>
      <c r="L736" s="45" t="str">
        <f t="shared" si="5"/>
        <v/>
      </c>
      <c r="M736" s="45" t="str">
        <f t="shared" si="6"/>
        <v/>
      </c>
      <c r="N736" s="45">
        <f t="shared" si="7"/>
        <v>1</v>
      </c>
      <c r="O736" s="45" t="str">
        <f t="shared" si="8"/>
        <v/>
      </c>
      <c r="P736" s="45" t="str">
        <f t="shared" si="9"/>
        <v/>
      </c>
    </row>
    <row r="737" spans="1:16" ht="18">
      <c r="A737" s="92" t="s">
        <v>5405</v>
      </c>
      <c r="B737" s="345">
        <v>2010</v>
      </c>
      <c r="C737" s="92"/>
      <c r="D737" s="345">
        <v>20347874</v>
      </c>
      <c r="E737" s="278" t="str">
        <f t="shared" si="2"/>
        <v>https://pubmed.ncbi.nlm.nih.gov/?term=20347874</v>
      </c>
      <c r="F737" s="28" t="s">
        <v>511</v>
      </c>
      <c r="G737" s="28" t="s">
        <v>4346</v>
      </c>
      <c r="J737" s="346" t="str">
        <f t="shared" si="3"/>
        <v/>
      </c>
      <c r="K737" s="28" t="str">
        <f t="shared" si="4"/>
        <v/>
      </c>
      <c r="L737" s="45">
        <f t="shared" si="5"/>
        <v>1</v>
      </c>
      <c r="M737" s="45" t="str">
        <f t="shared" si="6"/>
        <v/>
      </c>
      <c r="N737" s="45" t="str">
        <f t="shared" si="7"/>
        <v/>
      </c>
      <c r="O737" s="45" t="str">
        <f t="shared" si="8"/>
        <v/>
      </c>
      <c r="P737" s="45" t="str">
        <f t="shared" si="9"/>
        <v/>
      </c>
    </row>
    <row r="738" spans="1:16" ht="18">
      <c r="A738" s="92" t="s">
        <v>5406</v>
      </c>
      <c r="B738" s="345">
        <v>2009</v>
      </c>
      <c r="C738" s="92"/>
      <c r="D738" s="345">
        <v>19349870</v>
      </c>
      <c r="E738" s="278" t="str">
        <f t="shared" si="2"/>
        <v>https://pubmed.ncbi.nlm.nih.gov/?term=19349870</v>
      </c>
      <c r="F738" s="28" t="s">
        <v>511</v>
      </c>
      <c r="G738" s="28" t="s">
        <v>5349</v>
      </c>
      <c r="J738" s="346" t="str">
        <f t="shared" si="3"/>
        <v/>
      </c>
      <c r="K738" s="28" t="str">
        <f t="shared" si="4"/>
        <v/>
      </c>
      <c r="L738" s="45" t="str">
        <f t="shared" si="5"/>
        <v/>
      </c>
      <c r="M738" s="45" t="str">
        <f t="shared" si="6"/>
        <v/>
      </c>
      <c r="N738" s="45">
        <f t="shared" si="7"/>
        <v>1</v>
      </c>
      <c r="O738" s="45" t="str">
        <f t="shared" si="8"/>
        <v/>
      </c>
      <c r="P738" s="45" t="str">
        <f t="shared" si="9"/>
        <v/>
      </c>
    </row>
    <row r="739" spans="1:16" ht="18">
      <c r="A739" s="92" t="s">
        <v>5407</v>
      </c>
      <c r="B739" s="345">
        <v>2004</v>
      </c>
      <c r="C739" s="92"/>
      <c r="D739" s="345">
        <v>15623588</v>
      </c>
      <c r="E739" s="278" t="str">
        <f t="shared" si="2"/>
        <v>https://pubmed.ncbi.nlm.nih.gov/?term=15623588</v>
      </c>
      <c r="F739" s="28" t="s">
        <v>511</v>
      </c>
      <c r="G739" s="28" t="s">
        <v>4592</v>
      </c>
      <c r="J739" s="346">
        <f t="shared" si="3"/>
        <v>1</v>
      </c>
      <c r="K739" s="28" t="str">
        <f t="shared" si="4"/>
        <v/>
      </c>
      <c r="L739" s="45" t="str">
        <f t="shared" si="5"/>
        <v/>
      </c>
      <c r="M739" s="45" t="str">
        <f t="shared" si="6"/>
        <v/>
      </c>
      <c r="N739" s="45" t="str">
        <f t="shared" si="7"/>
        <v/>
      </c>
      <c r="O739" s="45" t="str">
        <f t="shared" si="8"/>
        <v/>
      </c>
      <c r="P739" s="45" t="str">
        <f t="shared" si="9"/>
        <v/>
      </c>
    </row>
    <row r="740" spans="1:16" ht="18">
      <c r="A740" s="92" t="s">
        <v>5408</v>
      </c>
      <c r="B740" s="345">
        <v>2007</v>
      </c>
      <c r="C740" s="92"/>
      <c r="D740" s="345">
        <v>16580730</v>
      </c>
      <c r="E740" s="278" t="str">
        <f t="shared" si="2"/>
        <v>https://pubmed.ncbi.nlm.nih.gov/?term=16580730</v>
      </c>
      <c r="F740" s="28" t="s">
        <v>511</v>
      </c>
      <c r="G740" s="28" t="s">
        <v>4346</v>
      </c>
      <c r="J740" s="346" t="str">
        <f t="shared" si="3"/>
        <v/>
      </c>
      <c r="K740" s="28" t="str">
        <f t="shared" si="4"/>
        <v/>
      </c>
      <c r="L740" s="45">
        <f t="shared" si="5"/>
        <v>1</v>
      </c>
      <c r="M740" s="45" t="str">
        <f t="shared" si="6"/>
        <v/>
      </c>
      <c r="N740" s="45" t="str">
        <f t="shared" si="7"/>
        <v/>
      </c>
      <c r="O740" s="45" t="str">
        <f t="shared" si="8"/>
        <v/>
      </c>
      <c r="P740" s="45" t="str">
        <f t="shared" si="9"/>
        <v/>
      </c>
    </row>
    <row r="741" spans="1:16" ht="18">
      <c r="A741" s="92" t="s">
        <v>5409</v>
      </c>
      <c r="B741" s="345">
        <v>2001</v>
      </c>
      <c r="C741" s="92"/>
      <c r="D741" s="345">
        <v>11715169</v>
      </c>
      <c r="E741" s="278" t="str">
        <f t="shared" si="2"/>
        <v>https://pubmed.ncbi.nlm.nih.gov/?term=11715169</v>
      </c>
      <c r="F741" s="28" t="s">
        <v>511</v>
      </c>
      <c r="G741" s="28" t="s">
        <v>4628</v>
      </c>
      <c r="J741" s="346" t="str">
        <f t="shared" si="3"/>
        <v/>
      </c>
      <c r="K741" s="28" t="str">
        <f t="shared" si="4"/>
        <v/>
      </c>
      <c r="L741" s="45" t="str">
        <f t="shared" si="5"/>
        <v/>
      </c>
      <c r="M741" s="45" t="str">
        <f t="shared" si="6"/>
        <v/>
      </c>
      <c r="N741" s="45" t="str">
        <f t="shared" si="7"/>
        <v/>
      </c>
      <c r="O741" s="45">
        <f t="shared" si="8"/>
        <v>1</v>
      </c>
      <c r="P741" s="45" t="str">
        <f t="shared" si="9"/>
        <v/>
      </c>
    </row>
    <row r="742" spans="1:16" ht="18">
      <c r="A742" s="92" t="s">
        <v>5410</v>
      </c>
      <c r="B742" s="345">
        <v>2008</v>
      </c>
      <c r="C742" s="92"/>
      <c r="D742" s="345">
        <v>19057821</v>
      </c>
      <c r="E742" s="278" t="str">
        <f t="shared" si="2"/>
        <v>https://pubmed.ncbi.nlm.nih.gov/?term=19057821</v>
      </c>
      <c r="F742" s="28" t="s">
        <v>511</v>
      </c>
      <c r="G742" s="28" t="s">
        <v>4346</v>
      </c>
      <c r="J742" s="346" t="str">
        <f t="shared" si="3"/>
        <v/>
      </c>
      <c r="K742" s="28" t="str">
        <f t="shared" si="4"/>
        <v/>
      </c>
      <c r="L742" s="45">
        <f t="shared" si="5"/>
        <v>1</v>
      </c>
      <c r="M742" s="45" t="str">
        <f t="shared" si="6"/>
        <v/>
      </c>
      <c r="N742" s="45" t="str">
        <f t="shared" si="7"/>
        <v/>
      </c>
      <c r="O742" s="45" t="str">
        <f t="shared" si="8"/>
        <v/>
      </c>
      <c r="P742" s="45" t="str">
        <f t="shared" si="9"/>
        <v/>
      </c>
    </row>
    <row r="743" spans="1:16" ht="18">
      <c r="A743" s="92" t="s">
        <v>5411</v>
      </c>
      <c r="B743" s="345">
        <v>2009</v>
      </c>
      <c r="C743" s="92"/>
      <c r="D743" s="345">
        <v>18498299</v>
      </c>
      <c r="E743" s="278" t="str">
        <f t="shared" si="2"/>
        <v>https://pubmed.ncbi.nlm.nih.gov/?term=18498299</v>
      </c>
      <c r="F743" s="28" t="s">
        <v>511</v>
      </c>
      <c r="G743" s="28" t="s">
        <v>4346</v>
      </c>
      <c r="J743" s="346" t="str">
        <f t="shared" si="3"/>
        <v/>
      </c>
      <c r="K743" s="28" t="str">
        <f t="shared" si="4"/>
        <v/>
      </c>
      <c r="L743" s="45">
        <f t="shared" si="5"/>
        <v>1</v>
      </c>
      <c r="M743" s="45" t="str">
        <f t="shared" si="6"/>
        <v/>
      </c>
      <c r="N743" s="45" t="str">
        <f t="shared" si="7"/>
        <v/>
      </c>
      <c r="O743" s="45" t="str">
        <f t="shared" si="8"/>
        <v/>
      </c>
      <c r="P743" s="45" t="str">
        <f t="shared" si="9"/>
        <v/>
      </c>
    </row>
    <row r="744" spans="1:16" ht="18">
      <c r="A744" s="92" t="s">
        <v>4396</v>
      </c>
      <c r="B744" s="345">
        <v>2003</v>
      </c>
      <c r="C744" s="92"/>
      <c r="D744" s="345">
        <v>15088780</v>
      </c>
      <c r="E744" s="278" t="str">
        <f t="shared" si="2"/>
        <v>https://pubmed.ncbi.nlm.nih.gov/?term=15088780</v>
      </c>
      <c r="H744" s="28" t="s">
        <v>511</v>
      </c>
      <c r="J744" s="346" t="str">
        <f t="shared" si="3"/>
        <v/>
      </c>
      <c r="K744" s="28" t="str">
        <f t="shared" si="4"/>
        <v/>
      </c>
      <c r="L744" s="45" t="str">
        <f t="shared" si="5"/>
        <v/>
      </c>
      <c r="M744" s="45" t="str">
        <f t="shared" si="6"/>
        <v/>
      </c>
      <c r="N744" s="45" t="str">
        <f t="shared" si="7"/>
        <v/>
      </c>
      <c r="O744" s="45" t="str">
        <f t="shared" si="8"/>
        <v/>
      </c>
      <c r="P744" s="45" t="str">
        <f t="shared" si="9"/>
        <v/>
      </c>
    </row>
    <row r="745" spans="1:16" ht="18">
      <c r="A745" s="92" t="s">
        <v>5412</v>
      </c>
      <c r="B745" s="345">
        <v>2004</v>
      </c>
      <c r="C745" s="92" t="s">
        <v>5413</v>
      </c>
      <c r="D745" s="345">
        <v>15501766</v>
      </c>
      <c r="E745" s="278" t="str">
        <f t="shared" si="2"/>
        <v>https://pubmed.ncbi.nlm.nih.gov/?term=15501766</v>
      </c>
      <c r="F745" s="28" t="s">
        <v>511</v>
      </c>
      <c r="G745" s="28" t="s">
        <v>4346</v>
      </c>
      <c r="J745" s="346" t="str">
        <f t="shared" si="3"/>
        <v/>
      </c>
      <c r="K745" s="28" t="str">
        <f t="shared" si="4"/>
        <v/>
      </c>
      <c r="L745" s="45">
        <f t="shared" si="5"/>
        <v>1</v>
      </c>
      <c r="M745" s="45" t="str">
        <f t="shared" si="6"/>
        <v/>
      </c>
      <c r="N745" s="45" t="str">
        <f t="shared" si="7"/>
        <v/>
      </c>
      <c r="O745" s="45" t="str">
        <f t="shared" si="8"/>
        <v/>
      </c>
      <c r="P745" s="45" t="str">
        <f t="shared" si="9"/>
        <v/>
      </c>
    </row>
    <row r="746" spans="1:16" ht="18">
      <c r="A746" s="92" t="s">
        <v>5414</v>
      </c>
      <c r="B746" s="345">
        <v>2001</v>
      </c>
      <c r="C746" s="92"/>
      <c r="D746" s="345">
        <v>11673584</v>
      </c>
      <c r="E746" s="278" t="str">
        <f t="shared" si="2"/>
        <v>https://pubmed.ncbi.nlm.nih.gov/?term=11673584</v>
      </c>
      <c r="F746" s="28" t="s">
        <v>511</v>
      </c>
      <c r="G746" s="28" t="s">
        <v>5415</v>
      </c>
      <c r="J746" s="346" t="str">
        <f t="shared" si="3"/>
        <v/>
      </c>
      <c r="K746" s="28" t="str">
        <f t="shared" si="4"/>
        <v/>
      </c>
      <c r="L746" s="45" t="str">
        <f t="shared" si="5"/>
        <v/>
      </c>
      <c r="M746" s="45" t="str">
        <f t="shared" si="6"/>
        <v/>
      </c>
      <c r="N746" s="45">
        <f t="shared" si="7"/>
        <v>1</v>
      </c>
      <c r="O746" s="45" t="str">
        <f t="shared" si="8"/>
        <v/>
      </c>
      <c r="P746" s="45" t="str">
        <f t="shared" si="9"/>
        <v/>
      </c>
    </row>
    <row r="747" spans="1:16" ht="18">
      <c r="A747" s="92" t="s">
        <v>5416</v>
      </c>
      <c r="B747" s="345">
        <v>2008</v>
      </c>
      <c r="C747" s="92"/>
      <c r="D747" s="345">
        <v>18376302</v>
      </c>
      <c r="E747" s="278" t="str">
        <f t="shared" si="2"/>
        <v>https://pubmed.ncbi.nlm.nih.gov/?term=18376302</v>
      </c>
      <c r="F747" s="28" t="s">
        <v>511</v>
      </c>
      <c r="G747" s="28" t="s">
        <v>4346</v>
      </c>
      <c r="J747" s="346" t="str">
        <f t="shared" si="3"/>
        <v/>
      </c>
      <c r="K747" s="28" t="str">
        <f t="shared" si="4"/>
        <v/>
      </c>
      <c r="L747" s="45">
        <f t="shared" si="5"/>
        <v>1</v>
      </c>
      <c r="M747" s="45" t="str">
        <f t="shared" si="6"/>
        <v/>
      </c>
      <c r="N747" s="45" t="str">
        <f t="shared" si="7"/>
        <v/>
      </c>
      <c r="O747" s="45" t="str">
        <f t="shared" si="8"/>
        <v/>
      </c>
      <c r="P747" s="45" t="str">
        <f t="shared" si="9"/>
        <v/>
      </c>
    </row>
    <row r="748" spans="1:16" ht="18">
      <c r="A748" s="92" t="s">
        <v>5417</v>
      </c>
      <c r="B748" s="345">
        <v>2003</v>
      </c>
      <c r="C748" s="92"/>
      <c r="D748" s="345">
        <v>14551489</v>
      </c>
      <c r="E748" s="278" t="str">
        <f t="shared" si="2"/>
        <v>https://pubmed.ncbi.nlm.nih.gov/?term=14551489</v>
      </c>
      <c r="F748" s="28" t="s">
        <v>511</v>
      </c>
      <c r="G748" s="28" t="s">
        <v>5349</v>
      </c>
      <c r="J748" s="346" t="str">
        <f t="shared" si="3"/>
        <v/>
      </c>
      <c r="K748" s="28" t="str">
        <f t="shared" si="4"/>
        <v/>
      </c>
      <c r="L748" s="45" t="str">
        <f t="shared" si="5"/>
        <v/>
      </c>
      <c r="M748" s="45" t="str">
        <f t="shared" si="6"/>
        <v/>
      </c>
      <c r="N748" s="45">
        <f t="shared" si="7"/>
        <v>1</v>
      </c>
      <c r="O748" s="45" t="str">
        <f t="shared" si="8"/>
        <v/>
      </c>
      <c r="P748" s="45" t="str">
        <f t="shared" si="9"/>
        <v/>
      </c>
    </row>
    <row r="749" spans="1:16" ht="18">
      <c r="A749" s="92" t="s">
        <v>5418</v>
      </c>
      <c r="B749" s="345">
        <v>2001</v>
      </c>
      <c r="C749" s="92"/>
      <c r="D749" s="345">
        <v>11305513</v>
      </c>
      <c r="E749" s="278" t="str">
        <f t="shared" si="2"/>
        <v>https://pubmed.ncbi.nlm.nih.gov/?term=11305513</v>
      </c>
      <c r="F749" s="28" t="s">
        <v>511</v>
      </c>
      <c r="G749" s="28" t="s">
        <v>5349</v>
      </c>
      <c r="J749" s="346" t="str">
        <f t="shared" si="3"/>
        <v/>
      </c>
      <c r="K749" s="28" t="str">
        <f t="shared" si="4"/>
        <v/>
      </c>
      <c r="L749" s="45" t="str">
        <f t="shared" si="5"/>
        <v/>
      </c>
      <c r="M749" s="45" t="str">
        <f t="shared" si="6"/>
        <v/>
      </c>
      <c r="N749" s="45">
        <f t="shared" si="7"/>
        <v>1</v>
      </c>
      <c r="O749" s="45" t="str">
        <f t="shared" si="8"/>
        <v/>
      </c>
      <c r="P749" s="45" t="str">
        <f t="shared" si="9"/>
        <v/>
      </c>
    </row>
    <row r="750" spans="1:16" ht="18">
      <c r="A750" s="92" t="s">
        <v>4829</v>
      </c>
      <c r="B750" s="345">
        <v>2000</v>
      </c>
      <c r="C750" s="92"/>
      <c r="D750" s="345">
        <v>10727839</v>
      </c>
      <c r="E750" s="278" t="str">
        <f t="shared" si="2"/>
        <v>https://pubmed.ncbi.nlm.nih.gov/?term=10727839</v>
      </c>
      <c r="F750" s="28" t="s">
        <v>511</v>
      </c>
      <c r="G750" s="28" t="s">
        <v>4346</v>
      </c>
      <c r="J750" s="346" t="str">
        <f t="shared" si="3"/>
        <v/>
      </c>
      <c r="K750" s="28" t="str">
        <f t="shared" si="4"/>
        <v/>
      </c>
      <c r="L750" s="45">
        <f t="shared" si="5"/>
        <v>1</v>
      </c>
      <c r="M750" s="45" t="str">
        <f t="shared" si="6"/>
        <v/>
      </c>
      <c r="N750" s="45" t="str">
        <f t="shared" si="7"/>
        <v/>
      </c>
      <c r="O750" s="45" t="str">
        <f t="shared" si="8"/>
        <v/>
      </c>
      <c r="P750" s="45" t="str">
        <f t="shared" si="9"/>
        <v/>
      </c>
    </row>
    <row r="751" spans="1:16" ht="18">
      <c r="A751" s="92" t="s">
        <v>5419</v>
      </c>
      <c r="B751" s="345">
        <v>2006</v>
      </c>
      <c r="C751" s="92"/>
      <c r="D751" s="345">
        <v>16899099</v>
      </c>
      <c r="E751" s="278" t="str">
        <f t="shared" si="2"/>
        <v>https://pubmed.ncbi.nlm.nih.gov/?term=16899099</v>
      </c>
      <c r="F751" s="28" t="s">
        <v>511</v>
      </c>
      <c r="G751" s="28" t="s">
        <v>5349</v>
      </c>
      <c r="J751" s="346" t="str">
        <f t="shared" si="3"/>
        <v/>
      </c>
      <c r="K751" s="28" t="str">
        <f t="shared" si="4"/>
        <v/>
      </c>
      <c r="L751" s="45" t="str">
        <f t="shared" si="5"/>
        <v/>
      </c>
      <c r="M751" s="45" t="str">
        <f t="shared" si="6"/>
        <v/>
      </c>
      <c r="N751" s="45">
        <f t="shared" si="7"/>
        <v>1</v>
      </c>
      <c r="O751" s="45" t="str">
        <f t="shared" si="8"/>
        <v/>
      </c>
      <c r="P751" s="45" t="str">
        <f t="shared" si="9"/>
        <v/>
      </c>
    </row>
    <row r="752" spans="1:16" ht="18">
      <c r="A752" s="92" t="s">
        <v>4304</v>
      </c>
      <c r="B752" s="345">
        <v>2009</v>
      </c>
      <c r="C752" s="92"/>
      <c r="D752" s="345">
        <v>19563295</v>
      </c>
      <c r="E752" s="278" t="str">
        <f t="shared" si="2"/>
        <v>https://pubmed.ncbi.nlm.nih.gov/?term=19563295</v>
      </c>
      <c r="H752" s="28" t="s">
        <v>511</v>
      </c>
      <c r="J752" s="346" t="str">
        <f t="shared" si="3"/>
        <v/>
      </c>
      <c r="K752" s="28" t="str">
        <f t="shared" si="4"/>
        <v/>
      </c>
      <c r="L752" s="45" t="str">
        <f t="shared" si="5"/>
        <v/>
      </c>
      <c r="M752" s="45" t="str">
        <f t="shared" si="6"/>
        <v/>
      </c>
      <c r="N752" s="45" t="str">
        <f t="shared" si="7"/>
        <v/>
      </c>
      <c r="O752" s="45" t="str">
        <f t="shared" si="8"/>
        <v/>
      </c>
      <c r="P752" s="45" t="str">
        <f t="shared" si="9"/>
        <v/>
      </c>
    </row>
    <row r="753" spans="1:16" ht="18">
      <c r="A753" s="92" t="s">
        <v>5420</v>
      </c>
      <c r="B753" s="345">
        <v>2006</v>
      </c>
      <c r="C753" s="92"/>
      <c r="D753" s="345">
        <v>16732720</v>
      </c>
      <c r="E753" s="278" t="str">
        <f t="shared" si="2"/>
        <v>https://pubmed.ncbi.nlm.nih.gov/?term=16732720</v>
      </c>
      <c r="F753" s="28" t="s">
        <v>511</v>
      </c>
      <c r="G753" s="28" t="s">
        <v>5349</v>
      </c>
      <c r="J753" s="346" t="str">
        <f t="shared" si="3"/>
        <v/>
      </c>
      <c r="K753" s="28" t="str">
        <f t="shared" si="4"/>
        <v/>
      </c>
      <c r="L753" s="45" t="str">
        <f t="shared" si="5"/>
        <v/>
      </c>
      <c r="M753" s="45" t="str">
        <f t="shared" si="6"/>
        <v/>
      </c>
      <c r="N753" s="45">
        <f t="shared" si="7"/>
        <v>1</v>
      </c>
      <c r="O753" s="45" t="str">
        <f t="shared" si="8"/>
        <v/>
      </c>
      <c r="P753" s="45" t="str">
        <f t="shared" si="9"/>
        <v/>
      </c>
    </row>
    <row r="754" spans="1:16" ht="18">
      <c r="A754" s="92" t="s">
        <v>5421</v>
      </c>
      <c r="B754" s="345">
        <v>2007</v>
      </c>
      <c r="C754" s="92"/>
      <c r="D754" s="345">
        <v>17091240</v>
      </c>
      <c r="E754" s="278" t="str">
        <f t="shared" si="2"/>
        <v>https://pubmed.ncbi.nlm.nih.gov/?term=17091240</v>
      </c>
      <c r="F754" s="28" t="s">
        <v>511</v>
      </c>
      <c r="G754" s="28" t="s">
        <v>5349</v>
      </c>
      <c r="J754" s="346" t="str">
        <f t="shared" si="3"/>
        <v/>
      </c>
      <c r="K754" s="28" t="str">
        <f t="shared" si="4"/>
        <v/>
      </c>
      <c r="L754" s="45" t="str">
        <f t="shared" si="5"/>
        <v/>
      </c>
      <c r="M754" s="45" t="str">
        <f t="shared" si="6"/>
        <v/>
      </c>
      <c r="N754" s="45">
        <f t="shared" si="7"/>
        <v>1</v>
      </c>
      <c r="O754" s="45" t="str">
        <f t="shared" si="8"/>
        <v/>
      </c>
      <c r="P754" s="45" t="str">
        <f t="shared" si="9"/>
        <v/>
      </c>
    </row>
    <row r="755" spans="1:16" ht="18">
      <c r="A755" s="92" t="s">
        <v>5422</v>
      </c>
      <c r="B755" s="345">
        <v>2008</v>
      </c>
      <c r="C755" s="92"/>
      <c r="D755" s="345">
        <v>18701826</v>
      </c>
      <c r="E755" s="278" t="str">
        <f t="shared" si="2"/>
        <v>https://pubmed.ncbi.nlm.nih.gov/?term=18701826</v>
      </c>
      <c r="F755" s="28" t="s">
        <v>511</v>
      </c>
      <c r="G755" s="28" t="s">
        <v>5299</v>
      </c>
      <c r="J755" s="346" t="str">
        <f t="shared" si="3"/>
        <v/>
      </c>
      <c r="K755" s="28" t="str">
        <f t="shared" si="4"/>
        <v/>
      </c>
      <c r="L755" s="45" t="str">
        <f t="shared" si="5"/>
        <v/>
      </c>
      <c r="M755" s="45" t="str">
        <f t="shared" si="6"/>
        <v/>
      </c>
      <c r="N755" s="45">
        <f t="shared" si="7"/>
        <v>1</v>
      </c>
      <c r="O755" s="45" t="str">
        <f t="shared" si="8"/>
        <v/>
      </c>
      <c r="P755" s="45" t="str">
        <f t="shared" si="9"/>
        <v/>
      </c>
    </row>
    <row r="756" spans="1:16" ht="18">
      <c r="A756" s="92" t="s">
        <v>5423</v>
      </c>
      <c r="B756" s="345">
        <v>2008</v>
      </c>
      <c r="C756" s="92" t="s">
        <v>5424</v>
      </c>
      <c r="D756" s="345">
        <v>18467696</v>
      </c>
      <c r="E756" s="278" t="str">
        <f t="shared" si="2"/>
        <v>https://pubmed.ncbi.nlm.nih.gov/?term=18467696</v>
      </c>
      <c r="F756" s="28" t="s">
        <v>511</v>
      </c>
      <c r="G756" s="28" t="s">
        <v>4346</v>
      </c>
      <c r="J756" s="346" t="str">
        <f t="shared" si="3"/>
        <v/>
      </c>
      <c r="K756" s="28" t="str">
        <f t="shared" si="4"/>
        <v/>
      </c>
      <c r="L756" s="45">
        <f t="shared" si="5"/>
        <v>1</v>
      </c>
      <c r="M756" s="45" t="str">
        <f t="shared" si="6"/>
        <v/>
      </c>
      <c r="N756" s="45" t="str">
        <f t="shared" si="7"/>
        <v/>
      </c>
      <c r="O756" s="45" t="str">
        <f t="shared" si="8"/>
        <v/>
      </c>
      <c r="P756" s="45" t="str">
        <f t="shared" si="9"/>
        <v/>
      </c>
    </row>
    <row r="757" spans="1:16" ht="18">
      <c r="A757" s="92" t="s">
        <v>5425</v>
      </c>
      <c r="B757" s="345">
        <v>2002</v>
      </c>
      <c r="C757" s="92"/>
      <c r="D757" s="345">
        <v>12186830</v>
      </c>
      <c r="E757" s="278" t="str">
        <f t="shared" si="2"/>
        <v>https://pubmed.ncbi.nlm.nih.gov/?term=12186830</v>
      </c>
      <c r="F757" s="28" t="s">
        <v>511</v>
      </c>
      <c r="G757" s="28" t="s">
        <v>4346</v>
      </c>
      <c r="J757" s="346" t="str">
        <f t="shared" si="3"/>
        <v/>
      </c>
      <c r="K757" s="28" t="str">
        <f t="shared" si="4"/>
        <v/>
      </c>
      <c r="L757" s="45">
        <f t="shared" si="5"/>
        <v>1</v>
      </c>
      <c r="M757" s="45" t="str">
        <f t="shared" si="6"/>
        <v/>
      </c>
      <c r="N757" s="45" t="str">
        <f t="shared" si="7"/>
        <v/>
      </c>
      <c r="O757" s="45" t="str">
        <f t="shared" si="8"/>
        <v/>
      </c>
      <c r="P757" s="45" t="str">
        <f t="shared" si="9"/>
        <v/>
      </c>
    </row>
    <row r="758" spans="1:16" ht="18">
      <c r="A758" s="92" t="s">
        <v>4833</v>
      </c>
      <c r="B758" s="345">
        <v>2000</v>
      </c>
      <c r="C758" s="92"/>
      <c r="D758" s="345">
        <v>11039151</v>
      </c>
      <c r="E758" s="278" t="str">
        <f t="shared" si="2"/>
        <v>https://pubmed.ncbi.nlm.nih.gov/?term=11039151</v>
      </c>
      <c r="F758" s="28" t="s">
        <v>511</v>
      </c>
      <c r="G758" s="28" t="s">
        <v>5349</v>
      </c>
      <c r="J758" s="346" t="str">
        <f t="shared" si="3"/>
        <v/>
      </c>
      <c r="K758" s="28" t="str">
        <f t="shared" si="4"/>
        <v/>
      </c>
      <c r="L758" s="45" t="str">
        <f t="shared" si="5"/>
        <v/>
      </c>
      <c r="M758" s="45" t="str">
        <f t="shared" si="6"/>
        <v/>
      </c>
      <c r="N758" s="45">
        <f t="shared" si="7"/>
        <v>1</v>
      </c>
      <c r="O758" s="45" t="str">
        <f t="shared" si="8"/>
        <v/>
      </c>
      <c r="P758" s="45" t="str">
        <f t="shared" si="9"/>
        <v/>
      </c>
    </row>
    <row r="759" spans="1:16" ht="18">
      <c r="A759" s="92" t="s">
        <v>5426</v>
      </c>
      <c r="B759" s="345">
        <v>2003</v>
      </c>
      <c r="C759" s="92"/>
      <c r="D759" s="345">
        <v>12888650</v>
      </c>
      <c r="E759" s="278" t="str">
        <f t="shared" si="2"/>
        <v>https://pubmed.ncbi.nlm.nih.gov/?term=12888650</v>
      </c>
      <c r="F759" s="28" t="s">
        <v>511</v>
      </c>
      <c r="G759" s="28" t="s">
        <v>4346</v>
      </c>
      <c r="J759" s="346" t="str">
        <f t="shared" si="3"/>
        <v/>
      </c>
      <c r="K759" s="28" t="str">
        <f t="shared" si="4"/>
        <v/>
      </c>
      <c r="L759" s="45">
        <f t="shared" si="5"/>
        <v>1</v>
      </c>
      <c r="M759" s="45" t="str">
        <f t="shared" si="6"/>
        <v/>
      </c>
      <c r="N759" s="45" t="str">
        <f t="shared" si="7"/>
        <v/>
      </c>
      <c r="O759" s="45" t="str">
        <f t="shared" si="8"/>
        <v/>
      </c>
      <c r="P759" s="45" t="str">
        <f t="shared" si="9"/>
        <v/>
      </c>
    </row>
    <row r="760" spans="1:16" ht="18">
      <c r="A760" s="92" t="s">
        <v>5427</v>
      </c>
      <c r="B760" s="345">
        <v>2007</v>
      </c>
      <c r="C760" s="92"/>
      <c r="D760" s="345">
        <v>17637332</v>
      </c>
      <c r="E760" s="278" t="str">
        <f t="shared" si="2"/>
        <v>https://pubmed.ncbi.nlm.nih.gov/?term=17637332</v>
      </c>
      <c r="F760" s="28" t="s">
        <v>511</v>
      </c>
      <c r="G760" s="28" t="s">
        <v>4346</v>
      </c>
      <c r="J760" s="346" t="str">
        <f t="shared" si="3"/>
        <v/>
      </c>
      <c r="K760" s="28" t="str">
        <f t="shared" si="4"/>
        <v/>
      </c>
      <c r="L760" s="45">
        <f t="shared" si="5"/>
        <v>1</v>
      </c>
      <c r="M760" s="45" t="str">
        <f t="shared" si="6"/>
        <v/>
      </c>
      <c r="N760" s="45" t="str">
        <f t="shared" si="7"/>
        <v/>
      </c>
      <c r="O760" s="45" t="str">
        <f t="shared" si="8"/>
        <v/>
      </c>
      <c r="P760" s="45" t="str">
        <f t="shared" si="9"/>
        <v/>
      </c>
    </row>
    <row r="761" spans="1:16" ht="18">
      <c r="A761" s="92" t="s">
        <v>5428</v>
      </c>
      <c r="B761" s="345">
        <v>2010</v>
      </c>
      <c r="C761" s="92" t="s">
        <v>5429</v>
      </c>
      <c r="D761" s="345">
        <v>20727205</v>
      </c>
      <c r="E761" s="278" t="str">
        <f t="shared" si="2"/>
        <v>https://pubmed.ncbi.nlm.nih.gov/?term=20727205</v>
      </c>
      <c r="F761" s="28" t="s">
        <v>511</v>
      </c>
      <c r="G761" s="28" t="s">
        <v>4346</v>
      </c>
      <c r="J761" s="346" t="str">
        <f t="shared" si="3"/>
        <v/>
      </c>
      <c r="K761" s="28" t="str">
        <f t="shared" si="4"/>
        <v/>
      </c>
      <c r="L761" s="45">
        <f t="shared" si="5"/>
        <v>1</v>
      </c>
      <c r="M761" s="45" t="str">
        <f t="shared" si="6"/>
        <v/>
      </c>
      <c r="N761" s="45" t="str">
        <f t="shared" si="7"/>
        <v/>
      </c>
      <c r="O761" s="45" t="str">
        <f t="shared" si="8"/>
        <v/>
      </c>
      <c r="P761" s="45" t="str">
        <f t="shared" si="9"/>
        <v/>
      </c>
    </row>
    <row r="762" spans="1:16" ht="18">
      <c r="A762" s="92" t="s">
        <v>4835</v>
      </c>
      <c r="B762" s="345">
        <v>2000</v>
      </c>
      <c r="C762" s="92"/>
      <c r="D762" s="345">
        <v>10930120</v>
      </c>
      <c r="E762" s="278" t="str">
        <f t="shared" si="2"/>
        <v>https://pubmed.ncbi.nlm.nih.gov/?term=10930120</v>
      </c>
      <c r="F762" s="28" t="s">
        <v>511</v>
      </c>
      <c r="G762" s="28" t="s">
        <v>4346</v>
      </c>
      <c r="J762" s="346" t="str">
        <f t="shared" si="3"/>
        <v/>
      </c>
      <c r="K762" s="28" t="str">
        <f t="shared" si="4"/>
        <v/>
      </c>
      <c r="L762" s="45">
        <f t="shared" si="5"/>
        <v>1</v>
      </c>
      <c r="M762" s="45" t="str">
        <f t="shared" si="6"/>
        <v/>
      </c>
      <c r="N762" s="45" t="str">
        <f t="shared" si="7"/>
        <v/>
      </c>
      <c r="O762" s="45" t="str">
        <f t="shared" si="8"/>
        <v/>
      </c>
      <c r="P762" s="45" t="str">
        <f t="shared" si="9"/>
        <v/>
      </c>
    </row>
    <row r="763" spans="1:16" ht="18">
      <c r="A763" s="92" t="s">
        <v>5430</v>
      </c>
      <c r="B763" s="345">
        <v>2011</v>
      </c>
      <c r="C763" s="92"/>
      <c r="D763" s="345">
        <v>20971106</v>
      </c>
      <c r="E763" s="278" t="str">
        <f t="shared" si="2"/>
        <v>https://pubmed.ncbi.nlm.nih.gov/?term=20971106</v>
      </c>
      <c r="F763" s="28" t="s">
        <v>511</v>
      </c>
      <c r="G763" s="28" t="s">
        <v>5349</v>
      </c>
      <c r="J763" s="346" t="str">
        <f t="shared" si="3"/>
        <v/>
      </c>
      <c r="K763" s="28" t="str">
        <f t="shared" si="4"/>
        <v/>
      </c>
      <c r="L763" s="45" t="str">
        <f t="shared" si="5"/>
        <v/>
      </c>
      <c r="M763" s="45" t="str">
        <f t="shared" si="6"/>
        <v/>
      </c>
      <c r="N763" s="45">
        <f t="shared" si="7"/>
        <v>1</v>
      </c>
      <c r="O763" s="45" t="str">
        <f t="shared" si="8"/>
        <v/>
      </c>
      <c r="P763" s="45" t="str">
        <f t="shared" si="9"/>
        <v/>
      </c>
    </row>
    <row r="764" spans="1:16" ht="18">
      <c r="A764" s="92" t="s">
        <v>4828</v>
      </c>
      <c r="B764" s="345">
        <v>2000</v>
      </c>
      <c r="C764" s="92"/>
      <c r="D764" s="345">
        <v>10932333</v>
      </c>
      <c r="E764" s="278" t="str">
        <f t="shared" si="2"/>
        <v>https://pubmed.ncbi.nlm.nih.gov/?term=10932333</v>
      </c>
      <c r="F764" s="28" t="s">
        <v>511</v>
      </c>
      <c r="G764" s="28" t="s">
        <v>5349</v>
      </c>
      <c r="J764" s="346" t="str">
        <f t="shared" si="3"/>
        <v/>
      </c>
      <c r="K764" s="28" t="str">
        <f t="shared" si="4"/>
        <v/>
      </c>
      <c r="L764" s="45" t="str">
        <f t="shared" si="5"/>
        <v/>
      </c>
      <c r="M764" s="45" t="str">
        <f t="shared" si="6"/>
        <v/>
      </c>
      <c r="N764" s="45">
        <f t="shared" si="7"/>
        <v>1</v>
      </c>
      <c r="O764" s="45" t="str">
        <f t="shared" si="8"/>
        <v/>
      </c>
      <c r="P764" s="45" t="str">
        <f t="shared" si="9"/>
        <v/>
      </c>
    </row>
    <row r="765" spans="1:16" ht="18">
      <c r="A765" s="92" t="s">
        <v>5431</v>
      </c>
      <c r="B765" s="345">
        <v>2009</v>
      </c>
      <c r="C765" s="92" t="s">
        <v>5432</v>
      </c>
      <c r="D765" s="345">
        <v>19386802</v>
      </c>
      <c r="E765" s="278" t="str">
        <f t="shared" si="2"/>
        <v>https://pubmed.ncbi.nlm.nih.gov/?term=19386802</v>
      </c>
      <c r="F765" s="28" t="s">
        <v>511</v>
      </c>
      <c r="G765" s="28" t="s">
        <v>5349</v>
      </c>
      <c r="J765" s="346" t="str">
        <f t="shared" si="3"/>
        <v/>
      </c>
      <c r="K765" s="28" t="str">
        <f t="shared" si="4"/>
        <v/>
      </c>
      <c r="L765" s="45" t="str">
        <f t="shared" si="5"/>
        <v/>
      </c>
      <c r="M765" s="45" t="str">
        <f t="shared" si="6"/>
        <v/>
      </c>
      <c r="N765" s="45">
        <f t="shared" si="7"/>
        <v>1</v>
      </c>
      <c r="O765" s="45" t="str">
        <f t="shared" si="8"/>
        <v/>
      </c>
      <c r="P765" s="45" t="str">
        <f t="shared" si="9"/>
        <v/>
      </c>
    </row>
    <row r="766" spans="1:16" ht="18">
      <c r="A766" s="92" t="s">
        <v>5433</v>
      </c>
      <c r="B766" s="345">
        <v>2010</v>
      </c>
      <c r="C766" s="92" t="s">
        <v>5434</v>
      </c>
      <c r="D766" s="345">
        <v>20007363</v>
      </c>
      <c r="E766" s="278" t="str">
        <f t="shared" si="2"/>
        <v>https://pubmed.ncbi.nlm.nih.gov/?term=20007363</v>
      </c>
      <c r="F766" s="28" t="s">
        <v>511</v>
      </c>
      <c r="G766" s="28" t="s">
        <v>4346</v>
      </c>
      <c r="J766" s="346" t="str">
        <f t="shared" si="3"/>
        <v/>
      </c>
      <c r="K766" s="28" t="str">
        <f t="shared" si="4"/>
        <v/>
      </c>
      <c r="L766" s="45">
        <f t="shared" si="5"/>
        <v>1</v>
      </c>
      <c r="M766" s="45" t="str">
        <f t="shared" si="6"/>
        <v/>
      </c>
      <c r="N766" s="45" t="str">
        <f t="shared" si="7"/>
        <v/>
      </c>
      <c r="O766" s="45" t="str">
        <f t="shared" si="8"/>
        <v/>
      </c>
      <c r="P766" s="45" t="str">
        <f t="shared" si="9"/>
        <v/>
      </c>
    </row>
    <row r="767" spans="1:16" ht="18">
      <c r="A767" s="92" t="s">
        <v>5435</v>
      </c>
      <c r="B767" s="345">
        <v>2008</v>
      </c>
      <c r="C767" s="92"/>
      <c r="D767" s="345">
        <v>18226814</v>
      </c>
      <c r="E767" s="278" t="str">
        <f t="shared" si="2"/>
        <v>https://pubmed.ncbi.nlm.nih.gov/?term=18226814</v>
      </c>
      <c r="F767" s="28" t="s">
        <v>511</v>
      </c>
      <c r="G767" s="28" t="s">
        <v>4346</v>
      </c>
      <c r="J767" s="346" t="str">
        <f t="shared" si="3"/>
        <v/>
      </c>
      <c r="K767" s="28" t="str">
        <f t="shared" si="4"/>
        <v/>
      </c>
      <c r="L767" s="45">
        <f t="shared" si="5"/>
        <v>1</v>
      </c>
      <c r="M767" s="45" t="str">
        <f t="shared" si="6"/>
        <v/>
      </c>
      <c r="N767" s="45" t="str">
        <f t="shared" si="7"/>
        <v/>
      </c>
      <c r="O767" s="45" t="str">
        <f t="shared" si="8"/>
        <v/>
      </c>
      <c r="P767" s="45" t="str">
        <f t="shared" si="9"/>
        <v/>
      </c>
    </row>
    <row r="768" spans="1:16" ht="18">
      <c r="A768" s="92" t="s">
        <v>5436</v>
      </c>
      <c r="B768" s="345">
        <v>2009</v>
      </c>
      <c r="C768" s="92"/>
      <c r="D768" s="345">
        <v>19796562</v>
      </c>
      <c r="E768" s="278" t="str">
        <f t="shared" si="2"/>
        <v>https://pubmed.ncbi.nlm.nih.gov/?term=19796562</v>
      </c>
      <c r="F768" s="28" t="s">
        <v>511</v>
      </c>
      <c r="G768" s="28" t="s">
        <v>5349</v>
      </c>
      <c r="J768" s="346" t="str">
        <f t="shared" si="3"/>
        <v/>
      </c>
      <c r="K768" s="28" t="str">
        <f t="shared" si="4"/>
        <v/>
      </c>
      <c r="L768" s="45" t="str">
        <f t="shared" si="5"/>
        <v/>
      </c>
      <c r="M768" s="45" t="str">
        <f t="shared" si="6"/>
        <v/>
      </c>
      <c r="N768" s="45">
        <f t="shared" si="7"/>
        <v>1</v>
      </c>
      <c r="O768" s="45" t="str">
        <f t="shared" si="8"/>
        <v/>
      </c>
      <c r="P768" s="45" t="str">
        <f t="shared" si="9"/>
        <v/>
      </c>
    </row>
    <row r="769" spans="1:16" ht="18">
      <c r="A769" s="92" t="s">
        <v>5437</v>
      </c>
      <c r="B769" s="345">
        <v>2010</v>
      </c>
      <c r="C769" s="92"/>
      <c r="D769" s="345">
        <v>19967396</v>
      </c>
      <c r="E769" s="278" t="str">
        <f t="shared" si="2"/>
        <v>https://pubmed.ncbi.nlm.nih.gov/?term=19967396</v>
      </c>
      <c r="F769" s="28" t="s">
        <v>511</v>
      </c>
      <c r="G769" s="28" t="s">
        <v>4346</v>
      </c>
      <c r="J769" s="346" t="str">
        <f t="shared" si="3"/>
        <v/>
      </c>
      <c r="K769" s="28" t="str">
        <f t="shared" si="4"/>
        <v/>
      </c>
      <c r="L769" s="45">
        <f t="shared" si="5"/>
        <v>1</v>
      </c>
      <c r="M769" s="45" t="str">
        <f t="shared" si="6"/>
        <v/>
      </c>
      <c r="N769" s="45" t="str">
        <f t="shared" si="7"/>
        <v/>
      </c>
      <c r="O769" s="45" t="str">
        <f t="shared" si="8"/>
        <v/>
      </c>
      <c r="P769" s="45" t="str">
        <f t="shared" si="9"/>
        <v/>
      </c>
    </row>
    <row r="770" spans="1:16" ht="18">
      <c r="A770" s="92" t="s">
        <v>4862</v>
      </c>
      <c r="B770" s="345">
        <v>2000</v>
      </c>
      <c r="C770" s="92"/>
      <c r="D770" s="345">
        <v>11038126</v>
      </c>
      <c r="E770" s="278" t="str">
        <f t="shared" si="2"/>
        <v>https://pubmed.ncbi.nlm.nih.gov/?term=11038126</v>
      </c>
      <c r="F770" s="28" t="s">
        <v>511</v>
      </c>
      <c r="G770" s="28" t="s">
        <v>4346</v>
      </c>
      <c r="J770" s="346" t="str">
        <f t="shared" si="3"/>
        <v/>
      </c>
      <c r="K770" s="28" t="str">
        <f t="shared" si="4"/>
        <v/>
      </c>
      <c r="L770" s="45">
        <f t="shared" si="5"/>
        <v>1</v>
      </c>
      <c r="M770" s="45" t="str">
        <f t="shared" si="6"/>
        <v/>
      </c>
      <c r="N770" s="45" t="str">
        <f t="shared" si="7"/>
        <v/>
      </c>
      <c r="O770" s="45" t="str">
        <f t="shared" si="8"/>
        <v/>
      </c>
      <c r="P770" s="45" t="str">
        <f t="shared" si="9"/>
        <v/>
      </c>
    </row>
    <row r="771" spans="1:16" ht="18">
      <c r="A771" s="92" t="s">
        <v>5438</v>
      </c>
      <c r="B771" s="345">
        <v>2001</v>
      </c>
      <c r="C771" s="92"/>
      <c r="D771" s="345">
        <v>11252468</v>
      </c>
      <c r="E771" s="278" t="str">
        <f t="shared" si="2"/>
        <v>https://pubmed.ncbi.nlm.nih.gov/?term=11252468</v>
      </c>
      <c r="F771" s="28" t="s">
        <v>511</v>
      </c>
      <c r="G771" s="28" t="s">
        <v>4346</v>
      </c>
      <c r="J771" s="346" t="str">
        <f t="shared" si="3"/>
        <v/>
      </c>
      <c r="K771" s="28" t="str">
        <f t="shared" si="4"/>
        <v/>
      </c>
      <c r="L771" s="45">
        <f t="shared" si="5"/>
        <v>1</v>
      </c>
      <c r="M771" s="45" t="str">
        <f t="shared" si="6"/>
        <v/>
      </c>
      <c r="N771" s="45" t="str">
        <f t="shared" si="7"/>
        <v/>
      </c>
      <c r="O771" s="45" t="str">
        <f t="shared" si="8"/>
        <v/>
      </c>
      <c r="P771" s="45" t="str">
        <f t="shared" si="9"/>
        <v/>
      </c>
    </row>
    <row r="772" spans="1:16" ht="18">
      <c r="A772" s="92" t="s">
        <v>5439</v>
      </c>
      <c r="B772" s="345">
        <v>2007</v>
      </c>
      <c r="C772" s="92" t="s">
        <v>5440</v>
      </c>
      <c r="D772" s="345">
        <v>17905228</v>
      </c>
      <c r="E772" s="278" t="str">
        <f t="shared" si="2"/>
        <v>https://pubmed.ncbi.nlm.nih.gov/?term=17905228</v>
      </c>
      <c r="F772" s="28" t="s">
        <v>511</v>
      </c>
      <c r="G772" s="28" t="s">
        <v>4346</v>
      </c>
      <c r="J772" s="346" t="str">
        <f t="shared" si="3"/>
        <v/>
      </c>
      <c r="K772" s="28" t="str">
        <f t="shared" si="4"/>
        <v/>
      </c>
      <c r="L772" s="45">
        <f t="shared" si="5"/>
        <v>1</v>
      </c>
      <c r="M772" s="45" t="str">
        <f t="shared" si="6"/>
        <v/>
      </c>
      <c r="N772" s="45" t="str">
        <f t="shared" si="7"/>
        <v/>
      </c>
      <c r="O772" s="45" t="str">
        <f t="shared" si="8"/>
        <v/>
      </c>
      <c r="P772" s="45" t="str">
        <f t="shared" si="9"/>
        <v/>
      </c>
    </row>
    <row r="773" spans="1:16" ht="18">
      <c r="A773" s="92" t="s">
        <v>5441</v>
      </c>
      <c r="B773" s="345">
        <v>2008</v>
      </c>
      <c r="C773" s="92"/>
      <c r="D773" s="345">
        <v>18399904</v>
      </c>
      <c r="E773" s="278" t="str">
        <f t="shared" si="2"/>
        <v>https://pubmed.ncbi.nlm.nih.gov/?term=18399904</v>
      </c>
      <c r="F773" s="28" t="s">
        <v>511</v>
      </c>
      <c r="G773" s="28" t="s">
        <v>4346</v>
      </c>
      <c r="J773" s="346" t="str">
        <f t="shared" si="3"/>
        <v/>
      </c>
      <c r="K773" s="28" t="str">
        <f t="shared" si="4"/>
        <v/>
      </c>
      <c r="L773" s="45">
        <f t="shared" si="5"/>
        <v>1</v>
      </c>
      <c r="M773" s="45" t="str">
        <f t="shared" si="6"/>
        <v/>
      </c>
      <c r="N773" s="45" t="str">
        <f t="shared" si="7"/>
        <v/>
      </c>
      <c r="O773" s="45" t="str">
        <f t="shared" si="8"/>
        <v/>
      </c>
      <c r="P773" s="45" t="str">
        <f t="shared" si="9"/>
        <v/>
      </c>
    </row>
    <row r="774" spans="1:16" ht="18">
      <c r="A774" s="92" t="s">
        <v>5442</v>
      </c>
      <c r="B774" s="345">
        <v>2004</v>
      </c>
      <c r="C774" s="92"/>
      <c r="D774" s="345">
        <v>15552897</v>
      </c>
      <c r="E774" s="278" t="str">
        <f t="shared" si="2"/>
        <v>https://pubmed.ncbi.nlm.nih.gov/?term=15552897</v>
      </c>
      <c r="F774" s="28" t="s">
        <v>511</v>
      </c>
      <c r="G774" s="28" t="s">
        <v>5349</v>
      </c>
      <c r="J774" s="346" t="str">
        <f t="shared" si="3"/>
        <v/>
      </c>
      <c r="K774" s="28" t="str">
        <f t="shared" si="4"/>
        <v/>
      </c>
      <c r="L774" s="45" t="str">
        <f t="shared" si="5"/>
        <v/>
      </c>
      <c r="M774" s="45" t="str">
        <f t="shared" si="6"/>
        <v/>
      </c>
      <c r="N774" s="45">
        <f t="shared" si="7"/>
        <v>1</v>
      </c>
      <c r="O774" s="45" t="str">
        <f t="shared" si="8"/>
        <v/>
      </c>
      <c r="P774" s="45" t="str">
        <f t="shared" si="9"/>
        <v/>
      </c>
    </row>
    <row r="775" spans="1:16" ht="18">
      <c r="A775" s="92" t="s">
        <v>5443</v>
      </c>
      <c r="B775" s="345">
        <v>2009</v>
      </c>
      <c r="C775" s="92"/>
      <c r="D775" s="345">
        <v>18608175</v>
      </c>
      <c r="E775" s="278" t="str">
        <f t="shared" si="2"/>
        <v>https://pubmed.ncbi.nlm.nih.gov/?term=18608175</v>
      </c>
      <c r="F775" s="28" t="s">
        <v>511</v>
      </c>
      <c r="G775" s="28" t="s">
        <v>4346</v>
      </c>
      <c r="J775" s="346" t="str">
        <f t="shared" si="3"/>
        <v/>
      </c>
      <c r="K775" s="28" t="str">
        <f t="shared" si="4"/>
        <v/>
      </c>
      <c r="L775" s="45">
        <f t="shared" si="5"/>
        <v>1</v>
      </c>
      <c r="M775" s="45" t="str">
        <f t="shared" si="6"/>
        <v/>
      </c>
      <c r="N775" s="45" t="str">
        <f t="shared" si="7"/>
        <v/>
      </c>
      <c r="O775" s="45" t="str">
        <f t="shared" si="8"/>
        <v/>
      </c>
      <c r="P775" s="45" t="str">
        <f t="shared" si="9"/>
        <v/>
      </c>
    </row>
    <row r="776" spans="1:16" ht="18">
      <c r="A776" s="92" t="s">
        <v>5444</v>
      </c>
      <c r="B776" s="345">
        <v>2008</v>
      </c>
      <c r="C776" s="92"/>
      <c r="D776" s="345">
        <v>18698050</v>
      </c>
      <c r="E776" s="278" t="str">
        <f t="shared" si="2"/>
        <v>https://pubmed.ncbi.nlm.nih.gov/?term=18698050</v>
      </c>
      <c r="F776" s="28" t="s">
        <v>511</v>
      </c>
      <c r="G776" s="28" t="s">
        <v>5349</v>
      </c>
      <c r="J776" s="346" t="str">
        <f t="shared" si="3"/>
        <v/>
      </c>
      <c r="K776" s="28" t="str">
        <f t="shared" si="4"/>
        <v/>
      </c>
      <c r="L776" s="45" t="str">
        <f t="shared" si="5"/>
        <v/>
      </c>
      <c r="M776" s="45" t="str">
        <f t="shared" si="6"/>
        <v/>
      </c>
      <c r="N776" s="45">
        <f t="shared" si="7"/>
        <v>1</v>
      </c>
      <c r="O776" s="45" t="str">
        <f t="shared" si="8"/>
        <v/>
      </c>
      <c r="P776" s="45" t="str">
        <f t="shared" si="9"/>
        <v/>
      </c>
    </row>
    <row r="777" spans="1:16" ht="18">
      <c r="A777" s="92" t="s">
        <v>5445</v>
      </c>
      <c r="B777" s="345">
        <v>2001</v>
      </c>
      <c r="C777" s="92"/>
      <c r="D777" s="345">
        <v>11574768</v>
      </c>
      <c r="E777" s="278" t="str">
        <f t="shared" si="2"/>
        <v>https://pubmed.ncbi.nlm.nih.gov/?term=11574768</v>
      </c>
      <c r="F777" s="28" t="s">
        <v>511</v>
      </c>
      <c r="G777" s="28" t="s">
        <v>5349</v>
      </c>
      <c r="J777" s="346" t="str">
        <f t="shared" si="3"/>
        <v/>
      </c>
      <c r="K777" s="28" t="str">
        <f t="shared" si="4"/>
        <v/>
      </c>
      <c r="L777" s="45" t="str">
        <f t="shared" si="5"/>
        <v/>
      </c>
      <c r="M777" s="45" t="str">
        <f t="shared" si="6"/>
        <v/>
      </c>
      <c r="N777" s="45">
        <f t="shared" si="7"/>
        <v>1</v>
      </c>
      <c r="O777" s="45" t="str">
        <f t="shared" si="8"/>
        <v/>
      </c>
      <c r="P777" s="45" t="str">
        <f t="shared" si="9"/>
        <v/>
      </c>
    </row>
    <row r="778" spans="1:16" ht="18">
      <c r="A778" s="92" t="s">
        <v>5446</v>
      </c>
      <c r="B778" s="345">
        <v>2010</v>
      </c>
      <c r="C778" s="92" t="s">
        <v>5447</v>
      </c>
      <c r="D778" s="345">
        <v>21178410</v>
      </c>
      <c r="E778" s="278" t="str">
        <f t="shared" si="2"/>
        <v>https://pubmed.ncbi.nlm.nih.gov/?term=21178410</v>
      </c>
      <c r="F778" s="28" t="s">
        <v>511</v>
      </c>
      <c r="G778" s="28" t="s">
        <v>4346</v>
      </c>
      <c r="J778" s="346" t="str">
        <f t="shared" si="3"/>
        <v/>
      </c>
      <c r="K778" s="28" t="str">
        <f t="shared" si="4"/>
        <v/>
      </c>
      <c r="L778" s="45">
        <f t="shared" si="5"/>
        <v>1</v>
      </c>
      <c r="M778" s="45" t="str">
        <f t="shared" si="6"/>
        <v/>
      </c>
      <c r="N778" s="45" t="str">
        <f t="shared" si="7"/>
        <v/>
      </c>
      <c r="O778" s="45" t="str">
        <f t="shared" si="8"/>
        <v/>
      </c>
      <c r="P778" s="45" t="str">
        <f t="shared" si="9"/>
        <v/>
      </c>
    </row>
    <row r="779" spans="1:16" ht="18">
      <c r="A779" s="92" t="s">
        <v>5448</v>
      </c>
      <c r="B779" s="345">
        <v>2009</v>
      </c>
      <c r="C779" s="92"/>
      <c r="D779" s="345">
        <v>20099460</v>
      </c>
      <c r="E779" s="278" t="str">
        <f t="shared" si="2"/>
        <v>https://pubmed.ncbi.nlm.nih.gov/?term=20099460</v>
      </c>
      <c r="F779" s="28" t="s">
        <v>511</v>
      </c>
      <c r="G779" s="28" t="s">
        <v>4346</v>
      </c>
      <c r="J779" s="346" t="str">
        <f t="shared" si="3"/>
        <v/>
      </c>
      <c r="K779" s="28" t="str">
        <f t="shared" si="4"/>
        <v/>
      </c>
      <c r="L779" s="45">
        <f t="shared" si="5"/>
        <v>1</v>
      </c>
      <c r="M779" s="45" t="str">
        <f t="shared" si="6"/>
        <v/>
      </c>
      <c r="N779" s="45" t="str">
        <f t="shared" si="7"/>
        <v/>
      </c>
      <c r="O779" s="45" t="str">
        <f t="shared" si="8"/>
        <v/>
      </c>
      <c r="P779" s="45" t="str">
        <f t="shared" si="9"/>
        <v/>
      </c>
    </row>
    <row r="780" spans="1:16" ht="18">
      <c r="A780" s="92" t="s">
        <v>5449</v>
      </c>
      <c r="B780" s="345">
        <v>2009</v>
      </c>
      <c r="C780" s="92"/>
      <c r="D780" s="345">
        <v>19012942</v>
      </c>
      <c r="E780" s="278" t="str">
        <f t="shared" si="2"/>
        <v>https://pubmed.ncbi.nlm.nih.gov/?term=19012942</v>
      </c>
      <c r="F780" s="28" t="s">
        <v>511</v>
      </c>
      <c r="G780" s="28" t="s">
        <v>4346</v>
      </c>
      <c r="J780" s="346" t="str">
        <f t="shared" si="3"/>
        <v/>
      </c>
      <c r="K780" s="28" t="str">
        <f t="shared" si="4"/>
        <v/>
      </c>
      <c r="L780" s="45">
        <f t="shared" si="5"/>
        <v>1</v>
      </c>
      <c r="M780" s="45" t="str">
        <f t="shared" si="6"/>
        <v/>
      </c>
      <c r="N780" s="45" t="str">
        <f t="shared" si="7"/>
        <v/>
      </c>
      <c r="O780" s="45" t="str">
        <f t="shared" si="8"/>
        <v/>
      </c>
      <c r="P780" s="45" t="str">
        <f t="shared" si="9"/>
        <v/>
      </c>
    </row>
    <row r="781" spans="1:16" ht="18">
      <c r="A781" s="92" t="s">
        <v>5450</v>
      </c>
      <c r="B781" s="345">
        <v>2005</v>
      </c>
      <c r="C781" s="92"/>
      <c r="D781" s="345">
        <v>16338490</v>
      </c>
      <c r="E781" s="278" t="str">
        <f t="shared" si="2"/>
        <v>https://pubmed.ncbi.nlm.nih.gov/?term=16338490</v>
      </c>
      <c r="F781" s="28" t="s">
        <v>511</v>
      </c>
      <c r="G781" s="28" t="s">
        <v>4346</v>
      </c>
      <c r="J781" s="346" t="str">
        <f t="shared" si="3"/>
        <v/>
      </c>
      <c r="K781" s="28" t="str">
        <f t="shared" si="4"/>
        <v/>
      </c>
      <c r="L781" s="45">
        <f t="shared" si="5"/>
        <v>1</v>
      </c>
      <c r="M781" s="45" t="str">
        <f t="shared" si="6"/>
        <v/>
      </c>
      <c r="N781" s="45" t="str">
        <f t="shared" si="7"/>
        <v/>
      </c>
      <c r="O781" s="45" t="str">
        <f t="shared" si="8"/>
        <v/>
      </c>
      <c r="P781" s="45" t="str">
        <f t="shared" si="9"/>
        <v/>
      </c>
    </row>
    <row r="782" spans="1:16" ht="18">
      <c r="A782" s="92" t="s">
        <v>5451</v>
      </c>
      <c r="B782" s="345">
        <v>2009</v>
      </c>
      <c r="C782" s="92"/>
      <c r="D782" s="345">
        <v>19815632</v>
      </c>
      <c r="E782" s="278" t="str">
        <f t="shared" si="2"/>
        <v>https://pubmed.ncbi.nlm.nih.gov/?term=19815632</v>
      </c>
      <c r="F782" s="28" t="s">
        <v>511</v>
      </c>
      <c r="G782" s="28" t="s">
        <v>4346</v>
      </c>
      <c r="J782" s="346" t="str">
        <f t="shared" si="3"/>
        <v/>
      </c>
      <c r="K782" s="28" t="str">
        <f t="shared" si="4"/>
        <v/>
      </c>
      <c r="L782" s="45">
        <f t="shared" si="5"/>
        <v>1</v>
      </c>
      <c r="M782" s="45" t="str">
        <f t="shared" si="6"/>
        <v/>
      </c>
      <c r="N782" s="45" t="str">
        <f t="shared" si="7"/>
        <v/>
      </c>
      <c r="O782" s="45" t="str">
        <f t="shared" si="8"/>
        <v/>
      </c>
      <c r="P782" s="45" t="str">
        <f t="shared" si="9"/>
        <v/>
      </c>
    </row>
    <row r="783" spans="1:16" ht="18">
      <c r="A783" s="92" t="s">
        <v>5452</v>
      </c>
      <c r="B783" s="345">
        <v>2006</v>
      </c>
      <c r="C783" s="92"/>
      <c r="D783" s="345">
        <v>17072120</v>
      </c>
      <c r="E783" s="278" t="str">
        <f t="shared" si="2"/>
        <v>https://pubmed.ncbi.nlm.nih.gov/?term=17072120</v>
      </c>
      <c r="F783" s="28" t="s">
        <v>511</v>
      </c>
      <c r="G783" s="28" t="s">
        <v>5349</v>
      </c>
      <c r="J783" s="346" t="str">
        <f t="shared" si="3"/>
        <v/>
      </c>
      <c r="K783" s="28" t="str">
        <f t="shared" si="4"/>
        <v/>
      </c>
      <c r="L783" s="45" t="str">
        <f t="shared" si="5"/>
        <v/>
      </c>
      <c r="M783" s="45" t="str">
        <f t="shared" si="6"/>
        <v/>
      </c>
      <c r="N783" s="45">
        <f t="shared" si="7"/>
        <v>1</v>
      </c>
      <c r="O783" s="45" t="str">
        <f t="shared" si="8"/>
        <v/>
      </c>
      <c r="P783" s="45" t="str">
        <f t="shared" si="9"/>
        <v/>
      </c>
    </row>
    <row r="784" spans="1:16" ht="18">
      <c r="A784" s="92" t="s">
        <v>5453</v>
      </c>
      <c r="B784" s="345">
        <v>2007</v>
      </c>
      <c r="C784" s="92"/>
      <c r="D784" s="345">
        <v>18029064</v>
      </c>
      <c r="E784" s="278" t="str">
        <f t="shared" si="2"/>
        <v>https://pubmed.ncbi.nlm.nih.gov/?term=18029064</v>
      </c>
      <c r="F784" s="28" t="s">
        <v>511</v>
      </c>
      <c r="G784" s="28" t="s">
        <v>4346</v>
      </c>
      <c r="J784" s="346" t="str">
        <f t="shared" si="3"/>
        <v/>
      </c>
      <c r="K784" s="28" t="str">
        <f t="shared" si="4"/>
        <v/>
      </c>
      <c r="L784" s="45">
        <f t="shared" si="5"/>
        <v>1</v>
      </c>
      <c r="M784" s="45" t="str">
        <f t="shared" si="6"/>
        <v/>
      </c>
      <c r="N784" s="45" t="str">
        <f t="shared" si="7"/>
        <v/>
      </c>
      <c r="O784" s="45" t="str">
        <f t="shared" si="8"/>
        <v/>
      </c>
      <c r="P784" s="45" t="str">
        <f t="shared" si="9"/>
        <v/>
      </c>
    </row>
    <row r="785" spans="1:16" ht="18">
      <c r="A785" s="92" t="s">
        <v>5454</v>
      </c>
      <c r="B785" s="345">
        <v>2006</v>
      </c>
      <c r="C785" s="92"/>
      <c r="D785" s="345">
        <v>16455120</v>
      </c>
      <c r="E785" s="278" t="str">
        <f t="shared" si="2"/>
        <v>https://pubmed.ncbi.nlm.nih.gov/?term=16455120</v>
      </c>
      <c r="F785" s="28" t="s">
        <v>511</v>
      </c>
      <c r="G785" s="28" t="s">
        <v>4346</v>
      </c>
      <c r="J785" s="346" t="str">
        <f t="shared" si="3"/>
        <v/>
      </c>
      <c r="K785" s="28" t="str">
        <f t="shared" si="4"/>
        <v/>
      </c>
      <c r="L785" s="45">
        <f t="shared" si="5"/>
        <v>1</v>
      </c>
      <c r="M785" s="45" t="str">
        <f t="shared" si="6"/>
        <v/>
      </c>
      <c r="N785" s="45" t="str">
        <f t="shared" si="7"/>
        <v/>
      </c>
      <c r="O785" s="45" t="str">
        <f t="shared" si="8"/>
        <v/>
      </c>
      <c r="P785" s="45" t="str">
        <f t="shared" si="9"/>
        <v/>
      </c>
    </row>
    <row r="786" spans="1:16" ht="18">
      <c r="A786" s="92" t="s">
        <v>5455</v>
      </c>
      <c r="B786" s="345">
        <v>2004</v>
      </c>
      <c r="C786" s="92"/>
      <c r="D786" s="345">
        <v>15575364</v>
      </c>
      <c r="E786" s="278" t="str">
        <f t="shared" si="2"/>
        <v>https://pubmed.ncbi.nlm.nih.gov/?term=15575364</v>
      </c>
      <c r="F786" s="28" t="s">
        <v>511</v>
      </c>
      <c r="G786" s="28" t="s">
        <v>4346</v>
      </c>
      <c r="J786" s="346" t="str">
        <f t="shared" si="3"/>
        <v/>
      </c>
      <c r="K786" s="28" t="str">
        <f t="shared" si="4"/>
        <v/>
      </c>
      <c r="L786" s="45">
        <f t="shared" si="5"/>
        <v>1</v>
      </c>
      <c r="M786" s="45" t="str">
        <f t="shared" si="6"/>
        <v/>
      </c>
      <c r="N786" s="45" t="str">
        <f t="shared" si="7"/>
        <v/>
      </c>
      <c r="O786" s="45" t="str">
        <f t="shared" si="8"/>
        <v/>
      </c>
      <c r="P786" s="45" t="str">
        <f t="shared" si="9"/>
        <v/>
      </c>
    </row>
    <row r="787" spans="1:16" ht="18">
      <c r="A787" s="92" t="s">
        <v>5456</v>
      </c>
      <c r="B787" s="345">
        <v>2007</v>
      </c>
      <c r="C787" s="92"/>
      <c r="D787" s="345">
        <v>17600275</v>
      </c>
      <c r="E787" s="278" t="str">
        <f t="shared" si="2"/>
        <v>https://pubmed.ncbi.nlm.nih.gov/?term=17600275</v>
      </c>
      <c r="F787" s="28" t="s">
        <v>511</v>
      </c>
      <c r="G787" s="28" t="s">
        <v>5457</v>
      </c>
      <c r="J787" s="346" t="str">
        <f t="shared" si="3"/>
        <v/>
      </c>
      <c r="K787" s="28" t="str">
        <f t="shared" si="4"/>
        <v/>
      </c>
      <c r="L787" s="45" t="str">
        <f t="shared" si="5"/>
        <v/>
      </c>
      <c r="M787" s="45" t="str">
        <f t="shared" si="6"/>
        <v/>
      </c>
      <c r="N787" s="45" t="str">
        <f t="shared" si="7"/>
        <v/>
      </c>
      <c r="O787" s="45">
        <f t="shared" si="8"/>
        <v>1</v>
      </c>
      <c r="P787" s="45" t="str">
        <f t="shared" si="9"/>
        <v/>
      </c>
    </row>
    <row r="788" spans="1:16" ht="18">
      <c r="A788" s="92" t="s">
        <v>5458</v>
      </c>
      <c r="B788" s="345">
        <v>2004</v>
      </c>
      <c r="C788" s="92"/>
      <c r="D788" s="345">
        <v>15483406</v>
      </c>
      <c r="E788" s="278" t="str">
        <f t="shared" si="2"/>
        <v>https://pubmed.ncbi.nlm.nih.gov/?term=15483406</v>
      </c>
      <c r="F788" s="28" t="s">
        <v>511</v>
      </c>
      <c r="G788" s="28" t="s">
        <v>4346</v>
      </c>
      <c r="J788" s="346" t="str">
        <f t="shared" si="3"/>
        <v/>
      </c>
      <c r="K788" s="28" t="str">
        <f t="shared" si="4"/>
        <v/>
      </c>
      <c r="L788" s="45">
        <f t="shared" si="5"/>
        <v>1</v>
      </c>
      <c r="M788" s="45" t="str">
        <f t="shared" si="6"/>
        <v/>
      </c>
      <c r="N788" s="45" t="str">
        <f t="shared" si="7"/>
        <v/>
      </c>
      <c r="O788" s="45" t="str">
        <f t="shared" si="8"/>
        <v/>
      </c>
      <c r="P788" s="45" t="str">
        <f t="shared" si="9"/>
        <v/>
      </c>
    </row>
    <row r="789" spans="1:16" ht="18">
      <c r="A789" s="92" t="s">
        <v>5459</v>
      </c>
      <c r="B789" s="345">
        <v>2008</v>
      </c>
      <c r="C789" s="92" t="s">
        <v>5460</v>
      </c>
      <c r="D789" s="345">
        <v>18439291</v>
      </c>
      <c r="E789" s="278" t="str">
        <f t="shared" si="2"/>
        <v>https://pubmed.ncbi.nlm.nih.gov/?term=18439291</v>
      </c>
      <c r="F789" s="28" t="s">
        <v>511</v>
      </c>
      <c r="G789" s="28" t="s">
        <v>4346</v>
      </c>
      <c r="J789" s="346" t="str">
        <f t="shared" si="3"/>
        <v/>
      </c>
      <c r="K789" s="28" t="str">
        <f t="shared" si="4"/>
        <v/>
      </c>
      <c r="L789" s="45">
        <f t="shared" si="5"/>
        <v>1</v>
      </c>
      <c r="M789" s="45" t="str">
        <f t="shared" si="6"/>
        <v/>
      </c>
      <c r="N789" s="45" t="str">
        <f t="shared" si="7"/>
        <v/>
      </c>
      <c r="O789" s="45" t="str">
        <f t="shared" si="8"/>
        <v/>
      </c>
      <c r="P789" s="45" t="str">
        <f t="shared" si="9"/>
        <v/>
      </c>
    </row>
    <row r="790" spans="1:16" ht="18">
      <c r="A790" s="92" t="s">
        <v>5461</v>
      </c>
      <c r="B790" s="345">
        <v>2002</v>
      </c>
      <c r="C790" s="92"/>
      <c r="D790" s="345">
        <v>12365660</v>
      </c>
      <c r="E790" s="278" t="str">
        <f t="shared" si="2"/>
        <v>https://pubmed.ncbi.nlm.nih.gov/?term=12365660</v>
      </c>
      <c r="F790" s="28" t="s">
        <v>511</v>
      </c>
      <c r="G790" s="28" t="s">
        <v>4592</v>
      </c>
      <c r="J790" s="346">
        <f t="shared" si="3"/>
        <v>1</v>
      </c>
      <c r="K790" s="28" t="str">
        <f t="shared" si="4"/>
        <v/>
      </c>
      <c r="L790" s="45" t="str">
        <f t="shared" si="5"/>
        <v/>
      </c>
      <c r="M790" s="45" t="str">
        <f t="shared" si="6"/>
        <v/>
      </c>
      <c r="N790" s="45" t="str">
        <f t="shared" si="7"/>
        <v/>
      </c>
      <c r="O790" s="45" t="str">
        <f t="shared" si="8"/>
        <v/>
      </c>
      <c r="P790" s="45" t="str">
        <f t="shared" si="9"/>
        <v/>
      </c>
    </row>
    <row r="791" spans="1:16" ht="18">
      <c r="A791" s="92" t="s">
        <v>5462</v>
      </c>
      <c r="B791" s="345">
        <v>2006</v>
      </c>
      <c r="C791" s="92"/>
      <c r="D791" s="345">
        <v>16965648</v>
      </c>
      <c r="E791" s="278" t="str">
        <f t="shared" si="2"/>
        <v>https://pubmed.ncbi.nlm.nih.gov/?term=16965648</v>
      </c>
      <c r="F791" s="28" t="s">
        <v>511</v>
      </c>
      <c r="G791" s="28" t="s">
        <v>4587</v>
      </c>
      <c r="J791" s="346" t="str">
        <f t="shared" si="3"/>
        <v/>
      </c>
      <c r="K791" s="28" t="str">
        <f t="shared" si="4"/>
        <v/>
      </c>
      <c r="L791" s="45" t="str">
        <f t="shared" si="5"/>
        <v/>
      </c>
      <c r="M791" s="45">
        <f t="shared" si="6"/>
        <v>1</v>
      </c>
      <c r="N791" s="45" t="str">
        <f t="shared" si="7"/>
        <v/>
      </c>
      <c r="O791" s="45" t="str">
        <f t="shared" si="8"/>
        <v/>
      </c>
      <c r="P791" s="45" t="str">
        <f t="shared" si="9"/>
        <v/>
      </c>
    </row>
    <row r="792" spans="1:16" ht="18">
      <c r="A792" s="92" t="s">
        <v>5463</v>
      </c>
      <c r="B792" s="345">
        <v>2001</v>
      </c>
      <c r="C792" s="92"/>
      <c r="D792" s="345">
        <v>11305516</v>
      </c>
      <c r="E792" s="278" t="str">
        <f t="shared" si="2"/>
        <v>https://pubmed.ncbi.nlm.nih.gov/?term=11305516</v>
      </c>
      <c r="F792" s="28" t="s">
        <v>511</v>
      </c>
      <c r="G792" s="28" t="s">
        <v>4346</v>
      </c>
      <c r="J792" s="346" t="str">
        <f t="shared" si="3"/>
        <v/>
      </c>
      <c r="K792" s="28" t="str">
        <f t="shared" si="4"/>
        <v/>
      </c>
      <c r="L792" s="45">
        <f t="shared" si="5"/>
        <v>1</v>
      </c>
      <c r="M792" s="45" t="str">
        <f t="shared" si="6"/>
        <v/>
      </c>
      <c r="N792" s="45" t="str">
        <f t="shared" si="7"/>
        <v/>
      </c>
      <c r="O792" s="45" t="str">
        <f t="shared" si="8"/>
        <v/>
      </c>
      <c r="P792" s="45" t="str">
        <f t="shared" si="9"/>
        <v/>
      </c>
    </row>
    <row r="793" spans="1:16" ht="18">
      <c r="A793" s="92" t="s">
        <v>5464</v>
      </c>
      <c r="B793" s="345">
        <v>2008</v>
      </c>
      <c r="C793" s="92"/>
      <c r="D793" s="345">
        <v>18322553</v>
      </c>
      <c r="E793" s="278" t="str">
        <f t="shared" si="2"/>
        <v>https://pubmed.ncbi.nlm.nih.gov/?term=18322553</v>
      </c>
      <c r="F793" s="28" t="s">
        <v>511</v>
      </c>
      <c r="G793" s="28" t="s">
        <v>4346</v>
      </c>
      <c r="J793" s="346" t="str">
        <f t="shared" si="3"/>
        <v/>
      </c>
      <c r="K793" s="28" t="str">
        <f t="shared" si="4"/>
        <v/>
      </c>
      <c r="L793" s="45">
        <f t="shared" si="5"/>
        <v>1</v>
      </c>
      <c r="M793" s="45" t="str">
        <f t="shared" si="6"/>
        <v/>
      </c>
      <c r="N793" s="45" t="str">
        <f t="shared" si="7"/>
        <v/>
      </c>
      <c r="O793" s="45" t="str">
        <f t="shared" si="8"/>
        <v/>
      </c>
      <c r="P793" s="45" t="str">
        <f t="shared" si="9"/>
        <v/>
      </c>
    </row>
    <row r="794" spans="1:16" ht="18">
      <c r="A794" s="92" t="s">
        <v>5465</v>
      </c>
      <c r="B794" s="345">
        <v>2003</v>
      </c>
      <c r="C794" s="92"/>
      <c r="D794" s="345">
        <v>12887185</v>
      </c>
      <c r="E794" s="278" t="str">
        <f t="shared" si="2"/>
        <v>https://pubmed.ncbi.nlm.nih.gov/?term=12887185</v>
      </c>
      <c r="F794" s="28" t="s">
        <v>511</v>
      </c>
      <c r="G794" s="28" t="s">
        <v>4346</v>
      </c>
      <c r="J794" s="346" t="str">
        <f t="shared" si="3"/>
        <v/>
      </c>
      <c r="K794" s="28" t="str">
        <f t="shared" si="4"/>
        <v/>
      </c>
      <c r="L794" s="45">
        <f t="shared" si="5"/>
        <v>1</v>
      </c>
      <c r="M794" s="45" t="str">
        <f t="shared" si="6"/>
        <v/>
      </c>
      <c r="N794" s="45" t="str">
        <f t="shared" si="7"/>
        <v/>
      </c>
      <c r="O794" s="45" t="str">
        <f t="shared" si="8"/>
        <v/>
      </c>
      <c r="P794" s="45" t="str">
        <f t="shared" si="9"/>
        <v/>
      </c>
    </row>
    <row r="795" spans="1:16" ht="18">
      <c r="A795" s="92" t="s">
        <v>5466</v>
      </c>
      <c r="B795" s="345">
        <v>2003</v>
      </c>
      <c r="C795" s="92"/>
      <c r="D795" s="345">
        <v>12545341</v>
      </c>
      <c r="E795" s="278" t="str">
        <f t="shared" si="2"/>
        <v>https://pubmed.ncbi.nlm.nih.gov/?term=12545341</v>
      </c>
      <c r="F795" s="28" t="s">
        <v>511</v>
      </c>
      <c r="G795" s="28" t="s">
        <v>4867</v>
      </c>
      <c r="J795" s="346" t="str">
        <f t="shared" si="3"/>
        <v/>
      </c>
      <c r="K795" s="28" t="str">
        <f t="shared" si="4"/>
        <v/>
      </c>
      <c r="L795" s="45" t="str">
        <f t="shared" si="5"/>
        <v/>
      </c>
      <c r="M795" s="45" t="str">
        <f t="shared" si="6"/>
        <v/>
      </c>
      <c r="N795" s="45">
        <f t="shared" si="7"/>
        <v>1</v>
      </c>
      <c r="O795" s="45" t="str">
        <f t="shared" si="8"/>
        <v/>
      </c>
      <c r="P795" s="45" t="str">
        <f t="shared" si="9"/>
        <v/>
      </c>
    </row>
    <row r="796" spans="1:16" ht="18">
      <c r="A796" s="92" t="s">
        <v>5467</v>
      </c>
      <c r="B796" s="345">
        <v>2004</v>
      </c>
      <c r="C796" s="92"/>
      <c r="D796" s="345">
        <v>15147226</v>
      </c>
      <c r="E796" s="278" t="str">
        <f t="shared" si="2"/>
        <v>https://pubmed.ncbi.nlm.nih.gov/?term=15147226</v>
      </c>
      <c r="F796" s="28" t="s">
        <v>511</v>
      </c>
      <c r="G796" s="28" t="s">
        <v>4834</v>
      </c>
      <c r="J796" s="346" t="str">
        <f t="shared" si="3"/>
        <v/>
      </c>
      <c r="K796" s="28" t="str">
        <f t="shared" si="4"/>
        <v/>
      </c>
      <c r="L796" s="45" t="str">
        <f t="shared" si="5"/>
        <v/>
      </c>
      <c r="M796" s="45" t="str">
        <f t="shared" si="6"/>
        <v/>
      </c>
      <c r="N796" s="45" t="str">
        <f t="shared" si="7"/>
        <v/>
      </c>
      <c r="O796" s="45">
        <f t="shared" si="8"/>
        <v>1</v>
      </c>
      <c r="P796" s="45" t="str">
        <f t="shared" si="9"/>
        <v/>
      </c>
    </row>
    <row r="797" spans="1:16" ht="18">
      <c r="A797" s="92" t="s">
        <v>5468</v>
      </c>
      <c r="B797" s="345">
        <v>2008</v>
      </c>
      <c r="C797" s="92"/>
      <c r="D797" s="345">
        <v>18298931</v>
      </c>
      <c r="E797" s="278" t="str">
        <f t="shared" si="2"/>
        <v>https://pubmed.ncbi.nlm.nih.gov/?term=18298931</v>
      </c>
      <c r="F797" s="28" t="s">
        <v>511</v>
      </c>
      <c r="G797" s="28" t="s">
        <v>4346</v>
      </c>
      <c r="J797" s="346" t="str">
        <f t="shared" si="3"/>
        <v/>
      </c>
      <c r="K797" s="28" t="str">
        <f t="shared" si="4"/>
        <v/>
      </c>
      <c r="L797" s="45">
        <f t="shared" si="5"/>
        <v>1</v>
      </c>
      <c r="M797" s="45" t="str">
        <f t="shared" si="6"/>
        <v/>
      </c>
      <c r="N797" s="45" t="str">
        <f t="shared" si="7"/>
        <v/>
      </c>
      <c r="O797" s="45" t="str">
        <f t="shared" si="8"/>
        <v/>
      </c>
      <c r="P797" s="45" t="str">
        <f t="shared" si="9"/>
        <v/>
      </c>
    </row>
    <row r="798" spans="1:16" ht="18">
      <c r="A798" s="92" t="s">
        <v>5469</v>
      </c>
      <c r="B798" s="345">
        <v>2008</v>
      </c>
      <c r="C798" s="92"/>
      <c r="D798" s="345">
        <v>18419533</v>
      </c>
      <c r="E798" s="278" t="str">
        <f t="shared" si="2"/>
        <v>https://pubmed.ncbi.nlm.nih.gov/?term=18419533</v>
      </c>
      <c r="F798" s="28" t="s">
        <v>511</v>
      </c>
      <c r="G798" s="28" t="s">
        <v>4346</v>
      </c>
      <c r="J798" s="346" t="str">
        <f t="shared" si="3"/>
        <v/>
      </c>
      <c r="K798" s="28" t="str">
        <f t="shared" si="4"/>
        <v/>
      </c>
      <c r="L798" s="45">
        <f t="shared" si="5"/>
        <v>1</v>
      </c>
      <c r="M798" s="45" t="str">
        <f t="shared" si="6"/>
        <v/>
      </c>
      <c r="N798" s="45" t="str">
        <f t="shared" si="7"/>
        <v/>
      </c>
      <c r="O798" s="45" t="str">
        <f t="shared" si="8"/>
        <v/>
      </c>
      <c r="P798" s="45" t="str">
        <f t="shared" si="9"/>
        <v/>
      </c>
    </row>
    <row r="799" spans="1:16" ht="18">
      <c r="A799" s="92" t="s">
        <v>5470</v>
      </c>
      <c r="B799" s="345">
        <v>2001</v>
      </c>
      <c r="C799" s="92"/>
      <c r="D799" s="345">
        <v>11845817</v>
      </c>
      <c r="E799" s="278" t="str">
        <f t="shared" si="2"/>
        <v>https://pubmed.ncbi.nlm.nih.gov/?term=11845817</v>
      </c>
      <c r="F799" s="28" t="s">
        <v>511</v>
      </c>
      <c r="G799" s="28" t="s">
        <v>4592</v>
      </c>
      <c r="J799" s="346">
        <f t="shared" si="3"/>
        <v>1</v>
      </c>
      <c r="K799" s="28" t="str">
        <f t="shared" si="4"/>
        <v/>
      </c>
      <c r="L799" s="45" t="str">
        <f t="shared" si="5"/>
        <v/>
      </c>
      <c r="M799" s="45" t="str">
        <f t="shared" si="6"/>
        <v/>
      </c>
      <c r="N799" s="45" t="str">
        <f t="shared" si="7"/>
        <v/>
      </c>
      <c r="O799" s="45" t="str">
        <f t="shared" si="8"/>
        <v/>
      </c>
      <c r="P799" s="45" t="str">
        <f t="shared" si="9"/>
        <v/>
      </c>
    </row>
    <row r="800" spans="1:16" ht="18">
      <c r="A800" s="92" t="s">
        <v>5471</v>
      </c>
      <c r="B800" s="345">
        <v>2005</v>
      </c>
      <c r="C800" s="92"/>
      <c r="D800" s="345">
        <v>15756405</v>
      </c>
      <c r="E800" s="278" t="str">
        <f t="shared" si="2"/>
        <v>https://pubmed.ncbi.nlm.nih.gov/?term=15756405</v>
      </c>
      <c r="F800" s="28" t="s">
        <v>511</v>
      </c>
      <c r="G800" s="28" t="s">
        <v>4587</v>
      </c>
      <c r="J800" s="346" t="str">
        <f t="shared" si="3"/>
        <v/>
      </c>
      <c r="K800" s="28" t="str">
        <f t="shared" si="4"/>
        <v/>
      </c>
      <c r="L800" s="45" t="str">
        <f t="shared" si="5"/>
        <v/>
      </c>
      <c r="M800" s="45">
        <f t="shared" si="6"/>
        <v>1</v>
      </c>
      <c r="N800" s="45" t="str">
        <f t="shared" si="7"/>
        <v/>
      </c>
      <c r="O800" s="45" t="str">
        <f t="shared" si="8"/>
        <v/>
      </c>
      <c r="P800" s="45" t="str">
        <f t="shared" si="9"/>
        <v/>
      </c>
    </row>
    <row r="801" spans="1:16" ht="18">
      <c r="A801" s="92" t="s">
        <v>5472</v>
      </c>
      <c r="B801" s="345">
        <v>2006</v>
      </c>
      <c r="C801" s="92"/>
      <c r="D801" s="345">
        <v>16538883</v>
      </c>
      <c r="E801" s="278" t="str">
        <f t="shared" si="2"/>
        <v>https://pubmed.ncbi.nlm.nih.gov/?term=16538883</v>
      </c>
      <c r="F801" s="28" t="s">
        <v>511</v>
      </c>
      <c r="G801" s="28" t="s">
        <v>5473</v>
      </c>
      <c r="J801" s="346" t="str">
        <f t="shared" si="3"/>
        <v/>
      </c>
      <c r="K801" s="28" t="str">
        <f t="shared" si="4"/>
        <v/>
      </c>
      <c r="L801" s="45">
        <f t="shared" si="5"/>
        <v>1</v>
      </c>
      <c r="M801" s="45" t="str">
        <f t="shared" si="6"/>
        <v/>
      </c>
      <c r="N801" s="45" t="str">
        <f t="shared" si="7"/>
        <v/>
      </c>
      <c r="O801" s="45" t="str">
        <f t="shared" si="8"/>
        <v/>
      </c>
      <c r="P801" s="45" t="str">
        <f t="shared" si="9"/>
        <v/>
      </c>
    </row>
    <row r="802" spans="1:16" ht="18">
      <c r="A802" s="92" t="s">
        <v>5474</v>
      </c>
      <c r="B802" s="345">
        <v>2009</v>
      </c>
      <c r="C802" s="92" t="s">
        <v>5475</v>
      </c>
      <c r="D802" s="345">
        <v>19129468</v>
      </c>
      <c r="E802" s="278" t="str">
        <f t="shared" si="2"/>
        <v>https://pubmed.ncbi.nlm.nih.gov/?term=19129468</v>
      </c>
      <c r="F802" s="28" t="s">
        <v>511</v>
      </c>
      <c r="G802" s="28" t="s">
        <v>4346</v>
      </c>
      <c r="J802" s="346" t="str">
        <f t="shared" si="3"/>
        <v/>
      </c>
      <c r="K802" s="28" t="str">
        <f t="shared" si="4"/>
        <v/>
      </c>
      <c r="L802" s="45">
        <f t="shared" si="5"/>
        <v>1</v>
      </c>
      <c r="M802" s="45" t="str">
        <f t="shared" si="6"/>
        <v/>
      </c>
      <c r="N802" s="45" t="str">
        <f t="shared" si="7"/>
        <v/>
      </c>
      <c r="O802" s="45" t="str">
        <f t="shared" si="8"/>
        <v/>
      </c>
      <c r="P802" s="45" t="str">
        <f t="shared" si="9"/>
        <v/>
      </c>
    </row>
    <row r="803" spans="1:16" ht="18">
      <c r="A803" s="92" t="s">
        <v>5055</v>
      </c>
      <c r="B803" s="345">
        <v>2003</v>
      </c>
      <c r="C803" s="92"/>
      <c r="D803" s="345">
        <v>12793843</v>
      </c>
      <c r="E803" s="278" t="str">
        <f t="shared" si="2"/>
        <v>https://pubmed.ncbi.nlm.nih.gov/?term=12793843</v>
      </c>
      <c r="F803" s="28" t="s">
        <v>511</v>
      </c>
      <c r="G803" s="28" t="s">
        <v>4867</v>
      </c>
      <c r="J803" s="346" t="str">
        <f t="shared" si="3"/>
        <v/>
      </c>
      <c r="K803" s="28" t="str">
        <f t="shared" si="4"/>
        <v/>
      </c>
      <c r="L803" s="45" t="str">
        <f t="shared" si="5"/>
        <v/>
      </c>
      <c r="M803" s="45" t="str">
        <f t="shared" si="6"/>
        <v/>
      </c>
      <c r="N803" s="45">
        <f t="shared" si="7"/>
        <v>1</v>
      </c>
      <c r="O803" s="45" t="str">
        <f t="shared" si="8"/>
        <v/>
      </c>
      <c r="P803" s="45" t="str">
        <f t="shared" si="9"/>
        <v/>
      </c>
    </row>
    <row r="804" spans="1:16" ht="18">
      <c r="A804" s="92" t="s">
        <v>1750</v>
      </c>
      <c r="B804" s="345">
        <v>2008</v>
      </c>
      <c r="C804" s="92"/>
      <c r="D804" s="345">
        <v>17625517</v>
      </c>
      <c r="E804" s="278" t="str">
        <f t="shared" si="2"/>
        <v>https://pubmed.ncbi.nlm.nih.gov/?term=17625517</v>
      </c>
      <c r="H804" s="28" t="s">
        <v>511</v>
      </c>
      <c r="J804" s="346" t="str">
        <f t="shared" si="3"/>
        <v/>
      </c>
      <c r="K804" s="28" t="str">
        <f t="shared" si="4"/>
        <v/>
      </c>
      <c r="L804" s="45" t="str">
        <f t="shared" si="5"/>
        <v/>
      </c>
      <c r="M804" s="45" t="str">
        <f t="shared" si="6"/>
        <v/>
      </c>
      <c r="N804" s="45" t="str">
        <f t="shared" si="7"/>
        <v/>
      </c>
      <c r="O804" s="45" t="str">
        <f t="shared" si="8"/>
        <v/>
      </c>
      <c r="P804" s="45" t="str">
        <f t="shared" si="9"/>
        <v/>
      </c>
    </row>
    <row r="805" spans="1:16" ht="18">
      <c r="A805" s="92" t="s">
        <v>5476</v>
      </c>
      <c r="B805" s="345">
        <v>2009</v>
      </c>
      <c r="C805" s="92" t="s">
        <v>5477</v>
      </c>
      <c r="D805" s="345">
        <v>19786565</v>
      </c>
      <c r="E805" s="278" t="str">
        <f t="shared" si="2"/>
        <v>https://pubmed.ncbi.nlm.nih.gov/?term=19786565</v>
      </c>
      <c r="F805" s="28" t="s">
        <v>511</v>
      </c>
      <c r="G805" s="28" t="s">
        <v>5339</v>
      </c>
      <c r="J805" s="346" t="str">
        <f t="shared" si="3"/>
        <v/>
      </c>
      <c r="K805" s="28" t="str">
        <f t="shared" si="4"/>
        <v/>
      </c>
      <c r="L805" s="45">
        <f t="shared" si="5"/>
        <v>1</v>
      </c>
      <c r="M805" s="45" t="str">
        <f t="shared" si="6"/>
        <v/>
      </c>
      <c r="N805" s="45" t="str">
        <f t="shared" si="7"/>
        <v/>
      </c>
      <c r="O805" s="45" t="str">
        <f t="shared" si="8"/>
        <v/>
      </c>
      <c r="P805" s="45" t="str">
        <f t="shared" si="9"/>
        <v/>
      </c>
    </row>
    <row r="806" spans="1:16" ht="18">
      <c r="A806" s="92" t="s">
        <v>5478</v>
      </c>
      <c r="B806" s="345">
        <v>2009</v>
      </c>
      <c r="C806" s="92" t="s">
        <v>5479</v>
      </c>
      <c r="D806" s="345">
        <v>19773593</v>
      </c>
      <c r="E806" s="278" t="str">
        <f t="shared" si="2"/>
        <v>https://pubmed.ncbi.nlm.nih.gov/?term=19773593</v>
      </c>
      <c r="F806" s="28" t="s">
        <v>511</v>
      </c>
      <c r="G806" s="28" t="s">
        <v>4536</v>
      </c>
      <c r="J806" s="346" t="str">
        <f t="shared" si="3"/>
        <v/>
      </c>
      <c r="K806" s="28">
        <f t="shared" si="4"/>
        <v>1</v>
      </c>
      <c r="L806" s="45" t="str">
        <f t="shared" si="5"/>
        <v/>
      </c>
      <c r="M806" s="45" t="str">
        <f t="shared" si="6"/>
        <v/>
      </c>
      <c r="N806" s="45" t="str">
        <f t="shared" si="7"/>
        <v/>
      </c>
      <c r="O806" s="45" t="str">
        <f t="shared" si="8"/>
        <v/>
      </c>
      <c r="P806" s="45" t="str">
        <f t="shared" si="9"/>
        <v/>
      </c>
    </row>
    <row r="807" spans="1:16" ht="18">
      <c r="A807" s="92" t="s">
        <v>5480</v>
      </c>
      <c r="B807" s="345">
        <v>2002</v>
      </c>
      <c r="C807" s="92"/>
      <c r="D807" s="345">
        <v>12428663</v>
      </c>
      <c r="E807" s="278" t="str">
        <f t="shared" si="2"/>
        <v>https://pubmed.ncbi.nlm.nih.gov/?term=12428663</v>
      </c>
      <c r="F807" s="28" t="s">
        <v>511</v>
      </c>
      <c r="G807" s="28" t="s">
        <v>4346</v>
      </c>
      <c r="J807" s="346" t="str">
        <f t="shared" si="3"/>
        <v/>
      </c>
      <c r="K807" s="28" t="str">
        <f t="shared" si="4"/>
        <v/>
      </c>
      <c r="L807" s="45">
        <f t="shared" si="5"/>
        <v>1</v>
      </c>
      <c r="M807" s="45" t="str">
        <f t="shared" si="6"/>
        <v/>
      </c>
      <c r="N807" s="45" t="str">
        <f t="shared" si="7"/>
        <v/>
      </c>
      <c r="O807" s="45" t="str">
        <f t="shared" si="8"/>
        <v/>
      </c>
      <c r="P807" s="45" t="str">
        <f t="shared" si="9"/>
        <v/>
      </c>
    </row>
    <row r="808" spans="1:16" ht="18">
      <c r="A808" s="92" t="s">
        <v>4872</v>
      </c>
      <c r="B808" s="345">
        <v>2000</v>
      </c>
      <c r="C808" s="92"/>
      <c r="D808" s="345">
        <v>10976979</v>
      </c>
      <c r="E808" s="278" t="str">
        <f t="shared" si="2"/>
        <v>https://pubmed.ncbi.nlm.nih.gov/?term=10976979</v>
      </c>
      <c r="F808" s="28" t="s">
        <v>511</v>
      </c>
      <c r="G808" s="28" t="s">
        <v>4811</v>
      </c>
      <c r="J808" s="346" t="str">
        <f t="shared" si="3"/>
        <v/>
      </c>
      <c r="K808" s="28" t="str">
        <f t="shared" si="4"/>
        <v/>
      </c>
      <c r="L808" s="45" t="str">
        <f t="shared" si="5"/>
        <v/>
      </c>
      <c r="M808" s="45" t="str">
        <f t="shared" si="6"/>
        <v/>
      </c>
      <c r="N808" s="45">
        <f t="shared" si="7"/>
        <v>1</v>
      </c>
      <c r="O808" s="45" t="str">
        <f t="shared" si="8"/>
        <v/>
      </c>
      <c r="P808" s="45" t="str">
        <f t="shared" si="9"/>
        <v/>
      </c>
    </row>
    <row r="809" spans="1:16" ht="18">
      <c r="A809" s="92" t="s">
        <v>5481</v>
      </c>
      <c r="B809" s="345">
        <v>2006</v>
      </c>
      <c r="C809" s="92"/>
      <c r="D809" s="345">
        <v>17276364</v>
      </c>
      <c r="E809" s="278" t="str">
        <f t="shared" si="2"/>
        <v>https://pubmed.ncbi.nlm.nih.gov/?term=17276364</v>
      </c>
      <c r="F809" s="28" t="s">
        <v>511</v>
      </c>
      <c r="G809" s="28" t="s">
        <v>5482</v>
      </c>
      <c r="J809" s="346" t="str">
        <f t="shared" si="3"/>
        <v/>
      </c>
      <c r="K809" s="28" t="str">
        <f t="shared" si="4"/>
        <v/>
      </c>
      <c r="L809" s="45" t="str">
        <f t="shared" si="5"/>
        <v/>
      </c>
      <c r="M809" s="45" t="str">
        <f t="shared" si="6"/>
        <v/>
      </c>
      <c r="N809" s="45" t="str">
        <f t="shared" si="7"/>
        <v/>
      </c>
      <c r="O809" s="45">
        <f t="shared" si="8"/>
        <v>1</v>
      </c>
      <c r="P809" s="45" t="str">
        <f t="shared" si="9"/>
        <v/>
      </c>
    </row>
    <row r="810" spans="1:16" ht="18">
      <c r="A810" s="92" t="s">
        <v>5483</v>
      </c>
      <c r="B810" s="345">
        <v>2004</v>
      </c>
      <c r="C810" s="92" t="s">
        <v>5484</v>
      </c>
      <c r="D810" s="345">
        <v>15458574</v>
      </c>
      <c r="E810" s="278" t="str">
        <f t="shared" si="2"/>
        <v>https://pubmed.ncbi.nlm.nih.gov/?term=15458574</v>
      </c>
      <c r="F810" s="28" t="s">
        <v>511</v>
      </c>
      <c r="G810" s="28" t="s">
        <v>5485</v>
      </c>
      <c r="J810" s="346" t="str">
        <f t="shared" si="3"/>
        <v/>
      </c>
      <c r="K810" s="28" t="str">
        <f t="shared" si="4"/>
        <v/>
      </c>
      <c r="L810" s="45" t="str">
        <f t="shared" si="5"/>
        <v/>
      </c>
      <c r="M810" s="45" t="str">
        <f t="shared" si="6"/>
        <v/>
      </c>
      <c r="N810" s="45" t="str">
        <f t="shared" si="7"/>
        <v/>
      </c>
      <c r="O810" s="45">
        <f t="shared" si="8"/>
        <v>1</v>
      </c>
      <c r="P810" s="45" t="str">
        <f t="shared" si="9"/>
        <v/>
      </c>
    </row>
    <row r="811" spans="1:16" ht="18">
      <c r="A811" s="92" t="s">
        <v>5486</v>
      </c>
      <c r="B811" s="345">
        <v>2009</v>
      </c>
      <c r="C811" s="92"/>
      <c r="D811" s="345">
        <v>19541567</v>
      </c>
      <c r="E811" s="278" t="str">
        <f t="shared" si="2"/>
        <v>https://pubmed.ncbi.nlm.nih.gov/?term=19541567</v>
      </c>
      <c r="F811" s="28" t="s">
        <v>511</v>
      </c>
      <c r="G811" s="28" t="s">
        <v>4811</v>
      </c>
      <c r="J811" s="346" t="str">
        <f t="shared" si="3"/>
        <v/>
      </c>
      <c r="K811" s="28" t="str">
        <f t="shared" si="4"/>
        <v/>
      </c>
      <c r="L811" s="45" t="str">
        <f t="shared" si="5"/>
        <v/>
      </c>
      <c r="M811" s="45" t="str">
        <f t="shared" si="6"/>
        <v/>
      </c>
      <c r="N811" s="45">
        <f t="shared" si="7"/>
        <v>1</v>
      </c>
      <c r="O811" s="45" t="str">
        <f t="shared" si="8"/>
        <v/>
      </c>
      <c r="P811" s="45" t="str">
        <f t="shared" si="9"/>
        <v/>
      </c>
    </row>
    <row r="812" spans="1:16" ht="18">
      <c r="A812" s="92" t="s">
        <v>1788</v>
      </c>
      <c r="B812" s="345">
        <v>2001</v>
      </c>
      <c r="C812" s="92"/>
      <c r="D812" s="345">
        <v>11734429</v>
      </c>
      <c r="E812" s="278" t="str">
        <f t="shared" si="2"/>
        <v>https://pubmed.ncbi.nlm.nih.gov/?term=11734429</v>
      </c>
      <c r="H812" s="28" t="s">
        <v>511</v>
      </c>
      <c r="J812" s="346" t="str">
        <f t="shared" si="3"/>
        <v/>
      </c>
      <c r="K812" s="28" t="str">
        <f t="shared" si="4"/>
        <v/>
      </c>
      <c r="L812" s="45" t="str">
        <f t="shared" si="5"/>
        <v/>
      </c>
      <c r="M812" s="45" t="str">
        <f t="shared" si="6"/>
        <v/>
      </c>
      <c r="N812" s="45" t="str">
        <f t="shared" si="7"/>
        <v/>
      </c>
      <c r="O812" s="45" t="str">
        <f t="shared" si="8"/>
        <v/>
      </c>
      <c r="P812" s="45" t="str">
        <f t="shared" si="9"/>
        <v/>
      </c>
    </row>
    <row r="813" spans="1:16" ht="18">
      <c r="A813" s="92" t="s">
        <v>4870</v>
      </c>
      <c r="B813" s="345">
        <v>2000</v>
      </c>
      <c r="C813" s="92"/>
      <c r="D813" s="345">
        <v>10768562</v>
      </c>
      <c r="E813" s="278" t="str">
        <f t="shared" si="2"/>
        <v>https://pubmed.ncbi.nlm.nih.gov/?term=10768562</v>
      </c>
      <c r="F813" s="28" t="s">
        <v>511</v>
      </c>
      <c r="G813" s="28" t="s">
        <v>5487</v>
      </c>
      <c r="J813" s="346" t="str">
        <f t="shared" si="3"/>
        <v/>
      </c>
      <c r="K813" s="28" t="str">
        <f t="shared" si="4"/>
        <v/>
      </c>
      <c r="L813" s="45" t="str">
        <f t="shared" si="5"/>
        <v/>
      </c>
      <c r="M813" s="45" t="str">
        <f t="shared" si="6"/>
        <v/>
      </c>
      <c r="N813" s="45">
        <f t="shared" si="7"/>
        <v>1</v>
      </c>
      <c r="O813" s="45" t="str">
        <f t="shared" si="8"/>
        <v/>
      </c>
      <c r="P813" s="45" t="str">
        <f t="shared" si="9"/>
        <v/>
      </c>
    </row>
    <row r="814" spans="1:16" ht="18">
      <c r="A814" s="92" t="s">
        <v>5488</v>
      </c>
      <c r="B814" s="345">
        <v>2001</v>
      </c>
      <c r="C814" s="92" t="s">
        <v>5489</v>
      </c>
      <c r="D814" s="345">
        <v>11368195</v>
      </c>
      <c r="E814" s="278" t="str">
        <f t="shared" si="2"/>
        <v>https://pubmed.ncbi.nlm.nih.gov/?term=11368195</v>
      </c>
      <c r="F814" s="28" t="s">
        <v>511</v>
      </c>
      <c r="G814" s="28" t="s">
        <v>4867</v>
      </c>
      <c r="J814" s="346" t="str">
        <f t="shared" si="3"/>
        <v/>
      </c>
      <c r="K814" s="28" t="str">
        <f t="shared" si="4"/>
        <v/>
      </c>
      <c r="L814" s="45" t="str">
        <f t="shared" si="5"/>
        <v/>
      </c>
      <c r="M814" s="45" t="str">
        <f t="shared" si="6"/>
        <v/>
      </c>
      <c r="N814" s="45">
        <f t="shared" si="7"/>
        <v>1</v>
      </c>
      <c r="O814" s="45" t="str">
        <f t="shared" si="8"/>
        <v/>
      </c>
      <c r="P814" s="45" t="str">
        <f t="shared" si="9"/>
        <v/>
      </c>
    </row>
    <row r="815" spans="1:16" ht="18">
      <c r="A815" s="92" t="s">
        <v>5490</v>
      </c>
      <c r="B815" s="345">
        <v>2008</v>
      </c>
      <c r="C815" s="92" t="s">
        <v>5491</v>
      </c>
      <c r="D815" s="345">
        <v>18094110</v>
      </c>
      <c r="E815" s="278" t="str">
        <f t="shared" si="2"/>
        <v>https://pubmed.ncbi.nlm.nih.gov/?term=18094110</v>
      </c>
      <c r="F815" s="28" t="s">
        <v>511</v>
      </c>
      <c r="G815" s="28" t="s">
        <v>4898</v>
      </c>
      <c r="J815" s="346" t="str">
        <f t="shared" si="3"/>
        <v/>
      </c>
      <c r="K815" s="28" t="str">
        <f t="shared" si="4"/>
        <v/>
      </c>
      <c r="L815" s="45">
        <f t="shared" si="5"/>
        <v>1</v>
      </c>
      <c r="M815" s="45" t="str">
        <f t="shared" si="6"/>
        <v/>
      </c>
      <c r="N815" s="45" t="str">
        <f t="shared" si="7"/>
        <v/>
      </c>
      <c r="O815" s="45" t="str">
        <f t="shared" si="8"/>
        <v/>
      </c>
      <c r="P815" s="45" t="str">
        <f t="shared" si="9"/>
        <v/>
      </c>
    </row>
    <row r="816" spans="1:16" ht="18">
      <c r="A816" s="92" t="s">
        <v>5492</v>
      </c>
      <c r="B816" s="345">
        <v>2001</v>
      </c>
      <c r="C816" s="92"/>
      <c r="D816" s="345">
        <v>11486115</v>
      </c>
      <c r="E816" s="278" t="str">
        <f t="shared" si="2"/>
        <v>https://pubmed.ncbi.nlm.nih.gov/?term=11486115</v>
      </c>
      <c r="F816" s="28" t="s">
        <v>511</v>
      </c>
      <c r="G816" s="28" t="s">
        <v>4867</v>
      </c>
      <c r="J816" s="346" t="str">
        <f t="shared" si="3"/>
        <v/>
      </c>
      <c r="K816" s="28" t="str">
        <f t="shared" si="4"/>
        <v/>
      </c>
      <c r="L816" s="45" t="str">
        <f t="shared" si="5"/>
        <v/>
      </c>
      <c r="M816" s="45" t="str">
        <f t="shared" si="6"/>
        <v/>
      </c>
      <c r="N816" s="45">
        <f t="shared" si="7"/>
        <v>1</v>
      </c>
      <c r="O816" s="45" t="str">
        <f t="shared" si="8"/>
        <v/>
      </c>
      <c r="P816" s="45" t="str">
        <f t="shared" si="9"/>
        <v/>
      </c>
    </row>
    <row r="817" spans="1:16" ht="18">
      <c r="A817" s="92" t="s">
        <v>5493</v>
      </c>
      <c r="B817" s="345">
        <v>2010</v>
      </c>
      <c r="C817" s="92" t="s">
        <v>5494</v>
      </c>
      <c r="D817" s="345">
        <v>19911974</v>
      </c>
      <c r="E817" s="278" t="str">
        <f t="shared" si="2"/>
        <v>https://pubmed.ncbi.nlm.nih.gov/?term=19911974</v>
      </c>
      <c r="F817" s="28" t="s">
        <v>511</v>
      </c>
      <c r="G817" s="28" t="s">
        <v>5495</v>
      </c>
      <c r="J817" s="346" t="str">
        <f t="shared" si="3"/>
        <v/>
      </c>
      <c r="K817" s="28" t="str">
        <f t="shared" si="4"/>
        <v/>
      </c>
      <c r="L817" s="45">
        <f t="shared" si="5"/>
        <v>1</v>
      </c>
      <c r="M817" s="45" t="str">
        <f t="shared" si="6"/>
        <v/>
      </c>
      <c r="N817" s="45" t="str">
        <f t="shared" si="7"/>
        <v/>
      </c>
      <c r="O817" s="45" t="str">
        <f t="shared" si="8"/>
        <v/>
      </c>
      <c r="P817" s="45" t="str">
        <f t="shared" si="9"/>
        <v/>
      </c>
    </row>
    <row r="818" spans="1:16" ht="18">
      <c r="A818" s="92" t="s">
        <v>5496</v>
      </c>
      <c r="B818" s="345">
        <v>2006</v>
      </c>
      <c r="C818" s="92"/>
      <c r="D818" s="345">
        <v>17152649</v>
      </c>
      <c r="E818" s="278" t="str">
        <f t="shared" si="2"/>
        <v>https://pubmed.ncbi.nlm.nih.gov/?term=17152649</v>
      </c>
      <c r="F818" s="28" t="s">
        <v>511</v>
      </c>
      <c r="G818" s="28" t="s">
        <v>4592</v>
      </c>
      <c r="J818" s="346">
        <f t="shared" si="3"/>
        <v>1</v>
      </c>
      <c r="K818" s="28" t="str">
        <f t="shared" si="4"/>
        <v/>
      </c>
      <c r="L818" s="45" t="str">
        <f t="shared" si="5"/>
        <v/>
      </c>
      <c r="M818" s="45" t="str">
        <f t="shared" si="6"/>
        <v/>
      </c>
      <c r="N818" s="45" t="str">
        <f t="shared" si="7"/>
        <v/>
      </c>
      <c r="O818" s="45" t="str">
        <f t="shared" si="8"/>
        <v/>
      </c>
      <c r="P818" s="45" t="str">
        <f t="shared" si="9"/>
        <v/>
      </c>
    </row>
    <row r="819" spans="1:16" ht="18">
      <c r="A819" s="92" t="s">
        <v>5497</v>
      </c>
      <c r="B819" s="345">
        <v>2001</v>
      </c>
      <c r="C819" s="92"/>
      <c r="D819" s="345">
        <v>11345389</v>
      </c>
      <c r="E819" s="278" t="str">
        <f t="shared" si="2"/>
        <v>https://pubmed.ncbi.nlm.nih.gov/?term=11345389</v>
      </c>
      <c r="F819" s="28" t="s">
        <v>511</v>
      </c>
      <c r="G819" s="28" t="s">
        <v>5495</v>
      </c>
      <c r="J819" s="346" t="str">
        <f t="shared" si="3"/>
        <v/>
      </c>
      <c r="K819" s="28" t="str">
        <f t="shared" si="4"/>
        <v/>
      </c>
      <c r="L819" s="45">
        <f t="shared" si="5"/>
        <v>1</v>
      </c>
      <c r="M819" s="45" t="str">
        <f t="shared" si="6"/>
        <v/>
      </c>
      <c r="N819" s="45" t="str">
        <f t="shared" si="7"/>
        <v/>
      </c>
      <c r="O819" s="45" t="str">
        <f t="shared" si="8"/>
        <v/>
      </c>
      <c r="P819" s="45" t="str">
        <f t="shared" si="9"/>
        <v/>
      </c>
    </row>
    <row r="820" spans="1:16" ht="18">
      <c r="A820" s="92" t="s">
        <v>4876</v>
      </c>
      <c r="B820" s="345">
        <v>2000</v>
      </c>
      <c r="C820" s="92"/>
      <c r="D820" s="345">
        <v>10877367</v>
      </c>
      <c r="E820" s="278" t="str">
        <f t="shared" si="2"/>
        <v>https://pubmed.ncbi.nlm.nih.gov/?term=10877367</v>
      </c>
      <c r="F820" s="28" t="s">
        <v>511</v>
      </c>
      <c r="G820" s="28" t="s">
        <v>5495</v>
      </c>
      <c r="J820" s="346" t="str">
        <f t="shared" si="3"/>
        <v/>
      </c>
      <c r="K820" s="28" t="str">
        <f t="shared" si="4"/>
        <v/>
      </c>
      <c r="L820" s="45">
        <f t="shared" si="5"/>
        <v>1</v>
      </c>
      <c r="M820" s="45" t="str">
        <f t="shared" si="6"/>
        <v/>
      </c>
      <c r="N820" s="45" t="str">
        <f t="shared" si="7"/>
        <v/>
      </c>
      <c r="O820" s="45" t="str">
        <f t="shared" si="8"/>
        <v/>
      </c>
      <c r="P820" s="45" t="str">
        <f t="shared" si="9"/>
        <v/>
      </c>
    </row>
    <row r="821" spans="1:16" ht="18">
      <c r="A821" s="92" t="s">
        <v>5498</v>
      </c>
      <c r="B821" s="345">
        <v>2010</v>
      </c>
      <c r="C821" s="92"/>
      <c r="D821" s="345">
        <v>20537410</v>
      </c>
      <c r="E821" s="278" t="str">
        <f t="shared" si="2"/>
        <v>https://pubmed.ncbi.nlm.nih.gov/?term=20537410</v>
      </c>
      <c r="F821" s="28" t="s">
        <v>511</v>
      </c>
      <c r="G821" s="28" t="s">
        <v>5495</v>
      </c>
      <c r="J821" s="346" t="str">
        <f t="shared" si="3"/>
        <v/>
      </c>
      <c r="K821" s="28" t="str">
        <f t="shared" si="4"/>
        <v/>
      </c>
      <c r="L821" s="45">
        <f t="shared" si="5"/>
        <v>1</v>
      </c>
      <c r="M821" s="45" t="str">
        <f t="shared" si="6"/>
        <v/>
      </c>
      <c r="N821" s="45" t="str">
        <f t="shared" si="7"/>
        <v/>
      </c>
      <c r="O821" s="45" t="str">
        <f t="shared" si="8"/>
        <v/>
      </c>
      <c r="P821" s="45" t="str">
        <f t="shared" si="9"/>
        <v/>
      </c>
    </row>
    <row r="822" spans="1:16" ht="18">
      <c r="A822" s="92" t="s">
        <v>5499</v>
      </c>
      <c r="B822" s="345">
        <v>2006</v>
      </c>
      <c r="C822" s="92"/>
      <c r="D822" s="345">
        <v>17370439</v>
      </c>
      <c r="E822" s="278" t="str">
        <f t="shared" si="2"/>
        <v>https://pubmed.ncbi.nlm.nih.gov/?term=17370439</v>
      </c>
      <c r="F822" s="28" t="s">
        <v>511</v>
      </c>
      <c r="G822" s="28" t="s">
        <v>5500</v>
      </c>
      <c r="J822" s="346" t="str">
        <f t="shared" si="3"/>
        <v/>
      </c>
      <c r="K822" s="28" t="str">
        <f t="shared" si="4"/>
        <v/>
      </c>
      <c r="L822" s="45" t="str">
        <f t="shared" si="5"/>
        <v/>
      </c>
      <c r="M822" s="45" t="str">
        <f t="shared" si="6"/>
        <v/>
      </c>
      <c r="N822" s="45" t="str">
        <f t="shared" si="7"/>
        <v/>
      </c>
      <c r="O822" s="45">
        <f t="shared" si="8"/>
        <v>1</v>
      </c>
      <c r="P822" s="45" t="str">
        <f t="shared" si="9"/>
        <v/>
      </c>
    </row>
    <row r="823" spans="1:16" ht="18">
      <c r="A823" s="92" t="s">
        <v>5501</v>
      </c>
      <c r="B823" s="345">
        <v>2004</v>
      </c>
      <c r="C823" s="92"/>
      <c r="D823" s="345">
        <v>15305847</v>
      </c>
      <c r="E823" s="278" t="str">
        <f t="shared" si="2"/>
        <v>https://pubmed.ncbi.nlm.nih.gov/?term=15305847</v>
      </c>
      <c r="F823" s="28" t="s">
        <v>511</v>
      </c>
      <c r="G823" s="28" t="s">
        <v>5495</v>
      </c>
      <c r="J823" s="346" t="str">
        <f t="shared" si="3"/>
        <v/>
      </c>
      <c r="K823" s="28" t="str">
        <f t="shared" si="4"/>
        <v/>
      </c>
      <c r="L823" s="45">
        <f t="shared" si="5"/>
        <v>1</v>
      </c>
      <c r="M823" s="45" t="str">
        <f t="shared" si="6"/>
        <v/>
      </c>
      <c r="N823" s="45" t="str">
        <f t="shared" si="7"/>
        <v/>
      </c>
      <c r="O823" s="45" t="str">
        <f t="shared" si="8"/>
        <v/>
      </c>
      <c r="P823" s="45" t="str">
        <f t="shared" si="9"/>
        <v/>
      </c>
    </row>
    <row r="824" spans="1:16" ht="18">
      <c r="A824" s="92" t="s">
        <v>5502</v>
      </c>
      <c r="B824" s="345">
        <v>2009</v>
      </c>
      <c r="C824" s="92" t="s">
        <v>5503</v>
      </c>
      <c r="D824" s="345">
        <v>19180511</v>
      </c>
      <c r="E824" s="278" t="str">
        <f t="shared" si="2"/>
        <v>https://pubmed.ncbi.nlm.nih.gov/?term=19180511</v>
      </c>
      <c r="F824" s="28" t="s">
        <v>511</v>
      </c>
      <c r="G824" s="28" t="s">
        <v>5339</v>
      </c>
      <c r="J824" s="346" t="str">
        <f t="shared" si="3"/>
        <v/>
      </c>
      <c r="K824" s="28" t="str">
        <f t="shared" si="4"/>
        <v/>
      </c>
      <c r="L824" s="45">
        <f t="shared" si="5"/>
        <v>1</v>
      </c>
      <c r="M824" s="45" t="str">
        <f t="shared" si="6"/>
        <v/>
      </c>
      <c r="N824" s="45" t="str">
        <f t="shared" si="7"/>
        <v/>
      </c>
      <c r="O824" s="45" t="str">
        <f t="shared" si="8"/>
        <v/>
      </c>
      <c r="P824" s="45" t="str">
        <f t="shared" si="9"/>
        <v/>
      </c>
    </row>
    <row r="825" spans="1:16" ht="18">
      <c r="A825" s="92" t="s">
        <v>5504</v>
      </c>
      <c r="B825" s="345">
        <v>2007</v>
      </c>
      <c r="C825" s="92"/>
      <c r="D825" s="345">
        <v>18024918</v>
      </c>
      <c r="E825" s="278" t="str">
        <f t="shared" si="2"/>
        <v>https://pubmed.ncbi.nlm.nih.gov/?term=18024918</v>
      </c>
      <c r="F825" s="28" t="s">
        <v>511</v>
      </c>
      <c r="G825" s="28" t="s">
        <v>5495</v>
      </c>
      <c r="J825" s="346" t="str">
        <f t="shared" si="3"/>
        <v/>
      </c>
      <c r="K825" s="28" t="str">
        <f t="shared" si="4"/>
        <v/>
      </c>
      <c r="L825" s="45">
        <f t="shared" si="5"/>
        <v>1</v>
      </c>
      <c r="M825" s="45" t="str">
        <f t="shared" si="6"/>
        <v/>
      </c>
      <c r="N825" s="45" t="str">
        <f t="shared" si="7"/>
        <v/>
      </c>
      <c r="O825" s="45" t="str">
        <f t="shared" si="8"/>
        <v/>
      </c>
      <c r="P825" s="45" t="str">
        <f t="shared" si="9"/>
        <v/>
      </c>
    </row>
    <row r="826" spans="1:16" ht="18">
      <c r="A826" s="92" t="s">
        <v>1724</v>
      </c>
      <c r="B826" s="345">
        <v>2000</v>
      </c>
      <c r="C826" s="92" t="s">
        <v>4893</v>
      </c>
      <c r="D826" s="345">
        <v>11134688</v>
      </c>
      <c r="E826" s="278" t="str">
        <f t="shared" si="2"/>
        <v>https://pubmed.ncbi.nlm.nih.gov/?term=11134688</v>
      </c>
      <c r="H826" s="28" t="s">
        <v>511</v>
      </c>
      <c r="J826" s="346" t="str">
        <f t="shared" si="3"/>
        <v/>
      </c>
      <c r="K826" s="28" t="str">
        <f t="shared" si="4"/>
        <v/>
      </c>
      <c r="L826" s="45" t="str">
        <f t="shared" si="5"/>
        <v/>
      </c>
      <c r="M826" s="45" t="str">
        <f t="shared" si="6"/>
        <v/>
      </c>
      <c r="N826" s="45" t="str">
        <f t="shared" si="7"/>
        <v/>
      </c>
      <c r="O826" s="45" t="str">
        <f t="shared" si="8"/>
        <v/>
      </c>
      <c r="P826" s="45" t="str">
        <f t="shared" si="9"/>
        <v/>
      </c>
    </row>
    <row r="827" spans="1:16" ht="18">
      <c r="A827" s="92" t="s">
        <v>5505</v>
      </c>
      <c r="B827" s="345">
        <v>2006</v>
      </c>
      <c r="C827" s="92"/>
      <c r="D827" s="345">
        <v>16699144</v>
      </c>
      <c r="E827" s="278" t="str">
        <f t="shared" si="2"/>
        <v>https://pubmed.ncbi.nlm.nih.gov/?term=16699144</v>
      </c>
      <c r="F827" s="28" t="s">
        <v>511</v>
      </c>
      <c r="G827" s="28" t="s">
        <v>4346</v>
      </c>
      <c r="J827" s="346" t="str">
        <f t="shared" si="3"/>
        <v/>
      </c>
      <c r="K827" s="28" t="str">
        <f t="shared" si="4"/>
        <v/>
      </c>
      <c r="L827" s="45">
        <f t="shared" si="5"/>
        <v>1</v>
      </c>
      <c r="M827" s="45" t="str">
        <f t="shared" si="6"/>
        <v/>
      </c>
      <c r="N827" s="45" t="str">
        <f t="shared" si="7"/>
        <v/>
      </c>
      <c r="O827" s="45" t="str">
        <f t="shared" si="8"/>
        <v/>
      </c>
      <c r="P827" s="45" t="str">
        <f t="shared" si="9"/>
        <v/>
      </c>
    </row>
    <row r="828" spans="1:16" ht="18">
      <c r="A828" s="92" t="s">
        <v>5506</v>
      </c>
      <c r="B828" s="345">
        <v>2011</v>
      </c>
      <c r="C828" s="92" t="s">
        <v>5507</v>
      </c>
      <c r="D828" s="345">
        <v>20925688</v>
      </c>
      <c r="E828" s="278" t="str">
        <f t="shared" si="2"/>
        <v>https://pubmed.ncbi.nlm.nih.gov/?term=20925688</v>
      </c>
      <c r="F828" s="28" t="s">
        <v>511</v>
      </c>
      <c r="G828" s="28" t="s">
        <v>4867</v>
      </c>
      <c r="J828" s="346" t="str">
        <f t="shared" si="3"/>
        <v/>
      </c>
      <c r="K828" s="28" t="str">
        <f t="shared" si="4"/>
        <v/>
      </c>
      <c r="L828" s="45" t="str">
        <f t="shared" si="5"/>
        <v/>
      </c>
      <c r="M828" s="45" t="str">
        <f t="shared" si="6"/>
        <v/>
      </c>
      <c r="N828" s="45">
        <f t="shared" si="7"/>
        <v>1</v>
      </c>
      <c r="O828" s="45" t="str">
        <f t="shared" si="8"/>
        <v/>
      </c>
      <c r="P828" s="45" t="str">
        <f t="shared" si="9"/>
        <v/>
      </c>
    </row>
    <row r="829" spans="1:16" ht="18">
      <c r="A829" s="92" t="s">
        <v>5508</v>
      </c>
      <c r="B829" s="345">
        <v>2009</v>
      </c>
      <c r="C829" s="92"/>
      <c r="D829" s="345">
        <v>19203846</v>
      </c>
      <c r="E829" s="278" t="str">
        <f t="shared" si="2"/>
        <v>https://pubmed.ncbi.nlm.nih.gov/?term=19203846</v>
      </c>
      <c r="F829" s="28" t="s">
        <v>511</v>
      </c>
      <c r="G829" s="28" t="s">
        <v>4346</v>
      </c>
      <c r="J829" s="346" t="str">
        <f t="shared" si="3"/>
        <v/>
      </c>
      <c r="K829" s="28" t="str">
        <f t="shared" si="4"/>
        <v/>
      </c>
      <c r="L829" s="45">
        <f t="shared" si="5"/>
        <v>1</v>
      </c>
      <c r="M829" s="45" t="str">
        <f t="shared" si="6"/>
        <v/>
      </c>
      <c r="N829" s="45" t="str">
        <f t="shared" si="7"/>
        <v/>
      </c>
      <c r="O829" s="45" t="str">
        <f t="shared" si="8"/>
        <v/>
      </c>
      <c r="P829" s="45" t="str">
        <f t="shared" si="9"/>
        <v/>
      </c>
    </row>
    <row r="830" spans="1:16" ht="18">
      <c r="A830" s="92" t="s">
        <v>5509</v>
      </c>
      <c r="B830" s="345">
        <v>2003</v>
      </c>
      <c r="C830" s="92"/>
      <c r="D830" s="345">
        <v>12784197</v>
      </c>
      <c r="E830" s="278" t="str">
        <f t="shared" si="2"/>
        <v>https://pubmed.ncbi.nlm.nih.gov/?term=12784197</v>
      </c>
      <c r="F830" s="28" t="s">
        <v>511</v>
      </c>
      <c r="G830" s="28" t="s">
        <v>5510</v>
      </c>
      <c r="J830" s="346" t="str">
        <f t="shared" si="3"/>
        <v/>
      </c>
      <c r="K830" s="28" t="str">
        <f t="shared" si="4"/>
        <v/>
      </c>
      <c r="L830" s="45" t="str">
        <f t="shared" si="5"/>
        <v/>
      </c>
      <c r="M830" s="45" t="str">
        <f t="shared" si="6"/>
        <v/>
      </c>
      <c r="N830" s="45" t="str">
        <f t="shared" si="7"/>
        <v/>
      </c>
      <c r="O830" s="45">
        <f t="shared" si="8"/>
        <v>1</v>
      </c>
      <c r="P830" s="45" t="str">
        <f t="shared" si="9"/>
        <v/>
      </c>
    </row>
    <row r="831" spans="1:16" ht="18">
      <c r="A831" s="92" t="s">
        <v>5511</v>
      </c>
      <c r="B831" s="345">
        <v>2004</v>
      </c>
      <c r="C831" s="92"/>
      <c r="D831" s="345">
        <v>15316164</v>
      </c>
      <c r="E831" s="278" t="str">
        <f t="shared" si="2"/>
        <v>https://pubmed.ncbi.nlm.nih.gov/?term=15316164</v>
      </c>
      <c r="F831" s="28" t="s">
        <v>511</v>
      </c>
      <c r="G831" s="28" t="s">
        <v>4346</v>
      </c>
      <c r="J831" s="346" t="str">
        <f t="shared" si="3"/>
        <v/>
      </c>
      <c r="K831" s="28" t="str">
        <f t="shared" si="4"/>
        <v/>
      </c>
      <c r="L831" s="45">
        <f t="shared" si="5"/>
        <v>1</v>
      </c>
      <c r="M831" s="45" t="str">
        <f t="shared" si="6"/>
        <v/>
      </c>
      <c r="N831" s="45" t="str">
        <f t="shared" si="7"/>
        <v/>
      </c>
      <c r="O831" s="45" t="str">
        <f t="shared" si="8"/>
        <v/>
      </c>
      <c r="P831" s="45" t="str">
        <f t="shared" si="9"/>
        <v/>
      </c>
    </row>
    <row r="832" spans="1:16" ht="18">
      <c r="A832" s="92" t="s">
        <v>5512</v>
      </c>
      <c r="B832" s="345">
        <v>2001</v>
      </c>
      <c r="C832" s="92"/>
      <c r="D832" s="345">
        <v>11153185</v>
      </c>
      <c r="E832" s="278" t="str">
        <f t="shared" si="2"/>
        <v>https://pubmed.ncbi.nlm.nih.gov/?term=11153185</v>
      </c>
      <c r="F832" s="28" t="s">
        <v>511</v>
      </c>
      <c r="G832" s="28" t="s">
        <v>4867</v>
      </c>
      <c r="J832" s="346" t="str">
        <f t="shared" si="3"/>
        <v/>
      </c>
      <c r="K832" s="28" t="str">
        <f t="shared" si="4"/>
        <v/>
      </c>
      <c r="L832" s="45" t="str">
        <f t="shared" si="5"/>
        <v/>
      </c>
      <c r="M832" s="45" t="str">
        <f t="shared" si="6"/>
        <v/>
      </c>
      <c r="N832" s="45">
        <f t="shared" si="7"/>
        <v>1</v>
      </c>
      <c r="O832" s="45" t="str">
        <f t="shared" si="8"/>
        <v/>
      </c>
      <c r="P832" s="45" t="str">
        <f t="shared" si="9"/>
        <v/>
      </c>
    </row>
    <row r="833" spans="1:16" ht="18">
      <c r="A833" s="92" t="s">
        <v>5513</v>
      </c>
      <c r="B833" s="345">
        <v>2004</v>
      </c>
      <c r="C833" s="92" t="s">
        <v>5514</v>
      </c>
      <c r="D833" s="345">
        <v>15385516</v>
      </c>
      <c r="E833" s="278" t="str">
        <f t="shared" si="2"/>
        <v>https://pubmed.ncbi.nlm.nih.gov/?term=15385516</v>
      </c>
      <c r="F833" s="28" t="s">
        <v>511</v>
      </c>
      <c r="G833" s="28" t="s">
        <v>4346</v>
      </c>
      <c r="J833" s="346" t="str">
        <f t="shared" si="3"/>
        <v/>
      </c>
      <c r="K833" s="28" t="str">
        <f t="shared" si="4"/>
        <v/>
      </c>
      <c r="L833" s="45">
        <f t="shared" si="5"/>
        <v>1</v>
      </c>
      <c r="M833" s="45" t="str">
        <f t="shared" si="6"/>
        <v/>
      </c>
      <c r="N833" s="45" t="str">
        <f t="shared" si="7"/>
        <v/>
      </c>
      <c r="O833" s="45" t="str">
        <f t="shared" si="8"/>
        <v/>
      </c>
      <c r="P833" s="45" t="str">
        <f t="shared" si="9"/>
        <v/>
      </c>
    </row>
    <row r="834" spans="1:16" ht="18">
      <c r="A834" s="92" t="s">
        <v>5515</v>
      </c>
      <c r="B834" s="345">
        <v>2010</v>
      </c>
      <c r="C834" s="92"/>
      <c r="D834" s="345">
        <v>19836903</v>
      </c>
      <c r="E834" s="278" t="str">
        <f t="shared" si="2"/>
        <v>https://pubmed.ncbi.nlm.nih.gov/?term=19836903</v>
      </c>
      <c r="F834" s="28" t="s">
        <v>511</v>
      </c>
      <c r="G834" s="28" t="s">
        <v>4592</v>
      </c>
      <c r="J834" s="346">
        <f t="shared" si="3"/>
        <v>1</v>
      </c>
      <c r="K834" s="28" t="str">
        <f t="shared" si="4"/>
        <v/>
      </c>
      <c r="L834" s="45" t="str">
        <f t="shared" si="5"/>
        <v/>
      </c>
      <c r="M834" s="45" t="str">
        <f t="shared" si="6"/>
        <v/>
      </c>
      <c r="N834" s="45" t="str">
        <f t="shared" si="7"/>
        <v/>
      </c>
      <c r="O834" s="45" t="str">
        <f t="shared" si="8"/>
        <v/>
      </c>
      <c r="P834" s="45" t="str">
        <f t="shared" si="9"/>
        <v/>
      </c>
    </row>
    <row r="835" spans="1:16" ht="18">
      <c r="A835" s="92" t="s">
        <v>5516</v>
      </c>
      <c r="B835" s="345">
        <v>2007</v>
      </c>
      <c r="C835" s="92"/>
      <c r="D835" s="345">
        <v>29319954</v>
      </c>
      <c r="E835" s="278" t="str">
        <f t="shared" si="2"/>
        <v>https://pubmed.ncbi.nlm.nih.gov/?term=29319954</v>
      </c>
      <c r="F835" s="28" t="s">
        <v>511</v>
      </c>
      <c r="G835" s="28" t="s">
        <v>4592</v>
      </c>
      <c r="J835" s="346">
        <f t="shared" si="3"/>
        <v>1</v>
      </c>
      <c r="K835" s="28" t="str">
        <f t="shared" si="4"/>
        <v/>
      </c>
      <c r="L835" s="45" t="str">
        <f t="shared" si="5"/>
        <v/>
      </c>
      <c r="M835" s="45" t="str">
        <f t="shared" si="6"/>
        <v/>
      </c>
      <c r="N835" s="45" t="str">
        <f t="shared" si="7"/>
        <v/>
      </c>
      <c r="O835" s="45" t="str">
        <f t="shared" si="8"/>
        <v/>
      </c>
      <c r="P835" s="45" t="str">
        <f t="shared" si="9"/>
        <v/>
      </c>
    </row>
    <row r="836" spans="1:16" ht="18">
      <c r="A836" s="92" t="s">
        <v>5517</v>
      </c>
      <c r="B836" s="345">
        <v>2001</v>
      </c>
      <c r="C836" s="92"/>
      <c r="D836" s="345">
        <v>11569731</v>
      </c>
      <c r="E836" s="278" t="str">
        <f t="shared" si="2"/>
        <v>https://pubmed.ncbi.nlm.nih.gov/?term=11569731</v>
      </c>
      <c r="F836" s="28" t="s">
        <v>511</v>
      </c>
      <c r="G836" s="28" t="s">
        <v>4346</v>
      </c>
      <c r="J836" s="346" t="str">
        <f t="shared" si="3"/>
        <v/>
      </c>
      <c r="K836" s="28" t="str">
        <f t="shared" si="4"/>
        <v/>
      </c>
      <c r="L836" s="45">
        <f t="shared" si="5"/>
        <v>1</v>
      </c>
      <c r="M836" s="45" t="str">
        <f t="shared" si="6"/>
        <v/>
      </c>
      <c r="N836" s="45" t="str">
        <f t="shared" si="7"/>
        <v/>
      </c>
      <c r="O836" s="45" t="str">
        <f t="shared" si="8"/>
        <v/>
      </c>
      <c r="P836" s="45" t="str">
        <f t="shared" si="9"/>
        <v/>
      </c>
    </row>
    <row r="837" spans="1:16" ht="18">
      <c r="A837" s="92" t="s">
        <v>5518</v>
      </c>
      <c r="B837" s="345">
        <v>2004</v>
      </c>
      <c r="C837" s="92"/>
      <c r="D837" s="345">
        <v>15185569</v>
      </c>
      <c r="E837" s="278" t="str">
        <f t="shared" si="2"/>
        <v>https://pubmed.ncbi.nlm.nih.gov/?term=15185569</v>
      </c>
      <c r="F837" s="28" t="s">
        <v>511</v>
      </c>
      <c r="G837" s="28" t="s">
        <v>4346</v>
      </c>
      <c r="J837" s="346" t="str">
        <f t="shared" si="3"/>
        <v/>
      </c>
      <c r="K837" s="28" t="str">
        <f t="shared" si="4"/>
        <v/>
      </c>
      <c r="L837" s="45">
        <f t="shared" si="5"/>
        <v>1</v>
      </c>
      <c r="M837" s="45" t="str">
        <f t="shared" si="6"/>
        <v/>
      </c>
      <c r="N837" s="45" t="str">
        <f t="shared" si="7"/>
        <v/>
      </c>
      <c r="O837" s="45" t="str">
        <f t="shared" si="8"/>
        <v/>
      </c>
      <c r="P837" s="45" t="str">
        <f t="shared" si="9"/>
        <v/>
      </c>
    </row>
    <row r="838" spans="1:16" ht="18">
      <c r="A838" s="92" t="s">
        <v>5519</v>
      </c>
      <c r="B838" s="345">
        <v>2003</v>
      </c>
      <c r="C838" s="92"/>
      <c r="D838" s="345">
        <v>12698018</v>
      </c>
      <c r="E838" s="278" t="str">
        <f t="shared" si="2"/>
        <v>https://pubmed.ncbi.nlm.nih.gov/?term=12698018</v>
      </c>
      <c r="F838" s="28" t="s">
        <v>511</v>
      </c>
      <c r="G838" s="28" t="s">
        <v>5339</v>
      </c>
      <c r="J838" s="346" t="str">
        <f t="shared" si="3"/>
        <v/>
      </c>
      <c r="K838" s="28" t="str">
        <f t="shared" si="4"/>
        <v/>
      </c>
      <c r="L838" s="45">
        <f t="shared" si="5"/>
        <v>1</v>
      </c>
      <c r="M838" s="45" t="str">
        <f t="shared" si="6"/>
        <v/>
      </c>
      <c r="N838" s="45" t="str">
        <f t="shared" si="7"/>
        <v/>
      </c>
      <c r="O838" s="45" t="str">
        <f t="shared" si="8"/>
        <v/>
      </c>
      <c r="P838" s="45" t="str">
        <f t="shared" si="9"/>
        <v/>
      </c>
    </row>
    <row r="839" spans="1:16" ht="18">
      <c r="A839" s="92" t="s">
        <v>5520</v>
      </c>
      <c r="B839" s="345">
        <v>2002</v>
      </c>
      <c r="C839" s="92"/>
      <c r="D839" s="345">
        <v>11790667</v>
      </c>
      <c r="E839" s="278" t="str">
        <f t="shared" si="2"/>
        <v>https://pubmed.ncbi.nlm.nih.gov/?term=11790667</v>
      </c>
      <c r="F839" s="28" t="s">
        <v>511</v>
      </c>
      <c r="G839" s="28" t="s">
        <v>4867</v>
      </c>
      <c r="J839" s="346" t="str">
        <f t="shared" si="3"/>
        <v/>
      </c>
      <c r="K839" s="28" t="str">
        <f t="shared" si="4"/>
        <v/>
      </c>
      <c r="L839" s="45" t="str">
        <f t="shared" si="5"/>
        <v/>
      </c>
      <c r="M839" s="45" t="str">
        <f t="shared" si="6"/>
        <v/>
      </c>
      <c r="N839" s="45">
        <f t="shared" si="7"/>
        <v>1</v>
      </c>
      <c r="O839" s="45" t="str">
        <f t="shared" si="8"/>
        <v/>
      </c>
      <c r="P839" s="45" t="str">
        <f t="shared" si="9"/>
        <v/>
      </c>
    </row>
    <row r="840" spans="1:16" ht="18">
      <c r="A840" s="92" t="s">
        <v>5521</v>
      </c>
      <c r="B840" s="345">
        <v>2006</v>
      </c>
      <c r="C840" s="92"/>
      <c r="D840" s="345">
        <v>16929910</v>
      </c>
      <c r="E840" s="278" t="str">
        <f t="shared" si="2"/>
        <v>https://pubmed.ncbi.nlm.nih.gov/?term=16929910</v>
      </c>
      <c r="F840" s="28" t="s">
        <v>511</v>
      </c>
      <c r="G840" s="28" t="s">
        <v>4587</v>
      </c>
      <c r="J840" s="346" t="str">
        <f t="shared" si="3"/>
        <v/>
      </c>
      <c r="K840" s="28" t="str">
        <f t="shared" si="4"/>
        <v/>
      </c>
      <c r="L840" s="45" t="str">
        <f t="shared" si="5"/>
        <v/>
      </c>
      <c r="M840" s="45">
        <f t="shared" si="6"/>
        <v>1</v>
      </c>
      <c r="N840" s="45" t="str">
        <f t="shared" si="7"/>
        <v/>
      </c>
      <c r="O840" s="45" t="str">
        <f t="shared" si="8"/>
        <v/>
      </c>
      <c r="P840" s="45" t="str">
        <f t="shared" si="9"/>
        <v/>
      </c>
    </row>
    <row r="841" spans="1:16" ht="18">
      <c r="A841" s="92" t="s">
        <v>4906</v>
      </c>
      <c r="B841" s="345">
        <v>2000</v>
      </c>
      <c r="C841" s="92"/>
      <c r="D841" s="345">
        <v>11153621</v>
      </c>
      <c r="E841" s="278" t="str">
        <f t="shared" si="2"/>
        <v>https://pubmed.ncbi.nlm.nih.gov/?term=11153621</v>
      </c>
      <c r="F841" s="28" t="s">
        <v>511</v>
      </c>
      <c r="G841" s="28" t="s">
        <v>4867</v>
      </c>
      <c r="J841" s="346" t="str">
        <f t="shared" si="3"/>
        <v/>
      </c>
      <c r="K841" s="28" t="str">
        <f t="shared" si="4"/>
        <v/>
      </c>
      <c r="L841" s="45" t="str">
        <f t="shared" si="5"/>
        <v/>
      </c>
      <c r="M841" s="45" t="str">
        <f t="shared" si="6"/>
        <v/>
      </c>
      <c r="N841" s="45">
        <f t="shared" si="7"/>
        <v>1</v>
      </c>
      <c r="O841" s="45" t="str">
        <f t="shared" si="8"/>
        <v/>
      </c>
      <c r="P841" s="45" t="str">
        <f t="shared" si="9"/>
        <v/>
      </c>
    </row>
    <row r="842" spans="1:16" ht="18">
      <c r="A842" s="92" t="s">
        <v>5522</v>
      </c>
      <c r="B842" s="345">
        <v>2001</v>
      </c>
      <c r="C842" s="92"/>
      <c r="D842" s="345">
        <v>11419827</v>
      </c>
      <c r="E842" s="278" t="str">
        <f t="shared" si="2"/>
        <v>https://pubmed.ncbi.nlm.nih.gov/?term=11419827</v>
      </c>
      <c r="F842" s="28" t="s">
        <v>511</v>
      </c>
      <c r="G842" s="28" t="s">
        <v>4867</v>
      </c>
      <c r="J842" s="346" t="str">
        <f t="shared" si="3"/>
        <v/>
      </c>
      <c r="K842" s="28" t="str">
        <f t="shared" si="4"/>
        <v/>
      </c>
      <c r="L842" s="45" t="str">
        <f t="shared" si="5"/>
        <v/>
      </c>
      <c r="M842" s="45" t="str">
        <f t="shared" si="6"/>
        <v/>
      </c>
      <c r="N842" s="45">
        <f t="shared" si="7"/>
        <v>1</v>
      </c>
      <c r="O842" s="45" t="str">
        <f t="shared" si="8"/>
        <v/>
      </c>
      <c r="P842" s="45" t="str">
        <f t="shared" si="9"/>
        <v/>
      </c>
    </row>
    <row r="843" spans="1:16" ht="18">
      <c r="A843" s="92" t="s">
        <v>5523</v>
      </c>
      <c r="B843" s="345">
        <v>2004</v>
      </c>
      <c r="C843" s="92"/>
      <c r="D843" s="345">
        <v>14688360</v>
      </c>
      <c r="E843" s="278" t="str">
        <f t="shared" si="2"/>
        <v>https://pubmed.ncbi.nlm.nih.gov/?term=14688360</v>
      </c>
      <c r="F843" s="28" t="s">
        <v>511</v>
      </c>
      <c r="G843" s="28" t="s">
        <v>4346</v>
      </c>
      <c r="J843" s="346" t="str">
        <f t="shared" si="3"/>
        <v/>
      </c>
      <c r="K843" s="28" t="str">
        <f t="shared" si="4"/>
        <v/>
      </c>
      <c r="L843" s="45">
        <f t="shared" si="5"/>
        <v>1</v>
      </c>
      <c r="M843" s="45" t="str">
        <f t="shared" si="6"/>
        <v/>
      </c>
      <c r="N843" s="45" t="str">
        <f t="shared" si="7"/>
        <v/>
      </c>
      <c r="O843" s="45" t="str">
        <f t="shared" si="8"/>
        <v/>
      </c>
      <c r="P843" s="45" t="str">
        <f t="shared" si="9"/>
        <v/>
      </c>
    </row>
    <row r="844" spans="1:16" ht="18">
      <c r="A844" s="92" t="s">
        <v>5524</v>
      </c>
      <c r="B844" s="345">
        <v>2001</v>
      </c>
      <c r="C844" s="92"/>
      <c r="D844" s="345">
        <v>11592918</v>
      </c>
      <c r="E844" s="278" t="str">
        <f t="shared" si="2"/>
        <v>https://pubmed.ncbi.nlm.nih.gov/?term=11592918</v>
      </c>
      <c r="F844" s="28" t="s">
        <v>511</v>
      </c>
      <c r="G844" s="28" t="s">
        <v>4628</v>
      </c>
      <c r="J844" s="346" t="str">
        <f t="shared" si="3"/>
        <v/>
      </c>
      <c r="K844" s="28" t="str">
        <f t="shared" si="4"/>
        <v/>
      </c>
      <c r="L844" s="45" t="str">
        <f t="shared" si="5"/>
        <v/>
      </c>
      <c r="M844" s="45" t="str">
        <f t="shared" si="6"/>
        <v/>
      </c>
      <c r="N844" s="45" t="str">
        <f t="shared" si="7"/>
        <v/>
      </c>
      <c r="O844" s="45">
        <f t="shared" si="8"/>
        <v>1</v>
      </c>
      <c r="P844" s="45" t="str">
        <f t="shared" si="9"/>
        <v/>
      </c>
    </row>
    <row r="845" spans="1:16" ht="18">
      <c r="A845" s="92" t="s">
        <v>2472</v>
      </c>
      <c r="B845" s="345">
        <v>2010</v>
      </c>
      <c r="C845" s="92"/>
      <c r="D845" s="345">
        <v>21244738</v>
      </c>
      <c r="E845" s="278" t="str">
        <f t="shared" si="2"/>
        <v>https://pubmed.ncbi.nlm.nih.gov/?term=21244738</v>
      </c>
      <c r="H845" s="28" t="s">
        <v>511</v>
      </c>
      <c r="J845" s="346" t="str">
        <f t="shared" si="3"/>
        <v/>
      </c>
      <c r="K845" s="28" t="str">
        <f t="shared" si="4"/>
        <v/>
      </c>
      <c r="L845" s="45" t="str">
        <f t="shared" si="5"/>
        <v/>
      </c>
      <c r="M845" s="45" t="str">
        <f t="shared" si="6"/>
        <v/>
      </c>
      <c r="N845" s="45" t="str">
        <f t="shared" si="7"/>
        <v/>
      </c>
      <c r="O845" s="45" t="str">
        <f t="shared" si="8"/>
        <v/>
      </c>
      <c r="P845" s="45" t="str">
        <f t="shared" si="9"/>
        <v/>
      </c>
    </row>
    <row r="846" spans="1:16" ht="18">
      <c r="A846" s="92" t="s">
        <v>4354</v>
      </c>
      <c r="B846" s="345">
        <v>2009</v>
      </c>
      <c r="C846" s="92"/>
      <c r="D846" s="345">
        <v>18643847</v>
      </c>
      <c r="E846" s="278" t="str">
        <f t="shared" si="2"/>
        <v>https://pubmed.ncbi.nlm.nih.gov/?term=18643847</v>
      </c>
      <c r="H846" s="28" t="s">
        <v>511</v>
      </c>
      <c r="J846" s="346" t="str">
        <f t="shared" si="3"/>
        <v/>
      </c>
      <c r="K846" s="28" t="str">
        <f t="shared" si="4"/>
        <v/>
      </c>
      <c r="L846" s="45" t="str">
        <f t="shared" si="5"/>
        <v/>
      </c>
      <c r="M846" s="45" t="str">
        <f t="shared" si="6"/>
        <v/>
      </c>
      <c r="N846" s="45" t="str">
        <f t="shared" si="7"/>
        <v/>
      </c>
      <c r="O846" s="45" t="str">
        <f t="shared" si="8"/>
        <v/>
      </c>
      <c r="P846" s="45" t="str">
        <f t="shared" si="9"/>
        <v/>
      </c>
    </row>
    <row r="847" spans="1:16" ht="18">
      <c r="A847" s="92" t="s">
        <v>5525</v>
      </c>
      <c r="B847" s="345">
        <v>2011</v>
      </c>
      <c r="C847" s="92"/>
      <c r="D847" s="345">
        <v>20970433</v>
      </c>
      <c r="E847" s="278" t="str">
        <f t="shared" si="2"/>
        <v>https://pubmed.ncbi.nlm.nih.gov/?term=20970433</v>
      </c>
      <c r="F847" s="28" t="s">
        <v>511</v>
      </c>
      <c r="G847" s="28" t="s">
        <v>5526</v>
      </c>
      <c r="J847" s="346" t="str">
        <f t="shared" si="3"/>
        <v/>
      </c>
      <c r="K847" s="28" t="str">
        <f t="shared" si="4"/>
        <v/>
      </c>
      <c r="L847" s="45" t="str">
        <f t="shared" si="5"/>
        <v/>
      </c>
      <c r="M847" s="45" t="str">
        <f t="shared" si="6"/>
        <v/>
      </c>
      <c r="N847" s="45" t="str">
        <f t="shared" si="7"/>
        <v/>
      </c>
      <c r="O847" s="45">
        <f t="shared" si="8"/>
        <v>1</v>
      </c>
      <c r="P847" s="45" t="str">
        <f t="shared" si="9"/>
        <v/>
      </c>
    </row>
    <row r="848" spans="1:16" ht="18">
      <c r="A848" s="92" t="s">
        <v>5527</v>
      </c>
      <c r="B848" s="345">
        <v>2007</v>
      </c>
      <c r="C848" s="92"/>
      <c r="D848" s="345">
        <v>18004256</v>
      </c>
      <c r="E848" s="278" t="str">
        <f t="shared" si="2"/>
        <v>https://pubmed.ncbi.nlm.nih.gov/?term=18004256</v>
      </c>
      <c r="F848" s="28" t="s">
        <v>511</v>
      </c>
      <c r="G848" s="28" t="s">
        <v>5349</v>
      </c>
      <c r="J848" s="346" t="str">
        <f t="shared" si="3"/>
        <v/>
      </c>
      <c r="K848" s="28" t="str">
        <f t="shared" si="4"/>
        <v/>
      </c>
      <c r="L848" s="45" t="str">
        <f t="shared" si="5"/>
        <v/>
      </c>
      <c r="M848" s="45" t="str">
        <f t="shared" si="6"/>
        <v/>
      </c>
      <c r="N848" s="45">
        <f t="shared" si="7"/>
        <v>1</v>
      </c>
      <c r="O848" s="45" t="str">
        <f t="shared" si="8"/>
        <v/>
      </c>
      <c r="P848" s="45" t="str">
        <f t="shared" si="9"/>
        <v/>
      </c>
    </row>
    <row r="849" spans="1:16" ht="18">
      <c r="A849" s="92" t="s">
        <v>5528</v>
      </c>
      <c r="B849" s="345">
        <v>2008</v>
      </c>
      <c r="C849" s="92" t="s">
        <v>5529</v>
      </c>
      <c r="D849" s="345">
        <v>18195059</v>
      </c>
      <c r="E849" s="278" t="str">
        <f t="shared" si="2"/>
        <v>https://pubmed.ncbi.nlm.nih.gov/?term=18195059</v>
      </c>
      <c r="F849" s="28" t="s">
        <v>511</v>
      </c>
      <c r="G849" s="28" t="s">
        <v>4346</v>
      </c>
      <c r="J849" s="346" t="str">
        <f t="shared" si="3"/>
        <v/>
      </c>
      <c r="K849" s="28" t="str">
        <f t="shared" si="4"/>
        <v/>
      </c>
      <c r="L849" s="45">
        <f t="shared" si="5"/>
        <v>1</v>
      </c>
      <c r="M849" s="45" t="str">
        <f t="shared" si="6"/>
        <v/>
      </c>
      <c r="N849" s="45" t="str">
        <f t="shared" si="7"/>
        <v/>
      </c>
      <c r="O849" s="45" t="str">
        <f t="shared" si="8"/>
        <v/>
      </c>
      <c r="P849" s="45" t="str">
        <f t="shared" si="9"/>
        <v/>
      </c>
    </row>
    <row r="850" spans="1:16" ht="18">
      <c r="A850" s="92" t="s">
        <v>5530</v>
      </c>
      <c r="B850" s="345">
        <v>2003</v>
      </c>
      <c r="C850" s="92" t="s">
        <v>5531</v>
      </c>
      <c r="D850" s="345">
        <v>14633632</v>
      </c>
      <c r="E850" s="278" t="str">
        <f t="shared" si="2"/>
        <v>https://pubmed.ncbi.nlm.nih.gov/?term=14633632</v>
      </c>
      <c r="F850" s="28" t="s">
        <v>511</v>
      </c>
      <c r="G850" s="28" t="s">
        <v>4346</v>
      </c>
      <c r="J850" s="346" t="str">
        <f t="shared" si="3"/>
        <v/>
      </c>
      <c r="K850" s="28" t="str">
        <f t="shared" si="4"/>
        <v/>
      </c>
      <c r="L850" s="45">
        <f t="shared" si="5"/>
        <v>1</v>
      </c>
      <c r="M850" s="45" t="str">
        <f t="shared" si="6"/>
        <v/>
      </c>
      <c r="N850" s="45" t="str">
        <f t="shared" si="7"/>
        <v/>
      </c>
      <c r="O850" s="45" t="str">
        <f t="shared" si="8"/>
        <v/>
      </c>
      <c r="P850" s="45" t="str">
        <f t="shared" si="9"/>
        <v/>
      </c>
    </row>
    <row r="851" spans="1:16" ht="18">
      <c r="A851" s="92" t="s">
        <v>5532</v>
      </c>
      <c r="B851" s="345">
        <v>2008</v>
      </c>
      <c r="C851" s="92" t="s">
        <v>5533</v>
      </c>
      <c r="D851" s="345">
        <v>17964595</v>
      </c>
      <c r="E851" s="278" t="str">
        <f t="shared" si="2"/>
        <v>https://pubmed.ncbi.nlm.nih.gov/?term=17964595</v>
      </c>
      <c r="F851" s="28" t="s">
        <v>511</v>
      </c>
      <c r="G851" s="28" t="s">
        <v>5349</v>
      </c>
      <c r="J851" s="346" t="str">
        <f t="shared" si="3"/>
        <v/>
      </c>
      <c r="K851" s="28" t="str">
        <f t="shared" si="4"/>
        <v/>
      </c>
      <c r="L851" s="45" t="str">
        <f t="shared" si="5"/>
        <v/>
      </c>
      <c r="M851" s="45" t="str">
        <f t="shared" si="6"/>
        <v/>
      </c>
      <c r="N851" s="45">
        <f t="shared" si="7"/>
        <v>1</v>
      </c>
      <c r="O851" s="45" t="str">
        <f t="shared" si="8"/>
        <v/>
      </c>
      <c r="P851" s="45" t="str">
        <f t="shared" si="9"/>
        <v/>
      </c>
    </row>
    <row r="852" spans="1:16" ht="18">
      <c r="A852" s="92" t="s">
        <v>5534</v>
      </c>
      <c r="B852" s="345">
        <v>2008</v>
      </c>
      <c r="C852" s="92"/>
      <c r="D852" s="345">
        <v>18272752</v>
      </c>
      <c r="E852" s="278" t="str">
        <f t="shared" si="2"/>
        <v>https://pubmed.ncbi.nlm.nih.gov/?term=18272752</v>
      </c>
      <c r="F852" s="28" t="s">
        <v>511</v>
      </c>
      <c r="G852" s="28" t="s">
        <v>4346</v>
      </c>
      <c r="J852" s="346" t="str">
        <f t="shared" si="3"/>
        <v/>
      </c>
      <c r="K852" s="28" t="str">
        <f t="shared" si="4"/>
        <v/>
      </c>
      <c r="L852" s="45">
        <f t="shared" si="5"/>
        <v>1</v>
      </c>
      <c r="M852" s="45" t="str">
        <f t="shared" si="6"/>
        <v/>
      </c>
      <c r="N852" s="45" t="str">
        <f t="shared" si="7"/>
        <v/>
      </c>
      <c r="O852" s="45" t="str">
        <f t="shared" si="8"/>
        <v/>
      </c>
      <c r="P852" s="45" t="str">
        <f t="shared" si="9"/>
        <v/>
      </c>
    </row>
    <row r="853" spans="1:16" ht="18">
      <c r="A853" s="92" t="s">
        <v>5535</v>
      </c>
      <c r="B853" s="345">
        <v>2009</v>
      </c>
      <c r="C853" s="92"/>
      <c r="D853" s="345">
        <v>18635321</v>
      </c>
      <c r="E853" s="278" t="str">
        <f t="shared" si="2"/>
        <v>https://pubmed.ncbi.nlm.nih.gov/?term=18635321</v>
      </c>
      <c r="F853" s="28" t="s">
        <v>511</v>
      </c>
      <c r="G853" s="28" t="s">
        <v>4346</v>
      </c>
      <c r="J853" s="346" t="str">
        <f t="shared" si="3"/>
        <v/>
      </c>
      <c r="K853" s="28" t="str">
        <f t="shared" si="4"/>
        <v/>
      </c>
      <c r="L853" s="45">
        <f t="shared" si="5"/>
        <v>1</v>
      </c>
      <c r="M853" s="45" t="str">
        <f t="shared" si="6"/>
        <v/>
      </c>
      <c r="N853" s="45" t="str">
        <f t="shared" si="7"/>
        <v/>
      </c>
      <c r="O853" s="45" t="str">
        <f t="shared" si="8"/>
        <v/>
      </c>
      <c r="P853" s="45" t="str">
        <f t="shared" si="9"/>
        <v/>
      </c>
    </row>
    <row r="854" spans="1:16" ht="18">
      <c r="A854" s="92" t="s">
        <v>5536</v>
      </c>
      <c r="B854" s="345">
        <v>2006</v>
      </c>
      <c r="C854" s="92"/>
      <c r="D854" s="345">
        <v>17242486</v>
      </c>
      <c r="E854" s="278" t="str">
        <f t="shared" si="2"/>
        <v>https://pubmed.ncbi.nlm.nih.gov/?term=17242486</v>
      </c>
      <c r="F854" s="28" t="s">
        <v>511</v>
      </c>
      <c r="G854" s="28" t="s">
        <v>5349</v>
      </c>
      <c r="J854" s="346" t="str">
        <f t="shared" si="3"/>
        <v/>
      </c>
      <c r="K854" s="28" t="str">
        <f t="shared" si="4"/>
        <v/>
      </c>
      <c r="L854" s="45" t="str">
        <f t="shared" si="5"/>
        <v/>
      </c>
      <c r="M854" s="45" t="str">
        <f t="shared" si="6"/>
        <v/>
      </c>
      <c r="N854" s="45">
        <f t="shared" si="7"/>
        <v>1</v>
      </c>
      <c r="O854" s="45" t="str">
        <f t="shared" si="8"/>
        <v/>
      </c>
      <c r="P854" s="45" t="str">
        <f t="shared" si="9"/>
        <v/>
      </c>
    </row>
    <row r="855" spans="1:16" ht="18">
      <c r="A855" s="92" t="s">
        <v>5525</v>
      </c>
      <c r="B855" s="345">
        <v>2010</v>
      </c>
      <c r="C855" s="92" t="s">
        <v>5537</v>
      </c>
      <c r="D855" s="345">
        <v>21124892</v>
      </c>
      <c r="E855" s="278" t="str">
        <f t="shared" si="2"/>
        <v>https://pubmed.ncbi.nlm.nih.gov/?term=21124892</v>
      </c>
      <c r="F855" s="28" t="s">
        <v>511</v>
      </c>
      <c r="G855" s="28" t="s">
        <v>5349</v>
      </c>
      <c r="J855" s="346" t="str">
        <f t="shared" si="3"/>
        <v/>
      </c>
      <c r="K855" s="28" t="str">
        <f t="shared" si="4"/>
        <v/>
      </c>
      <c r="L855" s="45" t="str">
        <f t="shared" si="5"/>
        <v/>
      </c>
      <c r="M855" s="45" t="str">
        <f t="shared" si="6"/>
        <v/>
      </c>
      <c r="N855" s="45">
        <f t="shared" si="7"/>
        <v>1</v>
      </c>
      <c r="O855" s="45" t="str">
        <f t="shared" si="8"/>
        <v/>
      </c>
      <c r="P855" s="45" t="str">
        <f t="shared" si="9"/>
        <v/>
      </c>
    </row>
    <row r="856" spans="1:16" ht="18">
      <c r="A856" s="92" t="s">
        <v>5538</v>
      </c>
      <c r="B856" s="345">
        <v>2005</v>
      </c>
      <c r="C856" s="92"/>
      <c r="D856" s="345">
        <v>16284329</v>
      </c>
      <c r="E856" s="278" t="str">
        <f t="shared" si="2"/>
        <v>https://pubmed.ncbi.nlm.nih.gov/?term=16284329</v>
      </c>
      <c r="F856" s="28" t="s">
        <v>511</v>
      </c>
      <c r="G856" s="28" t="s">
        <v>4346</v>
      </c>
      <c r="J856" s="346" t="str">
        <f t="shared" si="3"/>
        <v/>
      </c>
      <c r="K856" s="28" t="str">
        <f t="shared" si="4"/>
        <v/>
      </c>
      <c r="L856" s="45">
        <f t="shared" si="5"/>
        <v>1</v>
      </c>
      <c r="M856" s="45" t="str">
        <f t="shared" si="6"/>
        <v/>
      </c>
      <c r="N856" s="45" t="str">
        <f t="shared" si="7"/>
        <v/>
      </c>
      <c r="O856" s="45" t="str">
        <f t="shared" si="8"/>
        <v/>
      </c>
      <c r="P856" s="45" t="str">
        <f t="shared" si="9"/>
        <v/>
      </c>
    </row>
    <row r="857" spans="1:16" ht="18">
      <c r="A857" s="92" t="s">
        <v>5539</v>
      </c>
      <c r="B857" s="345">
        <v>2008</v>
      </c>
      <c r="C857" s="92"/>
      <c r="D857" s="345">
        <v>19086692</v>
      </c>
      <c r="E857" s="278" t="str">
        <f t="shared" si="2"/>
        <v>https://pubmed.ncbi.nlm.nih.gov/?term=19086692</v>
      </c>
      <c r="F857" s="28" t="s">
        <v>511</v>
      </c>
      <c r="G857" s="28" t="s">
        <v>4346</v>
      </c>
      <c r="J857" s="346" t="str">
        <f t="shared" si="3"/>
        <v/>
      </c>
      <c r="K857" s="28" t="str">
        <f t="shared" si="4"/>
        <v/>
      </c>
      <c r="L857" s="45">
        <f t="shared" si="5"/>
        <v>1</v>
      </c>
      <c r="M857" s="45" t="str">
        <f t="shared" si="6"/>
        <v/>
      </c>
      <c r="N857" s="45" t="str">
        <f t="shared" si="7"/>
        <v/>
      </c>
      <c r="O857" s="45" t="str">
        <f t="shared" si="8"/>
        <v/>
      </c>
      <c r="P857" s="45" t="str">
        <f t="shared" si="9"/>
        <v/>
      </c>
    </row>
    <row r="858" spans="1:16" ht="18">
      <c r="A858" s="92" t="s">
        <v>5540</v>
      </c>
      <c r="B858" s="345">
        <v>2004</v>
      </c>
      <c r="C858" s="92"/>
      <c r="D858" s="345">
        <v>15193917</v>
      </c>
      <c r="E858" s="278" t="str">
        <f t="shared" si="2"/>
        <v>https://pubmed.ncbi.nlm.nih.gov/?term=15193917</v>
      </c>
      <c r="F858" s="28" t="s">
        <v>511</v>
      </c>
      <c r="G858" s="28" t="s">
        <v>5339</v>
      </c>
      <c r="J858" s="346" t="str">
        <f t="shared" si="3"/>
        <v/>
      </c>
      <c r="K858" s="28" t="str">
        <f t="shared" si="4"/>
        <v/>
      </c>
      <c r="L858" s="45">
        <f t="shared" si="5"/>
        <v>1</v>
      </c>
      <c r="M858" s="45" t="str">
        <f t="shared" si="6"/>
        <v/>
      </c>
      <c r="N858" s="45" t="str">
        <f t="shared" si="7"/>
        <v/>
      </c>
      <c r="O858" s="45" t="str">
        <f t="shared" si="8"/>
        <v/>
      </c>
      <c r="P858" s="45" t="str">
        <f t="shared" si="9"/>
        <v/>
      </c>
    </row>
    <row r="859" spans="1:16" ht="18">
      <c r="A859" s="92" t="s">
        <v>5541</v>
      </c>
      <c r="B859" s="345">
        <v>2006</v>
      </c>
      <c r="C859" s="92"/>
      <c r="D859" s="345">
        <v>16671442</v>
      </c>
      <c r="E859" s="278" t="str">
        <f t="shared" si="2"/>
        <v>https://pubmed.ncbi.nlm.nih.gov/?term=16671442</v>
      </c>
      <c r="F859" s="28" t="s">
        <v>511</v>
      </c>
      <c r="G859" s="28" t="s">
        <v>4346</v>
      </c>
      <c r="J859" s="346" t="str">
        <f t="shared" si="3"/>
        <v/>
      </c>
      <c r="K859" s="28" t="str">
        <f t="shared" si="4"/>
        <v/>
      </c>
      <c r="L859" s="45">
        <f t="shared" si="5"/>
        <v>1</v>
      </c>
      <c r="M859" s="45" t="str">
        <f t="shared" si="6"/>
        <v/>
      </c>
      <c r="N859" s="45" t="str">
        <f t="shared" si="7"/>
        <v/>
      </c>
      <c r="O859" s="45" t="str">
        <f t="shared" si="8"/>
        <v/>
      </c>
      <c r="P859" s="45" t="str">
        <f t="shared" si="9"/>
        <v/>
      </c>
    </row>
    <row r="860" spans="1:16" ht="18">
      <c r="A860" s="92" t="s">
        <v>5542</v>
      </c>
      <c r="B860" s="345">
        <v>2006</v>
      </c>
      <c r="C860" s="92"/>
      <c r="D860" s="345">
        <v>16854590</v>
      </c>
      <c r="E860" s="278" t="str">
        <f t="shared" si="2"/>
        <v>https://pubmed.ncbi.nlm.nih.gov/?term=16854590</v>
      </c>
      <c r="F860" s="28" t="s">
        <v>511</v>
      </c>
      <c r="G860" s="28" t="s">
        <v>4346</v>
      </c>
      <c r="J860" s="346" t="str">
        <f t="shared" si="3"/>
        <v/>
      </c>
      <c r="K860" s="28" t="str">
        <f t="shared" si="4"/>
        <v/>
      </c>
      <c r="L860" s="45">
        <f t="shared" si="5"/>
        <v>1</v>
      </c>
      <c r="M860" s="45" t="str">
        <f t="shared" si="6"/>
        <v/>
      </c>
      <c r="N860" s="45" t="str">
        <f t="shared" si="7"/>
        <v/>
      </c>
      <c r="O860" s="45" t="str">
        <f t="shared" si="8"/>
        <v/>
      </c>
      <c r="P860" s="45" t="str">
        <f t="shared" si="9"/>
        <v/>
      </c>
    </row>
    <row r="861" spans="1:16" ht="18">
      <c r="A861" s="92" t="s">
        <v>5543</v>
      </c>
      <c r="B861" s="345">
        <v>2004</v>
      </c>
      <c r="C861" s="92"/>
      <c r="D861" s="345">
        <v>15291120</v>
      </c>
      <c r="E861" s="278" t="str">
        <f t="shared" si="2"/>
        <v>https://pubmed.ncbi.nlm.nih.gov/?term=15291120</v>
      </c>
      <c r="F861" s="28" t="s">
        <v>511</v>
      </c>
      <c r="G861" s="28" t="s">
        <v>4346</v>
      </c>
      <c r="J861" s="346" t="str">
        <f t="shared" si="3"/>
        <v/>
      </c>
      <c r="K861" s="28" t="str">
        <f t="shared" si="4"/>
        <v/>
      </c>
      <c r="L861" s="45">
        <f t="shared" si="5"/>
        <v>1</v>
      </c>
      <c r="M861" s="45" t="str">
        <f t="shared" si="6"/>
        <v/>
      </c>
      <c r="N861" s="45" t="str">
        <f t="shared" si="7"/>
        <v/>
      </c>
      <c r="O861" s="45" t="str">
        <f t="shared" si="8"/>
        <v/>
      </c>
      <c r="P861" s="45" t="str">
        <f t="shared" si="9"/>
        <v/>
      </c>
    </row>
    <row r="862" spans="1:16" ht="18">
      <c r="A862" s="92" t="s">
        <v>5544</v>
      </c>
      <c r="B862" s="345">
        <v>2001</v>
      </c>
      <c r="C862" s="92"/>
      <c r="D862" s="345">
        <v>11249088</v>
      </c>
      <c r="E862" s="278" t="str">
        <f t="shared" si="2"/>
        <v>https://pubmed.ncbi.nlm.nih.gov/?term=11249088</v>
      </c>
      <c r="F862" s="28" t="s">
        <v>511</v>
      </c>
      <c r="G862" s="28" t="s">
        <v>4346</v>
      </c>
      <c r="J862" s="346" t="str">
        <f t="shared" si="3"/>
        <v/>
      </c>
      <c r="K862" s="28" t="str">
        <f t="shared" si="4"/>
        <v/>
      </c>
      <c r="L862" s="45">
        <f t="shared" si="5"/>
        <v>1</v>
      </c>
      <c r="M862" s="45" t="str">
        <f t="shared" si="6"/>
        <v/>
      </c>
      <c r="N862" s="45" t="str">
        <f t="shared" si="7"/>
        <v/>
      </c>
      <c r="O862" s="45" t="str">
        <f t="shared" si="8"/>
        <v/>
      </c>
      <c r="P862" s="45" t="str">
        <f t="shared" si="9"/>
        <v/>
      </c>
    </row>
    <row r="863" spans="1:16" ht="18">
      <c r="A863" s="92" t="s">
        <v>5464</v>
      </c>
      <c r="B863" s="345">
        <v>2007</v>
      </c>
      <c r="C863" s="92"/>
      <c r="D863" s="345">
        <v>17339913</v>
      </c>
      <c r="E863" s="278" t="str">
        <f t="shared" si="2"/>
        <v>https://pubmed.ncbi.nlm.nih.gov/?term=17339913</v>
      </c>
      <c r="F863" s="28" t="s">
        <v>511</v>
      </c>
      <c r="G863" s="28" t="s">
        <v>4346</v>
      </c>
      <c r="J863" s="346" t="str">
        <f t="shared" si="3"/>
        <v/>
      </c>
      <c r="K863" s="28" t="str">
        <f t="shared" si="4"/>
        <v/>
      </c>
      <c r="L863" s="45">
        <f t="shared" si="5"/>
        <v>1</v>
      </c>
      <c r="M863" s="45" t="str">
        <f t="shared" si="6"/>
        <v/>
      </c>
      <c r="N863" s="45" t="str">
        <f t="shared" si="7"/>
        <v/>
      </c>
      <c r="O863" s="45" t="str">
        <f t="shared" si="8"/>
        <v/>
      </c>
      <c r="P863" s="45" t="str">
        <f t="shared" si="9"/>
        <v/>
      </c>
    </row>
    <row r="864" spans="1:16" ht="18">
      <c r="A864" s="92" t="s">
        <v>5545</v>
      </c>
      <c r="B864" s="345">
        <v>2005</v>
      </c>
      <c r="C864" s="92"/>
      <c r="D864" s="345">
        <v>15759157</v>
      </c>
      <c r="E864" s="278" t="str">
        <f t="shared" si="2"/>
        <v>https://pubmed.ncbi.nlm.nih.gov/?term=15759157</v>
      </c>
      <c r="F864" s="28" t="s">
        <v>511</v>
      </c>
      <c r="G864" s="28" t="s">
        <v>4346</v>
      </c>
      <c r="J864" s="346" t="str">
        <f t="shared" si="3"/>
        <v/>
      </c>
      <c r="K864" s="28" t="str">
        <f t="shared" si="4"/>
        <v/>
      </c>
      <c r="L864" s="45">
        <f t="shared" si="5"/>
        <v>1</v>
      </c>
      <c r="M864" s="45" t="str">
        <f t="shared" si="6"/>
        <v/>
      </c>
      <c r="N864" s="45" t="str">
        <f t="shared" si="7"/>
        <v/>
      </c>
      <c r="O864" s="45" t="str">
        <f t="shared" si="8"/>
        <v/>
      </c>
      <c r="P864" s="45" t="str">
        <f t="shared" si="9"/>
        <v/>
      </c>
    </row>
    <row r="865" spans="1:16" ht="18">
      <c r="A865" s="92" t="s">
        <v>2091</v>
      </c>
      <c r="B865" s="345">
        <v>2000</v>
      </c>
      <c r="C865" s="92"/>
      <c r="D865" s="345">
        <v>10998316</v>
      </c>
      <c r="E865" s="278" t="str">
        <f t="shared" si="2"/>
        <v>https://pubmed.ncbi.nlm.nih.gov/?term=10998316</v>
      </c>
      <c r="H865" s="28" t="s">
        <v>511</v>
      </c>
      <c r="J865" s="346" t="str">
        <f t="shared" si="3"/>
        <v/>
      </c>
      <c r="K865" s="28" t="str">
        <f t="shared" si="4"/>
        <v/>
      </c>
      <c r="L865" s="45" t="str">
        <f t="shared" si="5"/>
        <v/>
      </c>
      <c r="M865" s="45" t="str">
        <f t="shared" si="6"/>
        <v/>
      </c>
      <c r="N865" s="45" t="str">
        <f t="shared" si="7"/>
        <v/>
      </c>
      <c r="O865" s="45" t="str">
        <f t="shared" si="8"/>
        <v/>
      </c>
      <c r="P865" s="45" t="str">
        <f t="shared" si="9"/>
        <v/>
      </c>
    </row>
    <row r="866" spans="1:16" ht="18">
      <c r="A866" s="92" t="s">
        <v>5546</v>
      </c>
      <c r="B866" s="345">
        <v>2007</v>
      </c>
      <c r="C866" s="92"/>
      <c r="D866" s="345">
        <v>17984254</v>
      </c>
      <c r="E866" s="278" t="str">
        <f t="shared" si="2"/>
        <v>https://pubmed.ncbi.nlm.nih.gov/?term=17984254</v>
      </c>
      <c r="F866" s="28" t="s">
        <v>511</v>
      </c>
      <c r="G866" s="28" t="s">
        <v>4346</v>
      </c>
      <c r="J866" s="346" t="str">
        <f t="shared" si="3"/>
        <v/>
      </c>
      <c r="K866" s="28" t="str">
        <f t="shared" si="4"/>
        <v/>
      </c>
      <c r="L866" s="45">
        <f t="shared" si="5"/>
        <v>1</v>
      </c>
      <c r="M866" s="45" t="str">
        <f t="shared" si="6"/>
        <v/>
      </c>
      <c r="N866" s="45" t="str">
        <f t="shared" si="7"/>
        <v/>
      </c>
      <c r="O866" s="45" t="str">
        <f t="shared" si="8"/>
        <v/>
      </c>
      <c r="P866" s="45" t="str">
        <f t="shared" si="9"/>
        <v/>
      </c>
    </row>
    <row r="867" spans="1:16" ht="18">
      <c r="A867" s="92" t="s">
        <v>5547</v>
      </c>
      <c r="B867" s="345">
        <v>2010</v>
      </c>
      <c r="C867" s="92"/>
      <c r="D867" s="345">
        <v>20381635</v>
      </c>
      <c r="E867" s="278" t="str">
        <f t="shared" si="2"/>
        <v>https://pubmed.ncbi.nlm.nih.gov/?term=20381635</v>
      </c>
      <c r="F867" s="28" t="s">
        <v>511</v>
      </c>
      <c r="G867" s="28" t="s">
        <v>4346</v>
      </c>
      <c r="J867" s="346" t="str">
        <f t="shared" si="3"/>
        <v/>
      </c>
      <c r="K867" s="28" t="str">
        <f t="shared" si="4"/>
        <v/>
      </c>
      <c r="L867" s="45">
        <f t="shared" si="5"/>
        <v>1</v>
      </c>
      <c r="M867" s="45" t="str">
        <f t="shared" si="6"/>
        <v/>
      </c>
      <c r="N867" s="45" t="str">
        <f t="shared" si="7"/>
        <v/>
      </c>
      <c r="O867" s="45" t="str">
        <f t="shared" si="8"/>
        <v/>
      </c>
      <c r="P867" s="45" t="str">
        <f t="shared" si="9"/>
        <v/>
      </c>
    </row>
    <row r="868" spans="1:16" ht="18">
      <c r="A868" s="92" t="s">
        <v>5548</v>
      </c>
      <c r="B868" s="345">
        <v>2001</v>
      </c>
      <c r="C868" s="92"/>
      <c r="D868" s="345">
        <v>11833296</v>
      </c>
      <c r="E868" s="278" t="str">
        <f t="shared" si="2"/>
        <v>https://pubmed.ncbi.nlm.nih.gov/?term=11833296</v>
      </c>
      <c r="F868" s="28" t="s">
        <v>511</v>
      </c>
      <c r="G868" s="28" t="s">
        <v>4346</v>
      </c>
      <c r="J868" s="346" t="str">
        <f t="shared" si="3"/>
        <v/>
      </c>
      <c r="K868" s="28" t="str">
        <f t="shared" si="4"/>
        <v/>
      </c>
      <c r="L868" s="45">
        <f t="shared" si="5"/>
        <v>1</v>
      </c>
      <c r="M868" s="45" t="str">
        <f t="shared" si="6"/>
        <v/>
      </c>
      <c r="N868" s="45" t="str">
        <f t="shared" si="7"/>
        <v/>
      </c>
      <c r="O868" s="45" t="str">
        <f t="shared" si="8"/>
        <v/>
      </c>
      <c r="P868" s="45" t="str">
        <f t="shared" si="9"/>
        <v/>
      </c>
    </row>
    <row r="869" spans="1:16" ht="18">
      <c r="A869" s="92" t="s">
        <v>5549</v>
      </c>
      <c r="B869" s="345">
        <v>2001</v>
      </c>
      <c r="C869" s="92"/>
      <c r="D869" s="345">
        <v>11222014</v>
      </c>
      <c r="E869" s="278" t="str">
        <f t="shared" si="2"/>
        <v>https://pubmed.ncbi.nlm.nih.gov/?term=11222014</v>
      </c>
      <c r="F869" s="28" t="s">
        <v>511</v>
      </c>
      <c r="G869" s="28" t="s">
        <v>4346</v>
      </c>
      <c r="J869" s="346" t="str">
        <f t="shared" si="3"/>
        <v/>
      </c>
      <c r="K869" s="28" t="str">
        <f t="shared" si="4"/>
        <v/>
      </c>
      <c r="L869" s="45">
        <f t="shared" si="5"/>
        <v>1</v>
      </c>
      <c r="M869" s="45" t="str">
        <f t="shared" si="6"/>
        <v/>
      </c>
      <c r="N869" s="45" t="str">
        <f t="shared" si="7"/>
        <v/>
      </c>
      <c r="O869" s="45" t="str">
        <f t="shared" si="8"/>
        <v/>
      </c>
      <c r="P869" s="45" t="str">
        <f t="shared" si="9"/>
        <v/>
      </c>
    </row>
    <row r="870" spans="1:16" ht="18">
      <c r="A870" s="92" t="s">
        <v>5550</v>
      </c>
      <c r="B870" s="345">
        <v>2009</v>
      </c>
      <c r="C870" s="92"/>
      <c r="D870" s="345">
        <v>19240531</v>
      </c>
      <c r="E870" s="278" t="str">
        <f t="shared" si="2"/>
        <v>https://pubmed.ncbi.nlm.nih.gov/?term=19240531</v>
      </c>
      <c r="F870" s="28" t="s">
        <v>511</v>
      </c>
      <c r="G870" s="28" t="s">
        <v>4346</v>
      </c>
      <c r="J870" s="346" t="str">
        <f t="shared" si="3"/>
        <v/>
      </c>
      <c r="K870" s="28" t="str">
        <f t="shared" si="4"/>
        <v/>
      </c>
      <c r="L870" s="45">
        <f t="shared" si="5"/>
        <v>1</v>
      </c>
      <c r="M870" s="45" t="str">
        <f t="shared" si="6"/>
        <v/>
      </c>
      <c r="N870" s="45" t="str">
        <f t="shared" si="7"/>
        <v/>
      </c>
      <c r="O870" s="45" t="str">
        <f t="shared" si="8"/>
        <v/>
      </c>
      <c r="P870" s="45" t="str">
        <f t="shared" si="9"/>
        <v/>
      </c>
    </row>
    <row r="871" spans="1:16" ht="18">
      <c r="A871" s="92" t="s">
        <v>5551</v>
      </c>
      <c r="B871" s="345">
        <v>2008</v>
      </c>
      <c r="C871" s="92"/>
      <c r="D871" s="345">
        <v>18538851</v>
      </c>
      <c r="E871" s="278" t="str">
        <f t="shared" si="2"/>
        <v>https://pubmed.ncbi.nlm.nih.gov/?term=18538851</v>
      </c>
      <c r="F871" s="28" t="s">
        <v>511</v>
      </c>
      <c r="G871" s="28" t="s">
        <v>4346</v>
      </c>
      <c r="J871" s="346" t="str">
        <f t="shared" si="3"/>
        <v/>
      </c>
      <c r="K871" s="28" t="str">
        <f t="shared" si="4"/>
        <v/>
      </c>
      <c r="L871" s="45">
        <f t="shared" si="5"/>
        <v>1</v>
      </c>
      <c r="M871" s="45" t="str">
        <f t="shared" si="6"/>
        <v/>
      </c>
      <c r="N871" s="45" t="str">
        <f t="shared" si="7"/>
        <v/>
      </c>
      <c r="O871" s="45" t="str">
        <f t="shared" si="8"/>
        <v/>
      </c>
      <c r="P871" s="45" t="str">
        <f t="shared" si="9"/>
        <v/>
      </c>
    </row>
    <row r="872" spans="1:16" ht="18">
      <c r="A872" s="92" t="s">
        <v>5552</v>
      </c>
      <c r="B872" s="345">
        <v>2010</v>
      </c>
      <c r="C872" s="92" t="s">
        <v>5553</v>
      </c>
      <c r="D872" s="345">
        <v>23074408</v>
      </c>
      <c r="E872" s="278" t="str">
        <f t="shared" si="2"/>
        <v>https://pubmed.ncbi.nlm.nih.gov/?term=23074408</v>
      </c>
      <c r="F872" s="28" t="s">
        <v>511</v>
      </c>
      <c r="G872" s="28" t="s">
        <v>5554</v>
      </c>
      <c r="J872" s="346" t="str">
        <f t="shared" si="3"/>
        <v/>
      </c>
      <c r="K872" s="28" t="str">
        <f t="shared" si="4"/>
        <v/>
      </c>
      <c r="L872" s="45" t="str">
        <f t="shared" si="5"/>
        <v/>
      </c>
      <c r="M872" s="45" t="str">
        <f t="shared" si="6"/>
        <v/>
      </c>
      <c r="N872" s="45" t="str">
        <f t="shared" si="7"/>
        <v/>
      </c>
      <c r="O872" s="45">
        <f t="shared" si="8"/>
        <v>1</v>
      </c>
      <c r="P872" s="45" t="str">
        <f t="shared" si="9"/>
        <v/>
      </c>
    </row>
    <row r="873" spans="1:16" ht="18">
      <c r="A873" s="92" t="s">
        <v>5055</v>
      </c>
      <c r="B873" s="345">
        <v>2002</v>
      </c>
      <c r="C873" s="92"/>
      <c r="D873" s="345">
        <v>12431867</v>
      </c>
      <c r="E873" s="278" t="str">
        <f t="shared" si="2"/>
        <v>https://pubmed.ncbi.nlm.nih.gov/?term=12431867</v>
      </c>
      <c r="F873" s="28" t="s">
        <v>511</v>
      </c>
      <c r="G873" s="28" t="s">
        <v>5555</v>
      </c>
      <c r="J873" s="346" t="str">
        <f t="shared" si="3"/>
        <v/>
      </c>
      <c r="K873" s="28" t="str">
        <f t="shared" si="4"/>
        <v/>
      </c>
      <c r="L873" s="45" t="str">
        <f t="shared" si="5"/>
        <v/>
      </c>
      <c r="M873" s="45" t="str">
        <f t="shared" si="6"/>
        <v/>
      </c>
      <c r="N873" s="45" t="str">
        <f t="shared" si="7"/>
        <v/>
      </c>
      <c r="O873" s="45">
        <f t="shared" si="8"/>
        <v>1</v>
      </c>
      <c r="P873" s="45" t="str">
        <f t="shared" si="9"/>
        <v/>
      </c>
    </row>
    <row r="874" spans="1:16" ht="18">
      <c r="A874" s="92" t="s">
        <v>5556</v>
      </c>
      <c r="B874" s="345">
        <v>2005</v>
      </c>
      <c r="C874" s="92"/>
      <c r="D874" s="345">
        <v>16094566</v>
      </c>
      <c r="E874" s="278" t="str">
        <f t="shared" si="2"/>
        <v>https://pubmed.ncbi.nlm.nih.gov/?term=16094566</v>
      </c>
      <c r="F874" s="28" t="s">
        <v>511</v>
      </c>
      <c r="G874" s="28" t="s">
        <v>4346</v>
      </c>
      <c r="J874" s="346" t="str">
        <f t="shared" si="3"/>
        <v/>
      </c>
      <c r="K874" s="28" t="str">
        <f t="shared" si="4"/>
        <v/>
      </c>
      <c r="L874" s="45">
        <f t="shared" si="5"/>
        <v>1</v>
      </c>
      <c r="M874" s="45" t="str">
        <f t="shared" si="6"/>
        <v/>
      </c>
      <c r="N874" s="45" t="str">
        <f t="shared" si="7"/>
        <v/>
      </c>
      <c r="O874" s="45" t="str">
        <f t="shared" si="8"/>
        <v/>
      </c>
      <c r="P874" s="45" t="str">
        <f t="shared" si="9"/>
        <v/>
      </c>
    </row>
    <row r="875" spans="1:16" ht="18">
      <c r="A875" s="92" t="s">
        <v>5557</v>
      </c>
      <c r="B875" s="345">
        <v>2005</v>
      </c>
      <c r="C875" s="92"/>
      <c r="D875" s="345">
        <v>21631747</v>
      </c>
      <c r="E875" s="278" t="str">
        <f t="shared" si="2"/>
        <v>https://pubmed.ncbi.nlm.nih.gov/?term=21631747</v>
      </c>
      <c r="F875" s="28" t="s">
        <v>511</v>
      </c>
      <c r="G875" s="28" t="s">
        <v>5349</v>
      </c>
      <c r="J875" s="346" t="str">
        <f t="shared" si="3"/>
        <v/>
      </c>
      <c r="K875" s="28" t="str">
        <f t="shared" si="4"/>
        <v/>
      </c>
      <c r="L875" s="45" t="str">
        <f t="shared" si="5"/>
        <v/>
      </c>
      <c r="M875" s="45" t="str">
        <f t="shared" si="6"/>
        <v/>
      </c>
      <c r="N875" s="45">
        <f t="shared" si="7"/>
        <v>1</v>
      </c>
      <c r="O875" s="45" t="str">
        <f t="shared" si="8"/>
        <v/>
      </c>
      <c r="P875" s="45" t="str">
        <f t="shared" si="9"/>
        <v/>
      </c>
    </row>
    <row r="876" spans="1:16" ht="18">
      <c r="A876" s="92" t="s">
        <v>5557</v>
      </c>
      <c r="B876" s="345">
        <v>2005</v>
      </c>
      <c r="C876" s="92"/>
      <c r="D876" s="345">
        <v>27819973</v>
      </c>
      <c r="E876" s="278" t="str">
        <f t="shared" si="2"/>
        <v>https://pubmed.ncbi.nlm.nih.gov/?term=27819973</v>
      </c>
      <c r="F876" s="28" t="s">
        <v>511</v>
      </c>
      <c r="G876" s="28" t="s">
        <v>4534</v>
      </c>
      <c r="J876" s="346" t="str">
        <f t="shared" si="3"/>
        <v/>
      </c>
      <c r="K876" s="28" t="str">
        <f t="shared" si="4"/>
        <v/>
      </c>
      <c r="L876" s="45" t="str">
        <f t="shared" si="5"/>
        <v/>
      </c>
      <c r="M876" s="45" t="str">
        <f t="shared" si="6"/>
        <v/>
      </c>
      <c r="N876" s="45" t="str">
        <f t="shared" si="7"/>
        <v/>
      </c>
      <c r="O876" s="45" t="str">
        <f t="shared" si="8"/>
        <v/>
      </c>
      <c r="P876" s="45">
        <f t="shared" si="9"/>
        <v>1</v>
      </c>
    </row>
    <row r="877" spans="1:16" ht="18">
      <c r="A877" s="92" t="s">
        <v>5558</v>
      </c>
      <c r="B877" s="345">
        <v>2002</v>
      </c>
      <c r="C877" s="92"/>
      <c r="D877" s="345">
        <v>12468368</v>
      </c>
      <c r="E877" s="278" t="str">
        <f t="shared" si="2"/>
        <v>https://pubmed.ncbi.nlm.nih.gov/?term=12468368</v>
      </c>
      <c r="F877" s="28" t="s">
        <v>511</v>
      </c>
      <c r="G877" s="28" t="s">
        <v>4346</v>
      </c>
      <c r="J877" s="346" t="str">
        <f t="shared" si="3"/>
        <v/>
      </c>
      <c r="K877" s="28" t="str">
        <f t="shared" si="4"/>
        <v/>
      </c>
      <c r="L877" s="45">
        <f t="shared" si="5"/>
        <v>1</v>
      </c>
      <c r="M877" s="45" t="str">
        <f t="shared" si="6"/>
        <v/>
      </c>
      <c r="N877" s="45" t="str">
        <f t="shared" si="7"/>
        <v/>
      </c>
      <c r="O877" s="45" t="str">
        <f t="shared" si="8"/>
        <v/>
      </c>
      <c r="P877" s="45" t="str">
        <f t="shared" si="9"/>
        <v/>
      </c>
    </row>
    <row r="878" spans="1:16" ht="18">
      <c r="A878" s="92" t="s">
        <v>5559</v>
      </c>
      <c r="B878" s="345">
        <v>2007</v>
      </c>
      <c r="C878" s="92"/>
      <c r="D878" s="345">
        <v>17620623</v>
      </c>
      <c r="E878" s="278" t="str">
        <f t="shared" si="2"/>
        <v>https://pubmed.ncbi.nlm.nih.gov/?term=17620623</v>
      </c>
      <c r="F878" s="28" t="s">
        <v>511</v>
      </c>
      <c r="G878" s="28" t="s">
        <v>4346</v>
      </c>
      <c r="J878" s="346" t="str">
        <f t="shared" si="3"/>
        <v/>
      </c>
      <c r="K878" s="28" t="str">
        <f t="shared" si="4"/>
        <v/>
      </c>
      <c r="L878" s="45">
        <f t="shared" si="5"/>
        <v>1</v>
      </c>
      <c r="M878" s="45" t="str">
        <f t="shared" si="6"/>
        <v/>
      </c>
      <c r="N878" s="45" t="str">
        <f t="shared" si="7"/>
        <v/>
      </c>
      <c r="O878" s="45" t="str">
        <f t="shared" si="8"/>
        <v/>
      </c>
      <c r="P878" s="45" t="str">
        <f t="shared" si="9"/>
        <v/>
      </c>
    </row>
    <row r="879" spans="1:16" ht="18">
      <c r="A879" s="92" t="s">
        <v>4882</v>
      </c>
      <c r="B879" s="345">
        <v>2002</v>
      </c>
      <c r="C879" s="92" t="s">
        <v>5560</v>
      </c>
      <c r="D879" s="345">
        <v>12010570</v>
      </c>
      <c r="E879" s="278" t="str">
        <f t="shared" si="2"/>
        <v>https://pubmed.ncbi.nlm.nih.gov/?term=12010570</v>
      </c>
      <c r="F879" s="28" t="s">
        <v>511</v>
      </c>
      <c r="G879" s="28" t="s">
        <v>5561</v>
      </c>
      <c r="J879" s="346" t="str">
        <f t="shared" si="3"/>
        <v/>
      </c>
      <c r="K879" s="28" t="str">
        <f t="shared" si="4"/>
        <v/>
      </c>
      <c r="L879" s="45" t="str">
        <f t="shared" si="5"/>
        <v/>
      </c>
      <c r="M879" s="45" t="str">
        <f t="shared" si="6"/>
        <v/>
      </c>
      <c r="N879" s="45" t="str">
        <f t="shared" si="7"/>
        <v/>
      </c>
      <c r="O879" s="45">
        <f t="shared" si="8"/>
        <v>1</v>
      </c>
      <c r="P879" s="45" t="str">
        <f t="shared" si="9"/>
        <v/>
      </c>
    </row>
    <row r="880" spans="1:16" ht="18">
      <c r="A880" s="92" t="s">
        <v>5562</v>
      </c>
      <c r="B880" s="345">
        <v>2002</v>
      </c>
      <c r="C880" s="92"/>
      <c r="D880" s="345">
        <v>12008010</v>
      </c>
      <c r="E880" s="278" t="str">
        <f t="shared" si="2"/>
        <v>https://pubmed.ncbi.nlm.nih.gov/?term=12008010</v>
      </c>
      <c r="F880" s="28" t="s">
        <v>511</v>
      </c>
      <c r="G880" s="28" t="s">
        <v>4346</v>
      </c>
      <c r="J880" s="346" t="str">
        <f t="shared" si="3"/>
        <v/>
      </c>
      <c r="K880" s="28" t="str">
        <f t="shared" si="4"/>
        <v/>
      </c>
      <c r="L880" s="45">
        <f t="shared" si="5"/>
        <v>1</v>
      </c>
      <c r="M880" s="45" t="str">
        <f t="shared" si="6"/>
        <v/>
      </c>
      <c r="N880" s="45" t="str">
        <f t="shared" si="7"/>
        <v/>
      </c>
      <c r="O880" s="45" t="str">
        <f t="shared" si="8"/>
        <v/>
      </c>
      <c r="P880" s="45" t="str">
        <f t="shared" si="9"/>
        <v/>
      </c>
    </row>
    <row r="881" spans="1:16" ht="18">
      <c r="A881" s="92" t="s">
        <v>5563</v>
      </c>
      <c r="B881" s="345">
        <v>2005</v>
      </c>
      <c r="C881" s="92"/>
      <c r="D881" s="345">
        <v>16094558</v>
      </c>
      <c r="E881" s="278" t="str">
        <f t="shared" si="2"/>
        <v>https://pubmed.ncbi.nlm.nih.gov/?term=16094558</v>
      </c>
      <c r="F881" s="28" t="s">
        <v>511</v>
      </c>
      <c r="G881" s="28" t="s">
        <v>4346</v>
      </c>
      <c r="J881" s="346" t="str">
        <f t="shared" si="3"/>
        <v/>
      </c>
      <c r="K881" s="28" t="str">
        <f t="shared" si="4"/>
        <v/>
      </c>
      <c r="L881" s="45">
        <f t="shared" si="5"/>
        <v>1</v>
      </c>
      <c r="M881" s="45" t="str">
        <f t="shared" si="6"/>
        <v/>
      </c>
      <c r="N881" s="45" t="str">
        <f t="shared" si="7"/>
        <v/>
      </c>
      <c r="O881" s="45" t="str">
        <f t="shared" si="8"/>
        <v/>
      </c>
      <c r="P881" s="45" t="str">
        <f t="shared" si="9"/>
        <v/>
      </c>
    </row>
    <row r="882" spans="1:16" ht="18">
      <c r="A882" s="92" t="s">
        <v>5564</v>
      </c>
      <c r="B882" s="345">
        <v>2005</v>
      </c>
      <c r="C882" s="92"/>
      <c r="D882" s="345">
        <v>16053399</v>
      </c>
      <c r="E882" s="278" t="str">
        <f t="shared" si="2"/>
        <v>https://pubmed.ncbi.nlm.nih.gov/?term=16053399</v>
      </c>
      <c r="F882" s="28" t="s">
        <v>511</v>
      </c>
      <c r="G882" s="28" t="s">
        <v>5565</v>
      </c>
      <c r="J882" s="346" t="str">
        <f t="shared" si="3"/>
        <v/>
      </c>
      <c r="K882" s="28" t="str">
        <f t="shared" si="4"/>
        <v/>
      </c>
      <c r="L882" s="45" t="str">
        <f t="shared" si="5"/>
        <v/>
      </c>
      <c r="M882" s="45" t="str">
        <f t="shared" si="6"/>
        <v/>
      </c>
      <c r="N882" s="45" t="str">
        <f t="shared" si="7"/>
        <v/>
      </c>
      <c r="O882" s="45">
        <f t="shared" si="8"/>
        <v>1</v>
      </c>
      <c r="P882" s="45" t="str">
        <f t="shared" si="9"/>
        <v/>
      </c>
    </row>
    <row r="883" spans="1:16" ht="18">
      <c r="A883" s="92" t="s">
        <v>5566</v>
      </c>
      <c r="B883" s="345">
        <v>2008</v>
      </c>
      <c r="C883" s="92"/>
      <c r="D883" s="345">
        <v>18697428</v>
      </c>
      <c r="E883" s="278" t="str">
        <f t="shared" si="2"/>
        <v>https://pubmed.ncbi.nlm.nih.gov/?term=18697428</v>
      </c>
      <c r="F883" s="28" t="s">
        <v>511</v>
      </c>
      <c r="G883" s="28" t="s">
        <v>4587</v>
      </c>
      <c r="J883" s="346" t="str">
        <f t="shared" si="3"/>
        <v/>
      </c>
      <c r="K883" s="28" t="str">
        <f t="shared" si="4"/>
        <v/>
      </c>
      <c r="L883" s="45" t="str">
        <f t="shared" si="5"/>
        <v/>
      </c>
      <c r="M883" s="45">
        <f t="shared" si="6"/>
        <v>1</v>
      </c>
      <c r="N883" s="45" t="str">
        <f t="shared" si="7"/>
        <v/>
      </c>
      <c r="O883" s="45" t="str">
        <f t="shared" si="8"/>
        <v/>
      </c>
      <c r="P883" s="45" t="str">
        <f t="shared" si="9"/>
        <v/>
      </c>
    </row>
    <row r="884" spans="1:16" ht="18">
      <c r="A884" s="92" t="s">
        <v>5567</v>
      </c>
      <c r="B884" s="345">
        <v>2003</v>
      </c>
      <c r="C884" s="92"/>
      <c r="D884" s="345">
        <v>12923655</v>
      </c>
      <c r="E884" s="278" t="str">
        <f t="shared" si="2"/>
        <v>https://pubmed.ncbi.nlm.nih.gov/?term=12923655</v>
      </c>
      <c r="F884" s="28" t="s">
        <v>511</v>
      </c>
      <c r="G884" s="28" t="s">
        <v>5568</v>
      </c>
      <c r="J884" s="346" t="str">
        <f t="shared" si="3"/>
        <v/>
      </c>
      <c r="K884" s="28" t="str">
        <f t="shared" si="4"/>
        <v/>
      </c>
      <c r="L884" s="45" t="str">
        <f t="shared" si="5"/>
        <v/>
      </c>
      <c r="M884" s="45" t="str">
        <f t="shared" si="6"/>
        <v/>
      </c>
      <c r="N884" s="45" t="str">
        <f t="shared" si="7"/>
        <v/>
      </c>
      <c r="O884" s="45">
        <f t="shared" si="8"/>
        <v>1</v>
      </c>
      <c r="P884" s="45" t="str">
        <f t="shared" si="9"/>
        <v/>
      </c>
    </row>
    <row r="885" spans="1:16" ht="18">
      <c r="A885" s="92" t="s">
        <v>5000</v>
      </c>
      <c r="B885" s="345">
        <v>2000</v>
      </c>
      <c r="C885" s="92"/>
      <c r="D885" s="345">
        <v>10864514</v>
      </c>
      <c r="E885" s="278" t="str">
        <f t="shared" si="2"/>
        <v>https://pubmed.ncbi.nlm.nih.gov/?term=10864514</v>
      </c>
      <c r="F885" s="28" t="s">
        <v>511</v>
      </c>
      <c r="G885" s="28" t="s">
        <v>4346</v>
      </c>
      <c r="J885" s="346" t="str">
        <f t="shared" si="3"/>
        <v/>
      </c>
      <c r="K885" s="28" t="str">
        <f t="shared" si="4"/>
        <v/>
      </c>
      <c r="L885" s="45">
        <f t="shared" si="5"/>
        <v>1</v>
      </c>
      <c r="M885" s="45" t="str">
        <f t="shared" si="6"/>
        <v/>
      </c>
      <c r="N885" s="45" t="str">
        <f t="shared" si="7"/>
        <v/>
      </c>
      <c r="O885" s="45" t="str">
        <f t="shared" si="8"/>
        <v/>
      </c>
      <c r="P885" s="45" t="str">
        <f t="shared" si="9"/>
        <v/>
      </c>
    </row>
    <row r="886" spans="1:16" ht="18">
      <c r="A886" s="92" t="s">
        <v>5569</v>
      </c>
      <c r="B886" s="345">
        <v>2003</v>
      </c>
      <c r="C886" s="92"/>
      <c r="D886" s="345">
        <v>12939589</v>
      </c>
      <c r="E886" s="278" t="str">
        <f t="shared" si="2"/>
        <v>https://pubmed.ncbi.nlm.nih.gov/?term=12939589</v>
      </c>
      <c r="F886" s="28" t="s">
        <v>511</v>
      </c>
      <c r="G886" s="28" t="s">
        <v>4346</v>
      </c>
      <c r="J886" s="346" t="str">
        <f t="shared" si="3"/>
        <v/>
      </c>
      <c r="K886" s="28" t="str">
        <f t="shared" si="4"/>
        <v/>
      </c>
      <c r="L886" s="45">
        <f t="shared" si="5"/>
        <v>1</v>
      </c>
      <c r="M886" s="45" t="str">
        <f t="shared" si="6"/>
        <v/>
      </c>
      <c r="N886" s="45" t="str">
        <f t="shared" si="7"/>
        <v/>
      </c>
      <c r="O886" s="45" t="str">
        <f t="shared" si="8"/>
        <v/>
      </c>
      <c r="P886" s="45" t="str">
        <f t="shared" si="9"/>
        <v/>
      </c>
    </row>
    <row r="887" spans="1:16" ht="18">
      <c r="A887" s="92" t="s">
        <v>5570</v>
      </c>
      <c r="B887" s="345">
        <v>2008</v>
      </c>
      <c r="C887" s="92"/>
      <c r="D887" s="345">
        <v>18672736</v>
      </c>
      <c r="E887" s="278" t="str">
        <f t="shared" si="2"/>
        <v>https://pubmed.ncbi.nlm.nih.gov/?term=18672736</v>
      </c>
      <c r="F887" s="28" t="s">
        <v>511</v>
      </c>
      <c r="G887" s="28" t="s">
        <v>4587</v>
      </c>
      <c r="J887" s="346" t="str">
        <f t="shared" si="3"/>
        <v/>
      </c>
      <c r="K887" s="28" t="str">
        <f t="shared" si="4"/>
        <v/>
      </c>
      <c r="L887" s="45" t="str">
        <f t="shared" si="5"/>
        <v/>
      </c>
      <c r="M887" s="45">
        <f t="shared" si="6"/>
        <v>1</v>
      </c>
      <c r="N887" s="45" t="str">
        <f t="shared" si="7"/>
        <v/>
      </c>
      <c r="O887" s="45" t="str">
        <f t="shared" si="8"/>
        <v/>
      </c>
      <c r="P887" s="45" t="str">
        <f t="shared" si="9"/>
        <v/>
      </c>
    </row>
    <row r="888" spans="1:16" ht="18">
      <c r="A888" s="92" t="s">
        <v>5571</v>
      </c>
      <c r="B888" s="345">
        <v>2003</v>
      </c>
      <c r="C888" s="92"/>
      <c r="D888" s="345">
        <v>14636969</v>
      </c>
      <c r="E888" s="278" t="str">
        <f t="shared" si="2"/>
        <v>https://pubmed.ncbi.nlm.nih.gov/?term=14636969</v>
      </c>
      <c r="F888" s="28" t="s">
        <v>511</v>
      </c>
      <c r="G888" s="28" t="s">
        <v>4346</v>
      </c>
      <c r="J888" s="346" t="str">
        <f t="shared" si="3"/>
        <v/>
      </c>
      <c r="K888" s="28" t="str">
        <f t="shared" si="4"/>
        <v/>
      </c>
      <c r="L888" s="45">
        <f t="shared" si="5"/>
        <v>1</v>
      </c>
      <c r="M888" s="45" t="str">
        <f t="shared" si="6"/>
        <v/>
      </c>
      <c r="N888" s="45" t="str">
        <f t="shared" si="7"/>
        <v/>
      </c>
      <c r="O888" s="45" t="str">
        <f t="shared" si="8"/>
        <v/>
      </c>
      <c r="P888" s="45" t="str">
        <f t="shared" si="9"/>
        <v/>
      </c>
    </row>
    <row r="889" spans="1:16" ht="18">
      <c r="A889" s="92" t="s">
        <v>4927</v>
      </c>
      <c r="B889" s="345">
        <v>2003</v>
      </c>
      <c r="C889" s="92"/>
      <c r="D889" s="345">
        <v>12724006</v>
      </c>
      <c r="E889" s="278" t="str">
        <f t="shared" si="2"/>
        <v>https://pubmed.ncbi.nlm.nih.gov/?term=12724006</v>
      </c>
      <c r="F889" s="28" t="s">
        <v>511</v>
      </c>
      <c r="G889" s="28" t="s">
        <v>5565</v>
      </c>
      <c r="J889" s="346" t="str">
        <f t="shared" si="3"/>
        <v/>
      </c>
      <c r="K889" s="28" t="str">
        <f t="shared" si="4"/>
        <v/>
      </c>
      <c r="L889" s="45" t="str">
        <f t="shared" si="5"/>
        <v/>
      </c>
      <c r="M889" s="45" t="str">
        <f t="shared" si="6"/>
        <v/>
      </c>
      <c r="N889" s="45" t="str">
        <f t="shared" si="7"/>
        <v/>
      </c>
      <c r="O889" s="45">
        <f t="shared" si="8"/>
        <v>1</v>
      </c>
      <c r="P889" s="45" t="str">
        <f t="shared" si="9"/>
        <v/>
      </c>
    </row>
    <row r="890" spans="1:16" ht="18">
      <c r="A890" s="92" t="s">
        <v>5572</v>
      </c>
      <c r="B890" s="345">
        <v>2001</v>
      </c>
      <c r="C890" s="92"/>
      <c r="D890" s="345">
        <v>11583478</v>
      </c>
      <c r="E890" s="278" t="str">
        <f t="shared" si="2"/>
        <v>https://pubmed.ncbi.nlm.nih.gov/?term=11583478</v>
      </c>
      <c r="F890" s="28" t="s">
        <v>511</v>
      </c>
      <c r="G890" s="28" t="s">
        <v>5573</v>
      </c>
      <c r="J890" s="346" t="str">
        <f t="shared" si="3"/>
        <v/>
      </c>
      <c r="K890" s="28" t="str">
        <f t="shared" si="4"/>
        <v/>
      </c>
      <c r="L890" s="45" t="str">
        <f t="shared" si="5"/>
        <v/>
      </c>
      <c r="M890" s="45" t="str">
        <f t="shared" si="6"/>
        <v/>
      </c>
      <c r="N890" s="45" t="str">
        <f t="shared" si="7"/>
        <v/>
      </c>
      <c r="O890" s="45">
        <f t="shared" si="8"/>
        <v>1</v>
      </c>
      <c r="P890" s="45" t="str">
        <f t="shared" si="9"/>
        <v/>
      </c>
    </row>
    <row r="891" spans="1:16" ht="18">
      <c r="A891" s="92" t="s">
        <v>5028</v>
      </c>
      <c r="B891" s="345">
        <v>2000</v>
      </c>
      <c r="C891" s="92"/>
      <c r="D891" s="345">
        <v>11964790</v>
      </c>
      <c r="E891" s="278" t="str">
        <f t="shared" si="2"/>
        <v>https://pubmed.ncbi.nlm.nih.gov/?term=11964790</v>
      </c>
      <c r="F891" s="28" t="s">
        <v>511</v>
      </c>
      <c r="G891" s="28" t="s">
        <v>5349</v>
      </c>
      <c r="J891" s="346" t="str">
        <f t="shared" si="3"/>
        <v/>
      </c>
      <c r="K891" s="28" t="str">
        <f t="shared" si="4"/>
        <v/>
      </c>
      <c r="L891" s="45" t="str">
        <f t="shared" si="5"/>
        <v/>
      </c>
      <c r="M891" s="45" t="str">
        <f t="shared" si="6"/>
        <v/>
      </c>
      <c r="N891" s="45">
        <f t="shared" si="7"/>
        <v>1</v>
      </c>
      <c r="O891" s="45" t="str">
        <f t="shared" si="8"/>
        <v/>
      </c>
      <c r="P891" s="45" t="str">
        <f t="shared" si="9"/>
        <v/>
      </c>
    </row>
    <row r="892" spans="1:16" ht="18">
      <c r="A892" s="92" t="s">
        <v>5574</v>
      </c>
      <c r="B892" s="345">
        <v>2006</v>
      </c>
      <c r="C892" s="92"/>
      <c r="D892" s="345">
        <v>17293985</v>
      </c>
      <c r="E892" s="278" t="str">
        <f t="shared" si="2"/>
        <v>https://pubmed.ncbi.nlm.nih.gov/?term=17293985</v>
      </c>
      <c r="F892" s="28" t="s">
        <v>511</v>
      </c>
      <c r="G892" s="28" t="s">
        <v>4346</v>
      </c>
      <c r="J892" s="346" t="str">
        <f t="shared" si="3"/>
        <v/>
      </c>
      <c r="K892" s="28" t="str">
        <f t="shared" si="4"/>
        <v/>
      </c>
      <c r="L892" s="45">
        <f t="shared" si="5"/>
        <v>1</v>
      </c>
      <c r="M892" s="45" t="str">
        <f t="shared" si="6"/>
        <v/>
      </c>
      <c r="N892" s="45" t="str">
        <f t="shared" si="7"/>
        <v/>
      </c>
      <c r="O892" s="45" t="str">
        <f t="shared" si="8"/>
        <v/>
      </c>
      <c r="P892" s="45" t="str">
        <f t="shared" si="9"/>
        <v/>
      </c>
    </row>
    <row r="893" spans="1:16" ht="18">
      <c r="A893" s="92" t="s">
        <v>5575</v>
      </c>
      <c r="B893" s="345">
        <v>2009</v>
      </c>
      <c r="C893" s="92"/>
      <c r="D893" s="345">
        <v>19480823</v>
      </c>
      <c r="E893" s="278" t="str">
        <f t="shared" si="2"/>
        <v>https://pubmed.ncbi.nlm.nih.gov/?term=19480823</v>
      </c>
      <c r="F893" s="28" t="s">
        <v>511</v>
      </c>
      <c r="G893" s="28" t="s">
        <v>4587</v>
      </c>
      <c r="J893" s="346" t="str">
        <f t="shared" si="3"/>
        <v/>
      </c>
      <c r="K893" s="28" t="str">
        <f t="shared" si="4"/>
        <v/>
      </c>
      <c r="L893" s="45" t="str">
        <f t="shared" si="5"/>
        <v/>
      </c>
      <c r="M893" s="45">
        <f t="shared" si="6"/>
        <v>1</v>
      </c>
      <c r="N893" s="45" t="str">
        <f t="shared" si="7"/>
        <v/>
      </c>
      <c r="O893" s="45" t="str">
        <f t="shared" si="8"/>
        <v/>
      </c>
      <c r="P893" s="45" t="str">
        <f t="shared" si="9"/>
        <v/>
      </c>
    </row>
    <row r="894" spans="1:16" ht="18">
      <c r="A894" s="92" t="s">
        <v>5576</v>
      </c>
      <c r="B894" s="345">
        <v>2009</v>
      </c>
      <c r="C894" s="92"/>
      <c r="D894" s="345">
        <v>19189246</v>
      </c>
      <c r="E894" s="278" t="str">
        <f t="shared" si="2"/>
        <v>https://pubmed.ncbi.nlm.nih.gov/?term=19189246</v>
      </c>
      <c r="F894" s="28" t="s">
        <v>511</v>
      </c>
      <c r="G894" s="28" t="s">
        <v>5577</v>
      </c>
      <c r="J894" s="346" t="str">
        <f t="shared" si="3"/>
        <v/>
      </c>
      <c r="K894" s="28" t="str">
        <f t="shared" si="4"/>
        <v/>
      </c>
      <c r="L894" s="45" t="str">
        <f t="shared" si="5"/>
        <v/>
      </c>
      <c r="M894" s="45" t="str">
        <f t="shared" si="6"/>
        <v/>
      </c>
      <c r="N894" s="45" t="str">
        <f t="shared" si="7"/>
        <v/>
      </c>
      <c r="O894" s="45">
        <f t="shared" si="8"/>
        <v>1</v>
      </c>
      <c r="P894" s="45" t="str">
        <f t="shared" si="9"/>
        <v/>
      </c>
    </row>
    <row r="895" spans="1:16" ht="18">
      <c r="A895" s="92" t="s">
        <v>5578</v>
      </c>
      <c r="B895" s="345">
        <v>2009</v>
      </c>
      <c r="C895" s="92" t="s">
        <v>5579</v>
      </c>
      <c r="D895" s="345">
        <v>19740417</v>
      </c>
      <c r="E895" s="278" t="str">
        <f t="shared" si="2"/>
        <v>https://pubmed.ncbi.nlm.nih.gov/?term=19740417</v>
      </c>
      <c r="F895" s="28" t="s">
        <v>511</v>
      </c>
      <c r="G895" s="28" t="s">
        <v>4346</v>
      </c>
      <c r="J895" s="346" t="str">
        <f t="shared" si="3"/>
        <v/>
      </c>
      <c r="K895" s="28" t="str">
        <f t="shared" si="4"/>
        <v/>
      </c>
      <c r="L895" s="45">
        <f t="shared" si="5"/>
        <v>1</v>
      </c>
      <c r="M895" s="45" t="str">
        <f t="shared" si="6"/>
        <v/>
      </c>
      <c r="N895" s="45" t="str">
        <f t="shared" si="7"/>
        <v/>
      </c>
      <c r="O895" s="45" t="str">
        <f t="shared" si="8"/>
        <v/>
      </c>
      <c r="P895" s="45" t="str">
        <f t="shared" si="9"/>
        <v/>
      </c>
    </row>
    <row r="896" spans="1:16" ht="18">
      <c r="A896" s="92" t="s">
        <v>5580</v>
      </c>
      <c r="B896" s="345">
        <v>2010</v>
      </c>
      <c r="C896" s="92"/>
      <c r="D896" s="345">
        <v>20219156</v>
      </c>
      <c r="E896" s="278" t="str">
        <f t="shared" si="2"/>
        <v>https://pubmed.ncbi.nlm.nih.gov/?term=20219156</v>
      </c>
      <c r="F896" s="28" t="s">
        <v>511</v>
      </c>
      <c r="G896" s="28" t="s">
        <v>4346</v>
      </c>
      <c r="J896" s="346" t="str">
        <f t="shared" si="3"/>
        <v/>
      </c>
      <c r="K896" s="28" t="str">
        <f t="shared" si="4"/>
        <v/>
      </c>
      <c r="L896" s="45">
        <f t="shared" si="5"/>
        <v>1</v>
      </c>
      <c r="M896" s="45" t="str">
        <f t="shared" si="6"/>
        <v/>
      </c>
      <c r="N896" s="45" t="str">
        <f t="shared" si="7"/>
        <v/>
      </c>
      <c r="O896" s="45" t="str">
        <f t="shared" si="8"/>
        <v/>
      </c>
      <c r="P896" s="45" t="str">
        <f t="shared" si="9"/>
        <v/>
      </c>
    </row>
    <row r="897" spans="1:16" ht="18">
      <c r="A897" s="92" t="s">
        <v>5581</v>
      </c>
      <c r="B897" s="345">
        <v>2010</v>
      </c>
      <c r="C897" s="92"/>
      <c r="D897" s="345">
        <v>20026374</v>
      </c>
      <c r="E897" s="278" t="str">
        <f t="shared" si="2"/>
        <v>https://pubmed.ncbi.nlm.nih.gov/?term=20026374</v>
      </c>
      <c r="F897" s="28" t="s">
        <v>511</v>
      </c>
      <c r="G897" s="28" t="s">
        <v>4592</v>
      </c>
      <c r="J897" s="346">
        <f t="shared" si="3"/>
        <v>1</v>
      </c>
      <c r="K897" s="28" t="str">
        <f t="shared" si="4"/>
        <v/>
      </c>
      <c r="L897" s="45" t="str">
        <f t="shared" si="5"/>
        <v/>
      </c>
      <c r="M897" s="45" t="str">
        <f t="shared" si="6"/>
        <v/>
      </c>
      <c r="N897" s="45" t="str">
        <f t="shared" si="7"/>
        <v/>
      </c>
      <c r="O897" s="45" t="str">
        <f t="shared" si="8"/>
        <v/>
      </c>
      <c r="P897" s="45" t="str">
        <f t="shared" si="9"/>
        <v/>
      </c>
    </row>
    <row r="898" spans="1:16" ht="18">
      <c r="A898" s="92" t="s">
        <v>5582</v>
      </c>
      <c r="B898" s="345">
        <v>2004</v>
      </c>
      <c r="C898" s="92" t="s">
        <v>5583</v>
      </c>
      <c r="D898" s="345">
        <v>14695775</v>
      </c>
      <c r="E898" s="278" t="str">
        <f t="shared" si="2"/>
        <v>https://pubmed.ncbi.nlm.nih.gov/?term=14695775</v>
      </c>
      <c r="F898" s="28" t="s">
        <v>511</v>
      </c>
      <c r="G898" s="28" t="s">
        <v>4346</v>
      </c>
      <c r="J898" s="346" t="str">
        <f t="shared" si="3"/>
        <v/>
      </c>
      <c r="K898" s="28" t="str">
        <f t="shared" si="4"/>
        <v/>
      </c>
      <c r="L898" s="45">
        <f t="shared" si="5"/>
        <v>1</v>
      </c>
      <c r="M898" s="45" t="str">
        <f t="shared" si="6"/>
        <v/>
      </c>
      <c r="N898" s="45" t="str">
        <f t="shared" si="7"/>
        <v/>
      </c>
      <c r="O898" s="45" t="str">
        <f t="shared" si="8"/>
        <v/>
      </c>
      <c r="P898" s="45" t="str">
        <f t="shared" si="9"/>
        <v/>
      </c>
    </row>
    <row r="899" spans="1:16" ht="18">
      <c r="A899" s="92" t="s">
        <v>5584</v>
      </c>
      <c r="B899" s="345">
        <v>2004</v>
      </c>
      <c r="C899" s="92"/>
      <c r="D899" s="345">
        <v>15268797</v>
      </c>
      <c r="E899" s="278" t="str">
        <f t="shared" si="2"/>
        <v>https://pubmed.ncbi.nlm.nih.gov/?term=15268797</v>
      </c>
      <c r="F899" s="28" t="s">
        <v>511</v>
      </c>
      <c r="G899" s="28" t="s">
        <v>5585</v>
      </c>
      <c r="J899" s="346" t="str">
        <f t="shared" si="3"/>
        <v/>
      </c>
      <c r="K899" s="28" t="str">
        <f t="shared" si="4"/>
        <v/>
      </c>
      <c r="L899" s="45" t="str">
        <f t="shared" si="5"/>
        <v/>
      </c>
      <c r="M899" s="45" t="str">
        <f t="shared" si="6"/>
        <v/>
      </c>
      <c r="N899" s="45" t="str">
        <f t="shared" si="7"/>
        <v/>
      </c>
      <c r="O899" s="45">
        <f t="shared" si="8"/>
        <v>1</v>
      </c>
      <c r="P899" s="45" t="str">
        <f t="shared" si="9"/>
        <v/>
      </c>
    </row>
    <row r="900" spans="1:16" ht="18">
      <c r="A900" s="92" t="s">
        <v>5586</v>
      </c>
      <c r="B900" s="345">
        <v>2004</v>
      </c>
      <c r="C900" s="92"/>
      <c r="D900" s="345">
        <v>15173543</v>
      </c>
      <c r="E900" s="278" t="str">
        <f t="shared" si="2"/>
        <v>https://pubmed.ncbi.nlm.nih.gov/?term=15173543</v>
      </c>
      <c r="F900" s="28" t="s">
        <v>511</v>
      </c>
      <c r="G900" s="28" t="s">
        <v>5587</v>
      </c>
      <c r="J900" s="346" t="str">
        <f t="shared" si="3"/>
        <v/>
      </c>
      <c r="K900" s="28" t="str">
        <f t="shared" si="4"/>
        <v/>
      </c>
      <c r="L900" s="45" t="str">
        <f t="shared" si="5"/>
        <v/>
      </c>
      <c r="M900" s="45" t="str">
        <f t="shared" si="6"/>
        <v/>
      </c>
      <c r="N900" s="45" t="str">
        <f t="shared" si="7"/>
        <v/>
      </c>
      <c r="O900" s="45">
        <f t="shared" si="8"/>
        <v>1</v>
      </c>
      <c r="P900" s="45" t="str">
        <f t="shared" si="9"/>
        <v/>
      </c>
    </row>
    <row r="901" spans="1:16" ht="18">
      <c r="A901" s="349" t="s">
        <v>5588</v>
      </c>
      <c r="B901" s="350">
        <v>2004</v>
      </c>
      <c r="C901" s="349"/>
      <c r="D901" s="350">
        <v>15074873</v>
      </c>
      <c r="E901" s="289" t="str">
        <f t="shared" si="2"/>
        <v>https://pubmed.ncbi.nlm.nih.gov/?term=15074873</v>
      </c>
      <c r="F901" s="113" t="s">
        <v>511</v>
      </c>
      <c r="G901" s="113" t="s">
        <v>5589</v>
      </c>
      <c r="H901" s="290"/>
      <c r="I901" s="290"/>
      <c r="J901" s="346" t="str">
        <f t="shared" si="3"/>
        <v/>
      </c>
      <c r="K901" s="28" t="str">
        <f t="shared" si="4"/>
        <v/>
      </c>
      <c r="L901" s="45" t="str">
        <f t="shared" si="5"/>
        <v/>
      </c>
      <c r="M901" s="45" t="str">
        <f t="shared" si="6"/>
        <v/>
      </c>
      <c r="N901" s="45" t="str">
        <f t="shared" si="7"/>
        <v/>
      </c>
      <c r="O901" s="45">
        <f t="shared" si="8"/>
        <v>1</v>
      </c>
      <c r="P901" s="45" t="str">
        <f t="shared" si="9"/>
        <v/>
      </c>
    </row>
    <row r="902" spans="1:16" ht="17.25">
      <c r="A902" s="276" t="s">
        <v>5590</v>
      </c>
      <c r="B902" s="351">
        <v>44136</v>
      </c>
      <c r="C902" s="276" t="s">
        <v>5591</v>
      </c>
      <c r="E902" s="278" t="str">
        <f t="shared" ref="E902:E1044" si="10">"https://pubmed.ncbi.nlm.nih.gov/?term="&amp;C902</f>
        <v>https://pubmed.ncbi.nlm.nih.gov/?term=PMC7597597</v>
      </c>
      <c r="F902" s="28" t="s">
        <v>511</v>
      </c>
      <c r="G902" s="28" t="s">
        <v>4592</v>
      </c>
      <c r="J902" s="346">
        <f t="shared" si="3"/>
        <v>1</v>
      </c>
      <c r="K902" s="28" t="str">
        <f t="shared" si="4"/>
        <v/>
      </c>
      <c r="L902" s="45" t="str">
        <f t="shared" si="5"/>
        <v/>
      </c>
      <c r="M902" s="45" t="str">
        <f t="shared" si="6"/>
        <v/>
      </c>
      <c r="N902" s="45" t="str">
        <f t="shared" si="7"/>
        <v/>
      </c>
      <c r="O902" s="45" t="str">
        <f t="shared" si="8"/>
        <v/>
      </c>
      <c r="P902" s="45" t="str">
        <f t="shared" si="9"/>
        <v/>
      </c>
    </row>
    <row r="903" spans="1:16" ht="17.25">
      <c r="A903" s="276" t="s">
        <v>5592</v>
      </c>
      <c r="B903" s="351">
        <v>44044</v>
      </c>
      <c r="C903" s="276" t="s">
        <v>5593</v>
      </c>
      <c r="E903" s="278" t="str">
        <f t="shared" si="10"/>
        <v>https://pubmed.ncbi.nlm.nih.gov/?term=PMC7700100</v>
      </c>
      <c r="F903" s="28" t="s">
        <v>511</v>
      </c>
      <c r="G903" s="28" t="s">
        <v>4592</v>
      </c>
      <c r="J903" s="346">
        <f t="shared" si="3"/>
        <v>1</v>
      </c>
      <c r="K903" s="28" t="str">
        <f t="shared" si="4"/>
        <v/>
      </c>
      <c r="L903" s="45" t="str">
        <f t="shared" si="5"/>
        <v/>
      </c>
      <c r="M903" s="45" t="str">
        <f t="shared" si="6"/>
        <v/>
      </c>
      <c r="N903" s="45" t="str">
        <f t="shared" si="7"/>
        <v/>
      </c>
      <c r="O903" s="45" t="str">
        <f t="shared" si="8"/>
        <v/>
      </c>
      <c r="P903" s="45" t="str">
        <f t="shared" si="9"/>
        <v/>
      </c>
    </row>
    <row r="904" spans="1:16" ht="17.25">
      <c r="A904" s="276" t="s">
        <v>5594</v>
      </c>
      <c r="B904" s="352">
        <v>43221</v>
      </c>
      <c r="C904" s="276" t="s">
        <v>5595</v>
      </c>
      <c r="E904" s="278" t="str">
        <f t="shared" si="10"/>
        <v>https://pubmed.ncbi.nlm.nih.gov/?term=PMC6494485</v>
      </c>
      <c r="F904" s="28" t="s">
        <v>511</v>
      </c>
      <c r="G904" s="28" t="s">
        <v>5273</v>
      </c>
      <c r="J904" s="346">
        <f t="shared" si="3"/>
        <v>1</v>
      </c>
      <c r="K904" s="28" t="str">
        <f t="shared" si="4"/>
        <v/>
      </c>
      <c r="L904" s="45" t="str">
        <f t="shared" si="5"/>
        <v/>
      </c>
      <c r="M904" s="45" t="str">
        <f t="shared" si="6"/>
        <v/>
      </c>
      <c r="N904" s="45" t="str">
        <f t="shared" si="7"/>
        <v/>
      </c>
      <c r="O904" s="45" t="str">
        <f t="shared" si="8"/>
        <v/>
      </c>
      <c r="P904" s="45" t="str">
        <f t="shared" si="9"/>
        <v/>
      </c>
    </row>
    <row r="905" spans="1:16" ht="17.25">
      <c r="A905" s="276" t="s">
        <v>5596</v>
      </c>
      <c r="B905" s="351">
        <v>44105</v>
      </c>
      <c r="C905" s="276" t="s">
        <v>4112</v>
      </c>
      <c r="E905" s="278" t="str">
        <f t="shared" si="10"/>
        <v>https://pubmed.ncbi.nlm.nih.gov/?term=PMC7598925</v>
      </c>
      <c r="H905" s="28" t="s">
        <v>511</v>
      </c>
      <c r="J905" s="346" t="str">
        <f t="shared" si="3"/>
        <v/>
      </c>
      <c r="K905" s="28" t="str">
        <f t="shared" si="4"/>
        <v/>
      </c>
      <c r="L905" s="45" t="str">
        <f t="shared" si="5"/>
        <v/>
      </c>
      <c r="M905" s="45" t="str">
        <f t="shared" si="6"/>
        <v/>
      </c>
      <c r="N905" s="45" t="str">
        <f t="shared" si="7"/>
        <v/>
      </c>
      <c r="O905" s="45" t="str">
        <f t="shared" si="8"/>
        <v/>
      </c>
      <c r="P905" s="45" t="str">
        <f t="shared" si="9"/>
        <v/>
      </c>
    </row>
    <row r="906" spans="1:16" ht="17.25">
      <c r="A906" s="276" t="s">
        <v>5597</v>
      </c>
      <c r="B906" s="351">
        <v>43800</v>
      </c>
      <c r="C906" s="276" t="s">
        <v>5598</v>
      </c>
      <c r="E906" s="278" t="str">
        <f t="shared" si="10"/>
        <v>https://pubmed.ncbi.nlm.nih.gov/?term=PMC6899432</v>
      </c>
      <c r="F906" s="28" t="s">
        <v>511</v>
      </c>
      <c r="G906" s="28" t="s">
        <v>5599</v>
      </c>
      <c r="J906" s="346">
        <f t="shared" si="3"/>
        <v>1</v>
      </c>
      <c r="K906" s="28" t="str">
        <f t="shared" si="4"/>
        <v/>
      </c>
      <c r="L906" s="45" t="str">
        <f t="shared" si="5"/>
        <v/>
      </c>
      <c r="M906" s="45" t="str">
        <f t="shared" si="6"/>
        <v/>
      </c>
      <c r="N906" s="45" t="str">
        <f t="shared" si="7"/>
        <v/>
      </c>
      <c r="O906" s="45" t="str">
        <f t="shared" si="8"/>
        <v/>
      </c>
      <c r="P906" s="45" t="str">
        <f t="shared" si="9"/>
        <v/>
      </c>
    </row>
    <row r="907" spans="1:16" ht="17.25">
      <c r="A907" s="276" t="s">
        <v>5600</v>
      </c>
      <c r="B907" s="351">
        <v>43070</v>
      </c>
      <c r="C907" s="276" t="s">
        <v>4161</v>
      </c>
      <c r="E907" s="278" t="str">
        <f t="shared" si="10"/>
        <v>https://pubmed.ncbi.nlm.nih.gov/?term=PMC5720597</v>
      </c>
      <c r="H907" s="28" t="s">
        <v>511</v>
      </c>
      <c r="J907" s="346" t="str">
        <f t="shared" si="3"/>
        <v/>
      </c>
      <c r="K907" s="28" t="str">
        <f t="shared" si="4"/>
        <v/>
      </c>
      <c r="L907" s="45" t="str">
        <f t="shared" si="5"/>
        <v/>
      </c>
      <c r="M907" s="45" t="str">
        <f t="shared" si="6"/>
        <v/>
      </c>
      <c r="N907" s="45" t="str">
        <f t="shared" si="7"/>
        <v/>
      </c>
      <c r="O907" s="45" t="str">
        <f t="shared" si="8"/>
        <v/>
      </c>
      <c r="P907" s="45" t="str">
        <f t="shared" si="9"/>
        <v/>
      </c>
    </row>
    <row r="908" spans="1:16" ht="17.25">
      <c r="A908" s="276" t="s">
        <v>5601</v>
      </c>
      <c r="B908" s="351">
        <v>42583</v>
      </c>
      <c r="C908" s="276" t="s">
        <v>4102</v>
      </c>
      <c r="E908" s="278" t="str">
        <f t="shared" si="10"/>
        <v>https://pubmed.ncbi.nlm.nih.gov/?term=PMC4988630</v>
      </c>
      <c r="H908" s="28" t="s">
        <v>511</v>
      </c>
      <c r="J908" s="346" t="str">
        <f t="shared" si="3"/>
        <v/>
      </c>
      <c r="K908" s="28" t="str">
        <f t="shared" si="4"/>
        <v/>
      </c>
      <c r="L908" s="45" t="str">
        <f t="shared" si="5"/>
        <v/>
      </c>
      <c r="M908" s="45" t="str">
        <f t="shared" si="6"/>
        <v/>
      </c>
      <c r="N908" s="45" t="str">
        <f t="shared" si="7"/>
        <v/>
      </c>
      <c r="O908" s="45" t="str">
        <f t="shared" si="8"/>
        <v/>
      </c>
      <c r="P908" s="45" t="str">
        <f t="shared" si="9"/>
        <v/>
      </c>
    </row>
    <row r="909" spans="1:16" ht="17.25">
      <c r="A909" s="276" t="s">
        <v>5602</v>
      </c>
      <c r="B909" s="351">
        <v>43922</v>
      </c>
      <c r="C909" s="276" t="s">
        <v>4205</v>
      </c>
      <c r="E909" s="278" t="str">
        <f t="shared" si="10"/>
        <v>https://pubmed.ncbi.nlm.nih.gov/?term=PMC7194502</v>
      </c>
      <c r="H909" s="28" t="s">
        <v>511</v>
      </c>
      <c r="J909" s="346" t="str">
        <f t="shared" si="3"/>
        <v/>
      </c>
      <c r="K909" s="28" t="str">
        <f t="shared" si="4"/>
        <v/>
      </c>
      <c r="L909" s="45" t="str">
        <f t="shared" si="5"/>
        <v/>
      </c>
      <c r="M909" s="45" t="str">
        <f t="shared" si="6"/>
        <v/>
      </c>
      <c r="N909" s="45" t="str">
        <f t="shared" si="7"/>
        <v/>
      </c>
      <c r="O909" s="45" t="str">
        <f t="shared" si="8"/>
        <v/>
      </c>
      <c r="P909" s="45" t="str">
        <f t="shared" si="9"/>
        <v/>
      </c>
    </row>
    <row r="910" spans="1:16" ht="17.25">
      <c r="A910" s="276" t="s">
        <v>5600</v>
      </c>
      <c r="B910" s="351">
        <v>43800</v>
      </c>
      <c r="C910" s="276" t="s">
        <v>4163</v>
      </c>
      <c r="E910" s="278" t="str">
        <f t="shared" si="10"/>
        <v>https://pubmed.ncbi.nlm.nih.gov/?term=PMC6948818</v>
      </c>
      <c r="H910" s="28" t="s">
        <v>511</v>
      </c>
      <c r="J910" s="346" t="str">
        <f t="shared" si="3"/>
        <v/>
      </c>
      <c r="K910" s="28" t="str">
        <f t="shared" si="4"/>
        <v/>
      </c>
      <c r="L910" s="45" t="str">
        <f t="shared" si="5"/>
        <v/>
      </c>
      <c r="M910" s="45" t="str">
        <f t="shared" si="6"/>
        <v/>
      </c>
      <c r="N910" s="45" t="str">
        <f t="shared" si="7"/>
        <v/>
      </c>
      <c r="O910" s="45" t="str">
        <f t="shared" si="8"/>
        <v/>
      </c>
      <c r="P910" s="45" t="str">
        <f t="shared" si="9"/>
        <v/>
      </c>
    </row>
    <row r="911" spans="1:16" ht="17.25">
      <c r="A911" s="276" t="s">
        <v>5603</v>
      </c>
      <c r="B911" s="351">
        <v>44044</v>
      </c>
      <c r="C911" s="276" t="s">
        <v>5604</v>
      </c>
      <c r="E911" s="278" t="str">
        <f t="shared" si="10"/>
        <v>https://pubmed.ncbi.nlm.nih.gov/?term=PMC7670910</v>
      </c>
      <c r="F911" s="28" t="s">
        <v>511</v>
      </c>
      <c r="G911" s="28" t="s">
        <v>4592</v>
      </c>
      <c r="I911" s="28" t="s">
        <v>5605</v>
      </c>
      <c r="J911" s="346">
        <f t="shared" si="3"/>
        <v>1</v>
      </c>
      <c r="K911" s="28" t="str">
        <f t="shared" si="4"/>
        <v/>
      </c>
      <c r="L911" s="45" t="str">
        <f t="shared" si="5"/>
        <v/>
      </c>
      <c r="M911" s="45" t="str">
        <f t="shared" si="6"/>
        <v/>
      </c>
      <c r="N911" s="45" t="str">
        <f t="shared" si="7"/>
        <v/>
      </c>
      <c r="O911" s="45" t="str">
        <f t="shared" si="8"/>
        <v/>
      </c>
      <c r="P911" s="45" t="str">
        <f t="shared" si="9"/>
        <v/>
      </c>
    </row>
    <row r="912" spans="1:16" ht="17.25">
      <c r="A912" s="276" t="s">
        <v>5606</v>
      </c>
      <c r="B912" s="351">
        <v>42248</v>
      </c>
      <c r="C912" s="276" t="s">
        <v>5607</v>
      </c>
      <c r="E912" s="278" t="str">
        <f t="shared" si="10"/>
        <v>https://pubmed.ncbi.nlm.nih.gov/?term=PMC4581890</v>
      </c>
      <c r="F912" s="28" t="s">
        <v>511</v>
      </c>
      <c r="G912" s="28" t="s">
        <v>4592</v>
      </c>
      <c r="J912" s="346">
        <f t="shared" si="3"/>
        <v>1</v>
      </c>
      <c r="K912" s="28" t="str">
        <f t="shared" si="4"/>
        <v/>
      </c>
      <c r="L912" s="45" t="str">
        <f t="shared" si="5"/>
        <v/>
      </c>
      <c r="M912" s="45" t="str">
        <f t="shared" si="6"/>
        <v/>
      </c>
      <c r="N912" s="45" t="str">
        <f t="shared" si="7"/>
        <v/>
      </c>
      <c r="O912" s="45" t="str">
        <f t="shared" si="8"/>
        <v/>
      </c>
      <c r="P912" s="45" t="str">
        <f t="shared" si="9"/>
        <v/>
      </c>
    </row>
    <row r="913" spans="1:16" ht="17.25">
      <c r="A913" s="276" t="s">
        <v>5608</v>
      </c>
      <c r="B913" s="351">
        <v>44228</v>
      </c>
      <c r="C913" s="276" t="s">
        <v>5609</v>
      </c>
      <c r="E913" s="278" t="str">
        <f t="shared" si="10"/>
        <v>https://pubmed.ncbi.nlm.nih.gov/?term=PMC7754704</v>
      </c>
      <c r="F913" s="28" t="s">
        <v>511</v>
      </c>
      <c r="G913" s="28" t="s">
        <v>4592</v>
      </c>
      <c r="J913" s="346">
        <f t="shared" si="3"/>
        <v>1</v>
      </c>
      <c r="K913" s="28" t="str">
        <f t="shared" si="4"/>
        <v/>
      </c>
      <c r="L913" s="45" t="str">
        <f t="shared" si="5"/>
        <v/>
      </c>
      <c r="M913" s="45" t="str">
        <f t="shared" si="6"/>
        <v/>
      </c>
      <c r="N913" s="45" t="str">
        <f t="shared" si="7"/>
        <v/>
      </c>
      <c r="O913" s="45" t="str">
        <f t="shared" si="8"/>
        <v/>
      </c>
      <c r="P913" s="45" t="str">
        <f t="shared" si="9"/>
        <v/>
      </c>
    </row>
    <row r="914" spans="1:16" ht="17.25">
      <c r="A914" s="276" t="s">
        <v>5610</v>
      </c>
      <c r="B914" s="351">
        <v>44013</v>
      </c>
      <c r="C914" s="276" t="s">
        <v>5611</v>
      </c>
      <c r="E914" s="278" t="str">
        <f t="shared" si="10"/>
        <v>https://pubmed.ncbi.nlm.nih.gov/?term=PMC7280638</v>
      </c>
      <c r="F914" s="28" t="s">
        <v>511</v>
      </c>
      <c r="G914" s="28" t="s">
        <v>5188</v>
      </c>
      <c r="J914" s="346">
        <f t="shared" si="3"/>
        <v>1</v>
      </c>
      <c r="K914" s="28" t="str">
        <f t="shared" si="4"/>
        <v/>
      </c>
      <c r="L914" s="45" t="str">
        <f t="shared" si="5"/>
        <v/>
      </c>
      <c r="M914" s="45" t="str">
        <f t="shared" si="6"/>
        <v/>
      </c>
      <c r="N914" s="45" t="str">
        <f t="shared" si="7"/>
        <v/>
      </c>
      <c r="O914" s="45" t="str">
        <f t="shared" si="8"/>
        <v/>
      </c>
      <c r="P914" s="45" t="str">
        <f t="shared" si="9"/>
        <v/>
      </c>
    </row>
    <row r="915" spans="1:16" ht="17.25">
      <c r="A915" s="276" t="s">
        <v>5612</v>
      </c>
      <c r="B915" s="351">
        <v>43252</v>
      </c>
      <c r="C915" s="276" t="s">
        <v>5613</v>
      </c>
      <c r="E915" s="278" t="str">
        <f t="shared" si="10"/>
        <v>https://pubmed.ncbi.nlm.nih.gov/?term=PMC5989336</v>
      </c>
      <c r="F915" s="28" t="s">
        <v>511</v>
      </c>
      <c r="G915" s="28" t="s">
        <v>4592</v>
      </c>
      <c r="J915" s="346">
        <f t="shared" si="3"/>
        <v>1</v>
      </c>
      <c r="K915" s="28" t="str">
        <f t="shared" si="4"/>
        <v/>
      </c>
      <c r="L915" s="45" t="str">
        <f t="shared" si="5"/>
        <v/>
      </c>
      <c r="M915" s="45" t="str">
        <f t="shared" si="6"/>
        <v/>
      </c>
      <c r="N915" s="45" t="str">
        <f t="shared" si="7"/>
        <v/>
      </c>
      <c r="O915" s="45" t="str">
        <f t="shared" si="8"/>
        <v/>
      </c>
      <c r="P915" s="45" t="str">
        <f t="shared" si="9"/>
        <v/>
      </c>
    </row>
    <row r="916" spans="1:16" ht="17.25">
      <c r="A916" s="276" t="s">
        <v>5614</v>
      </c>
      <c r="B916" s="351">
        <v>41883</v>
      </c>
      <c r="C916" s="276" t="s">
        <v>5615</v>
      </c>
      <c r="E916" s="278" t="str">
        <f t="shared" si="10"/>
        <v>https://pubmed.ncbi.nlm.nih.gov/?term=PMC4293939</v>
      </c>
      <c r="F916" s="28" t="s">
        <v>511</v>
      </c>
      <c r="G916" s="28" t="s">
        <v>4592</v>
      </c>
      <c r="J916" s="346">
        <f t="shared" si="3"/>
        <v>1</v>
      </c>
      <c r="K916" s="28" t="str">
        <f t="shared" si="4"/>
        <v/>
      </c>
      <c r="L916" s="45" t="str">
        <f t="shared" si="5"/>
        <v/>
      </c>
      <c r="M916" s="45" t="str">
        <f t="shared" si="6"/>
        <v/>
      </c>
      <c r="N916" s="45" t="str">
        <f t="shared" si="7"/>
        <v/>
      </c>
      <c r="O916" s="45" t="str">
        <f t="shared" si="8"/>
        <v/>
      </c>
      <c r="P916" s="45" t="str">
        <f t="shared" si="9"/>
        <v/>
      </c>
    </row>
    <row r="917" spans="1:16" ht="17.25">
      <c r="A917" s="276" t="s">
        <v>5616</v>
      </c>
      <c r="B917" s="351">
        <v>42461</v>
      </c>
      <c r="C917" s="276" t="s">
        <v>5617</v>
      </c>
      <c r="E917" s="278" t="str">
        <f t="shared" si="10"/>
        <v>https://pubmed.ncbi.nlm.nih.gov/?term=PMC4820512</v>
      </c>
      <c r="F917" s="28" t="s">
        <v>511</v>
      </c>
      <c r="G917" s="28" t="s">
        <v>5618</v>
      </c>
      <c r="J917" s="346">
        <f t="shared" si="3"/>
        <v>1</v>
      </c>
      <c r="K917" s="28" t="str">
        <f t="shared" si="4"/>
        <v/>
      </c>
      <c r="L917" s="45" t="str">
        <f t="shared" si="5"/>
        <v/>
      </c>
      <c r="M917" s="45" t="str">
        <f t="shared" si="6"/>
        <v/>
      </c>
      <c r="N917" s="45" t="str">
        <f t="shared" si="7"/>
        <v/>
      </c>
      <c r="O917" s="45" t="str">
        <f t="shared" si="8"/>
        <v/>
      </c>
      <c r="P917" s="45" t="str">
        <f t="shared" si="9"/>
        <v/>
      </c>
    </row>
    <row r="918" spans="1:16" ht="17.25">
      <c r="A918" s="276" t="s">
        <v>5619</v>
      </c>
      <c r="B918" s="351">
        <v>43983</v>
      </c>
      <c r="C918" s="276" t="s">
        <v>5620</v>
      </c>
      <c r="E918" s="278" t="str">
        <f t="shared" si="10"/>
        <v>https://pubmed.ncbi.nlm.nih.gov/?term=PMC7223304</v>
      </c>
      <c r="F918" s="28" t="s">
        <v>511</v>
      </c>
      <c r="G918" s="28" t="s">
        <v>4592</v>
      </c>
      <c r="J918" s="346">
        <f t="shared" si="3"/>
        <v>1</v>
      </c>
      <c r="K918" s="28" t="str">
        <f t="shared" si="4"/>
        <v/>
      </c>
      <c r="L918" s="45" t="str">
        <f t="shared" si="5"/>
        <v/>
      </c>
      <c r="M918" s="45" t="str">
        <f t="shared" si="6"/>
        <v/>
      </c>
      <c r="N918" s="45" t="str">
        <f t="shared" si="7"/>
        <v/>
      </c>
      <c r="O918" s="45" t="str">
        <f t="shared" si="8"/>
        <v/>
      </c>
      <c r="P918" s="45" t="str">
        <f t="shared" si="9"/>
        <v/>
      </c>
    </row>
    <row r="919" spans="1:16" ht="17.25">
      <c r="A919" s="276" t="s">
        <v>5621</v>
      </c>
      <c r="B919" s="351">
        <v>44197</v>
      </c>
      <c r="C919" s="276" t="s">
        <v>5622</v>
      </c>
      <c r="E919" s="278" t="str">
        <f t="shared" si="10"/>
        <v>https://pubmed.ncbi.nlm.nih.gov/?term=PMC7735377</v>
      </c>
      <c r="F919" s="28" t="s">
        <v>511</v>
      </c>
      <c r="G919" s="28" t="s">
        <v>4592</v>
      </c>
      <c r="J919" s="346">
        <f t="shared" si="3"/>
        <v>1</v>
      </c>
      <c r="K919" s="28" t="str">
        <f t="shared" si="4"/>
        <v/>
      </c>
      <c r="L919" s="45" t="str">
        <f t="shared" si="5"/>
        <v/>
      </c>
      <c r="M919" s="45" t="str">
        <f t="shared" si="6"/>
        <v/>
      </c>
      <c r="N919" s="45" t="str">
        <f t="shared" si="7"/>
        <v/>
      </c>
      <c r="O919" s="45" t="str">
        <f t="shared" si="8"/>
        <v/>
      </c>
      <c r="P919" s="45" t="str">
        <f t="shared" si="9"/>
        <v/>
      </c>
    </row>
    <row r="920" spans="1:16" ht="17.25">
      <c r="A920" s="276" t="s">
        <v>5623</v>
      </c>
      <c r="B920" s="351">
        <v>44166</v>
      </c>
      <c r="C920" s="276" t="s">
        <v>5624</v>
      </c>
      <c r="E920" s="278" t="str">
        <f t="shared" si="10"/>
        <v>https://pubmed.ncbi.nlm.nih.gov/?term=PMC7754925</v>
      </c>
      <c r="F920" s="28" t="s">
        <v>511</v>
      </c>
      <c r="G920" s="28" t="s">
        <v>4592</v>
      </c>
      <c r="J920" s="346">
        <f t="shared" si="3"/>
        <v>1</v>
      </c>
      <c r="K920" s="28" t="str">
        <f t="shared" si="4"/>
        <v/>
      </c>
      <c r="L920" s="45" t="str">
        <f t="shared" si="5"/>
        <v/>
      </c>
      <c r="M920" s="45" t="str">
        <f t="shared" si="6"/>
        <v/>
      </c>
      <c r="N920" s="45" t="str">
        <f t="shared" si="7"/>
        <v/>
      </c>
      <c r="O920" s="45" t="str">
        <f t="shared" si="8"/>
        <v/>
      </c>
      <c r="P920" s="45" t="str">
        <f t="shared" si="9"/>
        <v/>
      </c>
    </row>
    <row r="921" spans="1:16" ht="17.25">
      <c r="A921" s="276" t="s">
        <v>5625</v>
      </c>
      <c r="B921" s="351">
        <v>44197</v>
      </c>
      <c r="C921" s="276" t="s">
        <v>5626</v>
      </c>
      <c r="E921" s="278" t="str">
        <f t="shared" si="10"/>
        <v>https://pubmed.ncbi.nlm.nih.gov/?term=PMC7831807</v>
      </c>
      <c r="F921" s="28" t="s">
        <v>511</v>
      </c>
      <c r="G921" s="28" t="s">
        <v>5627</v>
      </c>
      <c r="J921" s="346" t="str">
        <f t="shared" si="3"/>
        <v/>
      </c>
      <c r="K921" s="28" t="str">
        <f t="shared" si="4"/>
        <v/>
      </c>
      <c r="L921" s="45" t="str">
        <f t="shared" si="5"/>
        <v/>
      </c>
      <c r="M921" s="45" t="str">
        <f t="shared" si="6"/>
        <v/>
      </c>
      <c r="N921" s="45">
        <f t="shared" si="7"/>
        <v>1</v>
      </c>
      <c r="O921" s="45" t="str">
        <f t="shared" si="8"/>
        <v/>
      </c>
      <c r="P921" s="45" t="str">
        <f t="shared" si="9"/>
        <v/>
      </c>
    </row>
    <row r="922" spans="1:16" ht="17.25">
      <c r="A922" s="276" t="s">
        <v>5628</v>
      </c>
      <c r="B922" s="351">
        <v>43800</v>
      </c>
      <c r="C922" s="276" t="s">
        <v>5629</v>
      </c>
      <c r="E922" s="278" t="str">
        <f t="shared" si="10"/>
        <v>https://pubmed.ncbi.nlm.nih.gov/?term=PMC6785806</v>
      </c>
      <c r="F922" s="28" t="s">
        <v>511</v>
      </c>
      <c r="G922" s="28" t="s">
        <v>4867</v>
      </c>
      <c r="J922" s="346" t="str">
        <f t="shared" si="3"/>
        <v/>
      </c>
      <c r="K922" s="28" t="str">
        <f t="shared" si="4"/>
        <v/>
      </c>
      <c r="L922" s="45" t="str">
        <f t="shared" si="5"/>
        <v/>
      </c>
      <c r="M922" s="45" t="str">
        <f t="shared" si="6"/>
        <v/>
      </c>
      <c r="N922" s="45">
        <f t="shared" si="7"/>
        <v>1</v>
      </c>
      <c r="O922" s="45" t="str">
        <f t="shared" si="8"/>
        <v/>
      </c>
      <c r="P922" s="45" t="str">
        <f t="shared" si="9"/>
        <v/>
      </c>
    </row>
    <row r="923" spans="1:16" ht="17.25">
      <c r="A923" s="276" t="s">
        <v>5630</v>
      </c>
      <c r="B923" s="351">
        <v>42948</v>
      </c>
      <c r="C923" s="276" t="s">
        <v>5631</v>
      </c>
      <c r="E923" s="278" t="str">
        <f t="shared" si="10"/>
        <v>https://pubmed.ncbi.nlm.nih.gov/?term=PMC5924688</v>
      </c>
      <c r="F923" s="28" t="s">
        <v>511</v>
      </c>
      <c r="G923" s="28" t="s">
        <v>4592</v>
      </c>
      <c r="J923" s="346">
        <f t="shared" si="3"/>
        <v>1</v>
      </c>
      <c r="K923" s="28" t="str">
        <f t="shared" si="4"/>
        <v/>
      </c>
      <c r="L923" s="45" t="str">
        <f t="shared" si="5"/>
        <v/>
      </c>
      <c r="M923" s="45" t="str">
        <f t="shared" si="6"/>
        <v/>
      </c>
      <c r="N923" s="45" t="str">
        <f t="shared" si="7"/>
        <v/>
      </c>
      <c r="O923" s="45" t="str">
        <f t="shared" si="8"/>
        <v/>
      </c>
      <c r="P923" s="45" t="str">
        <f t="shared" si="9"/>
        <v/>
      </c>
    </row>
    <row r="924" spans="1:16" ht="17.25">
      <c r="A924" s="276" t="s">
        <v>5632</v>
      </c>
      <c r="B924" s="351">
        <v>44044</v>
      </c>
      <c r="C924" s="276" t="s">
        <v>5633</v>
      </c>
      <c r="E924" s="278" t="str">
        <f t="shared" si="10"/>
        <v>https://pubmed.ncbi.nlm.nih.gov/?term=PMC7431783</v>
      </c>
      <c r="F924" s="28" t="s">
        <v>511</v>
      </c>
      <c r="G924" s="28" t="s">
        <v>4592</v>
      </c>
      <c r="J924" s="346">
        <f t="shared" si="3"/>
        <v>1</v>
      </c>
      <c r="K924" s="28" t="str">
        <f t="shared" si="4"/>
        <v/>
      </c>
      <c r="L924" s="45" t="str">
        <f t="shared" si="5"/>
        <v/>
      </c>
      <c r="M924" s="45" t="str">
        <f t="shared" si="6"/>
        <v/>
      </c>
      <c r="N924" s="45" t="str">
        <f t="shared" si="7"/>
        <v/>
      </c>
      <c r="O924" s="45" t="str">
        <f t="shared" si="8"/>
        <v/>
      </c>
      <c r="P924" s="45" t="str">
        <f t="shared" si="9"/>
        <v/>
      </c>
    </row>
    <row r="925" spans="1:16" ht="17.25">
      <c r="A925" s="276" t="s">
        <v>5634</v>
      </c>
      <c r="B925" s="351">
        <v>43374</v>
      </c>
      <c r="C925" s="276" t="s">
        <v>5635</v>
      </c>
      <c r="E925" s="278" t="str">
        <f t="shared" si="10"/>
        <v>https://pubmed.ncbi.nlm.nih.gov/?term=PMC6162149</v>
      </c>
      <c r="F925" s="28" t="s">
        <v>511</v>
      </c>
      <c r="G925" s="28" t="s">
        <v>4592</v>
      </c>
      <c r="J925" s="346">
        <f t="shared" si="3"/>
        <v>1</v>
      </c>
      <c r="K925" s="28" t="str">
        <f t="shared" si="4"/>
        <v/>
      </c>
      <c r="L925" s="45" t="str">
        <f t="shared" si="5"/>
        <v/>
      </c>
      <c r="M925" s="45" t="str">
        <f t="shared" si="6"/>
        <v/>
      </c>
      <c r="N925" s="45" t="str">
        <f t="shared" si="7"/>
        <v/>
      </c>
      <c r="O925" s="45" t="str">
        <f t="shared" si="8"/>
        <v/>
      </c>
      <c r="P925" s="45" t="str">
        <f t="shared" si="9"/>
        <v/>
      </c>
    </row>
    <row r="926" spans="1:16" ht="17.25">
      <c r="A926" s="276" t="s">
        <v>5636</v>
      </c>
      <c r="B926" s="351">
        <v>44075</v>
      </c>
      <c r="C926" s="276" t="s">
        <v>5637</v>
      </c>
      <c r="E926" s="278" t="str">
        <f t="shared" si="10"/>
        <v>https://pubmed.ncbi.nlm.nih.gov/?term=PMC7418641</v>
      </c>
      <c r="F926" s="28" t="s">
        <v>511</v>
      </c>
      <c r="G926" s="28" t="s">
        <v>4592</v>
      </c>
      <c r="J926" s="346">
        <f t="shared" si="3"/>
        <v>1</v>
      </c>
      <c r="K926" s="28" t="str">
        <f t="shared" si="4"/>
        <v/>
      </c>
      <c r="L926" s="45" t="str">
        <f t="shared" si="5"/>
        <v/>
      </c>
      <c r="M926" s="45" t="str">
        <f t="shared" si="6"/>
        <v/>
      </c>
      <c r="N926" s="45" t="str">
        <f t="shared" si="7"/>
        <v/>
      </c>
      <c r="O926" s="45" t="str">
        <f t="shared" si="8"/>
        <v/>
      </c>
      <c r="P926" s="45" t="str">
        <f t="shared" si="9"/>
        <v/>
      </c>
    </row>
    <row r="927" spans="1:16" ht="17.25">
      <c r="A927" s="276" t="s">
        <v>5638</v>
      </c>
      <c r="B927" s="351">
        <v>42948</v>
      </c>
      <c r="C927" s="276" t="s">
        <v>5639</v>
      </c>
      <c r="E927" s="278" t="str">
        <f t="shared" si="10"/>
        <v>https://pubmed.ncbi.nlm.nih.gov/?term=PMC5627502</v>
      </c>
      <c r="F927" s="28" t="s">
        <v>511</v>
      </c>
      <c r="G927" s="28" t="s">
        <v>5640</v>
      </c>
      <c r="J927" s="346">
        <f t="shared" si="3"/>
        <v>1</v>
      </c>
      <c r="K927" s="28" t="str">
        <f t="shared" si="4"/>
        <v/>
      </c>
      <c r="L927" s="45" t="str">
        <f t="shared" si="5"/>
        <v/>
      </c>
      <c r="M927" s="45" t="str">
        <f t="shared" si="6"/>
        <v/>
      </c>
      <c r="N927" s="45" t="str">
        <f t="shared" si="7"/>
        <v/>
      </c>
      <c r="O927" s="45" t="str">
        <f t="shared" si="8"/>
        <v/>
      </c>
      <c r="P927" s="45" t="str">
        <f t="shared" si="9"/>
        <v/>
      </c>
    </row>
    <row r="928" spans="1:16" ht="17.25">
      <c r="A928" s="276" t="s">
        <v>5641</v>
      </c>
      <c r="B928" s="351">
        <v>44228</v>
      </c>
      <c r="C928" s="276" t="s">
        <v>5642</v>
      </c>
      <c r="E928" s="278" t="str">
        <f t="shared" si="10"/>
        <v>https://pubmed.ncbi.nlm.nih.gov/?term=PMC7837315</v>
      </c>
      <c r="F928" s="28" t="s">
        <v>511</v>
      </c>
      <c r="G928" s="28" t="s">
        <v>4592</v>
      </c>
      <c r="J928" s="346">
        <f t="shared" si="3"/>
        <v>1</v>
      </c>
      <c r="K928" s="28" t="str">
        <f t="shared" si="4"/>
        <v/>
      </c>
      <c r="L928" s="45" t="str">
        <f t="shared" si="5"/>
        <v/>
      </c>
      <c r="M928" s="45" t="str">
        <f t="shared" si="6"/>
        <v/>
      </c>
      <c r="N928" s="45" t="str">
        <f t="shared" si="7"/>
        <v/>
      </c>
      <c r="O928" s="45" t="str">
        <f t="shared" si="8"/>
        <v/>
      </c>
      <c r="P928" s="45" t="str">
        <f t="shared" si="9"/>
        <v/>
      </c>
    </row>
    <row r="929" spans="1:16" ht="17.25">
      <c r="A929" s="276" t="s">
        <v>5643</v>
      </c>
      <c r="B929" s="351">
        <v>44197</v>
      </c>
      <c r="C929" s="276" t="s">
        <v>5644</v>
      </c>
      <c r="E929" s="278" t="str">
        <f t="shared" si="10"/>
        <v>https://pubmed.ncbi.nlm.nih.gov/?term=PMC7901974</v>
      </c>
      <c r="F929" s="28" t="s">
        <v>511</v>
      </c>
      <c r="G929" s="28" t="s">
        <v>4592</v>
      </c>
      <c r="J929" s="346">
        <f t="shared" si="3"/>
        <v>1</v>
      </c>
      <c r="K929" s="28" t="str">
        <f t="shared" si="4"/>
        <v/>
      </c>
      <c r="L929" s="45" t="str">
        <f t="shared" si="5"/>
        <v/>
      </c>
      <c r="M929" s="45" t="str">
        <f t="shared" si="6"/>
        <v/>
      </c>
      <c r="N929" s="45" t="str">
        <f t="shared" si="7"/>
        <v/>
      </c>
      <c r="O929" s="45" t="str">
        <f t="shared" si="8"/>
        <v/>
      </c>
      <c r="P929" s="45" t="str">
        <f t="shared" si="9"/>
        <v/>
      </c>
    </row>
    <row r="930" spans="1:16" ht="17.25">
      <c r="A930" s="276" t="s">
        <v>5645</v>
      </c>
      <c r="B930" s="351">
        <v>44044</v>
      </c>
      <c r="C930" s="276" t="s">
        <v>5646</v>
      </c>
      <c r="E930" s="278" t="str">
        <f t="shared" si="10"/>
        <v>https://pubmed.ncbi.nlm.nih.gov/?term=PMC7259898</v>
      </c>
      <c r="F930" s="28" t="s">
        <v>511</v>
      </c>
      <c r="G930" s="28" t="s">
        <v>4592</v>
      </c>
      <c r="J930" s="346">
        <f t="shared" si="3"/>
        <v>1</v>
      </c>
      <c r="K930" s="28" t="str">
        <f t="shared" si="4"/>
        <v/>
      </c>
      <c r="L930" s="45" t="str">
        <f t="shared" si="5"/>
        <v/>
      </c>
      <c r="M930" s="45" t="str">
        <f t="shared" si="6"/>
        <v/>
      </c>
      <c r="N930" s="45" t="str">
        <f t="shared" si="7"/>
        <v/>
      </c>
      <c r="O930" s="45" t="str">
        <f t="shared" si="8"/>
        <v/>
      </c>
      <c r="P930" s="45" t="str">
        <f t="shared" si="9"/>
        <v/>
      </c>
    </row>
    <row r="931" spans="1:16" ht="17.25">
      <c r="A931" s="276" t="s">
        <v>5647</v>
      </c>
      <c r="B931" s="351">
        <v>44105</v>
      </c>
      <c r="C931" s="276" t="s">
        <v>5648</v>
      </c>
      <c r="E931" s="278" t="str">
        <f t="shared" si="10"/>
        <v>https://pubmed.ncbi.nlm.nih.gov/?term=PMC7566192</v>
      </c>
      <c r="F931" s="28" t="s">
        <v>511</v>
      </c>
      <c r="G931" s="28" t="s">
        <v>4592</v>
      </c>
      <c r="J931" s="346">
        <f t="shared" si="3"/>
        <v>1</v>
      </c>
      <c r="K931" s="28" t="str">
        <f t="shared" si="4"/>
        <v/>
      </c>
      <c r="L931" s="45" t="str">
        <f t="shared" si="5"/>
        <v/>
      </c>
      <c r="M931" s="45" t="str">
        <f t="shared" si="6"/>
        <v/>
      </c>
      <c r="N931" s="45" t="str">
        <f t="shared" si="7"/>
        <v/>
      </c>
      <c r="O931" s="45" t="str">
        <f t="shared" si="8"/>
        <v/>
      </c>
      <c r="P931" s="45" t="str">
        <f t="shared" si="9"/>
        <v/>
      </c>
    </row>
    <row r="932" spans="1:16" ht="17.25">
      <c r="A932" s="276" t="s">
        <v>5649</v>
      </c>
      <c r="B932" s="351">
        <v>44228</v>
      </c>
      <c r="C932" s="276" t="s">
        <v>5650</v>
      </c>
      <c r="E932" s="278" t="str">
        <f t="shared" si="10"/>
        <v>https://pubmed.ncbi.nlm.nih.gov/?term=PMC7733686</v>
      </c>
      <c r="F932" s="28" t="s">
        <v>511</v>
      </c>
      <c r="G932" s="28" t="s">
        <v>4592</v>
      </c>
      <c r="J932" s="346">
        <f t="shared" si="3"/>
        <v>1</v>
      </c>
      <c r="K932" s="28" t="str">
        <f t="shared" si="4"/>
        <v/>
      </c>
      <c r="L932" s="45" t="str">
        <f t="shared" si="5"/>
        <v/>
      </c>
      <c r="M932" s="45" t="str">
        <f t="shared" si="6"/>
        <v/>
      </c>
      <c r="N932" s="45" t="str">
        <f t="shared" si="7"/>
        <v/>
      </c>
      <c r="O932" s="45" t="str">
        <f t="shared" si="8"/>
        <v/>
      </c>
      <c r="P932" s="45" t="str">
        <f t="shared" si="9"/>
        <v/>
      </c>
    </row>
    <row r="933" spans="1:16" ht="17.25">
      <c r="A933" s="276" t="s">
        <v>5651</v>
      </c>
      <c r="B933" s="351">
        <v>43252</v>
      </c>
      <c r="C933" s="276" t="s">
        <v>5652</v>
      </c>
      <c r="E933" s="278" t="str">
        <f t="shared" si="10"/>
        <v>https://pubmed.ncbi.nlm.nih.gov/?term=PMC6005168</v>
      </c>
      <c r="F933" s="28" t="s">
        <v>511</v>
      </c>
      <c r="G933" s="28" t="s">
        <v>4867</v>
      </c>
      <c r="J933" s="346" t="str">
        <f t="shared" si="3"/>
        <v/>
      </c>
      <c r="K933" s="28" t="str">
        <f t="shared" si="4"/>
        <v/>
      </c>
      <c r="L933" s="45" t="str">
        <f t="shared" si="5"/>
        <v/>
      </c>
      <c r="M933" s="45" t="str">
        <f t="shared" si="6"/>
        <v/>
      </c>
      <c r="N933" s="45">
        <f t="shared" si="7"/>
        <v>1</v>
      </c>
      <c r="O933" s="45" t="str">
        <f t="shared" si="8"/>
        <v/>
      </c>
      <c r="P933" s="45" t="str">
        <f t="shared" si="9"/>
        <v/>
      </c>
    </row>
    <row r="934" spans="1:16" ht="17.25">
      <c r="A934" s="276" t="s">
        <v>5653</v>
      </c>
      <c r="B934" s="351">
        <v>43709</v>
      </c>
      <c r="C934" s="276" t="s">
        <v>5654</v>
      </c>
      <c r="E934" s="278" t="str">
        <f t="shared" si="10"/>
        <v>https://pubmed.ncbi.nlm.nih.gov/?term=PMC6820821</v>
      </c>
      <c r="F934" s="28" t="s">
        <v>511</v>
      </c>
      <c r="G934" s="28" t="s">
        <v>5640</v>
      </c>
      <c r="J934" s="346">
        <f t="shared" si="3"/>
        <v>1</v>
      </c>
      <c r="K934" s="28" t="str">
        <f t="shared" si="4"/>
        <v/>
      </c>
      <c r="L934" s="45" t="str">
        <f t="shared" si="5"/>
        <v/>
      </c>
      <c r="M934" s="45" t="str">
        <f t="shared" si="6"/>
        <v/>
      </c>
      <c r="N934" s="45" t="str">
        <f t="shared" si="7"/>
        <v/>
      </c>
      <c r="O934" s="45" t="str">
        <f t="shared" si="8"/>
        <v/>
      </c>
      <c r="P934" s="45" t="str">
        <f t="shared" si="9"/>
        <v/>
      </c>
    </row>
    <row r="935" spans="1:16" ht="17.25">
      <c r="A935" s="276" t="s">
        <v>5655</v>
      </c>
      <c r="B935" s="28">
        <v>2018</v>
      </c>
      <c r="C935" s="276" t="s">
        <v>5656</v>
      </c>
      <c r="E935" s="278" t="str">
        <f t="shared" si="10"/>
        <v>https://pubmed.ncbi.nlm.nih.gov/?term=PMC7152424</v>
      </c>
      <c r="F935" s="28" t="s">
        <v>511</v>
      </c>
      <c r="G935" s="28" t="s">
        <v>4592</v>
      </c>
      <c r="J935" s="346">
        <f t="shared" si="3"/>
        <v>1</v>
      </c>
      <c r="K935" s="28" t="str">
        <f t="shared" si="4"/>
        <v/>
      </c>
      <c r="L935" s="45" t="str">
        <f t="shared" si="5"/>
        <v/>
      </c>
      <c r="M935" s="45" t="str">
        <f t="shared" si="6"/>
        <v/>
      </c>
      <c r="N935" s="45" t="str">
        <f t="shared" si="7"/>
        <v/>
      </c>
      <c r="O935" s="45" t="str">
        <f t="shared" si="8"/>
        <v/>
      </c>
      <c r="P935" s="45" t="str">
        <f t="shared" si="9"/>
        <v/>
      </c>
    </row>
    <row r="936" spans="1:16" ht="17.25">
      <c r="A936" s="276" t="s">
        <v>5657</v>
      </c>
      <c r="B936" s="351">
        <v>43800</v>
      </c>
      <c r="C936" s="276" t="s">
        <v>5658</v>
      </c>
      <c r="E936" s="278" t="str">
        <f t="shared" si="10"/>
        <v>https://pubmed.ncbi.nlm.nih.gov/?term=PMC6921376</v>
      </c>
      <c r="F936" s="28" t="s">
        <v>511</v>
      </c>
      <c r="G936" s="28" t="s">
        <v>4592</v>
      </c>
      <c r="J936" s="346">
        <f t="shared" si="3"/>
        <v>1</v>
      </c>
      <c r="K936" s="28" t="str">
        <f t="shared" si="4"/>
        <v/>
      </c>
      <c r="L936" s="45" t="str">
        <f t="shared" si="5"/>
        <v/>
      </c>
      <c r="M936" s="45" t="str">
        <f t="shared" si="6"/>
        <v/>
      </c>
      <c r="N936" s="45" t="str">
        <f t="shared" si="7"/>
        <v/>
      </c>
      <c r="O936" s="45" t="str">
        <f t="shared" si="8"/>
        <v/>
      </c>
      <c r="P936" s="45" t="str">
        <f t="shared" si="9"/>
        <v/>
      </c>
    </row>
    <row r="937" spans="1:16" ht="17.25">
      <c r="A937" s="276" t="s">
        <v>5659</v>
      </c>
      <c r="B937" s="351">
        <v>42430</v>
      </c>
      <c r="C937" s="276" t="s">
        <v>5660</v>
      </c>
      <c r="E937" s="278" t="str">
        <f t="shared" si="10"/>
        <v>https://pubmed.ncbi.nlm.nih.gov/?term=PMC4944327</v>
      </c>
      <c r="F937" s="28" t="s">
        <v>511</v>
      </c>
      <c r="G937" s="28" t="s">
        <v>4592</v>
      </c>
      <c r="J937" s="346">
        <f t="shared" si="3"/>
        <v>1</v>
      </c>
      <c r="K937" s="28" t="str">
        <f t="shared" si="4"/>
        <v/>
      </c>
      <c r="L937" s="45" t="str">
        <f t="shared" si="5"/>
        <v/>
      </c>
      <c r="M937" s="45" t="str">
        <f t="shared" si="6"/>
        <v/>
      </c>
      <c r="N937" s="45" t="str">
        <f t="shared" si="7"/>
        <v/>
      </c>
      <c r="O937" s="45" t="str">
        <f t="shared" si="8"/>
        <v/>
      </c>
      <c r="P937" s="45" t="str">
        <f t="shared" si="9"/>
        <v/>
      </c>
    </row>
    <row r="938" spans="1:16" ht="17.25">
      <c r="A938" s="276" t="s">
        <v>5596</v>
      </c>
      <c r="B938" s="351">
        <v>43647</v>
      </c>
      <c r="C938" s="276" t="s">
        <v>4114</v>
      </c>
      <c r="E938" s="278" t="str">
        <f t="shared" si="10"/>
        <v>https://pubmed.ncbi.nlm.nih.gov/?term=PMC6892374</v>
      </c>
      <c r="H938" s="28" t="s">
        <v>511</v>
      </c>
      <c r="J938" s="346" t="str">
        <f t="shared" si="3"/>
        <v/>
      </c>
      <c r="K938" s="28" t="str">
        <f t="shared" si="4"/>
        <v/>
      </c>
      <c r="L938" s="45" t="str">
        <f t="shared" si="5"/>
        <v/>
      </c>
      <c r="M938" s="45" t="str">
        <f t="shared" si="6"/>
        <v/>
      </c>
      <c r="N938" s="45" t="str">
        <f t="shared" si="7"/>
        <v/>
      </c>
      <c r="O938" s="45" t="str">
        <f t="shared" si="8"/>
        <v/>
      </c>
      <c r="P938" s="45" t="str">
        <f t="shared" si="9"/>
        <v/>
      </c>
    </row>
    <row r="939" spans="1:16" ht="17.25">
      <c r="A939" s="276" t="s">
        <v>5661</v>
      </c>
      <c r="B939" s="351">
        <v>43160</v>
      </c>
      <c r="C939" s="276" t="s">
        <v>5662</v>
      </c>
      <c r="E939" s="278" t="str">
        <f t="shared" si="10"/>
        <v>https://pubmed.ncbi.nlm.nih.gov/?term=PMC5861793</v>
      </c>
      <c r="F939" s="28" t="s">
        <v>511</v>
      </c>
      <c r="G939" s="28" t="s">
        <v>4592</v>
      </c>
      <c r="J939" s="346">
        <f t="shared" si="3"/>
        <v>1</v>
      </c>
      <c r="K939" s="28" t="str">
        <f t="shared" si="4"/>
        <v/>
      </c>
      <c r="L939" s="45" t="str">
        <f t="shared" si="5"/>
        <v/>
      </c>
      <c r="M939" s="45" t="str">
        <f t="shared" si="6"/>
        <v/>
      </c>
      <c r="N939" s="45" t="str">
        <f t="shared" si="7"/>
        <v/>
      </c>
      <c r="O939" s="45" t="str">
        <f t="shared" si="8"/>
        <v/>
      </c>
      <c r="P939" s="45" t="str">
        <f t="shared" si="9"/>
        <v/>
      </c>
    </row>
    <row r="940" spans="1:16" ht="17.25">
      <c r="A940" s="276" t="s">
        <v>5663</v>
      </c>
      <c r="B940" s="351">
        <v>43739</v>
      </c>
      <c r="C940" s="276" t="s">
        <v>4222</v>
      </c>
      <c r="E940" s="278" t="str">
        <f t="shared" si="10"/>
        <v>https://pubmed.ncbi.nlm.nih.gov/?term=PMC6844497</v>
      </c>
      <c r="H940" s="28" t="s">
        <v>511</v>
      </c>
      <c r="J940" s="346" t="str">
        <f t="shared" si="3"/>
        <v/>
      </c>
      <c r="K940" s="28" t="str">
        <f t="shared" si="4"/>
        <v/>
      </c>
      <c r="L940" s="45" t="str">
        <f t="shared" si="5"/>
        <v/>
      </c>
      <c r="M940" s="45" t="str">
        <f t="shared" si="6"/>
        <v/>
      </c>
      <c r="N940" s="45" t="str">
        <f t="shared" si="7"/>
        <v/>
      </c>
      <c r="O940" s="45" t="str">
        <f t="shared" si="8"/>
        <v/>
      </c>
      <c r="P940" s="45" t="str">
        <f t="shared" si="9"/>
        <v/>
      </c>
    </row>
    <row r="941" spans="1:16" ht="17.25">
      <c r="A941" s="276" t="s">
        <v>5664</v>
      </c>
      <c r="B941" s="352">
        <v>43586</v>
      </c>
      <c r="C941" s="276" t="s">
        <v>5665</v>
      </c>
      <c r="E941" s="278" t="str">
        <f t="shared" si="10"/>
        <v>https://pubmed.ncbi.nlm.nih.gov/?term=PMC6492041</v>
      </c>
      <c r="F941" s="28" t="s">
        <v>511</v>
      </c>
      <c r="G941" s="28" t="s">
        <v>5640</v>
      </c>
      <c r="J941" s="346">
        <f t="shared" si="3"/>
        <v>1</v>
      </c>
      <c r="K941" s="28" t="str">
        <f t="shared" si="4"/>
        <v/>
      </c>
      <c r="L941" s="45" t="str">
        <f t="shared" si="5"/>
        <v/>
      </c>
      <c r="M941" s="45" t="str">
        <f t="shared" si="6"/>
        <v/>
      </c>
      <c r="N941" s="45" t="str">
        <f t="shared" si="7"/>
        <v/>
      </c>
      <c r="O941" s="45" t="str">
        <f t="shared" si="8"/>
        <v/>
      </c>
      <c r="P941" s="45" t="str">
        <f t="shared" si="9"/>
        <v/>
      </c>
    </row>
    <row r="942" spans="1:16" ht="17.25">
      <c r="A942" s="276" t="s">
        <v>5666</v>
      </c>
      <c r="B942" s="352">
        <v>43586</v>
      </c>
      <c r="C942" s="276" t="s">
        <v>5667</v>
      </c>
      <c r="E942" s="278" t="str">
        <f t="shared" si="10"/>
        <v>https://pubmed.ncbi.nlm.nih.gov/?term=PMC6501966</v>
      </c>
      <c r="F942" s="28" t="s">
        <v>511</v>
      </c>
      <c r="G942" s="28" t="s">
        <v>5668</v>
      </c>
      <c r="J942" s="346" t="str">
        <f t="shared" si="3"/>
        <v/>
      </c>
      <c r="K942" s="28" t="str">
        <f t="shared" si="4"/>
        <v/>
      </c>
      <c r="L942" s="45" t="str">
        <f t="shared" si="5"/>
        <v/>
      </c>
      <c r="M942" s="45" t="str">
        <f t="shared" si="6"/>
        <v/>
      </c>
      <c r="N942" s="45">
        <f t="shared" si="7"/>
        <v>1</v>
      </c>
      <c r="O942" s="45" t="str">
        <f t="shared" si="8"/>
        <v/>
      </c>
      <c r="P942" s="45" t="str">
        <f t="shared" si="9"/>
        <v/>
      </c>
    </row>
    <row r="943" spans="1:16" ht="17.25">
      <c r="A943" s="276" t="s">
        <v>5669</v>
      </c>
      <c r="B943" s="351">
        <v>44075</v>
      </c>
      <c r="C943" s="276" t="s">
        <v>5670</v>
      </c>
      <c r="E943" s="278" t="str">
        <f t="shared" si="10"/>
        <v>https://pubmed.ncbi.nlm.nih.gov/?term=PMC7428779</v>
      </c>
      <c r="F943" s="28" t="s">
        <v>511</v>
      </c>
      <c r="G943" s="28" t="s">
        <v>4592</v>
      </c>
      <c r="J943" s="346">
        <f t="shared" si="3"/>
        <v>1</v>
      </c>
      <c r="K943" s="28" t="str">
        <f t="shared" si="4"/>
        <v/>
      </c>
      <c r="L943" s="45" t="str">
        <f t="shared" si="5"/>
        <v/>
      </c>
      <c r="M943" s="45" t="str">
        <f t="shared" si="6"/>
        <v/>
      </c>
      <c r="N943" s="45" t="str">
        <f t="shared" si="7"/>
        <v/>
      </c>
      <c r="O943" s="45" t="str">
        <f t="shared" si="8"/>
        <v/>
      </c>
      <c r="P943" s="45" t="str">
        <f t="shared" si="9"/>
        <v/>
      </c>
    </row>
    <row r="944" spans="1:16" ht="17.25">
      <c r="A944" s="276" t="s">
        <v>5671</v>
      </c>
      <c r="B944" s="351">
        <v>44044</v>
      </c>
      <c r="C944" s="276" t="s">
        <v>5672</v>
      </c>
      <c r="E944" s="278" t="str">
        <f t="shared" si="10"/>
        <v>https://pubmed.ncbi.nlm.nih.gov/?term=PMC7564369</v>
      </c>
      <c r="F944" s="28" t="s">
        <v>511</v>
      </c>
      <c r="G944" s="28" t="s">
        <v>4592</v>
      </c>
      <c r="J944" s="346">
        <f t="shared" si="3"/>
        <v>1</v>
      </c>
      <c r="K944" s="28" t="str">
        <f t="shared" si="4"/>
        <v/>
      </c>
      <c r="L944" s="45" t="str">
        <f t="shared" si="5"/>
        <v/>
      </c>
      <c r="M944" s="45" t="str">
        <f t="shared" si="6"/>
        <v/>
      </c>
      <c r="N944" s="45" t="str">
        <f t="shared" si="7"/>
        <v/>
      </c>
      <c r="O944" s="45" t="str">
        <f t="shared" si="8"/>
        <v/>
      </c>
      <c r="P944" s="45" t="str">
        <f t="shared" si="9"/>
        <v/>
      </c>
    </row>
    <row r="945" spans="1:16" ht="17.25">
      <c r="A945" s="276" t="s">
        <v>5619</v>
      </c>
      <c r="B945" s="351">
        <v>44075</v>
      </c>
      <c r="C945" s="276" t="s">
        <v>5673</v>
      </c>
      <c r="E945" s="278" t="str">
        <f t="shared" si="10"/>
        <v>https://pubmed.ncbi.nlm.nih.gov/?term=PMC7564142</v>
      </c>
      <c r="F945" s="28" t="s">
        <v>511</v>
      </c>
      <c r="G945" s="28" t="s">
        <v>4592</v>
      </c>
      <c r="J945" s="346">
        <f t="shared" si="3"/>
        <v>1</v>
      </c>
      <c r="K945" s="28" t="str">
        <f t="shared" si="4"/>
        <v/>
      </c>
      <c r="L945" s="45" t="str">
        <f t="shared" si="5"/>
        <v/>
      </c>
      <c r="M945" s="45" t="str">
        <f t="shared" si="6"/>
        <v/>
      </c>
      <c r="N945" s="45" t="str">
        <f t="shared" si="7"/>
        <v/>
      </c>
      <c r="O945" s="45" t="str">
        <f t="shared" si="8"/>
        <v/>
      </c>
      <c r="P945" s="45" t="str">
        <f t="shared" si="9"/>
        <v/>
      </c>
    </row>
    <row r="946" spans="1:16" ht="17.25">
      <c r="A946" s="276" t="s">
        <v>5674</v>
      </c>
      <c r="B946" s="351">
        <v>44105</v>
      </c>
      <c r="C946" s="276" t="s">
        <v>5675</v>
      </c>
      <c r="E946" s="278" t="str">
        <f t="shared" si="10"/>
        <v>https://pubmed.ncbi.nlm.nih.gov/?term=PMC7591699</v>
      </c>
      <c r="F946" s="28" t="s">
        <v>511</v>
      </c>
      <c r="G946" s="28" t="s">
        <v>4592</v>
      </c>
      <c r="J946" s="346">
        <f t="shared" si="3"/>
        <v>1</v>
      </c>
      <c r="K946" s="28" t="str">
        <f t="shared" si="4"/>
        <v/>
      </c>
      <c r="L946" s="45" t="str">
        <f t="shared" si="5"/>
        <v/>
      </c>
      <c r="M946" s="45" t="str">
        <f t="shared" si="6"/>
        <v/>
      </c>
      <c r="N946" s="45" t="str">
        <f t="shared" si="7"/>
        <v/>
      </c>
      <c r="O946" s="45" t="str">
        <f t="shared" si="8"/>
        <v/>
      </c>
      <c r="P946" s="45" t="str">
        <f t="shared" si="9"/>
        <v/>
      </c>
    </row>
    <row r="947" spans="1:16" ht="17.25">
      <c r="A947" s="276" t="s">
        <v>5676</v>
      </c>
      <c r="B947" s="351">
        <v>43009</v>
      </c>
      <c r="C947" s="276" t="s">
        <v>5677</v>
      </c>
      <c r="E947" s="278" t="str">
        <f t="shared" si="10"/>
        <v>https://pubmed.ncbi.nlm.nih.gov/?term=PMC5652574</v>
      </c>
      <c r="F947" s="28" t="s">
        <v>511</v>
      </c>
      <c r="G947" s="28" t="s">
        <v>5668</v>
      </c>
      <c r="J947" s="346" t="str">
        <f t="shared" si="3"/>
        <v/>
      </c>
      <c r="K947" s="28" t="str">
        <f t="shared" si="4"/>
        <v/>
      </c>
      <c r="L947" s="45" t="str">
        <f t="shared" si="5"/>
        <v/>
      </c>
      <c r="M947" s="45" t="str">
        <f t="shared" si="6"/>
        <v/>
      </c>
      <c r="N947" s="45">
        <f t="shared" si="7"/>
        <v>1</v>
      </c>
      <c r="O947" s="45" t="str">
        <f t="shared" si="8"/>
        <v/>
      </c>
      <c r="P947" s="45" t="str">
        <f t="shared" si="9"/>
        <v/>
      </c>
    </row>
    <row r="948" spans="1:16" ht="17.25">
      <c r="A948" s="276" t="s">
        <v>5678</v>
      </c>
      <c r="B948" s="351">
        <v>43739</v>
      </c>
      <c r="C948" s="276" t="s">
        <v>5679</v>
      </c>
      <c r="E948" s="278" t="str">
        <f t="shared" si="10"/>
        <v>https://pubmed.ncbi.nlm.nih.gov/?term=PMC6822991</v>
      </c>
      <c r="F948" s="28" t="s">
        <v>511</v>
      </c>
      <c r="G948" s="28" t="s">
        <v>4592</v>
      </c>
      <c r="J948" s="346">
        <f t="shared" si="3"/>
        <v>1</v>
      </c>
      <c r="K948" s="28" t="str">
        <f t="shared" si="4"/>
        <v/>
      </c>
      <c r="L948" s="45" t="str">
        <f t="shared" si="5"/>
        <v/>
      </c>
      <c r="M948" s="45" t="str">
        <f t="shared" si="6"/>
        <v/>
      </c>
      <c r="N948" s="45" t="str">
        <f t="shared" si="7"/>
        <v/>
      </c>
      <c r="O948" s="45" t="str">
        <f t="shared" si="8"/>
        <v/>
      </c>
      <c r="P948" s="45" t="str">
        <f t="shared" si="9"/>
        <v/>
      </c>
    </row>
    <row r="949" spans="1:16" ht="17.25">
      <c r="A949" s="276" t="s">
        <v>5645</v>
      </c>
      <c r="B949" s="351">
        <v>44197</v>
      </c>
      <c r="C949" s="276" t="s">
        <v>5680</v>
      </c>
      <c r="E949" s="278" t="str">
        <f t="shared" si="10"/>
        <v>https://pubmed.ncbi.nlm.nih.gov/?term=PMC7598752</v>
      </c>
      <c r="F949" s="28" t="s">
        <v>511</v>
      </c>
      <c r="G949" s="28" t="s">
        <v>5640</v>
      </c>
      <c r="J949" s="346">
        <f t="shared" si="3"/>
        <v>1</v>
      </c>
      <c r="K949" s="28" t="str">
        <f t="shared" si="4"/>
        <v/>
      </c>
      <c r="L949" s="45" t="str">
        <f t="shared" si="5"/>
        <v/>
      </c>
      <c r="M949" s="45" t="str">
        <f t="shared" si="6"/>
        <v/>
      </c>
      <c r="N949" s="45" t="str">
        <f t="shared" si="7"/>
        <v/>
      </c>
      <c r="O949" s="45" t="str">
        <f t="shared" si="8"/>
        <v/>
      </c>
      <c r="P949" s="45" t="str">
        <f t="shared" si="9"/>
        <v/>
      </c>
    </row>
    <row r="950" spans="1:16" ht="17.25">
      <c r="A950" s="276" t="s">
        <v>5681</v>
      </c>
      <c r="B950" s="351">
        <v>43983</v>
      </c>
      <c r="C950" s="276" t="s">
        <v>5682</v>
      </c>
      <c r="E950" s="278" t="str">
        <f t="shared" si="10"/>
        <v>https://pubmed.ncbi.nlm.nih.gov/?term=PMC7329983</v>
      </c>
      <c r="F950" s="28" t="s">
        <v>511</v>
      </c>
      <c r="G950" s="28" t="s">
        <v>4592</v>
      </c>
      <c r="J950" s="346">
        <f t="shared" si="3"/>
        <v>1</v>
      </c>
      <c r="K950" s="28" t="str">
        <f t="shared" si="4"/>
        <v/>
      </c>
      <c r="L950" s="45" t="str">
        <f t="shared" si="5"/>
        <v/>
      </c>
      <c r="M950" s="45" t="str">
        <f t="shared" si="6"/>
        <v/>
      </c>
      <c r="N950" s="45" t="str">
        <f t="shared" si="7"/>
        <v/>
      </c>
      <c r="O950" s="45" t="str">
        <f t="shared" si="8"/>
        <v/>
      </c>
      <c r="P950" s="45" t="str">
        <f t="shared" si="9"/>
        <v/>
      </c>
    </row>
    <row r="951" spans="1:16" ht="17.25">
      <c r="A951" s="276" t="s">
        <v>5683</v>
      </c>
      <c r="B951" s="351">
        <v>40909</v>
      </c>
      <c r="C951" s="276" t="s">
        <v>5684</v>
      </c>
      <c r="E951" s="278" t="str">
        <f t="shared" si="10"/>
        <v>https://pubmed.ncbi.nlm.nih.gov/?term=PMC3286401</v>
      </c>
      <c r="F951" s="28" t="s">
        <v>511</v>
      </c>
      <c r="G951" s="28" t="s">
        <v>4592</v>
      </c>
      <c r="J951" s="346">
        <f t="shared" si="3"/>
        <v>1</v>
      </c>
      <c r="K951" s="28" t="str">
        <f t="shared" si="4"/>
        <v/>
      </c>
      <c r="L951" s="45" t="str">
        <f t="shared" si="5"/>
        <v/>
      </c>
      <c r="M951" s="45" t="str">
        <f t="shared" si="6"/>
        <v/>
      </c>
      <c r="N951" s="45" t="str">
        <f t="shared" si="7"/>
        <v/>
      </c>
      <c r="O951" s="45" t="str">
        <f t="shared" si="8"/>
        <v/>
      </c>
      <c r="P951" s="45" t="str">
        <f t="shared" si="9"/>
        <v/>
      </c>
    </row>
    <row r="952" spans="1:16" ht="17.25">
      <c r="A952" s="276" t="s">
        <v>5685</v>
      </c>
      <c r="B952" s="351">
        <v>42675</v>
      </c>
      <c r="C952" s="276" t="s">
        <v>5686</v>
      </c>
      <c r="E952" s="278" t="str">
        <f t="shared" si="10"/>
        <v>https://pubmed.ncbi.nlm.nih.gov/?term=PMC5628252</v>
      </c>
      <c r="F952" s="28" t="s">
        <v>511</v>
      </c>
      <c r="G952" s="28" t="s">
        <v>4592</v>
      </c>
      <c r="J952" s="346">
        <f t="shared" si="3"/>
        <v>1</v>
      </c>
      <c r="K952" s="28" t="str">
        <f t="shared" si="4"/>
        <v/>
      </c>
      <c r="L952" s="45" t="str">
        <f t="shared" si="5"/>
        <v/>
      </c>
      <c r="M952" s="45" t="str">
        <f t="shared" si="6"/>
        <v/>
      </c>
      <c r="N952" s="45" t="str">
        <f t="shared" si="7"/>
        <v/>
      </c>
      <c r="O952" s="45" t="str">
        <f t="shared" si="8"/>
        <v/>
      </c>
      <c r="P952" s="45" t="str">
        <f t="shared" si="9"/>
        <v/>
      </c>
    </row>
    <row r="953" spans="1:16" ht="17.25">
      <c r="A953" s="276" t="s">
        <v>5687</v>
      </c>
      <c r="B953" s="28">
        <v>2018</v>
      </c>
      <c r="C953" s="276" t="s">
        <v>5688</v>
      </c>
      <c r="E953" s="278" t="str">
        <f t="shared" si="10"/>
        <v>https://pubmed.ncbi.nlm.nih.gov/?term=PMC7152379</v>
      </c>
      <c r="F953" s="28" t="s">
        <v>511</v>
      </c>
      <c r="G953" s="28" t="s">
        <v>4592</v>
      </c>
      <c r="J953" s="346">
        <f t="shared" si="3"/>
        <v>1</v>
      </c>
      <c r="K953" s="28" t="str">
        <f t="shared" si="4"/>
        <v/>
      </c>
      <c r="L953" s="45" t="str">
        <f t="shared" si="5"/>
        <v/>
      </c>
      <c r="M953" s="45" t="str">
        <f t="shared" si="6"/>
        <v/>
      </c>
      <c r="N953" s="45" t="str">
        <f t="shared" si="7"/>
        <v/>
      </c>
      <c r="O953" s="45" t="str">
        <f t="shared" si="8"/>
        <v/>
      </c>
      <c r="P953" s="45" t="str">
        <f t="shared" si="9"/>
        <v/>
      </c>
    </row>
    <row r="954" spans="1:16" ht="17.25">
      <c r="A954" s="276" t="s">
        <v>5689</v>
      </c>
      <c r="B954" s="351">
        <v>43405</v>
      </c>
      <c r="C954" s="276" t="s">
        <v>5690</v>
      </c>
      <c r="E954" s="278" t="str">
        <f t="shared" si="10"/>
        <v>https://pubmed.ncbi.nlm.nih.gov/?term=PMC7553736</v>
      </c>
      <c r="F954" s="28" t="s">
        <v>511</v>
      </c>
      <c r="G954" s="28" t="s">
        <v>4592</v>
      </c>
      <c r="J954" s="346">
        <f t="shared" si="3"/>
        <v>1</v>
      </c>
      <c r="K954" s="28" t="str">
        <f t="shared" si="4"/>
        <v/>
      </c>
      <c r="L954" s="45" t="str">
        <f t="shared" si="5"/>
        <v/>
      </c>
      <c r="M954" s="45" t="str">
        <f t="shared" si="6"/>
        <v/>
      </c>
      <c r="N954" s="45" t="str">
        <f t="shared" si="7"/>
        <v/>
      </c>
      <c r="O954" s="45" t="str">
        <f t="shared" si="8"/>
        <v/>
      </c>
      <c r="P954" s="45" t="str">
        <f t="shared" si="9"/>
        <v/>
      </c>
    </row>
    <row r="955" spans="1:16" ht="17.25">
      <c r="A955" s="276" t="s">
        <v>5691</v>
      </c>
      <c r="B955" s="351">
        <v>43191</v>
      </c>
      <c r="C955" s="276" t="s">
        <v>5692</v>
      </c>
      <c r="E955" s="278" t="str">
        <f t="shared" si="10"/>
        <v>https://pubmed.ncbi.nlm.nih.gov/?term=PMC6027361</v>
      </c>
      <c r="F955" s="28" t="s">
        <v>511</v>
      </c>
      <c r="G955" s="28" t="s">
        <v>4592</v>
      </c>
      <c r="J955" s="346">
        <f t="shared" si="3"/>
        <v>1</v>
      </c>
      <c r="K955" s="28" t="str">
        <f t="shared" si="4"/>
        <v/>
      </c>
      <c r="L955" s="45" t="str">
        <f t="shared" si="5"/>
        <v/>
      </c>
      <c r="M955" s="45" t="str">
        <f t="shared" si="6"/>
        <v/>
      </c>
      <c r="N955" s="45" t="str">
        <f t="shared" si="7"/>
        <v/>
      </c>
      <c r="O955" s="45" t="str">
        <f t="shared" si="8"/>
        <v/>
      </c>
      <c r="P955" s="45" t="str">
        <f t="shared" si="9"/>
        <v/>
      </c>
    </row>
    <row r="956" spans="1:16" ht="17.25">
      <c r="A956" s="276" t="s">
        <v>5693</v>
      </c>
      <c r="B956" s="351">
        <v>43556</v>
      </c>
      <c r="C956" s="276" t="s">
        <v>5694</v>
      </c>
      <c r="E956" s="278" t="str">
        <f t="shared" si="10"/>
        <v>https://pubmed.ncbi.nlm.nih.gov/?term=PMC6489464</v>
      </c>
      <c r="F956" s="28" t="s">
        <v>511</v>
      </c>
      <c r="G956" s="28" t="s">
        <v>5273</v>
      </c>
      <c r="J956" s="346">
        <f t="shared" si="3"/>
        <v>1</v>
      </c>
      <c r="K956" s="28" t="str">
        <f t="shared" si="4"/>
        <v/>
      </c>
      <c r="L956" s="45" t="str">
        <f t="shared" si="5"/>
        <v/>
      </c>
      <c r="M956" s="45" t="str">
        <f t="shared" si="6"/>
        <v/>
      </c>
      <c r="N956" s="45" t="str">
        <f t="shared" si="7"/>
        <v/>
      </c>
      <c r="O956" s="45" t="str">
        <f t="shared" si="8"/>
        <v/>
      </c>
      <c r="P956" s="45" t="str">
        <f t="shared" si="9"/>
        <v/>
      </c>
    </row>
    <row r="957" spans="1:16" ht="17.25">
      <c r="A957" s="276" t="s">
        <v>5695</v>
      </c>
      <c r="B957" s="351">
        <v>43800</v>
      </c>
      <c r="C957" s="276" t="s">
        <v>5696</v>
      </c>
      <c r="E957" s="278" t="str">
        <f t="shared" si="10"/>
        <v>https://pubmed.ncbi.nlm.nih.gov/?term=PMC6901126</v>
      </c>
      <c r="F957" s="28" t="s">
        <v>511</v>
      </c>
      <c r="G957" s="28" t="s">
        <v>5640</v>
      </c>
      <c r="J957" s="346">
        <f t="shared" si="3"/>
        <v>1</v>
      </c>
      <c r="K957" s="28" t="str">
        <f t="shared" si="4"/>
        <v/>
      </c>
      <c r="L957" s="45" t="str">
        <f t="shared" si="5"/>
        <v/>
      </c>
      <c r="M957" s="45" t="str">
        <f t="shared" si="6"/>
        <v/>
      </c>
      <c r="N957" s="45" t="str">
        <f t="shared" si="7"/>
        <v/>
      </c>
      <c r="O957" s="45" t="str">
        <f t="shared" si="8"/>
        <v/>
      </c>
      <c r="P957" s="45" t="str">
        <f t="shared" si="9"/>
        <v/>
      </c>
    </row>
    <row r="958" spans="1:16" ht="17.25">
      <c r="A958" s="276" t="s">
        <v>5697</v>
      </c>
      <c r="B958" s="351">
        <v>42095</v>
      </c>
      <c r="C958" s="276" t="s">
        <v>5698</v>
      </c>
      <c r="E958" s="278" t="str">
        <f t="shared" si="10"/>
        <v>https://pubmed.ncbi.nlm.nih.gov/?term=PMC4494348</v>
      </c>
      <c r="F958" s="28" t="s">
        <v>511</v>
      </c>
      <c r="G958" s="28" t="s">
        <v>4592</v>
      </c>
      <c r="J958" s="346">
        <f t="shared" si="3"/>
        <v>1</v>
      </c>
      <c r="K958" s="28" t="str">
        <f t="shared" si="4"/>
        <v/>
      </c>
      <c r="L958" s="45" t="str">
        <f t="shared" si="5"/>
        <v/>
      </c>
      <c r="M958" s="45" t="str">
        <f t="shared" si="6"/>
        <v/>
      </c>
      <c r="N958" s="45" t="str">
        <f t="shared" si="7"/>
        <v/>
      </c>
      <c r="O958" s="45" t="str">
        <f t="shared" si="8"/>
        <v/>
      </c>
      <c r="P958" s="45" t="str">
        <f t="shared" si="9"/>
        <v/>
      </c>
    </row>
    <row r="959" spans="1:16" ht="17.25">
      <c r="A959" s="276" t="s">
        <v>5699</v>
      </c>
      <c r="B959" s="351">
        <v>44105</v>
      </c>
      <c r="C959" s="276" t="s">
        <v>5700</v>
      </c>
      <c r="E959" s="278" t="str">
        <f t="shared" si="10"/>
        <v>https://pubmed.ncbi.nlm.nih.gov/?term=PMC7591467</v>
      </c>
      <c r="F959" s="28" t="s">
        <v>511</v>
      </c>
      <c r="G959" s="28" t="s">
        <v>4592</v>
      </c>
      <c r="J959" s="346">
        <f t="shared" si="3"/>
        <v>1</v>
      </c>
      <c r="K959" s="28" t="str">
        <f t="shared" si="4"/>
        <v/>
      </c>
      <c r="L959" s="45" t="str">
        <f t="shared" si="5"/>
        <v/>
      </c>
      <c r="M959" s="45" t="str">
        <f t="shared" si="6"/>
        <v/>
      </c>
      <c r="N959" s="45" t="str">
        <f t="shared" si="7"/>
        <v/>
      </c>
      <c r="O959" s="45" t="str">
        <f t="shared" si="8"/>
        <v/>
      </c>
      <c r="P959" s="45" t="str">
        <f t="shared" si="9"/>
        <v/>
      </c>
    </row>
    <row r="960" spans="1:16" ht="17.25">
      <c r="A960" s="276" t="s">
        <v>5701</v>
      </c>
      <c r="B960" s="28">
        <v>2019</v>
      </c>
      <c r="C960" s="276" t="s">
        <v>5702</v>
      </c>
      <c r="E960" s="278" t="str">
        <f t="shared" si="10"/>
        <v>https://pubmed.ncbi.nlm.nih.gov/?term=PMC6663142</v>
      </c>
      <c r="F960" s="28" t="s">
        <v>511</v>
      </c>
      <c r="G960" s="28" t="s">
        <v>4592</v>
      </c>
      <c r="J960" s="346">
        <f t="shared" si="3"/>
        <v>1</v>
      </c>
      <c r="K960" s="28" t="str">
        <f t="shared" si="4"/>
        <v/>
      </c>
      <c r="L960" s="45" t="str">
        <f t="shared" si="5"/>
        <v/>
      </c>
      <c r="M960" s="45" t="str">
        <f t="shared" si="6"/>
        <v/>
      </c>
      <c r="N960" s="45" t="str">
        <f t="shared" si="7"/>
        <v/>
      </c>
      <c r="O960" s="45" t="str">
        <f t="shared" si="8"/>
        <v/>
      </c>
      <c r="P960" s="45" t="str">
        <f t="shared" si="9"/>
        <v/>
      </c>
    </row>
    <row r="961" spans="1:16" ht="17.25">
      <c r="A961" s="276" t="s">
        <v>5703</v>
      </c>
      <c r="B961" s="351">
        <v>44105</v>
      </c>
      <c r="C961" s="276" t="s">
        <v>5704</v>
      </c>
      <c r="E961" s="278" t="str">
        <f t="shared" si="10"/>
        <v>https://pubmed.ncbi.nlm.nih.gov/?term=PMC7589362</v>
      </c>
      <c r="F961" s="28" t="s">
        <v>511</v>
      </c>
      <c r="G961" s="28" t="s">
        <v>5273</v>
      </c>
      <c r="I961" s="28" t="s">
        <v>5705</v>
      </c>
      <c r="J961" s="346">
        <f t="shared" si="3"/>
        <v>1</v>
      </c>
      <c r="K961" s="28" t="str">
        <f t="shared" si="4"/>
        <v/>
      </c>
      <c r="L961" s="45" t="str">
        <f t="shared" si="5"/>
        <v/>
      </c>
      <c r="M961" s="45" t="str">
        <f t="shared" si="6"/>
        <v/>
      </c>
      <c r="N961" s="45" t="str">
        <f t="shared" si="7"/>
        <v/>
      </c>
      <c r="O961" s="45" t="str">
        <f t="shared" si="8"/>
        <v/>
      </c>
      <c r="P961" s="45" t="str">
        <f t="shared" si="9"/>
        <v/>
      </c>
    </row>
    <row r="962" spans="1:16" ht="17.25">
      <c r="A962" s="276" t="s">
        <v>5706</v>
      </c>
      <c r="B962" s="351">
        <v>43282</v>
      </c>
      <c r="C962" s="276" t="s">
        <v>5707</v>
      </c>
      <c r="E962" s="278" t="str">
        <f t="shared" si="10"/>
        <v>https://pubmed.ncbi.nlm.nih.gov/?term=PMC6124525</v>
      </c>
      <c r="F962" s="28" t="s">
        <v>511</v>
      </c>
      <c r="G962" s="28" t="s">
        <v>5708</v>
      </c>
      <c r="J962" s="346" t="str">
        <f t="shared" si="3"/>
        <v/>
      </c>
      <c r="K962" s="28" t="str">
        <f t="shared" si="4"/>
        <v/>
      </c>
      <c r="L962" s="45" t="str">
        <f t="shared" si="5"/>
        <v/>
      </c>
      <c r="M962" s="45" t="str">
        <f t="shared" si="6"/>
        <v/>
      </c>
      <c r="N962" s="45">
        <f t="shared" si="7"/>
        <v>1</v>
      </c>
      <c r="O962" s="45" t="str">
        <f t="shared" si="8"/>
        <v/>
      </c>
      <c r="P962" s="45" t="str">
        <f t="shared" si="9"/>
        <v/>
      </c>
    </row>
    <row r="963" spans="1:16" ht="17.25">
      <c r="A963" s="276" t="s">
        <v>5709</v>
      </c>
      <c r="B963" s="351">
        <v>42156</v>
      </c>
      <c r="C963" s="276" t="s">
        <v>5710</v>
      </c>
      <c r="E963" s="278" t="str">
        <f t="shared" si="10"/>
        <v>https://pubmed.ncbi.nlm.nih.gov/?term=PMC4480031</v>
      </c>
      <c r="F963" s="28" t="s">
        <v>511</v>
      </c>
      <c r="G963" s="28" t="s">
        <v>5668</v>
      </c>
      <c r="J963" s="346" t="str">
        <f t="shared" si="3"/>
        <v/>
      </c>
      <c r="K963" s="28" t="str">
        <f t="shared" si="4"/>
        <v/>
      </c>
      <c r="L963" s="45" t="str">
        <f t="shared" si="5"/>
        <v/>
      </c>
      <c r="M963" s="45" t="str">
        <f t="shared" si="6"/>
        <v/>
      </c>
      <c r="N963" s="45">
        <f t="shared" si="7"/>
        <v>1</v>
      </c>
      <c r="O963" s="45" t="str">
        <f t="shared" si="8"/>
        <v/>
      </c>
      <c r="P963" s="45" t="str">
        <f t="shared" si="9"/>
        <v/>
      </c>
    </row>
    <row r="964" spans="1:16" ht="17.25">
      <c r="A964" s="276" t="s">
        <v>5711</v>
      </c>
      <c r="B964" s="351">
        <v>43497</v>
      </c>
      <c r="C964" s="276" t="s">
        <v>5712</v>
      </c>
      <c r="E964" s="278" t="str">
        <f t="shared" si="10"/>
        <v>https://pubmed.ncbi.nlm.nih.gov/?term=PMC6376107</v>
      </c>
      <c r="F964" s="28" t="s">
        <v>511</v>
      </c>
      <c r="G964" s="28" t="s">
        <v>4592</v>
      </c>
      <c r="J964" s="346">
        <f t="shared" si="3"/>
        <v>1</v>
      </c>
      <c r="K964" s="28" t="str">
        <f t="shared" si="4"/>
        <v/>
      </c>
      <c r="L964" s="45" t="str">
        <f t="shared" si="5"/>
        <v/>
      </c>
      <c r="M964" s="45" t="str">
        <f t="shared" si="6"/>
        <v/>
      </c>
      <c r="N964" s="45" t="str">
        <f t="shared" si="7"/>
        <v/>
      </c>
      <c r="O964" s="45" t="str">
        <f t="shared" si="8"/>
        <v/>
      </c>
      <c r="P964" s="45" t="str">
        <f t="shared" si="9"/>
        <v/>
      </c>
    </row>
    <row r="965" spans="1:16" ht="17.25">
      <c r="A965" s="276" t="s">
        <v>5713</v>
      </c>
      <c r="B965" s="28">
        <v>2015</v>
      </c>
      <c r="C965" s="276" t="s">
        <v>5714</v>
      </c>
      <c r="E965" s="278" t="str">
        <f t="shared" si="10"/>
        <v>https://pubmed.ncbi.nlm.nih.gov/?term=PMC4514277</v>
      </c>
      <c r="F965" s="28" t="s">
        <v>511</v>
      </c>
      <c r="G965" s="28" t="s">
        <v>4592</v>
      </c>
      <c r="J965" s="346">
        <f t="shared" si="3"/>
        <v>1</v>
      </c>
      <c r="K965" s="28" t="str">
        <f t="shared" si="4"/>
        <v/>
      </c>
      <c r="L965" s="45" t="str">
        <f t="shared" si="5"/>
        <v/>
      </c>
      <c r="M965" s="45" t="str">
        <f t="shared" si="6"/>
        <v/>
      </c>
      <c r="N965" s="45" t="str">
        <f t="shared" si="7"/>
        <v/>
      </c>
      <c r="O965" s="45" t="str">
        <f t="shared" si="8"/>
        <v/>
      </c>
      <c r="P965" s="45" t="str">
        <f t="shared" si="9"/>
        <v/>
      </c>
    </row>
    <row r="966" spans="1:16" ht="17.25">
      <c r="A966" s="276" t="s">
        <v>5715</v>
      </c>
      <c r="B966" s="351">
        <v>43922</v>
      </c>
      <c r="C966" s="276" t="s">
        <v>5716</v>
      </c>
      <c r="E966" s="278" t="str">
        <f t="shared" si="10"/>
        <v>https://pubmed.ncbi.nlm.nih.gov/?term=PMC7190794</v>
      </c>
      <c r="F966" s="28" t="s">
        <v>511</v>
      </c>
      <c r="G966" s="28" t="s">
        <v>4592</v>
      </c>
      <c r="J966" s="346">
        <f t="shared" si="3"/>
        <v>1</v>
      </c>
      <c r="K966" s="28" t="str">
        <f t="shared" si="4"/>
        <v/>
      </c>
      <c r="L966" s="45" t="str">
        <f t="shared" si="5"/>
        <v/>
      </c>
      <c r="M966" s="45" t="str">
        <f t="shared" si="6"/>
        <v/>
      </c>
      <c r="N966" s="45" t="str">
        <f t="shared" si="7"/>
        <v/>
      </c>
      <c r="O966" s="45" t="str">
        <f t="shared" si="8"/>
        <v/>
      </c>
      <c r="P966" s="45" t="str">
        <f t="shared" si="9"/>
        <v/>
      </c>
    </row>
    <row r="967" spans="1:16" ht="17.25">
      <c r="A967" s="276" t="s">
        <v>5717</v>
      </c>
      <c r="B967" s="351">
        <v>43191</v>
      </c>
      <c r="C967" s="276" t="s">
        <v>5718</v>
      </c>
      <c r="E967" s="278" t="str">
        <f t="shared" si="10"/>
        <v>https://pubmed.ncbi.nlm.nih.gov/?term=PMC6027304</v>
      </c>
      <c r="F967" s="28" t="s">
        <v>511</v>
      </c>
      <c r="G967" s="28" t="s">
        <v>4592</v>
      </c>
      <c r="J967" s="346">
        <f t="shared" si="3"/>
        <v>1</v>
      </c>
      <c r="K967" s="28" t="str">
        <f t="shared" si="4"/>
        <v/>
      </c>
      <c r="L967" s="45" t="str">
        <f t="shared" si="5"/>
        <v/>
      </c>
      <c r="M967" s="45" t="str">
        <f t="shared" si="6"/>
        <v/>
      </c>
      <c r="N967" s="45" t="str">
        <f t="shared" si="7"/>
        <v/>
      </c>
      <c r="O967" s="45" t="str">
        <f t="shared" si="8"/>
        <v/>
      </c>
      <c r="P967" s="45" t="str">
        <f t="shared" si="9"/>
        <v/>
      </c>
    </row>
    <row r="968" spans="1:16" ht="17.25">
      <c r="A968" s="276" t="s">
        <v>5719</v>
      </c>
      <c r="B968" s="351">
        <v>44166</v>
      </c>
      <c r="C968" s="276" t="s">
        <v>5720</v>
      </c>
      <c r="E968" s="278" t="str">
        <f t="shared" si="10"/>
        <v>https://pubmed.ncbi.nlm.nih.gov/?term=PMC7719900</v>
      </c>
      <c r="F968" s="28" t="s">
        <v>511</v>
      </c>
      <c r="G968" s="28" t="s">
        <v>4592</v>
      </c>
      <c r="J968" s="346">
        <f t="shared" si="3"/>
        <v>1</v>
      </c>
      <c r="K968" s="28" t="str">
        <f t="shared" si="4"/>
        <v/>
      </c>
      <c r="L968" s="45" t="str">
        <f t="shared" si="5"/>
        <v/>
      </c>
      <c r="M968" s="45" t="str">
        <f t="shared" si="6"/>
        <v/>
      </c>
      <c r="N968" s="45" t="str">
        <f t="shared" si="7"/>
        <v/>
      </c>
      <c r="O968" s="45" t="str">
        <f t="shared" si="8"/>
        <v/>
      </c>
      <c r="P968" s="45" t="str">
        <f t="shared" si="9"/>
        <v/>
      </c>
    </row>
    <row r="969" spans="1:16" ht="17.25">
      <c r="A969" s="276" t="s">
        <v>5721</v>
      </c>
      <c r="B969" s="351">
        <v>44013</v>
      </c>
      <c r="C969" s="276" t="s">
        <v>5722</v>
      </c>
      <c r="E969" s="278" t="str">
        <f t="shared" si="10"/>
        <v>https://pubmed.ncbi.nlm.nih.gov/?term=PMC7388714</v>
      </c>
      <c r="F969" s="28" t="s">
        <v>511</v>
      </c>
      <c r="G969" s="28" t="s">
        <v>4592</v>
      </c>
      <c r="J969" s="346">
        <f t="shared" si="3"/>
        <v>1</v>
      </c>
      <c r="K969" s="28" t="str">
        <f t="shared" si="4"/>
        <v/>
      </c>
      <c r="L969" s="45" t="str">
        <f t="shared" si="5"/>
        <v/>
      </c>
      <c r="M969" s="45" t="str">
        <f t="shared" si="6"/>
        <v/>
      </c>
      <c r="N969" s="45" t="str">
        <f t="shared" si="7"/>
        <v/>
      </c>
      <c r="O969" s="45" t="str">
        <f t="shared" si="8"/>
        <v/>
      </c>
      <c r="P969" s="45" t="str">
        <f t="shared" si="9"/>
        <v/>
      </c>
    </row>
    <row r="970" spans="1:16" ht="17.25">
      <c r="A970" s="276" t="s">
        <v>5723</v>
      </c>
      <c r="B970" s="351">
        <v>43800</v>
      </c>
      <c r="C970" s="276" t="s">
        <v>5724</v>
      </c>
      <c r="E970" s="278" t="str">
        <f t="shared" si="10"/>
        <v>https://pubmed.ncbi.nlm.nih.gov/?term=PMC7094556</v>
      </c>
      <c r="F970" s="28" t="s">
        <v>511</v>
      </c>
      <c r="G970" s="28" t="s">
        <v>4592</v>
      </c>
      <c r="J970" s="346">
        <f t="shared" si="3"/>
        <v>1</v>
      </c>
      <c r="K970" s="28" t="str">
        <f t="shared" si="4"/>
        <v/>
      </c>
      <c r="L970" s="45" t="str">
        <f t="shared" si="5"/>
        <v/>
      </c>
      <c r="M970" s="45" t="str">
        <f t="shared" si="6"/>
        <v/>
      </c>
      <c r="N970" s="45" t="str">
        <f t="shared" si="7"/>
        <v/>
      </c>
      <c r="O970" s="45" t="str">
        <f t="shared" si="8"/>
        <v/>
      </c>
      <c r="P970" s="45" t="str">
        <f t="shared" si="9"/>
        <v/>
      </c>
    </row>
    <row r="971" spans="1:16" ht="17.25">
      <c r="A971" s="276" t="s">
        <v>5725</v>
      </c>
      <c r="B971" s="351">
        <v>44105</v>
      </c>
      <c r="C971" s="276" t="s">
        <v>5726</v>
      </c>
      <c r="E971" s="278" t="str">
        <f t="shared" si="10"/>
        <v>https://pubmed.ncbi.nlm.nih.gov/?term=PMC7576547</v>
      </c>
      <c r="F971" s="28" t="s">
        <v>511</v>
      </c>
      <c r="G971" s="28" t="s">
        <v>5727</v>
      </c>
      <c r="J971" s="346" t="str">
        <f t="shared" si="3"/>
        <v/>
      </c>
      <c r="K971" s="28" t="str">
        <f t="shared" si="4"/>
        <v/>
      </c>
      <c r="L971" s="45" t="str">
        <f t="shared" si="5"/>
        <v/>
      </c>
      <c r="M971" s="45" t="str">
        <f t="shared" si="6"/>
        <v/>
      </c>
      <c r="N971" s="45">
        <f t="shared" si="7"/>
        <v>1</v>
      </c>
      <c r="O971" s="45" t="str">
        <f t="shared" si="8"/>
        <v/>
      </c>
      <c r="P971" s="45" t="str">
        <f t="shared" si="9"/>
        <v/>
      </c>
    </row>
    <row r="972" spans="1:16" ht="17.25">
      <c r="A972" s="276" t="s">
        <v>5728</v>
      </c>
      <c r="B972" s="351">
        <v>43313</v>
      </c>
      <c r="C972" s="276" t="s">
        <v>5729</v>
      </c>
      <c r="E972" s="278" t="str">
        <f t="shared" si="10"/>
        <v>https://pubmed.ncbi.nlm.nih.gov/?term=PMC7126290</v>
      </c>
      <c r="F972" s="28" t="s">
        <v>511</v>
      </c>
      <c r="G972" s="28" t="s">
        <v>4592</v>
      </c>
      <c r="J972" s="346">
        <f t="shared" si="3"/>
        <v>1</v>
      </c>
      <c r="K972" s="28" t="str">
        <f t="shared" si="4"/>
        <v/>
      </c>
      <c r="L972" s="45" t="str">
        <f t="shared" si="5"/>
        <v/>
      </c>
      <c r="M972" s="45" t="str">
        <f t="shared" si="6"/>
        <v/>
      </c>
      <c r="N972" s="45" t="str">
        <f t="shared" si="7"/>
        <v/>
      </c>
      <c r="O972" s="45" t="str">
        <f t="shared" si="8"/>
        <v/>
      </c>
      <c r="P972" s="45" t="str">
        <f t="shared" si="9"/>
        <v/>
      </c>
    </row>
    <row r="973" spans="1:16" ht="17.25">
      <c r="A973" s="276" t="s">
        <v>5730</v>
      </c>
      <c r="B973" s="351">
        <v>44044</v>
      </c>
      <c r="C973" s="276" t="s">
        <v>5731</v>
      </c>
      <c r="E973" s="278" t="str">
        <f t="shared" si="10"/>
        <v>https://pubmed.ncbi.nlm.nih.gov/?term=PMC7411487</v>
      </c>
      <c r="F973" s="28" t="s">
        <v>511</v>
      </c>
      <c r="G973" s="28" t="s">
        <v>4592</v>
      </c>
      <c r="J973" s="346">
        <f t="shared" si="3"/>
        <v>1</v>
      </c>
      <c r="K973" s="28" t="str">
        <f t="shared" si="4"/>
        <v/>
      </c>
      <c r="L973" s="45" t="str">
        <f t="shared" si="5"/>
        <v/>
      </c>
      <c r="M973" s="45" t="str">
        <f t="shared" si="6"/>
        <v/>
      </c>
      <c r="N973" s="45" t="str">
        <f t="shared" si="7"/>
        <v/>
      </c>
      <c r="O973" s="45" t="str">
        <f t="shared" si="8"/>
        <v/>
      </c>
      <c r="P973" s="45" t="str">
        <f t="shared" si="9"/>
        <v/>
      </c>
    </row>
    <row r="974" spans="1:16" ht="17.25">
      <c r="A974" s="276" t="s">
        <v>5732</v>
      </c>
      <c r="B974" s="351">
        <v>44166</v>
      </c>
      <c r="C974" s="276" t="s">
        <v>5733</v>
      </c>
      <c r="E974" s="278" t="str">
        <f t="shared" si="10"/>
        <v>https://pubmed.ncbi.nlm.nih.gov/?term=PMC7286271</v>
      </c>
      <c r="F974" s="28" t="s">
        <v>511</v>
      </c>
      <c r="G974" s="28" t="s">
        <v>4592</v>
      </c>
      <c r="J974" s="346">
        <f t="shared" si="3"/>
        <v>1</v>
      </c>
      <c r="K974" s="28" t="str">
        <f t="shared" si="4"/>
        <v/>
      </c>
      <c r="L974" s="45" t="str">
        <f t="shared" si="5"/>
        <v/>
      </c>
      <c r="M974" s="45" t="str">
        <f t="shared" si="6"/>
        <v/>
      </c>
      <c r="N974" s="45" t="str">
        <f t="shared" si="7"/>
        <v/>
      </c>
      <c r="O974" s="45" t="str">
        <f t="shared" si="8"/>
        <v/>
      </c>
      <c r="P974" s="45" t="str">
        <f t="shared" si="9"/>
        <v/>
      </c>
    </row>
    <row r="975" spans="1:16" ht="17.25">
      <c r="A975" s="276" t="s">
        <v>5734</v>
      </c>
      <c r="B975" s="351">
        <v>41487</v>
      </c>
      <c r="C975" s="276" t="s">
        <v>5735</v>
      </c>
      <c r="E975" s="278" t="str">
        <f t="shared" si="10"/>
        <v>https://pubmed.ncbi.nlm.nih.gov/?term=PMC3906276</v>
      </c>
      <c r="F975" s="28" t="s">
        <v>511</v>
      </c>
      <c r="G975" s="28" t="s">
        <v>5736</v>
      </c>
      <c r="J975" s="346">
        <f t="shared" si="3"/>
        <v>1</v>
      </c>
      <c r="K975" s="28" t="str">
        <f t="shared" si="4"/>
        <v/>
      </c>
      <c r="L975" s="45" t="str">
        <f t="shared" si="5"/>
        <v/>
      </c>
      <c r="M975" s="45" t="str">
        <f t="shared" si="6"/>
        <v/>
      </c>
      <c r="N975" s="45" t="str">
        <f t="shared" si="7"/>
        <v/>
      </c>
      <c r="O975" s="45" t="str">
        <f t="shared" si="8"/>
        <v/>
      </c>
      <c r="P975" s="45" t="str">
        <f t="shared" si="9"/>
        <v/>
      </c>
    </row>
    <row r="976" spans="1:16" ht="17.25">
      <c r="A976" s="276" t="s">
        <v>5723</v>
      </c>
      <c r="B976" s="351">
        <v>44105</v>
      </c>
      <c r="C976" s="276" t="s">
        <v>5737</v>
      </c>
      <c r="E976" s="278" t="str">
        <f t="shared" si="10"/>
        <v>https://pubmed.ncbi.nlm.nih.gov/?term=PMC7392072</v>
      </c>
      <c r="F976" s="28" t="s">
        <v>511</v>
      </c>
      <c r="G976" s="28" t="s">
        <v>5273</v>
      </c>
      <c r="J976" s="346">
        <f t="shared" si="3"/>
        <v>1</v>
      </c>
      <c r="K976" s="28" t="str">
        <f t="shared" si="4"/>
        <v/>
      </c>
      <c r="L976" s="45" t="str">
        <f t="shared" si="5"/>
        <v/>
      </c>
      <c r="M976" s="45" t="str">
        <f t="shared" si="6"/>
        <v/>
      </c>
      <c r="N976" s="45" t="str">
        <f t="shared" si="7"/>
        <v/>
      </c>
      <c r="O976" s="45" t="str">
        <f t="shared" si="8"/>
        <v/>
      </c>
      <c r="P976" s="45" t="str">
        <f t="shared" si="9"/>
        <v/>
      </c>
    </row>
    <row r="977" spans="1:16" ht="17.25">
      <c r="A977" s="276" t="s">
        <v>5738</v>
      </c>
      <c r="B977" s="351">
        <v>41487</v>
      </c>
      <c r="C977" s="276" t="s">
        <v>5739</v>
      </c>
      <c r="E977" s="278" t="str">
        <f t="shared" si="10"/>
        <v>https://pubmed.ncbi.nlm.nih.gov/?term=PMC3773977</v>
      </c>
      <c r="F977" s="28" t="s">
        <v>511</v>
      </c>
      <c r="G977" s="28" t="s">
        <v>4592</v>
      </c>
      <c r="J977" s="346">
        <f t="shared" si="3"/>
        <v>1</v>
      </c>
      <c r="K977" s="28" t="str">
        <f t="shared" si="4"/>
        <v/>
      </c>
      <c r="L977" s="45" t="str">
        <f t="shared" si="5"/>
        <v/>
      </c>
      <c r="M977" s="45" t="str">
        <f t="shared" si="6"/>
        <v/>
      </c>
      <c r="N977" s="45" t="str">
        <f t="shared" si="7"/>
        <v/>
      </c>
      <c r="O977" s="45" t="str">
        <f t="shared" si="8"/>
        <v/>
      </c>
      <c r="P977" s="45" t="str">
        <f t="shared" si="9"/>
        <v/>
      </c>
    </row>
    <row r="978" spans="1:16" ht="17.25">
      <c r="A978" s="276" t="s">
        <v>5740</v>
      </c>
      <c r="B978" s="351">
        <v>44044</v>
      </c>
      <c r="C978" s="276" t="s">
        <v>5741</v>
      </c>
      <c r="E978" s="278" t="str">
        <f t="shared" si="10"/>
        <v>https://pubmed.ncbi.nlm.nih.gov/?term=PMC7286646</v>
      </c>
      <c r="F978" s="28" t="s">
        <v>511</v>
      </c>
      <c r="G978" s="28" t="s">
        <v>5742</v>
      </c>
      <c r="J978" s="346">
        <f t="shared" si="3"/>
        <v>1</v>
      </c>
      <c r="K978" s="28" t="str">
        <f t="shared" si="4"/>
        <v/>
      </c>
      <c r="L978" s="45" t="str">
        <f t="shared" si="5"/>
        <v/>
      </c>
      <c r="M978" s="45" t="str">
        <f t="shared" si="6"/>
        <v/>
      </c>
      <c r="N978" s="45" t="str">
        <f t="shared" si="7"/>
        <v/>
      </c>
      <c r="O978" s="45" t="str">
        <f t="shared" si="8"/>
        <v/>
      </c>
      <c r="P978" s="45" t="str">
        <f t="shared" si="9"/>
        <v/>
      </c>
    </row>
    <row r="979" spans="1:16" ht="17.25">
      <c r="A979" s="276" t="s">
        <v>5743</v>
      </c>
      <c r="B979" s="351">
        <v>43831</v>
      </c>
      <c r="C979" s="276" t="s">
        <v>5744</v>
      </c>
      <c r="E979" s="278" t="str">
        <f t="shared" si="10"/>
        <v>https://pubmed.ncbi.nlm.nih.gov/?term=PMC6928577</v>
      </c>
      <c r="F979" s="28" t="s">
        <v>511</v>
      </c>
      <c r="G979" s="28" t="s">
        <v>5708</v>
      </c>
      <c r="J979" s="346" t="str">
        <f t="shared" si="3"/>
        <v/>
      </c>
      <c r="K979" s="28" t="str">
        <f t="shared" si="4"/>
        <v/>
      </c>
      <c r="L979" s="45" t="str">
        <f t="shared" si="5"/>
        <v/>
      </c>
      <c r="M979" s="45" t="str">
        <f t="shared" si="6"/>
        <v/>
      </c>
      <c r="N979" s="45">
        <f t="shared" si="7"/>
        <v>1</v>
      </c>
      <c r="O979" s="45" t="str">
        <f t="shared" si="8"/>
        <v/>
      </c>
      <c r="P979" s="45" t="str">
        <f t="shared" si="9"/>
        <v/>
      </c>
    </row>
    <row r="980" spans="1:16" ht="17.25">
      <c r="A980" s="276" t="s">
        <v>5610</v>
      </c>
      <c r="B980" s="351">
        <v>44256</v>
      </c>
      <c r="C980" s="276" t="s">
        <v>5745</v>
      </c>
      <c r="E980" s="278" t="str">
        <f t="shared" si="10"/>
        <v>https://pubmed.ncbi.nlm.nih.gov/?term=PMC7787506</v>
      </c>
      <c r="F980" s="28" t="s">
        <v>511</v>
      </c>
      <c r="G980" s="28" t="s">
        <v>4592</v>
      </c>
      <c r="J980" s="346">
        <f t="shared" si="3"/>
        <v>1</v>
      </c>
      <c r="K980" s="28" t="str">
        <f t="shared" si="4"/>
        <v/>
      </c>
      <c r="L980" s="45" t="str">
        <f t="shared" si="5"/>
        <v/>
      </c>
      <c r="M980" s="45" t="str">
        <f t="shared" si="6"/>
        <v/>
      </c>
      <c r="N980" s="45" t="str">
        <f t="shared" si="7"/>
        <v/>
      </c>
      <c r="O980" s="45" t="str">
        <f t="shared" si="8"/>
        <v/>
      </c>
      <c r="P980" s="45" t="str">
        <f t="shared" si="9"/>
        <v/>
      </c>
    </row>
    <row r="981" spans="1:16" ht="17.25">
      <c r="A981" s="276" t="s">
        <v>5746</v>
      </c>
      <c r="B981" s="351">
        <v>44105</v>
      </c>
      <c r="C981" s="276" t="s">
        <v>5747</v>
      </c>
      <c r="E981" s="278" t="str">
        <f t="shared" si="10"/>
        <v>https://pubmed.ncbi.nlm.nih.gov/?term=PMC7606873</v>
      </c>
      <c r="F981" s="28" t="s">
        <v>511</v>
      </c>
      <c r="G981" s="28" t="s">
        <v>4592</v>
      </c>
      <c r="J981" s="346">
        <f t="shared" si="3"/>
        <v>1</v>
      </c>
      <c r="K981" s="28" t="str">
        <f t="shared" si="4"/>
        <v/>
      </c>
      <c r="L981" s="45" t="str">
        <f t="shared" si="5"/>
        <v/>
      </c>
      <c r="M981" s="45" t="str">
        <f t="shared" si="6"/>
        <v/>
      </c>
      <c r="N981" s="45" t="str">
        <f t="shared" si="7"/>
        <v/>
      </c>
      <c r="O981" s="45" t="str">
        <f t="shared" si="8"/>
        <v/>
      </c>
      <c r="P981" s="45" t="str">
        <f t="shared" si="9"/>
        <v/>
      </c>
    </row>
    <row r="982" spans="1:16" ht="17.25">
      <c r="A982" s="276" t="s">
        <v>5663</v>
      </c>
      <c r="B982" s="351">
        <v>43617</v>
      </c>
      <c r="C982" s="276" t="s">
        <v>4223</v>
      </c>
      <c r="E982" s="278" t="str">
        <f t="shared" si="10"/>
        <v>https://pubmed.ncbi.nlm.nih.gov/?term=PMC6630672</v>
      </c>
      <c r="H982" s="28" t="s">
        <v>511</v>
      </c>
      <c r="J982" s="346" t="str">
        <f t="shared" si="3"/>
        <v/>
      </c>
      <c r="K982" s="28" t="str">
        <f t="shared" si="4"/>
        <v/>
      </c>
      <c r="L982" s="45" t="str">
        <f t="shared" si="5"/>
        <v/>
      </c>
      <c r="M982" s="45" t="str">
        <f t="shared" si="6"/>
        <v/>
      </c>
      <c r="N982" s="45" t="str">
        <f t="shared" si="7"/>
        <v/>
      </c>
      <c r="O982" s="45" t="str">
        <f t="shared" si="8"/>
        <v/>
      </c>
      <c r="P982" s="45" t="str">
        <f t="shared" si="9"/>
        <v/>
      </c>
    </row>
    <row r="983" spans="1:16" ht="17.25">
      <c r="A983" s="276" t="s">
        <v>5748</v>
      </c>
      <c r="B983" s="351">
        <v>44105</v>
      </c>
      <c r="C983" s="276" t="s">
        <v>5749</v>
      </c>
      <c r="E983" s="278" t="str">
        <f t="shared" si="10"/>
        <v>https://pubmed.ncbi.nlm.nih.gov/?term=PMC7520880</v>
      </c>
      <c r="F983" s="28" t="s">
        <v>511</v>
      </c>
      <c r="G983" s="28" t="s">
        <v>5188</v>
      </c>
      <c r="J983" s="346">
        <f t="shared" si="3"/>
        <v>1</v>
      </c>
      <c r="K983" s="28" t="str">
        <f t="shared" si="4"/>
        <v/>
      </c>
      <c r="L983" s="45" t="str">
        <f t="shared" si="5"/>
        <v/>
      </c>
      <c r="M983" s="45" t="str">
        <f t="shared" si="6"/>
        <v/>
      </c>
      <c r="N983" s="45" t="str">
        <f t="shared" si="7"/>
        <v/>
      </c>
      <c r="O983" s="45" t="str">
        <f t="shared" si="8"/>
        <v/>
      </c>
      <c r="P983" s="45" t="str">
        <f t="shared" si="9"/>
        <v/>
      </c>
    </row>
    <row r="984" spans="1:16" ht="17.25">
      <c r="A984" s="276" t="s">
        <v>5750</v>
      </c>
      <c r="B984" s="351">
        <v>41214</v>
      </c>
      <c r="C984" s="276" t="s">
        <v>4557</v>
      </c>
      <c r="E984" s="278" t="str">
        <f t="shared" si="10"/>
        <v>https://pubmed.ncbi.nlm.nih.gov/?term=PMC3732056</v>
      </c>
      <c r="H984" s="28" t="s">
        <v>511</v>
      </c>
      <c r="J984" s="346" t="str">
        <f t="shared" si="3"/>
        <v/>
      </c>
      <c r="K984" s="28" t="str">
        <f t="shared" si="4"/>
        <v/>
      </c>
      <c r="L984" s="45" t="str">
        <f t="shared" si="5"/>
        <v/>
      </c>
      <c r="M984" s="45" t="str">
        <f t="shared" si="6"/>
        <v/>
      </c>
      <c r="N984" s="45" t="str">
        <f t="shared" si="7"/>
        <v/>
      </c>
      <c r="O984" s="45" t="str">
        <f t="shared" si="8"/>
        <v/>
      </c>
      <c r="P984" s="45" t="str">
        <f t="shared" si="9"/>
        <v/>
      </c>
    </row>
    <row r="985" spans="1:16" ht="17.25">
      <c r="A985" s="276" t="s">
        <v>5751</v>
      </c>
      <c r="B985" s="351">
        <v>44197</v>
      </c>
      <c r="C985" s="276" t="s">
        <v>5752</v>
      </c>
      <c r="E985" s="278" t="str">
        <f t="shared" si="10"/>
        <v>https://pubmed.ncbi.nlm.nih.gov/?term=PMC7675299</v>
      </c>
      <c r="F985" s="28" t="s">
        <v>511</v>
      </c>
      <c r="G985" s="28" t="s">
        <v>4592</v>
      </c>
      <c r="J985" s="346">
        <f t="shared" si="3"/>
        <v>1</v>
      </c>
      <c r="K985" s="28" t="str">
        <f t="shared" si="4"/>
        <v/>
      </c>
      <c r="L985" s="45" t="str">
        <f t="shared" si="5"/>
        <v/>
      </c>
      <c r="M985" s="45" t="str">
        <f t="shared" si="6"/>
        <v/>
      </c>
      <c r="N985" s="45" t="str">
        <f t="shared" si="7"/>
        <v/>
      </c>
      <c r="O985" s="45" t="str">
        <f t="shared" si="8"/>
        <v/>
      </c>
      <c r="P985" s="45" t="str">
        <f t="shared" si="9"/>
        <v/>
      </c>
    </row>
    <row r="986" spans="1:16" ht="17.25">
      <c r="A986" s="276" t="s">
        <v>5753</v>
      </c>
      <c r="B986" s="351">
        <v>44136</v>
      </c>
      <c r="C986" s="276" t="s">
        <v>5754</v>
      </c>
      <c r="E986" s="278" t="str">
        <f t="shared" si="10"/>
        <v>https://pubmed.ncbi.nlm.nih.gov/?term=PMC7682548</v>
      </c>
      <c r="F986" s="28" t="s">
        <v>511</v>
      </c>
      <c r="G986" s="28" t="s">
        <v>5188</v>
      </c>
      <c r="J986" s="346">
        <f t="shared" si="3"/>
        <v>1</v>
      </c>
      <c r="K986" s="28" t="str">
        <f t="shared" si="4"/>
        <v/>
      </c>
      <c r="L986" s="45" t="str">
        <f t="shared" si="5"/>
        <v/>
      </c>
      <c r="M986" s="45" t="str">
        <f t="shared" si="6"/>
        <v/>
      </c>
      <c r="N986" s="45" t="str">
        <f t="shared" si="7"/>
        <v/>
      </c>
      <c r="O986" s="45" t="str">
        <f t="shared" si="8"/>
        <v/>
      </c>
      <c r="P986" s="45" t="str">
        <f t="shared" si="9"/>
        <v/>
      </c>
    </row>
    <row r="987" spans="1:16" ht="17.25">
      <c r="A987" s="276" t="s">
        <v>5755</v>
      </c>
      <c r="B987" s="351">
        <v>42217</v>
      </c>
      <c r="C987" s="276" t="s">
        <v>5756</v>
      </c>
      <c r="E987" s="278" t="str">
        <f t="shared" si="10"/>
        <v>https://pubmed.ncbi.nlm.nih.gov/?term=PMC4669850</v>
      </c>
      <c r="F987" s="28" t="s">
        <v>511</v>
      </c>
      <c r="G987" s="28" t="s">
        <v>4867</v>
      </c>
      <c r="J987" s="346" t="str">
        <f t="shared" si="3"/>
        <v/>
      </c>
      <c r="K987" s="28" t="str">
        <f t="shared" si="4"/>
        <v/>
      </c>
      <c r="L987" s="45" t="str">
        <f t="shared" si="5"/>
        <v/>
      </c>
      <c r="M987" s="45" t="str">
        <f t="shared" si="6"/>
        <v/>
      </c>
      <c r="N987" s="45">
        <f t="shared" si="7"/>
        <v>1</v>
      </c>
      <c r="O987" s="45" t="str">
        <f t="shared" si="8"/>
        <v/>
      </c>
      <c r="P987" s="45" t="str">
        <f t="shared" si="9"/>
        <v/>
      </c>
    </row>
    <row r="988" spans="1:16" ht="17.25">
      <c r="A988" s="276" t="s">
        <v>5757</v>
      </c>
      <c r="B988" s="351">
        <v>42736</v>
      </c>
      <c r="C988" s="276" t="s">
        <v>5758</v>
      </c>
      <c r="E988" s="278" t="str">
        <f t="shared" si="10"/>
        <v>https://pubmed.ncbi.nlm.nih.gov/?term=PMC5230743</v>
      </c>
      <c r="F988" s="28" t="s">
        <v>511</v>
      </c>
      <c r="G988" s="28" t="s">
        <v>5759</v>
      </c>
      <c r="J988" s="346" t="str">
        <f t="shared" si="3"/>
        <v/>
      </c>
      <c r="K988" s="28" t="str">
        <f t="shared" si="4"/>
        <v/>
      </c>
      <c r="L988" s="45" t="str">
        <f t="shared" si="5"/>
        <v/>
      </c>
      <c r="M988" s="45" t="str">
        <f t="shared" si="6"/>
        <v/>
      </c>
      <c r="N988" s="45">
        <f t="shared" si="7"/>
        <v>1</v>
      </c>
      <c r="O988" s="45" t="str">
        <f t="shared" si="8"/>
        <v/>
      </c>
      <c r="P988" s="45" t="str">
        <f t="shared" si="9"/>
        <v/>
      </c>
    </row>
    <row r="989" spans="1:16" ht="17.25">
      <c r="A989" s="276" t="s">
        <v>5760</v>
      </c>
      <c r="B989" s="352">
        <v>42856</v>
      </c>
      <c r="C989" s="276" t="s">
        <v>5761</v>
      </c>
      <c r="E989" s="278" t="str">
        <f t="shared" si="10"/>
        <v>https://pubmed.ncbi.nlm.nih.gov/?term=PMC5436874</v>
      </c>
      <c r="F989" s="28" t="s">
        <v>511</v>
      </c>
      <c r="G989" s="28" t="s">
        <v>4867</v>
      </c>
      <c r="J989" s="346" t="str">
        <f t="shared" si="3"/>
        <v/>
      </c>
      <c r="K989" s="28" t="str">
        <f t="shared" si="4"/>
        <v/>
      </c>
      <c r="L989" s="45" t="str">
        <f t="shared" si="5"/>
        <v/>
      </c>
      <c r="M989" s="45" t="str">
        <f t="shared" si="6"/>
        <v/>
      </c>
      <c r="N989" s="45">
        <f t="shared" si="7"/>
        <v>1</v>
      </c>
      <c r="O989" s="45" t="str">
        <f t="shared" si="8"/>
        <v/>
      </c>
      <c r="P989" s="45" t="str">
        <f t="shared" si="9"/>
        <v/>
      </c>
    </row>
    <row r="990" spans="1:16" ht="17.25">
      <c r="A990" s="276" t="s">
        <v>5762</v>
      </c>
      <c r="B990" s="28">
        <v>2020</v>
      </c>
      <c r="C990" s="276" t="s">
        <v>5763</v>
      </c>
      <c r="E990" s="278" t="str">
        <f t="shared" si="10"/>
        <v>https://pubmed.ncbi.nlm.nih.gov/?term=PMC6777997</v>
      </c>
      <c r="F990" s="28" t="s">
        <v>511</v>
      </c>
      <c r="G990" s="28" t="s">
        <v>4592</v>
      </c>
      <c r="J990" s="346">
        <f t="shared" si="3"/>
        <v>1</v>
      </c>
      <c r="K990" s="28" t="str">
        <f t="shared" si="4"/>
        <v/>
      </c>
      <c r="L990" s="45" t="str">
        <f t="shared" si="5"/>
        <v/>
      </c>
      <c r="M990" s="45" t="str">
        <f t="shared" si="6"/>
        <v/>
      </c>
      <c r="N990" s="45" t="str">
        <f t="shared" si="7"/>
        <v/>
      </c>
      <c r="O990" s="45" t="str">
        <f t="shared" si="8"/>
        <v/>
      </c>
      <c r="P990" s="45" t="str">
        <f t="shared" si="9"/>
        <v/>
      </c>
    </row>
    <row r="991" spans="1:16" ht="17.25">
      <c r="A991" s="276" t="s">
        <v>5764</v>
      </c>
      <c r="B991" s="351">
        <v>43101</v>
      </c>
      <c r="C991" s="276" t="s">
        <v>5765</v>
      </c>
      <c r="E991" s="278" t="str">
        <f t="shared" si="10"/>
        <v>https://pubmed.ncbi.nlm.nih.gov/?term=PMC7159495</v>
      </c>
      <c r="F991" s="28" t="s">
        <v>511</v>
      </c>
      <c r="G991" s="28" t="s">
        <v>4592</v>
      </c>
      <c r="J991" s="346">
        <f t="shared" si="3"/>
        <v>1</v>
      </c>
      <c r="K991" s="28" t="str">
        <f t="shared" si="4"/>
        <v/>
      </c>
      <c r="L991" s="45" t="str">
        <f t="shared" si="5"/>
        <v/>
      </c>
      <c r="M991" s="45" t="str">
        <f t="shared" si="6"/>
        <v/>
      </c>
      <c r="N991" s="45" t="str">
        <f t="shared" si="7"/>
        <v/>
      </c>
      <c r="O991" s="45" t="str">
        <f t="shared" si="8"/>
        <v/>
      </c>
      <c r="P991" s="45" t="str">
        <f t="shared" si="9"/>
        <v/>
      </c>
    </row>
    <row r="992" spans="1:16" ht="17.25">
      <c r="A992" s="276" t="s">
        <v>5766</v>
      </c>
      <c r="B992" s="351">
        <v>44044</v>
      </c>
      <c r="C992" s="276" t="s">
        <v>5767</v>
      </c>
      <c r="E992" s="278" t="str">
        <f t="shared" si="10"/>
        <v>https://pubmed.ncbi.nlm.nih.gov/?term=PMC7591868</v>
      </c>
      <c r="F992" s="28" t="s">
        <v>511</v>
      </c>
      <c r="G992" s="28" t="s">
        <v>4592</v>
      </c>
      <c r="J992" s="346">
        <f t="shared" si="3"/>
        <v>1</v>
      </c>
      <c r="K992" s="28" t="str">
        <f t="shared" si="4"/>
        <v/>
      </c>
      <c r="L992" s="45" t="str">
        <f t="shared" si="5"/>
        <v/>
      </c>
      <c r="M992" s="45" t="str">
        <f t="shared" si="6"/>
        <v/>
      </c>
      <c r="N992" s="45" t="str">
        <f t="shared" si="7"/>
        <v/>
      </c>
      <c r="O992" s="45" t="str">
        <f t="shared" si="8"/>
        <v/>
      </c>
      <c r="P992" s="45" t="str">
        <f t="shared" si="9"/>
        <v/>
      </c>
    </row>
    <row r="993" spans="1:16" ht="17.25">
      <c r="A993" s="276" t="s">
        <v>5768</v>
      </c>
      <c r="B993" s="351">
        <v>44044</v>
      </c>
      <c r="C993" s="276" t="s">
        <v>5769</v>
      </c>
      <c r="E993" s="278" t="str">
        <f t="shared" si="10"/>
        <v>https://pubmed.ncbi.nlm.nih.gov/?term=PMC7786643</v>
      </c>
      <c r="F993" s="28" t="s">
        <v>511</v>
      </c>
      <c r="G993" s="28" t="s">
        <v>4592</v>
      </c>
      <c r="J993" s="346">
        <f t="shared" si="3"/>
        <v>1</v>
      </c>
      <c r="K993" s="28" t="str">
        <f t="shared" si="4"/>
        <v/>
      </c>
      <c r="L993" s="45" t="str">
        <f t="shared" si="5"/>
        <v/>
      </c>
      <c r="M993" s="45" t="str">
        <f t="shared" si="6"/>
        <v/>
      </c>
      <c r="N993" s="45" t="str">
        <f t="shared" si="7"/>
        <v/>
      </c>
      <c r="O993" s="45" t="str">
        <f t="shared" si="8"/>
        <v/>
      </c>
      <c r="P993" s="45" t="str">
        <f t="shared" si="9"/>
        <v/>
      </c>
    </row>
    <row r="994" spans="1:16" ht="17.25">
      <c r="A994" s="276" t="s">
        <v>5770</v>
      </c>
      <c r="B994" s="351">
        <v>44228</v>
      </c>
      <c r="C994" s="276" t="s">
        <v>5771</v>
      </c>
      <c r="E994" s="278" t="str">
        <f t="shared" si="10"/>
        <v>https://pubmed.ncbi.nlm.nih.gov/?term=PMC7749647</v>
      </c>
      <c r="F994" s="28" t="s">
        <v>511</v>
      </c>
      <c r="G994" s="28" t="s">
        <v>4592</v>
      </c>
      <c r="J994" s="346">
        <f t="shared" si="3"/>
        <v>1</v>
      </c>
      <c r="K994" s="28" t="str">
        <f t="shared" si="4"/>
        <v/>
      </c>
      <c r="L994" s="45" t="str">
        <f t="shared" si="5"/>
        <v/>
      </c>
      <c r="M994" s="45" t="str">
        <f t="shared" si="6"/>
        <v/>
      </c>
      <c r="N994" s="45" t="str">
        <f t="shared" si="7"/>
        <v/>
      </c>
      <c r="O994" s="45" t="str">
        <f t="shared" si="8"/>
        <v/>
      </c>
      <c r="P994" s="45" t="str">
        <f t="shared" si="9"/>
        <v/>
      </c>
    </row>
    <row r="995" spans="1:16" ht="17.25">
      <c r="A995" s="276" t="s">
        <v>5772</v>
      </c>
      <c r="B995" s="351">
        <v>44287</v>
      </c>
      <c r="C995" s="276" t="s">
        <v>5773</v>
      </c>
      <c r="E995" s="278" t="str">
        <f t="shared" si="10"/>
        <v>https://pubmed.ncbi.nlm.nih.gov/?term=PMC8035613</v>
      </c>
      <c r="F995" s="28" t="s">
        <v>511</v>
      </c>
      <c r="G995" s="28" t="s">
        <v>4592</v>
      </c>
      <c r="J995" s="346">
        <f t="shared" si="3"/>
        <v>1</v>
      </c>
      <c r="K995" s="28" t="str">
        <f t="shared" si="4"/>
        <v/>
      </c>
      <c r="L995" s="45" t="str">
        <f t="shared" si="5"/>
        <v/>
      </c>
      <c r="M995" s="45" t="str">
        <f t="shared" si="6"/>
        <v/>
      </c>
      <c r="N995" s="45" t="str">
        <f t="shared" si="7"/>
        <v/>
      </c>
      <c r="O995" s="45" t="str">
        <f t="shared" si="8"/>
        <v/>
      </c>
      <c r="P995" s="45" t="str">
        <f t="shared" si="9"/>
        <v/>
      </c>
    </row>
    <row r="996" spans="1:16" ht="17.25">
      <c r="A996" s="276" t="s">
        <v>5774</v>
      </c>
      <c r="B996" s="351">
        <v>42156</v>
      </c>
      <c r="C996" s="276" t="s">
        <v>5775</v>
      </c>
      <c r="E996" s="278" t="str">
        <f t="shared" si="10"/>
        <v>https://pubmed.ncbi.nlm.nih.gov/?term=PMC4527391</v>
      </c>
      <c r="F996" s="28" t="s">
        <v>511</v>
      </c>
      <c r="G996" s="28" t="s">
        <v>4592</v>
      </c>
      <c r="J996" s="346">
        <f t="shared" si="3"/>
        <v>1</v>
      </c>
      <c r="K996" s="28" t="str">
        <f t="shared" si="4"/>
        <v/>
      </c>
      <c r="L996" s="45" t="str">
        <f t="shared" si="5"/>
        <v/>
      </c>
      <c r="M996" s="45" t="str">
        <f t="shared" si="6"/>
        <v/>
      </c>
      <c r="N996" s="45" t="str">
        <f t="shared" si="7"/>
        <v/>
      </c>
      <c r="O996" s="45" t="str">
        <f t="shared" si="8"/>
        <v/>
      </c>
      <c r="P996" s="45" t="str">
        <f t="shared" si="9"/>
        <v/>
      </c>
    </row>
    <row r="997" spans="1:16" ht="17.25">
      <c r="A997" s="276" t="s">
        <v>5776</v>
      </c>
      <c r="B997" s="351">
        <v>43525</v>
      </c>
      <c r="C997" s="276" t="s">
        <v>4119</v>
      </c>
      <c r="E997" s="278" t="str">
        <f t="shared" si="10"/>
        <v>https://pubmed.ncbi.nlm.nih.gov/?term=PMC6434318</v>
      </c>
      <c r="H997" s="28" t="s">
        <v>511</v>
      </c>
      <c r="J997" s="346" t="str">
        <f t="shared" si="3"/>
        <v/>
      </c>
      <c r="K997" s="28" t="str">
        <f t="shared" si="4"/>
        <v/>
      </c>
      <c r="L997" s="45" t="str">
        <f t="shared" si="5"/>
        <v/>
      </c>
      <c r="M997" s="45" t="str">
        <f t="shared" si="6"/>
        <v/>
      </c>
      <c r="N997" s="45" t="str">
        <f t="shared" si="7"/>
        <v/>
      </c>
      <c r="O997" s="45" t="str">
        <f t="shared" si="8"/>
        <v/>
      </c>
      <c r="P997" s="45" t="str">
        <f t="shared" si="9"/>
        <v/>
      </c>
    </row>
    <row r="998" spans="1:16" ht="17.25">
      <c r="A998" s="276" t="s">
        <v>5777</v>
      </c>
      <c r="B998" s="351">
        <v>43525</v>
      </c>
      <c r="C998" s="276" t="s">
        <v>5778</v>
      </c>
      <c r="E998" s="278" t="str">
        <f t="shared" si="10"/>
        <v>https://pubmed.ncbi.nlm.nih.gov/?term=PMC6405268</v>
      </c>
      <c r="F998" s="28" t="s">
        <v>511</v>
      </c>
      <c r="G998" s="28" t="s">
        <v>4867</v>
      </c>
      <c r="J998" s="346" t="str">
        <f t="shared" si="3"/>
        <v/>
      </c>
      <c r="K998" s="28" t="str">
        <f t="shared" si="4"/>
        <v/>
      </c>
      <c r="L998" s="45" t="str">
        <f t="shared" si="5"/>
        <v/>
      </c>
      <c r="M998" s="45" t="str">
        <f t="shared" si="6"/>
        <v/>
      </c>
      <c r="N998" s="45">
        <f t="shared" si="7"/>
        <v>1</v>
      </c>
      <c r="O998" s="45" t="str">
        <f t="shared" si="8"/>
        <v/>
      </c>
      <c r="P998" s="45" t="str">
        <f t="shared" si="9"/>
        <v/>
      </c>
    </row>
    <row r="999" spans="1:16" ht="17.25">
      <c r="A999" s="276" t="s">
        <v>5779</v>
      </c>
      <c r="B999" s="351">
        <v>44013</v>
      </c>
      <c r="C999" s="276" t="s">
        <v>5780</v>
      </c>
      <c r="E999" s="278" t="str">
        <f t="shared" si="10"/>
        <v>https://pubmed.ncbi.nlm.nih.gov/?term=PMC7383945</v>
      </c>
      <c r="F999" s="28" t="s">
        <v>511</v>
      </c>
      <c r="G999" s="28" t="s">
        <v>5781</v>
      </c>
      <c r="J999" s="346" t="str">
        <f t="shared" si="3"/>
        <v/>
      </c>
      <c r="K999" s="28" t="str">
        <f t="shared" si="4"/>
        <v/>
      </c>
      <c r="L999" s="45" t="str">
        <f t="shared" si="5"/>
        <v/>
      </c>
      <c r="M999" s="45" t="str">
        <f t="shared" si="6"/>
        <v/>
      </c>
      <c r="N999" s="45">
        <f t="shared" si="7"/>
        <v>1</v>
      </c>
      <c r="O999" s="45" t="str">
        <f t="shared" si="8"/>
        <v/>
      </c>
      <c r="P999" s="45" t="str">
        <f t="shared" si="9"/>
        <v/>
      </c>
    </row>
    <row r="1000" spans="1:16" ht="17.25">
      <c r="A1000" s="276" t="s">
        <v>5782</v>
      </c>
      <c r="B1000" s="351">
        <v>44013</v>
      </c>
      <c r="C1000" s="276" t="s">
        <v>5783</v>
      </c>
      <c r="E1000" s="278" t="str">
        <f t="shared" si="10"/>
        <v>https://pubmed.ncbi.nlm.nih.gov/?term=PMC7385234</v>
      </c>
      <c r="F1000" s="28" t="s">
        <v>511</v>
      </c>
      <c r="G1000" s="28" t="s">
        <v>4592</v>
      </c>
      <c r="J1000" s="346">
        <f t="shared" si="3"/>
        <v>1</v>
      </c>
      <c r="K1000" s="28" t="str">
        <f t="shared" si="4"/>
        <v/>
      </c>
      <c r="L1000" s="45" t="str">
        <f t="shared" si="5"/>
        <v/>
      </c>
      <c r="M1000" s="45" t="str">
        <f t="shared" si="6"/>
        <v/>
      </c>
      <c r="N1000" s="45" t="str">
        <f t="shared" si="7"/>
        <v/>
      </c>
      <c r="O1000" s="45" t="str">
        <f t="shared" si="8"/>
        <v/>
      </c>
      <c r="P1000" s="45" t="str">
        <f t="shared" si="9"/>
        <v/>
      </c>
    </row>
    <row r="1001" spans="1:16" ht="17.25">
      <c r="A1001" s="276" t="s">
        <v>5784</v>
      </c>
      <c r="B1001" s="351">
        <v>43800</v>
      </c>
      <c r="C1001" s="276" t="s">
        <v>5785</v>
      </c>
      <c r="E1001" s="278" t="str">
        <f t="shared" si="10"/>
        <v>https://pubmed.ncbi.nlm.nih.gov/?term=PMC6921433</v>
      </c>
      <c r="F1001" s="28" t="s">
        <v>511</v>
      </c>
      <c r="G1001" s="28" t="s">
        <v>4592</v>
      </c>
      <c r="J1001" s="346">
        <f t="shared" si="3"/>
        <v>1</v>
      </c>
      <c r="K1001" s="28" t="str">
        <f t="shared" si="4"/>
        <v/>
      </c>
      <c r="L1001" s="45" t="str">
        <f t="shared" si="5"/>
        <v/>
      </c>
      <c r="M1001" s="45" t="str">
        <f t="shared" si="6"/>
        <v/>
      </c>
      <c r="N1001" s="45" t="str">
        <f t="shared" si="7"/>
        <v/>
      </c>
      <c r="O1001" s="45" t="str">
        <f t="shared" si="8"/>
        <v/>
      </c>
      <c r="P1001" s="45" t="str">
        <f t="shared" si="9"/>
        <v/>
      </c>
    </row>
    <row r="1002" spans="1:16" ht="17.25">
      <c r="A1002" s="276" t="s">
        <v>5786</v>
      </c>
      <c r="B1002" s="351">
        <v>44136</v>
      </c>
      <c r="C1002" s="276" t="s">
        <v>5787</v>
      </c>
      <c r="E1002" s="278" t="str">
        <f t="shared" si="10"/>
        <v>https://pubmed.ncbi.nlm.nih.gov/?term=PMC7578316</v>
      </c>
      <c r="F1002" s="28" t="s">
        <v>511</v>
      </c>
      <c r="G1002" s="28" t="s">
        <v>4592</v>
      </c>
      <c r="J1002" s="346">
        <f t="shared" si="3"/>
        <v>1</v>
      </c>
      <c r="K1002" s="28" t="str">
        <f t="shared" si="4"/>
        <v/>
      </c>
      <c r="L1002" s="45" t="str">
        <f t="shared" si="5"/>
        <v/>
      </c>
      <c r="M1002" s="45" t="str">
        <f t="shared" si="6"/>
        <v/>
      </c>
      <c r="N1002" s="45" t="str">
        <f t="shared" si="7"/>
        <v/>
      </c>
      <c r="O1002" s="45" t="str">
        <f t="shared" si="8"/>
        <v/>
      </c>
      <c r="P1002" s="45" t="str">
        <f t="shared" si="9"/>
        <v/>
      </c>
    </row>
    <row r="1003" spans="1:16" ht="17.25">
      <c r="A1003" s="276" t="s">
        <v>5788</v>
      </c>
      <c r="B1003" s="351">
        <v>41609</v>
      </c>
      <c r="C1003" s="276" t="s">
        <v>5789</v>
      </c>
      <c r="E1003" s="278" t="str">
        <f t="shared" si="10"/>
        <v>https://pubmed.ncbi.nlm.nih.gov/?term=PMC4162066</v>
      </c>
      <c r="F1003" s="28" t="s">
        <v>511</v>
      </c>
      <c r="G1003" s="28" t="s">
        <v>4867</v>
      </c>
      <c r="J1003" s="346" t="str">
        <f t="shared" si="3"/>
        <v/>
      </c>
      <c r="K1003" s="28" t="str">
        <f t="shared" si="4"/>
        <v/>
      </c>
      <c r="L1003" s="45" t="str">
        <f t="shared" si="5"/>
        <v/>
      </c>
      <c r="M1003" s="45" t="str">
        <f t="shared" si="6"/>
        <v/>
      </c>
      <c r="N1003" s="45">
        <f t="shared" si="7"/>
        <v>1</v>
      </c>
      <c r="O1003" s="45" t="str">
        <f t="shared" si="8"/>
        <v/>
      </c>
      <c r="P1003" s="45" t="str">
        <f t="shared" si="9"/>
        <v/>
      </c>
    </row>
    <row r="1004" spans="1:16" ht="17.25">
      <c r="A1004" s="276" t="s">
        <v>5790</v>
      </c>
      <c r="B1004" s="351">
        <v>42736</v>
      </c>
      <c r="C1004" s="276" t="s">
        <v>5791</v>
      </c>
      <c r="E1004" s="278" t="str">
        <f t="shared" si="10"/>
        <v>https://pubmed.ncbi.nlm.nih.gov/?term=PMC5287309</v>
      </c>
      <c r="F1004" s="28" t="s">
        <v>511</v>
      </c>
      <c r="G1004" s="28" t="s">
        <v>4592</v>
      </c>
      <c r="J1004" s="346">
        <f t="shared" si="3"/>
        <v>1</v>
      </c>
      <c r="K1004" s="28" t="str">
        <f t="shared" si="4"/>
        <v/>
      </c>
      <c r="L1004" s="45" t="str">
        <f t="shared" si="5"/>
        <v/>
      </c>
      <c r="M1004" s="45" t="str">
        <f t="shared" si="6"/>
        <v/>
      </c>
      <c r="N1004" s="45" t="str">
        <f t="shared" si="7"/>
        <v/>
      </c>
      <c r="O1004" s="45" t="str">
        <f t="shared" si="8"/>
        <v/>
      </c>
      <c r="P1004" s="45" t="str">
        <f t="shared" si="9"/>
        <v/>
      </c>
    </row>
    <row r="1005" spans="1:16" ht="17.25">
      <c r="A1005" s="276" t="s">
        <v>5792</v>
      </c>
      <c r="B1005" s="351">
        <v>42705</v>
      </c>
      <c r="C1005" s="276" t="s">
        <v>5793</v>
      </c>
      <c r="E1005" s="278" t="str">
        <f t="shared" si="10"/>
        <v>https://pubmed.ncbi.nlm.nih.gov/?term=PMC5137239</v>
      </c>
      <c r="F1005" s="28" t="s">
        <v>511</v>
      </c>
      <c r="G1005" s="28" t="s">
        <v>4592</v>
      </c>
      <c r="J1005" s="346">
        <f t="shared" si="3"/>
        <v>1</v>
      </c>
      <c r="K1005" s="28" t="str">
        <f t="shared" si="4"/>
        <v/>
      </c>
      <c r="L1005" s="45" t="str">
        <f t="shared" si="5"/>
        <v/>
      </c>
      <c r="M1005" s="45" t="str">
        <f t="shared" si="6"/>
        <v/>
      </c>
      <c r="N1005" s="45" t="str">
        <f t="shared" si="7"/>
        <v/>
      </c>
      <c r="O1005" s="45" t="str">
        <f t="shared" si="8"/>
        <v/>
      </c>
      <c r="P1005" s="45" t="str">
        <f t="shared" si="9"/>
        <v/>
      </c>
    </row>
    <row r="1006" spans="1:16" ht="17.25">
      <c r="A1006" s="276" t="s">
        <v>5794</v>
      </c>
      <c r="B1006" s="351">
        <v>43983</v>
      </c>
      <c r="C1006" s="276" t="s">
        <v>5795</v>
      </c>
      <c r="E1006" s="278" t="str">
        <f t="shared" si="10"/>
        <v>https://pubmed.ncbi.nlm.nih.gov/?term=PMC7325986</v>
      </c>
      <c r="F1006" s="28" t="s">
        <v>511</v>
      </c>
      <c r="G1006" s="28" t="s">
        <v>4592</v>
      </c>
      <c r="J1006" s="346">
        <f t="shared" si="3"/>
        <v>1</v>
      </c>
      <c r="K1006" s="28" t="str">
        <f t="shared" si="4"/>
        <v/>
      </c>
      <c r="L1006" s="45" t="str">
        <f t="shared" si="5"/>
        <v/>
      </c>
      <c r="M1006" s="45" t="str">
        <f t="shared" si="6"/>
        <v/>
      </c>
      <c r="N1006" s="45" t="str">
        <f t="shared" si="7"/>
        <v/>
      </c>
      <c r="O1006" s="45" t="str">
        <f t="shared" si="8"/>
        <v/>
      </c>
      <c r="P1006" s="45" t="str">
        <f t="shared" si="9"/>
        <v/>
      </c>
    </row>
    <row r="1007" spans="1:16" ht="17.25">
      <c r="A1007" s="276" t="s">
        <v>5796</v>
      </c>
      <c r="B1007" s="351">
        <v>44075</v>
      </c>
      <c r="C1007" s="276" t="s">
        <v>5797</v>
      </c>
      <c r="E1007" s="278" t="str">
        <f t="shared" si="10"/>
        <v>https://pubmed.ncbi.nlm.nih.gov/?term=PMC7529958</v>
      </c>
      <c r="F1007" s="28" t="s">
        <v>511</v>
      </c>
      <c r="G1007" s="28" t="s">
        <v>4592</v>
      </c>
      <c r="J1007" s="346">
        <f t="shared" si="3"/>
        <v>1</v>
      </c>
      <c r="K1007" s="28" t="str">
        <f t="shared" si="4"/>
        <v/>
      </c>
      <c r="L1007" s="45" t="str">
        <f t="shared" si="5"/>
        <v/>
      </c>
      <c r="M1007" s="45" t="str">
        <f t="shared" si="6"/>
        <v/>
      </c>
      <c r="N1007" s="45" t="str">
        <f t="shared" si="7"/>
        <v/>
      </c>
      <c r="O1007" s="45" t="str">
        <f t="shared" si="8"/>
        <v/>
      </c>
      <c r="P1007" s="45" t="str">
        <f t="shared" si="9"/>
        <v/>
      </c>
    </row>
    <row r="1008" spans="1:16" ht="17.25">
      <c r="A1008" s="276" t="s">
        <v>5798</v>
      </c>
      <c r="B1008" s="351">
        <v>43070</v>
      </c>
      <c r="C1008" s="276" t="s">
        <v>5799</v>
      </c>
      <c r="E1008" s="278" t="str">
        <f t="shared" si="10"/>
        <v>https://pubmed.ncbi.nlm.nih.gov/?term=PMC5853280</v>
      </c>
      <c r="F1008" s="28" t="s">
        <v>511</v>
      </c>
      <c r="G1008" s="28" t="s">
        <v>4592</v>
      </c>
      <c r="J1008" s="346">
        <f t="shared" si="3"/>
        <v>1</v>
      </c>
      <c r="K1008" s="28" t="str">
        <f t="shared" si="4"/>
        <v/>
      </c>
      <c r="L1008" s="45" t="str">
        <f t="shared" si="5"/>
        <v/>
      </c>
      <c r="M1008" s="45" t="str">
        <f t="shared" si="6"/>
        <v/>
      </c>
      <c r="N1008" s="45" t="str">
        <f t="shared" si="7"/>
        <v/>
      </c>
      <c r="O1008" s="45" t="str">
        <f t="shared" si="8"/>
        <v/>
      </c>
      <c r="P1008" s="45" t="str">
        <f t="shared" si="9"/>
        <v/>
      </c>
    </row>
    <row r="1009" spans="1:16" ht="17.25">
      <c r="A1009" s="276" t="s">
        <v>5800</v>
      </c>
      <c r="B1009" s="351">
        <v>43282</v>
      </c>
      <c r="C1009" s="276" t="s">
        <v>5801</v>
      </c>
      <c r="E1009" s="278" t="str">
        <f t="shared" si="10"/>
        <v>https://pubmed.ncbi.nlm.nih.gov/?term=PMC6160957</v>
      </c>
      <c r="F1009" s="28" t="s">
        <v>511</v>
      </c>
      <c r="G1009" s="28" t="s">
        <v>4592</v>
      </c>
      <c r="J1009" s="346">
        <f t="shared" si="3"/>
        <v>1</v>
      </c>
      <c r="K1009" s="28" t="str">
        <f t="shared" si="4"/>
        <v/>
      </c>
      <c r="L1009" s="45" t="str">
        <f t="shared" si="5"/>
        <v/>
      </c>
      <c r="M1009" s="45" t="str">
        <f t="shared" si="6"/>
        <v/>
      </c>
      <c r="N1009" s="45" t="str">
        <f t="shared" si="7"/>
        <v/>
      </c>
      <c r="O1009" s="45" t="str">
        <f t="shared" si="8"/>
        <v/>
      </c>
      <c r="P1009" s="45" t="str">
        <f t="shared" si="9"/>
        <v/>
      </c>
    </row>
    <row r="1010" spans="1:16" ht="17.25">
      <c r="A1010" s="276" t="s">
        <v>5669</v>
      </c>
      <c r="B1010" s="351">
        <v>44013</v>
      </c>
      <c r="C1010" s="276" t="s">
        <v>5802</v>
      </c>
      <c r="E1010" s="278" t="str">
        <f t="shared" si="10"/>
        <v>https://pubmed.ncbi.nlm.nih.gov/?term=PMC7309765</v>
      </c>
      <c r="F1010" s="28" t="s">
        <v>511</v>
      </c>
      <c r="G1010" s="28" t="s">
        <v>5640</v>
      </c>
      <c r="J1010" s="346">
        <f t="shared" si="3"/>
        <v>1</v>
      </c>
      <c r="K1010" s="28" t="str">
        <f t="shared" si="4"/>
        <v/>
      </c>
      <c r="L1010" s="45" t="str">
        <f t="shared" si="5"/>
        <v/>
      </c>
      <c r="M1010" s="45" t="str">
        <f t="shared" si="6"/>
        <v/>
      </c>
      <c r="N1010" s="45" t="str">
        <f t="shared" si="7"/>
        <v/>
      </c>
      <c r="O1010" s="45" t="str">
        <f t="shared" si="8"/>
        <v/>
      </c>
      <c r="P1010" s="45" t="str">
        <f t="shared" si="9"/>
        <v/>
      </c>
    </row>
    <row r="1011" spans="1:16" ht="17.25">
      <c r="A1011" s="276" t="s">
        <v>5803</v>
      </c>
      <c r="B1011" s="351">
        <v>43252</v>
      </c>
      <c r="C1011" s="276" t="s">
        <v>5804</v>
      </c>
      <c r="E1011" s="278" t="str">
        <f t="shared" si="10"/>
        <v>https://pubmed.ncbi.nlm.nih.gov/?term=PMC6013893</v>
      </c>
      <c r="F1011" s="28" t="s">
        <v>511</v>
      </c>
      <c r="G1011" s="28" t="s">
        <v>4592</v>
      </c>
      <c r="J1011" s="346">
        <f t="shared" si="3"/>
        <v>1</v>
      </c>
      <c r="K1011" s="28" t="str">
        <f t="shared" si="4"/>
        <v/>
      </c>
      <c r="L1011" s="45" t="str">
        <f t="shared" si="5"/>
        <v/>
      </c>
      <c r="M1011" s="45" t="str">
        <f t="shared" si="6"/>
        <v/>
      </c>
      <c r="N1011" s="45" t="str">
        <f t="shared" si="7"/>
        <v/>
      </c>
      <c r="O1011" s="45" t="str">
        <f t="shared" si="8"/>
        <v/>
      </c>
      <c r="P1011" s="45" t="str">
        <f t="shared" si="9"/>
        <v/>
      </c>
    </row>
    <row r="1012" spans="1:16" ht="17.25">
      <c r="A1012" s="276" t="s">
        <v>5805</v>
      </c>
      <c r="B1012" s="351">
        <v>43282</v>
      </c>
      <c r="C1012" s="276" t="s">
        <v>5806</v>
      </c>
      <c r="E1012" s="278" t="str">
        <f t="shared" si="10"/>
        <v>https://pubmed.ncbi.nlm.nih.gov/?term=PMC6112613</v>
      </c>
      <c r="F1012" s="28" t="s">
        <v>511</v>
      </c>
      <c r="G1012" s="28" t="s">
        <v>4592</v>
      </c>
      <c r="J1012" s="346">
        <f t="shared" si="3"/>
        <v>1</v>
      </c>
      <c r="K1012" s="28" t="str">
        <f t="shared" si="4"/>
        <v/>
      </c>
      <c r="L1012" s="45" t="str">
        <f t="shared" si="5"/>
        <v/>
      </c>
      <c r="M1012" s="45" t="str">
        <f t="shared" si="6"/>
        <v/>
      </c>
      <c r="N1012" s="45" t="str">
        <f t="shared" si="7"/>
        <v/>
      </c>
      <c r="O1012" s="45" t="str">
        <f t="shared" si="8"/>
        <v/>
      </c>
      <c r="P1012" s="45" t="str">
        <f t="shared" si="9"/>
        <v/>
      </c>
    </row>
    <row r="1013" spans="1:16" ht="17.25">
      <c r="A1013" s="276" t="s">
        <v>5623</v>
      </c>
      <c r="B1013" s="351">
        <v>43831</v>
      </c>
      <c r="C1013" s="276" t="s">
        <v>5807</v>
      </c>
      <c r="E1013" s="278" t="str">
        <f t="shared" si="10"/>
        <v>https://pubmed.ncbi.nlm.nih.gov/?term=PMC7055164</v>
      </c>
      <c r="F1013" s="28" t="s">
        <v>511</v>
      </c>
      <c r="G1013" s="28" t="s">
        <v>4592</v>
      </c>
      <c r="J1013" s="346">
        <f t="shared" si="3"/>
        <v>1</v>
      </c>
      <c r="K1013" s="28" t="str">
        <f t="shared" si="4"/>
        <v/>
      </c>
      <c r="L1013" s="45" t="str">
        <f t="shared" si="5"/>
        <v/>
      </c>
      <c r="M1013" s="45" t="str">
        <f t="shared" si="6"/>
        <v/>
      </c>
      <c r="N1013" s="45" t="str">
        <f t="shared" si="7"/>
        <v/>
      </c>
      <c r="O1013" s="45" t="str">
        <f t="shared" si="8"/>
        <v/>
      </c>
      <c r="P1013" s="45" t="str">
        <f t="shared" si="9"/>
        <v/>
      </c>
    </row>
    <row r="1014" spans="1:16" ht="17.25">
      <c r="A1014" s="276" t="s">
        <v>5808</v>
      </c>
      <c r="B1014" s="351">
        <v>40969</v>
      </c>
      <c r="C1014" s="276" t="s">
        <v>5809</v>
      </c>
      <c r="E1014" s="278" t="str">
        <f t="shared" si="10"/>
        <v>https://pubmed.ncbi.nlm.nih.gov/?term=PMC7607543</v>
      </c>
      <c r="F1014" s="28" t="s">
        <v>511</v>
      </c>
      <c r="G1014" s="28" t="s">
        <v>5188</v>
      </c>
      <c r="J1014" s="346">
        <f t="shared" si="3"/>
        <v>1</v>
      </c>
      <c r="K1014" s="28" t="str">
        <f t="shared" si="4"/>
        <v/>
      </c>
      <c r="L1014" s="45" t="str">
        <f t="shared" si="5"/>
        <v/>
      </c>
      <c r="M1014" s="45" t="str">
        <f t="shared" si="6"/>
        <v/>
      </c>
      <c r="N1014" s="45" t="str">
        <f t="shared" si="7"/>
        <v/>
      </c>
      <c r="O1014" s="45" t="str">
        <f t="shared" si="8"/>
        <v/>
      </c>
      <c r="P1014" s="45" t="str">
        <f t="shared" si="9"/>
        <v/>
      </c>
    </row>
    <row r="1015" spans="1:16" ht="17.25">
      <c r="A1015" s="276" t="s">
        <v>5810</v>
      </c>
      <c r="B1015" s="351">
        <v>43160</v>
      </c>
      <c r="C1015" s="276" t="s">
        <v>5811</v>
      </c>
      <c r="E1015" s="278" t="str">
        <f t="shared" si="10"/>
        <v>https://pubmed.ncbi.nlm.nih.gov/?term=PMC5863092</v>
      </c>
      <c r="F1015" s="28" t="s">
        <v>511</v>
      </c>
      <c r="G1015" s="28" t="s">
        <v>4592</v>
      </c>
      <c r="J1015" s="346">
        <f t="shared" si="3"/>
        <v>1</v>
      </c>
      <c r="K1015" s="28" t="str">
        <f t="shared" si="4"/>
        <v/>
      </c>
      <c r="L1015" s="45" t="str">
        <f t="shared" si="5"/>
        <v/>
      </c>
      <c r="M1015" s="45" t="str">
        <f t="shared" si="6"/>
        <v/>
      </c>
      <c r="N1015" s="45" t="str">
        <f t="shared" si="7"/>
        <v/>
      </c>
      <c r="O1015" s="45" t="str">
        <f t="shared" si="8"/>
        <v/>
      </c>
      <c r="P1015" s="45" t="str">
        <f t="shared" si="9"/>
        <v/>
      </c>
    </row>
    <row r="1016" spans="1:16" ht="17.25">
      <c r="A1016" s="276" t="s">
        <v>5812</v>
      </c>
      <c r="B1016" s="351">
        <v>42370</v>
      </c>
      <c r="C1016" s="276" t="s">
        <v>4109</v>
      </c>
      <c r="E1016" s="278" t="str">
        <f t="shared" si="10"/>
        <v>https://pubmed.ncbi.nlm.nih.gov/?term=PMC4711822</v>
      </c>
      <c r="H1016" s="28" t="s">
        <v>511</v>
      </c>
      <c r="J1016" s="346" t="str">
        <f t="shared" si="3"/>
        <v/>
      </c>
      <c r="K1016" s="28" t="str">
        <f t="shared" si="4"/>
        <v/>
      </c>
      <c r="L1016" s="45" t="str">
        <f t="shared" si="5"/>
        <v/>
      </c>
      <c r="M1016" s="45" t="str">
        <f t="shared" si="6"/>
        <v/>
      </c>
      <c r="N1016" s="45" t="str">
        <f t="shared" si="7"/>
        <v/>
      </c>
      <c r="O1016" s="45" t="str">
        <f t="shared" si="8"/>
        <v/>
      </c>
      <c r="P1016" s="45" t="str">
        <f t="shared" si="9"/>
        <v/>
      </c>
    </row>
    <row r="1017" spans="1:16" ht="17.25">
      <c r="A1017" s="276" t="s">
        <v>5813</v>
      </c>
      <c r="B1017" s="351">
        <v>44228</v>
      </c>
      <c r="C1017" s="276" t="s">
        <v>5814</v>
      </c>
      <c r="E1017" s="278" t="str">
        <f t="shared" si="10"/>
        <v>https://pubmed.ncbi.nlm.nih.gov/?term=PMC7881292</v>
      </c>
      <c r="F1017" s="28" t="s">
        <v>511</v>
      </c>
      <c r="G1017" s="28" t="s">
        <v>5188</v>
      </c>
      <c r="J1017" s="346">
        <f t="shared" si="3"/>
        <v>1</v>
      </c>
      <c r="K1017" s="28" t="str">
        <f t="shared" si="4"/>
        <v/>
      </c>
      <c r="L1017" s="45" t="str">
        <f t="shared" si="5"/>
        <v/>
      </c>
      <c r="M1017" s="45" t="str">
        <f t="shared" si="6"/>
        <v/>
      </c>
      <c r="N1017" s="45" t="str">
        <f t="shared" si="7"/>
        <v/>
      </c>
      <c r="O1017" s="45" t="str">
        <f t="shared" si="8"/>
        <v/>
      </c>
      <c r="P1017" s="45" t="str">
        <f t="shared" si="9"/>
        <v/>
      </c>
    </row>
    <row r="1018" spans="1:16" ht="17.25">
      <c r="A1018" s="276" t="s">
        <v>4248</v>
      </c>
      <c r="B1018" s="28">
        <v>2012</v>
      </c>
      <c r="C1018" s="276" t="s">
        <v>4216</v>
      </c>
      <c r="E1018" s="278" t="str">
        <f t="shared" si="10"/>
        <v>https://pubmed.ncbi.nlm.nih.gov/?term=PMC3372522</v>
      </c>
      <c r="H1018" s="28" t="s">
        <v>511</v>
      </c>
      <c r="J1018" s="346" t="str">
        <f t="shared" si="3"/>
        <v/>
      </c>
      <c r="K1018" s="28" t="str">
        <f t="shared" si="4"/>
        <v/>
      </c>
      <c r="L1018" s="45" t="str">
        <f t="shared" si="5"/>
        <v/>
      </c>
      <c r="M1018" s="45" t="str">
        <f t="shared" si="6"/>
        <v/>
      </c>
      <c r="N1018" s="45" t="str">
        <f t="shared" si="7"/>
        <v/>
      </c>
      <c r="O1018" s="45" t="str">
        <f t="shared" si="8"/>
        <v/>
      </c>
      <c r="P1018" s="45" t="str">
        <f t="shared" si="9"/>
        <v/>
      </c>
    </row>
    <row r="1019" spans="1:16" ht="17.25">
      <c r="A1019" s="276" t="s">
        <v>5815</v>
      </c>
      <c r="B1019" s="351">
        <v>42614</v>
      </c>
      <c r="C1019" s="276" t="s">
        <v>5816</v>
      </c>
      <c r="E1019" s="278" t="str">
        <f t="shared" si="10"/>
        <v>https://pubmed.ncbi.nlm.nih.gov/?term=PMC6281356</v>
      </c>
      <c r="F1019" s="28" t="s">
        <v>511</v>
      </c>
      <c r="G1019" s="28" t="s">
        <v>4867</v>
      </c>
      <c r="J1019" s="346" t="str">
        <f t="shared" si="3"/>
        <v/>
      </c>
      <c r="K1019" s="28" t="str">
        <f t="shared" si="4"/>
        <v/>
      </c>
      <c r="L1019" s="45" t="str">
        <f t="shared" si="5"/>
        <v/>
      </c>
      <c r="M1019" s="45" t="str">
        <f t="shared" si="6"/>
        <v/>
      </c>
      <c r="N1019" s="45">
        <f t="shared" si="7"/>
        <v>1</v>
      </c>
      <c r="O1019" s="45" t="str">
        <f t="shared" si="8"/>
        <v/>
      </c>
      <c r="P1019" s="45" t="str">
        <f t="shared" si="9"/>
        <v/>
      </c>
    </row>
    <row r="1020" spans="1:16" ht="17.25">
      <c r="A1020" s="276" t="s">
        <v>5817</v>
      </c>
      <c r="B1020" s="351">
        <v>44166</v>
      </c>
      <c r="C1020" s="276" t="s">
        <v>4231</v>
      </c>
      <c r="E1020" s="278" t="str">
        <f t="shared" si="10"/>
        <v>https://pubmed.ncbi.nlm.nih.gov/?term=PMC7710093</v>
      </c>
      <c r="H1020" s="28" t="s">
        <v>511</v>
      </c>
      <c r="J1020" s="346" t="str">
        <f t="shared" si="3"/>
        <v/>
      </c>
      <c r="K1020" s="28" t="str">
        <f t="shared" si="4"/>
        <v/>
      </c>
      <c r="L1020" s="45" t="str">
        <f t="shared" si="5"/>
        <v/>
      </c>
      <c r="M1020" s="45" t="str">
        <f t="shared" si="6"/>
        <v/>
      </c>
      <c r="N1020" s="45" t="str">
        <f t="shared" si="7"/>
        <v/>
      </c>
      <c r="O1020" s="45" t="str">
        <f t="shared" si="8"/>
        <v/>
      </c>
      <c r="P1020" s="45" t="str">
        <f t="shared" si="9"/>
        <v/>
      </c>
    </row>
    <row r="1021" spans="1:16" ht="17.25">
      <c r="A1021" s="276" t="s">
        <v>5818</v>
      </c>
      <c r="B1021" s="351">
        <v>43678</v>
      </c>
      <c r="C1021" s="276" t="s">
        <v>5819</v>
      </c>
      <c r="E1021" s="278" t="str">
        <f t="shared" si="10"/>
        <v>https://pubmed.ncbi.nlm.nih.gov/?term=PMC6901351</v>
      </c>
      <c r="F1021" s="28" t="s">
        <v>511</v>
      </c>
      <c r="G1021" s="28" t="s">
        <v>5820</v>
      </c>
      <c r="J1021" s="346" t="str">
        <f t="shared" si="3"/>
        <v/>
      </c>
      <c r="K1021" s="28" t="str">
        <f t="shared" si="4"/>
        <v/>
      </c>
      <c r="L1021" s="45" t="str">
        <f t="shared" si="5"/>
        <v/>
      </c>
      <c r="M1021" s="45" t="str">
        <f t="shared" si="6"/>
        <v/>
      </c>
      <c r="N1021" s="45">
        <f t="shared" si="7"/>
        <v>1</v>
      </c>
      <c r="O1021" s="45" t="str">
        <f t="shared" si="8"/>
        <v/>
      </c>
      <c r="P1021" s="45" t="str">
        <f t="shared" si="9"/>
        <v/>
      </c>
    </row>
    <row r="1022" spans="1:16" ht="17.25">
      <c r="A1022" s="276" t="s">
        <v>5821</v>
      </c>
      <c r="B1022" s="352">
        <v>43952</v>
      </c>
      <c r="C1022" s="276" t="s">
        <v>5822</v>
      </c>
      <c r="E1022" s="278" t="str">
        <f t="shared" si="10"/>
        <v>https://pubmed.ncbi.nlm.nih.gov/?term=PMC7290594</v>
      </c>
      <c r="F1022" s="28" t="s">
        <v>511</v>
      </c>
      <c r="G1022" s="28" t="s">
        <v>4592</v>
      </c>
      <c r="J1022" s="346">
        <f t="shared" si="3"/>
        <v>1</v>
      </c>
      <c r="K1022" s="28" t="str">
        <f t="shared" si="4"/>
        <v/>
      </c>
      <c r="L1022" s="45" t="str">
        <f t="shared" si="5"/>
        <v/>
      </c>
      <c r="M1022" s="45" t="str">
        <f t="shared" si="6"/>
        <v/>
      </c>
      <c r="N1022" s="45" t="str">
        <f t="shared" si="7"/>
        <v/>
      </c>
      <c r="O1022" s="45" t="str">
        <f t="shared" si="8"/>
        <v/>
      </c>
      <c r="P1022" s="45" t="str">
        <f t="shared" si="9"/>
        <v/>
      </c>
    </row>
    <row r="1023" spans="1:16" ht="17.25">
      <c r="A1023" s="276" t="s">
        <v>5823</v>
      </c>
      <c r="B1023" s="351">
        <v>41640</v>
      </c>
      <c r="C1023" s="276" t="s">
        <v>5824</v>
      </c>
      <c r="E1023" s="278" t="str">
        <f t="shared" si="10"/>
        <v>https://pubmed.ncbi.nlm.nih.gov/?term=PMC3910924</v>
      </c>
      <c r="F1023" s="28" t="s">
        <v>511</v>
      </c>
      <c r="G1023" s="28" t="s">
        <v>4867</v>
      </c>
      <c r="J1023" s="346" t="str">
        <f t="shared" si="3"/>
        <v/>
      </c>
      <c r="K1023" s="28" t="str">
        <f t="shared" si="4"/>
        <v/>
      </c>
      <c r="L1023" s="45" t="str">
        <f t="shared" si="5"/>
        <v/>
      </c>
      <c r="M1023" s="45" t="str">
        <f t="shared" si="6"/>
        <v/>
      </c>
      <c r="N1023" s="45">
        <f t="shared" si="7"/>
        <v>1</v>
      </c>
      <c r="O1023" s="45" t="str">
        <f t="shared" si="8"/>
        <v/>
      </c>
      <c r="P1023" s="45" t="str">
        <f t="shared" si="9"/>
        <v/>
      </c>
    </row>
    <row r="1024" spans="1:16" ht="17.25">
      <c r="A1024" s="276" t="s">
        <v>5825</v>
      </c>
      <c r="B1024" s="351">
        <v>43525</v>
      </c>
      <c r="C1024" s="276" t="s">
        <v>5826</v>
      </c>
      <c r="E1024" s="278" t="str">
        <f t="shared" si="10"/>
        <v>https://pubmed.ncbi.nlm.nih.gov/?term=PMC6405280</v>
      </c>
      <c r="F1024" s="28" t="s">
        <v>511</v>
      </c>
      <c r="G1024" s="28" t="s">
        <v>5827</v>
      </c>
      <c r="J1024" s="346" t="str">
        <f t="shared" si="3"/>
        <v/>
      </c>
      <c r="K1024" s="28" t="str">
        <f t="shared" si="4"/>
        <v/>
      </c>
      <c r="L1024" s="45" t="str">
        <f t="shared" si="5"/>
        <v/>
      </c>
      <c r="M1024" s="45" t="str">
        <f t="shared" si="6"/>
        <v/>
      </c>
      <c r="N1024" s="45">
        <f t="shared" si="7"/>
        <v>1</v>
      </c>
      <c r="O1024" s="45" t="str">
        <f t="shared" si="8"/>
        <v/>
      </c>
      <c r="P1024" s="45" t="str">
        <f t="shared" si="9"/>
        <v/>
      </c>
    </row>
    <row r="1025" spans="1:16" ht="17.25">
      <c r="A1025" s="276" t="s">
        <v>5828</v>
      </c>
      <c r="B1025" s="351">
        <v>43617</v>
      </c>
      <c r="C1025" s="276" t="s">
        <v>4211</v>
      </c>
      <c r="E1025" s="278" t="str">
        <f t="shared" si="10"/>
        <v>https://pubmed.ncbi.nlm.nih.gov/?term=PMC4857475</v>
      </c>
      <c r="H1025" s="28" t="s">
        <v>511</v>
      </c>
      <c r="J1025" s="346" t="str">
        <f t="shared" si="3"/>
        <v/>
      </c>
      <c r="K1025" s="28" t="str">
        <f t="shared" si="4"/>
        <v/>
      </c>
      <c r="L1025" s="45" t="str">
        <f t="shared" si="5"/>
        <v/>
      </c>
      <c r="M1025" s="45" t="str">
        <f t="shared" si="6"/>
        <v/>
      </c>
      <c r="N1025" s="45" t="str">
        <f t="shared" si="7"/>
        <v/>
      </c>
      <c r="O1025" s="45" t="str">
        <f t="shared" si="8"/>
        <v/>
      </c>
      <c r="P1025" s="45" t="str">
        <f t="shared" si="9"/>
        <v/>
      </c>
    </row>
    <row r="1026" spans="1:16" ht="17.25">
      <c r="A1026" s="276" t="s">
        <v>5829</v>
      </c>
      <c r="B1026" s="351">
        <v>43374</v>
      </c>
      <c r="C1026" s="276" t="s">
        <v>5830</v>
      </c>
      <c r="E1026" s="278" t="str">
        <f t="shared" si="10"/>
        <v>https://pubmed.ncbi.nlm.nih.gov/?term=PMC5954342</v>
      </c>
      <c r="F1026" s="28" t="s">
        <v>511</v>
      </c>
      <c r="G1026" s="28" t="s">
        <v>5831</v>
      </c>
      <c r="J1026" s="346" t="str">
        <f t="shared" si="3"/>
        <v/>
      </c>
      <c r="K1026" s="28" t="str">
        <f t="shared" si="4"/>
        <v/>
      </c>
      <c r="L1026" s="45" t="str">
        <f t="shared" si="5"/>
        <v/>
      </c>
      <c r="M1026" s="45" t="str">
        <f t="shared" si="6"/>
        <v/>
      </c>
      <c r="N1026" s="45">
        <f t="shared" si="7"/>
        <v>1</v>
      </c>
      <c r="O1026" s="45" t="str">
        <f t="shared" si="8"/>
        <v/>
      </c>
      <c r="P1026" s="45" t="str">
        <f t="shared" si="9"/>
        <v/>
      </c>
    </row>
    <row r="1027" spans="1:16" ht="17.25">
      <c r="A1027" s="276" t="s">
        <v>5832</v>
      </c>
      <c r="B1027" s="351">
        <v>44256</v>
      </c>
      <c r="C1027" s="276" t="s">
        <v>5833</v>
      </c>
      <c r="E1027" s="278" t="str">
        <f t="shared" si="10"/>
        <v>https://pubmed.ncbi.nlm.nih.gov/?term=PMC7997052</v>
      </c>
      <c r="F1027" s="28" t="s">
        <v>511</v>
      </c>
      <c r="G1027" s="28" t="s">
        <v>4592</v>
      </c>
      <c r="J1027" s="346">
        <f t="shared" si="3"/>
        <v>1</v>
      </c>
      <c r="K1027" s="28" t="str">
        <f t="shared" si="4"/>
        <v/>
      </c>
      <c r="L1027" s="45" t="str">
        <f t="shared" si="5"/>
        <v/>
      </c>
      <c r="M1027" s="45" t="str">
        <f t="shared" si="6"/>
        <v/>
      </c>
      <c r="N1027" s="45" t="str">
        <f t="shared" si="7"/>
        <v/>
      </c>
      <c r="O1027" s="45" t="str">
        <f t="shared" si="8"/>
        <v/>
      </c>
      <c r="P1027" s="45" t="str">
        <f t="shared" si="9"/>
        <v/>
      </c>
    </row>
    <row r="1028" spans="1:16" ht="17.25">
      <c r="A1028" s="276" t="s">
        <v>5834</v>
      </c>
      <c r="B1028" s="28">
        <v>2015</v>
      </c>
      <c r="C1028" s="276" t="s">
        <v>5835</v>
      </c>
      <c r="E1028" s="278" t="str">
        <f t="shared" si="10"/>
        <v>https://pubmed.ncbi.nlm.nih.gov/?term=PMC4648374</v>
      </c>
      <c r="F1028" s="28" t="s">
        <v>511</v>
      </c>
      <c r="G1028" s="28" t="s">
        <v>4592</v>
      </c>
      <c r="J1028" s="346">
        <f t="shared" si="3"/>
        <v>1</v>
      </c>
      <c r="K1028" s="28" t="str">
        <f t="shared" si="4"/>
        <v/>
      </c>
      <c r="L1028" s="45" t="str">
        <f t="shared" si="5"/>
        <v/>
      </c>
      <c r="M1028" s="45" t="str">
        <f t="shared" si="6"/>
        <v/>
      </c>
      <c r="N1028" s="45" t="str">
        <f t="shared" si="7"/>
        <v/>
      </c>
      <c r="O1028" s="45" t="str">
        <f t="shared" si="8"/>
        <v/>
      </c>
      <c r="P1028" s="45" t="str">
        <f t="shared" si="9"/>
        <v/>
      </c>
    </row>
    <row r="1029" spans="1:16" ht="17.25">
      <c r="A1029" s="276" t="s">
        <v>5836</v>
      </c>
      <c r="B1029" s="351">
        <v>42826</v>
      </c>
      <c r="C1029" s="276" t="s">
        <v>5837</v>
      </c>
      <c r="E1029" s="278" t="str">
        <f t="shared" si="10"/>
        <v>https://pubmed.ncbi.nlm.nih.gov/?term=PMC5576498</v>
      </c>
      <c r="F1029" s="28" t="s">
        <v>511</v>
      </c>
      <c r="G1029" s="28" t="s">
        <v>4592</v>
      </c>
      <c r="J1029" s="346">
        <f t="shared" si="3"/>
        <v>1</v>
      </c>
      <c r="K1029" s="28" t="str">
        <f t="shared" si="4"/>
        <v/>
      </c>
      <c r="L1029" s="45" t="str">
        <f t="shared" si="5"/>
        <v/>
      </c>
      <c r="M1029" s="45" t="str">
        <f t="shared" si="6"/>
        <v/>
      </c>
      <c r="N1029" s="45" t="str">
        <f t="shared" si="7"/>
        <v/>
      </c>
      <c r="O1029" s="45" t="str">
        <f t="shared" si="8"/>
        <v/>
      </c>
      <c r="P1029" s="45" t="str">
        <f t="shared" si="9"/>
        <v/>
      </c>
    </row>
    <row r="1030" spans="1:16" ht="17.25">
      <c r="A1030" s="276" t="s">
        <v>5838</v>
      </c>
      <c r="B1030" s="351">
        <v>42522</v>
      </c>
      <c r="C1030" s="276" t="s">
        <v>5839</v>
      </c>
      <c r="E1030" s="278" t="str">
        <f t="shared" si="10"/>
        <v>https://pubmed.ncbi.nlm.nih.gov/?term=PMC4912855</v>
      </c>
      <c r="F1030" s="28" t="s">
        <v>511</v>
      </c>
      <c r="G1030" s="28" t="s">
        <v>4592</v>
      </c>
      <c r="J1030" s="346">
        <f t="shared" si="3"/>
        <v>1</v>
      </c>
      <c r="K1030" s="28" t="str">
        <f t="shared" si="4"/>
        <v/>
      </c>
      <c r="L1030" s="45" t="str">
        <f t="shared" si="5"/>
        <v/>
      </c>
      <c r="M1030" s="45" t="str">
        <f t="shared" si="6"/>
        <v/>
      </c>
      <c r="N1030" s="45" t="str">
        <f t="shared" si="7"/>
        <v/>
      </c>
      <c r="O1030" s="45" t="str">
        <f t="shared" si="8"/>
        <v/>
      </c>
      <c r="P1030" s="45" t="str">
        <f t="shared" si="9"/>
        <v/>
      </c>
    </row>
    <row r="1031" spans="1:16" ht="17.25">
      <c r="A1031" s="276" t="s">
        <v>5840</v>
      </c>
      <c r="B1031" s="351">
        <v>41456</v>
      </c>
      <c r="C1031" s="276" t="s">
        <v>5841</v>
      </c>
      <c r="E1031" s="278" t="str">
        <f t="shared" si="10"/>
        <v>https://pubmed.ncbi.nlm.nih.gov/?term=PMC3719499</v>
      </c>
      <c r="F1031" s="28" t="s">
        <v>511</v>
      </c>
      <c r="G1031" s="28" t="s">
        <v>4592</v>
      </c>
      <c r="J1031" s="346">
        <f t="shared" si="3"/>
        <v>1</v>
      </c>
      <c r="K1031" s="28" t="str">
        <f t="shared" si="4"/>
        <v/>
      </c>
      <c r="L1031" s="45" t="str">
        <f t="shared" si="5"/>
        <v/>
      </c>
      <c r="M1031" s="45" t="str">
        <f t="shared" si="6"/>
        <v/>
      </c>
      <c r="N1031" s="45" t="str">
        <f t="shared" si="7"/>
        <v/>
      </c>
      <c r="O1031" s="45" t="str">
        <f t="shared" si="8"/>
        <v/>
      </c>
      <c r="P1031" s="45" t="str">
        <f t="shared" si="9"/>
        <v/>
      </c>
    </row>
    <row r="1032" spans="1:16" ht="17.25">
      <c r="A1032" s="276" t="s">
        <v>5842</v>
      </c>
      <c r="B1032" s="351">
        <v>43647</v>
      </c>
      <c r="C1032" s="276" t="s">
        <v>5843</v>
      </c>
      <c r="E1032" s="278" t="str">
        <f t="shared" si="10"/>
        <v>https://pubmed.ncbi.nlm.nih.gov/?term=PMC6789600</v>
      </c>
      <c r="F1032" s="28" t="s">
        <v>511</v>
      </c>
      <c r="G1032" s="28" t="s">
        <v>4592</v>
      </c>
      <c r="J1032" s="346">
        <f t="shared" si="3"/>
        <v>1</v>
      </c>
      <c r="K1032" s="28" t="str">
        <f t="shared" si="4"/>
        <v/>
      </c>
      <c r="L1032" s="45" t="str">
        <f t="shared" si="5"/>
        <v/>
      </c>
      <c r="M1032" s="45" t="str">
        <f t="shared" si="6"/>
        <v/>
      </c>
      <c r="N1032" s="45" t="str">
        <f t="shared" si="7"/>
        <v/>
      </c>
      <c r="O1032" s="45" t="str">
        <f t="shared" si="8"/>
        <v/>
      </c>
      <c r="P1032" s="45" t="str">
        <f t="shared" si="9"/>
        <v/>
      </c>
    </row>
    <row r="1033" spans="1:16" ht="17.25">
      <c r="A1033" s="276" t="s">
        <v>5844</v>
      </c>
      <c r="B1033" s="351">
        <v>43101</v>
      </c>
      <c r="C1033" s="276" t="s">
        <v>5845</v>
      </c>
      <c r="E1033" s="278" t="str">
        <f t="shared" si="10"/>
        <v>https://pubmed.ncbi.nlm.nih.gov/?term=PMC5853300</v>
      </c>
      <c r="F1033" s="28" t="s">
        <v>511</v>
      </c>
      <c r="G1033" s="28" t="s">
        <v>4867</v>
      </c>
      <c r="J1033" s="346" t="str">
        <f t="shared" si="3"/>
        <v/>
      </c>
      <c r="K1033" s="28" t="str">
        <f t="shared" si="4"/>
        <v/>
      </c>
      <c r="L1033" s="45" t="str">
        <f t="shared" si="5"/>
        <v/>
      </c>
      <c r="M1033" s="45" t="str">
        <f t="shared" si="6"/>
        <v/>
      </c>
      <c r="N1033" s="45">
        <f t="shared" si="7"/>
        <v>1</v>
      </c>
      <c r="O1033" s="45" t="str">
        <f t="shared" si="8"/>
        <v/>
      </c>
      <c r="P1033" s="45" t="str">
        <f t="shared" si="9"/>
        <v/>
      </c>
    </row>
    <row r="1034" spans="1:16" ht="17.25">
      <c r="A1034" s="276" t="s">
        <v>5846</v>
      </c>
      <c r="B1034" s="351">
        <v>44166</v>
      </c>
      <c r="C1034" s="276" t="s">
        <v>5847</v>
      </c>
      <c r="E1034" s="278" t="str">
        <f t="shared" si="10"/>
        <v>https://pubmed.ncbi.nlm.nih.gov/?term=PMC7768410</v>
      </c>
      <c r="F1034" s="28" t="s">
        <v>511</v>
      </c>
      <c r="G1034" s="28" t="s">
        <v>4592</v>
      </c>
      <c r="J1034" s="346">
        <f t="shared" si="3"/>
        <v>1</v>
      </c>
      <c r="K1034" s="28" t="str">
        <f t="shared" si="4"/>
        <v/>
      </c>
      <c r="L1034" s="45" t="str">
        <f t="shared" si="5"/>
        <v/>
      </c>
      <c r="M1034" s="45" t="str">
        <f t="shared" si="6"/>
        <v/>
      </c>
      <c r="N1034" s="45" t="str">
        <f t="shared" si="7"/>
        <v/>
      </c>
      <c r="O1034" s="45" t="str">
        <f t="shared" si="8"/>
        <v/>
      </c>
      <c r="P1034" s="45" t="str">
        <f t="shared" si="9"/>
        <v/>
      </c>
    </row>
    <row r="1035" spans="1:16" ht="17.25">
      <c r="A1035" s="276" t="s">
        <v>5848</v>
      </c>
      <c r="B1035" s="351">
        <v>43191</v>
      </c>
      <c r="C1035" s="276" t="s">
        <v>5849</v>
      </c>
      <c r="E1035" s="278" t="str">
        <f t="shared" si="10"/>
        <v>https://pubmed.ncbi.nlm.nih.gov/?term=PMC5885027</v>
      </c>
      <c r="F1035" s="28" t="s">
        <v>511</v>
      </c>
      <c r="G1035" s="28" t="s">
        <v>4592</v>
      </c>
      <c r="J1035" s="346">
        <f t="shared" si="3"/>
        <v>1</v>
      </c>
      <c r="K1035" s="28" t="str">
        <f t="shared" si="4"/>
        <v/>
      </c>
      <c r="L1035" s="45" t="str">
        <f t="shared" si="5"/>
        <v/>
      </c>
      <c r="M1035" s="45" t="str">
        <f t="shared" si="6"/>
        <v/>
      </c>
      <c r="N1035" s="45" t="str">
        <f t="shared" si="7"/>
        <v/>
      </c>
      <c r="O1035" s="45" t="str">
        <f t="shared" si="8"/>
        <v/>
      </c>
      <c r="P1035" s="45" t="str">
        <f t="shared" si="9"/>
        <v/>
      </c>
    </row>
    <row r="1036" spans="1:16" ht="17.25">
      <c r="A1036" s="276" t="s">
        <v>5850</v>
      </c>
      <c r="B1036" s="28">
        <v>2020</v>
      </c>
      <c r="C1036" s="276" t="s">
        <v>5851</v>
      </c>
      <c r="E1036" s="278" t="str">
        <f t="shared" si="10"/>
        <v>https://pubmed.ncbi.nlm.nih.gov/?term=PMC7581376</v>
      </c>
      <c r="F1036" s="28" t="s">
        <v>511</v>
      </c>
      <c r="G1036" s="28" t="s">
        <v>4592</v>
      </c>
      <c r="J1036" s="346">
        <f t="shared" si="3"/>
        <v>1</v>
      </c>
      <c r="K1036" s="28" t="str">
        <f t="shared" si="4"/>
        <v/>
      </c>
      <c r="L1036" s="45" t="str">
        <f t="shared" si="5"/>
        <v/>
      </c>
      <c r="M1036" s="45" t="str">
        <f t="shared" si="6"/>
        <v/>
      </c>
      <c r="N1036" s="45" t="str">
        <f t="shared" si="7"/>
        <v/>
      </c>
      <c r="O1036" s="45" t="str">
        <f t="shared" si="8"/>
        <v/>
      </c>
      <c r="P1036" s="45" t="str">
        <f t="shared" si="9"/>
        <v/>
      </c>
    </row>
    <row r="1037" spans="1:16" ht="17.25">
      <c r="A1037" s="276" t="s">
        <v>5852</v>
      </c>
      <c r="B1037" s="351">
        <v>44197</v>
      </c>
      <c r="C1037" s="276" t="s">
        <v>5853</v>
      </c>
      <c r="E1037" s="278" t="str">
        <f t="shared" si="10"/>
        <v>https://pubmed.ncbi.nlm.nih.gov/?term=PMC7762715</v>
      </c>
      <c r="F1037" s="28" t="s">
        <v>511</v>
      </c>
      <c r="G1037" s="28" t="s">
        <v>4867</v>
      </c>
      <c r="J1037" s="346" t="str">
        <f t="shared" si="3"/>
        <v/>
      </c>
      <c r="K1037" s="28" t="str">
        <f t="shared" si="4"/>
        <v/>
      </c>
      <c r="L1037" s="45" t="str">
        <f t="shared" si="5"/>
        <v/>
      </c>
      <c r="M1037" s="45" t="str">
        <f t="shared" si="6"/>
        <v/>
      </c>
      <c r="N1037" s="45">
        <f t="shared" si="7"/>
        <v>1</v>
      </c>
      <c r="O1037" s="45" t="str">
        <f t="shared" si="8"/>
        <v/>
      </c>
      <c r="P1037" s="45" t="str">
        <f t="shared" si="9"/>
        <v/>
      </c>
    </row>
    <row r="1038" spans="1:16" ht="17.25">
      <c r="A1038" s="276" t="s">
        <v>5854</v>
      </c>
      <c r="B1038" s="351">
        <v>42767</v>
      </c>
      <c r="C1038" s="276" t="s">
        <v>5855</v>
      </c>
      <c r="E1038" s="278" t="str">
        <f t="shared" si="10"/>
        <v>https://pubmed.ncbi.nlm.nih.gov/?term=PMC5357134</v>
      </c>
      <c r="F1038" s="28" t="s">
        <v>511</v>
      </c>
      <c r="G1038" s="28" t="s">
        <v>4592</v>
      </c>
      <c r="J1038" s="346">
        <f t="shared" si="3"/>
        <v>1</v>
      </c>
      <c r="K1038" s="28" t="str">
        <f t="shared" si="4"/>
        <v/>
      </c>
      <c r="L1038" s="45" t="str">
        <f t="shared" si="5"/>
        <v/>
      </c>
      <c r="M1038" s="45" t="str">
        <f t="shared" si="6"/>
        <v/>
      </c>
      <c r="N1038" s="45" t="str">
        <f t="shared" si="7"/>
        <v/>
      </c>
      <c r="O1038" s="45" t="str">
        <f t="shared" si="8"/>
        <v/>
      </c>
      <c r="P1038" s="45" t="str">
        <f t="shared" si="9"/>
        <v/>
      </c>
    </row>
    <row r="1039" spans="1:16" ht="17.25">
      <c r="A1039" s="276" t="s">
        <v>5856</v>
      </c>
      <c r="B1039" s="351">
        <v>43739</v>
      </c>
      <c r="C1039" s="276" t="s">
        <v>5857</v>
      </c>
      <c r="E1039" s="278" t="str">
        <f t="shared" si="10"/>
        <v>https://pubmed.ncbi.nlm.nih.gov/?term=PMC7131820</v>
      </c>
      <c r="F1039" s="28" t="s">
        <v>511</v>
      </c>
      <c r="G1039" s="28" t="s">
        <v>5742</v>
      </c>
      <c r="J1039" s="346">
        <f t="shared" si="3"/>
        <v>1</v>
      </c>
      <c r="K1039" s="28" t="str">
        <f t="shared" si="4"/>
        <v/>
      </c>
      <c r="L1039" s="45" t="str">
        <f t="shared" si="5"/>
        <v/>
      </c>
      <c r="M1039" s="45" t="str">
        <f t="shared" si="6"/>
        <v/>
      </c>
      <c r="N1039" s="45" t="str">
        <f t="shared" si="7"/>
        <v/>
      </c>
      <c r="O1039" s="45" t="str">
        <f t="shared" si="8"/>
        <v/>
      </c>
      <c r="P1039" s="45" t="str">
        <f t="shared" si="9"/>
        <v/>
      </c>
    </row>
    <row r="1040" spans="1:16" ht="17.25">
      <c r="A1040" s="276" t="s">
        <v>5825</v>
      </c>
      <c r="B1040" s="351">
        <v>43525</v>
      </c>
      <c r="C1040" s="276" t="s">
        <v>5858</v>
      </c>
      <c r="E1040" s="278" t="str">
        <f t="shared" si="10"/>
        <v>https://pubmed.ncbi.nlm.nih.gov/?term=PMC6405281</v>
      </c>
      <c r="F1040" s="28" t="s">
        <v>511</v>
      </c>
      <c r="G1040" s="28" t="s">
        <v>5827</v>
      </c>
      <c r="J1040" s="346" t="str">
        <f t="shared" si="3"/>
        <v/>
      </c>
      <c r="K1040" s="28" t="str">
        <f t="shared" si="4"/>
        <v/>
      </c>
      <c r="L1040" s="45" t="str">
        <f t="shared" si="5"/>
        <v/>
      </c>
      <c r="M1040" s="45" t="str">
        <f t="shared" si="6"/>
        <v/>
      </c>
      <c r="N1040" s="45">
        <f t="shared" si="7"/>
        <v>1</v>
      </c>
      <c r="O1040" s="45" t="str">
        <f t="shared" si="8"/>
        <v/>
      </c>
      <c r="P1040" s="45" t="str">
        <f t="shared" si="9"/>
        <v/>
      </c>
    </row>
    <row r="1041" spans="1:16" ht="17.25">
      <c r="A1041" s="276" t="s">
        <v>5859</v>
      </c>
      <c r="B1041" s="351">
        <v>41244</v>
      </c>
      <c r="C1041" s="276" t="s">
        <v>4101</v>
      </c>
      <c r="E1041" s="278" t="str">
        <f t="shared" si="10"/>
        <v>https://pubmed.ncbi.nlm.nih.gov/?term=PMC3535858</v>
      </c>
      <c r="H1041" s="28" t="s">
        <v>511</v>
      </c>
      <c r="J1041" s="346" t="str">
        <f t="shared" si="3"/>
        <v/>
      </c>
      <c r="K1041" s="28" t="str">
        <f t="shared" si="4"/>
        <v/>
      </c>
      <c r="L1041" s="45" t="str">
        <f t="shared" si="5"/>
        <v/>
      </c>
      <c r="M1041" s="45" t="str">
        <f t="shared" si="6"/>
        <v/>
      </c>
      <c r="N1041" s="45" t="str">
        <f t="shared" si="7"/>
        <v/>
      </c>
      <c r="O1041" s="45" t="str">
        <f t="shared" si="8"/>
        <v/>
      </c>
      <c r="P1041" s="45" t="str">
        <f t="shared" si="9"/>
        <v/>
      </c>
    </row>
    <row r="1042" spans="1:16" ht="17.25">
      <c r="A1042" s="276" t="s">
        <v>5776</v>
      </c>
      <c r="B1042" s="351">
        <v>40878</v>
      </c>
      <c r="C1042" s="276" t="s">
        <v>4120</v>
      </c>
      <c r="E1042" s="278" t="str">
        <f t="shared" si="10"/>
        <v>https://pubmed.ncbi.nlm.nih.gov/?term=PMC3232709</v>
      </c>
      <c r="H1042" s="28" t="s">
        <v>511</v>
      </c>
      <c r="J1042" s="346" t="str">
        <f t="shared" si="3"/>
        <v/>
      </c>
      <c r="K1042" s="28" t="str">
        <f t="shared" si="4"/>
        <v/>
      </c>
      <c r="L1042" s="45" t="str">
        <f t="shared" si="5"/>
        <v/>
      </c>
      <c r="M1042" s="45" t="str">
        <f t="shared" si="6"/>
        <v/>
      </c>
      <c r="N1042" s="45" t="str">
        <f t="shared" si="7"/>
        <v/>
      </c>
      <c r="O1042" s="45" t="str">
        <f t="shared" si="8"/>
        <v/>
      </c>
      <c r="P1042" s="45" t="str">
        <f t="shared" si="9"/>
        <v/>
      </c>
    </row>
    <row r="1043" spans="1:16" ht="17.25">
      <c r="A1043" s="276" t="s">
        <v>5860</v>
      </c>
      <c r="B1043" s="351">
        <v>44166</v>
      </c>
      <c r="C1043" s="276" t="s">
        <v>5861</v>
      </c>
      <c r="E1043" s="278" t="str">
        <f t="shared" si="10"/>
        <v>https://pubmed.ncbi.nlm.nih.gov/?term=PMC7371490</v>
      </c>
      <c r="F1043" s="28" t="s">
        <v>511</v>
      </c>
      <c r="G1043" s="28" t="s">
        <v>5188</v>
      </c>
      <c r="J1043" s="346">
        <f t="shared" si="3"/>
        <v>1</v>
      </c>
      <c r="K1043" s="28" t="str">
        <f t="shared" si="4"/>
        <v/>
      </c>
      <c r="L1043" s="45" t="str">
        <f t="shared" si="5"/>
        <v/>
      </c>
      <c r="M1043" s="45" t="str">
        <f t="shared" si="6"/>
        <v/>
      </c>
      <c r="N1043" s="45" t="str">
        <f t="shared" si="7"/>
        <v/>
      </c>
      <c r="O1043" s="45" t="str">
        <f t="shared" si="8"/>
        <v/>
      </c>
      <c r="P1043" s="45" t="str">
        <f t="shared" si="9"/>
        <v/>
      </c>
    </row>
    <row r="1044" spans="1:16" ht="17.25">
      <c r="A1044" s="276" t="s">
        <v>5862</v>
      </c>
      <c r="B1044" s="28">
        <v>2018</v>
      </c>
      <c r="C1044" s="276" t="s">
        <v>5863</v>
      </c>
      <c r="E1044" s="278" t="str">
        <f t="shared" si="10"/>
        <v>https://pubmed.ncbi.nlm.nih.gov/?term=PMC5971199</v>
      </c>
      <c r="F1044" s="28" t="s">
        <v>511</v>
      </c>
      <c r="G1044" s="28" t="s">
        <v>5273</v>
      </c>
      <c r="J1044" s="346">
        <f t="shared" si="3"/>
        <v>1</v>
      </c>
      <c r="K1044" s="28" t="str">
        <f t="shared" si="4"/>
        <v/>
      </c>
      <c r="L1044" s="45" t="str">
        <f t="shared" si="5"/>
        <v/>
      </c>
      <c r="M1044" s="45" t="str">
        <f t="shared" si="6"/>
        <v/>
      </c>
      <c r="N1044" s="45" t="str">
        <f t="shared" si="7"/>
        <v/>
      </c>
      <c r="O1044" s="45" t="str">
        <f t="shared" si="8"/>
        <v/>
      </c>
      <c r="P1044" s="45" t="str">
        <f t="shared" si="9"/>
        <v/>
      </c>
    </row>
    <row r="1045" spans="1:16" ht="17.25">
      <c r="A1045" s="276" t="s">
        <v>5864</v>
      </c>
      <c r="B1045" s="28">
        <v>2015</v>
      </c>
      <c r="C1045" s="276" t="s">
        <v>5865</v>
      </c>
      <c r="D1045" s="28"/>
      <c r="E1045" s="281" t="s">
        <v>5866</v>
      </c>
      <c r="F1045" s="28" t="s">
        <v>511</v>
      </c>
      <c r="G1045" s="28" t="s">
        <v>4592</v>
      </c>
      <c r="J1045" s="346">
        <f t="shared" si="3"/>
        <v>1</v>
      </c>
      <c r="K1045" s="28" t="str">
        <f t="shared" si="4"/>
        <v/>
      </c>
      <c r="L1045" s="45" t="str">
        <f t="shared" si="5"/>
        <v/>
      </c>
      <c r="M1045" s="45" t="str">
        <f t="shared" si="6"/>
        <v/>
      </c>
      <c r="N1045" s="45" t="str">
        <f t="shared" si="7"/>
        <v/>
      </c>
      <c r="O1045" s="45" t="str">
        <f t="shared" si="8"/>
        <v/>
      </c>
      <c r="P1045" s="45" t="str">
        <f t="shared" si="9"/>
        <v/>
      </c>
    </row>
    <row r="1046" spans="1:16" ht="17.25">
      <c r="A1046" s="276" t="s">
        <v>5867</v>
      </c>
      <c r="B1046" s="351">
        <v>44013</v>
      </c>
      <c r="C1046" s="276" t="s">
        <v>5868</v>
      </c>
      <c r="E1046" s="278" t="str">
        <f t="shared" ref="E1046:E1074" si="11">"https://pubmed.ncbi.nlm.nih.gov/?term="&amp;C1046</f>
        <v>https://pubmed.ncbi.nlm.nih.gov/?term=PMC7563509</v>
      </c>
      <c r="F1046" s="28" t="s">
        <v>511</v>
      </c>
      <c r="G1046" s="28" t="s">
        <v>4592</v>
      </c>
      <c r="J1046" s="346">
        <f t="shared" si="3"/>
        <v>1</v>
      </c>
      <c r="K1046" s="28" t="str">
        <f t="shared" si="4"/>
        <v/>
      </c>
      <c r="L1046" s="45" t="str">
        <f t="shared" si="5"/>
        <v/>
      </c>
      <c r="M1046" s="45" t="str">
        <f t="shared" si="6"/>
        <v/>
      </c>
      <c r="N1046" s="45" t="str">
        <f t="shared" si="7"/>
        <v/>
      </c>
      <c r="O1046" s="45" t="str">
        <f t="shared" si="8"/>
        <v/>
      </c>
      <c r="P1046" s="45" t="str">
        <f t="shared" si="9"/>
        <v/>
      </c>
    </row>
    <row r="1047" spans="1:16" ht="17.25">
      <c r="A1047" s="276" t="s">
        <v>5869</v>
      </c>
      <c r="B1047" s="351">
        <v>42278</v>
      </c>
      <c r="C1047" s="276" t="s">
        <v>5870</v>
      </c>
      <c r="E1047" s="278" t="str">
        <f t="shared" si="11"/>
        <v>https://pubmed.ncbi.nlm.nih.gov/?term=PMC4583570</v>
      </c>
      <c r="F1047" s="28" t="s">
        <v>511</v>
      </c>
      <c r="G1047" s="28" t="s">
        <v>4592</v>
      </c>
      <c r="J1047" s="346">
        <f t="shared" si="3"/>
        <v>1</v>
      </c>
      <c r="K1047" s="28" t="str">
        <f t="shared" si="4"/>
        <v/>
      </c>
      <c r="L1047" s="45" t="str">
        <f t="shared" si="5"/>
        <v/>
      </c>
      <c r="M1047" s="45" t="str">
        <f t="shared" si="6"/>
        <v/>
      </c>
      <c r="N1047" s="45" t="str">
        <f t="shared" si="7"/>
        <v/>
      </c>
      <c r="O1047" s="45" t="str">
        <f t="shared" si="8"/>
        <v/>
      </c>
      <c r="P1047" s="45" t="str">
        <f t="shared" si="9"/>
        <v/>
      </c>
    </row>
    <row r="1048" spans="1:16" ht="17.25">
      <c r="A1048" s="276" t="s">
        <v>5871</v>
      </c>
      <c r="B1048" s="351">
        <v>43132</v>
      </c>
      <c r="C1048" s="276" t="s">
        <v>4215</v>
      </c>
      <c r="E1048" s="278" t="str">
        <f t="shared" si="11"/>
        <v>https://pubmed.ncbi.nlm.nih.gov/?term=PMC5828662</v>
      </c>
      <c r="H1048" s="28" t="s">
        <v>511</v>
      </c>
      <c r="J1048" s="346" t="str">
        <f t="shared" si="3"/>
        <v/>
      </c>
      <c r="K1048" s="28" t="str">
        <f t="shared" si="4"/>
        <v/>
      </c>
      <c r="L1048" s="45" t="str">
        <f t="shared" si="5"/>
        <v/>
      </c>
      <c r="M1048" s="45" t="str">
        <f t="shared" si="6"/>
        <v/>
      </c>
      <c r="N1048" s="45" t="str">
        <f t="shared" si="7"/>
        <v/>
      </c>
      <c r="O1048" s="45" t="str">
        <f t="shared" si="8"/>
        <v/>
      </c>
      <c r="P1048" s="45" t="str">
        <f t="shared" si="9"/>
        <v/>
      </c>
    </row>
    <row r="1049" spans="1:16" ht="17.25">
      <c r="A1049" s="276" t="s">
        <v>5776</v>
      </c>
      <c r="B1049" s="351">
        <v>40817</v>
      </c>
      <c r="C1049" s="276" t="s">
        <v>4123</v>
      </c>
      <c r="E1049" s="278" t="str">
        <f t="shared" si="11"/>
        <v>https://pubmed.ncbi.nlm.nih.gov/?term=PMC3187035</v>
      </c>
      <c r="H1049" s="28" t="s">
        <v>511</v>
      </c>
      <c r="J1049" s="346" t="str">
        <f t="shared" si="3"/>
        <v/>
      </c>
      <c r="K1049" s="28" t="str">
        <f t="shared" si="4"/>
        <v/>
      </c>
      <c r="L1049" s="45" t="str">
        <f t="shared" si="5"/>
        <v/>
      </c>
      <c r="M1049" s="45" t="str">
        <f t="shared" si="6"/>
        <v/>
      </c>
      <c r="N1049" s="45" t="str">
        <f t="shared" si="7"/>
        <v/>
      </c>
      <c r="O1049" s="45" t="str">
        <f t="shared" si="8"/>
        <v/>
      </c>
      <c r="P1049" s="45" t="str">
        <f t="shared" si="9"/>
        <v/>
      </c>
    </row>
    <row r="1050" spans="1:16" ht="17.25">
      <c r="A1050" s="276" t="s">
        <v>5872</v>
      </c>
      <c r="B1050" s="28">
        <v>2020</v>
      </c>
      <c r="C1050" s="276" t="s">
        <v>5873</v>
      </c>
      <c r="E1050" s="278" t="str">
        <f t="shared" si="11"/>
        <v>https://pubmed.ncbi.nlm.nih.gov/?term=PMC7012186</v>
      </c>
      <c r="F1050" s="28" t="s">
        <v>511</v>
      </c>
      <c r="G1050" s="28" t="s">
        <v>4592</v>
      </c>
      <c r="J1050" s="346">
        <f t="shared" si="3"/>
        <v>1</v>
      </c>
      <c r="K1050" s="28" t="str">
        <f t="shared" si="4"/>
        <v/>
      </c>
      <c r="L1050" s="45" t="str">
        <f t="shared" si="5"/>
        <v/>
      </c>
      <c r="M1050" s="45" t="str">
        <f t="shared" si="6"/>
        <v/>
      </c>
      <c r="N1050" s="45" t="str">
        <f t="shared" si="7"/>
        <v/>
      </c>
      <c r="O1050" s="45" t="str">
        <f t="shared" si="8"/>
        <v/>
      </c>
      <c r="P1050" s="45" t="str">
        <f t="shared" si="9"/>
        <v/>
      </c>
    </row>
    <row r="1051" spans="1:16" ht="17.25">
      <c r="A1051" s="276" t="s">
        <v>5874</v>
      </c>
      <c r="B1051" s="351">
        <v>42370</v>
      </c>
      <c r="C1051" s="276" t="s">
        <v>5875</v>
      </c>
      <c r="E1051" s="278" t="str">
        <f t="shared" si="11"/>
        <v>https://pubmed.ncbi.nlm.nih.gov/?term=PMC4687503</v>
      </c>
      <c r="F1051" s="28" t="s">
        <v>511</v>
      </c>
      <c r="G1051" s="28" t="s">
        <v>4592</v>
      </c>
      <c r="J1051" s="346">
        <f t="shared" si="3"/>
        <v>1</v>
      </c>
      <c r="K1051" s="28" t="str">
        <f t="shared" si="4"/>
        <v/>
      </c>
      <c r="L1051" s="45" t="str">
        <f t="shared" si="5"/>
        <v/>
      </c>
      <c r="M1051" s="45" t="str">
        <f t="shared" si="6"/>
        <v/>
      </c>
      <c r="N1051" s="45" t="str">
        <f t="shared" si="7"/>
        <v/>
      </c>
      <c r="O1051" s="45" t="str">
        <f t="shared" si="8"/>
        <v/>
      </c>
      <c r="P1051" s="45" t="str">
        <f t="shared" si="9"/>
        <v/>
      </c>
    </row>
    <row r="1052" spans="1:16" ht="17.25">
      <c r="A1052" s="276" t="s">
        <v>5876</v>
      </c>
      <c r="B1052" s="351">
        <v>44013</v>
      </c>
      <c r="C1052" s="276" t="s">
        <v>5877</v>
      </c>
      <c r="E1052" s="278" t="str">
        <f t="shared" si="11"/>
        <v>https://pubmed.ncbi.nlm.nih.gov/?term=PMC7445324</v>
      </c>
      <c r="F1052" s="28" t="s">
        <v>511</v>
      </c>
      <c r="G1052" s="28" t="s">
        <v>4592</v>
      </c>
      <c r="J1052" s="346">
        <f t="shared" si="3"/>
        <v>1</v>
      </c>
      <c r="K1052" s="28" t="str">
        <f t="shared" si="4"/>
        <v/>
      </c>
      <c r="L1052" s="45" t="str">
        <f t="shared" si="5"/>
        <v/>
      </c>
      <c r="M1052" s="45" t="str">
        <f t="shared" si="6"/>
        <v/>
      </c>
      <c r="N1052" s="45" t="str">
        <f t="shared" si="7"/>
        <v/>
      </c>
      <c r="O1052" s="45" t="str">
        <f t="shared" si="8"/>
        <v/>
      </c>
      <c r="P1052" s="45" t="str">
        <f t="shared" si="9"/>
        <v/>
      </c>
    </row>
    <row r="1053" spans="1:16" ht="17.25">
      <c r="A1053" s="276" t="s">
        <v>5878</v>
      </c>
      <c r="B1053" s="351">
        <v>43891</v>
      </c>
      <c r="C1053" s="276" t="s">
        <v>4182</v>
      </c>
      <c r="E1053" s="278" t="str">
        <f t="shared" si="11"/>
        <v>https://pubmed.ncbi.nlm.nih.gov/?term=PMC7050988</v>
      </c>
      <c r="H1053" s="28" t="s">
        <v>511</v>
      </c>
      <c r="J1053" s="346" t="str">
        <f t="shared" si="3"/>
        <v/>
      </c>
      <c r="K1053" s="28" t="str">
        <f t="shared" si="4"/>
        <v/>
      </c>
      <c r="L1053" s="45" t="str">
        <f t="shared" si="5"/>
        <v/>
      </c>
      <c r="M1053" s="45" t="str">
        <f t="shared" si="6"/>
        <v/>
      </c>
      <c r="N1053" s="45" t="str">
        <f t="shared" si="7"/>
        <v/>
      </c>
      <c r="O1053" s="45" t="str">
        <f t="shared" si="8"/>
        <v/>
      </c>
      <c r="P1053" s="45" t="str">
        <f t="shared" si="9"/>
        <v/>
      </c>
    </row>
    <row r="1054" spans="1:16" ht="17.25">
      <c r="A1054" s="276" t="s">
        <v>5879</v>
      </c>
      <c r="B1054" s="351">
        <v>41579</v>
      </c>
      <c r="C1054" s="276" t="s">
        <v>5880</v>
      </c>
      <c r="E1054" s="278" t="str">
        <f t="shared" si="11"/>
        <v>https://pubmed.ncbi.nlm.nih.gov/?term=PMC3823848</v>
      </c>
      <c r="F1054" s="28" t="s">
        <v>511</v>
      </c>
      <c r="G1054" s="28" t="s">
        <v>4867</v>
      </c>
      <c r="J1054" s="346" t="str">
        <f t="shared" si="3"/>
        <v/>
      </c>
      <c r="K1054" s="28" t="str">
        <f t="shared" si="4"/>
        <v/>
      </c>
      <c r="L1054" s="45" t="str">
        <f t="shared" si="5"/>
        <v/>
      </c>
      <c r="M1054" s="45" t="str">
        <f t="shared" si="6"/>
        <v/>
      </c>
      <c r="N1054" s="45">
        <f t="shared" si="7"/>
        <v>1</v>
      </c>
      <c r="O1054" s="45" t="str">
        <f t="shared" si="8"/>
        <v/>
      </c>
      <c r="P1054" s="45" t="str">
        <f t="shared" si="9"/>
        <v/>
      </c>
    </row>
    <row r="1055" spans="1:16" ht="17.25">
      <c r="A1055" s="276" t="s">
        <v>5881</v>
      </c>
      <c r="B1055" s="351">
        <v>43132</v>
      </c>
      <c r="C1055" s="276" t="s">
        <v>5882</v>
      </c>
      <c r="E1055" s="278" t="str">
        <f t="shared" si="11"/>
        <v>https://pubmed.ncbi.nlm.nih.gov/?term=PMC5805912</v>
      </c>
      <c r="F1055" s="28" t="s">
        <v>511</v>
      </c>
      <c r="G1055" s="28" t="s">
        <v>4867</v>
      </c>
      <c r="J1055" s="346" t="str">
        <f t="shared" si="3"/>
        <v/>
      </c>
      <c r="K1055" s="28" t="str">
        <f t="shared" si="4"/>
        <v/>
      </c>
      <c r="L1055" s="45" t="str">
        <f t="shared" si="5"/>
        <v/>
      </c>
      <c r="M1055" s="45" t="str">
        <f t="shared" si="6"/>
        <v/>
      </c>
      <c r="N1055" s="45">
        <f t="shared" si="7"/>
        <v>1</v>
      </c>
      <c r="O1055" s="45" t="str">
        <f t="shared" si="8"/>
        <v/>
      </c>
      <c r="P1055" s="45" t="str">
        <f t="shared" si="9"/>
        <v/>
      </c>
    </row>
    <row r="1056" spans="1:16" ht="17.25">
      <c r="A1056" s="276" t="s">
        <v>5883</v>
      </c>
      <c r="B1056" s="351">
        <v>43831</v>
      </c>
      <c r="C1056" s="276" t="s">
        <v>5884</v>
      </c>
      <c r="E1056" s="278" t="str">
        <f t="shared" si="11"/>
        <v>https://pubmed.ncbi.nlm.nih.gov/?term=PMC6964911</v>
      </c>
      <c r="F1056" s="28" t="s">
        <v>511</v>
      </c>
      <c r="G1056" s="28" t="s">
        <v>4867</v>
      </c>
      <c r="J1056" s="346" t="str">
        <f t="shared" si="3"/>
        <v/>
      </c>
      <c r="K1056" s="28" t="str">
        <f t="shared" si="4"/>
        <v/>
      </c>
      <c r="L1056" s="45" t="str">
        <f t="shared" si="5"/>
        <v/>
      </c>
      <c r="M1056" s="45" t="str">
        <f t="shared" si="6"/>
        <v/>
      </c>
      <c r="N1056" s="45">
        <f t="shared" si="7"/>
        <v>1</v>
      </c>
      <c r="O1056" s="45" t="str">
        <f t="shared" si="8"/>
        <v/>
      </c>
      <c r="P1056" s="45" t="str">
        <f t="shared" si="9"/>
        <v/>
      </c>
    </row>
    <row r="1057" spans="1:16" ht="17.25">
      <c r="A1057" s="276" t="s">
        <v>5885</v>
      </c>
      <c r="B1057" s="351">
        <v>42461</v>
      </c>
      <c r="C1057" s="276" t="s">
        <v>5886</v>
      </c>
      <c r="E1057" s="278" t="str">
        <f t="shared" si="11"/>
        <v>https://pubmed.ncbi.nlm.nih.gov/?term=PMC4820506</v>
      </c>
      <c r="F1057" s="28" t="s">
        <v>511</v>
      </c>
      <c r="G1057" s="28" t="s">
        <v>4867</v>
      </c>
      <c r="J1057" s="346" t="str">
        <f t="shared" si="3"/>
        <v/>
      </c>
      <c r="K1057" s="28" t="str">
        <f t="shared" si="4"/>
        <v/>
      </c>
      <c r="L1057" s="45" t="str">
        <f t="shared" si="5"/>
        <v/>
      </c>
      <c r="M1057" s="45" t="str">
        <f t="shared" si="6"/>
        <v/>
      </c>
      <c r="N1057" s="45">
        <f t="shared" si="7"/>
        <v>1</v>
      </c>
      <c r="O1057" s="45" t="str">
        <f t="shared" si="8"/>
        <v/>
      </c>
      <c r="P1057" s="45" t="str">
        <f t="shared" si="9"/>
        <v/>
      </c>
    </row>
    <row r="1058" spans="1:16" ht="17.25">
      <c r="A1058" s="276" t="s">
        <v>5887</v>
      </c>
      <c r="B1058" s="351">
        <v>44136</v>
      </c>
      <c r="C1058" s="276" t="s">
        <v>5888</v>
      </c>
      <c r="E1058" s="278" t="str">
        <f t="shared" si="11"/>
        <v>https://pubmed.ncbi.nlm.nih.gov/?term=PMC7646453</v>
      </c>
      <c r="F1058" s="28" t="s">
        <v>511</v>
      </c>
      <c r="G1058" s="28" t="s">
        <v>4592</v>
      </c>
      <c r="J1058" s="346">
        <f t="shared" si="3"/>
        <v>1</v>
      </c>
      <c r="K1058" s="28" t="str">
        <f t="shared" si="4"/>
        <v/>
      </c>
      <c r="L1058" s="45" t="str">
        <f t="shared" si="5"/>
        <v/>
      </c>
      <c r="M1058" s="45" t="str">
        <f t="shared" si="6"/>
        <v/>
      </c>
      <c r="N1058" s="45" t="str">
        <f t="shared" si="7"/>
        <v/>
      </c>
      <c r="O1058" s="45" t="str">
        <f t="shared" si="8"/>
        <v/>
      </c>
      <c r="P1058" s="45" t="str">
        <f t="shared" si="9"/>
        <v/>
      </c>
    </row>
    <row r="1059" spans="1:16" ht="17.25">
      <c r="A1059" s="276" t="s">
        <v>5889</v>
      </c>
      <c r="B1059" s="28">
        <v>2018</v>
      </c>
      <c r="C1059" s="276" t="s">
        <v>5890</v>
      </c>
      <c r="E1059" s="278" t="str">
        <f t="shared" si="11"/>
        <v>https://pubmed.ncbi.nlm.nih.gov/?term=PMC6040172</v>
      </c>
      <c r="F1059" s="28" t="s">
        <v>511</v>
      </c>
      <c r="G1059" s="28" t="s">
        <v>4592</v>
      </c>
      <c r="J1059" s="346">
        <f t="shared" si="3"/>
        <v>1</v>
      </c>
      <c r="K1059" s="28" t="str">
        <f t="shared" si="4"/>
        <v/>
      </c>
      <c r="L1059" s="45" t="str">
        <f t="shared" si="5"/>
        <v/>
      </c>
      <c r="M1059" s="45" t="str">
        <f t="shared" si="6"/>
        <v/>
      </c>
      <c r="N1059" s="45" t="str">
        <f t="shared" si="7"/>
        <v/>
      </c>
      <c r="O1059" s="45" t="str">
        <f t="shared" si="8"/>
        <v/>
      </c>
      <c r="P1059" s="45" t="str">
        <f t="shared" si="9"/>
        <v/>
      </c>
    </row>
    <row r="1060" spans="1:16" ht="17.25">
      <c r="A1060" s="276" t="s">
        <v>5891</v>
      </c>
      <c r="B1060" s="351">
        <v>44105</v>
      </c>
      <c r="C1060" s="276" t="s">
        <v>5892</v>
      </c>
      <c r="E1060" s="278" t="str">
        <f t="shared" si="11"/>
        <v>https://pubmed.ncbi.nlm.nih.gov/?term=PMC7550607</v>
      </c>
      <c r="F1060" s="28" t="s">
        <v>511</v>
      </c>
      <c r="G1060" s="28" t="s">
        <v>5893</v>
      </c>
      <c r="J1060" s="346" t="str">
        <f t="shared" si="3"/>
        <v/>
      </c>
      <c r="K1060" s="28" t="str">
        <f t="shared" si="4"/>
        <v/>
      </c>
      <c r="L1060" s="45" t="str">
        <f t="shared" si="5"/>
        <v/>
      </c>
      <c r="M1060" s="45" t="str">
        <f t="shared" si="6"/>
        <v/>
      </c>
      <c r="N1060" s="45" t="str">
        <f t="shared" si="7"/>
        <v/>
      </c>
      <c r="O1060" s="45">
        <f t="shared" si="8"/>
        <v>1</v>
      </c>
      <c r="P1060" s="45" t="str">
        <f t="shared" si="9"/>
        <v/>
      </c>
    </row>
    <row r="1061" spans="1:16" ht="17.25">
      <c r="A1061" s="276" t="s">
        <v>5894</v>
      </c>
      <c r="B1061" s="351">
        <v>43862</v>
      </c>
      <c r="C1061" s="276" t="s">
        <v>5895</v>
      </c>
      <c r="E1061" s="278" t="str">
        <f t="shared" si="11"/>
        <v>https://pubmed.ncbi.nlm.nih.gov/?term=PMC7003337</v>
      </c>
      <c r="F1061" s="28" t="s">
        <v>511</v>
      </c>
      <c r="G1061" s="28" t="s">
        <v>5896</v>
      </c>
      <c r="J1061" s="346" t="str">
        <f t="shared" si="3"/>
        <v/>
      </c>
      <c r="K1061" s="28" t="str">
        <f t="shared" si="4"/>
        <v/>
      </c>
      <c r="L1061" s="45" t="str">
        <f t="shared" si="5"/>
        <v/>
      </c>
      <c r="M1061" s="45" t="str">
        <f t="shared" si="6"/>
        <v/>
      </c>
      <c r="N1061" s="45" t="str">
        <f t="shared" si="7"/>
        <v/>
      </c>
      <c r="O1061" s="45">
        <f t="shared" si="8"/>
        <v>1</v>
      </c>
      <c r="P1061" s="45" t="str">
        <f t="shared" si="9"/>
        <v/>
      </c>
    </row>
    <row r="1062" spans="1:16" ht="17.25">
      <c r="A1062" s="276" t="s">
        <v>5897</v>
      </c>
      <c r="B1062" s="351">
        <v>44228</v>
      </c>
      <c r="C1062" s="276" t="s">
        <v>5898</v>
      </c>
      <c r="E1062" s="278" t="str">
        <f t="shared" si="11"/>
        <v>https://pubmed.ncbi.nlm.nih.gov/?term=PMC7857678</v>
      </c>
      <c r="F1062" s="28" t="s">
        <v>511</v>
      </c>
      <c r="G1062" s="28" t="s">
        <v>5899</v>
      </c>
      <c r="J1062" s="346" t="str">
        <f t="shared" si="3"/>
        <v/>
      </c>
      <c r="K1062" s="28" t="str">
        <f t="shared" si="4"/>
        <v/>
      </c>
      <c r="L1062" s="45" t="str">
        <f t="shared" si="5"/>
        <v/>
      </c>
      <c r="M1062" s="45" t="str">
        <f t="shared" si="6"/>
        <v/>
      </c>
      <c r="N1062" s="45" t="str">
        <f t="shared" si="7"/>
        <v/>
      </c>
      <c r="O1062" s="45">
        <f t="shared" si="8"/>
        <v>1</v>
      </c>
      <c r="P1062" s="45" t="str">
        <f t="shared" si="9"/>
        <v/>
      </c>
    </row>
    <row r="1063" spans="1:16" ht="17.25">
      <c r="A1063" s="276" t="s">
        <v>5900</v>
      </c>
      <c r="B1063" s="351">
        <v>43709</v>
      </c>
      <c r="C1063" s="276" t="s">
        <v>5901</v>
      </c>
      <c r="E1063" s="278" t="str">
        <f t="shared" si="11"/>
        <v>https://pubmed.ncbi.nlm.nih.gov/?term=PMC6832755</v>
      </c>
      <c r="F1063" s="28" t="s">
        <v>511</v>
      </c>
      <c r="G1063" s="28" t="s">
        <v>4592</v>
      </c>
      <c r="J1063" s="346">
        <f t="shared" si="3"/>
        <v>1</v>
      </c>
      <c r="K1063" s="28" t="str">
        <f t="shared" si="4"/>
        <v/>
      </c>
      <c r="L1063" s="45" t="str">
        <f t="shared" si="5"/>
        <v/>
      </c>
      <c r="M1063" s="45" t="str">
        <f t="shared" si="6"/>
        <v/>
      </c>
      <c r="N1063" s="45" t="str">
        <f t="shared" si="7"/>
        <v/>
      </c>
      <c r="O1063" s="45" t="str">
        <f t="shared" si="8"/>
        <v/>
      </c>
      <c r="P1063" s="45" t="str">
        <f t="shared" si="9"/>
        <v/>
      </c>
    </row>
    <row r="1064" spans="1:16" ht="17.25">
      <c r="A1064" s="276" t="s">
        <v>5902</v>
      </c>
      <c r="B1064" s="28">
        <v>2019</v>
      </c>
      <c r="C1064" s="276" t="s">
        <v>5903</v>
      </c>
      <c r="E1064" s="278" t="str">
        <f t="shared" si="11"/>
        <v>https://pubmed.ncbi.nlm.nih.gov/?term=PMC6663145</v>
      </c>
      <c r="F1064" s="28" t="s">
        <v>511</v>
      </c>
      <c r="G1064" s="28" t="s">
        <v>4867</v>
      </c>
      <c r="J1064" s="346" t="str">
        <f t="shared" si="3"/>
        <v/>
      </c>
      <c r="K1064" s="28" t="str">
        <f t="shared" si="4"/>
        <v/>
      </c>
      <c r="L1064" s="45" t="str">
        <f t="shared" si="5"/>
        <v/>
      </c>
      <c r="M1064" s="45" t="str">
        <f t="shared" si="6"/>
        <v/>
      </c>
      <c r="N1064" s="45">
        <f t="shared" si="7"/>
        <v>1</v>
      </c>
      <c r="O1064" s="45" t="str">
        <f t="shared" si="8"/>
        <v/>
      </c>
      <c r="P1064" s="45" t="str">
        <f t="shared" si="9"/>
        <v/>
      </c>
    </row>
    <row r="1065" spans="1:16" ht="17.25">
      <c r="A1065" s="276" t="s">
        <v>5904</v>
      </c>
      <c r="B1065" s="351">
        <v>43313</v>
      </c>
      <c r="C1065" s="276" t="s">
        <v>5905</v>
      </c>
      <c r="E1065" s="278" t="str">
        <f t="shared" si="11"/>
        <v>https://pubmed.ncbi.nlm.nih.gov/?term=PMC5902661</v>
      </c>
      <c r="F1065" s="28" t="s">
        <v>511</v>
      </c>
      <c r="G1065" s="28" t="s">
        <v>4592</v>
      </c>
      <c r="J1065" s="346">
        <f t="shared" si="3"/>
        <v>1</v>
      </c>
      <c r="K1065" s="28" t="str">
        <f t="shared" si="4"/>
        <v/>
      </c>
      <c r="L1065" s="45" t="str">
        <f t="shared" si="5"/>
        <v/>
      </c>
      <c r="M1065" s="45" t="str">
        <f t="shared" si="6"/>
        <v/>
      </c>
      <c r="N1065" s="45" t="str">
        <f t="shared" si="7"/>
        <v/>
      </c>
      <c r="O1065" s="45" t="str">
        <f t="shared" si="8"/>
        <v/>
      </c>
      <c r="P1065" s="45" t="str">
        <f t="shared" si="9"/>
        <v/>
      </c>
    </row>
    <row r="1066" spans="1:16" ht="17.25">
      <c r="A1066" s="276" t="s">
        <v>5906</v>
      </c>
      <c r="B1066" s="351">
        <v>43862</v>
      </c>
      <c r="C1066" s="276" t="s">
        <v>4116</v>
      </c>
      <c r="E1066" s="278" t="str">
        <f t="shared" si="11"/>
        <v>https://pubmed.ncbi.nlm.nih.gov/?term=PMC7045083</v>
      </c>
      <c r="H1066" s="28" t="s">
        <v>511</v>
      </c>
      <c r="J1066" s="346" t="str">
        <f t="shared" si="3"/>
        <v/>
      </c>
      <c r="K1066" s="28" t="str">
        <f t="shared" si="4"/>
        <v/>
      </c>
      <c r="L1066" s="45" t="str">
        <f t="shared" si="5"/>
        <v/>
      </c>
      <c r="M1066" s="45" t="str">
        <f t="shared" si="6"/>
        <v/>
      </c>
      <c r="N1066" s="45" t="str">
        <f t="shared" si="7"/>
        <v/>
      </c>
      <c r="O1066" s="45" t="str">
        <f t="shared" si="8"/>
        <v/>
      </c>
      <c r="P1066" s="45" t="str">
        <f t="shared" si="9"/>
        <v/>
      </c>
    </row>
    <row r="1067" spans="1:16" ht="17.25">
      <c r="A1067" s="276" t="s">
        <v>5907</v>
      </c>
      <c r="B1067" s="351">
        <v>43922</v>
      </c>
      <c r="C1067" s="276" t="s">
        <v>5908</v>
      </c>
      <c r="E1067" s="278" t="str">
        <f t="shared" si="11"/>
        <v>https://pubmed.ncbi.nlm.nih.gov/?term=PMC7166079</v>
      </c>
      <c r="F1067" s="28" t="s">
        <v>511</v>
      </c>
      <c r="G1067" s="28" t="s">
        <v>5909</v>
      </c>
      <c r="J1067" s="346" t="str">
        <f t="shared" si="3"/>
        <v/>
      </c>
      <c r="K1067" s="28" t="str">
        <f t="shared" si="4"/>
        <v/>
      </c>
      <c r="L1067" s="45" t="str">
        <f t="shared" si="5"/>
        <v/>
      </c>
      <c r="M1067" s="45" t="str">
        <f t="shared" si="6"/>
        <v/>
      </c>
      <c r="N1067" s="45" t="str">
        <f t="shared" si="7"/>
        <v/>
      </c>
      <c r="O1067" s="45">
        <f t="shared" si="8"/>
        <v>1</v>
      </c>
      <c r="P1067" s="45" t="str">
        <f t="shared" si="9"/>
        <v/>
      </c>
    </row>
    <row r="1068" spans="1:16" ht="17.25">
      <c r="A1068" s="276" t="s">
        <v>5910</v>
      </c>
      <c r="B1068" s="351">
        <v>43374</v>
      </c>
      <c r="C1068" s="276" t="s">
        <v>5911</v>
      </c>
      <c r="E1068" s="278" t="str">
        <f t="shared" si="11"/>
        <v>https://pubmed.ncbi.nlm.nih.gov/?term=PMC6313919</v>
      </c>
      <c r="F1068" s="28" t="s">
        <v>511</v>
      </c>
      <c r="G1068" s="28" t="s">
        <v>4592</v>
      </c>
      <c r="J1068" s="346">
        <f t="shared" si="3"/>
        <v>1</v>
      </c>
      <c r="K1068" s="28" t="str">
        <f t="shared" si="4"/>
        <v/>
      </c>
      <c r="L1068" s="45" t="str">
        <f t="shared" si="5"/>
        <v/>
      </c>
      <c r="M1068" s="45" t="str">
        <f t="shared" si="6"/>
        <v/>
      </c>
      <c r="N1068" s="45" t="str">
        <f t="shared" si="7"/>
        <v/>
      </c>
      <c r="O1068" s="45" t="str">
        <f t="shared" si="8"/>
        <v/>
      </c>
      <c r="P1068" s="45" t="str">
        <f t="shared" si="9"/>
        <v/>
      </c>
    </row>
    <row r="1069" spans="1:16" ht="17.25">
      <c r="A1069" s="276" t="s">
        <v>5912</v>
      </c>
      <c r="B1069" s="352">
        <v>43952</v>
      </c>
      <c r="C1069" s="276" t="s">
        <v>5913</v>
      </c>
      <c r="E1069" s="278" t="str">
        <f t="shared" si="11"/>
        <v>https://pubmed.ncbi.nlm.nih.gov/?term=PMC7233336</v>
      </c>
      <c r="F1069" s="28" t="s">
        <v>511</v>
      </c>
      <c r="G1069" s="28" t="s">
        <v>5188</v>
      </c>
      <c r="J1069" s="346">
        <f t="shared" si="3"/>
        <v>1</v>
      </c>
      <c r="K1069" s="28" t="str">
        <f t="shared" si="4"/>
        <v/>
      </c>
      <c r="L1069" s="45" t="str">
        <f t="shared" si="5"/>
        <v/>
      </c>
      <c r="M1069" s="45" t="str">
        <f t="shared" si="6"/>
        <v/>
      </c>
      <c r="N1069" s="45" t="str">
        <f t="shared" si="7"/>
        <v/>
      </c>
      <c r="O1069" s="45" t="str">
        <f t="shared" si="8"/>
        <v/>
      </c>
      <c r="P1069" s="45" t="str">
        <f t="shared" si="9"/>
        <v/>
      </c>
    </row>
    <row r="1070" spans="1:16" ht="17.25">
      <c r="A1070" s="276" t="s">
        <v>5914</v>
      </c>
      <c r="B1070" s="351">
        <v>41456</v>
      </c>
      <c r="C1070" s="276" t="s">
        <v>5915</v>
      </c>
      <c r="E1070" s="278" t="str">
        <f t="shared" si="11"/>
        <v>https://pubmed.ncbi.nlm.nih.gov/?term=PMC3700201</v>
      </c>
      <c r="F1070" s="28" t="s">
        <v>511</v>
      </c>
      <c r="G1070" s="28" t="s">
        <v>5916</v>
      </c>
      <c r="J1070" s="346" t="str">
        <f t="shared" si="3"/>
        <v/>
      </c>
      <c r="K1070" s="28" t="str">
        <f t="shared" si="4"/>
        <v/>
      </c>
      <c r="L1070" s="45" t="str">
        <f t="shared" si="5"/>
        <v/>
      </c>
      <c r="M1070" s="45" t="str">
        <f t="shared" si="6"/>
        <v/>
      </c>
      <c r="N1070" s="45">
        <f t="shared" si="7"/>
        <v>1</v>
      </c>
      <c r="O1070" s="45" t="str">
        <f t="shared" si="8"/>
        <v/>
      </c>
      <c r="P1070" s="45" t="str">
        <f t="shared" si="9"/>
        <v/>
      </c>
    </row>
    <row r="1071" spans="1:16" ht="17.25">
      <c r="A1071" s="276" t="s">
        <v>5917</v>
      </c>
      <c r="B1071" s="352">
        <v>42856</v>
      </c>
      <c r="C1071" s="276" t="s">
        <v>5918</v>
      </c>
      <c r="E1071" s="278" t="str">
        <f t="shared" si="11"/>
        <v>https://pubmed.ncbi.nlm.nih.gov/?term=PMC5443534</v>
      </c>
      <c r="F1071" s="28" t="s">
        <v>511</v>
      </c>
      <c r="G1071" s="28" t="s">
        <v>4867</v>
      </c>
      <c r="J1071" s="346" t="str">
        <f t="shared" si="3"/>
        <v/>
      </c>
      <c r="K1071" s="28" t="str">
        <f t="shared" si="4"/>
        <v/>
      </c>
      <c r="L1071" s="45" t="str">
        <f t="shared" si="5"/>
        <v/>
      </c>
      <c r="M1071" s="45" t="str">
        <f t="shared" si="6"/>
        <v/>
      </c>
      <c r="N1071" s="45">
        <f t="shared" si="7"/>
        <v>1</v>
      </c>
      <c r="O1071" s="45" t="str">
        <f t="shared" si="8"/>
        <v/>
      </c>
      <c r="P1071" s="45" t="str">
        <f t="shared" si="9"/>
        <v/>
      </c>
    </row>
    <row r="1072" spans="1:16" ht="17.25">
      <c r="A1072" s="276" t="s">
        <v>5919</v>
      </c>
      <c r="B1072" s="351">
        <v>43344</v>
      </c>
      <c r="C1072" s="276" t="s">
        <v>5920</v>
      </c>
      <c r="E1072" s="278" t="str">
        <f t="shared" si="11"/>
        <v>https://pubmed.ncbi.nlm.nih.gov/?term=PMC6410563</v>
      </c>
      <c r="F1072" s="28" t="s">
        <v>511</v>
      </c>
      <c r="G1072" s="28" t="s">
        <v>4592</v>
      </c>
      <c r="J1072" s="346">
        <f t="shared" si="3"/>
        <v>1</v>
      </c>
      <c r="K1072" s="28" t="str">
        <f t="shared" si="4"/>
        <v/>
      </c>
      <c r="L1072" s="45" t="str">
        <f t="shared" si="5"/>
        <v/>
      </c>
      <c r="M1072" s="45" t="str">
        <f t="shared" si="6"/>
        <v/>
      </c>
      <c r="N1072" s="45" t="str">
        <f t="shared" si="7"/>
        <v/>
      </c>
      <c r="O1072" s="45" t="str">
        <f t="shared" si="8"/>
        <v/>
      </c>
      <c r="P1072" s="45" t="str">
        <f t="shared" si="9"/>
        <v/>
      </c>
    </row>
    <row r="1073" spans="1:16" ht="17.25">
      <c r="A1073" s="276" t="s">
        <v>5921</v>
      </c>
      <c r="B1073" s="351">
        <v>43252</v>
      </c>
      <c r="C1073" s="276" t="s">
        <v>5922</v>
      </c>
      <c r="E1073" s="278" t="str">
        <f t="shared" si="11"/>
        <v>https://pubmed.ncbi.nlm.nih.gov/?term=PMC5989627</v>
      </c>
      <c r="F1073" s="28" t="s">
        <v>511</v>
      </c>
      <c r="G1073" s="28" t="s">
        <v>4592</v>
      </c>
      <c r="J1073" s="346">
        <f t="shared" si="3"/>
        <v>1</v>
      </c>
      <c r="K1073" s="28" t="str">
        <f t="shared" si="4"/>
        <v/>
      </c>
      <c r="L1073" s="45" t="str">
        <f t="shared" si="5"/>
        <v/>
      </c>
      <c r="M1073" s="45" t="str">
        <f t="shared" si="6"/>
        <v/>
      </c>
      <c r="N1073" s="45" t="str">
        <f t="shared" si="7"/>
        <v/>
      </c>
      <c r="O1073" s="45" t="str">
        <f t="shared" si="8"/>
        <v/>
      </c>
      <c r="P1073" s="45" t="str">
        <f t="shared" si="9"/>
        <v/>
      </c>
    </row>
    <row r="1074" spans="1:16" ht="17.25">
      <c r="A1074" s="276" t="s">
        <v>5923</v>
      </c>
      <c r="B1074" s="351">
        <v>41365</v>
      </c>
      <c r="C1074" s="276" t="s">
        <v>5924</v>
      </c>
      <c r="E1074" s="278" t="str">
        <f t="shared" si="11"/>
        <v>https://pubmed.ncbi.nlm.nih.gov/?term=PMC3630160</v>
      </c>
      <c r="F1074" s="28" t="s">
        <v>511</v>
      </c>
      <c r="G1074" s="28" t="s">
        <v>4867</v>
      </c>
      <c r="J1074" s="346" t="str">
        <f t="shared" si="3"/>
        <v/>
      </c>
      <c r="K1074" s="28" t="str">
        <f t="shared" si="4"/>
        <v/>
      </c>
      <c r="L1074" s="45" t="str">
        <f t="shared" si="5"/>
        <v/>
      </c>
      <c r="M1074" s="45" t="str">
        <f t="shared" si="6"/>
        <v/>
      </c>
      <c r="N1074" s="45">
        <f t="shared" si="7"/>
        <v>1</v>
      </c>
      <c r="O1074" s="45" t="str">
        <f t="shared" si="8"/>
        <v/>
      </c>
      <c r="P1074" s="45" t="str">
        <f t="shared" si="9"/>
        <v/>
      </c>
    </row>
    <row r="1075" spans="1:16" ht="17.25">
      <c r="A1075" s="276" t="s">
        <v>5925</v>
      </c>
      <c r="B1075" s="28">
        <v>2013</v>
      </c>
      <c r="C1075" s="276" t="s">
        <v>5926</v>
      </c>
      <c r="D1075" s="28"/>
      <c r="E1075" s="281" t="s">
        <v>5927</v>
      </c>
      <c r="F1075" s="28" t="s">
        <v>511</v>
      </c>
      <c r="G1075" s="28" t="s">
        <v>4592</v>
      </c>
      <c r="J1075" s="346">
        <f t="shared" si="3"/>
        <v>1</v>
      </c>
      <c r="K1075" s="28" t="str">
        <f t="shared" si="4"/>
        <v/>
      </c>
      <c r="L1075" s="45" t="str">
        <f t="shared" si="5"/>
        <v/>
      </c>
      <c r="M1075" s="45" t="str">
        <f t="shared" si="6"/>
        <v/>
      </c>
      <c r="N1075" s="45" t="str">
        <f t="shared" si="7"/>
        <v/>
      </c>
      <c r="O1075" s="45" t="str">
        <f t="shared" si="8"/>
        <v/>
      </c>
      <c r="P1075" s="45" t="str">
        <f t="shared" si="9"/>
        <v/>
      </c>
    </row>
    <row r="1076" spans="1:16" ht="17.25">
      <c r="A1076" s="276" t="s">
        <v>5928</v>
      </c>
      <c r="B1076" s="351">
        <v>42705</v>
      </c>
      <c r="C1076" s="276" t="s">
        <v>5929</v>
      </c>
      <c r="E1076" s="278" t="str">
        <f>"https://pubmed.ncbi.nlm.nih.gov/?term="&amp;C1076</f>
        <v>https://pubmed.ncbi.nlm.nih.gov/?term=PMC5139601</v>
      </c>
      <c r="F1076" s="28" t="s">
        <v>511</v>
      </c>
      <c r="G1076" s="28" t="s">
        <v>4867</v>
      </c>
      <c r="J1076" s="346" t="str">
        <f t="shared" si="3"/>
        <v/>
      </c>
      <c r="K1076" s="28" t="str">
        <f t="shared" si="4"/>
        <v/>
      </c>
      <c r="L1076" s="45" t="str">
        <f t="shared" si="5"/>
        <v/>
      </c>
      <c r="M1076" s="45" t="str">
        <f t="shared" si="6"/>
        <v/>
      </c>
      <c r="N1076" s="45">
        <f t="shared" si="7"/>
        <v>1</v>
      </c>
      <c r="O1076" s="45" t="str">
        <f t="shared" si="8"/>
        <v/>
      </c>
      <c r="P1076" s="45" t="str">
        <f t="shared" si="9"/>
        <v/>
      </c>
    </row>
    <row r="1077" spans="1:16" ht="17.25">
      <c r="A1077" s="276" t="s">
        <v>5930</v>
      </c>
      <c r="B1077" s="28">
        <v>2013</v>
      </c>
      <c r="C1077" s="276" t="s">
        <v>5931</v>
      </c>
      <c r="D1077" s="28"/>
      <c r="E1077" s="281" t="s">
        <v>5932</v>
      </c>
      <c r="F1077" s="28" t="s">
        <v>511</v>
      </c>
      <c r="G1077" s="28" t="s">
        <v>4592</v>
      </c>
      <c r="J1077" s="346">
        <f t="shared" si="3"/>
        <v>1</v>
      </c>
      <c r="K1077" s="28" t="str">
        <f t="shared" si="4"/>
        <v/>
      </c>
      <c r="L1077" s="45" t="str">
        <f t="shared" si="5"/>
        <v/>
      </c>
      <c r="M1077" s="45" t="str">
        <f t="shared" si="6"/>
        <v/>
      </c>
      <c r="N1077" s="45" t="str">
        <f t="shared" si="7"/>
        <v/>
      </c>
      <c r="O1077" s="45" t="str">
        <f t="shared" si="8"/>
        <v/>
      </c>
      <c r="P1077" s="45" t="str">
        <f t="shared" si="9"/>
        <v/>
      </c>
    </row>
    <row r="1078" spans="1:16" ht="17.25">
      <c r="A1078" s="276" t="s">
        <v>5933</v>
      </c>
      <c r="B1078" s="351">
        <v>42736</v>
      </c>
      <c r="C1078" s="276" t="s">
        <v>5934</v>
      </c>
      <c r="E1078" s="278" t="str">
        <f t="shared" ref="E1078:E1109" si="12">"https://pubmed.ncbi.nlm.nih.gov/?term="&amp;C1078</f>
        <v>https://pubmed.ncbi.nlm.nih.gov/?term=PMC5371740</v>
      </c>
      <c r="F1078" s="28" t="s">
        <v>511</v>
      </c>
      <c r="G1078" s="28" t="s">
        <v>4592</v>
      </c>
      <c r="J1078" s="346">
        <f t="shared" si="3"/>
        <v>1</v>
      </c>
      <c r="K1078" s="28" t="str">
        <f t="shared" si="4"/>
        <v/>
      </c>
      <c r="L1078" s="45" t="str">
        <f t="shared" si="5"/>
        <v/>
      </c>
      <c r="M1078" s="45" t="str">
        <f t="shared" si="6"/>
        <v/>
      </c>
      <c r="N1078" s="45" t="str">
        <f t="shared" si="7"/>
        <v/>
      </c>
      <c r="O1078" s="45" t="str">
        <f t="shared" si="8"/>
        <v/>
      </c>
      <c r="P1078" s="45" t="str">
        <f t="shared" si="9"/>
        <v/>
      </c>
    </row>
    <row r="1079" spans="1:16" ht="17.25">
      <c r="A1079" s="276" t="s">
        <v>5935</v>
      </c>
      <c r="B1079" s="351">
        <v>42614</v>
      </c>
      <c r="C1079" s="276" t="s">
        <v>5936</v>
      </c>
      <c r="E1079" s="278" t="str">
        <f t="shared" si="12"/>
        <v>https://pubmed.ncbi.nlm.nih.gov/?term=PMC5193006</v>
      </c>
      <c r="F1079" s="28" t="s">
        <v>511</v>
      </c>
      <c r="G1079" s="28" t="s">
        <v>4592</v>
      </c>
      <c r="J1079" s="346">
        <f t="shared" si="3"/>
        <v>1</v>
      </c>
      <c r="K1079" s="28" t="str">
        <f t="shared" si="4"/>
        <v/>
      </c>
      <c r="L1079" s="45" t="str">
        <f t="shared" si="5"/>
        <v/>
      </c>
      <c r="M1079" s="45" t="str">
        <f t="shared" si="6"/>
        <v/>
      </c>
      <c r="N1079" s="45" t="str">
        <f t="shared" si="7"/>
        <v/>
      </c>
      <c r="O1079" s="45" t="str">
        <f t="shared" si="8"/>
        <v/>
      </c>
      <c r="P1079" s="45" t="str">
        <f t="shared" si="9"/>
        <v/>
      </c>
    </row>
    <row r="1080" spans="1:16" ht="17.25">
      <c r="A1080" s="276" t="s">
        <v>5937</v>
      </c>
      <c r="B1080" s="351">
        <v>42064</v>
      </c>
      <c r="C1080" s="276" t="s">
        <v>4553</v>
      </c>
      <c r="E1080" s="278" t="str">
        <f t="shared" si="12"/>
        <v>https://pubmed.ncbi.nlm.nih.gov/?term=PMC5914500</v>
      </c>
      <c r="H1080" s="28" t="s">
        <v>511</v>
      </c>
      <c r="J1080" s="346" t="str">
        <f t="shared" si="3"/>
        <v/>
      </c>
      <c r="K1080" s="28" t="str">
        <f t="shared" si="4"/>
        <v/>
      </c>
      <c r="L1080" s="45" t="str">
        <f t="shared" si="5"/>
        <v/>
      </c>
      <c r="M1080" s="45" t="str">
        <f t="shared" si="6"/>
        <v/>
      </c>
      <c r="N1080" s="45" t="str">
        <f t="shared" si="7"/>
        <v/>
      </c>
      <c r="O1080" s="45" t="str">
        <f t="shared" si="8"/>
        <v/>
      </c>
      <c r="P1080" s="45" t="str">
        <f t="shared" si="9"/>
        <v/>
      </c>
    </row>
    <row r="1081" spans="1:16" ht="17.25">
      <c r="A1081" s="276" t="s">
        <v>5938</v>
      </c>
      <c r="B1081" s="351">
        <v>44228</v>
      </c>
      <c r="C1081" s="276" t="s">
        <v>5939</v>
      </c>
      <c r="E1081" s="278" t="str">
        <f t="shared" si="12"/>
        <v>https://pubmed.ncbi.nlm.nih.gov/?term=PMC7803150</v>
      </c>
      <c r="F1081" s="28" t="s">
        <v>511</v>
      </c>
      <c r="G1081" s="28" t="s">
        <v>4592</v>
      </c>
      <c r="J1081" s="346">
        <f t="shared" si="3"/>
        <v>1</v>
      </c>
      <c r="K1081" s="28" t="str">
        <f t="shared" si="4"/>
        <v/>
      </c>
      <c r="L1081" s="45" t="str">
        <f t="shared" si="5"/>
        <v/>
      </c>
      <c r="M1081" s="45" t="str">
        <f t="shared" si="6"/>
        <v/>
      </c>
      <c r="N1081" s="45" t="str">
        <f t="shared" si="7"/>
        <v/>
      </c>
      <c r="O1081" s="45" t="str">
        <f t="shared" si="8"/>
        <v/>
      </c>
      <c r="P1081" s="45" t="str">
        <f t="shared" si="9"/>
        <v/>
      </c>
    </row>
    <row r="1082" spans="1:16" ht="17.25">
      <c r="A1082" s="276" t="s">
        <v>5848</v>
      </c>
      <c r="B1082" s="351">
        <v>43282</v>
      </c>
      <c r="C1082" s="276" t="s">
        <v>5940</v>
      </c>
      <c r="E1082" s="278" t="str">
        <f t="shared" si="12"/>
        <v>https://pubmed.ncbi.nlm.nih.gov/?term=PMC6028071</v>
      </c>
      <c r="F1082" s="28" t="s">
        <v>511</v>
      </c>
      <c r="G1082" s="28" t="s">
        <v>4592</v>
      </c>
      <c r="J1082" s="346">
        <f t="shared" si="3"/>
        <v>1</v>
      </c>
      <c r="K1082" s="28" t="str">
        <f t="shared" si="4"/>
        <v/>
      </c>
      <c r="L1082" s="45" t="str">
        <f t="shared" si="5"/>
        <v/>
      </c>
      <c r="M1082" s="45" t="str">
        <f t="shared" si="6"/>
        <v/>
      </c>
      <c r="N1082" s="45" t="str">
        <f t="shared" si="7"/>
        <v/>
      </c>
      <c r="O1082" s="45" t="str">
        <f t="shared" si="8"/>
        <v/>
      </c>
      <c r="P1082" s="45" t="str">
        <f t="shared" si="9"/>
        <v/>
      </c>
    </row>
    <row r="1083" spans="1:16" ht="17.25">
      <c r="A1083" s="276" t="s">
        <v>5669</v>
      </c>
      <c r="B1083" s="351">
        <v>44197</v>
      </c>
      <c r="C1083" s="276" t="s">
        <v>5941</v>
      </c>
      <c r="E1083" s="278" t="str">
        <f t="shared" si="12"/>
        <v>https://pubmed.ncbi.nlm.nih.gov/?term=PMC7676373</v>
      </c>
      <c r="F1083" s="28" t="s">
        <v>511</v>
      </c>
      <c r="G1083" s="28" t="s">
        <v>4592</v>
      </c>
      <c r="J1083" s="346">
        <f t="shared" si="3"/>
        <v>1</v>
      </c>
      <c r="K1083" s="28" t="str">
        <f t="shared" si="4"/>
        <v/>
      </c>
      <c r="L1083" s="45" t="str">
        <f t="shared" si="5"/>
        <v/>
      </c>
      <c r="M1083" s="45" t="str">
        <f t="shared" si="6"/>
        <v/>
      </c>
      <c r="N1083" s="45" t="str">
        <f t="shared" si="7"/>
        <v/>
      </c>
      <c r="O1083" s="45" t="str">
        <f t="shared" si="8"/>
        <v/>
      </c>
      <c r="P1083" s="45" t="str">
        <f t="shared" si="9"/>
        <v/>
      </c>
    </row>
    <row r="1084" spans="1:16" ht="17.25">
      <c r="A1084" s="276" t="s">
        <v>5838</v>
      </c>
      <c r="B1084" s="28">
        <v>2013</v>
      </c>
      <c r="C1084" s="276" t="s">
        <v>5942</v>
      </c>
      <c r="E1084" s="278" t="str">
        <f t="shared" si="12"/>
        <v>https://pubmed.ncbi.nlm.nih.gov/?term=PMC7121045</v>
      </c>
      <c r="F1084" s="28" t="s">
        <v>511</v>
      </c>
      <c r="G1084" s="28" t="s">
        <v>4592</v>
      </c>
      <c r="J1084" s="346">
        <f t="shared" si="3"/>
        <v>1</v>
      </c>
      <c r="K1084" s="28" t="str">
        <f t="shared" si="4"/>
        <v/>
      </c>
      <c r="L1084" s="45" t="str">
        <f t="shared" si="5"/>
        <v/>
      </c>
      <c r="M1084" s="45" t="str">
        <f t="shared" si="6"/>
        <v/>
      </c>
      <c r="N1084" s="45" t="str">
        <f t="shared" si="7"/>
        <v/>
      </c>
      <c r="O1084" s="45" t="str">
        <f t="shared" si="8"/>
        <v/>
      </c>
      <c r="P1084" s="45" t="str">
        <f t="shared" si="9"/>
        <v/>
      </c>
    </row>
    <row r="1085" spans="1:16" ht="17.25">
      <c r="A1085" s="276" t="s">
        <v>5838</v>
      </c>
      <c r="B1085" s="351">
        <v>40544</v>
      </c>
      <c r="C1085" s="276" t="s">
        <v>5943</v>
      </c>
      <c r="E1085" s="278" t="str">
        <f t="shared" si="12"/>
        <v>https://pubmed.ncbi.nlm.nih.gov/?term=PMC3023887</v>
      </c>
      <c r="F1085" s="28" t="s">
        <v>511</v>
      </c>
      <c r="G1085" s="28" t="s">
        <v>4592</v>
      </c>
      <c r="J1085" s="346">
        <f t="shared" si="3"/>
        <v>1</v>
      </c>
      <c r="K1085" s="28" t="str">
        <f t="shared" si="4"/>
        <v/>
      </c>
      <c r="L1085" s="45" t="str">
        <f t="shared" si="5"/>
        <v/>
      </c>
      <c r="M1085" s="45" t="str">
        <f t="shared" si="6"/>
        <v/>
      </c>
      <c r="N1085" s="45" t="str">
        <f t="shared" si="7"/>
        <v/>
      </c>
      <c r="O1085" s="45" t="str">
        <f t="shared" si="8"/>
        <v/>
      </c>
      <c r="P1085" s="45" t="str">
        <f t="shared" si="9"/>
        <v/>
      </c>
    </row>
    <row r="1086" spans="1:16" ht="17.25">
      <c r="A1086" s="276" t="s">
        <v>5944</v>
      </c>
      <c r="B1086" s="351">
        <v>44136</v>
      </c>
      <c r="C1086" s="276" t="s">
        <v>4232</v>
      </c>
      <c r="E1086" s="278" t="str">
        <f t="shared" si="12"/>
        <v>https://pubmed.ncbi.nlm.nih.gov/?term=PMC7524165</v>
      </c>
      <c r="H1086" s="28" t="s">
        <v>511</v>
      </c>
      <c r="J1086" s="346" t="str">
        <f t="shared" si="3"/>
        <v/>
      </c>
      <c r="K1086" s="28" t="str">
        <f t="shared" si="4"/>
        <v/>
      </c>
      <c r="L1086" s="45" t="str">
        <f t="shared" si="5"/>
        <v/>
      </c>
      <c r="M1086" s="45" t="str">
        <f t="shared" si="6"/>
        <v/>
      </c>
      <c r="N1086" s="45" t="str">
        <f t="shared" si="7"/>
        <v/>
      </c>
      <c r="O1086" s="45" t="str">
        <f t="shared" si="8"/>
        <v/>
      </c>
      <c r="P1086" s="45" t="str">
        <f t="shared" si="9"/>
        <v/>
      </c>
    </row>
    <row r="1087" spans="1:16" ht="17.25">
      <c r="A1087" s="276" t="s">
        <v>5945</v>
      </c>
      <c r="B1087" s="351">
        <v>43983</v>
      </c>
      <c r="C1087" s="276" t="s">
        <v>5946</v>
      </c>
      <c r="E1087" s="278" t="str">
        <f t="shared" si="12"/>
        <v>https://pubmed.ncbi.nlm.nih.gov/?term=PMC7314533</v>
      </c>
      <c r="F1087" s="28" t="s">
        <v>511</v>
      </c>
      <c r="G1087" s="28" t="s">
        <v>5947</v>
      </c>
      <c r="J1087" s="346" t="str">
        <f t="shared" si="3"/>
        <v/>
      </c>
      <c r="K1087" s="28" t="str">
        <f t="shared" si="4"/>
        <v/>
      </c>
      <c r="L1087" s="45" t="str">
        <f t="shared" si="5"/>
        <v/>
      </c>
      <c r="M1087" s="45" t="str">
        <f t="shared" si="6"/>
        <v/>
      </c>
      <c r="N1087" s="45" t="str">
        <f t="shared" si="7"/>
        <v/>
      </c>
      <c r="O1087" s="45">
        <f t="shared" si="8"/>
        <v>1</v>
      </c>
      <c r="P1087" s="45" t="str">
        <f t="shared" si="9"/>
        <v/>
      </c>
    </row>
    <row r="1088" spans="1:16" ht="17.25">
      <c r="A1088" s="276" t="s">
        <v>5948</v>
      </c>
      <c r="B1088" s="351">
        <v>42095</v>
      </c>
      <c r="C1088" s="276" t="s">
        <v>4127</v>
      </c>
      <c r="E1088" s="278" t="str">
        <f t="shared" si="12"/>
        <v>https://pubmed.ncbi.nlm.nih.gov/?term=PMC4354983</v>
      </c>
      <c r="H1088" s="28" t="s">
        <v>511</v>
      </c>
      <c r="J1088" s="346" t="str">
        <f t="shared" si="3"/>
        <v/>
      </c>
      <c r="K1088" s="28" t="str">
        <f t="shared" si="4"/>
        <v/>
      </c>
      <c r="L1088" s="45" t="str">
        <f t="shared" si="5"/>
        <v/>
      </c>
      <c r="M1088" s="45" t="str">
        <f t="shared" si="6"/>
        <v/>
      </c>
      <c r="N1088" s="45" t="str">
        <f t="shared" si="7"/>
        <v/>
      </c>
      <c r="O1088" s="45" t="str">
        <f t="shared" si="8"/>
        <v/>
      </c>
      <c r="P1088" s="45" t="str">
        <f t="shared" si="9"/>
        <v/>
      </c>
    </row>
    <row r="1089" spans="1:16" ht="17.25">
      <c r="A1089" s="276" t="s">
        <v>5949</v>
      </c>
      <c r="B1089" s="351">
        <v>44105</v>
      </c>
      <c r="C1089" s="276" t="s">
        <v>5950</v>
      </c>
      <c r="E1089" s="278" t="str">
        <f t="shared" si="12"/>
        <v>https://pubmed.ncbi.nlm.nih.gov/?term=PMC7560054</v>
      </c>
      <c r="F1089" s="28" t="s">
        <v>511</v>
      </c>
      <c r="G1089" s="28" t="s">
        <v>4867</v>
      </c>
      <c r="J1089" s="346" t="str">
        <f t="shared" si="3"/>
        <v/>
      </c>
      <c r="K1089" s="28" t="str">
        <f t="shared" si="4"/>
        <v/>
      </c>
      <c r="L1089" s="45" t="str">
        <f t="shared" si="5"/>
        <v/>
      </c>
      <c r="M1089" s="45" t="str">
        <f t="shared" si="6"/>
        <v/>
      </c>
      <c r="N1089" s="45">
        <f t="shared" si="7"/>
        <v>1</v>
      </c>
      <c r="O1089" s="45" t="str">
        <f t="shared" si="8"/>
        <v/>
      </c>
      <c r="P1089" s="45" t="str">
        <f t="shared" si="9"/>
        <v/>
      </c>
    </row>
    <row r="1090" spans="1:16" ht="17.25">
      <c r="A1090" s="276" t="s">
        <v>5951</v>
      </c>
      <c r="B1090" s="351">
        <v>43435</v>
      </c>
      <c r="C1090" s="276" t="s">
        <v>5952</v>
      </c>
      <c r="E1090" s="278" t="str">
        <f t="shared" si="12"/>
        <v>https://pubmed.ncbi.nlm.nih.gov/?term=PMC6785344</v>
      </c>
      <c r="F1090" s="28" t="s">
        <v>511</v>
      </c>
      <c r="G1090" s="28" t="s">
        <v>4592</v>
      </c>
      <c r="J1090" s="346">
        <f t="shared" si="3"/>
        <v>1</v>
      </c>
      <c r="K1090" s="28" t="str">
        <f t="shared" si="4"/>
        <v/>
      </c>
      <c r="L1090" s="45" t="str">
        <f t="shared" si="5"/>
        <v/>
      </c>
      <c r="M1090" s="45" t="str">
        <f t="shared" si="6"/>
        <v/>
      </c>
      <c r="N1090" s="45" t="str">
        <f t="shared" si="7"/>
        <v/>
      </c>
      <c r="O1090" s="45" t="str">
        <f t="shared" si="8"/>
        <v/>
      </c>
      <c r="P1090" s="45" t="str">
        <f t="shared" si="9"/>
        <v/>
      </c>
    </row>
    <row r="1091" spans="1:16" ht="17.25">
      <c r="A1091" s="276" t="s">
        <v>5885</v>
      </c>
      <c r="B1091" s="351">
        <v>43191</v>
      </c>
      <c r="C1091" s="276" t="s">
        <v>4094</v>
      </c>
      <c r="E1091" s="278" t="str">
        <f t="shared" si="12"/>
        <v>https://pubmed.ncbi.nlm.nih.gov/?term=PMC5942845</v>
      </c>
      <c r="H1091" s="28" t="s">
        <v>511</v>
      </c>
      <c r="J1091" s="346" t="str">
        <f t="shared" si="3"/>
        <v/>
      </c>
      <c r="K1091" s="28" t="str">
        <f t="shared" si="4"/>
        <v/>
      </c>
      <c r="L1091" s="45" t="str">
        <f t="shared" si="5"/>
        <v/>
      </c>
      <c r="M1091" s="45" t="str">
        <f t="shared" si="6"/>
        <v/>
      </c>
      <c r="N1091" s="45" t="str">
        <f t="shared" si="7"/>
        <v/>
      </c>
      <c r="O1091" s="45" t="str">
        <f t="shared" si="8"/>
        <v/>
      </c>
      <c r="P1091" s="45" t="str">
        <f t="shared" si="9"/>
        <v/>
      </c>
    </row>
    <row r="1092" spans="1:16" ht="17.25">
      <c r="A1092" s="276" t="s">
        <v>5676</v>
      </c>
      <c r="B1092" s="351">
        <v>44013</v>
      </c>
      <c r="C1092" s="276" t="s">
        <v>4103</v>
      </c>
      <c r="E1092" s="278" t="str">
        <f t="shared" si="12"/>
        <v>https://pubmed.ncbi.nlm.nih.gov/?term=PMC7353841</v>
      </c>
      <c r="H1092" s="28" t="s">
        <v>511</v>
      </c>
      <c r="J1092" s="346" t="str">
        <f t="shared" si="3"/>
        <v/>
      </c>
      <c r="K1092" s="28" t="str">
        <f t="shared" si="4"/>
        <v/>
      </c>
      <c r="L1092" s="45" t="str">
        <f t="shared" si="5"/>
        <v/>
      </c>
      <c r="M1092" s="45" t="str">
        <f t="shared" si="6"/>
        <v/>
      </c>
      <c r="N1092" s="45" t="str">
        <f t="shared" si="7"/>
        <v/>
      </c>
      <c r="O1092" s="45" t="str">
        <f t="shared" si="8"/>
        <v/>
      </c>
      <c r="P1092" s="45" t="str">
        <f t="shared" si="9"/>
        <v/>
      </c>
    </row>
    <row r="1093" spans="1:16" ht="17.25">
      <c r="A1093" s="276" t="s">
        <v>5953</v>
      </c>
      <c r="B1093" s="351">
        <v>43617</v>
      </c>
      <c r="C1093" s="276" t="s">
        <v>5954</v>
      </c>
      <c r="E1093" s="278" t="str">
        <f t="shared" si="12"/>
        <v>https://pubmed.ncbi.nlm.nih.gov/?term=PMC6550445</v>
      </c>
      <c r="F1093" s="28" t="s">
        <v>511</v>
      </c>
      <c r="G1093" s="28" t="s">
        <v>4867</v>
      </c>
      <c r="J1093" s="346" t="str">
        <f t="shared" si="3"/>
        <v/>
      </c>
      <c r="K1093" s="28" t="str">
        <f t="shared" si="4"/>
        <v/>
      </c>
      <c r="L1093" s="45" t="str">
        <f t="shared" si="5"/>
        <v/>
      </c>
      <c r="M1093" s="45" t="str">
        <f t="shared" si="6"/>
        <v/>
      </c>
      <c r="N1093" s="45">
        <f t="shared" si="7"/>
        <v>1</v>
      </c>
      <c r="O1093" s="45" t="str">
        <f t="shared" si="8"/>
        <v/>
      </c>
      <c r="P1093" s="45" t="str">
        <f t="shared" si="9"/>
        <v/>
      </c>
    </row>
    <row r="1094" spans="1:16" ht="17.25">
      <c r="A1094" s="276" t="s">
        <v>5955</v>
      </c>
      <c r="B1094" s="351">
        <v>42675</v>
      </c>
      <c r="C1094" s="276" t="s">
        <v>5956</v>
      </c>
      <c r="E1094" s="278" t="str">
        <f t="shared" si="12"/>
        <v>https://pubmed.ncbi.nlm.nih.gov/?term=PMC5471729</v>
      </c>
      <c r="F1094" s="28" t="s">
        <v>511</v>
      </c>
      <c r="G1094" s="28" t="s">
        <v>4592</v>
      </c>
      <c r="J1094" s="346">
        <f t="shared" si="3"/>
        <v>1</v>
      </c>
      <c r="K1094" s="28" t="str">
        <f t="shared" si="4"/>
        <v/>
      </c>
      <c r="L1094" s="45" t="str">
        <f t="shared" si="5"/>
        <v/>
      </c>
      <c r="M1094" s="45" t="str">
        <f t="shared" si="6"/>
        <v/>
      </c>
      <c r="N1094" s="45" t="str">
        <f t="shared" si="7"/>
        <v/>
      </c>
      <c r="O1094" s="45" t="str">
        <f t="shared" si="8"/>
        <v/>
      </c>
      <c r="P1094" s="45" t="str">
        <f t="shared" si="9"/>
        <v/>
      </c>
    </row>
    <row r="1095" spans="1:16" ht="17.25">
      <c r="A1095" s="276" t="s">
        <v>5957</v>
      </c>
      <c r="B1095" s="351">
        <v>40513</v>
      </c>
      <c r="C1095" s="276" t="s">
        <v>5958</v>
      </c>
      <c r="E1095" s="278" t="str">
        <f t="shared" si="12"/>
        <v>https://pubmed.ncbi.nlm.nih.gov/?term=PMC3722871</v>
      </c>
      <c r="F1095" s="28" t="s">
        <v>511</v>
      </c>
      <c r="G1095" s="28" t="s">
        <v>4867</v>
      </c>
      <c r="J1095" s="346" t="str">
        <f t="shared" si="3"/>
        <v/>
      </c>
      <c r="K1095" s="28" t="str">
        <f t="shared" si="4"/>
        <v/>
      </c>
      <c r="L1095" s="45" t="str">
        <f t="shared" si="5"/>
        <v/>
      </c>
      <c r="M1095" s="45" t="str">
        <f t="shared" si="6"/>
        <v/>
      </c>
      <c r="N1095" s="45">
        <f t="shared" si="7"/>
        <v>1</v>
      </c>
      <c r="O1095" s="45" t="str">
        <f t="shared" si="8"/>
        <v/>
      </c>
      <c r="P1095" s="45" t="str">
        <f t="shared" si="9"/>
        <v/>
      </c>
    </row>
    <row r="1096" spans="1:16" ht="17.25">
      <c r="A1096" s="276" t="s">
        <v>5959</v>
      </c>
      <c r="B1096" s="351">
        <v>44075</v>
      </c>
      <c r="C1096" s="276" t="s">
        <v>5960</v>
      </c>
      <c r="E1096" s="278" t="str">
        <f t="shared" si="12"/>
        <v>https://pubmed.ncbi.nlm.nih.gov/?term=PMC7872131</v>
      </c>
      <c r="F1096" s="28" t="s">
        <v>511</v>
      </c>
      <c r="G1096" s="28" t="s">
        <v>4592</v>
      </c>
      <c r="J1096" s="346">
        <f t="shared" si="3"/>
        <v>1</v>
      </c>
      <c r="K1096" s="28" t="str">
        <f t="shared" si="4"/>
        <v/>
      </c>
      <c r="L1096" s="45" t="str">
        <f t="shared" si="5"/>
        <v/>
      </c>
      <c r="M1096" s="45" t="str">
        <f t="shared" si="6"/>
        <v/>
      </c>
      <c r="N1096" s="45" t="str">
        <f t="shared" si="7"/>
        <v/>
      </c>
      <c r="O1096" s="45" t="str">
        <f t="shared" si="8"/>
        <v/>
      </c>
      <c r="P1096" s="45" t="str">
        <f t="shared" si="9"/>
        <v/>
      </c>
    </row>
    <row r="1097" spans="1:16" ht="17.25">
      <c r="A1097" s="276" t="s">
        <v>5961</v>
      </c>
      <c r="B1097" s="351">
        <v>44228</v>
      </c>
      <c r="C1097" s="276" t="s">
        <v>5962</v>
      </c>
      <c r="E1097" s="278" t="str">
        <f t="shared" si="12"/>
        <v>https://pubmed.ncbi.nlm.nih.gov/?term=PMC7993625</v>
      </c>
      <c r="F1097" s="28" t="s">
        <v>511</v>
      </c>
      <c r="G1097" s="28" t="s">
        <v>5640</v>
      </c>
      <c r="J1097" s="346">
        <f t="shared" si="3"/>
        <v>1</v>
      </c>
      <c r="K1097" s="28" t="str">
        <f t="shared" si="4"/>
        <v/>
      </c>
      <c r="L1097" s="45" t="str">
        <f t="shared" si="5"/>
        <v/>
      </c>
      <c r="M1097" s="45" t="str">
        <f t="shared" si="6"/>
        <v/>
      </c>
      <c r="N1097" s="45" t="str">
        <f t="shared" si="7"/>
        <v/>
      </c>
      <c r="O1097" s="45" t="str">
        <f t="shared" si="8"/>
        <v/>
      </c>
      <c r="P1097" s="45" t="str">
        <f t="shared" si="9"/>
        <v/>
      </c>
    </row>
    <row r="1098" spans="1:16" ht="17.25">
      <c r="A1098" s="276" t="s">
        <v>5963</v>
      </c>
      <c r="B1098" s="351">
        <v>41791</v>
      </c>
      <c r="C1098" s="276" t="s">
        <v>5964</v>
      </c>
      <c r="E1098" s="278" t="str">
        <f t="shared" si="12"/>
        <v>https://pubmed.ncbi.nlm.nih.gov/?term=PMC4111282</v>
      </c>
      <c r="F1098" s="28" t="s">
        <v>511</v>
      </c>
      <c r="G1098" s="28" t="s">
        <v>4592</v>
      </c>
      <c r="J1098" s="346">
        <f t="shared" si="3"/>
        <v>1</v>
      </c>
      <c r="K1098" s="28" t="str">
        <f t="shared" si="4"/>
        <v/>
      </c>
      <c r="L1098" s="45" t="str">
        <f t="shared" si="5"/>
        <v/>
      </c>
      <c r="M1098" s="45" t="str">
        <f t="shared" si="6"/>
        <v/>
      </c>
      <c r="N1098" s="45" t="str">
        <f t="shared" si="7"/>
        <v/>
      </c>
      <c r="O1098" s="45" t="str">
        <f t="shared" si="8"/>
        <v/>
      </c>
      <c r="P1098" s="45" t="str">
        <f t="shared" si="9"/>
        <v/>
      </c>
    </row>
    <row r="1099" spans="1:16" ht="17.25">
      <c r="A1099" s="276" t="s">
        <v>5965</v>
      </c>
      <c r="B1099" s="351">
        <v>42552</v>
      </c>
      <c r="C1099" s="276" t="s">
        <v>4212</v>
      </c>
      <c r="E1099" s="278" t="str">
        <f t="shared" si="12"/>
        <v>https://pubmed.ncbi.nlm.nih.gov/?term=PMC4933782</v>
      </c>
      <c r="H1099" s="28" t="s">
        <v>511</v>
      </c>
      <c r="J1099" s="346" t="str">
        <f t="shared" si="3"/>
        <v/>
      </c>
      <c r="K1099" s="28" t="str">
        <f t="shared" si="4"/>
        <v/>
      </c>
      <c r="L1099" s="45" t="str">
        <f t="shared" si="5"/>
        <v/>
      </c>
      <c r="M1099" s="45" t="str">
        <f t="shared" si="6"/>
        <v/>
      </c>
      <c r="N1099" s="45" t="str">
        <f t="shared" si="7"/>
        <v/>
      </c>
      <c r="O1099" s="45" t="str">
        <f t="shared" si="8"/>
        <v/>
      </c>
      <c r="P1099" s="45" t="str">
        <f t="shared" si="9"/>
        <v/>
      </c>
    </row>
    <row r="1100" spans="1:16" ht="17.25">
      <c r="A1100" s="276" t="s">
        <v>5823</v>
      </c>
      <c r="B1100" s="351">
        <v>42005</v>
      </c>
      <c r="C1100" s="276" t="s">
        <v>5966</v>
      </c>
      <c r="E1100" s="278" t="str">
        <f t="shared" si="12"/>
        <v>https://pubmed.ncbi.nlm.nih.gov/?term=PMC4278929</v>
      </c>
      <c r="F1100" s="28" t="s">
        <v>511</v>
      </c>
      <c r="G1100" s="28" t="s">
        <v>4744</v>
      </c>
      <c r="J1100" s="346" t="str">
        <f t="shared" si="3"/>
        <v/>
      </c>
      <c r="K1100" s="28" t="str">
        <f t="shared" si="4"/>
        <v/>
      </c>
      <c r="L1100" s="45" t="str">
        <f t="shared" si="5"/>
        <v/>
      </c>
      <c r="M1100" s="45" t="str">
        <f t="shared" si="6"/>
        <v/>
      </c>
      <c r="N1100" s="45">
        <f t="shared" si="7"/>
        <v>1</v>
      </c>
      <c r="O1100" s="45" t="str">
        <f t="shared" si="8"/>
        <v/>
      </c>
      <c r="P1100" s="45" t="str">
        <f t="shared" si="9"/>
        <v/>
      </c>
    </row>
    <row r="1101" spans="1:16" ht="17.25">
      <c r="A1101" s="276" t="s">
        <v>5967</v>
      </c>
      <c r="B1101" s="351">
        <v>44228</v>
      </c>
      <c r="C1101" s="276" t="s">
        <v>5968</v>
      </c>
      <c r="E1101" s="278" t="str">
        <f t="shared" si="12"/>
        <v>https://pubmed.ncbi.nlm.nih.gov/?term=PMC7543275</v>
      </c>
      <c r="F1101" s="28" t="s">
        <v>511</v>
      </c>
      <c r="G1101" s="28" t="s">
        <v>5188</v>
      </c>
      <c r="J1101" s="346">
        <f t="shared" si="3"/>
        <v>1</v>
      </c>
      <c r="K1101" s="28" t="str">
        <f t="shared" si="4"/>
        <v/>
      </c>
      <c r="L1101" s="45" t="str">
        <f t="shared" si="5"/>
        <v/>
      </c>
      <c r="M1101" s="45" t="str">
        <f t="shared" si="6"/>
        <v/>
      </c>
      <c r="N1101" s="45" t="str">
        <f t="shared" si="7"/>
        <v/>
      </c>
      <c r="O1101" s="45" t="str">
        <f t="shared" si="8"/>
        <v/>
      </c>
      <c r="P1101" s="45" t="str">
        <f t="shared" si="9"/>
        <v/>
      </c>
    </row>
    <row r="1102" spans="1:16" ht="17.25">
      <c r="A1102" s="276" t="s">
        <v>5969</v>
      </c>
      <c r="B1102" s="351">
        <v>41730</v>
      </c>
      <c r="C1102" s="276" t="s">
        <v>856</v>
      </c>
      <c r="E1102" s="278" t="str">
        <f t="shared" si="12"/>
        <v>https://pubmed.ncbi.nlm.nih.gov/?term=PMC3969545</v>
      </c>
      <c r="H1102" s="28" t="s">
        <v>511</v>
      </c>
      <c r="J1102" s="346" t="str">
        <f t="shared" si="3"/>
        <v/>
      </c>
      <c r="K1102" s="28" t="str">
        <f t="shared" si="4"/>
        <v/>
      </c>
      <c r="L1102" s="45" t="str">
        <f t="shared" si="5"/>
        <v/>
      </c>
      <c r="M1102" s="45" t="str">
        <f t="shared" si="6"/>
        <v/>
      </c>
      <c r="N1102" s="45" t="str">
        <f t="shared" si="7"/>
        <v/>
      </c>
      <c r="O1102" s="45" t="str">
        <f t="shared" si="8"/>
        <v/>
      </c>
      <c r="P1102" s="45" t="str">
        <f t="shared" si="9"/>
        <v/>
      </c>
    </row>
    <row r="1103" spans="1:16" ht="17.25">
      <c r="A1103" s="276" t="s">
        <v>5970</v>
      </c>
      <c r="B1103" s="351">
        <v>40179</v>
      </c>
      <c r="C1103" s="276" t="s">
        <v>5971</v>
      </c>
      <c r="E1103" s="278" t="str">
        <f t="shared" si="12"/>
        <v>https://pubmed.ncbi.nlm.nih.gov/?term=PMC2809736</v>
      </c>
      <c r="F1103" s="28" t="s">
        <v>511</v>
      </c>
      <c r="G1103" s="28" t="s">
        <v>4744</v>
      </c>
      <c r="J1103" s="346" t="str">
        <f t="shared" si="3"/>
        <v/>
      </c>
      <c r="K1103" s="28" t="str">
        <f t="shared" si="4"/>
        <v/>
      </c>
      <c r="L1103" s="45" t="str">
        <f t="shared" si="5"/>
        <v/>
      </c>
      <c r="M1103" s="45" t="str">
        <f t="shared" si="6"/>
        <v/>
      </c>
      <c r="N1103" s="45">
        <f t="shared" si="7"/>
        <v>1</v>
      </c>
      <c r="O1103" s="45" t="str">
        <f t="shared" si="8"/>
        <v/>
      </c>
      <c r="P1103" s="45" t="str">
        <f t="shared" si="9"/>
        <v/>
      </c>
    </row>
    <row r="1104" spans="1:16" ht="17.25">
      <c r="A1104" s="276" t="s">
        <v>5972</v>
      </c>
      <c r="B1104" s="351">
        <v>43983</v>
      </c>
      <c r="C1104" s="276" t="s">
        <v>4550</v>
      </c>
      <c r="E1104" s="278" t="str">
        <f t="shared" si="12"/>
        <v>https://pubmed.ncbi.nlm.nih.gov/?term=PMC7286377</v>
      </c>
      <c r="H1104" s="28" t="s">
        <v>511</v>
      </c>
      <c r="J1104" s="346" t="str">
        <f t="shared" si="3"/>
        <v/>
      </c>
      <c r="K1104" s="28" t="str">
        <f t="shared" si="4"/>
        <v/>
      </c>
      <c r="L1104" s="45" t="str">
        <f t="shared" si="5"/>
        <v/>
      </c>
      <c r="M1104" s="45" t="str">
        <f t="shared" si="6"/>
        <v/>
      </c>
      <c r="N1104" s="45" t="str">
        <f t="shared" si="7"/>
        <v/>
      </c>
      <c r="O1104" s="45" t="str">
        <f t="shared" si="8"/>
        <v/>
      </c>
      <c r="P1104" s="45" t="str">
        <f t="shared" si="9"/>
        <v/>
      </c>
    </row>
    <row r="1105" spans="1:16" ht="17.25">
      <c r="A1105" s="276" t="s">
        <v>5973</v>
      </c>
      <c r="B1105" s="351">
        <v>43344</v>
      </c>
      <c r="C1105" s="276" t="s">
        <v>5974</v>
      </c>
      <c r="E1105" s="278" t="str">
        <f t="shared" si="12"/>
        <v>https://pubmed.ncbi.nlm.nih.gov/?term=PMC6381545</v>
      </c>
      <c r="F1105" s="28" t="s">
        <v>511</v>
      </c>
      <c r="G1105" s="28" t="s">
        <v>4592</v>
      </c>
      <c r="J1105" s="346">
        <f t="shared" si="3"/>
        <v>1</v>
      </c>
      <c r="K1105" s="28" t="str">
        <f t="shared" si="4"/>
        <v/>
      </c>
      <c r="L1105" s="45" t="str">
        <f t="shared" si="5"/>
        <v/>
      </c>
      <c r="M1105" s="45" t="str">
        <f t="shared" si="6"/>
        <v/>
      </c>
      <c r="N1105" s="45" t="str">
        <f t="shared" si="7"/>
        <v/>
      </c>
      <c r="O1105" s="45" t="str">
        <f t="shared" si="8"/>
        <v/>
      </c>
      <c r="P1105" s="45" t="str">
        <f t="shared" si="9"/>
        <v/>
      </c>
    </row>
    <row r="1106" spans="1:16" ht="17.25">
      <c r="A1106" s="276" t="s">
        <v>5975</v>
      </c>
      <c r="B1106" s="351">
        <v>43374</v>
      </c>
      <c r="C1106" s="276" t="s">
        <v>5976</v>
      </c>
      <c r="E1106" s="278" t="str">
        <f t="shared" si="12"/>
        <v>https://pubmed.ncbi.nlm.nih.gov/?term=PMC6188552</v>
      </c>
      <c r="F1106" s="28" t="s">
        <v>511</v>
      </c>
      <c r="G1106" s="28" t="s">
        <v>4592</v>
      </c>
      <c r="J1106" s="346">
        <f t="shared" si="3"/>
        <v>1</v>
      </c>
      <c r="K1106" s="28" t="str">
        <f t="shared" si="4"/>
        <v/>
      </c>
      <c r="L1106" s="45" t="str">
        <f t="shared" si="5"/>
        <v/>
      </c>
      <c r="M1106" s="45" t="str">
        <f t="shared" si="6"/>
        <v/>
      </c>
      <c r="N1106" s="45" t="str">
        <f t="shared" si="7"/>
        <v/>
      </c>
      <c r="O1106" s="45" t="str">
        <f t="shared" si="8"/>
        <v/>
      </c>
      <c r="P1106" s="45" t="str">
        <f t="shared" si="9"/>
        <v/>
      </c>
    </row>
    <row r="1107" spans="1:16" ht="17.25">
      <c r="A1107" s="276" t="s">
        <v>5977</v>
      </c>
      <c r="B1107" s="351">
        <v>42064</v>
      </c>
      <c r="C1107" s="276" t="s">
        <v>5978</v>
      </c>
      <c r="E1107" s="278" t="str">
        <f t="shared" si="12"/>
        <v>https://pubmed.ncbi.nlm.nih.gov/?term=PMC4353319</v>
      </c>
      <c r="F1107" s="28" t="s">
        <v>511</v>
      </c>
      <c r="G1107" s="28" t="s">
        <v>4744</v>
      </c>
      <c r="J1107" s="346" t="str">
        <f t="shared" si="3"/>
        <v/>
      </c>
      <c r="K1107" s="28" t="str">
        <f t="shared" si="4"/>
        <v/>
      </c>
      <c r="L1107" s="45" t="str">
        <f t="shared" si="5"/>
        <v/>
      </c>
      <c r="M1107" s="45" t="str">
        <f t="shared" si="6"/>
        <v/>
      </c>
      <c r="N1107" s="45">
        <f t="shared" si="7"/>
        <v>1</v>
      </c>
      <c r="O1107" s="45" t="str">
        <f t="shared" si="8"/>
        <v/>
      </c>
      <c r="P1107" s="45" t="str">
        <f t="shared" si="9"/>
        <v/>
      </c>
    </row>
    <row r="1108" spans="1:16" ht="17.25">
      <c r="A1108" s="276" t="s">
        <v>5979</v>
      </c>
      <c r="B1108" s="351">
        <v>44197</v>
      </c>
      <c r="C1108" s="276" t="s">
        <v>5980</v>
      </c>
      <c r="E1108" s="278" t="str">
        <f t="shared" si="12"/>
        <v>https://pubmed.ncbi.nlm.nih.gov/?term=PMC7790068</v>
      </c>
      <c r="F1108" s="28" t="s">
        <v>511</v>
      </c>
      <c r="G1108" s="28" t="s">
        <v>4744</v>
      </c>
      <c r="J1108" s="346" t="str">
        <f t="shared" si="3"/>
        <v/>
      </c>
      <c r="K1108" s="28" t="str">
        <f t="shared" si="4"/>
        <v/>
      </c>
      <c r="L1108" s="45" t="str">
        <f t="shared" si="5"/>
        <v/>
      </c>
      <c r="M1108" s="45" t="str">
        <f t="shared" si="6"/>
        <v/>
      </c>
      <c r="N1108" s="45">
        <f t="shared" si="7"/>
        <v>1</v>
      </c>
      <c r="O1108" s="45" t="str">
        <f t="shared" si="8"/>
        <v/>
      </c>
      <c r="P1108" s="45" t="str">
        <f t="shared" si="9"/>
        <v/>
      </c>
    </row>
    <row r="1109" spans="1:16" ht="17.25">
      <c r="A1109" s="276" t="s">
        <v>5981</v>
      </c>
      <c r="B1109" s="351">
        <v>43282</v>
      </c>
      <c r="C1109" s="276" t="s">
        <v>5982</v>
      </c>
      <c r="E1109" s="278" t="str">
        <f t="shared" si="12"/>
        <v>https://pubmed.ncbi.nlm.nih.gov/?term=PMC6090158</v>
      </c>
      <c r="F1109" s="28" t="s">
        <v>511</v>
      </c>
      <c r="G1109" s="28" t="s">
        <v>5618</v>
      </c>
      <c r="J1109" s="346">
        <f t="shared" si="3"/>
        <v>1</v>
      </c>
      <c r="K1109" s="28" t="str">
        <f t="shared" si="4"/>
        <v/>
      </c>
      <c r="L1109" s="45" t="str">
        <f t="shared" si="5"/>
        <v/>
      </c>
      <c r="M1109" s="45" t="str">
        <f t="shared" si="6"/>
        <v/>
      </c>
      <c r="N1109" s="45" t="str">
        <f t="shared" si="7"/>
        <v/>
      </c>
      <c r="O1109" s="45" t="str">
        <f t="shared" si="8"/>
        <v/>
      </c>
      <c r="P1109" s="45" t="str">
        <f t="shared" si="9"/>
        <v/>
      </c>
    </row>
    <row r="1110" spans="1:16" ht="17.25">
      <c r="A1110" s="276" t="s">
        <v>5983</v>
      </c>
      <c r="B1110" s="351">
        <v>44256</v>
      </c>
      <c r="C1110" s="276" t="s">
        <v>5984</v>
      </c>
      <c r="D1110" s="28"/>
      <c r="E1110" s="281" t="s">
        <v>5985</v>
      </c>
      <c r="F1110" s="28" t="s">
        <v>511</v>
      </c>
      <c r="G1110" s="28" t="s">
        <v>4592</v>
      </c>
      <c r="J1110" s="346">
        <f t="shared" si="3"/>
        <v>1</v>
      </c>
      <c r="K1110" s="28" t="str">
        <f t="shared" si="4"/>
        <v/>
      </c>
      <c r="L1110" s="45" t="str">
        <f t="shared" si="5"/>
        <v/>
      </c>
      <c r="M1110" s="45" t="str">
        <f t="shared" si="6"/>
        <v/>
      </c>
      <c r="N1110" s="45" t="str">
        <f t="shared" si="7"/>
        <v/>
      </c>
      <c r="O1110" s="45" t="str">
        <f t="shared" si="8"/>
        <v/>
      </c>
      <c r="P1110" s="45" t="str">
        <f t="shared" si="9"/>
        <v/>
      </c>
    </row>
    <row r="1111" spans="1:16" ht="17.25">
      <c r="A1111" s="276" t="s">
        <v>5986</v>
      </c>
      <c r="B1111" s="351">
        <v>43132</v>
      </c>
      <c r="C1111" s="276" t="s">
        <v>4208</v>
      </c>
      <c r="E1111" s="278" t="str">
        <f t="shared" ref="E1111:E1116" si="13">"https://pubmed.ncbi.nlm.nih.gov/?term="&amp;C1111</f>
        <v>https://pubmed.ncbi.nlm.nih.gov/?term=PMC5853383</v>
      </c>
      <c r="H1111" s="28" t="s">
        <v>511</v>
      </c>
      <c r="J1111" s="346" t="str">
        <f t="shared" si="3"/>
        <v/>
      </c>
      <c r="K1111" s="28" t="str">
        <f t="shared" si="4"/>
        <v/>
      </c>
      <c r="L1111" s="45" t="str">
        <f t="shared" si="5"/>
        <v/>
      </c>
      <c r="M1111" s="45" t="str">
        <f t="shared" si="6"/>
        <v/>
      </c>
      <c r="N1111" s="45" t="str">
        <f t="shared" si="7"/>
        <v/>
      </c>
      <c r="O1111" s="45" t="str">
        <f t="shared" si="8"/>
        <v/>
      </c>
      <c r="P1111" s="45" t="str">
        <f t="shared" si="9"/>
        <v/>
      </c>
    </row>
    <row r="1112" spans="1:16" ht="17.25">
      <c r="A1112" s="276" t="s">
        <v>5987</v>
      </c>
      <c r="B1112" s="351">
        <v>43891</v>
      </c>
      <c r="C1112" s="276" t="s">
        <v>4214</v>
      </c>
      <c r="E1112" s="278" t="str">
        <f t="shared" si="13"/>
        <v>https://pubmed.ncbi.nlm.nih.gov/?term=PMC7069936</v>
      </c>
      <c r="H1112" s="28" t="s">
        <v>511</v>
      </c>
      <c r="J1112" s="346" t="str">
        <f t="shared" si="3"/>
        <v/>
      </c>
      <c r="K1112" s="28" t="str">
        <f t="shared" si="4"/>
        <v/>
      </c>
      <c r="L1112" s="45" t="str">
        <f t="shared" si="5"/>
        <v/>
      </c>
      <c r="M1112" s="45" t="str">
        <f t="shared" si="6"/>
        <v/>
      </c>
      <c r="N1112" s="45" t="str">
        <f t="shared" si="7"/>
        <v/>
      </c>
      <c r="O1112" s="45" t="str">
        <f t="shared" si="8"/>
        <v/>
      </c>
      <c r="P1112" s="45" t="str">
        <f t="shared" si="9"/>
        <v/>
      </c>
    </row>
    <row r="1113" spans="1:16" ht="17.25">
      <c r="A1113" s="276" t="s">
        <v>5988</v>
      </c>
      <c r="B1113" s="351">
        <v>41883</v>
      </c>
      <c r="C1113" s="276" t="s">
        <v>4229</v>
      </c>
      <c r="E1113" s="278" t="str">
        <f t="shared" si="13"/>
        <v>https://pubmed.ncbi.nlm.nih.gov/?term=PMC4165915</v>
      </c>
      <c r="H1113" s="28" t="s">
        <v>511</v>
      </c>
      <c r="J1113" s="346" t="str">
        <f t="shared" si="3"/>
        <v/>
      </c>
      <c r="K1113" s="28" t="str">
        <f t="shared" si="4"/>
        <v/>
      </c>
      <c r="L1113" s="45" t="str">
        <f t="shared" si="5"/>
        <v/>
      </c>
      <c r="M1113" s="45" t="str">
        <f t="shared" si="6"/>
        <v/>
      </c>
      <c r="N1113" s="45" t="str">
        <f t="shared" si="7"/>
        <v/>
      </c>
      <c r="O1113" s="45" t="str">
        <f t="shared" si="8"/>
        <v/>
      </c>
      <c r="P1113" s="45" t="str">
        <f t="shared" si="9"/>
        <v/>
      </c>
    </row>
    <row r="1114" spans="1:16" ht="17.25">
      <c r="A1114" s="276" t="s">
        <v>5989</v>
      </c>
      <c r="B1114" s="351">
        <v>43160</v>
      </c>
      <c r="C1114" s="276" t="s">
        <v>5990</v>
      </c>
      <c r="E1114" s="278" t="str">
        <f t="shared" si="13"/>
        <v>https://pubmed.ncbi.nlm.nih.gov/?term=PMC5845111</v>
      </c>
      <c r="F1114" s="28" t="s">
        <v>511</v>
      </c>
      <c r="G1114" s="28" t="s">
        <v>4592</v>
      </c>
      <c r="J1114" s="346">
        <f t="shared" si="3"/>
        <v>1</v>
      </c>
      <c r="K1114" s="28" t="str">
        <f t="shared" si="4"/>
        <v/>
      </c>
      <c r="L1114" s="45" t="str">
        <f t="shared" si="5"/>
        <v/>
      </c>
      <c r="M1114" s="45" t="str">
        <f t="shared" si="6"/>
        <v/>
      </c>
      <c r="N1114" s="45" t="str">
        <f t="shared" si="7"/>
        <v/>
      </c>
      <c r="O1114" s="45" t="str">
        <f t="shared" si="8"/>
        <v/>
      </c>
      <c r="P1114" s="45" t="str">
        <f t="shared" si="9"/>
        <v/>
      </c>
    </row>
    <row r="1115" spans="1:16" ht="17.25">
      <c r="A1115" s="276" t="s">
        <v>5991</v>
      </c>
      <c r="B1115" s="351">
        <v>42036</v>
      </c>
      <c r="C1115" s="276" t="s">
        <v>4251</v>
      </c>
      <c r="E1115" s="278" t="str">
        <f t="shared" si="13"/>
        <v>https://pubmed.ncbi.nlm.nih.gov/?term=PMC4322439</v>
      </c>
      <c r="H1115" s="28" t="s">
        <v>511</v>
      </c>
      <c r="J1115" s="346" t="str">
        <f t="shared" si="3"/>
        <v/>
      </c>
      <c r="K1115" s="28" t="str">
        <f t="shared" si="4"/>
        <v/>
      </c>
      <c r="L1115" s="45" t="str">
        <f t="shared" si="5"/>
        <v/>
      </c>
      <c r="M1115" s="45" t="str">
        <f t="shared" si="6"/>
        <v/>
      </c>
      <c r="N1115" s="45" t="str">
        <f t="shared" si="7"/>
        <v/>
      </c>
      <c r="O1115" s="45" t="str">
        <f t="shared" si="8"/>
        <v/>
      </c>
      <c r="P1115" s="45" t="str">
        <f t="shared" si="9"/>
        <v/>
      </c>
    </row>
    <row r="1116" spans="1:16" ht="17.25">
      <c r="A1116" s="276" t="s">
        <v>5992</v>
      </c>
      <c r="B1116" s="351">
        <v>43922</v>
      </c>
      <c r="C1116" s="276" t="s">
        <v>5993</v>
      </c>
      <c r="E1116" s="278" t="str">
        <f t="shared" si="13"/>
        <v>https://pubmed.ncbi.nlm.nih.gov/?term=PMC7349415</v>
      </c>
      <c r="F1116" s="28" t="s">
        <v>511</v>
      </c>
      <c r="G1116" s="28" t="s">
        <v>5640</v>
      </c>
      <c r="J1116" s="346">
        <f t="shared" si="3"/>
        <v>1</v>
      </c>
      <c r="K1116" s="28" t="str">
        <f t="shared" si="4"/>
        <v/>
      </c>
      <c r="L1116" s="45" t="str">
        <f t="shared" si="5"/>
        <v/>
      </c>
      <c r="M1116" s="45" t="str">
        <f t="shared" si="6"/>
        <v/>
      </c>
      <c r="N1116" s="45" t="str">
        <f t="shared" si="7"/>
        <v/>
      </c>
      <c r="O1116" s="45" t="str">
        <f t="shared" si="8"/>
        <v/>
      </c>
      <c r="P1116" s="45" t="str">
        <f t="shared" si="9"/>
        <v/>
      </c>
    </row>
    <row r="1117" spans="1:16" ht="17.25">
      <c r="A1117" s="276" t="s">
        <v>5994</v>
      </c>
      <c r="B1117" s="351">
        <v>41426</v>
      </c>
      <c r="C1117" s="276" t="s">
        <v>5995</v>
      </c>
      <c r="D1117" s="28"/>
      <c r="E1117" s="281" t="s">
        <v>5996</v>
      </c>
      <c r="F1117" s="28" t="s">
        <v>511</v>
      </c>
      <c r="G1117" s="28" t="s">
        <v>4592</v>
      </c>
      <c r="J1117" s="346">
        <f t="shared" si="3"/>
        <v>1</v>
      </c>
      <c r="K1117" s="28" t="str">
        <f t="shared" si="4"/>
        <v/>
      </c>
      <c r="L1117" s="45" t="str">
        <f t="shared" si="5"/>
        <v/>
      </c>
      <c r="M1117" s="45" t="str">
        <f t="shared" si="6"/>
        <v/>
      </c>
      <c r="N1117" s="45" t="str">
        <f t="shared" si="7"/>
        <v/>
      </c>
      <c r="O1117" s="45" t="str">
        <f t="shared" si="8"/>
        <v/>
      </c>
      <c r="P1117" s="45" t="str">
        <f t="shared" si="9"/>
        <v/>
      </c>
    </row>
    <row r="1118" spans="1:16" ht="17.25">
      <c r="A1118" s="276" t="s">
        <v>5997</v>
      </c>
      <c r="B1118" s="351">
        <v>42736</v>
      </c>
      <c r="C1118" s="276" t="s">
        <v>4188</v>
      </c>
      <c r="E1118" s="278" t="str">
        <f t="shared" ref="E1118:E1131" si="14">"https://pubmed.ncbi.nlm.nih.gov/?term="&amp;C1118</f>
        <v>https://pubmed.ncbi.nlm.nih.gov/?term=PMC5216439</v>
      </c>
      <c r="H1118" s="28" t="s">
        <v>511</v>
      </c>
      <c r="J1118" s="346" t="str">
        <f t="shared" si="3"/>
        <v/>
      </c>
      <c r="K1118" s="28" t="str">
        <f t="shared" si="4"/>
        <v/>
      </c>
      <c r="L1118" s="45" t="str">
        <f t="shared" si="5"/>
        <v/>
      </c>
      <c r="M1118" s="45" t="str">
        <f t="shared" si="6"/>
        <v/>
      </c>
      <c r="N1118" s="45" t="str">
        <f t="shared" si="7"/>
        <v/>
      </c>
      <c r="O1118" s="45" t="str">
        <f t="shared" si="8"/>
        <v/>
      </c>
      <c r="P1118" s="45" t="str">
        <f t="shared" si="9"/>
        <v/>
      </c>
    </row>
    <row r="1119" spans="1:16" ht="17.25">
      <c r="A1119" s="276" t="s">
        <v>5998</v>
      </c>
      <c r="B1119" s="351">
        <v>37226</v>
      </c>
      <c r="C1119" s="276" t="s">
        <v>5999</v>
      </c>
      <c r="E1119" s="278" t="str">
        <f t="shared" si="14"/>
        <v>https://pubmed.ncbi.nlm.nih.gov/?term=PMC2631916</v>
      </c>
      <c r="F1119" s="28" t="s">
        <v>511</v>
      </c>
      <c r="G1119" s="28" t="s">
        <v>4592</v>
      </c>
      <c r="J1119" s="346">
        <f t="shared" si="3"/>
        <v>1</v>
      </c>
      <c r="K1119" s="28" t="str">
        <f t="shared" si="4"/>
        <v/>
      </c>
      <c r="L1119" s="45" t="str">
        <f t="shared" si="5"/>
        <v/>
      </c>
      <c r="M1119" s="45" t="str">
        <f t="shared" si="6"/>
        <v/>
      </c>
      <c r="N1119" s="45" t="str">
        <f t="shared" si="7"/>
        <v/>
      </c>
      <c r="O1119" s="45" t="str">
        <f t="shared" si="8"/>
        <v/>
      </c>
      <c r="P1119" s="45" t="str">
        <f t="shared" si="9"/>
        <v/>
      </c>
    </row>
    <row r="1120" spans="1:16" ht="17.25">
      <c r="A1120" s="276" t="s">
        <v>5803</v>
      </c>
      <c r="B1120" s="351">
        <v>42705</v>
      </c>
      <c r="C1120" s="276" t="s">
        <v>4166</v>
      </c>
      <c r="E1120" s="278" t="str">
        <f t="shared" si="14"/>
        <v>https://pubmed.ncbi.nlm.nih.gov/?term=PMC5179046</v>
      </c>
      <c r="H1120" s="28" t="s">
        <v>511</v>
      </c>
      <c r="J1120" s="346" t="str">
        <f t="shared" si="3"/>
        <v/>
      </c>
      <c r="K1120" s="28" t="str">
        <f t="shared" si="4"/>
        <v/>
      </c>
      <c r="L1120" s="45" t="str">
        <f t="shared" si="5"/>
        <v/>
      </c>
      <c r="M1120" s="45" t="str">
        <f t="shared" si="6"/>
        <v/>
      </c>
      <c r="N1120" s="45" t="str">
        <f t="shared" si="7"/>
        <v/>
      </c>
      <c r="O1120" s="45" t="str">
        <f t="shared" si="8"/>
        <v/>
      </c>
      <c r="P1120" s="45" t="str">
        <f t="shared" si="9"/>
        <v/>
      </c>
    </row>
    <row r="1121" spans="1:16" ht="17.25">
      <c r="A1121" s="276" t="s">
        <v>6000</v>
      </c>
      <c r="B1121" s="351">
        <v>41944</v>
      </c>
      <c r="C1121" s="276" t="s">
        <v>4233</v>
      </c>
      <c r="E1121" s="278" t="str">
        <f t="shared" si="14"/>
        <v>https://pubmed.ncbi.nlm.nih.gov/?term=PMC4236046</v>
      </c>
      <c r="H1121" s="28" t="s">
        <v>511</v>
      </c>
      <c r="J1121" s="346" t="str">
        <f t="shared" si="3"/>
        <v/>
      </c>
      <c r="K1121" s="28" t="str">
        <f t="shared" si="4"/>
        <v/>
      </c>
      <c r="L1121" s="45" t="str">
        <f t="shared" si="5"/>
        <v/>
      </c>
      <c r="M1121" s="45" t="str">
        <f t="shared" si="6"/>
        <v/>
      </c>
      <c r="N1121" s="45" t="str">
        <f t="shared" si="7"/>
        <v/>
      </c>
      <c r="O1121" s="45" t="str">
        <f t="shared" si="8"/>
        <v/>
      </c>
      <c r="P1121" s="45" t="str">
        <f t="shared" si="9"/>
        <v/>
      </c>
    </row>
    <row r="1122" spans="1:16" ht="17.25">
      <c r="A1122" s="276" t="s">
        <v>6001</v>
      </c>
      <c r="B1122" s="351">
        <v>44197</v>
      </c>
      <c r="C1122" s="276" t="s">
        <v>6002</v>
      </c>
      <c r="E1122" s="278" t="str">
        <f t="shared" si="14"/>
        <v>https://pubmed.ncbi.nlm.nih.gov/?term=PMC7817873</v>
      </c>
      <c r="F1122" s="28" t="s">
        <v>511</v>
      </c>
      <c r="G1122" s="28" t="s">
        <v>6003</v>
      </c>
      <c r="J1122" s="346" t="str">
        <f t="shared" si="3"/>
        <v/>
      </c>
      <c r="K1122" s="28" t="str">
        <f t="shared" si="4"/>
        <v/>
      </c>
      <c r="L1122" s="45" t="str">
        <f t="shared" si="5"/>
        <v/>
      </c>
      <c r="M1122" s="45" t="str">
        <f t="shared" si="6"/>
        <v/>
      </c>
      <c r="N1122" s="45" t="str">
        <f t="shared" si="7"/>
        <v/>
      </c>
      <c r="O1122" s="45">
        <f t="shared" si="8"/>
        <v>1</v>
      </c>
      <c r="P1122" s="45" t="str">
        <f t="shared" si="9"/>
        <v/>
      </c>
    </row>
    <row r="1123" spans="1:16" ht="17.25">
      <c r="A1123" s="276" t="s">
        <v>6004</v>
      </c>
      <c r="B1123" s="351">
        <v>41426</v>
      </c>
      <c r="C1123" s="276" t="s">
        <v>6005</v>
      </c>
      <c r="E1123" s="278" t="str">
        <f t="shared" si="14"/>
        <v>https://pubmed.ncbi.nlm.nih.gov/?term=PMC7087945</v>
      </c>
      <c r="F1123" s="28" t="s">
        <v>511</v>
      </c>
      <c r="G1123" s="28" t="s">
        <v>4592</v>
      </c>
      <c r="J1123" s="346">
        <f t="shared" si="3"/>
        <v>1</v>
      </c>
      <c r="K1123" s="28" t="str">
        <f t="shared" si="4"/>
        <v/>
      </c>
      <c r="L1123" s="45" t="str">
        <f t="shared" si="5"/>
        <v/>
      </c>
      <c r="M1123" s="45" t="str">
        <f t="shared" si="6"/>
        <v/>
      </c>
      <c r="N1123" s="45" t="str">
        <f t="shared" si="7"/>
        <v/>
      </c>
      <c r="O1123" s="45" t="str">
        <f t="shared" si="8"/>
        <v/>
      </c>
      <c r="P1123" s="45" t="str">
        <f t="shared" si="9"/>
        <v/>
      </c>
    </row>
    <row r="1124" spans="1:16" ht="17.25">
      <c r="A1124" s="276" t="s">
        <v>6006</v>
      </c>
      <c r="B1124" s="351">
        <v>41730</v>
      </c>
      <c r="C1124" s="276" t="s">
        <v>6007</v>
      </c>
      <c r="E1124" s="278" t="str">
        <f t="shared" si="14"/>
        <v>https://pubmed.ncbi.nlm.nih.gov/?term=PMC3997009</v>
      </c>
      <c r="F1124" s="28" t="s">
        <v>511</v>
      </c>
      <c r="G1124" s="28" t="s">
        <v>4592</v>
      </c>
      <c r="J1124" s="346">
        <f t="shared" si="3"/>
        <v>1</v>
      </c>
      <c r="K1124" s="28" t="str">
        <f t="shared" si="4"/>
        <v/>
      </c>
      <c r="L1124" s="45" t="str">
        <f t="shared" si="5"/>
        <v/>
      </c>
      <c r="M1124" s="45" t="str">
        <f t="shared" si="6"/>
        <v/>
      </c>
      <c r="N1124" s="45" t="str">
        <f t="shared" si="7"/>
        <v/>
      </c>
      <c r="O1124" s="45" t="str">
        <f t="shared" si="8"/>
        <v/>
      </c>
      <c r="P1124" s="45" t="str">
        <f t="shared" si="9"/>
        <v/>
      </c>
    </row>
    <row r="1125" spans="1:16" ht="17.25">
      <c r="A1125" s="276" t="s">
        <v>6008</v>
      </c>
      <c r="B1125" s="351">
        <v>40634</v>
      </c>
      <c r="C1125" s="276" t="s">
        <v>6009</v>
      </c>
      <c r="E1125" s="278" t="str">
        <f t="shared" si="14"/>
        <v>https://pubmed.ncbi.nlm.nih.gov/?term=PMC3071884</v>
      </c>
      <c r="F1125" s="28" t="s">
        <v>511</v>
      </c>
      <c r="G1125" s="28" t="s">
        <v>4867</v>
      </c>
      <c r="J1125" s="346" t="str">
        <f t="shared" si="3"/>
        <v/>
      </c>
      <c r="K1125" s="28" t="str">
        <f t="shared" si="4"/>
        <v/>
      </c>
      <c r="L1125" s="45" t="str">
        <f t="shared" si="5"/>
        <v/>
      </c>
      <c r="M1125" s="45" t="str">
        <f t="shared" si="6"/>
        <v/>
      </c>
      <c r="N1125" s="45">
        <f t="shared" si="7"/>
        <v>1</v>
      </c>
      <c r="O1125" s="45" t="str">
        <f t="shared" si="8"/>
        <v/>
      </c>
      <c r="P1125" s="45" t="str">
        <f t="shared" si="9"/>
        <v/>
      </c>
    </row>
    <row r="1126" spans="1:16" ht="17.25">
      <c r="A1126" s="276" t="s">
        <v>6010</v>
      </c>
      <c r="B1126" s="351">
        <v>38018</v>
      </c>
      <c r="C1126" s="276" t="s">
        <v>6011</v>
      </c>
      <c r="E1126" s="278" t="str">
        <f t="shared" si="14"/>
        <v>https://pubmed.ncbi.nlm.nih.gov/?term=PMC321603</v>
      </c>
      <c r="F1126" s="28" t="s">
        <v>511</v>
      </c>
      <c r="G1126" s="28" t="s">
        <v>6012</v>
      </c>
      <c r="J1126" s="346" t="str">
        <f t="shared" si="3"/>
        <v/>
      </c>
      <c r="K1126" s="28" t="str">
        <f t="shared" si="4"/>
        <v/>
      </c>
      <c r="L1126" s="45" t="str">
        <f t="shared" si="5"/>
        <v/>
      </c>
      <c r="M1126" s="45" t="str">
        <f t="shared" si="6"/>
        <v/>
      </c>
      <c r="N1126" s="45" t="str">
        <f t="shared" si="7"/>
        <v/>
      </c>
      <c r="O1126" s="45">
        <f t="shared" si="8"/>
        <v>1</v>
      </c>
      <c r="P1126" s="45" t="str">
        <f t="shared" si="9"/>
        <v/>
      </c>
    </row>
    <row r="1127" spans="1:16" ht="17.25">
      <c r="A1127" s="276" t="s">
        <v>6013</v>
      </c>
      <c r="B1127" s="351">
        <v>44013</v>
      </c>
      <c r="C1127" s="276" t="s">
        <v>4209</v>
      </c>
      <c r="E1127" s="278" t="str">
        <f t="shared" si="14"/>
        <v>https://pubmed.ncbi.nlm.nih.gov/?term=PMC7390452</v>
      </c>
      <c r="H1127" s="28" t="s">
        <v>511</v>
      </c>
      <c r="J1127" s="346" t="str">
        <f t="shared" si="3"/>
        <v/>
      </c>
      <c r="K1127" s="28" t="str">
        <f t="shared" si="4"/>
        <v/>
      </c>
      <c r="L1127" s="45" t="str">
        <f t="shared" si="5"/>
        <v/>
      </c>
      <c r="M1127" s="45" t="str">
        <f t="shared" si="6"/>
        <v/>
      </c>
      <c r="N1127" s="45" t="str">
        <f t="shared" si="7"/>
        <v/>
      </c>
      <c r="O1127" s="45" t="str">
        <f t="shared" si="8"/>
        <v/>
      </c>
      <c r="P1127" s="45" t="str">
        <f t="shared" si="9"/>
        <v/>
      </c>
    </row>
    <row r="1128" spans="1:16" ht="17.25">
      <c r="A1128" s="276" t="s">
        <v>6014</v>
      </c>
      <c r="B1128" s="351">
        <v>40179</v>
      </c>
      <c r="C1128" s="276" t="s">
        <v>6015</v>
      </c>
      <c r="E1128" s="278" t="str">
        <f t="shared" si="14"/>
        <v>https://pubmed.ncbi.nlm.nih.gov/?term=PMC2814950</v>
      </c>
      <c r="F1128" s="28" t="s">
        <v>511</v>
      </c>
      <c r="G1128" s="28" t="s">
        <v>6016</v>
      </c>
      <c r="J1128" s="346" t="str">
        <f t="shared" si="3"/>
        <v/>
      </c>
      <c r="K1128" s="28" t="str">
        <f t="shared" si="4"/>
        <v/>
      </c>
      <c r="L1128" s="45" t="str">
        <f t="shared" si="5"/>
        <v/>
      </c>
      <c r="M1128" s="45" t="str">
        <f t="shared" si="6"/>
        <v/>
      </c>
      <c r="N1128" s="45" t="str">
        <f t="shared" si="7"/>
        <v/>
      </c>
      <c r="O1128" s="45">
        <f t="shared" si="8"/>
        <v>1</v>
      </c>
      <c r="P1128" s="45" t="str">
        <f t="shared" si="9"/>
        <v/>
      </c>
    </row>
    <row r="1129" spans="1:16" ht="17.25">
      <c r="A1129" s="276" t="s">
        <v>6017</v>
      </c>
      <c r="B1129" s="351">
        <v>41365</v>
      </c>
      <c r="C1129" s="276" t="s">
        <v>4108</v>
      </c>
      <c r="E1129" s="278" t="str">
        <f t="shared" si="14"/>
        <v>https://pubmed.ncbi.nlm.nih.gov/?term=PMC3707375</v>
      </c>
      <c r="H1129" s="28" t="s">
        <v>511</v>
      </c>
      <c r="J1129" s="346" t="str">
        <f t="shared" si="3"/>
        <v/>
      </c>
      <c r="K1129" s="28" t="str">
        <f t="shared" si="4"/>
        <v/>
      </c>
      <c r="L1129" s="45" t="str">
        <f t="shared" si="5"/>
        <v/>
      </c>
      <c r="M1129" s="45" t="str">
        <f t="shared" si="6"/>
        <v/>
      </c>
      <c r="N1129" s="45" t="str">
        <f t="shared" si="7"/>
        <v/>
      </c>
      <c r="O1129" s="45" t="str">
        <f t="shared" si="8"/>
        <v/>
      </c>
      <c r="P1129" s="45" t="str">
        <f t="shared" si="9"/>
        <v/>
      </c>
    </row>
    <row r="1130" spans="1:16" ht="17.25">
      <c r="A1130" s="276" t="s">
        <v>6018</v>
      </c>
      <c r="B1130" s="351">
        <v>43101</v>
      </c>
      <c r="C1130" s="276" t="s">
        <v>6019</v>
      </c>
      <c r="E1130" s="278" t="str">
        <f t="shared" si="14"/>
        <v>https://pubmed.ncbi.nlm.nih.gov/?term=PMC7133686</v>
      </c>
      <c r="F1130" s="28" t="s">
        <v>511</v>
      </c>
      <c r="G1130" s="28" t="s">
        <v>5618</v>
      </c>
      <c r="J1130" s="346">
        <f t="shared" si="3"/>
        <v>1</v>
      </c>
      <c r="K1130" s="28" t="str">
        <f t="shared" si="4"/>
        <v/>
      </c>
      <c r="L1130" s="45" t="str">
        <f t="shared" si="5"/>
        <v/>
      </c>
      <c r="M1130" s="45" t="str">
        <f t="shared" si="6"/>
        <v/>
      </c>
      <c r="N1130" s="45" t="str">
        <f t="shared" si="7"/>
        <v/>
      </c>
      <c r="O1130" s="45" t="str">
        <f t="shared" si="8"/>
        <v/>
      </c>
      <c r="P1130" s="45" t="str">
        <f t="shared" si="9"/>
        <v/>
      </c>
    </row>
    <row r="1131" spans="1:16" ht="17.25">
      <c r="A1131" s="276" t="s">
        <v>6020</v>
      </c>
      <c r="B1131" s="351">
        <v>38292</v>
      </c>
      <c r="C1131" s="276" t="s">
        <v>4200</v>
      </c>
      <c r="E1131" s="278" t="str">
        <f t="shared" si="14"/>
        <v>https://pubmed.ncbi.nlm.nih.gov/?term=PMC524376</v>
      </c>
      <c r="H1131" s="28" t="s">
        <v>511</v>
      </c>
      <c r="J1131" s="346" t="str">
        <f t="shared" si="3"/>
        <v/>
      </c>
      <c r="K1131" s="28" t="str">
        <f t="shared" si="4"/>
        <v/>
      </c>
      <c r="L1131" s="45" t="str">
        <f t="shared" si="5"/>
        <v/>
      </c>
      <c r="M1131" s="45" t="str">
        <f t="shared" si="6"/>
        <v/>
      </c>
      <c r="N1131" s="45" t="str">
        <f t="shared" si="7"/>
        <v/>
      </c>
      <c r="O1131" s="45" t="str">
        <f t="shared" si="8"/>
        <v/>
      </c>
      <c r="P1131" s="45" t="str">
        <f t="shared" si="9"/>
        <v/>
      </c>
    </row>
    <row r="1132" spans="1:16" ht="17.25">
      <c r="A1132" s="276" t="s">
        <v>6021</v>
      </c>
      <c r="B1132" s="28">
        <v>2019</v>
      </c>
      <c r="C1132" s="276" t="s">
        <v>6022</v>
      </c>
      <c r="D1132" s="28"/>
      <c r="E1132" s="281" t="s">
        <v>6023</v>
      </c>
      <c r="F1132" s="28" t="s">
        <v>511</v>
      </c>
      <c r="G1132" s="28" t="s">
        <v>6024</v>
      </c>
      <c r="J1132" s="346">
        <f t="shared" si="3"/>
        <v>1</v>
      </c>
      <c r="K1132" s="28" t="str">
        <f t="shared" si="4"/>
        <v/>
      </c>
      <c r="L1132" s="45" t="str">
        <f t="shared" si="5"/>
        <v/>
      </c>
      <c r="M1132" s="45" t="str">
        <f t="shared" si="6"/>
        <v/>
      </c>
      <c r="N1132" s="45" t="str">
        <f t="shared" si="7"/>
        <v/>
      </c>
      <c r="O1132" s="45" t="str">
        <f t="shared" si="8"/>
        <v/>
      </c>
      <c r="P1132" s="45" t="str">
        <f t="shared" si="9"/>
        <v/>
      </c>
    </row>
    <row r="1133" spans="1:16" ht="17.25">
      <c r="A1133" s="276" t="s">
        <v>6025</v>
      </c>
      <c r="B1133" s="351">
        <v>42644</v>
      </c>
      <c r="C1133" s="276" t="s">
        <v>6026</v>
      </c>
      <c r="E1133" s="278" t="str">
        <f t="shared" ref="E1133:E1151" si="15">"https://pubmed.ncbi.nlm.nih.gov/?term="&amp;C1133</f>
        <v>https://pubmed.ncbi.nlm.nih.gov/?term=PMC5062765</v>
      </c>
      <c r="F1133" s="28" t="s">
        <v>511</v>
      </c>
      <c r="G1133" s="28" t="s">
        <v>6027</v>
      </c>
      <c r="J1133" s="346" t="str">
        <f t="shared" si="3"/>
        <v/>
      </c>
      <c r="K1133" s="28" t="str">
        <f t="shared" si="4"/>
        <v/>
      </c>
      <c r="L1133" s="45" t="str">
        <f t="shared" si="5"/>
        <v/>
      </c>
      <c r="M1133" s="45" t="str">
        <f t="shared" si="6"/>
        <v/>
      </c>
      <c r="N1133" s="45" t="str">
        <f t="shared" si="7"/>
        <v/>
      </c>
      <c r="O1133" s="45">
        <f t="shared" si="8"/>
        <v>1</v>
      </c>
      <c r="P1133" s="45" t="str">
        <f t="shared" si="9"/>
        <v/>
      </c>
    </row>
    <row r="1134" spans="1:16" ht="17.25">
      <c r="A1134" s="276" t="s">
        <v>6028</v>
      </c>
      <c r="B1134" s="351">
        <v>41791</v>
      </c>
      <c r="C1134" s="276" t="s">
        <v>6029</v>
      </c>
      <c r="E1134" s="278" t="str">
        <f t="shared" si="15"/>
        <v>https://pubmed.ncbi.nlm.nih.gov/?term=PMC4054385</v>
      </c>
      <c r="F1134" s="28" t="s">
        <v>511</v>
      </c>
      <c r="G1134" s="28" t="s">
        <v>6030</v>
      </c>
      <c r="J1134" s="346" t="str">
        <f t="shared" si="3"/>
        <v/>
      </c>
      <c r="K1134" s="28" t="str">
        <f t="shared" si="4"/>
        <v/>
      </c>
      <c r="L1134" s="45" t="str">
        <f t="shared" si="5"/>
        <v/>
      </c>
      <c r="M1134" s="45" t="str">
        <f t="shared" si="6"/>
        <v/>
      </c>
      <c r="N1134" s="45" t="str">
        <f t="shared" si="7"/>
        <v/>
      </c>
      <c r="O1134" s="45">
        <f t="shared" si="8"/>
        <v>1</v>
      </c>
      <c r="P1134" s="45" t="str">
        <f t="shared" si="9"/>
        <v/>
      </c>
    </row>
    <row r="1135" spans="1:16" ht="17.25">
      <c r="A1135" s="276" t="s">
        <v>6031</v>
      </c>
      <c r="B1135" s="351">
        <v>42430</v>
      </c>
      <c r="C1135" s="276" t="s">
        <v>4198</v>
      </c>
      <c r="E1135" s="278" t="str">
        <f t="shared" si="15"/>
        <v>https://pubmed.ncbi.nlm.nih.gov/?term=PMC4747614</v>
      </c>
      <c r="H1135" s="28" t="s">
        <v>511</v>
      </c>
      <c r="J1135" s="346" t="str">
        <f t="shared" si="3"/>
        <v/>
      </c>
      <c r="K1135" s="28" t="str">
        <f t="shared" si="4"/>
        <v/>
      </c>
      <c r="L1135" s="45" t="str">
        <f t="shared" si="5"/>
        <v/>
      </c>
      <c r="M1135" s="45" t="str">
        <f t="shared" si="6"/>
        <v/>
      </c>
      <c r="N1135" s="45" t="str">
        <f t="shared" si="7"/>
        <v/>
      </c>
      <c r="O1135" s="45" t="str">
        <f t="shared" si="8"/>
        <v/>
      </c>
      <c r="P1135" s="45" t="str">
        <f t="shared" si="9"/>
        <v/>
      </c>
    </row>
    <row r="1136" spans="1:16" ht="17.25">
      <c r="A1136" s="276" t="s">
        <v>6032</v>
      </c>
      <c r="B1136" s="351">
        <v>42736</v>
      </c>
      <c r="C1136" s="276" t="s">
        <v>6033</v>
      </c>
      <c r="E1136" s="278" t="str">
        <f t="shared" si="15"/>
        <v>https://pubmed.ncbi.nlm.nih.gov/?term=PMC5237200</v>
      </c>
      <c r="F1136" s="28" t="s">
        <v>511</v>
      </c>
      <c r="G1136" s="28" t="s">
        <v>4592</v>
      </c>
      <c r="J1136" s="346">
        <f t="shared" si="3"/>
        <v>1</v>
      </c>
      <c r="K1136" s="28" t="str">
        <f t="shared" si="4"/>
        <v/>
      </c>
      <c r="L1136" s="45" t="str">
        <f t="shared" si="5"/>
        <v/>
      </c>
      <c r="M1136" s="45" t="str">
        <f t="shared" si="6"/>
        <v/>
      </c>
      <c r="N1136" s="45" t="str">
        <f t="shared" si="7"/>
        <v/>
      </c>
      <c r="O1136" s="45" t="str">
        <f t="shared" si="8"/>
        <v/>
      </c>
      <c r="P1136" s="45" t="str">
        <f t="shared" si="9"/>
        <v/>
      </c>
    </row>
    <row r="1137" spans="1:16" ht="17.25">
      <c r="A1137" s="276" t="s">
        <v>6034</v>
      </c>
      <c r="B1137" s="28">
        <v>2013</v>
      </c>
      <c r="C1137" s="276" t="s">
        <v>6035</v>
      </c>
      <c r="E1137" s="278" t="str">
        <f t="shared" si="15"/>
        <v>https://pubmed.ncbi.nlm.nih.gov/?term=PMC3608534</v>
      </c>
      <c r="F1137" s="28" t="s">
        <v>511</v>
      </c>
      <c r="G1137" s="28" t="s">
        <v>6036</v>
      </c>
      <c r="J1137" s="346" t="str">
        <f t="shared" si="3"/>
        <v/>
      </c>
      <c r="K1137" s="28" t="str">
        <f t="shared" si="4"/>
        <v/>
      </c>
      <c r="L1137" s="45" t="str">
        <f t="shared" si="5"/>
        <v/>
      </c>
      <c r="M1137" s="45" t="str">
        <f t="shared" si="6"/>
        <v/>
      </c>
      <c r="N1137" s="45">
        <f t="shared" si="7"/>
        <v>1</v>
      </c>
      <c r="O1137" s="45" t="str">
        <f t="shared" si="8"/>
        <v/>
      </c>
      <c r="P1137" s="45" t="str">
        <f t="shared" si="9"/>
        <v/>
      </c>
    </row>
    <row r="1138" spans="1:16" ht="17.25">
      <c r="A1138" s="276" t="s">
        <v>6025</v>
      </c>
      <c r="B1138" s="351">
        <v>43252</v>
      </c>
      <c r="C1138" s="276" t="s">
        <v>6037</v>
      </c>
      <c r="E1138" s="278" t="str">
        <f t="shared" si="15"/>
        <v>https://pubmed.ncbi.nlm.nih.gov/?term=PMC5983193</v>
      </c>
      <c r="F1138" s="28" t="s">
        <v>511</v>
      </c>
      <c r="G1138" s="28" t="s">
        <v>4592</v>
      </c>
      <c r="J1138" s="346">
        <f t="shared" si="3"/>
        <v>1</v>
      </c>
      <c r="K1138" s="28" t="str">
        <f t="shared" si="4"/>
        <v/>
      </c>
      <c r="L1138" s="45" t="str">
        <f t="shared" si="5"/>
        <v/>
      </c>
      <c r="M1138" s="45" t="str">
        <f t="shared" si="6"/>
        <v/>
      </c>
      <c r="N1138" s="45" t="str">
        <f t="shared" si="7"/>
        <v/>
      </c>
      <c r="O1138" s="45" t="str">
        <f t="shared" si="8"/>
        <v/>
      </c>
      <c r="P1138" s="45" t="str">
        <f t="shared" si="9"/>
        <v/>
      </c>
    </row>
    <row r="1139" spans="1:16" ht="17.25">
      <c r="A1139" s="276" t="s">
        <v>6038</v>
      </c>
      <c r="B1139" s="351">
        <v>44044</v>
      </c>
      <c r="C1139" s="276" t="s">
        <v>6039</v>
      </c>
      <c r="E1139" s="278" t="str">
        <f t="shared" si="15"/>
        <v>https://pubmed.ncbi.nlm.nih.gov/?term=PMC7307844</v>
      </c>
      <c r="F1139" s="28" t="s">
        <v>511</v>
      </c>
      <c r="G1139" s="28" t="s">
        <v>4592</v>
      </c>
      <c r="J1139" s="346">
        <f t="shared" si="3"/>
        <v>1</v>
      </c>
      <c r="K1139" s="28" t="str">
        <f t="shared" si="4"/>
        <v/>
      </c>
      <c r="L1139" s="45" t="str">
        <f t="shared" si="5"/>
        <v/>
      </c>
      <c r="M1139" s="45" t="str">
        <f t="shared" si="6"/>
        <v/>
      </c>
      <c r="N1139" s="45" t="str">
        <f t="shared" si="7"/>
        <v/>
      </c>
      <c r="O1139" s="45" t="str">
        <f t="shared" si="8"/>
        <v/>
      </c>
      <c r="P1139" s="45" t="str">
        <f t="shared" si="9"/>
        <v/>
      </c>
    </row>
    <row r="1140" spans="1:16" ht="17.25">
      <c r="A1140" s="276" t="s">
        <v>6040</v>
      </c>
      <c r="B1140" s="351">
        <v>44136</v>
      </c>
      <c r="C1140" s="276" t="s">
        <v>6041</v>
      </c>
      <c r="E1140" s="278" t="str">
        <f t="shared" si="15"/>
        <v>https://pubmed.ncbi.nlm.nih.gov/?term=PMC7532744</v>
      </c>
      <c r="F1140" s="28" t="s">
        <v>511</v>
      </c>
      <c r="G1140" s="28" t="s">
        <v>6042</v>
      </c>
      <c r="J1140" s="346" t="str">
        <f t="shared" si="3"/>
        <v/>
      </c>
      <c r="K1140" s="28" t="str">
        <f t="shared" si="4"/>
        <v/>
      </c>
      <c r="L1140" s="45" t="str">
        <f t="shared" si="5"/>
        <v/>
      </c>
      <c r="M1140" s="45" t="str">
        <f t="shared" si="6"/>
        <v/>
      </c>
      <c r="N1140" s="45" t="str">
        <f t="shared" si="7"/>
        <v/>
      </c>
      <c r="O1140" s="45">
        <f t="shared" si="8"/>
        <v>1</v>
      </c>
      <c r="P1140" s="45" t="str">
        <f t="shared" si="9"/>
        <v/>
      </c>
    </row>
    <row r="1141" spans="1:16" ht="17.25">
      <c r="A1141" s="276" t="s">
        <v>6043</v>
      </c>
      <c r="B1141" s="351">
        <v>40057</v>
      </c>
      <c r="C1141" s="276" t="s">
        <v>6044</v>
      </c>
      <c r="E1141" s="278" t="str">
        <f t="shared" si="15"/>
        <v>https://pubmed.ncbi.nlm.nih.gov/?term=PMC4112517</v>
      </c>
      <c r="F1141" s="28" t="s">
        <v>511</v>
      </c>
      <c r="G1141" s="28" t="s">
        <v>4592</v>
      </c>
      <c r="J1141" s="346">
        <f t="shared" si="3"/>
        <v>1</v>
      </c>
      <c r="K1141" s="28" t="str">
        <f t="shared" si="4"/>
        <v/>
      </c>
      <c r="L1141" s="45" t="str">
        <f t="shared" si="5"/>
        <v/>
      </c>
      <c r="M1141" s="45" t="str">
        <f t="shared" si="6"/>
        <v/>
      </c>
      <c r="N1141" s="45" t="str">
        <f t="shared" si="7"/>
        <v/>
      </c>
      <c r="O1141" s="45" t="str">
        <f t="shared" si="8"/>
        <v/>
      </c>
      <c r="P1141" s="45" t="str">
        <f t="shared" si="9"/>
        <v/>
      </c>
    </row>
    <row r="1142" spans="1:16" ht="17.25">
      <c r="A1142" s="276" t="s">
        <v>6045</v>
      </c>
      <c r="B1142" s="352">
        <v>42491</v>
      </c>
      <c r="C1142" s="276" t="s">
        <v>6046</v>
      </c>
      <c r="E1142" s="278" t="str">
        <f t="shared" si="15"/>
        <v>https://pubmed.ncbi.nlm.nih.gov/?term=PMC6859645</v>
      </c>
      <c r="F1142" s="28" t="s">
        <v>511</v>
      </c>
      <c r="G1142" s="28" t="s">
        <v>6047</v>
      </c>
      <c r="J1142" s="346" t="str">
        <f t="shared" si="3"/>
        <v/>
      </c>
      <c r="K1142" s="28" t="str">
        <f t="shared" si="4"/>
        <v/>
      </c>
      <c r="L1142" s="45" t="str">
        <f t="shared" si="5"/>
        <v/>
      </c>
      <c r="M1142" s="45" t="str">
        <f t="shared" si="6"/>
        <v/>
      </c>
      <c r="N1142" s="45" t="str">
        <f t="shared" si="7"/>
        <v/>
      </c>
      <c r="O1142" s="45">
        <f t="shared" si="8"/>
        <v>1</v>
      </c>
      <c r="P1142" s="45" t="str">
        <f t="shared" si="9"/>
        <v/>
      </c>
    </row>
    <row r="1143" spans="1:16" ht="17.25">
      <c r="A1143" s="276" t="s">
        <v>6048</v>
      </c>
      <c r="B1143" s="352">
        <v>43952</v>
      </c>
      <c r="C1143" s="276" t="s">
        <v>6049</v>
      </c>
      <c r="E1143" s="278" t="str">
        <f t="shared" si="15"/>
        <v>https://pubmed.ncbi.nlm.nih.gov/?term=PMC7167553</v>
      </c>
      <c r="F1143" s="28" t="s">
        <v>511</v>
      </c>
      <c r="G1143" s="28" t="s">
        <v>4592</v>
      </c>
      <c r="J1143" s="346">
        <f t="shared" si="3"/>
        <v>1</v>
      </c>
      <c r="K1143" s="28" t="str">
        <f t="shared" si="4"/>
        <v/>
      </c>
      <c r="L1143" s="45" t="str">
        <f t="shared" si="5"/>
        <v/>
      </c>
      <c r="M1143" s="45" t="str">
        <f t="shared" si="6"/>
        <v/>
      </c>
      <c r="N1143" s="45" t="str">
        <f t="shared" si="7"/>
        <v/>
      </c>
      <c r="O1143" s="45" t="str">
        <f t="shared" si="8"/>
        <v/>
      </c>
      <c r="P1143" s="45" t="str">
        <f t="shared" si="9"/>
        <v/>
      </c>
    </row>
    <row r="1144" spans="1:16" ht="17.25">
      <c r="A1144" s="276" t="s">
        <v>6050</v>
      </c>
      <c r="B1144" s="352">
        <v>42491</v>
      </c>
      <c r="C1144" s="276" t="s">
        <v>4192</v>
      </c>
      <c r="E1144" s="278" t="str">
        <f t="shared" si="15"/>
        <v>https://pubmed.ncbi.nlm.nih.gov/?term=PMC4879391</v>
      </c>
      <c r="H1144" s="28" t="s">
        <v>511</v>
      </c>
      <c r="J1144" s="346" t="str">
        <f t="shared" si="3"/>
        <v/>
      </c>
      <c r="K1144" s="28" t="str">
        <f t="shared" si="4"/>
        <v/>
      </c>
      <c r="L1144" s="45" t="str">
        <f t="shared" si="5"/>
        <v/>
      </c>
      <c r="M1144" s="45" t="str">
        <f t="shared" si="6"/>
        <v/>
      </c>
      <c r="N1144" s="45" t="str">
        <f t="shared" si="7"/>
        <v/>
      </c>
      <c r="O1144" s="45" t="str">
        <f t="shared" si="8"/>
        <v/>
      </c>
      <c r="P1144" s="45" t="str">
        <f t="shared" si="9"/>
        <v/>
      </c>
    </row>
    <row r="1145" spans="1:16" ht="17.25">
      <c r="A1145" s="276" t="s">
        <v>6051</v>
      </c>
      <c r="B1145" s="351">
        <v>44256</v>
      </c>
      <c r="C1145" s="276" t="s">
        <v>4236</v>
      </c>
      <c r="E1145" s="278" t="str">
        <f t="shared" si="15"/>
        <v>https://pubmed.ncbi.nlm.nih.gov/?term=PMC7960709</v>
      </c>
      <c r="H1145" s="28" t="s">
        <v>511</v>
      </c>
      <c r="J1145" s="346" t="str">
        <f t="shared" si="3"/>
        <v/>
      </c>
      <c r="K1145" s="28" t="str">
        <f t="shared" si="4"/>
        <v/>
      </c>
      <c r="L1145" s="45" t="str">
        <f t="shared" si="5"/>
        <v/>
      </c>
      <c r="M1145" s="45" t="str">
        <f t="shared" si="6"/>
        <v/>
      </c>
      <c r="N1145" s="45" t="str">
        <f t="shared" si="7"/>
        <v/>
      </c>
      <c r="O1145" s="45" t="str">
        <f t="shared" si="8"/>
        <v/>
      </c>
      <c r="P1145" s="45" t="str">
        <f t="shared" si="9"/>
        <v/>
      </c>
    </row>
    <row r="1146" spans="1:16" ht="17.25">
      <c r="A1146" s="276" t="s">
        <v>6052</v>
      </c>
      <c r="B1146" s="351">
        <v>40725</v>
      </c>
      <c r="C1146" s="276" t="s">
        <v>6053</v>
      </c>
      <c r="E1146" s="278" t="str">
        <f t="shared" si="15"/>
        <v>https://pubmed.ncbi.nlm.nih.gov/?term=PMC4634548</v>
      </c>
      <c r="F1146" s="28" t="s">
        <v>511</v>
      </c>
      <c r="G1146" s="28" t="s">
        <v>5640</v>
      </c>
      <c r="J1146" s="346">
        <f t="shared" si="3"/>
        <v>1</v>
      </c>
      <c r="K1146" s="28" t="str">
        <f t="shared" si="4"/>
        <v/>
      </c>
      <c r="L1146" s="45" t="str">
        <f t="shared" si="5"/>
        <v/>
      </c>
      <c r="M1146" s="45" t="str">
        <f t="shared" si="6"/>
        <v/>
      </c>
      <c r="N1146" s="45" t="str">
        <f t="shared" si="7"/>
        <v/>
      </c>
      <c r="O1146" s="45" t="str">
        <f t="shared" si="8"/>
        <v/>
      </c>
      <c r="P1146" s="45" t="str">
        <f t="shared" si="9"/>
        <v/>
      </c>
    </row>
    <row r="1147" spans="1:16" ht="17.25">
      <c r="A1147" s="276" t="s">
        <v>6054</v>
      </c>
      <c r="B1147" s="351">
        <v>43862</v>
      </c>
      <c r="C1147" s="276" t="s">
        <v>6055</v>
      </c>
      <c r="E1147" s="278" t="str">
        <f t="shared" si="15"/>
        <v>https://pubmed.ncbi.nlm.nih.gov/?term=PMC7000814</v>
      </c>
      <c r="F1147" s="28" t="s">
        <v>511</v>
      </c>
      <c r="G1147" s="28" t="s">
        <v>4592</v>
      </c>
      <c r="J1147" s="346">
        <f t="shared" si="3"/>
        <v>1</v>
      </c>
      <c r="K1147" s="28" t="str">
        <f t="shared" si="4"/>
        <v/>
      </c>
      <c r="L1147" s="45" t="str">
        <f t="shared" si="5"/>
        <v/>
      </c>
      <c r="M1147" s="45" t="str">
        <f t="shared" si="6"/>
        <v/>
      </c>
      <c r="N1147" s="45" t="str">
        <f t="shared" si="7"/>
        <v/>
      </c>
      <c r="O1147" s="45" t="str">
        <f t="shared" si="8"/>
        <v/>
      </c>
      <c r="P1147" s="45" t="str">
        <f t="shared" si="9"/>
        <v/>
      </c>
    </row>
    <row r="1148" spans="1:16" ht="17.25">
      <c r="A1148" s="276" t="s">
        <v>6056</v>
      </c>
      <c r="B1148" s="351">
        <v>44044</v>
      </c>
      <c r="C1148" s="276" t="s">
        <v>6057</v>
      </c>
      <c r="E1148" s="278" t="str">
        <f t="shared" si="15"/>
        <v>https://pubmed.ncbi.nlm.nih.gov/?term=PMC7563445</v>
      </c>
      <c r="F1148" s="28" t="s">
        <v>511</v>
      </c>
      <c r="G1148" s="28" t="s">
        <v>5188</v>
      </c>
      <c r="J1148" s="346">
        <f t="shared" si="3"/>
        <v>1</v>
      </c>
      <c r="K1148" s="28" t="str">
        <f t="shared" si="4"/>
        <v/>
      </c>
      <c r="L1148" s="45" t="str">
        <f t="shared" si="5"/>
        <v/>
      </c>
      <c r="M1148" s="45" t="str">
        <f t="shared" si="6"/>
        <v/>
      </c>
      <c r="N1148" s="45" t="str">
        <f t="shared" si="7"/>
        <v/>
      </c>
      <c r="O1148" s="45" t="str">
        <f t="shared" si="8"/>
        <v/>
      </c>
      <c r="P1148" s="45" t="str">
        <f t="shared" si="9"/>
        <v/>
      </c>
    </row>
    <row r="1149" spans="1:16" ht="17.25">
      <c r="A1149" s="276" t="s">
        <v>6058</v>
      </c>
      <c r="B1149" s="351">
        <v>43556</v>
      </c>
      <c r="C1149" s="276" t="s">
        <v>6059</v>
      </c>
      <c r="E1149" s="278" t="str">
        <f t="shared" si="15"/>
        <v>https://pubmed.ncbi.nlm.nih.gov/?term=PMC6632022</v>
      </c>
      <c r="F1149" s="28" t="s">
        <v>511</v>
      </c>
      <c r="G1149" s="28" t="s">
        <v>4592</v>
      </c>
      <c r="J1149" s="346">
        <f t="shared" si="3"/>
        <v>1</v>
      </c>
      <c r="K1149" s="28" t="str">
        <f t="shared" si="4"/>
        <v/>
      </c>
      <c r="L1149" s="45" t="str">
        <f t="shared" si="5"/>
        <v/>
      </c>
      <c r="M1149" s="45" t="str">
        <f t="shared" si="6"/>
        <v/>
      </c>
      <c r="N1149" s="45" t="str">
        <f t="shared" si="7"/>
        <v/>
      </c>
      <c r="O1149" s="45" t="str">
        <f t="shared" si="8"/>
        <v/>
      </c>
      <c r="P1149" s="45" t="str">
        <f t="shared" si="9"/>
        <v/>
      </c>
    </row>
    <row r="1150" spans="1:16" ht="17.25">
      <c r="A1150" s="276" t="s">
        <v>6060</v>
      </c>
      <c r="B1150" s="351">
        <v>44013</v>
      </c>
      <c r="C1150" s="276" t="s">
        <v>6061</v>
      </c>
      <c r="E1150" s="278" t="str">
        <f t="shared" si="15"/>
        <v>https://pubmed.ncbi.nlm.nih.gov/?term=PMC7388715</v>
      </c>
      <c r="F1150" s="28" t="s">
        <v>511</v>
      </c>
      <c r="G1150" s="28" t="s">
        <v>6062</v>
      </c>
      <c r="J1150" s="346" t="str">
        <f t="shared" si="3"/>
        <v/>
      </c>
      <c r="K1150" s="28" t="str">
        <f t="shared" si="4"/>
        <v/>
      </c>
      <c r="L1150" s="45" t="str">
        <f t="shared" si="5"/>
        <v/>
      </c>
      <c r="M1150" s="45" t="str">
        <f t="shared" si="6"/>
        <v/>
      </c>
      <c r="N1150" s="45" t="str">
        <f t="shared" si="7"/>
        <v/>
      </c>
      <c r="O1150" s="45">
        <f t="shared" si="8"/>
        <v>1</v>
      </c>
      <c r="P1150" s="45" t="str">
        <f t="shared" si="9"/>
        <v/>
      </c>
    </row>
    <row r="1151" spans="1:16" ht="17.25">
      <c r="A1151" s="276" t="s">
        <v>6063</v>
      </c>
      <c r="B1151" s="351">
        <v>37073</v>
      </c>
      <c r="C1151" s="276" t="s">
        <v>6064</v>
      </c>
      <c r="E1151" s="278" t="str">
        <f t="shared" si="15"/>
        <v>https://pubmed.ncbi.nlm.nih.gov/?term=PMC98531</v>
      </c>
      <c r="F1151" s="28" t="s">
        <v>511</v>
      </c>
      <c r="G1151" s="28" t="s">
        <v>4744</v>
      </c>
      <c r="J1151" s="346" t="str">
        <f t="shared" si="3"/>
        <v/>
      </c>
      <c r="K1151" s="28" t="str">
        <f t="shared" si="4"/>
        <v/>
      </c>
      <c r="L1151" s="45" t="str">
        <f t="shared" si="5"/>
        <v/>
      </c>
      <c r="M1151" s="45" t="str">
        <f t="shared" si="6"/>
        <v/>
      </c>
      <c r="N1151" s="45">
        <f t="shared" si="7"/>
        <v>1</v>
      </c>
      <c r="O1151" s="45" t="str">
        <f t="shared" si="8"/>
        <v/>
      </c>
      <c r="P1151" s="45" t="str">
        <f t="shared" si="9"/>
        <v/>
      </c>
    </row>
    <row r="1152" spans="1:16" ht="17.25">
      <c r="A1152" s="276" t="s">
        <v>6065</v>
      </c>
      <c r="B1152" s="351">
        <v>43739</v>
      </c>
      <c r="C1152" s="276" t="s">
        <v>729</v>
      </c>
      <c r="D1152" s="28"/>
      <c r="E1152" s="281" t="s">
        <v>4561</v>
      </c>
      <c r="H1152" s="28" t="s">
        <v>511</v>
      </c>
      <c r="J1152" s="346" t="str">
        <f t="shared" si="3"/>
        <v/>
      </c>
      <c r="K1152" s="28" t="str">
        <f t="shared" si="4"/>
        <v/>
      </c>
      <c r="L1152" s="45" t="str">
        <f t="shared" si="5"/>
        <v/>
      </c>
      <c r="M1152" s="45" t="str">
        <f t="shared" si="6"/>
        <v/>
      </c>
      <c r="N1152" s="45" t="str">
        <f t="shared" si="7"/>
        <v/>
      </c>
      <c r="O1152" s="45" t="str">
        <f t="shared" si="8"/>
        <v/>
      </c>
      <c r="P1152" s="45" t="str">
        <f t="shared" si="9"/>
        <v/>
      </c>
    </row>
    <row r="1153" spans="1:16" ht="17.25">
      <c r="A1153" s="276" t="s">
        <v>6066</v>
      </c>
      <c r="B1153" s="352">
        <v>42856</v>
      </c>
      <c r="C1153" s="276" t="s">
        <v>6067</v>
      </c>
      <c r="E1153" s="278" t="str">
        <f t="shared" ref="E1153:E1204" si="16">"https://pubmed.ncbi.nlm.nih.gov/?term="&amp;C1153</f>
        <v>https://pubmed.ncbi.nlm.nih.gov/?term=PMC5410715</v>
      </c>
      <c r="F1153" s="28" t="s">
        <v>511</v>
      </c>
      <c r="G1153" s="28" t="s">
        <v>4592</v>
      </c>
      <c r="J1153" s="346">
        <f t="shared" si="3"/>
        <v>1</v>
      </c>
      <c r="K1153" s="28" t="str">
        <f t="shared" si="4"/>
        <v/>
      </c>
      <c r="L1153" s="45" t="str">
        <f t="shared" si="5"/>
        <v/>
      </c>
      <c r="M1153" s="45" t="str">
        <f t="shared" si="6"/>
        <v/>
      </c>
      <c r="N1153" s="45" t="str">
        <f t="shared" si="7"/>
        <v/>
      </c>
      <c r="O1153" s="45" t="str">
        <f t="shared" si="8"/>
        <v/>
      </c>
      <c r="P1153" s="45" t="str">
        <f t="shared" si="9"/>
        <v/>
      </c>
    </row>
    <row r="1154" spans="1:16" ht="17.25">
      <c r="A1154" s="276" t="s">
        <v>6068</v>
      </c>
      <c r="B1154" s="351">
        <v>44013</v>
      </c>
      <c r="C1154" s="276" t="s">
        <v>6069</v>
      </c>
      <c r="E1154" s="278" t="str">
        <f t="shared" si="16"/>
        <v>https://pubmed.ncbi.nlm.nih.gov/?term=PMC7373149</v>
      </c>
      <c r="F1154" s="28" t="s">
        <v>511</v>
      </c>
      <c r="G1154" s="28" t="s">
        <v>6070</v>
      </c>
      <c r="J1154" s="346">
        <f t="shared" si="3"/>
        <v>1</v>
      </c>
      <c r="K1154" s="28" t="str">
        <f t="shared" si="4"/>
        <v/>
      </c>
      <c r="L1154" s="45" t="str">
        <f t="shared" si="5"/>
        <v/>
      </c>
      <c r="M1154" s="45" t="str">
        <f t="shared" si="6"/>
        <v/>
      </c>
      <c r="N1154" s="45" t="str">
        <f t="shared" si="7"/>
        <v/>
      </c>
      <c r="O1154" s="45" t="str">
        <f t="shared" si="8"/>
        <v/>
      </c>
      <c r="P1154" s="45" t="str">
        <f t="shared" si="9"/>
        <v/>
      </c>
    </row>
    <row r="1155" spans="1:16" ht="17.25">
      <c r="A1155" s="276" t="s">
        <v>6071</v>
      </c>
      <c r="B1155" s="351">
        <v>43739</v>
      </c>
      <c r="C1155" s="276" t="s">
        <v>6072</v>
      </c>
      <c r="E1155" s="278" t="str">
        <f t="shared" si="16"/>
        <v>https://pubmed.ncbi.nlm.nih.gov/?term=PMC6818494</v>
      </c>
      <c r="F1155" s="28" t="s">
        <v>511</v>
      </c>
      <c r="G1155" s="28" t="s">
        <v>4656</v>
      </c>
      <c r="J1155" s="346">
        <f t="shared" si="3"/>
        <v>1</v>
      </c>
      <c r="K1155" s="28" t="str">
        <f t="shared" si="4"/>
        <v/>
      </c>
      <c r="L1155" s="45" t="str">
        <f t="shared" si="5"/>
        <v/>
      </c>
      <c r="M1155" s="45" t="str">
        <f t="shared" si="6"/>
        <v/>
      </c>
      <c r="N1155" s="45" t="str">
        <f t="shared" si="7"/>
        <v/>
      </c>
      <c r="O1155" s="45" t="str">
        <f t="shared" si="8"/>
        <v/>
      </c>
      <c r="P1155" s="45" t="str">
        <f t="shared" si="9"/>
        <v/>
      </c>
    </row>
    <row r="1156" spans="1:16" ht="17.25">
      <c r="A1156" s="276" t="s">
        <v>6073</v>
      </c>
      <c r="B1156" s="352">
        <v>41030</v>
      </c>
      <c r="C1156" s="276" t="s">
        <v>6074</v>
      </c>
      <c r="E1156" s="278" t="str">
        <f t="shared" si="16"/>
        <v>https://pubmed.ncbi.nlm.nih.gov/?term=PMC5555223</v>
      </c>
      <c r="F1156" s="28" t="s">
        <v>511</v>
      </c>
      <c r="G1156" s="28" t="s">
        <v>4592</v>
      </c>
      <c r="J1156" s="346">
        <f t="shared" si="3"/>
        <v>1</v>
      </c>
      <c r="K1156" s="28" t="str">
        <f t="shared" si="4"/>
        <v/>
      </c>
      <c r="L1156" s="45" t="str">
        <f t="shared" si="5"/>
        <v/>
      </c>
      <c r="M1156" s="45" t="str">
        <f t="shared" si="6"/>
        <v/>
      </c>
      <c r="N1156" s="45" t="str">
        <f t="shared" si="7"/>
        <v/>
      </c>
      <c r="O1156" s="45" t="str">
        <f t="shared" si="8"/>
        <v/>
      </c>
      <c r="P1156" s="45" t="str">
        <f t="shared" si="9"/>
        <v/>
      </c>
    </row>
    <row r="1157" spans="1:16" ht="17.25">
      <c r="A1157" s="276" t="s">
        <v>6075</v>
      </c>
      <c r="B1157" s="28">
        <v>2012</v>
      </c>
      <c r="C1157" s="276" t="s">
        <v>6076</v>
      </c>
      <c r="E1157" s="278" t="str">
        <f t="shared" si="16"/>
        <v>https://pubmed.ncbi.nlm.nih.gov/?term=PMC3349743</v>
      </c>
      <c r="F1157" s="28" t="s">
        <v>511</v>
      </c>
      <c r="G1157" s="28" t="s">
        <v>4592</v>
      </c>
      <c r="J1157" s="346">
        <f t="shared" si="3"/>
        <v>1</v>
      </c>
      <c r="K1157" s="28" t="str">
        <f t="shared" si="4"/>
        <v/>
      </c>
      <c r="L1157" s="45" t="str">
        <f t="shared" si="5"/>
        <v/>
      </c>
      <c r="M1157" s="45" t="str">
        <f t="shared" si="6"/>
        <v/>
      </c>
      <c r="N1157" s="45" t="str">
        <f t="shared" si="7"/>
        <v/>
      </c>
      <c r="O1157" s="45" t="str">
        <f t="shared" si="8"/>
        <v/>
      </c>
      <c r="P1157" s="45" t="str">
        <f t="shared" si="9"/>
        <v/>
      </c>
    </row>
    <row r="1158" spans="1:16" ht="17.25">
      <c r="A1158" s="276" t="s">
        <v>6077</v>
      </c>
      <c r="B1158" s="351">
        <v>43070</v>
      </c>
      <c r="C1158" s="276" t="s">
        <v>6078</v>
      </c>
      <c r="E1158" s="278" t="str">
        <f t="shared" si="16"/>
        <v>https://pubmed.ncbi.nlm.nih.gov/?term=PMC5736798</v>
      </c>
      <c r="F1158" s="28" t="s">
        <v>511</v>
      </c>
      <c r="G1158" s="28" t="s">
        <v>4592</v>
      </c>
      <c r="J1158" s="346">
        <f t="shared" si="3"/>
        <v>1</v>
      </c>
      <c r="K1158" s="28" t="str">
        <f t="shared" si="4"/>
        <v/>
      </c>
      <c r="L1158" s="45" t="str">
        <f t="shared" si="5"/>
        <v/>
      </c>
      <c r="M1158" s="45" t="str">
        <f t="shared" si="6"/>
        <v/>
      </c>
      <c r="N1158" s="45" t="str">
        <f t="shared" si="7"/>
        <v/>
      </c>
      <c r="O1158" s="45" t="str">
        <f t="shared" si="8"/>
        <v/>
      </c>
      <c r="P1158" s="45" t="str">
        <f t="shared" si="9"/>
        <v/>
      </c>
    </row>
    <row r="1159" spans="1:16" ht="17.25">
      <c r="A1159" s="276" t="s">
        <v>6079</v>
      </c>
      <c r="B1159" s="351">
        <v>44228</v>
      </c>
      <c r="C1159" s="276" t="s">
        <v>6080</v>
      </c>
      <c r="E1159" s="278" t="str">
        <f t="shared" si="16"/>
        <v>https://pubmed.ncbi.nlm.nih.gov/?term=PMC8014061</v>
      </c>
      <c r="F1159" s="28" t="s">
        <v>511</v>
      </c>
      <c r="G1159" s="28" t="s">
        <v>5188</v>
      </c>
      <c r="J1159" s="346">
        <f t="shared" si="3"/>
        <v>1</v>
      </c>
      <c r="K1159" s="28" t="str">
        <f t="shared" si="4"/>
        <v/>
      </c>
      <c r="L1159" s="45" t="str">
        <f t="shared" si="5"/>
        <v/>
      </c>
      <c r="M1159" s="45" t="str">
        <f t="shared" si="6"/>
        <v/>
      </c>
      <c r="N1159" s="45" t="str">
        <f t="shared" si="7"/>
        <v/>
      </c>
      <c r="O1159" s="45" t="str">
        <f t="shared" si="8"/>
        <v/>
      </c>
      <c r="P1159" s="45" t="str">
        <f t="shared" si="9"/>
        <v/>
      </c>
    </row>
    <row r="1160" spans="1:16" ht="17.25">
      <c r="A1160" s="276" t="s">
        <v>6081</v>
      </c>
      <c r="B1160" s="351">
        <v>41456</v>
      </c>
      <c r="C1160" s="276" t="s">
        <v>4168</v>
      </c>
      <c r="E1160" s="278" t="str">
        <f t="shared" si="16"/>
        <v>https://pubmed.ncbi.nlm.nih.gov/?term=PMC3712927</v>
      </c>
      <c r="H1160" s="28" t="s">
        <v>511</v>
      </c>
      <c r="J1160" s="346" t="str">
        <f t="shared" si="3"/>
        <v/>
      </c>
      <c r="K1160" s="28" t="str">
        <f t="shared" si="4"/>
        <v/>
      </c>
      <c r="L1160" s="45" t="str">
        <f t="shared" si="5"/>
        <v/>
      </c>
      <c r="M1160" s="45" t="str">
        <f t="shared" si="6"/>
        <v/>
      </c>
      <c r="N1160" s="45" t="str">
        <f t="shared" si="7"/>
        <v/>
      </c>
      <c r="O1160" s="45" t="str">
        <f t="shared" si="8"/>
        <v/>
      </c>
      <c r="P1160" s="45" t="str">
        <f t="shared" si="9"/>
        <v/>
      </c>
    </row>
    <row r="1161" spans="1:16" ht="17.25">
      <c r="A1161" s="276" t="s">
        <v>6082</v>
      </c>
      <c r="B1161" s="351">
        <v>40544</v>
      </c>
      <c r="C1161" s="276" t="s">
        <v>6083</v>
      </c>
      <c r="E1161" s="278" t="str">
        <f t="shared" si="16"/>
        <v>https://pubmed.ncbi.nlm.nih.gov/?term=PMC3036168</v>
      </c>
      <c r="F1161" s="28" t="s">
        <v>511</v>
      </c>
      <c r="G1161" s="28" t="s">
        <v>4592</v>
      </c>
      <c r="J1161" s="346">
        <f t="shared" si="3"/>
        <v>1</v>
      </c>
      <c r="K1161" s="28" t="str">
        <f t="shared" si="4"/>
        <v/>
      </c>
      <c r="L1161" s="45" t="str">
        <f t="shared" si="5"/>
        <v/>
      </c>
      <c r="M1161" s="45" t="str">
        <f t="shared" si="6"/>
        <v/>
      </c>
      <c r="N1161" s="45" t="str">
        <f t="shared" si="7"/>
        <v/>
      </c>
      <c r="O1161" s="45" t="str">
        <f t="shared" si="8"/>
        <v/>
      </c>
      <c r="P1161" s="45" t="str">
        <f t="shared" si="9"/>
        <v/>
      </c>
    </row>
    <row r="1162" spans="1:16" ht="17.25">
      <c r="A1162" s="276" t="s">
        <v>6084</v>
      </c>
      <c r="B1162" s="351">
        <v>39965</v>
      </c>
      <c r="C1162" s="276" t="s">
        <v>6085</v>
      </c>
      <c r="E1162" s="278" t="str">
        <f t="shared" si="16"/>
        <v>https://pubmed.ncbi.nlm.nih.gov/?term=PMC2694350</v>
      </c>
      <c r="F1162" s="28" t="s">
        <v>511</v>
      </c>
      <c r="G1162" s="28" t="s">
        <v>6086</v>
      </c>
      <c r="J1162" s="346" t="str">
        <f t="shared" si="3"/>
        <v/>
      </c>
      <c r="K1162" s="28" t="str">
        <f t="shared" si="4"/>
        <v/>
      </c>
      <c r="L1162" s="45" t="str">
        <f t="shared" si="5"/>
        <v/>
      </c>
      <c r="M1162" s="45" t="str">
        <f t="shared" si="6"/>
        <v/>
      </c>
      <c r="N1162" s="45" t="str">
        <f t="shared" si="7"/>
        <v/>
      </c>
      <c r="O1162" s="45">
        <f t="shared" si="8"/>
        <v>1</v>
      </c>
      <c r="P1162" s="45" t="str">
        <f t="shared" si="9"/>
        <v/>
      </c>
    </row>
    <row r="1163" spans="1:16" ht="17.25">
      <c r="A1163" s="276" t="s">
        <v>6087</v>
      </c>
      <c r="B1163" s="351">
        <v>42064</v>
      </c>
      <c r="C1163" s="276" t="s">
        <v>4203</v>
      </c>
      <c r="E1163" s="278" t="str">
        <f t="shared" si="16"/>
        <v>https://pubmed.ncbi.nlm.nih.gov/?term=PMC4371633</v>
      </c>
      <c r="H1163" s="28" t="s">
        <v>511</v>
      </c>
      <c r="J1163" s="346" t="str">
        <f t="shared" si="3"/>
        <v/>
      </c>
      <c r="K1163" s="28" t="str">
        <f t="shared" si="4"/>
        <v/>
      </c>
      <c r="L1163" s="45" t="str">
        <f t="shared" si="5"/>
        <v/>
      </c>
      <c r="M1163" s="45" t="str">
        <f t="shared" si="6"/>
        <v/>
      </c>
      <c r="N1163" s="45" t="str">
        <f t="shared" si="7"/>
        <v/>
      </c>
      <c r="O1163" s="45" t="str">
        <f t="shared" si="8"/>
        <v/>
      </c>
      <c r="P1163" s="45" t="str">
        <f t="shared" si="9"/>
        <v/>
      </c>
    </row>
    <row r="1164" spans="1:16" ht="17.25">
      <c r="A1164" s="276" t="s">
        <v>6088</v>
      </c>
      <c r="B1164" s="351">
        <v>43770</v>
      </c>
      <c r="C1164" s="276" t="s">
        <v>6089</v>
      </c>
      <c r="E1164" s="278" t="str">
        <f t="shared" si="16"/>
        <v>https://pubmed.ncbi.nlm.nih.gov/?term=PMC6871356</v>
      </c>
      <c r="F1164" s="28" t="s">
        <v>511</v>
      </c>
      <c r="G1164" s="28" t="s">
        <v>5668</v>
      </c>
      <c r="J1164" s="346" t="str">
        <f t="shared" si="3"/>
        <v/>
      </c>
      <c r="K1164" s="28" t="str">
        <f t="shared" si="4"/>
        <v/>
      </c>
      <c r="L1164" s="45" t="str">
        <f t="shared" si="5"/>
        <v/>
      </c>
      <c r="M1164" s="45" t="str">
        <f t="shared" si="6"/>
        <v/>
      </c>
      <c r="N1164" s="45">
        <f t="shared" si="7"/>
        <v>1</v>
      </c>
      <c r="O1164" s="45" t="str">
        <f t="shared" si="8"/>
        <v/>
      </c>
      <c r="P1164" s="45" t="str">
        <f t="shared" si="9"/>
        <v/>
      </c>
    </row>
    <row r="1165" spans="1:16" ht="17.25">
      <c r="A1165" s="276" t="s">
        <v>6090</v>
      </c>
      <c r="B1165" s="351">
        <v>43101</v>
      </c>
      <c r="C1165" s="276" t="s">
        <v>6091</v>
      </c>
      <c r="E1165" s="278" t="str">
        <f t="shared" si="16"/>
        <v>https://pubmed.ncbi.nlm.nih.gov/?term=PMC5853416</v>
      </c>
      <c r="F1165" s="28" t="s">
        <v>511</v>
      </c>
      <c r="G1165" s="28" t="s">
        <v>4744</v>
      </c>
      <c r="J1165" s="346" t="str">
        <f t="shared" si="3"/>
        <v/>
      </c>
      <c r="K1165" s="28" t="str">
        <f t="shared" si="4"/>
        <v/>
      </c>
      <c r="L1165" s="45" t="str">
        <f t="shared" si="5"/>
        <v/>
      </c>
      <c r="M1165" s="45" t="str">
        <f t="shared" si="6"/>
        <v/>
      </c>
      <c r="N1165" s="45">
        <f t="shared" si="7"/>
        <v>1</v>
      </c>
      <c r="O1165" s="45" t="str">
        <f t="shared" si="8"/>
        <v/>
      </c>
      <c r="P1165" s="45" t="str">
        <f t="shared" si="9"/>
        <v/>
      </c>
    </row>
    <row r="1166" spans="1:16" ht="17.25">
      <c r="A1166" s="276" t="s">
        <v>6092</v>
      </c>
      <c r="B1166" s="351">
        <v>43617</v>
      </c>
      <c r="C1166" s="276" t="s">
        <v>6093</v>
      </c>
      <c r="E1166" s="278" t="str">
        <f t="shared" si="16"/>
        <v>https://pubmed.ncbi.nlm.nih.gov/?term=PMC6553913</v>
      </c>
      <c r="F1166" s="28" t="s">
        <v>511</v>
      </c>
      <c r="G1166" s="28" t="s">
        <v>6094</v>
      </c>
      <c r="J1166" s="346" t="str">
        <f t="shared" si="3"/>
        <v/>
      </c>
      <c r="K1166" s="28" t="str">
        <f t="shared" si="4"/>
        <v/>
      </c>
      <c r="L1166" s="45" t="str">
        <f t="shared" si="5"/>
        <v/>
      </c>
      <c r="M1166" s="45" t="str">
        <f t="shared" si="6"/>
        <v/>
      </c>
      <c r="N1166" s="45" t="str">
        <f t="shared" si="7"/>
        <v/>
      </c>
      <c r="O1166" s="45">
        <f t="shared" si="8"/>
        <v>1</v>
      </c>
      <c r="P1166" s="45" t="str">
        <f t="shared" si="9"/>
        <v/>
      </c>
    </row>
    <row r="1167" spans="1:16" ht="17.25">
      <c r="A1167" s="276" t="s">
        <v>6095</v>
      </c>
      <c r="B1167" s="351">
        <v>36342</v>
      </c>
      <c r="C1167" s="276" t="s">
        <v>6096</v>
      </c>
      <c r="E1167" s="278" t="str">
        <f t="shared" si="16"/>
        <v>https://pubmed.ncbi.nlm.nih.gov/?term=PMC116529</v>
      </c>
      <c r="F1167" s="28" t="s">
        <v>511</v>
      </c>
      <c r="G1167" s="28" t="s">
        <v>6027</v>
      </c>
      <c r="J1167" s="346" t="str">
        <f t="shared" si="3"/>
        <v/>
      </c>
      <c r="K1167" s="28" t="str">
        <f t="shared" si="4"/>
        <v/>
      </c>
      <c r="L1167" s="45" t="str">
        <f t="shared" si="5"/>
        <v/>
      </c>
      <c r="M1167" s="45" t="str">
        <f t="shared" si="6"/>
        <v/>
      </c>
      <c r="N1167" s="45" t="str">
        <f t="shared" si="7"/>
        <v/>
      </c>
      <c r="O1167" s="45">
        <f t="shared" si="8"/>
        <v>1</v>
      </c>
      <c r="P1167" s="45" t="str">
        <f t="shared" si="9"/>
        <v/>
      </c>
    </row>
    <row r="1168" spans="1:16" ht="17.25">
      <c r="A1168" s="276" t="s">
        <v>6097</v>
      </c>
      <c r="B1168" s="351">
        <v>44166</v>
      </c>
      <c r="C1168" s="276" t="s">
        <v>6098</v>
      </c>
      <c r="E1168" s="278" t="str">
        <f t="shared" si="16"/>
        <v>https://pubmed.ncbi.nlm.nih.gov/?term=PMC7108134</v>
      </c>
      <c r="F1168" s="28" t="s">
        <v>511</v>
      </c>
      <c r="G1168" s="28" t="s">
        <v>4744</v>
      </c>
      <c r="J1168" s="346" t="str">
        <f t="shared" si="3"/>
        <v/>
      </c>
      <c r="K1168" s="28" t="str">
        <f t="shared" si="4"/>
        <v/>
      </c>
      <c r="L1168" s="45" t="str">
        <f t="shared" si="5"/>
        <v/>
      </c>
      <c r="M1168" s="45" t="str">
        <f t="shared" si="6"/>
        <v/>
      </c>
      <c r="N1168" s="45">
        <f t="shared" si="7"/>
        <v>1</v>
      </c>
      <c r="O1168" s="45" t="str">
        <f t="shared" si="8"/>
        <v/>
      </c>
      <c r="P1168" s="45" t="str">
        <f t="shared" si="9"/>
        <v/>
      </c>
    </row>
    <row r="1169" spans="1:16" ht="17.25">
      <c r="A1169" s="276" t="s">
        <v>6099</v>
      </c>
      <c r="B1169" s="351">
        <v>40452</v>
      </c>
      <c r="C1169" s="276" t="s">
        <v>4176</v>
      </c>
      <c r="E1169" s="278" t="str">
        <f t="shared" si="16"/>
        <v>https://pubmed.ncbi.nlm.nih.gov/?term=PMC2958836</v>
      </c>
      <c r="H1169" s="28" t="s">
        <v>511</v>
      </c>
      <c r="J1169" s="346" t="str">
        <f t="shared" si="3"/>
        <v/>
      </c>
      <c r="K1169" s="28" t="str">
        <f t="shared" si="4"/>
        <v/>
      </c>
      <c r="L1169" s="45" t="str">
        <f t="shared" si="5"/>
        <v/>
      </c>
      <c r="M1169" s="45" t="str">
        <f t="shared" si="6"/>
        <v/>
      </c>
      <c r="N1169" s="45" t="str">
        <f t="shared" si="7"/>
        <v/>
      </c>
      <c r="O1169" s="45" t="str">
        <f t="shared" si="8"/>
        <v/>
      </c>
      <c r="P1169" s="45" t="str">
        <f t="shared" si="9"/>
        <v/>
      </c>
    </row>
    <row r="1170" spans="1:16" ht="17.25">
      <c r="A1170" s="276" t="s">
        <v>6100</v>
      </c>
      <c r="B1170" s="351">
        <v>43647</v>
      </c>
      <c r="C1170" s="276" t="s">
        <v>6101</v>
      </c>
      <c r="E1170" s="278" t="str">
        <f t="shared" si="16"/>
        <v>https://pubmed.ncbi.nlm.nih.gov/?term=PMC6676504</v>
      </c>
      <c r="F1170" s="28" t="s">
        <v>511</v>
      </c>
      <c r="G1170" s="28" t="s">
        <v>4592</v>
      </c>
      <c r="J1170" s="346">
        <f t="shared" si="3"/>
        <v>1</v>
      </c>
      <c r="K1170" s="28" t="str">
        <f t="shared" si="4"/>
        <v/>
      </c>
      <c r="L1170" s="45" t="str">
        <f t="shared" si="5"/>
        <v/>
      </c>
      <c r="M1170" s="45" t="str">
        <f t="shared" si="6"/>
        <v/>
      </c>
      <c r="N1170" s="45" t="str">
        <f t="shared" si="7"/>
        <v/>
      </c>
      <c r="O1170" s="45" t="str">
        <f t="shared" si="8"/>
        <v/>
      </c>
      <c r="P1170" s="45" t="str">
        <f t="shared" si="9"/>
        <v/>
      </c>
    </row>
    <row r="1171" spans="1:16" ht="17.25">
      <c r="A1171" s="276" t="s">
        <v>6102</v>
      </c>
      <c r="B1171" s="351">
        <v>40575</v>
      </c>
      <c r="C1171" s="276" t="s">
        <v>4126</v>
      </c>
      <c r="E1171" s="278" t="str">
        <f t="shared" si="16"/>
        <v>https://pubmed.ncbi.nlm.nih.gov/?term=PMC3032484</v>
      </c>
      <c r="H1171" s="28" t="s">
        <v>511</v>
      </c>
      <c r="J1171" s="346" t="str">
        <f t="shared" si="3"/>
        <v/>
      </c>
      <c r="K1171" s="28" t="str">
        <f t="shared" si="4"/>
        <v/>
      </c>
      <c r="L1171" s="45" t="str">
        <f t="shared" si="5"/>
        <v/>
      </c>
      <c r="M1171" s="45" t="str">
        <f t="shared" si="6"/>
        <v/>
      </c>
      <c r="N1171" s="45" t="str">
        <f t="shared" si="7"/>
        <v/>
      </c>
      <c r="O1171" s="45" t="str">
        <f t="shared" si="8"/>
        <v/>
      </c>
      <c r="P1171" s="45" t="str">
        <f t="shared" si="9"/>
        <v/>
      </c>
    </row>
    <row r="1172" spans="1:16" ht="17.25">
      <c r="A1172" s="276" t="s">
        <v>6103</v>
      </c>
      <c r="B1172" s="351">
        <v>41275</v>
      </c>
      <c r="C1172" s="276" t="s">
        <v>6104</v>
      </c>
      <c r="E1172" s="278" t="str">
        <f t="shared" si="16"/>
        <v>https://pubmed.ncbi.nlm.nih.gov/?term=PMC3532833</v>
      </c>
      <c r="F1172" s="28" t="s">
        <v>511</v>
      </c>
      <c r="G1172" s="28" t="s">
        <v>6105</v>
      </c>
      <c r="J1172" s="346" t="str">
        <f t="shared" si="3"/>
        <v/>
      </c>
      <c r="K1172" s="28" t="str">
        <f t="shared" si="4"/>
        <v/>
      </c>
      <c r="L1172" s="45" t="str">
        <f t="shared" si="5"/>
        <v/>
      </c>
      <c r="M1172" s="45" t="str">
        <f t="shared" si="6"/>
        <v/>
      </c>
      <c r="N1172" s="45" t="str">
        <f t="shared" si="7"/>
        <v/>
      </c>
      <c r="O1172" s="45">
        <f t="shared" si="8"/>
        <v>1</v>
      </c>
      <c r="P1172" s="45" t="str">
        <f t="shared" si="9"/>
        <v/>
      </c>
    </row>
    <row r="1173" spans="1:16" ht="17.25">
      <c r="A1173" s="276" t="s">
        <v>6106</v>
      </c>
      <c r="B1173" s="351">
        <v>44256</v>
      </c>
      <c r="C1173" s="276" t="s">
        <v>4088</v>
      </c>
      <c r="E1173" s="278" t="str">
        <f t="shared" si="16"/>
        <v>https://pubmed.ncbi.nlm.nih.gov/?term=PMC8017236</v>
      </c>
      <c r="H1173" s="28" t="s">
        <v>511</v>
      </c>
      <c r="J1173" s="346" t="str">
        <f t="shared" si="3"/>
        <v/>
      </c>
      <c r="K1173" s="28" t="str">
        <f t="shared" si="4"/>
        <v/>
      </c>
      <c r="L1173" s="45" t="str">
        <f t="shared" si="5"/>
        <v/>
      </c>
      <c r="M1173" s="45" t="str">
        <f t="shared" si="6"/>
        <v/>
      </c>
      <c r="N1173" s="45" t="str">
        <f t="shared" si="7"/>
        <v/>
      </c>
      <c r="O1173" s="45" t="str">
        <f t="shared" si="8"/>
        <v/>
      </c>
      <c r="P1173" s="45" t="str">
        <f t="shared" si="9"/>
        <v/>
      </c>
    </row>
    <row r="1174" spans="1:16" ht="17.25">
      <c r="A1174" s="276" t="s">
        <v>6107</v>
      </c>
      <c r="B1174" s="351">
        <v>42767</v>
      </c>
      <c r="C1174" s="276" t="s">
        <v>6108</v>
      </c>
      <c r="E1174" s="278" t="str">
        <f t="shared" si="16"/>
        <v>https://pubmed.ncbi.nlm.nih.gov/?term=PMC5388294</v>
      </c>
      <c r="F1174" s="28" t="s">
        <v>511</v>
      </c>
      <c r="G1174" s="28" t="s">
        <v>4744</v>
      </c>
      <c r="J1174" s="346" t="str">
        <f t="shared" si="3"/>
        <v/>
      </c>
      <c r="K1174" s="28" t="str">
        <f t="shared" si="4"/>
        <v/>
      </c>
      <c r="L1174" s="45" t="str">
        <f t="shared" si="5"/>
        <v/>
      </c>
      <c r="M1174" s="45" t="str">
        <f t="shared" si="6"/>
        <v/>
      </c>
      <c r="N1174" s="45">
        <f t="shared" si="7"/>
        <v>1</v>
      </c>
      <c r="O1174" s="45" t="str">
        <f t="shared" si="8"/>
        <v/>
      </c>
      <c r="P1174" s="45" t="str">
        <f t="shared" si="9"/>
        <v/>
      </c>
    </row>
    <row r="1175" spans="1:16" ht="17.25">
      <c r="A1175" s="276" t="s">
        <v>6109</v>
      </c>
      <c r="B1175" s="352">
        <v>43586</v>
      </c>
      <c r="C1175" s="276" t="s">
        <v>6110</v>
      </c>
      <c r="E1175" s="278" t="str">
        <f t="shared" si="16"/>
        <v>https://pubmed.ncbi.nlm.nih.gov/?term=PMC6538625</v>
      </c>
      <c r="F1175" s="28" t="s">
        <v>511</v>
      </c>
      <c r="G1175" s="28" t="s">
        <v>6111</v>
      </c>
      <c r="J1175" s="346" t="str">
        <f t="shared" si="3"/>
        <v/>
      </c>
      <c r="K1175" s="28" t="str">
        <f t="shared" si="4"/>
        <v/>
      </c>
      <c r="L1175" s="45" t="str">
        <f t="shared" si="5"/>
        <v/>
      </c>
      <c r="M1175" s="45" t="str">
        <f t="shared" si="6"/>
        <v/>
      </c>
      <c r="N1175" s="45" t="str">
        <f t="shared" si="7"/>
        <v/>
      </c>
      <c r="O1175" s="45">
        <f t="shared" si="8"/>
        <v>1</v>
      </c>
      <c r="P1175" s="45" t="str">
        <f t="shared" si="9"/>
        <v/>
      </c>
    </row>
    <row r="1176" spans="1:16" ht="17.25">
      <c r="A1176" s="276" t="s">
        <v>6112</v>
      </c>
      <c r="B1176" s="351">
        <v>43922</v>
      </c>
      <c r="C1176" s="276" t="s">
        <v>6113</v>
      </c>
      <c r="E1176" s="278" t="str">
        <f t="shared" si="16"/>
        <v>https://pubmed.ncbi.nlm.nih.gov/?term=PMC7217088</v>
      </c>
      <c r="F1176" s="28" t="s">
        <v>511</v>
      </c>
      <c r="G1176" s="28" t="s">
        <v>6070</v>
      </c>
      <c r="J1176" s="346">
        <f t="shared" si="3"/>
        <v>1</v>
      </c>
      <c r="K1176" s="28" t="str">
        <f t="shared" si="4"/>
        <v/>
      </c>
      <c r="L1176" s="45" t="str">
        <f t="shared" si="5"/>
        <v/>
      </c>
      <c r="M1176" s="45" t="str">
        <f t="shared" si="6"/>
        <v/>
      </c>
      <c r="N1176" s="45" t="str">
        <f t="shared" si="7"/>
        <v/>
      </c>
      <c r="O1176" s="45" t="str">
        <f t="shared" si="8"/>
        <v/>
      </c>
      <c r="P1176" s="45" t="str">
        <f t="shared" si="9"/>
        <v/>
      </c>
    </row>
    <row r="1177" spans="1:16" ht="17.25">
      <c r="A1177" s="276" t="s">
        <v>6114</v>
      </c>
      <c r="B1177" s="351">
        <v>41883</v>
      </c>
      <c r="C1177" s="276" t="s">
        <v>6115</v>
      </c>
      <c r="E1177" s="278" t="str">
        <f t="shared" si="16"/>
        <v>https://pubmed.ncbi.nlm.nih.gov/?term=PMC4166014</v>
      </c>
      <c r="F1177" s="28" t="s">
        <v>511</v>
      </c>
      <c r="G1177" s="28" t="s">
        <v>6116</v>
      </c>
      <c r="J1177" s="346" t="str">
        <f t="shared" si="3"/>
        <v/>
      </c>
      <c r="K1177" s="28" t="str">
        <f t="shared" si="4"/>
        <v/>
      </c>
      <c r="L1177" s="45" t="str">
        <f t="shared" si="5"/>
        <v/>
      </c>
      <c r="M1177" s="45" t="str">
        <f t="shared" si="6"/>
        <v/>
      </c>
      <c r="N1177" s="45" t="str">
        <f t="shared" si="7"/>
        <v/>
      </c>
      <c r="O1177" s="45">
        <f t="shared" si="8"/>
        <v>1</v>
      </c>
      <c r="P1177" s="45" t="str">
        <f t="shared" si="9"/>
        <v/>
      </c>
    </row>
    <row r="1178" spans="1:16" ht="17.25">
      <c r="A1178" s="276" t="s">
        <v>6117</v>
      </c>
      <c r="B1178" s="351">
        <v>42583</v>
      </c>
      <c r="C1178" s="276" t="s">
        <v>4242</v>
      </c>
      <c r="E1178" s="278" t="str">
        <f t="shared" si="16"/>
        <v>https://pubmed.ncbi.nlm.nih.gov/?term=PMC4974752</v>
      </c>
      <c r="H1178" s="28" t="s">
        <v>511</v>
      </c>
      <c r="J1178" s="346" t="str">
        <f t="shared" si="3"/>
        <v/>
      </c>
      <c r="K1178" s="28" t="str">
        <f t="shared" si="4"/>
        <v/>
      </c>
      <c r="L1178" s="45" t="str">
        <f t="shared" si="5"/>
        <v/>
      </c>
      <c r="M1178" s="45" t="str">
        <f t="shared" si="6"/>
        <v/>
      </c>
      <c r="N1178" s="45" t="str">
        <f t="shared" si="7"/>
        <v/>
      </c>
      <c r="O1178" s="45" t="str">
        <f t="shared" si="8"/>
        <v/>
      </c>
      <c r="P1178" s="45" t="str">
        <f t="shared" si="9"/>
        <v/>
      </c>
    </row>
    <row r="1179" spans="1:16" ht="17.25">
      <c r="A1179" s="276" t="s">
        <v>6118</v>
      </c>
      <c r="B1179" s="351">
        <v>44256</v>
      </c>
      <c r="C1179" s="276" t="s">
        <v>6119</v>
      </c>
      <c r="E1179" s="278" t="str">
        <f t="shared" si="16"/>
        <v>https://pubmed.ncbi.nlm.nih.gov/?term=PMC7800137</v>
      </c>
      <c r="F1179" s="28" t="s">
        <v>511</v>
      </c>
      <c r="G1179" s="28" t="s">
        <v>5188</v>
      </c>
      <c r="J1179" s="346">
        <f t="shared" si="3"/>
        <v>1</v>
      </c>
      <c r="K1179" s="28" t="str">
        <f t="shared" si="4"/>
        <v/>
      </c>
      <c r="L1179" s="45" t="str">
        <f t="shared" si="5"/>
        <v/>
      </c>
      <c r="M1179" s="45" t="str">
        <f t="shared" si="6"/>
        <v/>
      </c>
      <c r="N1179" s="45" t="str">
        <f t="shared" si="7"/>
        <v/>
      </c>
      <c r="O1179" s="45" t="str">
        <f t="shared" si="8"/>
        <v/>
      </c>
      <c r="P1179" s="45" t="str">
        <f t="shared" si="9"/>
        <v/>
      </c>
    </row>
    <row r="1180" spans="1:16" ht="17.25">
      <c r="A1180" s="276" t="s">
        <v>6120</v>
      </c>
      <c r="B1180" s="28">
        <v>2019</v>
      </c>
      <c r="C1180" s="276" t="s">
        <v>6121</v>
      </c>
      <c r="E1180" s="278" t="str">
        <f t="shared" si="16"/>
        <v>https://pubmed.ncbi.nlm.nih.gov/?term=PMC7299166</v>
      </c>
      <c r="F1180" s="28" t="s">
        <v>511</v>
      </c>
      <c r="G1180" s="28" t="s">
        <v>6122</v>
      </c>
      <c r="J1180" s="346">
        <f t="shared" si="3"/>
        <v>1</v>
      </c>
      <c r="K1180" s="28" t="str">
        <f t="shared" si="4"/>
        <v/>
      </c>
      <c r="L1180" s="45" t="str">
        <f t="shared" si="5"/>
        <v/>
      </c>
      <c r="M1180" s="45" t="str">
        <f t="shared" si="6"/>
        <v/>
      </c>
      <c r="N1180" s="45" t="str">
        <f t="shared" si="7"/>
        <v/>
      </c>
      <c r="O1180" s="45" t="str">
        <f t="shared" si="8"/>
        <v/>
      </c>
      <c r="P1180" s="45" t="str">
        <f t="shared" si="9"/>
        <v/>
      </c>
    </row>
    <row r="1181" spans="1:16" ht="17.25">
      <c r="A1181" s="276" t="s">
        <v>6123</v>
      </c>
      <c r="B1181" s="351">
        <v>44256</v>
      </c>
      <c r="C1181" s="276" t="s">
        <v>4551</v>
      </c>
      <c r="E1181" s="278" t="str">
        <f t="shared" si="16"/>
        <v>https://pubmed.ncbi.nlm.nih.gov/?term=PMC7924584</v>
      </c>
      <c r="H1181" s="28" t="s">
        <v>511</v>
      </c>
      <c r="J1181" s="346" t="str">
        <f t="shared" si="3"/>
        <v/>
      </c>
      <c r="K1181" s="28" t="str">
        <f t="shared" si="4"/>
        <v/>
      </c>
      <c r="L1181" s="45" t="str">
        <f t="shared" si="5"/>
        <v/>
      </c>
      <c r="M1181" s="45" t="str">
        <f t="shared" si="6"/>
        <v/>
      </c>
      <c r="N1181" s="45" t="str">
        <f t="shared" si="7"/>
        <v/>
      </c>
      <c r="O1181" s="45" t="str">
        <f t="shared" si="8"/>
        <v/>
      </c>
      <c r="P1181" s="45" t="str">
        <f t="shared" si="9"/>
        <v/>
      </c>
    </row>
    <row r="1182" spans="1:16" ht="17.25">
      <c r="A1182" s="276" t="s">
        <v>6124</v>
      </c>
      <c r="B1182" s="351">
        <v>42217</v>
      </c>
      <c r="C1182" s="276" t="s">
        <v>4115</v>
      </c>
      <c r="E1182" s="278" t="str">
        <f t="shared" si="16"/>
        <v>https://pubmed.ncbi.nlm.nih.gov/?term=PMC4527105</v>
      </c>
      <c r="H1182" s="28" t="s">
        <v>511</v>
      </c>
      <c r="J1182" s="346" t="str">
        <f t="shared" si="3"/>
        <v/>
      </c>
      <c r="K1182" s="28" t="str">
        <f t="shared" si="4"/>
        <v/>
      </c>
      <c r="L1182" s="45" t="str">
        <f t="shared" si="5"/>
        <v/>
      </c>
      <c r="M1182" s="45" t="str">
        <f t="shared" si="6"/>
        <v/>
      </c>
      <c r="N1182" s="45" t="str">
        <f t="shared" si="7"/>
        <v/>
      </c>
      <c r="O1182" s="45" t="str">
        <f t="shared" si="8"/>
        <v/>
      </c>
      <c r="P1182" s="45" t="str">
        <f t="shared" si="9"/>
        <v/>
      </c>
    </row>
    <row r="1183" spans="1:16" ht="17.25">
      <c r="A1183" s="276" t="s">
        <v>6125</v>
      </c>
      <c r="B1183" s="351">
        <v>44044</v>
      </c>
      <c r="C1183" s="276" t="s">
        <v>6126</v>
      </c>
      <c r="E1183" s="278" t="str">
        <f t="shared" si="16"/>
        <v>https://pubmed.ncbi.nlm.nih.gov/?term=PMC7836830</v>
      </c>
      <c r="F1183" s="28" t="s">
        <v>511</v>
      </c>
      <c r="G1183" s="28" t="s">
        <v>5188</v>
      </c>
      <c r="J1183" s="346">
        <f t="shared" si="3"/>
        <v>1</v>
      </c>
      <c r="K1183" s="28" t="str">
        <f t="shared" si="4"/>
        <v/>
      </c>
      <c r="L1183" s="45" t="str">
        <f t="shared" si="5"/>
        <v/>
      </c>
      <c r="M1183" s="45" t="str">
        <f t="shared" si="6"/>
        <v/>
      </c>
      <c r="N1183" s="45" t="str">
        <f t="shared" si="7"/>
        <v/>
      </c>
      <c r="O1183" s="45" t="str">
        <f t="shared" si="8"/>
        <v/>
      </c>
      <c r="P1183" s="45" t="str">
        <f t="shared" si="9"/>
        <v/>
      </c>
    </row>
    <row r="1184" spans="1:16" ht="17.25">
      <c r="A1184" s="276" t="s">
        <v>5948</v>
      </c>
      <c r="B1184" s="351">
        <v>41974</v>
      </c>
      <c r="C1184" s="276" t="s">
        <v>4133</v>
      </c>
      <c r="E1184" s="278" t="str">
        <f t="shared" si="16"/>
        <v>https://pubmed.ncbi.nlm.nih.gov/?term=PMC4264479</v>
      </c>
      <c r="H1184" s="28" t="s">
        <v>511</v>
      </c>
      <c r="J1184" s="346" t="str">
        <f t="shared" si="3"/>
        <v/>
      </c>
      <c r="K1184" s="28" t="str">
        <f t="shared" si="4"/>
        <v/>
      </c>
      <c r="L1184" s="45" t="str">
        <f t="shared" si="5"/>
        <v/>
      </c>
      <c r="M1184" s="45" t="str">
        <f t="shared" si="6"/>
        <v/>
      </c>
      <c r="N1184" s="45" t="str">
        <f t="shared" si="7"/>
        <v/>
      </c>
      <c r="O1184" s="45" t="str">
        <f t="shared" si="8"/>
        <v/>
      </c>
      <c r="P1184" s="45" t="str">
        <f t="shared" si="9"/>
        <v/>
      </c>
    </row>
    <row r="1185" spans="1:16" ht="17.25">
      <c r="A1185" s="276" t="s">
        <v>6127</v>
      </c>
      <c r="B1185" s="351">
        <v>43374</v>
      </c>
      <c r="C1185" s="276" t="s">
        <v>6128</v>
      </c>
      <c r="E1185" s="278" t="str">
        <f t="shared" si="16"/>
        <v>https://pubmed.ncbi.nlm.nih.gov/?term=PMC6201130</v>
      </c>
      <c r="F1185" s="28" t="s">
        <v>511</v>
      </c>
      <c r="G1185" s="28" t="s">
        <v>4744</v>
      </c>
      <c r="J1185" s="346" t="str">
        <f t="shared" si="3"/>
        <v/>
      </c>
      <c r="K1185" s="28" t="str">
        <f t="shared" si="4"/>
        <v/>
      </c>
      <c r="L1185" s="45" t="str">
        <f t="shared" si="5"/>
        <v/>
      </c>
      <c r="M1185" s="45" t="str">
        <f t="shared" si="6"/>
        <v/>
      </c>
      <c r="N1185" s="45">
        <f t="shared" si="7"/>
        <v>1</v>
      </c>
      <c r="O1185" s="45" t="str">
        <f t="shared" si="8"/>
        <v/>
      </c>
      <c r="P1185" s="45" t="str">
        <f t="shared" si="9"/>
        <v/>
      </c>
    </row>
    <row r="1186" spans="1:16" ht="17.25">
      <c r="A1186" s="276" t="s">
        <v>6129</v>
      </c>
      <c r="B1186" s="351">
        <v>44166</v>
      </c>
      <c r="C1186" s="276" t="s">
        <v>6130</v>
      </c>
      <c r="E1186" s="278" t="str">
        <f t="shared" si="16"/>
        <v>https://pubmed.ncbi.nlm.nih.gov/?term=PMC7733225</v>
      </c>
      <c r="F1186" s="28" t="s">
        <v>511</v>
      </c>
      <c r="G1186" s="28" t="s">
        <v>5188</v>
      </c>
      <c r="J1186" s="346">
        <f t="shared" si="3"/>
        <v>1</v>
      </c>
      <c r="K1186" s="28" t="str">
        <f t="shared" si="4"/>
        <v/>
      </c>
      <c r="L1186" s="45" t="str">
        <f t="shared" si="5"/>
        <v/>
      </c>
      <c r="M1186" s="45" t="str">
        <f t="shared" si="6"/>
        <v/>
      </c>
      <c r="N1186" s="45" t="str">
        <f t="shared" si="7"/>
        <v/>
      </c>
      <c r="O1186" s="45" t="str">
        <f t="shared" si="8"/>
        <v/>
      </c>
      <c r="P1186" s="45" t="str">
        <f t="shared" si="9"/>
        <v/>
      </c>
    </row>
    <row r="1187" spans="1:16" ht="17.25">
      <c r="A1187" s="276" t="s">
        <v>6131</v>
      </c>
      <c r="B1187" s="351">
        <v>42217</v>
      </c>
      <c r="C1187" s="276" t="s">
        <v>6132</v>
      </c>
      <c r="E1187" s="278" t="str">
        <f t="shared" si="16"/>
        <v>https://pubmed.ncbi.nlm.nih.gov/?term=PMC4519717</v>
      </c>
      <c r="F1187" s="28" t="s">
        <v>511</v>
      </c>
      <c r="G1187" s="28" t="s">
        <v>4592</v>
      </c>
      <c r="J1187" s="346">
        <f t="shared" si="3"/>
        <v>1</v>
      </c>
      <c r="K1187" s="28" t="str">
        <f t="shared" si="4"/>
        <v/>
      </c>
      <c r="L1187" s="45" t="str">
        <f t="shared" si="5"/>
        <v/>
      </c>
      <c r="M1187" s="45" t="str">
        <f t="shared" si="6"/>
        <v/>
      </c>
      <c r="N1187" s="45" t="str">
        <f t="shared" si="7"/>
        <v/>
      </c>
      <c r="O1187" s="45" t="str">
        <f t="shared" si="8"/>
        <v/>
      </c>
      <c r="P1187" s="45" t="str">
        <f t="shared" si="9"/>
        <v/>
      </c>
    </row>
    <row r="1188" spans="1:16" ht="17.25">
      <c r="A1188" s="276" t="s">
        <v>4248</v>
      </c>
      <c r="B1188" s="351">
        <v>41275</v>
      </c>
      <c r="C1188" s="276" t="s">
        <v>4219</v>
      </c>
      <c r="E1188" s="278" t="str">
        <f t="shared" si="16"/>
        <v>https://pubmed.ncbi.nlm.nih.gov/?term=PMC3541746</v>
      </c>
      <c r="H1188" s="28" t="s">
        <v>511</v>
      </c>
      <c r="J1188" s="346" t="str">
        <f t="shared" si="3"/>
        <v/>
      </c>
      <c r="K1188" s="28" t="str">
        <f t="shared" si="4"/>
        <v/>
      </c>
      <c r="L1188" s="45" t="str">
        <f t="shared" si="5"/>
        <v/>
      </c>
      <c r="M1188" s="45" t="str">
        <f t="shared" si="6"/>
        <v/>
      </c>
      <c r="N1188" s="45" t="str">
        <f t="shared" si="7"/>
        <v/>
      </c>
      <c r="O1188" s="45" t="str">
        <f t="shared" si="8"/>
        <v/>
      </c>
      <c r="P1188" s="45" t="str">
        <f t="shared" si="9"/>
        <v/>
      </c>
    </row>
    <row r="1189" spans="1:16" ht="17.25">
      <c r="A1189" s="276" t="s">
        <v>6133</v>
      </c>
      <c r="B1189" s="351">
        <v>42430</v>
      </c>
      <c r="C1189" s="276" t="s">
        <v>4552</v>
      </c>
      <c r="E1189" s="278" t="str">
        <f t="shared" si="16"/>
        <v>https://pubmed.ncbi.nlm.nih.gov/?term=PMC4775905</v>
      </c>
      <c r="H1189" s="28" t="s">
        <v>511</v>
      </c>
      <c r="J1189" s="346" t="str">
        <f t="shared" si="3"/>
        <v/>
      </c>
      <c r="K1189" s="28" t="str">
        <f t="shared" si="4"/>
        <v/>
      </c>
      <c r="L1189" s="45" t="str">
        <f t="shared" si="5"/>
        <v/>
      </c>
      <c r="M1189" s="45" t="str">
        <f t="shared" si="6"/>
        <v/>
      </c>
      <c r="N1189" s="45" t="str">
        <f t="shared" si="7"/>
        <v/>
      </c>
      <c r="O1189" s="45" t="str">
        <f t="shared" si="8"/>
        <v/>
      </c>
      <c r="P1189" s="45" t="str">
        <f t="shared" si="9"/>
        <v/>
      </c>
    </row>
    <row r="1190" spans="1:16" ht="17.25">
      <c r="A1190" s="276" t="s">
        <v>6134</v>
      </c>
      <c r="B1190" s="351">
        <v>44287</v>
      </c>
      <c r="C1190" s="276" t="s">
        <v>6135</v>
      </c>
      <c r="E1190" s="278" t="str">
        <f t="shared" si="16"/>
        <v>https://pubmed.ncbi.nlm.nih.gov/?term=PMC7983546</v>
      </c>
      <c r="F1190" s="28" t="s">
        <v>511</v>
      </c>
      <c r="G1190" s="28" t="s">
        <v>5188</v>
      </c>
      <c r="J1190" s="346">
        <f t="shared" si="3"/>
        <v>1</v>
      </c>
      <c r="K1190" s="28" t="str">
        <f t="shared" si="4"/>
        <v/>
      </c>
      <c r="L1190" s="45" t="str">
        <f t="shared" si="5"/>
        <v/>
      </c>
      <c r="M1190" s="45" t="str">
        <f t="shared" si="6"/>
        <v/>
      </c>
      <c r="N1190" s="45" t="str">
        <f t="shared" si="7"/>
        <v/>
      </c>
      <c r="O1190" s="45" t="str">
        <f t="shared" si="8"/>
        <v/>
      </c>
      <c r="P1190" s="45" t="str">
        <f t="shared" si="9"/>
        <v/>
      </c>
    </row>
    <row r="1191" spans="1:16" ht="17.25">
      <c r="A1191" s="276" t="s">
        <v>6136</v>
      </c>
      <c r="B1191" s="351">
        <v>41699</v>
      </c>
      <c r="C1191" s="276" t="s">
        <v>6137</v>
      </c>
      <c r="E1191" s="278" t="str">
        <f t="shared" si="16"/>
        <v>https://pubmed.ncbi.nlm.nih.gov/?term=PMC3944330</v>
      </c>
      <c r="F1191" s="28" t="s">
        <v>511</v>
      </c>
      <c r="G1191" s="28" t="s">
        <v>6138</v>
      </c>
      <c r="J1191" s="346" t="str">
        <f t="shared" si="3"/>
        <v/>
      </c>
      <c r="K1191" s="28" t="str">
        <f t="shared" si="4"/>
        <v/>
      </c>
      <c r="L1191" s="45" t="str">
        <f t="shared" si="5"/>
        <v/>
      </c>
      <c r="M1191" s="45" t="str">
        <f t="shared" si="6"/>
        <v/>
      </c>
      <c r="N1191" s="45" t="str">
        <f t="shared" si="7"/>
        <v/>
      </c>
      <c r="O1191" s="45">
        <f t="shared" si="8"/>
        <v>1</v>
      </c>
      <c r="P1191" s="45" t="str">
        <f t="shared" si="9"/>
        <v/>
      </c>
    </row>
    <row r="1192" spans="1:16" ht="17.25">
      <c r="A1192" s="276" t="s">
        <v>6139</v>
      </c>
      <c r="B1192" s="352">
        <v>42125</v>
      </c>
      <c r="C1192" s="276" t="s">
        <v>4184</v>
      </c>
      <c r="E1192" s="278" t="str">
        <f t="shared" si="16"/>
        <v>https://pubmed.ncbi.nlm.nih.gov/?term=PMC4392868</v>
      </c>
      <c r="H1192" s="28" t="s">
        <v>511</v>
      </c>
      <c r="J1192" s="346" t="str">
        <f t="shared" si="3"/>
        <v/>
      </c>
      <c r="K1192" s="28" t="str">
        <f t="shared" si="4"/>
        <v/>
      </c>
      <c r="L1192" s="45" t="str">
        <f t="shared" si="5"/>
        <v/>
      </c>
      <c r="M1192" s="45" t="str">
        <f t="shared" si="6"/>
        <v/>
      </c>
      <c r="N1192" s="45" t="str">
        <f t="shared" si="7"/>
        <v/>
      </c>
      <c r="O1192" s="45" t="str">
        <f t="shared" si="8"/>
        <v/>
      </c>
      <c r="P1192" s="45" t="str">
        <f t="shared" si="9"/>
        <v/>
      </c>
    </row>
    <row r="1193" spans="1:16" ht="17.25">
      <c r="A1193" s="276" t="s">
        <v>6140</v>
      </c>
      <c r="B1193" s="351">
        <v>43617</v>
      </c>
      <c r="C1193" s="276" t="s">
        <v>6141</v>
      </c>
      <c r="E1193" s="278" t="str">
        <f t="shared" si="16"/>
        <v>https://pubmed.ncbi.nlm.nih.gov/?term=PMC6592373</v>
      </c>
      <c r="F1193" s="28" t="s">
        <v>511</v>
      </c>
      <c r="G1193" s="28" t="s">
        <v>6142</v>
      </c>
      <c r="J1193" s="346" t="str">
        <f t="shared" si="3"/>
        <v/>
      </c>
      <c r="K1193" s="28" t="str">
        <f t="shared" si="4"/>
        <v/>
      </c>
      <c r="L1193" s="45" t="str">
        <f t="shared" si="5"/>
        <v/>
      </c>
      <c r="M1193" s="45" t="str">
        <f t="shared" si="6"/>
        <v/>
      </c>
      <c r="N1193" s="45" t="str">
        <f t="shared" si="7"/>
        <v/>
      </c>
      <c r="O1193" s="45">
        <f t="shared" si="8"/>
        <v>1</v>
      </c>
      <c r="P1193" s="45" t="str">
        <f t="shared" si="9"/>
        <v/>
      </c>
    </row>
    <row r="1194" spans="1:16" ht="17.25">
      <c r="A1194" s="276" t="s">
        <v>6143</v>
      </c>
      <c r="B1194" s="351">
        <v>44013</v>
      </c>
      <c r="C1194" s="276" t="s">
        <v>6144</v>
      </c>
      <c r="E1194" s="278" t="str">
        <f t="shared" si="16"/>
        <v>https://pubmed.ncbi.nlm.nih.gov/?term=PMC7472303</v>
      </c>
      <c r="F1194" s="28" t="s">
        <v>511</v>
      </c>
      <c r="G1194" s="28" t="s">
        <v>4592</v>
      </c>
      <c r="J1194" s="346">
        <f t="shared" si="3"/>
        <v>1</v>
      </c>
      <c r="K1194" s="28" t="str">
        <f t="shared" si="4"/>
        <v/>
      </c>
      <c r="L1194" s="45" t="str">
        <f t="shared" si="5"/>
        <v/>
      </c>
      <c r="M1194" s="45" t="str">
        <f t="shared" si="6"/>
        <v/>
      </c>
      <c r="N1194" s="45" t="str">
        <f t="shared" si="7"/>
        <v/>
      </c>
      <c r="O1194" s="45" t="str">
        <f t="shared" si="8"/>
        <v/>
      </c>
      <c r="P1194" s="45" t="str">
        <f t="shared" si="9"/>
        <v/>
      </c>
    </row>
    <row r="1195" spans="1:16" ht="17.25">
      <c r="A1195" s="276" t="s">
        <v>6145</v>
      </c>
      <c r="B1195" s="351">
        <v>36373</v>
      </c>
      <c r="C1195" s="276" t="s">
        <v>6146</v>
      </c>
      <c r="E1195" s="278" t="str">
        <f t="shared" si="16"/>
        <v>https://pubmed.ncbi.nlm.nih.gov/?term=PMC2627748</v>
      </c>
      <c r="F1195" s="28" t="s">
        <v>511</v>
      </c>
      <c r="G1195" s="28" t="s">
        <v>5188</v>
      </c>
      <c r="J1195" s="346">
        <f t="shared" si="3"/>
        <v>1</v>
      </c>
      <c r="K1195" s="28" t="str">
        <f t="shared" si="4"/>
        <v/>
      </c>
      <c r="L1195" s="45" t="str">
        <f t="shared" si="5"/>
        <v/>
      </c>
      <c r="M1195" s="45" t="str">
        <f t="shared" si="6"/>
        <v/>
      </c>
      <c r="N1195" s="45" t="str">
        <f t="shared" si="7"/>
        <v/>
      </c>
      <c r="O1195" s="45" t="str">
        <f t="shared" si="8"/>
        <v/>
      </c>
      <c r="P1195" s="45" t="str">
        <f t="shared" si="9"/>
        <v/>
      </c>
    </row>
    <row r="1196" spans="1:16" ht="17.25">
      <c r="A1196" s="276" t="s">
        <v>6147</v>
      </c>
      <c r="B1196" s="351">
        <v>41609</v>
      </c>
      <c r="C1196" s="276" t="s">
        <v>6148</v>
      </c>
      <c r="E1196" s="278" t="str">
        <f t="shared" si="16"/>
        <v>https://pubmed.ncbi.nlm.nih.gov/?term=PMC3855709</v>
      </c>
      <c r="F1196" s="28" t="s">
        <v>511</v>
      </c>
      <c r="G1196" s="28" t="s">
        <v>6149</v>
      </c>
      <c r="J1196" s="346" t="str">
        <f t="shared" si="3"/>
        <v/>
      </c>
      <c r="K1196" s="28" t="str">
        <f t="shared" si="4"/>
        <v/>
      </c>
      <c r="L1196" s="45" t="str">
        <f t="shared" si="5"/>
        <v/>
      </c>
      <c r="M1196" s="45" t="str">
        <f t="shared" si="6"/>
        <v/>
      </c>
      <c r="N1196" s="45" t="str">
        <f t="shared" si="7"/>
        <v/>
      </c>
      <c r="O1196" s="45">
        <f t="shared" si="8"/>
        <v>1</v>
      </c>
      <c r="P1196" s="45" t="str">
        <f t="shared" si="9"/>
        <v/>
      </c>
    </row>
    <row r="1197" spans="1:16" ht="17.25">
      <c r="A1197" s="276" t="s">
        <v>6150</v>
      </c>
      <c r="B1197" s="351">
        <v>39753</v>
      </c>
      <c r="C1197" s="276" t="s">
        <v>6151</v>
      </c>
      <c r="E1197" s="278" t="str">
        <f t="shared" si="16"/>
        <v>https://pubmed.ncbi.nlm.nih.gov/?term=PMC2600508</v>
      </c>
      <c r="F1197" s="28" t="s">
        <v>511</v>
      </c>
      <c r="G1197" s="28" t="s">
        <v>4592</v>
      </c>
      <c r="J1197" s="346">
        <f t="shared" si="3"/>
        <v>1</v>
      </c>
      <c r="K1197" s="28" t="str">
        <f t="shared" si="4"/>
        <v/>
      </c>
      <c r="L1197" s="45" t="str">
        <f t="shared" si="5"/>
        <v/>
      </c>
      <c r="M1197" s="45" t="str">
        <f t="shared" si="6"/>
        <v/>
      </c>
      <c r="N1197" s="45" t="str">
        <f t="shared" si="7"/>
        <v/>
      </c>
      <c r="O1197" s="45" t="str">
        <f t="shared" si="8"/>
        <v/>
      </c>
      <c r="P1197" s="45" t="str">
        <f t="shared" si="9"/>
        <v/>
      </c>
    </row>
    <row r="1198" spans="1:16" ht="17.25">
      <c r="A1198" s="276" t="s">
        <v>6152</v>
      </c>
      <c r="B1198" s="352">
        <v>43586</v>
      </c>
      <c r="C1198" s="276" t="s">
        <v>4220</v>
      </c>
      <c r="E1198" s="278" t="str">
        <f t="shared" si="16"/>
        <v>https://pubmed.ncbi.nlm.nih.gov/?term=PMC6515882</v>
      </c>
      <c r="H1198" s="28" t="s">
        <v>511</v>
      </c>
      <c r="J1198" s="346" t="str">
        <f t="shared" si="3"/>
        <v/>
      </c>
      <c r="K1198" s="28" t="str">
        <f t="shared" si="4"/>
        <v/>
      </c>
      <c r="L1198" s="45" t="str">
        <f t="shared" si="5"/>
        <v/>
      </c>
      <c r="M1198" s="45" t="str">
        <f t="shared" si="6"/>
        <v/>
      </c>
      <c r="N1198" s="45" t="str">
        <f t="shared" si="7"/>
        <v/>
      </c>
      <c r="O1198" s="45" t="str">
        <f t="shared" si="8"/>
        <v/>
      </c>
      <c r="P1198" s="45" t="str">
        <f t="shared" si="9"/>
        <v/>
      </c>
    </row>
    <row r="1199" spans="1:16" ht="17.25">
      <c r="A1199" s="276" t="s">
        <v>6153</v>
      </c>
      <c r="B1199" s="351">
        <v>41487</v>
      </c>
      <c r="C1199" s="276" t="s">
        <v>6154</v>
      </c>
      <c r="E1199" s="278" t="str">
        <f t="shared" si="16"/>
        <v>https://pubmed.ncbi.nlm.nih.gov/?term=PMC3740234</v>
      </c>
      <c r="F1199" s="28" t="s">
        <v>511</v>
      </c>
      <c r="G1199" s="28" t="s">
        <v>6155</v>
      </c>
      <c r="J1199" s="346" t="str">
        <f t="shared" si="3"/>
        <v/>
      </c>
      <c r="K1199" s="28" t="str">
        <f t="shared" si="4"/>
        <v/>
      </c>
      <c r="L1199" s="45" t="str">
        <f t="shared" si="5"/>
        <v/>
      </c>
      <c r="M1199" s="45" t="str">
        <f t="shared" si="6"/>
        <v/>
      </c>
      <c r="N1199" s="45" t="str">
        <f t="shared" si="7"/>
        <v/>
      </c>
      <c r="O1199" s="45">
        <f t="shared" si="8"/>
        <v>1</v>
      </c>
      <c r="P1199" s="45" t="str">
        <f t="shared" si="9"/>
        <v/>
      </c>
    </row>
    <row r="1200" spans="1:16" ht="17.25">
      <c r="A1200" s="276" t="s">
        <v>6156</v>
      </c>
      <c r="B1200" s="351">
        <v>43191</v>
      </c>
      <c r="C1200" s="276" t="s">
        <v>4095</v>
      </c>
      <c r="E1200" s="278" t="str">
        <f t="shared" si="16"/>
        <v>https://pubmed.ncbi.nlm.nih.gov/?term=PMC5873858</v>
      </c>
      <c r="H1200" s="28" t="s">
        <v>511</v>
      </c>
      <c r="J1200" s="346" t="str">
        <f t="shared" si="3"/>
        <v/>
      </c>
      <c r="K1200" s="28" t="str">
        <f t="shared" si="4"/>
        <v/>
      </c>
      <c r="L1200" s="45" t="str">
        <f t="shared" si="5"/>
        <v/>
      </c>
      <c r="M1200" s="45" t="str">
        <f t="shared" si="6"/>
        <v/>
      </c>
      <c r="N1200" s="45" t="str">
        <f t="shared" si="7"/>
        <v/>
      </c>
      <c r="O1200" s="45" t="str">
        <f t="shared" si="8"/>
        <v/>
      </c>
      <c r="P1200" s="45" t="str">
        <f t="shared" si="9"/>
        <v/>
      </c>
    </row>
    <row r="1201" spans="1:16" ht="17.25">
      <c r="A1201" s="276" t="s">
        <v>6157</v>
      </c>
      <c r="B1201" s="351">
        <v>44136</v>
      </c>
      <c r="C1201" s="276" t="s">
        <v>4105</v>
      </c>
      <c r="E1201" s="278" t="str">
        <f t="shared" si="16"/>
        <v>https://pubmed.ncbi.nlm.nih.gov/?term=PMC7714523</v>
      </c>
      <c r="H1201" s="28" t="s">
        <v>511</v>
      </c>
      <c r="J1201" s="346" t="str">
        <f t="shared" si="3"/>
        <v/>
      </c>
      <c r="K1201" s="28" t="str">
        <f t="shared" si="4"/>
        <v/>
      </c>
      <c r="L1201" s="45" t="str">
        <f t="shared" si="5"/>
        <v/>
      </c>
      <c r="M1201" s="45" t="str">
        <f t="shared" si="6"/>
        <v/>
      </c>
      <c r="N1201" s="45" t="str">
        <f t="shared" si="7"/>
        <v/>
      </c>
      <c r="O1201" s="45" t="str">
        <f t="shared" si="8"/>
        <v/>
      </c>
      <c r="P1201" s="45" t="str">
        <f t="shared" si="9"/>
        <v/>
      </c>
    </row>
    <row r="1202" spans="1:16" ht="17.25">
      <c r="A1202" s="276" t="s">
        <v>6158</v>
      </c>
      <c r="B1202" s="351">
        <v>43831</v>
      </c>
      <c r="C1202" s="276" t="s">
        <v>4104</v>
      </c>
      <c r="E1202" s="278" t="str">
        <f t="shared" si="16"/>
        <v>https://pubmed.ncbi.nlm.nih.gov/?term=PMC6985722</v>
      </c>
      <c r="H1202" s="28" t="s">
        <v>511</v>
      </c>
      <c r="J1202" s="346" t="str">
        <f t="shared" si="3"/>
        <v/>
      </c>
      <c r="K1202" s="28" t="str">
        <f t="shared" si="4"/>
        <v/>
      </c>
      <c r="L1202" s="45" t="str">
        <f t="shared" si="5"/>
        <v/>
      </c>
      <c r="M1202" s="45" t="str">
        <f t="shared" si="6"/>
        <v/>
      </c>
      <c r="N1202" s="45" t="str">
        <f t="shared" si="7"/>
        <v/>
      </c>
      <c r="O1202" s="45" t="str">
        <f t="shared" si="8"/>
        <v/>
      </c>
      <c r="P1202" s="45" t="str">
        <f t="shared" si="9"/>
        <v/>
      </c>
    </row>
    <row r="1203" spans="1:16" ht="17.25">
      <c r="A1203" s="276" t="s">
        <v>6159</v>
      </c>
      <c r="B1203" s="351">
        <v>39965</v>
      </c>
      <c r="C1203" s="276" t="s">
        <v>4135</v>
      </c>
      <c r="E1203" s="278" t="str">
        <f t="shared" si="16"/>
        <v>https://pubmed.ncbi.nlm.nih.gov/?term=PMC2682218</v>
      </c>
      <c r="H1203" s="28" t="s">
        <v>511</v>
      </c>
      <c r="J1203" s="346" t="str">
        <f t="shared" si="3"/>
        <v/>
      </c>
      <c r="K1203" s="28" t="str">
        <f t="shared" si="4"/>
        <v/>
      </c>
      <c r="L1203" s="45" t="str">
        <f t="shared" si="5"/>
        <v/>
      </c>
      <c r="M1203" s="45" t="str">
        <f t="shared" si="6"/>
        <v/>
      </c>
      <c r="N1203" s="45" t="str">
        <f t="shared" si="7"/>
        <v/>
      </c>
      <c r="O1203" s="45" t="str">
        <f t="shared" si="8"/>
        <v/>
      </c>
      <c r="P1203" s="45" t="str">
        <f t="shared" si="9"/>
        <v/>
      </c>
    </row>
    <row r="1204" spans="1:16" ht="17.25">
      <c r="A1204" s="276" t="s">
        <v>5828</v>
      </c>
      <c r="B1204" s="351">
        <v>42767</v>
      </c>
      <c r="C1204" s="276" t="s">
        <v>6160</v>
      </c>
      <c r="E1204" s="278" t="str">
        <f t="shared" si="16"/>
        <v>https://pubmed.ncbi.nlm.nih.gov/?term=PMC5270241</v>
      </c>
      <c r="F1204" s="28" t="s">
        <v>511</v>
      </c>
      <c r="G1204" s="28" t="s">
        <v>4592</v>
      </c>
      <c r="J1204" s="346">
        <f t="shared" si="3"/>
        <v>1</v>
      </c>
      <c r="K1204" s="28" t="str">
        <f t="shared" si="4"/>
        <v/>
      </c>
      <c r="L1204" s="45" t="str">
        <f t="shared" si="5"/>
        <v/>
      </c>
      <c r="M1204" s="45" t="str">
        <f t="shared" si="6"/>
        <v/>
      </c>
      <c r="N1204" s="45" t="str">
        <f t="shared" si="7"/>
        <v/>
      </c>
      <c r="O1204" s="45" t="str">
        <f t="shared" si="8"/>
        <v/>
      </c>
      <c r="P1204" s="45" t="str">
        <f t="shared" si="9"/>
        <v/>
      </c>
    </row>
    <row r="1205" spans="1:16" ht="17.25">
      <c r="A1205" s="276" t="s">
        <v>6161</v>
      </c>
      <c r="B1205" s="28">
        <v>2009</v>
      </c>
      <c r="C1205" s="276" t="s">
        <v>6162</v>
      </c>
      <c r="D1205" s="28"/>
      <c r="E1205" s="281" t="s">
        <v>6163</v>
      </c>
      <c r="F1205" s="28" t="s">
        <v>511</v>
      </c>
      <c r="G1205" s="28" t="s">
        <v>4592</v>
      </c>
      <c r="J1205" s="346">
        <f t="shared" si="3"/>
        <v>1</v>
      </c>
      <c r="K1205" s="28" t="str">
        <f t="shared" si="4"/>
        <v/>
      </c>
      <c r="L1205" s="45" t="str">
        <f t="shared" si="5"/>
        <v/>
      </c>
      <c r="M1205" s="45" t="str">
        <f t="shared" si="6"/>
        <v/>
      </c>
      <c r="N1205" s="45" t="str">
        <f t="shared" si="7"/>
        <v/>
      </c>
      <c r="O1205" s="45" t="str">
        <f t="shared" si="8"/>
        <v/>
      </c>
      <c r="P1205" s="45" t="str">
        <f t="shared" si="9"/>
        <v/>
      </c>
    </row>
    <row r="1206" spans="1:16" ht="17.25">
      <c r="A1206" s="276" t="s">
        <v>6021</v>
      </c>
      <c r="B1206" s="351">
        <v>43070</v>
      </c>
      <c r="C1206" s="276" t="s">
        <v>6164</v>
      </c>
      <c r="E1206" s="278" t="str">
        <f t="shared" ref="E1206:E1230" si="17">"https://pubmed.ncbi.nlm.nih.gov/?term="&amp;C1206</f>
        <v>https://pubmed.ncbi.nlm.nih.gov/?term=PMC5718783</v>
      </c>
      <c r="F1206" s="28" t="s">
        <v>511</v>
      </c>
      <c r="G1206" s="28" t="s">
        <v>5188</v>
      </c>
      <c r="J1206" s="346">
        <f t="shared" si="3"/>
        <v>1</v>
      </c>
      <c r="K1206" s="28" t="str">
        <f t="shared" si="4"/>
        <v/>
      </c>
      <c r="L1206" s="45" t="str">
        <f t="shared" si="5"/>
        <v/>
      </c>
      <c r="M1206" s="45" t="str">
        <f t="shared" si="6"/>
        <v/>
      </c>
      <c r="N1206" s="45" t="str">
        <f t="shared" si="7"/>
        <v/>
      </c>
      <c r="O1206" s="45" t="str">
        <f t="shared" si="8"/>
        <v/>
      </c>
      <c r="P1206" s="45" t="str">
        <f t="shared" si="9"/>
        <v/>
      </c>
    </row>
    <row r="1207" spans="1:16" ht="17.25">
      <c r="A1207" s="276" t="s">
        <v>6165</v>
      </c>
      <c r="B1207" s="351">
        <v>42583</v>
      </c>
      <c r="C1207" s="276" t="s">
        <v>6166</v>
      </c>
      <c r="E1207" s="278" t="str">
        <f t="shared" si="17"/>
        <v>https://pubmed.ncbi.nlm.nih.gov/?term=PMC5006216</v>
      </c>
      <c r="F1207" s="28" t="s">
        <v>511</v>
      </c>
      <c r="G1207" s="28" t="s">
        <v>4592</v>
      </c>
      <c r="J1207" s="346">
        <f t="shared" si="3"/>
        <v>1</v>
      </c>
      <c r="K1207" s="28" t="str">
        <f t="shared" si="4"/>
        <v/>
      </c>
      <c r="L1207" s="45" t="str">
        <f t="shared" si="5"/>
        <v/>
      </c>
      <c r="M1207" s="45" t="str">
        <f t="shared" si="6"/>
        <v/>
      </c>
      <c r="N1207" s="45" t="str">
        <f t="shared" si="7"/>
        <v/>
      </c>
      <c r="O1207" s="45" t="str">
        <f t="shared" si="8"/>
        <v/>
      </c>
      <c r="P1207" s="45" t="str">
        <f t="shared" si="9"/>
        <v/>
      </c>
    </row>
    <row r="1208" spans="1:16" ht="17.25">
      <c r="A1208" s="276" t="s">
        <v>5850</v>
      </c>
      <c r="B1208" s="351">
        <v>44136</v>
      </c>
      <c r="C1208" s="276" t="s">
        <v>6167</v>
      </c>
      <c r="E1208" s="278" t="str">
        <f t="shared" si="17"/>
        <v>https://pubmed.ncbi.nlm.nih.gov/?term=PMC7521561</v>
      </c>
      <c r="F1208" s="28" t="s">
        <v>511</v>
      </c>
      <c r="G1208" s="28" t="s">
        <v>6168</v>
      </c>
      <c r="J1208" s="346">
        <f t="shared" si="3"/>
        <v>1</v>
      </c>
      <c r="K1208" s="28" t="str">
        <f t="shared" si="4"/>
        <v/>
      </c>
      <c r="L1208" s="45" t="str">
        <f t="shared" si="5"/>
        <v/>
      </c>
      <c r="M1208" s="45" t="str">
        <f t="shared" si="6"/>
        <v/>
      </c>
      <c r="N1208" s="45" t="str">
        <f t="shared" si="7"/>
        <v/>
      </c>
      <c r="O1208" s="45" t="str">
        <f t="shared" si="8"/>
        <v/>
      </c>
      <c r="P1208" s="45" t="str">
        <f t="shared" si="9"/>
        <v/>
      </c>
    </row>
    <row r="1209" spans="1:16" ht="17.25">
      <c r="A1209" s="276" t="s">
        <v>6169</v>
      </c>
      <c r="B1209" s="351">
        <v>42767</v>
      </c>
      <c r="C1209" s="276" t="s">
        <v>6170</v>
      </c>
      <c r="E1209" s="278" t="str">
        <f t="shared" si="17"/>
        <v>https://pubmed.ncbi.nlm.nih.gov/?term=PMC7117347</v>
      </c>
      <c r="F1209" s="28" t="s">
        <v>511</v>
      </c>
      <c r="G1209" s="28" t="s">
        <v>6171</v>
      </c>
      <c r="J1209" s="346" t="str">
        <f t="shared" si="3"/>
        <v/>
      </c>
      <c r="K1209" s="28" t="str">
        <f t="shared" si="4"/>
        <v/>
      </c>
      <c r="L1209" s="45" t="str">
        <f t="shared" si="5"/>
        <v/>
      </c>
      <c r="M1209" s="45" t="str">
        <f t="shared" si="6"/>
        <v/>
      </c>
      <c r="N1209" s="45">
        <f t="shared" si="7"/>
        <v>1</v>
      </c>
      <c r="O1209" s="45" t="str">
        <f t="shared" si="8"/>
        <v/>
      </c>
      <c r="P1209" s="45" t="str">
        <f t="shared" si="9"/>
        <v/>
      </c>
    </row>
    <row r="1210" spans="1:16" ht="17.25">
      <c r="A1210" s="276" t="s">
        <v>5641</v>
      </c>
      <c r="B1210" s="351">
        <v>42095</v>
      </c>
      <c r="C1210" s="276" t="s">
        <v>4130</v>
      </c>
      <c r="E1210" s="278" t="str">
        <f t="shared" si="17"/>
        <v>https://pubmed.ncbi.nlm.nih.gov/?term=PMC4416324</v>
      </c>
      <c r="H1210" s="28" t="s">
        <v>511</v>
      </c>
      <c r="J1210" s="346" t="str">
        <f t="shared" si="3"/>
        <v/>
      </c>
      <c r="K1210" s="28" t="str">
        <f t="shared" si="4"/>
        <v/>
      </c>
      <c r="L1210" s="45" t="str">
        <f t="shared" si="5"/>
        <v/>
      </c>
      <c r="M1210" s="45" t="str">
        <f t="shared" si="6"/>
        <v/>
      </c>
      <c r="N1210" s="45" t="str">
        <f t="shared" si="7"/>
        <v/>
      </c>
      <c r="O1210" s="45" t="str">
        <f t="shared" si="8"/>
        <v/>
      </c>
      <c r="P1210" s="45" t="str">
        <f t="shared" si="9"/>
        <v/>
      </c>
    </row>
    <row r="1211" spans="1:16" ht="17.25">
      <c r="A1211" s="276" t="s">
        <v>6172</v>
      </c>
      <c r="B1211" s="351">
        <v>37226</v>
      </c>
      <c r="C1211" s="276" t="s">
        <v>6173</v>
      </c>
      <c r="E1211" s="278" t="str">
        <f t="shared" si="17"/>
        <v>https://pubmed.ncbi.nlm.nih.gov/?term=PMC1088568</v>
      </c>
      <c r="F1211" s="28" t="s">
        <v>511</v>
      </c>
      <c r="G1211" s="28" t="s">
        <v>4592</v>
      </c>
      <c r="J1211" s="346">
        <f t="shared" si="3"/>
        <v>1</v>
      </c>
      <c r="K1211" s="28" t="str">
        <f t="shared" si="4"/>
        <v/>
      </c>
      <c r="L1211" s="45" t="str">
        <f t="shared" si="5"/>
        <v/>
      </c>
      <c r="M1211" s="45" t="str">
        <f t="shared" si="6"/>
        <v/>
      </c>
      <c r="N1211" s="45" t="str">
        <f t="shared" si="7"/>
        <v/>
      </c>
      <c r="O1211" s="45" t="str">
        <f t="shared" si="8"/>
        <v/>
      </c>
      <c r="P1211" s="45" t="str">
        <f t="shared" si="9"/>
        <v/>
      </c>
    </row>
    <row r="1212" spans="1:16" ht="17.25">
      <c r="A1212" s="276" t="s">
        <v>6174</v>
      </c>
      <c r="B1212" s="351">
        <v>43405</v>
      </c>
      <c r="C1212" s="276" t="s">
        <v>6175</v>
      </c>
      <c r="E1212" s="278" t="str">
        <f t="shared" si="17"/>
        <v>https://pubmed.ncbi.nlm.nih.gov/?term=PMC6248228</v>
      </c>
      <c r="F1212" s="28" t="s">
        <v>511</v>
      </c>
      <c r="G1212" s="28" t="s">
        <v>4744</v>
      </c>
      <c r="J1212" s="346" t="str">
        <f t="shared" si="3"/>
        <v/>
      </c>
      <c r="K1212" s="28" t="str">
        <f t="shared" si="4"/>
        <v/>
      </c>
      <c r="L1212" s="45" t="str">
        <f t="shared" si="5"/>
        <v/>
      </c>
      <c r="M1212" s="45" t="str">
        <f t="shared" si="6"/>
        <v/>
      </c>
      <c r="N1212" s="45">
        <f t="shared" si="7"/>
        <v>1</v>
      </c>
      <c r="O1212" s="45" t="str">
        <f t="shared" si="8"/>
        <v/>
      </c>
      <c r="P1212" s="45" t="str">
        <f t="shared" si="9"/>
        <v/>
      </c>
    </row>
    <row r="1213" spans="1:16" ht="17.25">
      <c r="A1213" s="276" t="s">
        <v>6176</v>
      </c>
      <c r="B1213" s="351">
        <v>44136</v>
      </c>
      <c r="C1213" s="276" t="s">
        <v>6177</v>
      </c>
      <c r="E1213" s="278" t="str">
        <f t="shared" si="17"/>
        <v>https://pubmed.ncbi.nlm.nih.gov/?term=PMC7670994</v>
      </c>
      <c r="F1213" s="28" t="s">
        <v>511</v>
      </c>
      <c r="G1213" s="28" t="s">
        <v>4592</v>
      </c>
      <c r="J1213" s="346">
        <f t="shared" si="3"/>
        <v>1</v>
      </c>
      <c r="K1213" s="28" t="str">
        <f t="shared" si="4"/>
        <v/>
      </c>
      <c r="L1213" s="45" t="str">
        <f t="shared" si="5"/>
        <v/>
      </c>
      <c r="M1213" s="45" t="str">
        <f t="shared" si="6"/>
        <v/>
      </c>
      <c r="N1213" s="45" t="str">
        <f t="shared" si="7"/>
        <v/>
      </c>
      <c r="O1213" s="45" t="str">
        <f t="shared" si="8"/>
        <v/>
      </c>
      <c r="P1213" s="45" t="str">
        <f t="shared" si="9"/>
        <v/>
      </c>
    </row>
    <row r="1214" spans="1:16" ht="17.25">
      <c r="A1214" s="276" t="s">
        <v>6178</v>
      </c>
      <c r="B1214" s="351">
        <v>42979</v>
      </c>
      <c r="C1214" s="276" t="s">
        <v>6179</v>
      </c>
      <c r="E1214" s="278" t="str">
        <f t="shared" si="17"/>
        <v>https://pubmed.ncbi.nlm.nih.gov/?term=PMC5608565</v>
      </c>
      <c r="F1214" s="28" t="s">
        <v>511</v>
      </c>
      <c r="G1214" s="28" t="s">
        <v>4744</v>
      </c>
      <c r="J1214" s="346" t="str">
        <f t="shared" si="3"/>
        <v/>
      </c>
      <c r="K1214" s="28" t="str">
        <f t="shared" si="4"/>
        <v/>
      </c>
      <c r="L1214" s="45" t="str">
        <f t="shared" si="5"/>
        <v/>
      </c>
      <c r="M1214" s="45" t="str">
        <f t="shared" si="6"/>
        <v/>
      </c>
      <c r="N1214" s="45">
        <f t="shared" si="7"/>
        <v>1</v>
      </c>
      <c r="O1214" s="45" t="str">
        <f t="shared" si="8"/>
        <v/>
      </c>
      <c r="P1214" s="45" t="str">
        <f t="shared" si="9"/>
        <v/>
      </c>
    </row>
    <row r="1215" spans="1:16" ht="17.25">
      <c r="A1215" s="276" t="s">
        <v>6112</v>
      </c>
      <c r="B1215" s="351">
        <v>44075</v>
      </c>
      <c r="C1215" s="276" t="s">
        <v>6180</v>
      </c>
      <c r="E1215" s="278" t="str">
        <f t="shared" si="17"/>
        <v>https://pubmed.ncbi.nlm.nih.gov/?term=PMC7499300</v>
      </c>
      <c r="F1215" s="28" t="s">
        <v>511</v>
      </c>
      <c r="G1215" s="28" t="s">
        <v>5273</v>
      </c>
      <c r="J1215" s="346">
        <f t="shared" si="3"/>
        <v>1</v>
      </c>
      <c r="K1215" s="28" t="str">
        <f t="shared" si="4"/>
        <v/>
      </c>
      <c r="L1215" s="45" t="str">
        <f t="shared" si="5"/>
        <v/>
      </c>
      <c r="M1215" s="45" t="str">
        <f t="shared" si="6"/>
        <v/>
      </c>
      <c r="N1215" s="45" t="str">
        <f t="shared" si="7"/>
        <v/>
      </c>
      <c r="O1215" s="45" t="str">
        <f t="shared" si="8"/>
        <v/>
      </c>
      <c r="P1215" s="45" t="str">
        <f t="shared" si="9"/>
        <v/>
      </c>
    </row>
    <row r="1216" spans="1:16" ht="17.25">
      <c r="A1216" s="276" t="s">
        <v>5812</v>
      </c>
      <c r="B1216" s="351">
        <v>42705</v>
      </c>
      <c r="C1216" s="276" t="s">
        <v>4110</v>
      </c>
      <c r="E1216" s="278" t="str">
        <f t="shared" si="17"/>
        <v>https://pubmed.ncbi.nlm.nih.gov/?term=PMC5147828</v>
      </c>
      <c r="H1216" s="28" t="s">
        <v>511</v>
      </c>
      <c r="J1216" s="346" t="str">
        <f t="shared" si="3"/>
        <v/>
      </c>
      <c r="K1216" s="28" t="str">
        <f t="shared" si="4"/>
        <v/>
      </c>
      <c r="L1216" s="45" t="str">
        <f t="shared" si="5"/>
        <v/>
      </c>
      <c r="M1216" s="45" t="str">
        <f t="shared" si="6"/>
        <v/>
      </c>
      <c r="N1216" s="45" t="str">
        <f t="shared" si="7"/>
        <v/>
      </c>
      <c r="O1216" s="45" t="str">
        <f t="shared" si="8"/>
        <v/>
      </c>
      <c r="P1216" s="45" t="str">
        <f t="shared" si="9"/>
        <v/>
      </c>
    </row>
    <row r="1217" spans="1:16" ht="17.25">
      <c r="A1217" s="276" t="s">
        <v>6181</v>
      </c>
      <c r="B1217" s="351">
        <v>41306</v>
      </c>
      <c r="C1217" s="276" t="s">
        <v>4235</v>
      </c>
      <c r="E1217" s="278" t="str">
        <f t="shared" si="17"/>
        <v>https://pubmed.ncbi.nlm.nih.gov/?term=PMC3549599</v>
      </c>
      <c r="H1217" s="28" t="s">
        <v>511</v>
      </c>
      <c r="J1217" s="346" t="str">
        <f t="shared" si="3"/>
        <v/>
      </c>
      <c r="K1217" s="28" t="str">
        <f t="shared" si="4"/>
        <v/>
      </c>
      <c r="L1217" s="45" t="str">
        <f t="shared" si="5"/>
        <v/>
      </c>
      <c r="M1217" s="45" t="str">
        <f t="shared" si="6"/>
        <v/>
      </c>
      <c r="N1217" s="45" t="str">
        <f t="shared" si="7"/>
        <v/>
      </c>
      <c r="O1217" s="45" t="str">
        <f t="shared" si="8"/>
        <v/>
      </c>
      <c r="P1217" s="45" t="str">
        <f t="shared" si="9"/>
        <v/>
      </c>
    </row>
    <row r="1218" spans="1:16" ht="17.25">
      <c r="A1218" s="276" t="s">
        <v>6182</v>
      </c>
      <c r="B1218" s="351">
        <v>43282</v>
      </c>
      <c r="C1218" s="276" t="s">
        <v>6183</v>
      </c>
      <c r="E1218" s="278" t="str">
        <f t="shared" si="17"/>
        <v>https://pubmed.ncbi.nlm.nih.gov/?term=PMC6066571</v>
      </c>
      <c r="F1218" s="28" t="s">
        <v>511</v>
      </c>
      <c r="G1218" s="28" t="s">
        <v>6184</v>
      </c>
      <c r="J1218" s="346" t="str">
        <f t="shared" si="3"/>
        <v/>
      </c>
      <c r="K1218" s="28" t="str">
        <f t="shared" si="4"/>
        <v/>
      </c>
      <c r="L1218" s="45" t="str">
        <f t="shared" si="5"/>
        <v/>
      </c>
      <c r="M1218" s="45" t="str">
        <f t="shared" si="6"/>
        <v/>
      </c>
      <c r="N1218" s="45" t="str">
        <f t="shared" si="7"/>
        <v/>
      </c>
      <c r="O1218" s="45">
        <f t="shared" si="8"/>
        <v>1</v>
      </c>
      <c r="P1218" s="45" t="str">
        <f t="shared" si="9"/>
        <v/>
      </c>
    </row>
    <row r="1219" spans="1:16" ht="17.25">
      <c r="A1219" s="276" t="s">
        <v>6185</v>
      </c>
      <c r="B1219" s="351">
        <v>41426</v>
      </c>
      <c r="C1219" s="276" t="s">
        <v>4226</v>
      </c>
      <c r="E1219" s="278" t="str">
        <f t="shared" si="17"/>
        <v>https://pubmed.ncbi.nlm.nih.gov/?term=PMC3688861</v>
      </c>
      <c r="H1219" s="28" t="s">
        <v>511</v>
      </c>
      <c r="J1219" s="346" t="str">
        <f t="shared" si="3"/>
        <v/>
      </c>
      <c r="K1219" s="28" t="str">
        <f t="shared" si="4"/>
        <v/>
      </c>
      <c r="L1219" s="45" t="str">
        <f t="shared" si="5"/>
        <v/>
      </c>
      <c r="M1219" s="45" t="str">
        <f t="shared" si="6"/>
        <v/>
      </c>
      <c r="N1219" s="45" t="str">
        <f t="shared" si="7"/>
        <v/>
      </c>
      <c r="O1219" s="45" t="str">
        <f t="shared" si="8"/>
        <v/>
      </c>
      <c r="P1219" s="45" t="str">
        <f t="shared" si="9"/>
        <v/>
      </c>
    </row>
    <row r="1220" spans="1:16" ht="17.25">
      <c r="A1220" s="276" t="s">
        <v>6186</v>
      </c>
      <c r="B1220" s="351">
        <v>42095</v>
      </c>
      <c r="C1220" s="276" t="s">
        <v>4558</v>
      </c>
      <c r="E1220" s="278" t="str">
        <f t="shared" si="17"/>
        <v>https://pubmed.ncbi.nlm.nih.gov/?term=PMC4403409</v>
      </c>
      <c r="H1220" s="28" t="s">
        <v>511</v>
      </c>
      <c r="J1220" s="346" t="str">
        <f t="shared" si="3"/>
        <v/>
      </c>
      <c r="K1220" s="28" t="str">
        <f t="shared" si="4"/>
        <v/>
      </c>
      <c r="L1220" s="45" t="str">
        <f t="shared" si="5"/>
        <v/>
      </c>
      <c r="M1220" s="45" t="str">
        <f t="shared" si="6"/>
        <v/>
      </c>
      <c r="N1220" s="45" t="str">
        <f t="shared" si="7"/>
        <v/>
      </c>
      <c r="O1220" s="45" t="str">
        <f t="shared" si="8"/>
        <v/>
      </c>
      <c r="P1220" s="45" t="str">
        <f t="shared" si="9"/>
        <v/>
      </c>
    </row>
    <row r="1221" spans="1:16" ht="17.25">
      <c r="A1221" s="276" t="s">
        <v>6187</v>
      </c>
      <c r="B1221" s="351">
        <v>42430</v>
      </c>
      <c r="C1221" s="276" t="s">
        <v>6188</v>
      </c>
      <c r="E1221" s="278" t="str">
        <f t="shared" si="17"/>
        <v>https://pubmed.ncbi.nlm.nih.gov/?term=PMC4795782</v>
      </c>
      <c r="F1221" s="28" t="s">
        <v>511</v>
      </c>
      <c r="G1221" s="28" t="s">
        <v>5188</v>
      </c>
      <c r="J1221" s="346">
        <f t="shared" si="3"/>
        <v>1</v>
      </c>
      <c r="K1221" s="28" t="str">
        <f t="shared" si="4"/>
        <v/>
      </c>
      <c r="L1221" s="45" t="str">
        <f t="shared" si="5"/>
        <v/>
      </c>
      <c r="M1221" s="45" t="str">
        <f t="shared" si="6"/>
        <v/>
      </c>
      <c r="N1221" s="45" t="str">
        <f t="shared" si="7"/>
        <v/>
      </c>
      <c r="O1221" s="45" t="str">
        <f t="shared" si="8"/>
        <v/>
      </c>
      <c r="P1221" s="45" t="str">
        <f t="shared" si="9"/>
        <v/>
      </c>
    </row>
    <row r="1222" spans="1:16" ht="17.25">
      <c r="A1222" s="276" t="s">
        <v>6189</v>
      </c>
      <c r="B1222" s="351">
        <v>41944</v>
      </c>
      <c r="C1222" s="276" t="s">
        <v>4554</v>
      </c>
      <c r="E1222" s="278" t="str">
        <f t="shared" si="17"/>
        <v>https://pubmed.ncbi.nlm.nih.gov/?term=PMC4208622</v>
      </c>
      <c r="H1222" s="28" t="s">
        <v>511</v>
      </c>
      <c r="J1222" s="346" t="str">
        <f t="shared" si="3"/>
        <v/>
      </c>
      <c r="K1222" s="28" t="str">
        <f t="shared" si="4"/>
        <v/>
      </c>
      <c r="L1222" s="45" t="str">
        <f t="shared" si="5"/>
        <v/>
      </c>
      <c r="M1222" s="45" t="str">
        <f t="shared" si="6"/>
        <v/>
      </c>
      <c r="N1222" s="45" t="str">
        <f t="shared" si="7"/>
        <v/>
      </c>
      <c r="O1222" s="45" t="str">
        <f t="shared" si="8"/>
        <v/>
      </c>
      <c r="P1222" s="45" t="str">
        <f t="shared" si="9"/>
        <v/>
      </c>
    </row>
    <row r="1223" spans="1:16" ht="17.25">
      <c r="A1223" s="276" t="s">
        <v>6190</v>
      </c>
      <c r="B1223" s="28">
        <v>2015</v>
      </c>
      <c r="C1223" s="276" t="s">
        <v>6191</v>
      </c>
      <c r="E1223" s="278" t="str">
        <f t="shared" si="17"/>
        <v>https://pubmed.ncbi.nlm.nih.gov/?term=PMC4391613</v>
      </c>
      <c r="F1223" s="28" t="s">
        <v>511</v>
      </c>
      <c r="G1223" s="28" t="s">
        <v>4744</v>
      </c>
      <c r="J1223" s="346" t="str">
        <f t="shared" si="3"/>
        <v/>
      </c>
      <c r="K1223" s="28" t="str">
        <f t="shared" si="4"/>
        <v/>
      </c>
      <c r="L1223" s="45" t="str">
        <f t="shared" si="5"/>
        <v/>
      </c>
      <c r="M1223" s="45" t="str">
        <f t="shared" si="6"/>
        <v/>
      </c>
      <c r="N1223" s="45">
        <f t="shared" si="7"/>
        <v>1</v>
      </c>
      <c r="O1223" s="45" t="str">
        <f t="shared" si="8"/>
        <v/>
      </c>
      <c r="P1223" s="45" t="str">
        <f t="shared" si="9"/>
        <v/>
      </c>
    </row>
    <row r="1224" spans="1:16" ht="17.25">
      <c r="A1224" s="276" t="s">
        <v>6192</v>
      </c>
      <c r="B1224" s="351">
        <v>44044</v>
      </c>
      <c r="C1224" s="276" t="s">
        <v>6193</v>
      </c>
      <c r="E1224" s="278" t="str">
        <f t="shared" si="17"/>
        <v>https://pubmed.ncbi.nlm.nih.gov/?term=PMC7670927</v>
      </c>
      <c r="F1224" s="28" t="s">
        <v>511</v>
      </c>
      <c r="G1224" s="28" t="s">
        <v>4592</v>
      </c>
      <c r="J1224" s="346">
        <f t="shared" si="3"/>
        <v>1</v>
      </c>
      <c r="K1224" s="28" t="str">
        <f t="shared" si="4"/>
        <v/>
      </c>
      <c r="L1224" s="45" t="str">
        <f t="shared" si="5"/>
        <v/>
      </c>
      <c r="M1224" s="45" t="str">
        <f t="shared" si="6"/>
        <v/>
      </c>
      <c r="N1224" s="45" t="str">
        <f t="shared" si="7"/>
        <v/>
      </c>
      <c r="O1224" s="45" t="str">
        <f t="shared" si="8"/>
        <v/>
      </c>
      <c r="P1224" s="45" t="str">
        <f t="shared" si="9"/>
        <v/>
      </c>
    </row>
    <row r="1225" spans="1:16" ht="17.25">
      <c r="A1225" s="276" t="s">
        <v>6194</v>
      </c>
      <c r="B1225" s="352">
        <v>39203</v>
      </c>
      <c r="C1225" s="276" t="s">
        <v>6195</v>
      </c>
      <c r="E1225" s="278" t="str">
        <f t="shared" si="17"/>
        <v>https://pubmed.ncbi.nlm.nih.gov/?term=PMC1865773</v>
      </c>
      <c r="F1225" s="28" t="s">
        <v>511</v>
      </c>
      <c r="G1225" s="28" t="s">
        <v>4744</v>
      </c>
      <c r="J1225" s="346" t="str">
        <f t="shared" si="3"/>
        <v/>
      </c>
      <c r="K1225" s="28" t="str">
        <f t="shared" si="4"/>
        <v/>
      </c>
      <c r="L1225" s="45" t="str">
        <f t="shared" si="5"/>
        <v/>
      </c>
      <c r="M1225" s="45" t="str">
        <f t="shared" si="6"/>
        <v/>
      </c>
      <c r="N1225" s="45">
        <f t="shared" si="7"/>
        <v>1</v>
      </c>
      <c r="O1225" s="45" t="str">
        <f t="shared" si="8"/>
        <v/>
      </c>
      <c r="P1225" s="45" t="str">
        <f t="shared" si="9"/>
        <v/>
      </c>
    </row>
    <row r="1226" spans="1:16" ht="17.25">
      <c r="A1226" s="276" t="s">
        <v>6196</v>
      </c>
      <c r="B1226" s="351">
        <v>41640</v>
      </c>
      <c r="C1226" s="276" t="s">
        <v>6197</v>
      </c>
      <c r="E1226" s="278" t="str">
        <f t="shared" si="17"/>
        <v>https://pubmed.ncbi.nlm.nih.gov/?term=PMC3909449</v>
      </c>
      <c r="F1226" s="28" t="s">
        <v>511</v>
      </c>
      <c r="G1226" s="28" t="s">
        <v>4536</v>
      </c>
      <c r="J1226" s="346" t="str">
        <f t="shared" si="3"/>
        <v/>
      </c>
      <c r="K1226" s="28">
        <f t="shared" si="4"/>
        <v>1</v>
      </c>
      <c r="L1226" s="45" t="str">
        <f t="shared" si="5"/>
        <v/>
      </c>
      <c r="M1226" s="45" t="str">
        <f t="shared" si="6"/>
        <v/>
      </c>
      <c r="N1226" s="45" t="str">
        <f t="shared" si="7"/>
        <v/>
      </c>
      <c r="O1226" s="45" t="str">
        <f t="shared" si="8"/>
        <v/>
      </c>
      <c r="P1226" s="45" t="str">
        <f t="shared" si="9"/>
        <v/>
      </c>
    </row>
    <row r="1227" spans="1:16" ht="17.25">
      <c r="A1227" s="276" t="s">
        <v>6189</v>
      </c>
      <c r="B1227" s="352">
        <v>41395</v>
      </c>
      <c r="C1227" s="276" t="s">
        <v>4556</v>
      </c>
      <c r="E1227" s="278" t="str">
        <f t="shared" si="17"/>
        <v>https://pubmed.ncbi.nlm.nih.gov/?term=PMC3651438</v>
      </c>
      <c r="H1227" s="28" t="s">
        <v>511</v>
      </c>
      <c r="J1227" s="346" t="str">
        <f t="shared" si="3"/>
        <v/>
      </c>
      <c r="K1227" s="28" t="str">
        <f t="shared" si="4"/>
        <v/>
      </c>
      <c r="L1227" s="45" t="str">
        <f t="shared" si="5"/>
        <v/>
      </c>
      <c r="M1227" s="45" t="str">
        <f t="shared" si="6"/>
        <v/>
      </c>
      <c r="N1227" s="45" t="str">
        <f t="shared" si="7"/>
        <v/>
      </c>
      <c r="O1227" s="45" t="str">
        <f t="shared" si="8"/>
        <v/>
      </c>
      <c r="P1227" s="45" t="str">
        <f t="shared" si="9"/>
        <v/>
      </c>
    </row>
    <row r="1228" spans="1:16" ht="17.25">
      <c r="A1228" s="276" t="s">
        <v>6050</v>
      </c>
      <c r="B1228" s="351">
        <v>41579</v>
      </c>
      <c r="C1228" s="276" t="s">
        <v>4195</v>
      </c>
      <c r="E1228" s="278" t="str">
        <f t="shared" si="17"/>
        <v>https://pubmed.ncbi.nlm.nih.gov/?term=PMC3888148</v>
      </c>
      <c r="H1228" s="28" t="s">
        <v>511</v>
      </c>
      <c r="J1228" s="346" t="str">
        <f t="shared" si="3"/>
        <v/>
      </c>
      <c r="K1228" s="28" t="str">
        <f t="shared" si="4"/>
        <v/>
      </c>
      <c r="L1228" s="45" t="str">
        <f t="shared" si="5"/>
        <v/>
      </c>
      <c r="M1228" s="45" t="str">
        <f t="shared" si="6"/>
        <v/>
      </c>
      <c r="N1228" s="45" t="str">
        <f t="shared" si="7"/>
        <v/>
      </c>
      <c r="O1228" s="45" t="str">
        <f t="shared" si="8"/>
        <v/>
      </c>
      <c r="P1228" s="45" t="str">
        <f t="shared" si="9"/>
        <v/>
      </c>
    </row>
    <row r="1229" spans="1:16" ht="17.25">
      <c r="A1229" s="276" t="s">
        <v>6198</v>
      </c>
      <c r="B1229" s="351">
        <v>36617</v>
      </c>
      <c r="C1229" s="276" t="s">
        <v>6199</v>
      </c>
      <c r="E1229" s="278" t="str">
        <f t="shared" si="17"/>
        <v>https://pubmed.ncbi.nlm.nih.gov/?term=PMC97395</v>
      </c>
      <c r="F1229" s="28" t="s">
        <v>511</v>
      </c>
      <c r="G1229" s="28" t="s">
        <v>6200</v>
      </c>
      <c r="J1229" s="346" t="str">
        <f t="shared" si="3"/>
        <v/>
      </c>
      <c r="K1229" s="28" t="str">
        <f t="shared" si="4"/>
        <v/>
      </c>
      <c r="L1229" s="45" t="str">
        <f t="shared" si="5"/>
        <v/>
      </c>
      <c r="M1229" s="45" t="str">
        <f t="shared" si="6"/>
        <v/>
      </c>
      <c r="N1229" s="45" t="str">
        <f t="shared" si="7"/>
        <v/>
      </c>
      <c r="O1229" s="45">
        <f t="shared" si="8"/>
        <v>1</v>
      </c>
      <c r="P1229" s="45" t="str">
        <f t="shared" si="9"/>
        <v/>
      </c>
    </row>
    <row r="1230" spans="1:16" ht="17.25">
      <c r="A1230" s="276" t="s">
        <v>6201</v>
      </c>
      <c r="B1230" s="351">
        <v>43647</v>
      </c>
      <c r="C1230" s="276" t="s">
        <v>6202</v>
      </c>
      <c r="E1230" s="278" t="str">
        <f t="shared" si="17"/>
        <v>https://pubmed.ncbi.nlm.nih.gov/?term=PMC7132446</v>
      </c>
      <c r="F1230" s="28" t="s">
        <v>511</v>
      </c>
      <c r="G1230" s="28" t="s">
        <v>6203</v>
      </c>
      <c r="J1230" s="346">
        <f t="shared" si="3"/>
        <v>1</v>
      </c>
      <c r="K1230" s="28" t="str">
        <f t="shared" si="4"/>
        <v/>
      </c>
      <c r="L1230" s="45" t="str">
        <f t="shared" si="5"/>
        <v/>
      </c>
      <c r="M1230" s="45" t="str">
        <f t="shared" si="6"/>
        <v/>
      </c>
      <c r="N1230" s="45" t="str">
        <f t="shared" si="7"/>
        <v/>
      </c>
      <c r="O1230" s="45" t="str">
        <f t="shared" si="8"/>
        <v/>
      </c>
      <c r="P1230" s="45" t="str">
        <f t="shared" si="9"/>
        <v/>
      </c>
    </row>
    <row r="1231" spans="1:16" ht="17.25">
      <c r="A1231" s="276" t="s">
        <v>6204</v>
      </c>
      <c r="B1231" s="28">
        <v>2019</v>
      </c>
      <c r="C1231" s="276" t="s">
        <v>6205</v>
      </c>
      <c r="D1231" s="28"/>
      <c r="E1231" s="281" t="s">
        <v>6206</v>
      </c>
      <c r="F1231" s="28" t="s">
        <v>511</v>
      </c>
      <c r="G1231" s="28" t="s">
        <v>4592</v>
      </c>
      <c r="J1231" s="346">
        <f t="shared" si="3"/>
        <v>1</v>
      </c>
      <c r="K1231" s="28" t="str">
        <f t="shared" si="4"/>
        <v/>
      </c>
      <c r="L1231" s="45" t="str">
        <f t="shared" si="5"/>
        <v/>
      </c>
      <c r="M1231" s="45" t="str">
        <f t="shared" si="6"/>
        <v/>
      </c>
      <c r="N1231" s="45" t="str">
        <f t="shared" si="7"/>
        <v/>
      </c>
      <c r="O1231" s="45" t="str">
        <f t="shared" si="8"/>
        <v/>
      </c>
      <c r="P1231" s="45" t="str">
        <f t="shared" si="9"/>
        <v/>
      </c>
    </row>
    <row r="1232" spans="1:16" ht="17.25">
      <c r="A1232" s="276" t="s">
        <v>6207</v>
      </c>
      <c r="B1232" s="351">
        <v>44075</v>
      </c>
      <c r="C1232" s="276" t="s">
        <v>4125</v>
      </c>
      <c r="E1232" s="278" t="str">
        <f t="shared" ref="E1232:E1257" si="18">"https://pubmed.ncbi.nlm.nih.gov/?term="&amp;C1232</f>
        <v>https://pubmed.ncbi.nlm.nih.gov/?term=PMC7486848</v>
      </c>
      <c r="H1232" s="28" t="s">
        <v>511</v>
      </c>
      <c r="J1232" s="346" t="str">
        <f t="shared" si="3"/>
        <v/>
      </c>
      <c r="K1232" s="28" t="str">
        <f t="shared" si="4"/>
        <v/>
      </c>
      <c r="L1232" s="45" t="str">
        <f t="shared" si="5"/>
        <v/>
      </c>
      <c r="M1232" s="45" t="str">
        <f t="shared" si="6"/>
        <v/>
      </c>
      <c r="N1232" s="45" t="str">
        <f t="shared" si="7"/>
        <v/>
      </c>
      <c r="O1232" s="45" t="str">
        <f t="shared" si="8"/>
        <v/>
      </c>
      <c r="P1232" s="45" t="str">
        <f t="shared" si="9"/>
        <v/>
      </c>
    </row>
    <row r="1233" spans="1:16" ht="17.25">
      <c r="A1233" s="276" t="s">
        <v>6208</v>
      </c>
      <c r="B1233" s="351">
        <v>44013</v>
      </c>
      <c r="C1233" s="276" t="s">
        <v>6209</v>
      </c>
      <c r="E1233" s="278" t="str">
        <f t="shared" si="18"/>
        <v>https://pubmed.ncbi.nlm.nih.gov/?term=PMC7388713</v>
      </c>
      <c r="F1233" s="28" t="s">
        <v>511</v>
      </c>
      <c r="G1233" s="28" t="s">
        <v>6210</v>
      </c>
      <c r="J1233" s="346">
        <f t="shared" si="3"/>
        <v>1</v>
      </c>
      <c r="K1233" s="28" t="str">
        <f t="shared" si="4"/>
        <v/>
      </c>
      <c r="L1233" s="45" t="str">
        <f t="shared" si="5"/>
        <v/>
      </c>
      <c r="M1233" s="45" t="str">
        <f t="shared" si="6"/>
        <v/>
      </c>
      <c r="N1233" s="45" t="str">
        <f t="shared" si="7"/>
        <v/>
      </c>
      <c r="O1233" s="45" t="str">
        <f t="shared" si="8"/>
        <v/>
      </c>
      <c r="P1233" s="45" t="str">
        <f t="shared" si="9"/>
        <v/>
      </c>
    </row>
    <row r="1234" spans="1:16" ht="17.25">
      <c r="A1234" s="276" t="s">
        <v>6211</v>
      </c>
      <c r="B1234" s="351">
        <v>42705</v>
      </c>
      <c r="C1234" s="276" t="s">
        <v>6212</v>
      </c>
      <c r="E1234" s="278" t="str">
        <f t="shared" si="18"/>
        <v>https://pubmed.ncbi.nlm.nih.gov/?term=PMC5233505</v>
      </c>
      <c r="F1234" s="28" t="s">
        <v>511</v>
      </c>
      <c r="G1234" s="28" t="s">
        <v>5188</v>
      </c>
      <c r="J1234" s="346">
        <f t="shared" si="3"/>
        <v>1</v>
      </c>
      <c r="K1234" s="28" t="str">
        <f t="shared" si="4"/>
        <v/>
      </c>
      <c r="L1234" s="45" t="str">
        <f t="shared" si="5"/>
        <v/>
      </c>
      <c r="M1234" s="45" t="str">
        <f t="shared" si="6"/>
        <v/>
      </c>
      <c r="N1234" s="45" t="str">
        <f t="shared" si="7"/>
        <v/>
      </c>
      <c r="O1234" s="45" t="str">
        <f t="shared" si="8"/>
        <v/>
      </c>
      <c r="P1234" s="45" t="str">
        <f t="shared" si="9"/>
        <v/>
      </c>
    </row>
    <row r="1235" spans="1:16" ht="17.25">
      <c r="A1235" s="276" t="s">
        <v>6213</v>
      </c>
      <c r="B1235" s="351">
        <v>42186</v>
      </c>
      <c r="C1235" s="276" t="s">
        <v>6214</v>
      </c>
      <c r="E1235" s="278" t="str">
        <f t="shared" si="18"/>
        <v>https://pubmed.ncbi.nlm.nih.gov/?term=PMC4468738</v>
      </c>
      <c r="F1235" s="28" t="s">
        <v>511</v>
      </c>
      <c r="G1235" s="28" t="s">
        <v>6215</v>
      </c>
      <c r="J1235" s="346" t="str">
        <f t="shared" si="3"/>
        <v/>
      </c>
      <c r="K1235" s="28" t="str">
        <f t="shared" si="4"/>
        <v/>
      </c>
      <c r="L1235" s="45" t="str">
        <f t="shared" si="5"/>
        <v/>
      </c>
      <c r="M1235" s="45" t="str">
        <f t="shared" si="6"/>
        <v/>
      </c>
      <c r="N1235" s="45" t="str">
        <f t="shared" si="7"/>
        <v/>
      </c>
      <c r="O1235" s="45">
        <f t="shared" si="8"/>
        <v>1</v>
      </c>
      <c r="P1235" s="45" t="str">
        <f t="shared" si="9"/>
        <v/>
      </c>
    </row>
    <row r="1236" spans="1:16" ht="17.25">
      <c r="A1236" s="276" t="s">
        <v>6216</v>
      </c>
      <c r="B1236" s="28">
        <v>2014</v>
      </c>
      <c r="C1236" s="276" t="s">
        <v>6217</v>
      </c>
      <c r="E1236" s="278" t="str">
        <f t="shared" si="18"/>
        <v>https://pubmed.ncbi.nlm.nih.gov/?term=PMC4075043</v>
      </c>
      <c r="F1236" s="28" t="s">
        <v>511</v>
      </c>
      <c r="G1236" s="28" t="s">
        <v>4592</v>
      </c>
      <c r="J1236" s="346">
        <f t="shared" si="3"/>
        <v>1</v>
      </c>
      <c r="K1236" s="28" t="str">
        <f t="shared" si="4"/>
        <v/>
      </c>
      <c r="L1236" s="45" t="str">
        <f t="shared" si="5"/>
        <v/>
      </c>
      <c r="M1236" s="45" t="str">
        <f t="shared" si="6"/>
        <v/>
      </c>
      <c r="N1236" s="45" t="str">
        <f t="shared" si="7"/>
        <v/>
      </c>
      <c r="O1236" s="45" t="str">
        <f t="shared" si="8"/>
        <v/>
      </c>
      <c r="P1236" s="45" t="str">
        <f t="shared" si="9"/>
        <v/>
      </c>
    </row>
    <row r="1237" spans="1:16" ht="17.25">
      <c r="A1237" s="276" t="s">
        <v>6218</v>
      </c>
      <c r="B1237" s="351">
        <v>44256</v>
      </c>
      <c r="C1237" s="276" t="s">
        <v>6219</v>
      </c>
      <c r="E1237" s="278" t="str">
        <f t="shared" si="18"/>
        <v>https://pubmed.ncbi.nlm.nih.gov/?term=PMC7968658</v>
      </c>
      <c r="F1237" s="28" t="s">
        <v>511</v>
      </c>
      <c r="G1237" s="28" t="s">
        <v>6220</v>
      </c>
      <c r="J1237" s="346">
        <f t="shared" si="3"/>
        <v>1</v>
      </c>
      <c r="K1237" s="28" t="str">
        <f t="shared" si="4"/>
        <v/>
      </c>
      <c r="L1237" s="45" t="str">
        <f t="shared" si="5"/>
        <v/>
      </c>
      <c r="M1237" s="45" t="str">
        <f t="shared" si="6"/>
        <v/>
      </c>
      <c r="N1237" s="45" t="str">
        <f t="shared" si="7"/>
        <v/>
      </c>
      <c r="O1237" s="45" t="str">
        <f t="shared" si="8"/>
        <v/>
      </c>
      <c r="P1237" s="45" t="str">
        <f t="shared" si="9"/>
        <v/>
      </c>
    </row>
    <row r="1238" spans="1:16" ht="17.25">
      <c r="A1238" s="276" t="s">
        <v>6221</v>
      </c>
      <c r="B1238" s="351">
        <v>41426</v>
      </c>
      <c r="C1238" s="276" t="s">
        <v>6222</v>
      </c>
      <c r="E1238" s="278" t="str">
        <f t="shared" si="18"/>
        <v>https://pubmed.ncbi.nlm.nih.gov/?term=PMC3685552</v>
      </c>
      <c r="F1238" s="28" t="s">
        <v>511</v>
      </c>
      <c r="G1238" s="28" t="s">
        <v>4592</v>
      </c>
      <c r="J1238" s="346">
        <f t="shared" si="3"/>
        <v>1</v>
      </c>
      <c r="K1238" s="28" t="str">
        <f t="shared" si="4"/>
        <v/>
      </c>
      <c r="L1238" s="45" t="str">
        <f t="shared" si="5"/>
        <v/>
      </c>
      <c r="M1238" s="45" t="str">
        <f t="shared" si="6"/>
        <v/>
      </c>
      <c r="N1238" s="45" t="str">
        <f t="shared" si="7"/>
        <v/>
      </c>
      <c r="O1238" s="45" t="str">
        <f t="shared" si="8"/>
        <v/>
      </c>
      <c r="P1238" s="45" t="str">
        <f t="shared" si="9"/>
        <v/>
      </c>
    </row>
    <row r="1239" spans="1:16" ht="17.25">
      <c r="A1239" s="276" t="s">
        <v>6223</v>
      </c>
      <c r="B1239" s="351">
        <v>41153</v>
      </c>
      <c r="C1239" s="276" t="s">
        <v>6224</v>
      </c>
      <c r="E1239" s="278" t="str">
        <f t="shared" si="18"/>
        <v>https://pubmed.ncbi.nlm.nih.gov/?term=PMC3472257</v>
      </c>
      <c r="F1239" s="28" t="s">
        <v>511</v>
      </c>
      <c r="G1239" s="28" t="s">
        <v>4592</v>
      </c>
      <c r="J1239" s="346">
        <f t="shared" si="3"/>
        <v>1</v>
      </c>
      <c r="K1239" s="28" t="str">
        <f t="shared" si="4"/>
        <v/>
      </c>
      <c r="L1239" s="45" t="str">
        <f t="shared" si="5"/>
        <v/>
      </c>
      <c r="M1239" s="45" t="str">
        <f t="shared" si="6"/>
        <v/>
      </c>
      <c r="N1239" s="45" t="str">
        <f t="shared" si="7"/>
        <v/>
      </c>
      <c r="O1239" s="45" t="str">
        <f t="shared" si="8"/>
        <v/>
      </c>
      <c r="P1239" s="45" t="str">
        <f t="shared" si="9"/>
        <v/>
      </c>
    </row>
    <row r="1240" spans="1:16" ht="17.25">
      <c r="A1240" s="276" t="s">
        <v>6225</v>
      </c>
      <c r="B1240" s="351">
        <v>43770</v>
      </c>
      <c r="C1240" s="276" t="s">
        <v>6226</v>
      </c>
      <c r="E1240" s="278" t="str">
        <f t="shared" si="18"/>
        <v>https://pubmed.ncbi.nlm.nih.gov/?term=PMC6941345</v>
      </c>
      <c r="F1240" s="28" t="s">
        <v>511</v>
      </c>
      <c r="G1240" s="28" t="s">
        <v>6227</v>
      </c>
      <c r="J1240" s="346" t="str">
        <f t="shared" si="3"/>
        <v/>
      </c>
      <c r="K1240" s="28" t="str">
        <f t="shared" si="4"/>
        <v/>
      </c>
      <c r="L1240" s="45" t="str">
        <f t="shared" si="5"/>
        <v/>
      </c>
      <c r="M1240" s="45" t="str">
        <f t="shared" si="6"/>
        <v/>
      </c>
      <c r="N1240" s="45">
        <f t="shared" si="7"/>
        <v>1</v>
      </c>
      <c r="O1240" s="45" t="str">
        <f t="shared" si="8"/>
        <v/>
      </c>
      <c r="P1240" s="45" t="str">
        <f t="shared" si="9"/>
        <v/>
      </c>
    </row>
    <row r="1241" spans="1:16" ht="17.25">
      <c r="A1241" s="276" t="s">
        <v>6228</v>
      </c>
      <c r="B1241" s="351">
        <v>44013</v>
      </c>
      <c r="C1241" s="276" t="s">
        <v>6229</v>
      </c>
      <c r="E1241" s="278" t="str">
        <f t="shared" si="18"/>
        <v>https://pubmed.ncbi.nlm.nih.gov/?term=PMC7356411</v>
      </c>
      <c r="F1241" s="28" t="s">
        <v>511</v>
      </c>
      <c r="G1241" s="28" t="s">
        <v>6210</v>
      </c>
      <c r="J1241" s="346">
        <f t="shared" si="3"/>
        <v>1</v>
      </c>
      <c r="K1241" s="28" t="str">
        <f t="shared" si="4"/>
        <v/>
      </c>
      <c r="L1241" s="45" t="str">
        <f t="shared" si="5"/>
        <v/>
      </c>
      <c r="M1241" s="45" t="str">
        <f t="shared" si="6"/>
        <v/>
      </c>
      <c r="N1241" s="45" t="str">
        <f t="shared" si="7"/>
        <v/>
      </c>
      <c r="O1241" s="45" t="str">
        <f t="shared" si="8"/>
        <v/>
      </c>
      <c r="P1241" s="45" t="str">
        <f t="shared" si="9"/>
        <v/>
      </c>
    </row>
    <row r="1242" spans="1:16" ht="17.25">
      <c r="A1242" s="276" t="s">
        <v>6230</v>
      </c>
      <c r="B1242" s="351">
        <v>44166</v>
      </c>
      <c r="C1242" s="276" t="s">
        <v>4179</v>
      </c>
      <c r="E1242" s="278" t="str">
        <f t="shared" si="18"/>
        <v>https://pubmed.ncbi.nlm.nih.gov/?term=PMC7108198</v>
      </c>
      <c r="H1242" s="28" t="s">
        <v>511</v>
      </c>
      <c r="J1242" s="346" t="str">
        <f t="shared" si="3"/>
        <v/>
      </c>
      <c r="K1242" s="28" t="str">
        <f t="shared" si="4"/>
        <v/>
      </c>
      <c r="L1242" s="45" t="str">
        <f t="shared" si="5"/>
        <v/>
      </c>
      <c r="M1242" s="45" t="str">
        <f t="shared" si="6"/>
        <v/>
      </c>
      <c r="N1242" s="45" t="str">
        <f t="shared" si="7"/>
        <v/>
      </c>
      <c r="O1242" s="45" t="str">
        <f t="shared" si="8"/>
        <v/>
      </c>
      <c r="P1242" s="45" t="str">
        <f t="shared" si="9"/>
        <v/>
      </c>
    </row>
    <row r="1243" spans="1:16" ht="17.25">
      <c r="A1243" s="276" t="s">
        <v>6231</v>
      </c>
      <c r="B1243" s="351">
        <v>41061</v>
      </c>
      <c r="C1243" s="276" t="s">
        <v>6232</v>
      </c>
      <c r="E1243" s="278" t="str">
        <f t="shared" si="18"/>
        <v>https://pubmed.ncbi.nlm.nih.gov/?term=PMC5759971</v>
      </c>
      <c r="F1243" s="28" t="s">
        <v>511</v>
      </c>
      <c r="G1243" s="28" t="s">
        <v>4592</v>
      </c>
      <c r="J1243" s="346">
        <f t="shared" si="3"/>
        <v>1</v>
      </c>
      <c r="K1243" s="28" t="str">
        <f t="shared" si="4"/>
        <v/>
      </c>
      <c r="L1243" s="45" t="str">
        <f t="shared" si="5"/>
        <v/>
      </c>
      <c r="M1243" s="45" t="str">
        <f t="shared" si="6"/>
        <v/>
      </c>
      <c r="N1243" s="45" t="str">
        <f t="shared" si="7"/>
        <v/>
      </c>
      <c r="O1243" s="45" t="str">
        <f t="shared" si="8"/>
        <v/>
      </c>
      <c r="P1243" s="45" t="str">
        <f t="shared" si="9"/>
        <v/>
      </c>
    </row>
    <row r="1244" spans="1:16" ht="17.25">
      <c r="A1244" s="276" t="s">
        <v>6233</v>
      </c>
      <c r="B1244" s="351">
        <v>43647</v>
      </c>
      <c r="C1244" s="276" t="s">
        <v>6234</v>
      </c>
      <c r="E1244" s="278" t="str">
        <f t="shared" si="18"/>
        <v>https://pubmed.ncbi.nlm.nih.gov/?term=PMC6635362</v>
      </c>
      <c r="F1244" s="28" t="s">
        <v>511</v>
      </c>
      <c r="G1244" s="28" t="s">
        <v>6235</v>
      </c>
      <c r="J1244" s="346" t="str">
        <f t="shared" si="3"/>
        <v/>
      </c>
      <c r="K1244" s="28" t="str">
        <f t="shared" si="4"/>
        <v/>
      </c>
      <c r="L1244" s="45" t="str">
        <f t="shared" si="5"/>
        <v/>
      </c>
      <c r="M1244" s="45" t="str">
        <f t="shared" si="6"/>
        <v/>
      </c>
      <c r="N1244" s="45" t="str">
        <f t="shared" si="7"/>
        <v/>
      </c>
      <c r="O1244" s="45">
        <f t="shared" si="8"/>
        <v>1</v>
      </c>
      <c r="P1244" s="45" t="str">
        <f t="shared" si="9"/>
        <v/>
      </c>
    </row>
    <row r="1245" spans="1:16" ht="17.25">
      <c r="A1245" s="276" t="s">
        <v>6236</v>
      </c>
      <c r="B1245" s="351">
        <v>43770</v>
      </c>
      <c r="C1245" s="276" t="s">
        <v>6237</v>
      </c>
      <c r="E1245" s="278" t="str">
        <f t="shared" si="18"/>
        <v>https://pubmed.ncbi.nlm.nih.gov/?term=PMC6871897</v>
      </c>
      <c r="F1245" s="28" t="s">
        <v>511</v>
      </c>
      <c r="G1245" s="28" t="s">
        <v>4592</v>
      </c>
      <c r="J1245" s="346">
        <f t="shared" si="3"/>
        <v>1</v>
      </c>
      <c r="K1245" s="28" t="str">
        <f t="shared" si="4"/>
        <v/>
      </c>
      <c r="L1245" s="45" t="str">
        <f t="shared" si="5"/>
        <v/>
      </c>
      <c r="M1245" s="45" t="str">
        <f t="shared" si="6"/>
        <v/>
      </c>
      <c r="N1245" s="45" t="str">
        <f t="shared" si="7"/>
        <v/>
      </c>
      <c r="O1245" s="45" t="str">
        <f t="shared" si="8"/>
        <v/>
      </c>
      <c r="P1245" s="45" t="str">
        <f t="shared" si="9"/>
        <v/>
      </c>
    </row>
    <row r="1246" spans="1:16" ht="17.25">
      <c r="A1246" s="276" t="s">
        <v>6238</v>
      </c>
      <c r="B1246" s="351">
        <v>44044</v>
      </c>
      <c r="C1246" s="276" t="s">
        <v>6239</v>
      </c>
      <c r="E1246" s="278" t="str">
        <f t="shared" si="18"/>
        <v>https://pubmed.ncbi.nlm.nih.gov/?term=PMC7449176</v>
      </c>
      <c r="F1246" s="28" t="s">
        <v>511</v>
      </c>
      <c r="G1246" s="28" t="s">
        <v>6240</v>
      </c>
      <c r="J1246" s="346" t="str">
        <f t="shared" si="3"/>
        <v/>
      </c>
      <c r="K1246" s="28" t="str">
        <f t="shared" si="4"/>
        <v/>
      </c>
      <c r="L1246" s="45" t="str">
        <f t="shared" si="5"/>
        <v/>
      </c>
      <c r="M1246" s="45" t="str">
        <f t="shared" si="6"/>
        <v/>
      </c>
      <c r="N1246" s="45" t="str">
        <f t="shared" si="7"/>
        <v/>
      </c>
      <c r="O1246" s="45">
        <f t="shared" si="8"/>
        <v>1</v>
      </c>
      <c r="P1246" s="45" t="str">
        <f t="shared" si="9"/>
        <v/>
      </c>
    </row>
    <row r="1247" spans="1:16" ht="17.25">
      <c r="A1247" s="276" t="s">
        <v>6241</v>
      </c>
      <c r="B1247" s="351">
        <v>44197</v>
      </c>
      <c r="C1247" s="276" t="s">
        <v>6242</v>
      </c>
      <c r="E1247" s="278" t="str">
        <f t="shared" si="18"/>
        <v>https://pubmed.ncbi.nlm.nih.gov/?term=PMC7807416</v>
      </c>
      <c r="F1247" s="28" t="s">
        <v>511</v>
      </c>
      <c r="G1247" s="28" t="s">
        <v>6243</v>
      </c>
      <c r="J1247" s="346" t="str">
        <f t="shared" si="3"/>
        <v/>
      </c>
      <c r="K1247" s="28" t="str">
        <f t="shared" si="4"/>
        <v/>
      </c>
      <c r="L1247" s="45" t="str">
        <f t="shared" si="5"/>
        <v/>
      </c>
      <c r="M1247" s="45" t="str">
        <f t="shared" si="6"/>
        <v/>
      </c>
      <c r="N1247" s="45" t="str">
        <f t="shared" si="7"/>
        <v/>
      </c>
      <c r="O1247" s="45">
        <f t="shared" si="8"/>
        <v>1</v>
      </c>
      <c r="P1247" s="45" t="str">
        <f t="shared" si="9"/>
        <v/>
      </c>
    </row>
    <row r="1248" spans="1:16" ht="17.25">
      <c r="A1248" s="276" t="s">
        <v>6244</v>
      </c>
      <c r="B1248" s="351">
        <v>42186</v>
      </c>
      <c r="C1248" s="276" t="s">
        <v>6245</v>
      </c>
      <c r="E1248" s="278" t="str">
        <f t="shared" si="18"/>
        <v>https://pubmed.ncbi.nlm.nih.gov/?term=PMC4824166</v>
      </c>
      <c r="F1248" s="28" t="s">
        <v>511</v>
      </c>
      <c r="G1248" s="28" t="s">
        <v>4592</v>
      </c>
      <c r="J1248" s="346">
        <f t="shared" si="3"/>
        <v>1</v>
      </c>
      <c r="K1248" s="28" t="str">
        <f t="shared" si="4"/>
        <v/>
      </c>
      <c r="L1248" s="45" t="str">
        <f t="shared" si="5"/>
        <v/>
      </c>
      <c r="M1248" s="45" t="str">
        <f t="shared" si="6"/>
        <v/>
      </c>
      <c r="N1248" s="45" t="str">
        <f t="shared" si="7"/>
        <v/>
      </c>
      <c r="O1248" s="45" t="str">
        <f t="shared" si="8"/>
        <v/>
      </c>
      <c r="P1248" s="45" t="str">
        <f t="shared" si="9"/>
        <v/>
      </c>
    </row>
    <row r="1249" spans="1:16" ht="17.25">
      <c r="A1249" s="276" t="s">
        <v>6246</v>
      </c>
      <c r="B1249" s="351">
        <v>41609</v>
      </c>
      <c r="C1249" s="276" t="s">
        <v>6247</v>
      </c>
      <c r="E1249" s="278" t="str">
        <f t="shared" si="18"/>
        <v>https://pubmed.ncbi.nlm.nih.gov/?term=PMC3906303</v>
      </c>
      <c r="F1249" s="28" t="s">
        <v>511</v>
      </c>
      <c r="G1249" s="28" t="s">
        <v>5273</v>
      </c>
      <c r="J1249" s="346">
        <f t="shared" si="3"/>
        <v>1</v>
      </c>
      <c r="K1249" s="28" t="str">
        <f t="shared" si="4"/>
        <v/>
      </c>
      <c r="L1249" s="45" t="str">
        <f t="shared" si="5"/>
        <v/>
      </c>
      <c r="M1249" s="45" t="str">
        <f t="shared" si="6"/>
        <v/>
      </c>
      <c r="N1249" s="45" t="str">
        <f t="shared" si="7"/>
        <v/>
      </c>
      <c r="O1249" s="45" t="str">
        <f t="shared" si="8"/>
        <v/>
      </c>
      <c r="P1249" s="45" t="str">
        <f t="shared" si="9"/>
        <v/>
      </c>
    </row>
    <row r="1250" spans="1:16" ht="17.25">
      <c r="A1250" s="276" t="s">
        <v>6248</v>
      </c>
      <c r="B1250" s="351">
        <v>43132</v>
      </c>
      <c r="C1250" s="276" t="s">
        <v>4170</v>
      </c>
      <c r="E1250" s="278" t="str">
        <f t="shared" si="18"/>
        <v>https://pubmed.ncbi.nlm.nih.gov/?term=PMC5929186</v>
      </c>
      <c r="H1250" s="28" t="s">
        <v>511</v>
      </c>
      <c r="J1250" s="346" t="str">
        <f t="shared" si="3"/>
        <v/>
      </c>
      <c r="K1250" s="28" t="str">
        <f t="shared" si="4"/>
        <v/>
      </c>
      <c r="L1250" s="45" t="str">
        <f t="shared" si="5"/>
        <v/>
      </c>
      <c r="M1250" s="45" t="str">
        <f t="shared" si="6"/>
        <v/>
      </c>
      <c r="N1250" s="45" t="str">
        <f t="shared" si="7"/>
        <v/>
      </c>
      <c r="O1250" s="45" t="str">
        <f t="shared" si="8"/>
        <v/>
      </c>
      <c r="P1250" s="45" t="str">
        <f t="shared" si="9"/>
        <v/>
      </c>
    </row>
    <row r="1251" spans="1:16" ht="17.25">
      <c r="A1251" s="276" t="s">
        <v>6249</v>
      </c>
      <c r="B1251" s="351">
        <v>39661</v>
      </c>
      <c r="C1251" s="276" t="s">
        <v>6250</v>
      </c>
      <c r="E1251" s="278" t="str">
        <f t="shared" si="18"/>
        <v>https://pubmed.ncbi.nlm.nih.gov/?term=PMC2621393</v>
      </c>
      <c r="F1251" s="28" t="s">
        <v>6251</v>
      </c>
      <c r="G1251" s="28" t="s">
        <v>6203</v>
      </c>
      <c r="J1251" s="353">
        <v>1</v>
      </c>
      <c r="K1251" s="28" t="str">
        <f t="shared" si="4"/>
        <v/>
      </c>
      <c r="L1251" s="45" t="str">
        <f t="shared" si="5"/>
        <v/>
      </c>
      <c r="M1251" s="45" t="str">
        <f t="shared" si="6"/>
        <v/>
      </c>
      <c r="N1251" s="45" t="str">
        <f t="shared" si="7"/>
        <v/>
      </c>
      <c r="O1251" s="45" t="str">
        <f t="shared" si="8"/>
        <v/>
      </c>
      <c r="P1251" s="45" t="str">
        <f t="shared" si="9"/>
        <v/>
      </c>
    </row>
    <row r="1252" spans="1:16" ht="17.25">
      <c r="A1252" s="276" t="s">
        <v>6252</v>
      </c>
      <c r="B1252" s="351">
        <v>42401</v>
      </c>
      <c r="C1252" s="276" t="s">
        <v>6253</v>
      </c>
      <c r="E1252" s="278" t="str">
        <f t="shared" si="18"/>
        <v>https://pubmed.ncbi.nlm.nih.gov/?term=PMC4765712</v>
      </c>
      <c r="F1252" s="28" t="s">
        <v>6251</v>
      </c>
      <c r="G1252" s="28" t="s">
        <v>4592</v>
      </c>
      <c r="J1252" s="353">
        <v>1</v>
      </c>
      <c r="K1252" s="28" t="str">
        <f t="shared" si="4"/>
        <v/>
      </c>
      <c r="L1252" s="45" t="str">
        <f t="shared" si="5"/>
        <v/>
      </c>
      <c r="M1252" s="45" t="str">
        <f t="shared" si="6"/>
        <v/>
      </c>
      <c r="N1252" s="45" t="str">
        <f t="shared" si="7"/>
        <v/>
      </c>
      <c r="O1252" s="45" t="str">
        <f t="shared" si="8"/>
        <v/>
      </c>
      <c r="P1252" s="45" t="str">
        <f t="shared" si="9"/>
        <v/>
      </c>
    </row>
    <row r="1253" spans="1:16" ht="17.25">
      <c r="A1253" s="276" t="s">
        <v>6254</v>
      </c>
      <c r="B1253" s="351">
        <v>43344</v>
      </c>
      <c r="C1253" s="276" t="s">
        <v>4167</v>
      </c>
      <c r="E1253" s="278" t="str">
        <f t="shared" si="18"/>
        <v>https://pubmed.ncbi.nlm.nih.gov/?term=PMC6169176</v>
      </c>
      <c r="H1253" s="28" t="s">
        <v>511</v>
      </c>
      <c r="J1253" s="346" t="str">
        <f t="shared" ref="J1253:J2323" si="19">IF(F1253="yes",IFERROR(IF(FIND("review",G1253)&gt;0,1),""),"")</f>
        <v/>
      </c>
      <c r="K1253" s="28" t="str">
        <f t="shared" si="4"/>
        <v/>
      </c>
      <c r="L1253" s="45" t="str">
        <f t="shared" si="5"/>
        <v/>
      </c>
      <c r="M1253" s="45" t="str">
        <f t="shared" si="6"/>
        <v/>
      </c>
      <c r="N1253" s="45" t="str">
        <f t="shared" si="7"/>
        <v/>
      </c>
      <c r="O1253" s="45" t="str">
        <f t="shared" si="8"/>
        <v/>
      </c>
      <c r="P1253" s="45" t="str">
        <f t="shared" si="9"/>
        <v/>
      </c>
    </row>
    <row r="1254" spans="1:16" ht="17.25">
      <c r="A1254" s="276" t="s">
        <v>6255</v>
      </c>
      <c r="B1254" s="351">
        <v>44075</v>
      </c>
      <c r="C1254" s="276" t="s">
        <v>4174</v>
      </c>
      <c r="E1254" s="278" t="str">
        <f t="shared" si="18"/>
        <v>https://pubmed.ncbi.nlm.nih.gov/?term=PMC7493140</v>
      </c>
      <c r="H1254" s="28" t="s">
        <v>511</v>
      </c>
      <c r="J1254" s="346" t="str">
        <f t="shared" si="19"/>
        <v/>
      </c>
      <c r="K1254" s="28" t="str">
        <f t="shared" si="4"/>
        <v/>
      </c>
      <c r="L1254" s="45" t="str">
        <f t="shared" si="5"/>
        <v/>
      </c>
      <c r="M1254" s="45" t="str">
        <f t="shared" si="6"/>
        <v/>
      </c>
      <c r="N1254" s="45" t="str">
        <f t="shared" si="7"/>
        <v/>
      </c>
      <c r="O1254" s="45" t="str">
        <f t="shared" si="8"/>
        <v/>
      </c>
      <c r="P1254" s="45" t="str">
        <f t="shared" si="9"/>
        <v/>
      </c>
    </row>
    <row r="1255" spans="1:16" ht="17.25">
      <c r="A1255" s="276" t="s">
        <v>6256</v>
      </c>
      <c r="B1255" s="351">
        <v>42552</v>
      </c>
      <c r="C1255" s="276" t="s">
        <v>6257</v>
      </c>
      <c r="E1255" s="278" t="str">
        <f t="shared" si="18"/>
        <v>https://pubmed.ncbi.nlm.nih.gov/?term=PMC4970641</v>
      </c>
      <c r="F1255" s="28" t="s">
        <v>511</v>
      </c>
      <c r="G1255" s="28" t="s">
        <v>4592</v>
      </c>
      <c r="J1255" s="346">
        <f t="shared" si="19"/>
        <v>1</v>
      </c>
      <c r="K1255" s="28" t="str">
        <f t="shared" si="4"/>
        <v/>
      </c>
      <c r="L1255" s="45" t="str">
        <f t="shared" si="5"/>
        <v/>
      </c>
      <c r="M1255" s="45" t="str">
        <f t="shared" si="6"/>
        <v/>
      </c>
      <c r="N1255" s="45" t="str">
        <f t="shared" si="7"/>
        <v/>
      </c>
      <c r="O1255" s="45" t="str">
        <f t="shared" si="8"/>
        <v/>
      </c>
      <c r="P1255" s="45" t="str">
        <f t="shared" si="9"/>
        <v/>
      </c>
    </row>
    <row r="1256" spans="1:16" ht="17.25">
      <c r="A1256" s="276" t="s">
        <v>6258</v>
      </c>
      <c r="B1256" s="352">
        <v>42125</v>
      </c>
      <c r="C1256" s="276" t="s">
        <v>6259</v>
      </c>
      <c r="E1256" s="278" t="str">
        <f t="shared" si="18"/>
        <v>https://pubmed.ncbi.nlm.nih.gov/?term=PMC4444337</v>
      </c>
      <c r="F1256" s="28" t="s">
        <v>511</v>
      </c>
      <c r="G1256" s="28" t="s">
        <v>6260</v>
      </c>
      <c r="J1256" s="346" t="str">
        <f t="shared" si="19"/>
        <v/>
      </c>
      <c r="K1256" s="28" t="str">
        <f t="shared" si="4"/>
        <v/>
      </c>
      <c r="L1256" s="45">
        <f t="shared" si="5"/>
        <v>1</v>
      </c>
      <c r="M1256" s="45" t="str">
        <f t="shared" si="6"/>
        <v/>
      </c>
      <c r="N1256" s="45" t="str">
        <f t="shared" si="7"/>
        <v/>
      </c>
      <c r="O1256" s="45" t="str">
        <f t="shared" si="8"/>
        <v/>
      </c>
      <c r="P1256" s="45" t="str">
        <f t="shared" si="9"/>
        <v/>
      </c>
    </row>
    <row r="1257" spans="1:16" ht="17.25">
      <c r="A1257" s="276" t="s">
        <v>6261</v>
      </c>
      <c r="B1257" s="351">
        <v>42278</v>
      </c>
      <c r="C1257" s="276" t="s">
        <v>6262</v>
      </c>
      <c r="E1257" s="278" t="str">
        <f t="shared" si="18"/>
        <v>https://pubmed.ncbi.nlm.nih.gov/?term=PMC4598153</v>
      </c>
      <c r="F1257" s="28" t="s">
        <v>511</v>
      </c>
      <c r="G1257" s="28" t="s">
        <v>5188</v>
      </c>
      <c r="J1257" s="346">
        <f t="shared" si="19"/>
        <v>1</v>
      </c>
      <c r="K1257" s="28" t="str">
        <f t="shared" si="4"/>
        <v/>
      </c>
      <c r="L1257" s="45" t="str">
        <f t="shared" si="5"/>
        <v/>
      </c>
      <c r="M1257" s="45" t="str">
        <f t="shared" si="6"/>
        <v/>
      </c>
      <c r="N1257" s="45" t="str">
        <f t="shared" si="7"/>
        <v/>
      </c>
      <c r="O1257" s="45" t="str">
        <f t="shared" si="8"/>
        <v/>
      </c>
      <c r="P1257" s="45" t="str">
        <f t="shared" si="9"/>
        <v/>
      </c>
    </row>
    <row r="1258" spans="1:16" ht="17.25">
      <c r="A1258" s="276" t="s">
        <v>6263</v>
      </c>
      <c r="B1258" s="351">
        <v>43647</v>
      </c>
      <c r="C1258" s="276" t="s">
        <v>6264</v>
      </c>
      <c r="D1258" s="28"/>
      <c r="E1258" s="281" t="s">
        <v>6265</v>
      </c>
      <c r="F1258" s="28" t="s">
        <v>511</v>
      </c>
      <c r="G1258" s="28" t="s">
        <v>6266</v>
      </c>
      <c r="J1258" s="346" t="str">
        <f t="shared" si="19"/>
        <v/>
      </c>
      <c r="K1258" s="28" t="str">
        <f t="shared" si="4"/>
        <v/>
      </c>
      <c r="L1258" s="45" t="str">
        <f t="shared" si="5"/>
        <v/>
      </c>
      <c r="M1258" s="45" t="str">
        <f t="shared" si="6"/>
        <v/>
      </c>
      <c r="N1258" s="45" t="str">
        <f t="shared" si="7"/>
        <v/>
      </c>
      <c r="O1258" s="45">
        <f t="shared" si="8"/>
        <v>1</v>
      </c>
      <c r="P1258" s="45" t="str">
        <f t="shared" si="9"/>
        <v/>
      </c>
    </row>
    <row r="1259" spans="1:16" ht="17.25">
      <c r="A1259" s="276" t="s">
        <v>6267</v>
      </c>
      <c r="B1259" s="352">
        <v>36647</v>
      </c>
      <c r="C1259" s="276" t="s">
        <v>6268</v>
      </c>
      <c r="E1259" s="278" t="str">
        <f t="shared" ref="E1259:E1269" si="20">"https://pubmed.ncbi.nlm.nih.gov/?term="&amp;C1259</f>
        <v>https://pubmed.ncbi.nlm.nih.gov/?term=PMC7134186</v>
      </c>
      <c r="F1259" s="28" t="s">
        <v>511</v>
      </c>
      <c r="G1259" s="28" t="s">
        <v>6203</v>
      </c>
      <c r="J1259" s="346">
        <f t="shared" si="19"/>
        <v>1</v>
      </c>
      <c r="K1259" s="28" t="str">
        <f t="shared" si="4"/>
        <v/>
      </c>
      <c r="L1259" s="45" t="str">
        <f t="shared" si="5"/>
        <v/>
      </c>
      <c r="M1259" s="45" t="str">
        <f t="shared" si="6"/>
        <v/>
      </c>
      <c r="N1259" s="45" t="str">
        <f t="shared" si="7"/>
        <v/>
      </c>
      <c r="O1259" s="45" t="str">
        <f t="shared" si="8"/>
        <v/>
      </c>
      <c r="P1259" s="45" t="str">
        <f t="shared" si="9"/>
        <v/>
      </c>
    </row>
    <row r="1260" spans="1:16" ht="17.25">
      <c r="A1260" s="276" t="s">
        <v>6021</v>
      </c>
      <c r="B1260" s="28">
        <v>2019</v>
      </c>
      <c r="C1260" s="276" t="s">
        <v>6269</v>
      </c>
      <c r="E1260" s="278" t="str">
        <f t="shared" si="20"/>
        <v>https://pubmed.ncbi.nlm.nih.gov/?term=PMC7092343</v>
      </c>
      <c r="F1260" s="28" t="s">
        <v>511</v>
      </c>
      <c r="G1260" s="28" t="s">
        <v>6270</v>
      </c>
      <c r="J1260" s="346">
        <f t="shared" si="19"/>
        <v>1</v>
      </c>
      <c r="K1260" s="28" t="str">
        <f t="shared" si="4"/>
        <v/>
      </c>
      <c r="L1260" s="45" t="str">
        <f t="shared" si="5"/>
        <v/>
      </c>
      <c r="M1260" s="45" t="str">
        <f t="shared" si="6"/>
        <v/>
      </c>
      <c r="N1260" s="45" t="str">
        <f t="shared" si="7"/>
        <v/>
      </c>
      <c r="O1260" s="45" t="str">
        <f t="shared" si="8"/>
        <v/>
      </c>
      <c r="P1260" s="45" t="str">
        <f t="shared" si="9"/>
        <v/>
      </c>
    </row>
    <row r="1261" spans="1:16" ht="17.25">
      <c r="A1261" s="276" t="s">
        <v>6120</v>
      </c>
      <c r="B1261" s="352">
        <v>40664</v>
      </c>
      <c r="C1261" s="276" t="s">
        <v>6271</v>
      </c>
      <c r="E1261" s="278" t="str">
        <f t="shared" si="20"/>
        <v>https://pubmed.ncbi.nlm.nih.gov/?term=PMC3119411</v>
      </c>
      <c r="F1261" s="28" t="s">
        <v>511</v>
      </c>
      <c r="G1261" s="28" t="s">
        <v>4592</v>
      </c>
      <c r="J1261" s="346">
        <f t="shared" si="19"/>
        <v>1</v>
      </c>
      <c r="K1261" s="28" t="str">
        <f t="shared" si="4"/>
        <v/>
      </c>
      <c r="L1261" s="45" t="str">
        <f t="shared" si="5"/>
        <v/>
      </c>
      <c r="M1261" s="45" t="str">
        <f t="shared" si="6"/>
        <v/>
      </c>
      <c r="N1261" s="45" t="str">
        <f t="shared" si="7"/>
        <v/>
      </c>
      <c r="O1261" s="45" t="str">
        <f t="shared" si="8"/>
        <v/>
      </c>
      <c r="P1261" s="45" t="str">
        <f t="shared" si="9"/>
        <v/>
      </c>
    </row>
    <row r="1262" spans="1:16" ht="17.25">
      <c r="A1262" s="276" t="s">
        <v>6272</v>
      </c>
      <c r="B1262" s="28">
        <v>2021</v>
      </c>
      <c r="C1262" s="276" t="s">
        <v>6273</v>
      </c>
      <c r="E1262" s="278" t="str">
        <f t="shared" si="20"/>
        <v>https://pubmed.ncbi.nlm.nih.gov/?term=PMC7944101</v>
      </c>
      <c r="F1262" s="28" t="s">
        <v>511</v>
      </c>
      <c r="G1262" s="28" t="s">
        <v>4592</v>
      </c>
      <c r="J1262" s="346">
        <f t="shared" si="19"/>
        <v>1</v>
      </c>
      <c r="K1262" s="28" t="str">
        <f t="shared" si="4"/>
        <v/>
      </c>
      <c r="L1262" s="45" t="str">
        <f t="shared" si="5"/>
        <v/>
      </c>
      <c r="M1262" s="45" t="str">
        <f t="shared" si="6"/>
        <v/>
      </c>
      <c r="N1262" s="45" t="str">
        <f t="shared" si="7"/>
        <v/>
      </c>
      <c r="O1262" s="45" t="str">
        <f t="shared" si="8"/>
        <v/>
      </c>
      <c r="P1262" s="45" t="str">
        <f t="shared" si="9"/>
        <v/>
      </c>
    </row>
    <row r="1263" spans="1:16" ht="17.25">
      <c r="A1263" s="276" t="s">
        <v>6274</v>
      </c>
      <c r="B1263" s="351">
        <v>42826</v>
      </c>
      <c r="C1263" s="276" t="s">
        <v>6275</v>
      </c>
      <c r="E1263" s="278" t="str">
        <f t="shared" si="20"/>
        <v>https://pubmed.ncbi.nlm.nih.gov/?term=PMC7103713</v>
      </c>
      <c r="F1263" s="28" t="s">
        <v>511</v>
      </c>
      <c r="G1263" s="28" t="s">
        <v>4592</v>
      </c>
      <c r="J1263" s="346">
        <f t="shared" si="19"/>
        <v>1</v>
      </c>
      <c r="K1263" s="28" t="str">
        <f t="shared" si="4"/>
        <v/>
      </c>
      <c r="L1263" s="45" t="str">
        <f t="shared" si="5"/>
        <v/>
      </c>
      <c r="M1263" s="45" t="str">
        <f t="shared" si="6"/>
        <v/>
      </c>
      <c r="N1263" s="45" t="str">
        <f t="shared" si="7"/>
        <v/>
      </c>
      <c r="O1263" s="45" t="str">
        <f t="shared" si="8"/>
        <v/>
      </c>
      <c r="P1263" s="45" t="str">
        <f t="shared" si="9"/>
        <v/>
      </c>
    </row>
    <row r="1264" spans="1:16" ht="17.25">
      <c r="A1264" s="276" t="s">
        <v>6276</v>
      </c>
      <c r="B1264" s="351">
        <v>39539</v>
      </c>
      <c r="C1264" s="276" t="s">
        <v>6277</v>
      </c>
      <c r="E1264" s="278" t="str">
        <f t="shared" si="20"/>
        <v>https://pubmed.ncbi.nlm.nih.gov/?term=PMC2292575</v>
      </c>
      <c r="F1264" s="28" t="s">
        <v>511</v>
      </c>
      <c r="G1264" s="28" t="s">
        <v>4592</v>
      </c>
      <c r="J1264" s="346">
        <f t="shared" si="19"/>
        <v>1</v>
      </c>
      <c r="K1264" s="28" t="str">
        <f t="shared" si="4"/>
        <v/>
      </c>
      <c r="L1264" s="45" t="str">
        <f t="shared" si="5"/>
        <v/>
      </c>
      <c r="M1264" s="45" t="str">
        <f t="shared" si="6"/>
        <v/>
      </c>
      <c r="N1264" s="45" t="str">
        <f t="shared" si="7"/>
        <v/>
      </c>
      <c r="O1264" s="45" t="str">
        <f t="shared" si="8"/>
        <v/>
      </c>
      <c r="P1264" s="45" t="str">
        <f t="shared" si="9"/>
        <v/>
      </c>
    </row>
    <row r="1265" spans="1:16" ht="17.25">
      <c r="A1265" s="276" t="s">
        <v>6278</v>
      </c>
      <c r="B1265" s="351">
        <v>43252</v>
      </c>
      <c r="C1265" s="276" t="s">
        <v>6279</v>
      </c>
      <c r="E1265" s="278" t="str">
        <f t="shared" si="20"/>
        <v>https://pubmed.ncbi.nlm.nih.gov/?term=PMC6013505</v>
      </c>
      <c r="F1265" s="28" t="s">
        <v>511</v>
      </c>
      <c r="G1265" s="28" t="s">
        <v>4592</v>
      </c>
      <c r="J1265" s="346">
        <f t="shared" si="19"/>
        <v>1</v>
      </c>
      <c r="K1265" s="28" t="str">
        <f t="shared" si="4"/>
        <v/>
      </c>
      <c r="L1265" s="45" t="str">
        <f t="shared" si="5"/>
        <v/>
      </c>
      <c r="M1265" s="45" t="str">
        <f t="shared" si="6"/>
        <v/>
      </c>
      <c r="N1265" s="45" t="str">
        <f t="shared" si="7"/>
        <v/>
      </c>
      <c r="O1265" s="45" t="str">
        <f t="shared" si="8"/>
        <v/>
      </c>
      <c r="P1265" s="45" t="str">
        <f t="shared" si="9"/>
        <v/>
      </c>
    </row>
    <row r="1266" spans="1:16" ht="17.25">
      <c r="A1266" s="276" t="s">
        <v>6280</v>
      </c>
      <c r="B1266" s="351">
        <v>40544</v>
      </c>
      <c r="C1266" s="276" t="s">
        <v>6281</v>
      </c>
      <c r="E1266" s="278" t="str">
        <f t="shared" si="20"/>
        <v>https://pubmed.ncbi.nlm.nih.gov/?term=PMC7168442</v>
      </c>
      <c r="F1266" s="28" t="s">
        <v>511</v>
      </c>
      <c r="G1266" s="28" t="s">
        <v>4592</v>
      </c>
      <c r="J1266" s="346">
        <f t="shared" si="19"/>
        <v>1</v>
      </c>
      <c r="K1266" s="28" t="str">
        <f t="shared" si="4"/>
        <v/>
      </c>
      <c r="L1266" s="45" t="str">
        <f t="shared" si="5"/>
        <v/>
      </c>
      <c r="M1266" s="45" t="str">
        <f t="shared" si="6"/>
        <v/>
      </c>
      <c r="N1266" s="45" t="str">
        <f t="shared" si="7"/>
        <v/>
      </c>
      <c r="O1266" s="45" t="str">
        <f t="shared" si="8"/>
        <v/>
      </c>
      <c r="P1266" s="45" t="str">
        <f t="shared" si="9"/>
        <v/>
      </c>
    </row>
    <row r="1267" spans="1:16" ht="17.25">
      <c r="A1267" s="276" t="s">
        <v>6282</v>
      </c>
      <c r="B1267" s="351">
        <v>42705</v>
      </c>
      <c r="C1267" s="276" t="s">
        <v>6283</v>
      </c>
      <c r="E1267" s="278" t="str">
        <f t="shared" si="20"/>
        <v>https://pubmed.ncbi.nlm.nih.gov/?term=PMC5145136</v>
      </c>
      <c r="F1267" s="28" t="s">
        <v>511</v>
      </c>
      <c r="G1267" s="28" t="s">
        <v>4867</v>
      </c>
      <c r="J1267" s="346" t="str">
        <f t="shared" si="19"/>
        <v/>
      </c>
      <c r="K1267" s="28" t="str">
        <f t="shared" si="4"/>
        <v/>
      </c>
      <c r="L1267" s="45" t="str">
        <f t="shared" si="5"/>
        <v/>
      </c>
      <c r="M1267" s="45" t="str">
        <f t="shared" si="6"/>
        <v/>
      </c>
      <c r="N1267" s="45">
        <f t="shared" si="7"/>
        <v>1</v>
      </c>
      <c r="O1267" s="45" t="str">
        <f t="shared" si="8"/>
        <v/>
      </c>
      <c r="P1267" s="45" t="str">
        <f t="shared" si="9"/>
        <v/>
      </c>
    </row>
    <row r="1268" spans="1:16" ht="17.25">
      <c r="A1268" s="276" t="s">
        <v>6284</v>
      </c>
      <c r="B1268" s="351">
        <v>43009</v>
      </c>
      <c r="C1268" s="276" t="s">
        <v>4098</v>
      </c>
      <c r="E1268" s="278" t="str">
        <f t="shared" si="20"/>
        <v>https://pubmed.ncbi.nlm.nih.gov/?term=PMC5531165</v>
      </c>
      <c r="H1268" s="28" t="s">
        <v>511</v>
      </c>
      <c r="J1268" s="346" t="str">
        <f t="shared" si="19"/>
        <v/>
      </c>
      <c r="K1268" s="28" t="str">
        <f t="shared" si="4"/>
        <v/>
      </c>
      <c r="L1268" s="45" t="str">
        <f t="shared" si="5"/>
        <v/>
      </c>
      <c r="M1268" s="45" t="str">
        <f t="shared" si="6"/>
        <v/>
      </c>
      <c r="N1268" s="45" t="str">
        <f t="shared" si="7"/>
        <v/>
      </c>
      <c r="O1268" s="45" t="str">
        <f t="shared" si="8"/>
        <v/>
      </c>
      <c r="P1268" s="45" t="str">
        <f t="shared" si="9"/>
        <v/>
      </c>
    </row>
    <row r="1269" spans="1:16" ht="17.25">
      <c r="A1269" s="276" t="s">
        <v>6285</v>
      </c>
      <c r="B1269" s="28">
        <v>2012</v>
      </c>
      <c r="C1269" s="276" t="s">
        <v>6286</v>
      </c>
      <c r="E1269" s="278" t="str">
        <f t="shared" si="20"/>
        <v>https://pubmed.ncbi.nlm.nih.gov/?term=PMC3395692</v>
      </c>
      <c r="F1269" s="28" t="s">
        <v>511</v>
      </c>
      <c r="G1269" s="28" t="s">
        <v>6210</v>
      </c>
      <c r="J1269" s="346">
        <f t="shared" si="19"/>
        <v>1</v>
      </c>
      <c r="K1269" s="28" t="str">
        <f t="shared" si="4"/>
        <v/>
      </c>
      <c r="L1269" s="45" t="str">
        <f t="shared" si="5"/>
        <v/>
      </c>
      <c r="M1269" s="45" t="str">
        <f t="shared" si="6"/>
        <v/>
      </c>
      <c r="N1269" s="45" t="str">
        <f t="shared" si="7"/>
        <v/>
      </c>
      <c r="O1269" s="45" t="str">
        <f t="shared" si="8"/>
        <v/>
      </c>
      <c r="P1269" s="45" t="str">
        <f t="shared" si="9"/>
        <v/>
      </c>
    </row>
    <row r="1270" spans="1:16" ht="17.25">
      <c r="A1270" s="276" t="s">
        <v>6287</v>
      </c>
      <c r="B1270" s="351">
        <v>44348</v>
      </c>
      <c r="C1270" s="276" t="s">
        <v>6288</v>
      </c>
      <c r="D1270" s="28"/>
      <c r="E1270" s="281" t="s">
        <v>6289</v>
      </c>
      <c r="F1270" s="28" t="s">
        <v>511</v>
      </c>
      <c r="G1270" s="28" t="s">
        <v>4592</v>
      </c>
      <c r="J1270" s="346">
        <f t="shared" si="19"/>
        <v>1</v>
      </c>
      <c r="K1270" s="28" t="str">
        <f t="shared" si="4"/>
        <v/>
      </c>
      <c r="L1270" s="45" t="str">
        <f t="shared" si="5"/>
        <v/>
      </c>
      <c r="M1270" s="45" t="str">
        <f t="shared" si="6"/>
        <v/>
      </c>
      <c r="N1270" s="45" t="str">
        <f t="shared" si="7"/>
        <v/>
      </c>
      <c r="O1270" s="45" t="str">
        <f t="shared" si="8"/>
        <v/>
      </c>
      <c r="P1270" s="45" t="str">
        <f t="shared" si="9"/>
        <v/>
      </c>
    </row>
    <row r="1271" spans="1:16" ht="17.25">
      <c r="A1271" s="276" t="s">
        <v>6290</v>
      </c>
      <c r="B1271" s="351">
        <v>43983</v>
      </c>
      <c r="C1271" s="276" t="s">
        <v>6291</v>
      </c>
      <c r="E1271" s="278" t="str">
        <f t="shared" ref="E1271:E1294" si="21">"https://pubmed.ncbi.nlm.nih.gov/?term="&amp;C1271</f>
        <v>https://pubmed.ncbi.nlm.nih.gov/?term=PMC7318030</v>
      </c>
      <c r="F1271" s="28" t="s">
        <v>511</v>
      </c>
      <c r="G1271" s="28" t="s">
        <v>4744</v>
      </c>
      <c r="J1271" s="346" t="str">
        <f t="shared" si="19"/>
        <v/>
      </c>
      <c r="K1271" s="28" t="str">
        <f t="shared" si="4"/>
        <v/>
      </c>
      <c r="L1271" s="45" t="str">
        <f t="shared" si="5"/>
        <v/>
      </c>
      <c r="M1271" s="45" t="str">
        <f t="shared" si="6"/>
        <v/>
      </c>
      <c r="N1271" s="45">
        <f t="shared" si="7"/>
        <v>1</v>
      </c>
      <c r="O1271" s="45" t="str">
        <f t="shared" si="8"/>
        <v/>
      </c>
      <c r="P1271" s="45" t="str">
        <f t="shared" si="9"/>
        <v/>
      </c>
    </row>
    <row r="1272" spans="1:16" ht="17.25">
      <c r="A1272" s="276" t="s">
        <v>6292</v>
      </c>
      <c r="B1272" s="351">
        <v>44166</v>
      </c>
      <c r="C1272" s="276" t="s">
        <v>6293</v>
      </c>
      <c r="E1272" s="278" t="str">
        <f t="shared" si="21"/>
        <v>https://pubmed.ncbi.nlm.nih.gov/?term=PMC7744997</v>
      </c>
      <c r="F1272" s="28" t="s">
        <v>511</v>
      </c>
      <c r="G1272" s="28" t="s">
        <v>4744</v>
      </c>
      <c r="J1272" s="346" t="str">
        <f t="shared" si="19"/>
        <v/>
      </c>
      <c r="K1272" s="28" t="str">
        <f t="shared" si="4"/>
        <v/>
      </c>
      <c r="L1272" s="45" t="str">
        <f t="shared" si="5"/>
        <v/>
      </c>
      <c r="M1272" s="45" t="str">
        <f t="shared" si="6"/>
        <v/>
      </c>
      <c r="N1272" s="45">
        <f t="shared" si="7"/>
        <v>1</v>
      </c>
      <c r="O1272" s="45" t="str">
        <f t="shared" si="8"/>
        <v/>
      </c>
      <c r="P1272" s="45" t="str">
        <f t="shared" si="9"/>
        <v/>
      </c>
    </row>
    <row r="1273" spans="1:16" ht="17.25">
      <c r="A1273" s="276" t="s">
        <v>6294</v>
      </c>
      <c r="B1273" s="351">
        <v>43525</v>
      </c>
      <c r="C1273" s="276" t="s">
        <v>6295</v>
      </c>
      <c r="E1273" s="278" t="str">
        <f t="shared" si="21"/>
        <v>https://pubmed.ncbi.nlm.nih.gov/?term=PMC6411314</v>
      </c>
      <c r="F1273" s="28" t="s">
        <v>511</v>
      </c>
      <c r="G1273" s="28" t="s">
        <v>4592</v>
      </c>
      <c r="J1273" s="346">
        <f t="shared" si="19"/>
        <v>1</v>
      </c>
      <c r="K1273" s="28" t="str">
        <f t="shared" si="4"/>
        <v/>
      </c>
      <c r="L1273" s="45" t="str">
        <f t="shared" si="5"/>
        <v/>
      </c>
      <c r="M1273" s="45" t="str">
        <f t="shared" si="6"/>
        <v/>
      </c>
      <c r="N1273" s="45" t="str">
        <f t="shared" si="7"/>
        <v/>
      </c>
      <c r="O1273" s="45" t="str">
        <f t="shared" si="8"/>
        <v/>
      </c>
      <c r="P1273" s="45" t="str">
        <f t="shared" si="9"/>
        <v/>
      </c>
    </row>
    <row r="1274" spans="1:16" ht="17.25">
      <c r="A1274" s="276" t="s">
        <v>6296</v>
      </c>
      <c r="B1274" s="351">
        <v>41579</v>
      </c>
      <c r="C1274" s="276" t="s">
        <v>6297</v>
      </c>
      <c r="E1274" s="278" t="str">
        <f t="shared" si="21"/>
        <v>https://pubmed.ncbi.nlm.nih.gov/?term=PMC6499332</v>
      </c>
      <c r="F1274" s="28" t="s">
        <v>511</v>
      </c>
      <c r="G1274" s="28" t="s">
        <v>6203</v>
      </c>
      <c r="J1274" s="346">
        <f t="shared" si="19"/>
        <v>1</v>
      </c>
      <c r="K1274" s="28" t="str">
        <f t="shared" si="4"/>
        <v/>
      </c>
      <c r="L1274" s="45" t="str">
        <f t="shared" si="5"/>
        <v/>
      </c>
      <c r="M1274" s="45" t="str">
        <f t="shared" si="6"/>
        <v/>
      </c>
      <c r="N1274" s="45" t="str">
        <f t="shared" si="7"/>
        <v/>
      </c>
      <c r="O1274" s="45" t="str">
        <f t="shared" si="8"/>
        <v/>
      </c>
      <c r="P1274" s="45" t="str">
        <f t="shared" si="9"/>
        <v/>
      </c>
    </row>
    <row r="1275" spans="1:16" ht="17.25">
      <c r="A1275" s="276" t="s">
        <v>6298</v>
      </c>
      <c r="B1275" s="351">
        <v>42430</v>
      </c>
      <c r="C1275" s="276" t="s">
        <v>4197</v>
      </c>
      <c r="E1275" s="278" t="str">
        <f t="shared" si="21"/>
        <v>https://pubmed.ncbi.nlm.nih.gov/?term=PMC4750592</v>
      </c>
      <c r="H1275" s="28" t="s">
        <v>511</v>
      </c>
      <c r="J1275" s="346" t="str">
        <f t="shared" si="19"/>
        <v/>
      </c>
      <c r="K1275" s="28" t="str">
        <f t="shared" si="4"/>
        <v/>
      </c>
      <c r="L1275" s="45" t="str">
        <f t="shared" si="5"/>
        <v/>
      </c>
      <c r="M1275" s="45" t="str">
        <f t="shared" si="6"/>
        <v/>
      </c>
      <c r="N1275" s="45" t="str">
        <f t="shared" si="7"/>
        <v/>
      </c>
      <c r="O1275" s="45" t="str">
        <f t="shared" si="8"/>
        <v/>
      </c>
      <c r="P1275" s="45" t="str">
        <f t="shared" si="9"/>
        <v/>
      </c>
    </row>
    <row r="1276" spans="1:16" ht="17.25">
      <c r="A1276" s="276" t="s">
        <v>6299</v>
      </c>
      <c r="B1276" s="351">
        <v>43009</v>
      </c>
      <c r="C1276" s="276" t="s">
        <v>4191</v>
      </c>
      <c r="E1276" s="278" t="str">
        <f t="shared" si="21"/>
        <v>https://pubmed.ncbi.nlm.nih.gov/?term=PMC5655070</v>
      </c>
      <c r="H1276" s="28" t="s">
        <v>511</v>
      </c>
      <c r="J1276" s="346" t="str">
        <f t="shared" si="19"/>
        <v/>
      </c>
      <c r="K1276" s="28" t="str">
        <f t="shared" si="4"/>
        <v/>
      </c>
      <c r="L1276" s="45" t="str">
        <f t="shared" si="5"/>
        <v/>
      </c>
      <c r="M1276" s="45" t="str">
        <f t="shared" si="6"/>
        <v/>
      </c>
      <c r="N1276" s="45" t="str">
        <f t="shared" si="7"/>
        <v/>
      </c>
      <c r="O1276" s="45" t="str">
        <f t="shared" si="8"/>
        <v/>
      </c>
      <c r="P1276" s="45" t="str">
        <f t="shared" si="9"/>
        <v/>
      </c>
    </row>
    <row r="1277" spans="1:16" ht="17.25">
      <c r="A1277" s="276" t="s">
        <v>6300</v>
      </c>
      <c r="B1277" s="351">
        <v>44044</v>
      </c>
      <c r="C1277" s="276" t="s">
        <v>4253</v>
      </c>
      <c r="E1277" s="278" t="str">
        <f t="shared" si="21"/>
        <v>https://pubmed.ncbi.nlm.nih.gov/?term=PMC7444516</v>
      </c>
      <c r="H1277" s="28" t="s">
        <v>511</v>
      </c>
      <c r="J1277" s="346" t="str">
        <f t="shared" si="19"/>
        <v/>
      </c>
      <c r="K1277" s="28" t="str">
        <f t="shared" si="4"/>
        <v/>
      </c>
      <c r="L1277" s="45" t="str">
        <f t="shared" si="5"/>
        <v/>
      </c>
      <c r="M1277" s="45" t="str">
        <f t="shared" si="6"/>
        <v/>
      </c>
      <c r="N1277" s="45" t="str">
        <f t="shared" si="7"/>
        <v/>
      </c>
      <c r="O1277" s="45" t="str">
        <f t="shared" si="8"/>
        <v/>
      </c>
      <c r="P1277" s="45" t="str">
        <f t="shared" si="9"/>
        <v/>
      </c>
    </row>
    <row r="1278" spans="1:16" ht="17.25">
      <c r="A1278" s="276" t="s">
        <v>6301</v>
      </c>
      <c r="B1278" s="351">
        <v>43282</v>
      </c>
      <c r="C1278" s="276" t="s">
        <v>6302</v>
      </c>
      <c r="E1278" s="278" t="str">
        <f t="shared" si="21"/>
        <v>https://pubmed.ncbi.nlm.nih.gov/?term=PMC6129172</v>
      </c>
      <c r="F1278" s="28" t="s">
        <v>511</v>
      </c>
      <c r="G1278" s="28" t="s">
        <v>4592</v>
      </c>
      <c r="J1278" s="346">
        <f t="shared" si="19"/>
        <v>1</v>
      </c>
      <c r="K1278" s="28" t="str">
        <f t="shared" si="4"/>
        <v/>
      </c>
      <c r="L1278" s="45" t="str">
        <f t="shared" si="5"/>
        <v/>
      </c>
      <c r="M1278" s="45" t="str">
        <f t="shared" si="6"/>
        <v/>
      </c>
      <c r="N1278" s="45" t="str">
        <f t="shared" si="7"/>
        <v/>
      </c>
      <c r="O1278" s="45" t="str">
        <f t="shared" si="8"/>
        <v/>
      </c>
      <c r="P1278" s="45" t="str">
        <f t="shared" si="9"/>
        <v/>
      </c>
    </row>
    <row r="1279" spans="1:16" ht="17.25">
      <c r="A1279" s="276" t="s">
        <v>6303</v>
      </c>
      <c r="B1279" s="351">
        <v>41275</v>
      </c>
      <c r="C1279" s="276" t="s">
        <v>6304</v>
      </c>
      <c r="E1279" s="278" t="str">
        <f t="shared" si="21"/>
        <v>https://pubmed.ncbi.nlm.nih.gov/?term=PMC3525835</v>
      </c>
      <c r="F1279" s="28" t="s">
        <v>511</v>
      </c>
      <c r="G1279" s="28" t="s">
        <v>6305</v>
      </c>
      <c r="J1279" s="346" t="str">
        <f t="shared" si="19"/>
        <v/>
      </c>
      <c r="K1279" s="28" t="str">
        <f t="shared" si="4"/>
        <v/>
      </c>
      <c r="L1279" s="45" t="str">
        <f t="shared" si="5"/>
        <v/>
      </c>
      <c r="M1279" s="45" t="str">
        <f t="shared" si="6"/>
        <v/>
      </c>
      <c r="N1279" s="45" t="str">
        <f t="shared" si="7"/>
        <v/>
      </c>
      <c r="O1279" s="45">
        <f t="shared" si="8"/>
        <v>1</v>
      </c>
      <c r="P1279" s="45" t="str">
        <f t="shared" si="9"/>
        <v/>
      </c>
    </row>
    <row r="1280" spans="1:16" ht="17.25">
      <c r="A1280" s="276" t="s">
        <v>6306</v>
      </c>
      <c r="B1280" s="351">
        <v>38261</v>
      </c>
      <c r="C1280" s="276" t="s">
        <v>6307</v>
      </c>
      <c r="E1280" s="278" t="str">
        <f t="shared" si="21"/>
        <v>https://pubmed.ncbi.nlm.nih.gov/?term=PMC516399</v>
      </c>
      <c r="F1280" s="28" t="s">
        <v>511</v>
      </c>
      <c r="G1280" s="28" t="s">
        <v>4592</v>
      </c>
      <c r="J1280" s="346">
        <f t="shared" si="19"/>
        <v>1</v>
      </c>
      <c r="K1280" s="28" t="str">
        <f t="shared" si="4"/>
        <v/>
      </c>
      <c r="L1280" s="45" t="str">
        <f t="shared" si="5"/>
        <v/>
      </c>
      <c r="M1280" s="45" t="str">
        <f t="shared" si="6"/>
        <v/>
      </c>
      <c r="N1280" s="45" t="str">
        <f t="shared" si="7"/>
        <v/>
      </c>
      <c r="O1280" s="45" t="str">
        <f t="shared" si="8"/>
        <v/>
      </c>
      <c r="P1280" s="45" t="str">
        <f t="shared" si="9"/>
        <v/>
      </c>
    </row>
    <row r="1281" spans="1:16" ht="17.25">
      <c r="A1281" s="276" t="s">
        <v>6308</v>
      </c>
      <c r="B1281" s="351">
        <v>40756</v>
      </c>
      <c r="C1281" s="276" t="s">
        <v>6309</v>
      </c>
      <c r="E1281" s="278" t="str">
        <f t="shared" si="21"/>
        <v>https://pubmed.ncbi.nlm.nih.gov/?term=PMC3147477</v>
      </c>
      <c r="F1281" s="28" t="s">
        <v>511</v>
      </c>
      <c r="G1281" s="28" t="s">
        <v>6310</v>
      </c>
      <c r="J1281" s="346" t="str">
        <f t="shared" si="19"/>
        <v/>
      </c>
      <c r="K1281" s="28" t="str">
        <f t="shared" si="4"/>
        <v/>
      </c>
      <c r="L1281" s="45">
        <f t="shared" si="5"/>
        <v>1</v>
      </c>
      <c r="M1281" s="45" t="str">
        <f t="shared" si="6"/>
        <v/>
      </c>
      <c r="N1281" s="45" t="str">
        <f t="shared" si="7"/>
        <v/>
      </c>
      <c r="O1281" s="45" t="str">
        <f t="shared" si="8"/>
        <v/>
      </c>
      <c r="P1281" s="45" t="str">
        <f t="shared" si="9"/>
        <v/>
      </c>
    </row>
    <row r="1282" spans="1:16" ht="17.25">
      <c r="A1282" s="276" t="s">
        <v>6311</v>
      </c>
      <c r="B1282" s="351">
        <v>42795</v>
      </c>
      <c r="C1282" s="276" t="s">
        <v>6312</v>
      </c>
      <c r="E1282" s="278" t="str">
        <f t="shared" si="21"/>
        <v>https://pubmed.ncbi.nlm.nih.gov/?term=PMC7131036</v>
      </c>
      <c r="F1282" s="28" t="s">
        <v>511</v>
      </c>
      <c r="G1282" s="28" t="s">
        <v>4592</v>
      </c>
      <c r="J1282" s="346">
        <f t="shared" si="19"/>
        <v>1</v>
      </c>
      <c r="K1282" s="28" t="str">
        <f t="shared" si="4"/>
        <v/>
      </c>
      <c r="L1282" s="45" t="str">
        <f t="shared" si="5"/>
        <v/>
      </c>
      <c r="M1282" s="45" t="str">
        <f t="shared" si="6"/>
        <v/>
      </c>
      <c r="N1282" s="45" t="str">
        <f t="shared" si="7"/>
        <v/>
      </c>
      <c r="O1282" s="45" t="str">
        <f t="shared" si="8"/>
        <v/>
      </c>
      <c r="P1282" s="45" t="str">
        <f t="shared" si="9"/>
        <v/>
      </c>
    </row>
    <row r="1283" spans="1:16" ht="17.25">
      <c r="A1283" s="276" t="s">
        <v>6313</v>
      </c>
      <c r="B1283" s="351">
        <v>42705</v>
      </c>
      <c r="C1283" s="276" t="s">
        <v>6314</v>
      </c>
      <c r="E1283" s="278" t="str">
        <f t="shared" si="21"/>
        <v>https://pubmed.ncbi.nlm.nih.gov/?term=PMC5147802</v>
      </c>
      <c r="F1283" s="28" t="s">
        <v>511</v>
      </c>
      <c r="G1283" s="28" t="s">
        <v>4744</v>
      </c>
      <c r="J1283" s="346" t="str">
        <f t="shared" si="19"/>
        <v/>
      </c>
      <c r="K1283" s="28" t="str">
        <f t="shared" si="4"/>
        <v/>
      </c>
      <c r="L1283" s="45" t="str">
        <f t="shared" si="5"/>
        <v/>
      </c>
      <c r="M1283" s="45" t="str">
        <f t="shared" si="6"/>
        <v/>
      </c>
      <c r="N1283" s="45">
        <f t="shared" si="7"/>
        <v>1</v>
      </c>
      <c r="O1283" s="45" t="str">
        <f t="shared" si="8"/>
        <v/>
      </c>
      <c r="P1283" s="45" t="str">
        <f t="shared" si="9"/>
        <v/>
      </c>
    </row>
    <row r="1284" spans="1:16" ht="17.25">
      <c r="A1284" s="276" t="s">
        <v>6315</v>
      </c>
      <c r="B1284" s="351">
        <v>43374</v>
      </c>
      <c r="C1284" s="276" t="s">
        <v>6316</v>
      </c>
      <c r="E1284" s="278" t="str">
        <f t="shared" si="21"/>
        <v>https://pubmed.ncbi.nlm.nih.gov/?term=PMC6186863</v>
      </c>
      <c r="F1284" s="28" t="s">
        <v>511</v>
      </c>
      <c r="G1284" s="28" t="s">
        <v>4744</v>
      </c>
      <c r="J1284" s="346" t="str">
        <f t="shared" si="19"/>
        <v/>
      </c>
      <c r="K1284" s="28" t="str">
        <f t="shared" si="4"/>
        <v/>
      </c>
      <c r="L1284" s="45" t="str">
        <f t="shared" si="5"/>
        <v/>
      </c>
      <c r="M1284" s="45" t="str">
        <f t="shared" si="6"/>
        <v/>
      </c>
      <c r="N1284" s="45">
        <f t="shared" si="7"/>
        <v>1</v>
      </c>
      <c r="O1284" s="45" t="str">
        <f t="shared" si="8"/>
        <v/>
      </c>
      <c r="P1284" s="45" t="str">
        <f t="shared" si="9"/>
        <v/>
      </c>
    </row>
    <row r="1285" spans="1:16" ht="17.25">
      <c r="A1285" s="276" t="s">
        <v>6317</v>
      </c>
      <c r="B1285" s="351">
        <v>37438</v>
      </c>
      <c r="C1285" s="276" t="s">
        <v>6318</v>
      </c>
      <c r="E1285" s="278" t="str">
        <f t="shared" si="21"/>
        <v>https://pubmed.ncbi.nlm.nih.gov/?term=PMC1422543</v>
      </c>
      <c r="F1285" s="28" t="s">
        <v>511</v>
      </c>
      <c r="G1285" s="28" t="s">
        <v>4592</v>
      </c>
      <c r="J1285" s="346">
        <f t="shared" si="19"/>
        <v>1</v>
      </c>
      <c r="K1285" s="28" t="str">
        <f t="shared" si="4"/>
        <v/>
      </c>
      <c r="L1285" s="45" t="str">
        <f t="shared" si="5"/>
        <v/>
      </c>
      <c r="M1285" s="45" t="str">
        <f t="shared" si="6"/>
        <v/>
      </c>
      <c r="N1285" s="45" t="str">
        <f t="shared" si="7"/>
        <v/>
      </c>
      <c r="O1285" s="45" t="str">
        <f t="shared" si="8"/>
        <v/>
      </c>
      <c r="P1285" s="45" t="str">
        <f t="shared" si="9"/>
        <v/>
      </c>
    </row>
    <row r="1286" spans="1:16" ht="17.25">
      <c r="A1286" s="276" t="s">
        <v>6319</v>
      </c>
      <c r="B1286" s="351">
        <v>43800</v>
      </c>
      <c r="C1286" s="276" t="s">
        <v>6320</v>
      </c>
      <c r="E1286" s="278" t="str">
        <f t="shared" si="21"/>
        <v>https://pubmed.ncbi.nlm.nih.gov/?term=PMC6910941</v>
      </c>
      <c r="F1286" s="28" t="s">
        <v>511</v>
      </c>
      <c r="G1286" s="28" t="s">
        <v>4592</v>
      </c>
      <c r="J1286" s="346">
        <f t="shared" si="19"/>
        <v>1</v>
      </c>
      <c r="K1286" s="28" t="str">
        <f t="shared" si="4"/>
        <v/>
      </c>
      <c r="L1286" s="45" t="str">
        <f t="shared" si="5"/>
        <v/>
      </c>
      <c r="M1286" s="45" t="str">
        <f t="shared" si="6"/>
        <v/>
      </c>
      <c r="N1286" s="45" t="str">
        <f t="shared" si="7"/>
        <v/>
      </c>
      <c r="O1286" s="45" t="str">
        <f t="shared" si="8"/>
        <v/>
      </c>
      <c r="P1286" s="45" t="str">
        <f t="shared" si="9"/>
        <v/>
      </c>
    </row>
    <row r="1287" spans="1:16" ht="17.25">
      <c r="A1287" s="276" t="s">
        <v>6321</v>
      </c>
      <c r="B1287" s="351">
        <v>43040</v>
      </c>
      <c r="C1287" s="276" t="s">
        <v>4238</v>
      </c>
      <c r="E1287" s="278" t="str">
        <f t="shared" si="21"/>
        <v>https://pubmed.ncbi.nlm.nih.gov/?term=PMC5681833</v>
      </c>
      <c r="H1287" s="28" t="s">
        <v>511</v>
      </c>
      <c r="J1287" s="346" t="str">
        <f t="shared" si="19"/>
        <v/>
      </c>
      <c r="K1287" s="28" t="str">
        <f t="shared" si="4"/>
        <v/>
      </c>
      <c r="L1287" s="45" t="str">
        <f t="shared" si="5"/>
        <v/>
      </c>
      <c r="M1287" s="45" t="str">
        <f t="shared" si="6"/>
        <v/>
      </c>
      <c r="N1287" s="45" t="str">
        <f t="shared" si="7"/>
        <v/>
      </c>
      <c r="O1287" s="45" t="str">
        <f t="shared" si="8"/>
        <v/>
      </c>
      <c r="P1287" s="45" t="str">
        <f t="shared" si="9"/>
        <v/>
      </c>
    </row>
    <row r="1288" spans="1:16" ht="17.25">
      <c r="A1288" s="276" t="s">
        <v>6322</v>
      </c>
      <c r="B1288" s="351">
        <v>42736</v>
      </c>
      <c r="C1288" s="276" t="s">
        <v>6323</v>
      </c>
      <c r="E1288" s="278" t="str">
        <f t="shared" si="21"/>
        <v>https://pubmed.ncbi.nlm.nih.gov/?term=PMC5278730</v>
      </c>
      <c r="F1288" s="28" t="s">
        <v>511</v>
      </c>
      <c r="G1288" s="28" t="s">
        <v>4744</v>
      </c>
      <c r="J1288" s="346" t="str">
        <f t="shared" si="19"/>
        <v/>
      </c>
      <c r="K1288" s="28" t="str">
        <f t="shared" si="4"/>
        <v/>
      </c>
      <c r="L1288" s="45" t="str">
        <f t="shared" si="5"/>
        <v/>
      </c>
      <c r="M1288" s="45" t="str">
        <f t="shared" si="6"/>
        <v/>
      </c>
      <c r="N1288" s="45">
        <f t="shared" si="7"/>
        <v>1</v>
      </c>
      <c r="O1288" s="45" t="str">
        <f t="shared" si="8"/>
        <v/>
      </c>
      <c r="P1288" s="45" t="str">
        <f t="shared" si="9"/>
        <v/>
      </c>
    </row>
    <row r="1289" spans="1:16" ht="17.25">
      <c r="A1289" s="276" t="s">
        <v>6324</v>
      </c>
      <c r="B1289" s="351">
        <v>43101</v>
      </c>
      <c r="C1289" s="276" t="s">
        <v>6325</v>
      </c>
      <c r="E1289" s="278" t="str">
        <f t="shared" si="21"/>
        <v>https://pubmed.ncbi.nlm.nih.gov/?term=PMC6243017</v>
      </c>
      <c r="F1289" s="28" t="s">
        <v>511</v>
      </c>
      <c r="G1289" s="28" t="s">
        <v>6210</v>
      </c>
      <c r="J1289" s="346">
        <f t="shared" si="19"/>
        <v>1</v>
      </c>
      <c r="K1289" s="28" t="str">
        <f t="shared" si="4"/>
        <v/>
      </c>
      <c r="L1289" s="45" t="str">
        <f t="shared" si="5"/>
        <v/>
      </c>
      <c r="M1289" s="45" t="str">
        <f t="shared" si="6"/>
        <v/>
      </c>
      <c r="N1289" s="45" t="str">
        <f t="shared" si="7"/>
        <v/>
      </c>
      <c r="O1289" s="45" t="str">
        <f t="shared" si="8"/>
        <v/>
      </c>
      <c r="P1289" s="45" t="str">
        <f t="shared" si="9"/>
        <v/>
      </c>
    </row>
    <row r="1290" spans="1:16" ht="17.25">
      <c r="A1290" s="276" t="s">
        <v>6246</v>
      </c>
      <c r="B1290" s="351">
        <v>39783</v>
      </c>
      <c r="C1290" s="276" t="s">
        <v>6326</v>
      </c>
      <c r="E1290" s="278" t="str">
        <f t="shared" si="21"/>
        <v>https://pubmed.ncbi.nlm.nih.gov/?term=PMC2632633</v>
      </c>
      <c r="F1290" s="28" t="s">
        <v>511</v>
      </c>
      <c r="G1290" s="28" t="s">
        <v>4592</v>
      </c>
      <c r="J1290" s="346">
        <f t="shared" si="19"/>
        <v>1</v>
      </c>
      <c r="K1290" s="28" t="str">
        <f t="shared" si="4"/>
        <v/>
      </c>
      <c r="L1290" s="45" t="str">
        <f t="shared" si="5"/>
        <v/>
      </c>
      <c r="M1290" s="45" t="str">
        <f t="shared" si="6"/>
        <v/>
      </c>
      <c r="N1290" s="45" t="str">
        <f t="shared" si="7"/>
        <v/>
      </c>
      <c r="O1290" s="45" t="str">
        <f t="shared" si="8"/>
        <v/>
      </c>
      <c r="P1290" s="45" t="str">
        <f t="shared" si="9"/>
        <v/>
      </c>
    </row>
    <row r="1291" spans="1:16" ht="17.25">
      <c r="A1291" s="276" t="s">
        <v>6327</v>
      </c>
      <c r="B1291" s="351">
        <v>41091</v>
      </c>
      <c r="C1291" s="276" t="s">
        <v>4172</v>
      </c>
      <c r="E1291" s="278" t="str">
        <f t="shared" si="21"/>
        <v>https://pubmed.ncbi.nlm.nih.gov/?term=PMC3778896</v>
      </c>
      <c r="H1291" s="28" t="s">
        <v>511</v>
      </c>
      <c r="J1291" s="346" t="str">
        <f t="shared" si="19"/>
        <v/>
      </c>
      <c r="K1291" s="28" t="str">
        <f t="shared" si="4"/>
        <v/>
      </c>
      <c r="L1291" s="45" t="str">
        <f t="shared" si="5"/>
        <v/>
      </c>
      <c r="M1291" s="45" t="str">
        <f t="shared" si="6"/>
        <v/>
      </c>
      <c r="N1291" s="45" t="str">
        <f t="shared" si="7"/>
        <v/>
      </c>
      <c r="O1291" s="45" t="str">
        <f t="shared" si="8"/>
        <v/>
      </c>
      <c r="P1291" s="45" t="str">
        <f t="shared" si="9"/>
        <v/>
      </c>
    </row>
    <row r="1292" spans="1:16" ht="17.25">
      <c r="A1292" s="276" t="s">
        <v>6328</v>
      </c>
      <c r="B1292" s="28">
        <v>2012</v>
      </c>
      <c r="C1292" s="276" t="s">
        <v>6329</v>
      </c>
      <c r="E1292" s="278" t="str">
        <f t="shared" si="21"/>
        <v>https://pubmed.ncbi.nlm.nih.gov/?term=PMC3459659</v>
      </c>
      <c r="F1292" s="28" t="s">
        <v>511</v>
      </c>
      <c r="G1292" s="28" t="s">
        <v>4592</v>
      </c>
      <c r="J1292" s="346">
        <f t="shared" si="19"/>
        <v>1</v>
      </c>
      <c r="K1292" s="28" t="str">
        <f t="shared" si="4"/>
        <v/>
      </c>
      <c r="L1292" s="45" t="str">
        <f t="shared" si="5"/>
        <v/>
      </c>
      <c r="M1292" s="45" t="str">
        <f t="shared" si="6"/>
        <v/>
      </c>
      <c r="N1292" s="45" t="str">
        <f t="shared" si="7"/>
        <v/>
      </c>
      <c r="O1292" s="45" t="str">
        <f t="shared" si="8"/>
        <v/>
      </c>
      <c r="P1292" s="45" t="str">
        <f t="shared" si="9"/>
        <v/>
      </c>
    </row>
    <row r="1293" spans="1:16" ht="17.25">
      <c r="A1293" s="276" t="s">
        <v>6330</v>
      </c>
      <c r="B1293" s="351">
        <v>40817</v>
      </c>
      <c r="C1293" s="276" t="s">
        <v>4224</v>
      </c>
      <c r="E1293" s="278" t="str">
        <f t="shared" si="21"/>
        <v>https://pubmed.ncbi.nlm.nih.gov/?term=PMC3187119</v>
      </c>
      <c r="H1293" s="28" t="s">
        <v>511</v>
      </c>
      <c r="J1293" s="346" t="str">
        <f t="shared" si="19"/>
        <v/>
      </c>
      <c r="K1293" s="28" t="str">
        <f t="shared" si="4"/>
        <v/>
      </c>
      <c r="L1293" s="45" t="str">
        <f t="shared" si="5"/>
        <v/>
      </c>
      <c r="M1293" s="45" t="str">
        <f t="shared" si="6"/>
        <v/>
      </c>
      <c r="N1293" s="45" t="str">
        <f t="shared" si="7"/>
        <v/>
      </c>
      <c r="O1293" s="45" t="str">
        <f t="shared" si="8"/>
        <v/>
      </c>
      <c r="P1293" s="45" t="str">
        <f t="shared" si="9"/>
        <v/>
      </c>
    </row>
    <row r="1294" spans="1:16" ht="17.25">
      <c r="A1294" s="276" t="s">
        <v>6331</v>
      </c>
      <c r="B1294" s="351">
        <v>42583</v>
      </c>
      <c r="C1294" s="276" t="s">
        <v>4165</v>
      </c>
      <c r="E1294" s="278" t="str">
        <f t="shared" si="21"/>
        <v>https://pubmed.ncbi.nlm.nih.gov/?term=PMC4972157</v>
      </c>
      <c r="H1294" s="28" t="s">
        <v>511</v>
      </c>
      <c r="J1294" s="346" t="str">
        <f t="shared" si="19"/>
        <v/>
      </c>
      <c r="K1294" s="28" t="str">
        <f t="shared" si="4"/>
        <v/>
      </c>
      <c r="L1294" s="45" t="str">
        <f t="shared" si="5"/>
        <v/>
      </c>
      <c r="M1294" s="45" t="str">
        <f t="shared" si="6"/>
        <v/>
      </c>
      <c r="N1294" s="45" t="str">
        <f t="shared" si="7"/>
        <v/>
      </c>
      <c r="O1294" s="45" t="str">
        <f t="shared" si="8"/>
        <v/>
      </c>
      <c r="P1294" s="45" t="str">
        <f t="shared" si="9"/>
        <v/>
      </c>
    </row>
    <row r="1295" spans="1:16" ht="17.25">
      <c r="A1295" s="276" t="s">
        <v>6021</v>
      </c>
      <c r="B1295" s="351">
        <v>43405</v>
      </c>
      <c r="C1295" s="276" t="s">
        <v>6332</v>
      </c>
      <c r="D1295" s="28"/>
      <c r="E1295" s="281" t="s">
        <v>6333</v>
      </c>
      <c r="F1295" s="28" t="s">
        <v>511</v>
      </c>
      <c r="G1295" s="28" t="s">
        <v>6270</v>
      </c>
      <c r="J1295" s="346">
        <f t="shared" si="19"/>
        <v>1</v>
      </c>
      <c r="K1295" s="28" t="str">
        <f t="shared" si="4"/>
        <v/>
      </c>
      <c r="L1295" s="45" t="str">
        <f t="shared" si="5"/>
        <v/>
      </c>
      <c r="M1295" s="45" t="str">
        <f t="shared" si="6"/>
        <v/>
      </c>
      <c r="N1295" s="45" t="str">
        <f t="shared" si="7"/>
        <v/>
      </c>
      <c r="O1295" s="45" t="str">
        <f t="shared" si="8"/>
        <v/>
      </c>
      <c r="P1295" s="45" t="str">
        <f t="shared" si="9"/>
        <v/>
      </c>
    </row>
    <row r="1296" spans="1:16" ht="17.25">
      <c r="A1296" s="276" t="s">
        <v>6334</v>
      </c>
      <c r="B1296" s="351">
        <v>44166</v>
      </c>
      <c r="C1296" s="354" t="s">
        <v>6335</v>
      </c>
      <c r="D1296" s="28"/>
      <c r="E1296" s="281" t="s">
        <v>6336</v>
      </c>
      <c r="F1296" s="28" t="s">
        <v>511</v>
      </c>
      <c r="G1296" s="28" t="s">
        <v>4744</v>
      </c>
      <c r="J1296" s="346" t="str">
        <f t="shared" si="19"/>
        <v/>
      </c>
      <c r="K1296" s="28" t="str">
        <f t="shared" si="4"/>
        <v/>
      </c>
      <c r="L1296" s="45" t="str">
        <f t="shared" si="5"/>
        <v/>
      </c>
      <c r="M1296" s="45" t="str">
        <f t="shared" si="6"/>
        <v/>
      </c>
      <c r="N1296" s="45">
        <f t="shared" si="7"/>
        <v>1</v>
      </c>
      <c r="O1296" s="45" t="str">
        <f t="shared" si="8"/>
        <v/>
      </c>
      <c r="P1296" s="45" t="str">
        <f t="shared" si="9"/>
        <v/>
      </c>
    </row>
    <row r="1297" spans="1:16" ht="17.25">
      <c r="A1297" s="276" t="s">
        <v>6050</v>
      </c>
      <c r="B1297" s="351">
        <v>42614</v>
      </c>
      <c r="C1297" s="276" t="s">
        <v>4194</v>
      </c>
      <c r="E1297" s="278" t="str">
        <f t="shared" ref="E1297:E1315" si="22">"https://pubmed.ncbi.nlm.nih.gov/?term="&amp;C1297</f>
        <v>https://pubmed.ncbi.nlm.nih.gov/?term=PMC4992851</v>
      </c>
      <c r="H1297" s="28" t="s">
        <v>511</v>
      </c>
      <c r="J1297" s="346" t="str">
        <f t="shared" si="19"/>
        <v/>
      </c>
      <c r="K1297" s="28" t="str">
        <f t="shared" si="4"/>
        <v/>
      </c>
      <c r="L1297" s="45" t="str">
        <f t="shared" si="5"/>
        <v/>
      </c>
      <c r="M1297" s="45" t="str">
        <f t="shared" si="6"/>
        <v/>
      </c>
      <c r="N1297" s="45" t="str">
        <f t="shared" si="7"/>
        <v/>
      </c>
      <c r="O1297" s="45" t="str">
        <f t="shared" si="8"/>
        <v/>
      </c>
      <c r="P1297" s="45" t="str">
        <f t="shared" si="9"/>
        <v/>
      </c>
    </row>
    <row r="1298" spans="1:16" ht="17.25">
      <c r="A1298" s="276" t="s">
        <v>6337</v>
      </c>
      <c r="B1298" s="351">
        <v>43252</v>
      </c>
      <c r="C1298" s="276" t="s">
        <v>6338</v>
      </c>
      <c r="E1298" s="278" t="str">
        <f t="shared" si="22"/>
        <v>https://pubmed.ncbi.nlm.nih.gov/?term=PMC5986686</v>
      </c>
      <c r="F1298" s="28" t="s">
        <v>511</v>
      </c>
      <c r="G1298" s="28" t="s">
        <v>4744</v>
      </c>
      <c r="J1298" s="346" t="str">
        <f t="shared" si="19"/>
        <v/>
      </c>
      <c r="K1298" s="28" t="str">
        <f t="shared" si="4"/>
        <v/>
      </c>
      <c r="L1298" s="45" t="str">
        <f t="shared" si="5"/>
        <v/>
      </c>
      <c r="M1298" s="45" t="str">
        <f t="shared" si="6"/>
        <v/>
      </c>
      <c r="N1298" s="45">
        <f t="shared" si="7"/>
        <v>1</v>
      </c>
      <c r="O1298" s="45" t="str">
        <f t="shared" si="8"/>
        <v/>
      </c>
      <c r="P1298" s="45" t="str">
        <f t="shared" si="9"/>
        <v/>
      </c>
    </row>
    <row r="1299" spans="1:16" ht="17.25">
      <c r="A1299" s="276" t="s">
        <v>6339</v>
      </c>
      <c r="B1299" s="351">
        <v>43435</v>
      </c>
      <c r="C1299" s="276" t="s">
        <v>6340</v>
      </c>
      <c r="E1299" s="278" t="str">
        <f t="shared" si="22"/>
        <v>https://pubmed.ncbi.nlm.nih.gov/?term=PMC6925668</v>
      </c>
      <c r="F1299" s="28" t="s">
        <v>511</v>
      </c>
      <c r="G1299" s="28" t="s">
        <v>4592</v>
      </c>
      <c r="J1299" s="346">
        <f t="shared" si="19"/>
        <v>1</v>
      </c>
      <c r="K1299" s="28" t="str">
        <f t="shared" si="4"/>
        <v/>
      </c>
      <c r="L1299" s="45" t="str">
        <f t="shared" si="5"/>
        <v/>
      </c>
      <c r="M1299" s="45" t="str">
        <f t="shared" si="6"/>
        <v/>
      </c>
      <c r="N1299" s="45" t="str">
        <f t="shared" si="7"/>
        <v/>
      </c>
      <c r="O1299" s="45" t="str">
        <f t="shared" si="8"/>
        <v/>
      </c>
      <c r="P1299" s="45" t="str">
        <f t="shared" si="9"/>
        <v/>
      </c>
    </row>
    <row r="1300" spans="1:16" ht="17.25">
      <c r="A1300" s="276" t="s">
        <v>6341</v>
      </c>
      <c r="B1300" s="351">
        <v>43770</v>
      </c>
      <c r="C1300" s="276" t="s">
        <v>6342</v>
      </c>
      <c r="E1300" s="278" t="str">
        <f t="shared" si="22"/>
        <v>https://pubmed.ncbi.nlm.nih.gov/?term=PMC6843725</v>
      </c>
      <c r="F1300" s="28" t="s">
        <v>511</v>
      </c>
      <c r="G1300" s="28" t="s">
        <v>4592</v>
      </c>
      <c r="J1300" s="346">
        <f t="shared" si="19"/>
        <v>1</v>
      </c>
      <c r="K1300" s="28" t="str">
        <f t="shared" si="4"/>
        <v/>
      </c>
      <c r="L1300" s="45" t="str">
        <f t="shared" si="5"/>
        <v/>
      </c>
      <c r="M1300" s="45" t="str">
        <f t="shared" si="6"/>
        <v/>
      </c>
      <c r="N1300" s="45" t="str">
        <f t="shared" si="7"/>
        <v/>
      </c>
      <c r="O1300" s="45" t="str">
        <f t="shared" si="8"/>
        <v/>
      </c>
      <c r="P1300" s="45" t="str">
        <f t="shared" si="9"/>
        <v/>
      </c>
    </row>
    <row r="1301" spans="1:16" ht="17.25">
      <c r="A1301" s="276" t="s">
        <v>6343</v>
      </c>
      <c r="B1301" s="351">
        <v>42005</v>
      </c>
      <c r="C1301" s="276" t="s">
        <v>6344</v>
      </c>
      <c r="E1301" s="278" t="str">
        <f t="shared" si="22"/>
        <v>https://pubmed.ncbi.nlm.nih.gov/?term=PMC4291346</v>
      </c>
      <c r="F1301" s="28" t="s">
        <v>511</v>
      </c>
      <c r="G1301" s="28" t="s">
        <v>6345</v>
      </c>
      <c r="J1301" s="346" t="str">
        <f t="shared" si="19"/>
        <v/>
      </c>
      <c r="K1301" s="28" t="str">
        <f t="shared" si="4"/>
        <v/>
      </c>
      <c r="L1301" s="45" t="str">
        <f t="shared" si="5"/>
        <v/>
      </c>
      <c r="M1301" s="45" t="str">
        <f t="shared" si="6"/>
        <v/>
      </c>
      <c r="N1301" s="45" t="str">
        <f t="shared" si="7"/>
        <v/>
      </c>
      <c r="O1301" s="45">
        <f t="shared" si="8"/>
        <v>1</v>
      </c>
      <c r="P1301" s="45" t="str">
        <f t="shared" si="9"/>
        <v/>
      </c>
    </row>
    <row r="1302" spans="1:16" ht="17.25">
      <c r="A1302" s="276" t="s">
        <v>6346</v>
      </c>
      <c r="B1302" s="351">
        <v>42705</v>
      </c>
      <c r="C1302" s="276" t="s">
        <v>6347</v>
      </c>
      <c r="E1302" s="278" t="str">
        <f t="shared" si="22"/>
        <v>https://pubmed.ncbi.nlm.nih.gov/?term=PMC5201219</v>
      </c>
      <c r="F1302" s="28" t="s">
        <v>511</v>
      </c>
      <c r="G1302" s="28" t="s">
        <v>4592</v>
      </c>
      <c r="J1302" s="346">
        <f t="shared" si="19"/>
        <v>1</v>
      </c>
      <c r="K1302" s="28" t="str">
        <f t="shared" si="4"/>
        <v/>
      </c>
      <c r="L1302" s="45" t="str">
        <f t="shared" si="5"/>
        <v/>
      </c>
      <c r="M1302" s="45" t="str">
        <f t="shared" si="6"/>
        <v/>
      </c>
      <c r="N1302" s="45" t="str">
        <f t="shared" si="7"/>
        <v/>
      </c>
      <c r="O1302" s="45" t="str">
        <f t="shared" si="8"/>
        <v/>
      </c>
      <c r="P1302" s="45" t="str">
        <f t="shared" si="9"/>
        <v/>
      </c>
    </row>
    <row r="1303" spans="1:16" ht="17.25">
      <c r="A1303" s="276" t="s">
        <v>6348</v>
      </c>
      <c r="B1303" s="351">
        <v>43647</v>
      </c>
      <c r="C1303" s="276" t="s">
        <v>6349</v>
      </c>
      <c r="E1303" s="278" t="str">
        <f t="shared" si="22"/>
        <v>https://pubmed.ncbi.nlm.nih.gov/?term=PMC6750137</v>
      </c>
      <c r="F1303" s="28" t="s">
        <v>511</v>
      </c>
      <c r="G1303" s="28" t="s">
        <v>4592</v>
      </c>
      <c r="J1303" s="346">
        <f t="shared" si="19"/>
        <v>1</v>
      </c>
      <c r="K1303" s="28" t="str">
        <f t="shared" si="4"/>
        <v/>
      </c>
      <c r="L1303" s="45" t="str">
        <f t="shared" si="5"/>
        <v/>
      </c>
      <c r="M1303" s="45" t="str">
        <f t="shared" si="6"/>
        <v/>
      </c>
      <c r="N1303" s="45" t="str">
        <f t="shared" si="7"/>
        <v/>
      </c>
      <c r="O1303" s="45" t="str">
        <f t="shared" si="8"/>
        <v/>
      </c>
      <c r="P1303" s="45" t="str">
        <f t="shared" si="9"/>
        <v/>
      </c>
    </row>
    <row r="1304" spans="1:16" ht="17.25">
      <c r="A1304" s="276" t="s">
        <v>6350</v>
      </c>
      <c r="B1304" s="351">
        <v>43770</v>
      </c>
      <c r="C1304" s="276" t="s">
        <v>4227</v>
      </c>
      <c r="E1304" s="278" t="str">
        <f t="shared" si="22"/>
        <v>https://pubmed.ncbi.nlm.nih.gov/?term=PMC6877087</v>
      </c>
      <c r="H1304" s="28" t="s">
        <v>511</v>
      </c>
      <c r="J1304" s="346" t="str">
        <f t="shared" si="19"/>
        <v/>
      </c>
      <c r="K1304" s="28" t="str">
        <f t="shared" si="4"/>
        <v/>
      </c>
      <c r="L1304" s="45" t="str">
        <f t="shared" si="5"/>
        <v/>
      </c>
      <c r="M1304" s="45" t="str">
        <f t="shared" si="6"/>
        <v/>
      </c>
      <c r="N1304" s="45" t="str">
        <f t="shared" si="7"/>
        <v/>
      </c>
      <c r="O1304" s="45" t="str">
        <f t="shared" si="8"/>
        <v/>
      </c>
      <c r="P1304" s="45" t="str">
        <f t="shared" si="9"/>
        <v/>
      </c>
    </row>
    <row r="1305" spans="1:16" ht="17.25">
      <c r="A1305" s="276" t="s">
        <v>6351</v>
      </c>
      <c r="B1305" s="351">
        <v>44256</v>
      </c>
      <c r="C1305" s="276" t="s">
        <v>6352</v>
      </c>
      <c r="E1305" s="278" t="str">
        <f t="shared" si="22"/>
        <v>https://pubmed.ncbi.nlm.nih.gov/?term=PMC7429918</v>
      </c>
      <c r="F1305" s="28" t="s">
        <v>511</v>
      </c>
      <c r="G1305" s="28" t="s">
        <v>6353</v>
      </c>
      <c r="J1305" s="346" t="str">
        <f t="shared" si="19"/>
        <v/>
      </c>
      <c r="K1305" s="28" t="str">
        <f t="shared" si="4"/>
        <v/>
      </c>
      <c r="L1305" s="45" t="str">
        <f t="shared" si="5"/>
        <v/>
      </c>
      <c r="M1305" s="45" t="str">
        <f t="shared" si="6"/>
        <v/>
      </c>
      <c r="N1305" s="45" t="str">
        <f t="shared" si="7"/>
        <v/>
      </c>
      <c r="O1305" s="45">
        <f t="shared" si="8"/>
        <v>1</v>
      </c>
      <c r="P1305" s="45" t="str">
        <f t="shared" si="9"/>
        <v/>
      </c>
    </row>
    <row r="1306" spans="1:16" ht="17.25">
      <c r="A1306" s="276" t="s">
        <v>6354</v>
      </c>
      <c r="B1306" s="351">
        <v>41671</v>
      </c>
      <c r="C1306" s="276" t="s">
        <v>6355</v>
      </c>
      <c r="E1306" s="278" t="str">
        <f t="shared" si="22"/>
        <v>https://pubmed.ncbi.nlm.nih.gov/?term=PMC7172491</v>
      </c>
      <c r="F1306" s="28" t="s">
        <v>511</v>
      </c>
      <c r="G1306" s="28" t="s">
        <v>4592</v>
      </c>
      <c r="J1306" s="346">
        <f t="shared" si="19"/>
        <v>1</v>
      </c>
      <c r="K1306" s="28" t="str">
        <f t="shared" si="4"/>
        <v/>
      </c>
      <c r="L1306" s="45" t="str">
        <f t="shared" si="5"/>
        <v/>
      </c>
      <c r="M1306" s="45" t="str">
        <f t="shared" si="6"/>
        <v/>
      </c>
      <c r="N1306" s="45" t="str">
        <f t="shared" si="7"/>
        <v/>
      </c>
      <c r="O1306" s="45" t="str">
        <f t="shared" si="8"/>
        <v/>
      </c>
      <c r="P1306" s="45" t="str">
        <f t="shared" si="9"/>
        <v/>
      </c>
    </row>
    <row r="1307" spans="1:16" ht="17.25">
      <c r="A1307" s="276" t="s">
        <v>6356</v>
      </c>
      <c r="B1307" s="351">
        <v>43678</v>
      </c>
      <c r="C1307" s="276" t="s">
        <v>6357</v>
      </c>
      <c r="E1307" s="278" t="str">
        <f t="shared" si="22"/>
        <v>https://pubmed.ncbi.nlm.nih.gov/?term=PMC6712604</v>
      </c>
      <c r="F1307" s="28" t="s">
        <v>511</v>
      </c>
      <c r="G1307" s="28" t="s">
        <v>6358</v>
      </c>
      <c r="J1307" s="346" t="str">
        <f t="shared" si="19"/>
        <v/>
      </c>
      <c r="K1307" s="28" t="str">
        <f t="shared" si="4"/>
        <v/>
      </c>
      <c r="L1307" s="45" t="str">
        <f t="shared" si="5"/>
        <v/>
      </c>
      <c r="M1307" s="45" t="str">
        <f t="shared" si="6"/>
        <v/>
      </c>
      <c r="N1307" s="45" t="str">
        <f t="shared" si="7"/>
        <v/>
      </c>
      <c r="O1307" s="45">
        <f t="shared" si="8"/>
        <v>1</v>
      </c>
      <c r="P1307" s="45" t="str">
        <f t="shared" si="9"/>
        <v/>
      </c>
    </row>
    <row r="1308" spans="1:16" ht="17.25">
      <c r="A1308" s="276" t="s">
        <v>6359</v>
      </c>
      <c r="B1308" s="351">
        <v>44075</v>
      </c>
      <c r="C1308" s="276" t="s">
        <v>6360</v>
      </c>
      <c r="E1308" s="278" t="str">
        <f t="shared" si="22"/>
        <v>https://pubmed.ncbi.nlm.nih.gov/?term=PMC7505590</v>
      </c>
      <c r="F1308" s="28" t="s">
        <v>511</v>
      </c>
      <c r="G1308" s="28" t="s">
        <v>6361</v>
      </c>
      <c r="J1308" s="346" t="str">
        <f t="shared" si="19"/>
        <v/>
      </c>
      <c r="K1308" s="28" t="str">
        <f t="shared" si="4"/>
        <v/>
      </c>
      <c r="L1308" s="45" t="str">
        <f t="shared" si="5"/>
        <v/>
      </c>
      <c r="M1308" s="45" t="str">
        <f t="shared" si="6"/>
        <v/>
      </c>
      <c r="N1308" s="45" t="str">
        <f t="shared" si="7"/>
        <v/>
      </c>
      <c r="O1308" s="45">
        <f t="shared" si="8"/>
        <v>1</v>
      </c>
      <c r="P1308" s="45" t="str">
        <f t="shared" si="9"/>
        <v/>
      </c>
    </row>
    <row r="1309" spans="1:16" ht="17.25">
      <c r="A1309" s="276" t="s">
        <v>6362</v>
      </c>
      <c r="B1309" s="351">
        <v>38504</v>
      </c>
      <c r="C1309" s="276" t="s">
        <v>6363</v>
      </c>
      <c r="E1309" s="278" t="str">
        <f t="shared" si="22"/>
        <v>https://pubmed.ncbi.nlm.nih.gov/?term=PMC1747425</v>
      </c>
      <c r="F1309" s="28" t="s">
        <v>511</v>
      </c>
      <c r="G1309" s="28" t="s">
        <v>5188</v>
      </c>
      <c r="J1309" s="346">
        <f t="shared" si="19"/>
        <v>1</v>
      </c>
      <c r="K1309" s="28" t="str">
        <f t="shared" si="4"/>
        <v/>
      </c>
      <c r="L1309" s="45" t="str">
        <f t="shared" si="5"/>
        <v/>
      </c>
      <c r="M1309" s="45" t="str">
        <f t="shared" si="6"/>
        <v/>
      </c>
      <c r="N1309" s="45" t="str">
        <f t="shared" si="7"/>
        <v/>
      </c>
      <c r="O1309" s="45" t="str">
        <f t="shared" si="8"/>
        <v/>
      </c>
      <c r="P1309" s="45" t="str">
        <f t="shared" si="9"/>
        <v/>
      </c>
    </row>
    <row r="1310" spans="1:16" ht="17.25">
      <c r="A1310" s="276" t="s">
        <v>6364</v>
      </c>
      <c r="B1310" s="352">
        <v>43221</v>
      </c>
      <c r="C1310" s="276" t="s">
        <v>6365</v>
      </c>
      <c r="E1310" s="278" t="str">
        <f t="shared" si="22"/>
        <v>https://pubmed.ncbi.nlm.nih.gov/?term=PMC5946089</v>
      </c>
      <c r="F1310" s="28" t="s">
        <v>511</v>
      </c>
      <c r="G1310" s="28" t="s">
        <v>6366</v>
      </c>
      <c r="J1310" s="346" t="str">
        <f t="shared" si="19"/>
        <v/>
      </c>
      <c r="K1310" s="28" t="str">
        <f t="shared" si="4"/>
        <v/>
      </c>
      <c r="L1310" s="45" t="str">
        <f t="shared" si="5"/>
        <v/>
      </c>
      <c r="M1310" s="45" t="str">
        <f t="shared" si="6"/>
        <v/>
      </c>
      <c r="N1310" s="45">
        <f t="shared" si="7"/>
        <v>1</v>
      </c>
      <c r="O1310" s="45" t="str">
        <f t="shared" si="8"/>
        <v/>
      </c>
      <c r="P1310" s="45" t="str">
        <f t="shared" si="9"/>
        <v/>
      </c>
    </row>
    <row r="1311" spans="1:16" ht="17.25">
      <c r="A1311" s="276" t="s">
        <v>6367</v>
      </c>
      <c r="B1311" s="351">
        <v>40940</v>
      </c>
      <c r="C1311" s="276" t="s">
        <v>6368</v>
      </c>
      <c r="E1311" s="278" t="str">
        <f t="shared" si="22"/>
        <v>https://pubmed.ncbi.nlm.nih.gov/?term=PMC3280410</v>
      </c>
      <c r="F1311" s="28" t="s">
        <v>511</v>
      </c>
      <c r="G1311" s="28" t="s">
        <v>6369</v>
      </c>
      <c r="J1311" s="346" t="str">
        <f t="shared" si="19"/>
        <v/>
      </c>
      <c r="K1311" s="28" t="str">
        <f t="shared" si="4"/>
        <v/>
      </c>
      <c r="L1311" s="45" t="str">
        <f t="shared" si="5"/>
        <v/>
      </c>
      <c r="M1311" s="45" t="str">
        <f t="shared" si="6"/>
        <v/>
      </c>
      <c r="N1311" s="45" t="str">
        <f t="shared" si="7"/>
        <v/>
      </c>
      <c r="O1311" s="45">
        <f t="shared" si="8"/>
        <v>1</v>
      </c>
      <c r="P1311" s="45" t="str">
        <f t="shared" si="9"/>
        <v/>
      </c>
    </row>
    <row r="1312" spans="1:16" ht="17.25">
      <c r="A1312" s="276" t="s">
        <v>6370</v>
      </c>
      <c r="B1312" s="351">
        <v>43101</v>
      </c>
      <c r="C1312" s="276" t="s">
        <v>6371</v>
      </c>
      <c r="E1312" s="278" t="str">
        <f t="shared" si="22"/>
        <v>https://pubmed.ncbi.nlm.nih.gov/?term=PMC5768049</v>
      </c>
      <c r="F1312" s="28" t="s">
        <v>511</v>
      </c>
      <c r="G1312" s="28" t="s">
        <v>4592</v>
      </c>
      <c r="J1312" s="346">
        <f t="shared" si="19"/>
        <v>1</v>
      </c>
      <c r="K1312" s="28" t="str">
        <f t="shared" si="4"/>
        <v/>
      </c>
      <c r="L1312" s="45" t="str">
        <f t="shared" si="5"/>
        <v/>
      </c>
      <c r="M1312" s="45" t="str">
        <f t="shared" si="6"/>
        <v/>
      </c>
      <c r="N1312" s="45" t="str">
        <f t="shared" si="7"/>
        <v/>
      </c>
      <c r="O1312" s="45" t="str">
        <f t="shared" si="8"/>
        <v/>
      </c>
      <c r="P1312" s="45" t="str">
        <f t="shared" si="9"/>
        <v/>
      </c>
    </row>
    <row r="1313" spans="1:27" ht="17.25">
      <c r="A1313" s="276" t="s">
        <v>6372</v>
      </c>
      <c r="B1313" s="351">
        <v>43252</v>
      </c>
      <c r="C1313" s="276" t="s">
        <v>6373</v>
      </c>
      <c r="E1313" s="278" t="str">
        <f t="shared" si="22"/>
        <v>https://pubmed.ncbi.nlm.nih.gov/?term=PMC6037283</v>
      </c>
      <c r="F1313" s="28" t="s">
        <v>511</v>
      </c>
      <c r="G1313" s="28" t="s">
        <v>4592</v>
      </c>
      <c r="J1313" s="346">
        <f t="shared" si="19"/>
        <v>1</v>
      </c>
      <c r="K1313" s="28" t="str">
        <f t="shared" si="4"/>
        <v/>
      </c>
      <c r="L1313" s="45" t="str">
        <f t="shared" si="5"/>
        <v/>
      </c>
      <c r="M1313" s="45" t="str">
        <f t="shared" si="6"/>
        <v/>
      </c>
      <c r="N1313" s="45" t="str">
        <f t="shared" si="7"/>
        <v/>
      </c>
      <c r="O1313" s="45" t="str">
        <f t="shared" si="8"/>
        <v/>
      </c>
      <c r="P1313" s="45" t="str">
        <f t="shared" si="9"/>
        <v/>
      </c>
    </row>
    <row r="1314" spans="1:27" ht="17.25">
      <c r="A1314" s="276" t="s">
        <v>6374</v>
      </c>
      <c r="B1314" s="351">
        <v>43070</v>
      </c>
      <c r="C1314" s="276" t="s">
        <v>6375</v>
      </c>
      <c r="E1314" s="278" t="str">
        <f t="shared" si="22"/>
        <v>https://pubmed.ncbi.nlm.nih.gov/?term=PMC5701446</v>
      </c>
      <c r="F1314" s="28" t="s">
        <v>511</v>
      </c>
      <c r="G1314" s="28" t="s">
        <v>6376</v>
      </c>
      <c r="J1314" s="346">
        <f t="shared" si="19"/>
        <v>1</v>
      </c>
      <c r="K1314" s="28" t="str">
        <f t="shared" si="4"/>
        <v/>
      </c>
      <c r="L1314" s="45" t="str">
        <f t="shared" si="5"/>
        <v/>
      </c>
      <c r="M1314" s="45" t="str">
        <f t="shared" si="6"/>
        <v/>
      </c>
      <c r="N1314" s="45" t="str">
        <f t="shared" si="7"/>
        <v/>
      </c>
      <c r="O1314" s="45" t="str">
        <f t="shared" si="8"/>
        <v/>
      </c>
      <c r="P1314" s="45" t="str">
        <f t="shared" si="9"/>
        <v/>
      </c>
    </row>
    <row r="1315" spans="1:27" ht="17.25">
      <c r="A1315" s="276" t="s">
        <v>6377</v>
      </c>
      <c r="B1315" s="351">
        <v>43983</v>
      </c>
      <c r="C1315" s="276" t="s">
        <v>6378</v>
      </c>
      <c r="E1315" s="278" t="str">
        <f t="shared" si="22"/>
        <v>https://pubmed.ncbi.nlm.nih.gov/?term=PMC7355764</v>
      </c>
      <c r="F1315" s="28" t="s">
        <v>511</v>
      </c>
      <c r="G1315" s="28" t="s">
        <v>6379</v>
      </c>
      <c r="J1315" s="346" t="str">
        <f t="shared" si="19"/>
        <v/>
      </c>
      <c r="K1315" s="28" t="str">
        <f t="shared" si="4"/>
        <v/>
      </c>
      <c r="L1315" s="45" t="str">
        <f t="shared" si="5"/>
        <v/>
      </c>
      <c r="M1315" s="45" t="str">
        <f t="shared" si="6"/>
        <v/>
      </c>
      <c r="N1315" s="45" t="str">
        <f t="shared" si="7"/>
        <v/>
      </c>
      <c r="O1315" s="45">
        <f t="shared" si="8"/>
        <v>1</v>
      </c>
      <c r="P1315" s="45" t="str">
        <f t="shared" si="9"/>
        <v/>
      </c>
    </row>
    <row r="1316" spans="1:27" ht="17.25">
      <c r="A1316" s="276" t="s">
        <v>6021</v>
      </c>
      <c r="B1316" s="28">
        <v>2010</v>
      </c>
      <c r="C1316" s="276" t="s">
        <v>6380</v>
      </c>
      <c r="D1316" s="28"/>
      <c r="E1316" s="281" t="s">
        <v>6381</v>
      </c>
      <c r="F1316" s="28" t="s">
        <v>511</v>
      </c>
      <c r="G1316" s="28" t="s">
        <v>6203</v>
      </c>
      <c r="J1316" s="346">
        <f t="shared" si="19"/>
        <v>1</v>
      </c>
      <c r="K1316" s="28" t="str">
        <f t="shared" si="4"/>
        <v/>
      </c>
      <c r="L1316" s="45" t="str">
        <f t="shared" si="5"/>
        <v/>
      </c>
      <c r="M1316" s="45" t="str">
        <f t="shared" si="6"/>
        <v/>
      </c>
      <c r="N1316" s="45" t="str">
        <f t="shared" si="7"/>
        <v/>
      </c>
      <c r="O1316" s="45" t="str">
        <f t="shared" si="8"/>
        <v/>
      </c>
      <c r="P1316" s="45" t="str">
        <f t="shared" si="9"/>
        <v/>
      </c>
    </row>
    <row r="1317" spans="1:27" ht="17.25">
      <c r="A1317" s="28" t="s">
        <v>6382</v>
      </c>
      <c r="B1317" s="28">
        <v>2021</v>
      </c>
      <c r="C1317" s="28" t="s">
        <v>6383</v>
      </c>
      <c r="E1317" s="281" t="s">
        <v>6384</v>
      </c>
      <c r="F1317" s="28" t="s">
        <v>308</v>
      </c>
      <c r="G1317" s="28" t="s">
        <v>6385</v>
      </c>
      <c r="J1317" s="346">
        <f t="shared" si="19"/>
        <v>1</v>
      </c>
      <c r="K1317" s="28"/>
    </row>
    <row r="1318" spans="1:27" ht="17.25">
      <c r="A1318" s="113" t="s">
        <v>6386</v>
      </c>
      <c r="B1318" s="113">
        <v>2020</v>
      </c>
      <c r="C1318" s="113" t="s">
        <v>6387</v>
      </c>
      <c r="D1318" s="290"/>
      <c r="E1318" s="355" t="s">
        <v>6388</v>
      </c>
      <c r="F1318" s="113" t="s">
        <v>308</v>
      </c>
      <c r="G1318" s="113" t="s">
        <v>6385</v>
      </c>
      <c r="H1318" s="290"/>
      <c r="I1318" s="290"/>
      <c r="J1318" s="356">
        <f t="shared" si="19"/>
        <v>1</v>
      </c>
      <c r="K1318" s="113"/>
      <c r="L1318" s="290"/>
      <c r="M1318" s="290"/>
      <c r="N1318" s="290"/>
      <c r="O1318" s="290"/>
      <c r="P1318" s="290"/>
      <c r="Q1318" s="290"/>
      <c r="R1318" s="290"/>
      <c r="S1318" s="290"/>
      <c r="T1318" s="290"/>
      <c r="U1318" s="290"/>
      <c r="V1318" s="290"/>
      <c r="W1318" s="290"/>
      <c r="X1318" s="290"/>
      <c r="Y1318" s="290"/>
      <c r="Z1318" s="290"/>
      <c r="AA1318" s="290"/>
    </row>
    <row r="1319" spans="1:27" ht="17.25">
      <c r="A1319" s="276" t="s">
        <v>6389</v>
      </c>
      <c r="B1319" s="277">
        <v>1996</v>
      </c>
      <c r="C1319" s="276"/>
      <c r="D1319" s="277">
        <v>8630718</v>
      </c>
      <c r="E1319" s="278" t="str">
        <f t="shared" ref="E1319:E2538" si="23">"https://pubmed.ncbi.nlm.nih.gov/"&amp;D1319</f>
        <v>https://pubmed.ncbi.nlm.nih.gov/8630718</v>
      </c>
      <c r="F1319" s="28" t="s">
        <v>511</v>
      </c>
      <c r="G1319" s="28" t="s">
        <v>4744</v>
      </c>
      <c r="J1319" s="346" t="str">
        <f t="shared" si="19"/>
        <v/>
      </c>
      <c r="K1319" s="28" t="str">
        <f t="shared" ref="K1319:K2656" si="24">IF(F1319="yes",IF(SUM(J1319)=0,IFERROR(IF(FIND("case report",G1319)&gt;0,1),""),""),"")</f>
        <v/>
      </c>
      <c r="L1319" s="45" t="str">
        <f t="shared" ref="L1319:L2656" si="25">IF(F1319="yes",IF(SUM(J1319:K1319)=0,IFERROR(IF(FIND("animal",G1319)&gt;0,1),""),""),"")</f>
        <v/>
      </c>
      <c r="M1319" s="45" t="str">
        <f t="shared" ref="M1319:M2656" si="26">IF(F1319="yes",IF(SUM(J1319:L1319)=0, IFERROR(IF(FIND("not in english",G1319)&gt;0,1),""),""),"")</f>
        <v/>
      </c>
      <c r="N1319" s="45">
        <f t="shared" ref="N1319:N2656" si="27">IF(F1319="yes",IF(SUM(J1319:M1319)=0,IFERROR(IF(FIND("challenge",G1319)&gt;0,1),""),""),"")</f>
        <v>1</v>
      </c>
      <c r="O1319" s="45" t="str">
        <f t="shared" ref="O1319:O2656" si="28">IF(F1319="yes",IF(SUM(J1319:N1319)=0,IFERROR(IF(FIND("assesses",G1319)&gt;0,1),IFERROR(IF(FIND("evaluates",G1319)&gt;0,1),"")),""),"")</f>
        <v/>
      </c>
      <c r="P1319" s="45" t="str">
        <f t="shared" ref="P1319:P2656" si="29">IF(F1319="yes",IF(SUM(J1319:O1319)=0,IFERROR(IF(FIND("duplicate",G1319)&gt;0,1),""),""),"")</f>
        <v/>
      </c>
    </row>
    <row r="1320" spans="1:27" ht="17.25">
      <c r="A1320" s="276" t="s">
        <v>6390</v>
      </c>
      <c r="B1320" s="277">
        <v>2019</v>
      </c>
      <c r="C1320" s="276" t="s">
        <v>6391</v>
      </c>
      <c r="D1320" s="277">
        <v>31640300</v>
      </c>
      <c r="E1320" s="278" t="str">
        <f t="shared" si="23"/>
        <v>https://pubmed.ncbi.nlm.nih.gov/31640300</v>
      </c>
      <c r="F1320" s="28" t="s">
        <v>511</v>
      </c>
      <c r="G1320" s="28" t="s">
        <v>6392</v>
      </c>
      <c r="J1320" s="346" t="str">
        <f t="shared" si="19"/>
        <v/>
      </c>
      <c r="K1320" s="28" t="str">
        <f t="shared" si="24"/>
        <v/>
      </c>
      <c r="L1320" s="45" t="str">
        <f t="shared" si="25"/>
        <v/>
      </c>
      <c r="M1320" s="45" t="str">
        <f t="shared" si="26"/>
        <v/>
      </c>
      <c r="N1320" s="45" t="str">
        <f t="shared" si="27"/>
        <v/>
      </c>
      <c r="O1320" s="45">
        <f t="shared" si="28"/>
        <v>1</v>
      </c>
      <c r="P1320" s="45" t="str">
        <f t="shared" si="29"/>
        <v/>
      </c>
    </row>
    <row r="1321" spans="1:27" ht="17.25">
      <c r="A1321" s="276" t="s">
        <v>6393</v>
      </c>
      <c r="B1321" s="277">
        <v>2011</v>
      </c>
      <c r="C1321" s="276" t="s">
        <v>6394</v>
      </c>
      <c r="D1321" s="277">
        <v>22161394</v>
      </c>
      <c r="E1321" s="278" t="str">
        <f t="shared" si="23"/>
        <v>https://pubmed.ncbi.nlm.nih.gov/22161394</v>
      </c>
      <c r="F1321" s="28" t="s">
        <v>511</v>
      </c>
      <c r="G1321" s="28" t="s">
        <v>4592</v>
      </c>
      <c r="J1321" s="346">
        <f t="shared" si="19"/>
        <v>1</v>
      </c>
      <c r="K1321" s="28" t="str">
        <f t="shared" si="24"/>
        <v/>
      </c>
      <c r="L1321" s="45" t="str">
        <f t="shared" si="25"/>
        <v/>
      </c>
      <c r="M1321" s="45" t="str">
        <f t="shared" si="26"/>
        <v/>
      </c>
      <c r="N1321" s="45" t="str">
        <f t="shared" si="27"/>
        <v/>
      </c>
      <c r="O1321" s="45" t="str">
        <f t="shared" si="28"/>
        <v/>
      </c>
      <c r="P1321" s="45" t="str">
        <f t="shared" si="29"/>
        <v/>
      </c>
    </row>
    <row r="1322" spans="1:27" ht="17.25">
      <c r="A1322" s="276" t="s">
        <v>4000</v>
      </c>
      <c r="B1322" s="277">
        <v>2004</v>
      </c>
      <c r="C1322" s="276"/>
      <c r="D1322" s="277">
        <v>14996516</v>
      </c>
      <c r="E1322" s="278" t="str">
        <f t="shared" si="23"/>
        <v>https://pubmed.ncbi.nlm.nih.gov/14996516</v>
      </c>
      <c r="F1322" s="28" t="s">
        <v>511</v>
      </c>
      <c r="G1322" s="28" t="s">
        <v>6395</v>
      </c>
      <c r="J1322" s="346" t="str">
        <f t="shared" si="19"/>
        <v/>
      </c>
      <c r="K1322" s="28" t="str">
        <f t="shared" si="24"/>
        <v/>
      </c>
      <c r="L1322" s="45" t="str">
        <f t="shared" si="25"/>
        <v/>
      </c>
      <c r="M1322" s="45" t="str">
        <f t="shared" si="26"/>
        <v/>
      </c>
      <c r="N1322" s="45" t="str">
        <f t="shared" si="27"/>
        <v/>
      </c>
      <c r="O1322" s="45">
        <f t="shared" si="28"/>
        <v>1</v>
      </c>
      <c r="P1322" s="45" t="str">
        <f t="shared" si="29"/>
        <v/>
      </c>
    </row>
    <row r="1323" spans="1:27" ht="17.25">
      <c r="A1323" s="276" t="s">
        <v>4000</v>
      </c>
      <c r="B1323" s="277">
        <v>2009</v>
      </c>
      <c r="C1323" s="276"/>
      <c r="D1323" s="277">
        <v>19843481</v>
      </c>
      <c r="E1323" s="278" t="str">
        <f t="shared" si="23"/>
        <v>https://pubmed.ncbi.nlm.nih.gov/19843481</v>
      </c>
      <c r="H1323" s="28" t="s">
        <v>511</v>
      </c>
      <c r="J1323" s="346" t="str">
        <f t="shared" si="19"/>
        <v/>
      </c>
      <c r="K1323" s="28" t="str">
        <f t="shared" si="24"/>
        <v/>
      </c>
      <c r="L1323" s="45" t="str">
        <f t="shared" si="25"/>
        <v/>
      </c>
      <c r="M1323" s="45" t="str">
        <f t="shared" si="26"/>
        <v/>
      </c>
      <c r="N1323" s="45" t="str">
        <f t="shared" si="27"/>
        <v/>
      </c>
      <c r="O1323" s="45" t="str">
        <f t="shared" si="28"/>
        <v/>
      </c>
      <c r="P1323" s="45" t="str">
        <f t="shared" si="29"/>
        <v/>
      </c>
    </row>
    <row r="1324" spans="1:27" ht="17.25">
      <c r="A1324" s="276" t="s">
        <v>6396</v>
      </c>
      <c r="B1324" s="277">
        <v>1999</v>
      </c>
      <c r="C1324" s="276"/>
      <c r="D1324" s="277">
        <v>10411849</v>
      </c>
      <c r="E1324" s="278" t="str">
        <f t="shared" si="23"/>
        <v>https://pubmed.ncbi.nlm.nih.gov/10411849</v>
      </c>
      <c r="F1324" s="28" t="s">
        <v>511</v>
      </c>
      <c r="G1324" s="28" t="s">
        <v>4744</v>
      </c>
      <c r="J1324" s="346" t="str">
        <f t="shared" si="19"/>
        <v/>
      </c>
      <c r="K1324" s="28" t="str">
        <f t="shared" si="24"/>
        <v/>
      </c>
      <c r="L1324" s="45" t="str">
        <f t="shared" si="25"/>
        <v/>
      </c>
      <c r="M1324" s="45" t="str">
        <f t="shared" si="26"/>
        <v/>
      </c>
      <c r="N1324" s="45">
        <f t="shared" si="27"/>
        <v>1</v>
      </c>
      <c r="O1324" s="45" t="str">
        <f t="shared" si="28"/>
        <v/>
      </c>
      <c r="P1324" s="45" t="str">
        <f t="shared" si="29"/>
        <v/>
      </c>
    </row>
    <row r="1325" spans="1:27" ht="17.25">
      <c r="A1325" s="276" t="s">
        <v>4737</v>
      </c>
      <c r="B1325" s="277">
        <v>1997</v>
      </c>
      <c r="C1325" s="276"/>
      <c r="D1325" s="277">
        <v>9153367</v>
      </c>
      <c r="E1325" s="278" t="str">
        <f t="shared" si="23"/>
        <v>https://pubmed.ncbi.nlm.nih.gov/9153367</v>
      </c>
      <c r="F1325" s="28" t="s">
        <v>511</v>
      </c>
      <c r="G1325" s="28" t="s">
        <v>4867</v>
      </c>
      <c r="J1325" s="346" t="str">
        <f t="shared" si="19"/>
        <v/>
      </c>
      <c r="K1325" s="28" t="str">
        <f t="shared" si="24"/>
        <v/>
      </c>
      <c r="L1325" s="45" t="str">
        <f t="shared" si="25"/>
        <v/>
      </c>
      <c r="M1325" s="45" t="str">
        <f t="shared" si="26"/>
        <v/>
      </c>
      <c r="N1325" s="45">
        <f t="shared" si="27"/>
        <v>1</v>
      </c>
      <c r="O1325" s="45" t="str">
        <f t="shared" si="28"/>
        <v/>
      </c>
      <c r="P1325" s="45" t="str">
        <f t="shared" si="29"/>
        <v/>
      </c>
    </row>
    <row r="1326" spans="1:27" ht="17.25">
      <c r="A1326" s="276" t="s">
        <v>4737</v>
      </c>
      <c r="B1326" s="277">
        <v>2001</v>
      </c>
      <c r="C1326" s="276"/>
      <c r="D1326" s="277">
        <v>11700399</v>
      </c>
      <c r="E1326" s="278" t="str">
        <f t="shared" si="23"/>
        <v>https://pubmed.ncbi.nlm.nih.gov/11700399</v>
      </c>
      <c r="F1326" s="28" t="s">
        <v>511</v>
      </c>
      <c r="G1326" s="28" t="s">
        <v>4744</v>
      </c>
      <c r="J1326" s="346" t="str">
        <f t="shared" si="19"/>
        <v/>
      </c>
      <c r="K1326" s="28" t="str">
        <f t="shared" si="24"/>
        <v/>
      </c>
      <c r="L1326" s="45" t="str">
        <f t="shared" si="25"/>
        <v/>
      </c>
      <c r="M1326" s="45" t="str">
        <f t="shared" si="26"/>
        <v/>
      </c>
      <c r="N1326" s="45">
        <f t="shared" si="27"/>
        <v>1</v>
      </c>
      <c r="O1326" s="45" t="str">
        <f t="shared" si="28"/>
        <v/>
      </c>
      <c r="P1326" s="45" t="str">
        <f t="shared" si="29"/>
        <v/>
      </c>
    </row>
    <row r="1327" spans="1:27" ht="17.25">
      <c r="A1327" s="276" t="s">
        <v>6397</v>
      </c>
      <c r="B1327" s="277">
        <v>2019</v>
      </c>
      <c r="C1327" s="276" t="s">
        <v>6398</v>
      </c>
      <c r="D1327" s="277">
        <v>31668021</v>
      </c>
      <c r="E1327" s="278" t="str">
        <f t="shared" si="23"/>
        <v>https://pubmed.ncbi.nlm.nih.gov/31668021</v>
      </c>
      <c r="F1327" s="28" t="s">
        <v>511</v>
      </c>
      <c r="G1327" s="28" t="s">
        <v>6399</v>
      </c>
      <c r="J1327" s="346" t="str">
        <f t="shared" si="19"/>
        <v/>
      </c>
      <c r="K1327" s="28" t="str">
        <f t="shared" si="24"/>
        <v/>
      </c>
      <c r="L1327" s="45" t="str">
        <f t="shared" si="25"/>
        <v/>
      </c>
      <c r="M1327" s="45" t="str">
        <f t="shared" si="26"/>
        <v/>
      </c>
      <c r="N1327" s="45" t="str">
        <f t="shared" si="27"/>
        <v/>
      </c>
      <c r="O1327" s="45">
        <f t="shared" si="28"/>
        <v>1</v>
      </c>
      <c r="P1327" s="45" t="str">
        <f t="shared" si="29"/>
        <v/>
      </c>
    </row>
    <row r="1328" spans="1:27" ht="17.25">
      <c r="A1328" s="276" t="s">
        <v>6400</v>
      </c>
      <c r="B1328" s="277">
        <v>2017</v>
      </c>
      <c r="C1328" s="276" t="s">
        <v>6401</v>
      </c>
      <c r="D1328" s="277">
        <v>29183280</v>
      </c>
      <c r="E1328" s="278" t="str">
        <f t="shared" si="23"/>
        <v>https://pubmed.ncbi.nlm.nih.gov/29183280</v>
      </c>
      <c r="F1328" s="28" t="s">
        <v>511</v>
      </c>
      <c r="G1328" s="28" t="s">
        <v>6402</v>
      </c>
      <c r="J1328" s="346" t="str">
        <f t="shared" si="19"/>
        <v/>
      </c>
      <c r="K1328" s="28" t="str">
        <f t="shared" si="24"/>
        <v/>
      </c>
      <c r="L1328" s="45" t="str">
        <f t="shared" si="25"/>
        <v/>
      </c>
      <c r="M1328" s="45" t="str">
        <f t="shared" si="26"/>
        <v/>
      </c>
      <c r="N1328" s="45" t="str">
        <f t="shared" si="27"/>
        <v/>
      </c>
      <c r="O1328" s="45">
        <f t="shared" si="28"/>
        <v>1</v>
      </c>
      <c r="P1328" s="45" t="str">
        <f t="shared" si="29"/>
        <v/>
      </c>
    </row>
    <row r="1329" spans="1:16" ht="17.25">
      <c r="A1329" s="276" t="s">
        <v>6403</v>
      </c>
      <c r="B1329" s="277">
        <v>2020</v>
      </c>
      <c r="C1329" s="276"/>
      <c r="D1329" s="277">
        <v>31982148</v>
      </c>
      <c r="E1329" s="278" t="str">
        <f t="shared" si="23"/>
        <v>https://pubmed.ncbi.nlm.nih.gov/31982148</v>
      </c>
      <c r="F1329" s="28" t="s">
        <v>511</v>
      </c>
      <c r="G1329" s="28" t="s">
        <v>4867</v>
      </c>
      <c r="J1329" s="346" t="str">
        <f t="shared" si="19"/>
        <v/>
      </c>
      <c r="K1329" s="28" t="str">
        <f t="shared" si="24"/>
        <v/>
      </c>
      <c r="L1329" s="45" t="str">
        <f t="shared" si="25"/>
        <v/>
      </c>
      <c r="M1329" s="45" t="str">
        <f t="shared" si="26"/>
        <v/>
      </c>
      <c r="N1329" s="45">
        <f t="shared" si="27"/>
        <v>1</v>
      </c>
      <c r="O1329" s="45" t="str">
        <f t="shared" si="28"/>
        <v/>
      </c>
      <c r="P1329" s="45" t="str">
        <f t="shared" si="29"/>
        <v/>
      </c>
    </row>
    <row r="1330" spans="1:16" ht="17.25">
      <c r="A1330" s="276" t="s">
        <v>6404</v>
      </c>
      <c r="B1330" s="277">
        <v>2021</v>
      </c>
      <c r="C1330" s="276"/>
      <c r="D1330" s="277">
        <v>32926834</v>
      </c>
      <c r="E1330" s="278" t="str">
        <f t="shared" si="23"/>
        <v>https://pubmed.ncbi.nlm.nih.gov/32926834</v>
      </c>
      <c r="F1330" s="28" t="s">
        <v>511</v>
      </c>
      <c r="G1330" s="28" t="s">
        <v>4744</v>
      </c>
      <c r="J1330" s="346" t="str">
        <f t="shared" si="19"/>
        <v/>
      </c>
      <c r="K1330" s="28" t="str">
        <f t="shared" si="24"/>
        <v/>
      </c>
      <c r="L1330" s="45" t="str">
        <f t="shared" si="25"/>
        <v/>
      </c>
      <c r="M1330" s="45" t="str">
        <f t="shared" si="26"/>
        <v/>
      </c>
      <c r="N1330" s="45">
        <f t="shared" si="27"/>
        <v>1</v>
      </c>
      <c r="O1330" s="45" t="str">
        <f t="shared" si="28"/>
        <v/>
      </c>
      <c r="P1330" s="45" t="str">
        <f t="shared" si="29"/>
        <v/>
      </c>
    </row>
    <row r="1331" spans="1:16" ht="17.25">
      <c r="A1331" s="276" t="s">
        <v>6405</v>
      </c>
      <c r="B1331" s="277">
        <v>2016</v>
      </c>
      <c r="C1331" s="276" t="s">
        <v>6406</v>
      </c>
      <c r="D1331" s="277">
        <v>26780742</v>
      </c>
      <c r="E1331" s="278" t="str">
        <f t="shared" si="23"/>
        <v>https://pubmed.ncbi.nlm.nih.gov/26780742</v>
      </c>
      <c r="F1331" s="28" t="s">
        <v>511</v>
      </c>
      <c r="G1331" s="28" t="s">
        <v>4592</v>
      </c>
      <c r="J1331" s="346">
        <f t="shared" si="19"/>
        <v>1</v>
      </c>
      <c r="K1331" s="28" t="str">
        <f t="shared" si="24"/>
        <v/>
      </c>
      <c r="L1331" s="45" t="str">
        <f t="shared" si="25"/>
        <v/>
      </c>
      <c r="M1331" s="45" t="str">
        <f t="shared" si="26"/>
        <v/>
      </c>
      <c r="N1331" s="45" t="str">
        <f t="shared" si="27"/>
        <v/>
      </c>
      <c r="O1331" s="45" t="str">
        <f t="shared" si="28"/>
        <v/>
      </c>
      <c r="P1331" s="45" t="str">
        <f t="shared" si="29"/>
        <v/>
      </c>
    </row>
    <row r="1332" spans="1:16" ht="17.25">
      <c r="A1332" s="276" t="s">
        <v>6407</v>
      </c>
      <c r="B1332" s="277">
        <v>2020</v>
      </c>
      <c r="C1332" s="276"/>
      <c r="D1332" s="277">
        <v>33252045</v>
      </c>
      <c r="E1332" s="278" t="str">
        <f t="shared" si="23"/>
        <v>https://pubmed.ncbi.nlm.nih.gov/33252045</v>
      </c>
      <c r="F1332" s="28" t="s">
        <v>511</v>
      </c>
      <c r="G1332" s="28" t="s">
        <v>4587</v>
      </c>
      <c r="J1332" s="346" t="str">
        <f t="shared" si="19"/>
        <v/>
      </c>
      <c r="K1332" s="28" t="str">
        <f t="shared" si="24"/>
        <v/>
      </c>
      <c r="L1332" s="45" t="str">
        <f t="shared" si="25"/>
        <v/>
      </c>
      <c r="M1332" s="45">
        <f t="shared" si="26"/>
        <v>1</v>
      </c>
      <c r="N1332" s="45" t="str">
        <f t="shared" si="27"/>
        <v/>
      </c>
      <c r="O1332" s="45" t="str">
        <f t="shared" si="28"/>
        <v/>
      </c>
      <c r="P1332" s="45" t="str">
        <f t="shared" si="29"/>
        <v/>
      </c>
    </row>
    <row r="1333" spans="1:16" ht="17.25">
      <c r="A1333" s="276" t="s">
        <v>6408</v>
      </c>
      <c r="B1333" s="277">
        <v>1990</v>
      </c>
      <c r="C1333" s="276"/>
      <c r="D1333" s="277">
        <v>2193497</v>
      </c>
      <c r="E1333" s="278" t="str">
        <f t="shared" si="23"/>
        <v>https://pubmed.ncbi.nlm.nih.gov/2193497</v>
      </c>
      <c r="F1333" s="28" t="s">
        <v>511</v>
      </c>
      <c r="G1333" s="28" t="s">
        <v>4867</v>
      </c>
      <c r="J1333" s="346" t="str">
        <f t="shared" si="19"/>
        <v/>
      </c>
      <c r="K1333" s="28" t="str">
        <f t="shared" si="24"/>
        <v/>
      </c>
      <c r="L1333" s="45" t="str">
        <f t="shared" si="25"/>
        <v/>
      </c>
      <c r="M1333" s="45" t="str">
        <f t="shared" si="26"/>
        <v/>
      </c>
      <c r="N1333" s="45">
        <f t="shared" si="27"/>
        <v>1</v>
      </c>
      <c r="O1333" s="45" t="str">
        <f t="shared" si="28"/>
        <v/>
      </c>
      <c r="P1333" s="45" t="str">
        <f t="shared" si="29"/>
        <v/>
      </c>
    </row>
    <row r="1334" spans="1:16" ht="17.25">
      <c r="A1334" s="276" t="s">
        <v>6409</v>
      </c>
      <c r="B1334" s="277">
        <v>2005</v>
      </c>
      <c r="C1334" s="276"/>
      <c r="D1334" s="277">
        <v>15673386</v>
      </c>
      <c r="E1334" s="278" t="str">
        <f t="shared" si="23"/>
        <v>https://pubmed.ncbi.nlm.nih.gov/15673386</v>
      </c>
      <c r="F1334" s="28" t="s">
        <v>511</v>
      </c>
      <c r="G1334" s="28" t="s">
        <v>4744</v>
      </c>
      <c r="J1334" s="346" t="str">
        <f t="shared" si="19"/>
        <v/>
      </c>
      <c r="K1334" s="28" t="str">
        <f t="shared" si="24"/>
        <v/>
      </c>
      <c r="L1334" s="45" t="str">
        <f t="shared" si="25"/>
        <v/>
      </c>
      <c r="M1334" s="45" t="str">
        <f t="shared" si="26"/>
        <v/>
      </c>
      <c r="N1334" s="45">
        <f t="shared" si="27"/>
        <v>1</v>
      </c>
      <c r="O1334" s="45" t="str">
        <f t="shared" si="28"/>
        <v/>
      </c>
      <c r="P1334" s="45" t="str">
        <f t="shared" si="29"/>
        <v/>
      </c>
    </row>
    <row r="1335" spans="1:16" ht="17.25">
      <c r="A1335" s="276" t="s">
        <v>6410</v>
      </c>
      <c r="B1335" s="277">
        <v>2015</v>
      </c>
      <c r="C1335" s="276" t="s">
        <v>6411</v>
      </c>
      <c r="D1335" s="277">
        <v>25577042</v>
      </c>
      <c r="E1335" s="278" t="str">
        <f t="shared" si="23"/>
        <v>https://pubmed.ncbi.nlm.nih.gov/25577042</v>
      </c>
      <c r="F1335" s="28" t="s">
        <v>511</v>
      </c>
      <c r="G1335" s="28" t="s">
        <v>6412</v>
      </c>
      <c r="J1335" s="346" t="str">
        <f t="shared" si="19"/>
        <v/>
      </c>
      <c r="K1335" s="28" t="str">
        <f t="shared" si="24"/>
        <v/>
      </c>
      <c r="L1335" s="45" t="str">
        <f t="shared" si="25"/>
        <v/>
      </c>
      <c r="M1335" s="45" t="str">
        <f t="shared" si="26"/>
        <v/>
      </c>
      <c r="N1335" s="45">
        <f t="shared" si="27"/>
        <v>1</v>
      </c>
      <c r="O1335" s="45" t="str">
        <f t="shared" si="28"/>
        <v/>
      </c>
      <c r="P1335" s="45" t="str">
        <f t="shared" si="29"/>
        <v/>
      </c>
    </row>
    <row r="1336" spans="1:16" ht="17.25">
      <c r="A1336" s="276" t="s">
        <v>6413</v>
      </c>
      <c r="B1336" s="277">
        <v>2017</v>
      </c>
      <c r="C1336" s="276" t="s">
        <v>6414</v>
      </c>
      <c r="D1336" s="277">
        <v>30787745</v>
      </c>
      <c r="E1336" s="278" t="str">
        <f t="shared" si="23"/>
        <v>https://pubmed.ncbi.nlm.nih.gov/30787745</v>
      </c>
      <c r="F1336" s="28" t="s">
        <v>511</v>
      </c>
      <c r="G1336" s="28" t="s">
        <v>4592</v>
      </c>
      <c r="J1336" s="346">
        <f t="shared" si="19"/>
        <v>1</v>
      </c>
      <c r="K1336" s="28" t="str">
        <f t="shared" si="24"/>
        <v/>
      </c>
      <c r="L1336" s="45" t="str">
        <f t="shared" si="25"/>
        <v/>
      </c>
      <c r="M1336" s="45" t="str">
        <f t="shared" si="26"/>
        <v/>
      </c>
      <c r="N1336" s="45" t="str">
        <f t="shared" si="27"/>
        <v/>
      </c>
      <c r="O1336" s="45" t="str">
        <f t="shared" si="28"/>
        <v/>
      </c>
      <c r="P1336" s="45" t="str">
        <f t="shared" si="29"/>
        <v/>
      </c>
    </row>
    <row r="1337" spans="1:16" ht="17.25">
      <c r="A1337" s="276" t="s">
        <v>6415</v>
      </c>
      <c r="B1337" s="277">
        <v>2004</v>
      </c>
      <c r="C1337" s="276" t="s">
        <v>6416</v>
      </c>
      <c r="D1337" s="277">
        <v>15266443</v>
      </c>
      <c r="E1337" s="278" t="str">
        <f t="shared" si="23"/>
        <v>https://pubmed.ncbi.nlm.nih.gov/15266443</v>
      </c>
      <c r="F1337" s="28" t="s">
        <v>511</v>
      </c>
      <c r="G1337" s="28" t="s">
        <v>4592</v>
      </c>
      <c r="J1337" s="346">
        <f t="shared" si="19"/>
        <v>1</v>
      </c>
      <c r="K1337" s="28" t="str">
        <f t="shared" si="24"/>
        <v/>
      </c>
      <c r="L1337" s="45" t="str">
        <f t="shared" si="25"/>
        <v/>
      </c>
      <c r="M1337" s="45" t="str">
        <f t="shared" si="26"/>
        <v/>
      </c>
      <c r="N1337" s="45" t="str">
        <f t="shared" si="27"/>
        <v/>
      </c>
      <c r="O1337" s="45" t="str">
        <f t="shared" si="28"/>
        <v/>
      </c>
      <c r="P1337" s="45" t="str">
        <f t="shared" si="29"/>
        <v/>
      </c>
    </row>
    <row r="1338" spans="1:16" ht="17.25">
      <c r="A1338" s="276" t="s">
        <v>6417</v>
      </c>
      <c r="B1338" s="277">
        <v>2017</v>
      </c>
      <c r="C1338" s="276"/>
      <c r="D1338" s="277">
        <v>27664969</v>
      </c>
      <c r="E1338" s="278" t="str">
        <f t="shared" si="23"/>
        <v>https://pubmed.ncbi.nlm.nih.gov/27664969</v>
      </c>
      <c r="F1338" s="28" t="s">
        <v>511</v>
      </c>
      <c r="G1338" s="28" t="s">
        <v>5299</v>
      </c>
      <c r="J1338" s="346" t="str">
        <f t="shared" si="19"/>
        <v/>
      </c>
      <c r="K1338" s="28" t="str">
        <f t="shared" si="24"/>
        <v/>
      </c>
      <c r="L1338" s="45" t="str">
        <f t="shared" si="25"/>
        <v/>
      </c>
      <c r="M1338" s="45" t="str">
        <f t="shared" si="26"/>
        <v/>
      </c>
      <c r="N1338" s="45">
        <f t="shared" si="27"/>
        <v>1</v>
      </c>
      <c r="O1338" s="45" t="str">
        <f t="shared" si="28"/>
        <v/>
      </c>
      <c r="P1338" s="45" t="str">
        <f t="shared" si="29"/>
        <v/>
      </c>
    </row>
    <row r="1339" spans="1:16" ht="17.25">
      <c r="A1339" s="276" t="s">
        <v>6418</v>
      </c>
      <c r="B1339" s="277">
        <v>2003</v>
      </c>
      <c r="C1339" s="276"/>
      <c r="D1339" s="277">
        <v>14515117</v>
      </c>
      <c r="E1339" s="278" t="str">
        <f t="shared" si="23"/>
        <v>https://pubmed.ncbi.nlm.nih.gov/14515117</v>
      </c>
      <c r="F1339" s="28" t="s">
        <v>511</v>
      </c>
      <c r="G1339" s="28" t="s">
        <v>4592</v>
      </c>
      <c r="J1339" s="346">
        <f t="shared" si="19"/>
        <v>1</v>
      </c>
      <c r="K1339" s="28" t="str">
        <f t="shared" si="24"/>
        <v/>
      </c>
      <c r="L1339" s="45" t="str">
        <f t="shared" si="25"/>
        <v/>
      </c>
      <c r="M1339" s="45" t="str">
        <f t="shared" si="26"/>
        <v/>
      </c>
      <c r="N1339" s="45" t="str">
        <f t="shared" si="27"/>
        <v/>
      </c>
      <c r="O1339" s="45" t="str">
        <f t="shared" si="28"/>
        <v/>
      </c>
      <c r="P1339" s="45" t="str">
        <f t="shared" si="29"/>
        <v/>
      </c>
    </row>
    <row r="1340" spans="1:16" ht="17.25">
      <c r="A1340" s="276" t="s">
        <v>6419</v>
      </c>
      <c r="B1340" s="277">
        <v>2018</v>
      </c>
      <c r="C1340" s="276" t="s">
        <v>6420</v>
      </c>
      <c r="D1340" s="277">
        <v>29372930</v>
      </c>
      <c r="E1340" s="278" t="str">
        <f t="shared" si="23"/>
        <v>https://pubmed.ncbi.nlm.nih.gov/29372930</v>
      </c>
      <c r="F1340" s="28" t="s">
        <v>511</v>
      </c>
      <c r="G1340" s="28" t="s">
        <v>4592</v>
      </c>
      <c r="J1340" s="346">
        <f t="shared" si="19"/>
        <v>1</v>
      </c>
      <c r="K1340" s="28" t="str">
        <f t="shared" si="24"/>
        <v/>
      </c>
      <c r="L1340" s="45" t="str">
        <f t="shared" si="25"/>
        <v/>
      </c>
      <c r="M1340" s="45" t="str">
        <f t="shared" si="26"/>
        <v/>
      </c>
      <c r="N1340" s="45" t="str">
        <f t="shared" si="27"/>
        <v/>
      </c>
      <c r="O1340" s="45" t="str">
        <f t="shared" si="28"/>
        <v/>
      </c>
      <c r="P1340" s="45" t="str">
        <f t="shared" si="29"/>
        <v/>
      </c>
    </row>
    <row r="1341" spans="1:16" ht="17.25">
      <c r="A1341" s="276" t="s">
        <v>6421</v>
      </c>
      <c r="B1341" s="277">
        <v>2016</v>
      </c>
      <c r="C1341" s="276" t="s">
        <v>6422</v>
      </c>
      <c r="D1341" s="277">
        <v>26862016</v>
      </c>
      <c r="E1341" s="278" t="str">
        <f t="shared" si="23"/>
        <v>https://pubmed.ncbi.nlm.nih.gov/26862016</v>
      </c>
      <c r="F1341" s="28" t="s">
        <v>511</v>
      </c>
      <c r="G1341" s="28" t="s">
        <v>4592</v>
      </c>
      <c r="J1341" s="346">
        <f t="shared" si="19"/>
        <v>1</v>
      </c>
      <c r="K1341" s="28" t="str">
        <f t="shared" si="24"/>
        <v/>
      </c>
      <c r="L1341" s="45" t="str">
        <f t="shared" si="25"/>
        <v/>
      </c>
      <c r="M1341" s="45" t="str">
        <f t="shared" si="26"/>
        <v/>
      </c>
      <c r="N1341" s="45" t="str">
        <f t="shared" si="27"/>
        <v/>
      </c>
      <c r="O1341" s="45" t="str">
        <f t="shared" si="28"/>
        <v/>
      </c>
      <c r="P1341" s="45" t="str">
        <f t="shared" si="29"/>
        <v/>
      </c>
    </row>
    <row r="1342" spans="1:16" ht="17.25">
      <c r="A1342" s="276" t="s">
        <v>6423</v>
      </c>
      <c r="B1342" s="277">
        <v>2019</v>
      </c>
      <c r="C1342" s="276"/>
      <c r="D1342" s="277">
        <v>31221539</v>
      </c>
      <c r="E1342" s="278" t="str">
        <f t="shared" si="23"/>
        <v>https://pubmed.ncbi.nlm.nih.gov/31221539</v>
      </c>
      <c r="F1342" s="28" t="s">
        <v>511</v>
      </c>
      <c r="G1342" s="28" t="s">
        <v>6220</v>
      </c>
      <c r="J1342" s="346">
        <f t="shared" si="19"/>
        <v>1</v>
      </c>
      <c r="K1342" s="28" t="str">
        <f t="shared" si="24"/>
        <v/>
      </c>
      <c r="L1342" s="45" t="str">
        <f t="shared" si="25"/>
        <v/>
      </c>
      <c r="M1342" s="45" t="str">
        <f t="shared" si="26"/>
        <v/>
      </c>
      <c r="N1342" s="45" t="str">
        <f t="shared" si="27"/>
        <v/>
      </c>
      <c r="O1342" s="45" t="str">
        <f t="shared" si="28"/>
        <v/>
      </c>
      <c r="P1342" s="45" t="str">
        <f t="shared" si="29"/>
        <v/>
      </c>
    </row>
    <row r="1343" spans="1:16" ht="17.25">
      <c r="A1343" s="276" t="s">
        <v>6423</v>
      </c>
      <c r="B1343" s="277">
        <v>2018</v>
      </c>
      <c r="C1343" s="276"/>
      <c r="D1343" s="277">
        <v>29804736</v>
      </c>
      <c r="E1343" s="278" t="str">
        <f t="shared" si="23"/>
        <v>https://pubmed.ncbi.nlm.nih.gov/29804736</v>
      </c>
      <c r="F1343" s="28" t="s">
        <v>511</v>
      </c>
      <c r="G1343" s="28" t="s">
        <v>4592</v>
      </c>
      <c r="J1343" s="346">
        <f t="shared" si="19"/>
        <v>1</v>
      </c>
      <c r="K1343" s="28" t="str">
        <f t="shared" si="24"/>
        <v/>
      </c>
      <c r="L1343" s="45" t="str">
        <f t="shared" si="25"/>
        <v/>
      </c>
      <c r="M1343" s="45" t="str">
        <f t="shared" si="26"/>
        <v/>
      </c>
      <c r="N1343" s="45" t="str">
        <f t="shared" si="27"/>
        <v/>
      </c>
      <c r="O1343" s="45" t="str">
        <f t="shared" si="28"/>
        <v/>
      </c>
      <c r="P1343" s="45" t="str">
        <f t="shared" si="29"/>
        <v/>
      </c>
    </row>
    <row r="1344" spans="1:16" ht="17.25">
      <c r="A1344" s="276" t="s">
        <v>6423</v>
      </c>
      <c r="B1344" s="277">
        <v>2019</v>
      </c>
      <c r="C1344" s="276"/>
      <c r="D1344" s="277">
        <v>31159976</v>
      </c>
      <c r="E1344" s="278" t="str">
        <f t="shared" si="23"/>
        <v>https://pubmed.ncbi.nlm.nih.gov/31159976</v>
      </c>
      <c r="F1344" s="28" t="s">
        <v>511</v>
      </c>
      <c r="G1344" s="28" t="s">
        <v>6220</v>
      </c>
      <c r="J1344" s="346">
        <f t="shared" si="19"/>
        <v>1</v>
      </c>
      <c r="K1344" s="28" t="str">
        <f t="shared" si="24"/>
        <v/>
      </c>
      <c r="L1344" s="45" t="str">
        <f t="shared" si="25"/>
        <v/>
      </c>
      <c r="M1344" s="45" t="str">
        <f t="shared" si="26"/>
        <v/>
      </c>
      <c r="N1344" s="45" t="str">
        <f t="shared" si="27"/>
        <v/>
      </c>
      <c r="O1344" s="45" t="str">
        <f t="shared" si="28"/>
        <v/>
      </c>
      <c r="P1344" s="45" t="str">
        <f t="shared" si="29"/>
        <v/>
      </c>
    </row>
    <row r="1345" spans="1:16" ht="17.25">
      <c r="A1345" s="276" t="s">
        <v>6424</v>
      </c>
      <c r="B1345" s="277">
        <v>2011</v>
      </c>
      <c r="C1345" s="276"/>
      <c r="D1345" s="277">
        <v>21884857</v>
      </c>
      <c r="E1345" s="278" t="str">
        <f t="shared" si="23"/>
        <v>https://pubmed.ncbi.nlm.nih.gov/21884857</v>
      </c>
      <c r="F1345" s="28" t="s">
        <v>511</v>
      </c>
      <c r="G1345" s="28" t="s">
        <v>4867</v>
      </c>
      <c r="J1345" s="346" t="str">
        <f t="shared" si="19"/>
        <v/>
      </c>
      <c r="K1345" s="28" t="str">
        <f t="shared" si="24"/>
        <v/>
      </c>
      <c r="L1345" s="45" t="str">
        <f t="shared" si="25"/>
        <v/>
      </c>
      <c r="M1345" s="45" t="str">
        <f t="shared" si="26"/>
        <v/>
      </c>
      <c r="N1345" s="45">
        <f t="shared" si="27"/>
        <v>1</v>
      </c>
      <c r="O1345" s="45" t="str">
        <f t="shared" si="28"/>
        <v/>
      </c>
      <c r="P1345" s="45" t="str">
        <f t="shared" si="29"/>
        <v/>
      </c>
    </row>
    <row r="1346" spans="1:16" ht="17.25">
      <c r="A1346" s="276" t="s">
        <v>6425</v>
      </c>
      <c r="B1346" s="277">
        <v>2018</v>
      </c>
      <c r="C1346" s="276" t="s">
        <v>6426</v>
      </c>
      <c r="D1346" s="277">
        <v>29482936</v>
      </c>
      <c r="E1346" s="278" t="str">
        <f t="shared" si="23"/>
        <v>https://pubmed.ncbi.nlm.nih.gov/29482936</v>
      </c>
      <c r="F1346" s="28" t="s">
        <v>511</v>
      </c>
      <c r="G1346" s="28" t="s">
        <v>5157</v>
      </c>
      <c r="J1346" s="346" t="str">
        <f t="shared" si="19"/>
        <v/>
      </c>
      <c r="K1346" s="28" t="str">
        <f t="shared" si="24"/>
        <v/>
      </c>
      <c r="L1346" s="45" t="str">
        <f t="shared" si="25"/>
        <v/>
      </c>
      <c r="M1346" s="45" t="str">
        <f t="shared" si="26"/>
        <v/>
      </c>
      <c r="N1346" s="45">
        <f t="shared" si="27"/>
        <v>1</v>
      </c>
      <c r="O1346" s="45" t="str">
        <f t="shared" si="28"/>
        <v/>
      </c>
      <c r="P1346" s="45" t="str">
        <f t="shared" si="29"/>
        <v/>
      </c>
    </row>
    <row r="1347" spans="1:16" ht="17.25">
      <c r="A1347" s="276" t="s">
        <v>6427</v>
      </c>
      <c r="B1347" s="277">
        <v>2019</v>
      </c>
      <c r="C1347" s="276"/>
      <c r="D1347" s="277">
        <v>30488367</v>
      </c>
      <c r="E1347" s="278" t="str">
        <f t="shared" si="23"/>
        <v>https://pubmed.ncbi.nlm.nih.gov/30488367</v>
      </c>
      <c r="F1347" s="28" t="s">
        <v>511</v>
      </c>
      <c r="G1347" s="28" t="s">
        <v>5157</v>
      </c>
      <c r="J1347" s="346" t="str">
        <f t="shared" si="19"/>
        <v/>
      </c>
      <c r="K1347" s="28" t="str">
        <f t="shared" si="24"/>
        <v/>
      </c>
      <c r="L1347" s="45" t="str">
        <f t="shared" si="25"/>
        <v/>
      </c>
      <c r="M1347" s="45" t="str">
        <f t="shared" si="26"/>
        <v/>
      </c>
      <c r="N1347" s="45">
        <f t="shared" si="27"/>
        <v>1</v>
      </c>
      <c r="O1347" s="45" t="str">
        <f t="shared" si="28"/>
        <v/>
      </c>
      <c r="P1347" s="45" t="str">
        <f t="shared" si="29"/>
        <v/>
      </c>
    </row>
    <row r="1348" spans="1:16" ht="17.25">
      <c r="A1348" s="276" t="s">
        <v>6428</v>
      </c>
      <c r="B1348" s="277">
        <v>2011</v>
      </c>
      <c r="C1348" s="276"/>
      <c r="D1348" s="277">
        <v>21414048</v>
      </c>
      <c r="E1348" s="278" t="str">
        <f t="shared" si="23"/>
        <v>https://pubmed.ncbi.nlm.nih.gov/21414048</v>
      </c>
      <c r="F1348" s="28" t="s">
        <v>511</v>
      </c>
      <c r="G1348" s="28" t="s">
        <v>4744</v>
      </c>
      <c r="I1348" s="28" t="s">
        <v>6429</v>
      </c>
      <c r="J1348" s="346" t="str">
        <f t="shared" si="19"/>
        <v/>
      </c>
      <c r="K1348" s="28" t="str">
        <f t="shared" si="24"/>
        <v/>
      </c>
      <c r="L1348" s="45" t="str">
        <f t="shared" si="25"/>
        <v/>
      </c>
      <c r="M1348" s="45" t="str">
        <f t="shared" si="26"/>
        <v/>
      </c>
      <c r="N1348" s="45">
        <f t="shared" si="27"/>
        <v>1</v>
      </c>
      <c r="O1348" s="45" t="str">
        <f t="shared" si="28"/>
        <v/>
      </c>
      <c r="P1348" s="45" t="str">
        <f t="shared" si="29"/>
        <v/>
      </c>
    </row>
    <row r="1349" spans="1:16" ht="17.25">
      <c r="A1349" s="276" t="s">
        <v>6430</v>
      </c>
      <c r="B1349" s="277">
        <v>2015</v>
      </c>
      <c r="C1349" s="276"/>
      <c r="D1349" s="277">
        <v>26380384</v>
      </c>
      <c r="E1349" s="278" t="str">
        <f t="shared" si="23"/>
        <v>https://pubmed.ncbi.nlm.nih.gov/26380384</v>
      </c>
      <c r="F1349" s="28" t="s">
        <v>511</v>
      </c>
      <c r="G1349" s="28" t="s">
        <v>6431</v>
      </c>
      <c r="J1349" s="346" t="str">
        <f t="shared" si="19"/>
        <v/>
      </c>
      <c r="K1349" s="28" t="str">
        <f t="shared" si="24"/>
        <v/>
      </c>
      <c r="L1349" s="45" t="str">
        <f t="shared" si="25"/>
        <v/>
      </c>
      <c r="M1349" s="45" t="str">
        <f t="shared" si="26"/>
        <v/>
      </c>
      <c r="N1349" s="45" t="str">
        <f t="shared" si="27"/>
        <v/>
      </c>
      <c r="O1349" s="45">
        <f t="shared" si="28"/>
        <v>1</v>
      </c>
      <c r="P1349" s="45" t="str">
        <f t="shared" si="29"/>
        <v/>
      </c>
    </row>
    <row r="1350" spans="1:16" ht="17.25">
      <c r="A1350" s="276" t="s">
        <v>6432</v>
      </c>
      <c r="B1350" s="277">
        <v>2018</v>
      </c>
      <c r="C1350" s="276" t="s">
        <v>6433</v>
      </c>
      <c r="D1350" s="277">
        <v>29242014</v>
      </c>
      <c r="E1350" s="278" t="str">
        <f t="shared" si="23"/>
        <v>https://pubmed.ncbi.nlm.nih.gov/29242014</v>
      </c>
      <c r="F1350" s="28" t="s">
        <v>511</v>
      </c>
      <c r="G1350" s="28" t="s">
        <v>4744</v>
      </c>
      <c r="I1350" s="28" t="s">
        <v>6429</v>
      </c>
      <c r="J1350" s="346" t="str">
        <f t="shared" si="19"/>
        <v/>
      </c>
      <c r="K1350" s="28" t="str">
        <f t="shared" si="24"/>
        <v/>
      </c>
      <c r="L1350" s="45" t="str">
        <f t="shared" si="25"/>
        <v/>
      </c>
      <c r="M1350" s="45" t="str">
        <f t="shared" si="26"/>
        <v/>
      </c>
      <c r="N1350" s="45">
        <f t="shared" si="27"/>
        <v>1</v>
      </c>
      <c r="O1350" s="45" t="str">
        <f t="shared" si="28"/>
        <v/>
      </c>
      <c r="P1350" s="45" t="str">
        <f t="shared" si="29"/>
        <v/>
      </c>
    </row>
    <row r="1351" spans="1:16" ht="17.25">
      <c r="A1351" s="276" t="s">
        <v>6434</v>
      </c>
      <c r="B1351" s="277">
        <v>2017</v>
      </c>
      <c r="C1351" s="276" t="s">
        <v>6435</v>
      </c>
      <c r="D1351" s="277">
        <v>28586918</v>
      </c>
      <c r="E1351" s="278" t="str">
        <f t="shared" si="23"/>
        <v>https://pubmed.ncbi.nlm.nih.gov/28586918</v>
      </c>
      <c r="F1351" s="28" t="s">
        <v>511</v>
      </c>
      <c r="G1351" s="28" t="s">
        <v>5157</v>
      </c>
      <c r="J1351" s="346" t="str">
        <f t="shared" si="19"/>
        <v/>
      </c>
      <c r="K1351" s="28" t="str">
        <f t="shared" si="24"/>
        <v/>
      </c>
      <c r="L1351" s="45" t="str">
        <f t="shared" si="25"/>
        <v/>
      </c>
      <c r="M1351" s="45" t="str">
        <f t="shared" si="26"/>
        <v/>
      </c>
      <c r="N1351" s="45">
        <f t="shared" si="27"/>
        <v>1</v>
      </c>
      <c r="O1351" s="45" t="str">
        <f t="shared" si="28"/>
        <v/>
      </c>
      <c r="P1351" s="45" t="str">
        <f t="shared" si="29"/>
        <v/>
      </c>
    </row>
    <row r="1352" spans="1:16" ht="17.25">
      <c r="A1352" s="276" t="s">
        <v>6436</v>
      </c>
      <c r="B1352" s="277">
        <v>2020</v>
      </c>
      <c r="C1352" s="276" t="s">
        <v>6437</v>
      </c>
      <c r="D1352" s="277">
        <v>32876697</v>
      </c>
      <c r="E1352" s="278" t="str">
        <f t="shared" si="23"/>
        <v>https://pubmed.ncbi.nlm.nih.gov/32876697</v>
      </c>
      <c r="F1352" s="28" t="s">
        <v>511</v>
      </c>
      <c r="G1352" s="28" t="s">
        <v>4744</v>
      </c>
      <c r="J1352" s="346" t="str">
        <f t="shared" si="19"/>
        <v/>
      </c>
      <c r="K1352" s="28" t="str">
        <f t="shared" si="24"/>
        <v/>
      </c>
      <c r="L1352" s="45" t="str">
        <f t="shared" si="25"/>
        <v/>
      </c>
      <c r="M1352" s="45" t="str">
        <f t="shared" si="26"/>
        <v/>
      </c>
      <c r="N1352" s="45">
        <f t="shared" si="27"/>
        <v>1</v>
      </c>
      <c r="O1352" s="45" t="str">
        <f t="shared" si="28"/>
        <v/>
      </c>
      <c r="P1352" s="45" t="str">
        <f t="shared" si="29"/>
        <v/>
      </c>
    </row>
    <row r="1353" spans="1:16" ht="17.25">
      <c r="A1353" s="276" t="s">
        <v>6438</v>
      </c>
      <c r="B1353" s="277">
        <v>2002</v>
      </c>
      <c r="C1353" s="276"/>
      <c r="D1353" s="277">
        <v>12186604</v>
      </c>
      <c r="E1353" s="278" t="str">
        <f t="shared" si="23"/>
        <v>https://pubmed.ncbi.nlm.nih.gov/12186604</v>
      </c>
      <c r="F1353" s="28" t="s">
        <v>511</v>
      </c>
      <c r="G1353" s="28" t="s">
        <v>4744</v>
      </c>
      <c r="J1353" s="346" t="str">
        <f t="shared" si="19"/>
        <v/>
      </c>
      <c r="K1353" s="28" t="str">
        <f t="shared" si="24"/>
        <v/>
      </c>
      <c r="L1353" s="45" t="str">
        <f t="shared" si="25"/>
        <v/>
      </c>
      <c r="M1353" s="45" t="str">
        <f t="shared" si="26"/>
        <v/>
      </c>
      <c r="N1353" s="45">
        <f t="shared" si="27"/>
        <v>1</v>
      </c>
      <c r="O1353" s="45" t="str">
        <f t="shared" si="28"/>
        <v/>
      </c>
      <c r="P1353" s="45" t="str">
        <f t="shared" si="29"/>
        <v/>
      </c>
    </row>
    <row r="1354" spans="1:16" ht="17.25">
      <c r="A1354" s="276" t="s">
        <v>6439</v>
      </c>
      <c r="B1354" s="277">
        <v>2012</v>
      </c>
      <c r="C1354" s="276" t="s">
        <v>6440</v>
      </c>
      <c r="D1354" s="277">
        <v>22192254</v>
      </c>
      <c r="E1354" s="278" t="str">
        <f t="shared" si="23"/>
        <v>https://pubmed.ncbi.nlm.nih.gov/22192254</v>
      </c>
      <c r="F1354" s="28" t="s">
        <v>511</v>
      </c>
      <c r="G1354" s="28" t="s">
        <v>4592</v>
      </c>
      <c r="J1354" s="346">
        <f t="shared" si="19"/>
        <v>1</v>
      </c>
      <c r="K1354" s="28" t="str">
        <f t="shared" si="24"/>
        <v/>
      </c>
      <c r="L1354" s="45" t="str">
        <f t="shared" si="25"/>
        <v/>
      </c>
      <c r="M1354" s="45" t="str">
        <f t="shared" si="26"/>
        <v/>
      </c>
      <c r="N1354" s="45" t="str">
        <f t="shared" si="27"/>
        <v/>
      </c>
      <c r="O1354" s="45" t="str">
        <f t="shared" si="28"/>
        <v/>
      </c>
      <c r="P1354" s="45" t="str">
        <f t="shared" si="29"/>
        <v/>
      </c>
    </row>
    <row r="1355" spans="1:16" ht="17.25">
      <c r="A1355" s="276" t="s">
        <v>6441</v>
      </c>
      <c r="B1355" s="277">
        <v>2004</v>
      </c>
      <c r="C1355" s="276"/>
      <c r="D1355" s="277">
        <v>15538306</v>
      </c>
      <c r="E1355" s="278" t="str">
        <f t="shared" si="23"/>
        <v>https://pubmed.ncbi.nlm.nih.gov/15538306</v>
      </c>
      <c r="F1355" s="28" t="s">
        <v>511</v>
      </c>
      <c r="G1355" s="28" t="s">
        <v>6442</v>
      </c>
      <c r="J1355" s="346">
        <f t="shared" si="19"/>
        <v>1</v>
      </c>
      <c r="K1355" s="28" t="str">
        <f t="shared" si="24"/>
        <v/>
      </c>
      <c r="L1355" s="45" t="str">
        <f t="shared" si="25"/>
        <v/>
      </c>
      <c r="M1355" s="45" t="str">
        <f t="shared" si="26"/>
        <v/>
      </c>
      <c r="N1355" s="45" t="str">
        <f t="shared" si="27"/>
        <v/>
      </c>
      <c r="O1355" s="45" t="str">
        <f t="shared" si="28"/>
        <v/>
      </c>
      <c r="P1355" s="45" t="str">
        <f t="shared" si="29"/>
        <v/>
      </c>
    </row>
    <row r="1356" spans="1:16" ht="17.25">
      <c r="A1356" s="276" t="s">
        <v>6443</v>
      </c>
      <c r="B1356" s="277">
        <v>2008</v>
      </c>
      <c r="C1356" s="276"/>
      <c r="D1356" s="277">
        <v>18536575</v>
      </c>
      <c r="E1356" s="278" t="str">
        <f t="shared" si="23"/>
        <v>https://pubmed.ncbi.nlm.nih.gov/18536575</v>
      </c>
      <c r="F1356" s="28" t="s">
        <v>511</v>
      </c>
      <c r="G1356" s="28" t="s">
        <v>4592</v>
      </c>
      <c r="J1356" s="346">
        <f t="shared" si="19"/>
        <v>1</v>
      </c>
      <c r="K1356" s="28" t="str">
        <f t="shared" si="24"/>
        <v/>
      </c>
      <c r="L1356" s="45" t="str">
        <f t="shared" si="25"/>
        <v/>
      </c>
      <c r="M1356" s="45" t="str">
        <f t="shared" si="26"/>
        <v/>
      </c>
      <c r="N1356" s="45" t="str">
        <f t="shared" si="27"/>
        <v/>
      </c>
      <c r="O1356" s="45" t="str">
        <f t="shared" si="28"/>
        <v/>
      </c>
      <c r="P1356" s="45" t="str">
        <f t="shared" si="29"/>
        <v/>
      </c>
    </row>
    <row r="1357" spans="1:16" ht="17.25">
      <c r="A1357" s="276" t="s">
        <v>6444</v>
      </c>
      <c r="B1357" s="277">
        <v>2013</v>
      </c>
      <c r="C1357" s="276"/>
      <c r="D1357" s="277">
        <v>23317632</v>
      </c>
      <c r="E1357" s="278" t="str">
        <f t="shared" si="23"/>
        <v>https://pubmed.ncbi.nlm.nih.gov/23317632</v>
      </c>
      <c r="F1357" s="28" t="s">
        <v>511</v>
      </c>
      <c r="G1357" s="28" t="s">
        <v>4744</v>
      </c>
      <c r="J1357" s="346" t="str">
        <f t="shared" si="19"/>
        <v/>
      </c>
      <c r="K1357" s="28" t="str">
        <f t="shared" si="24"/>
        <v/>
      </c>
      <c r="L1357" s="45" t="str">
        <f t="shared" si="25"/>
        <v/>
      </c>
      <c r="M1357" s="45" t="str">
        <f t="shared" si="26"/>
        <v/>
      </c>
      <c r="N1357" s="45">
        <f t="shared" si="27"/>
        <v>1</v>
      </c>
      <c r="O1357" s="45" t="str">
        <f t="shared" si="28"/>
        <v/>
      </c>
      <c r="P1357" s="45" t="str">
        <f t="shared" si="29"/>
        <v/>
      </c>
    </row>
    <row r="1358" spans="1:16" ht="17.25">
      <c r="A1358" s="276" t="s">
        <v>6445</v>
      </c>
      <c r="B1358" s="277">
        <v>2001</v>
      </c>
      <c r="C1358" s="276"/>
      <c r="D1358" s="277">
        <v>11816438</v>
      </c>
      <c r="E1358" s="278" t="str">
        <f t="shared" si="23"/>
        <v>https://pubmed.ncbi.nlm.nih.gov/11816438</v>
      </c>
      <c r="F1358" s="28" t="s">
        <v>511</v>
      </c>
      <c r="G1358" s="28" t="s">
        <v>6220</v>
      </c>
      <c r="J1358" s="346">
        <f t="shared" si="19"/>
        <v>1</v>
      </c>
      <c r="K1358" s="28" t="str">
        <f t="shared" si="24"/>
        <v/>
      </c>
      <c r="L1358" s="45" t="str">
        <f t="shared" si="25"/>
        <v/>
      </c>
      <c r="M1358" s="45" t="str">
        <f t="shared" si="26"/>
        <v/>
      </c>
      <c r="N1358" s="45" t="str">
        <f t="shared" si="27"/>
        <v/>
      </c>
      <c r="O1358" s="45" t="str">
        <f t="shared" si="28"/>
        <v/>
      </c>
      <c r="P1358" s="45" t="str">
        <f t="shared" si="29"/>
        <v/>
      </c>
    </row>
    <row r="1359" spans="1:16" ht="17.25">
      <c r="A1359" s="276" t="s">
        <v>6446</v>
      </c>
      <c r="B1359" s="277">
        <v>2009</v>
      </c>
      <c r="C1359" s="276"/>
      <c r="D1359" s="277">
        <v>19650816</v>
      </c>
      <c r="E1359" s="278" t="str">
        <f t="shared" si="23"/>
        <v>https://pubmed.ncbi.nlm.nih.gov/19650816</v>
      </c>
      <c r="F1359" s="28" t="s">
        <v>511</v>
      </c>
      <c r="G1359" s="28" t="s">
        <v>6447</v>
      </c>
      <c r="J1359" s="346" t="str">
        <f t="shared" si="19"/>
        <v/>
      </c>
      <c r="K1359" s="28" t="str">
        <f t="shared" si="24"/>
        <v/>
      </c>
      <c r="L1359" s="45" t="str">
        <f t="shared" si="25"/>
        <v/>
      </c>
      <c r="M1359" s="45" t="str">
        <f t="shared" si="26"/>
        <v/>
      </c>
      <c r="N1359" s="45">
        <f t="shared" si="27"/>
        <v>1</v>
      </c>
      <c r="O1359" s="45" t="str">
        <f t="shared" si="28"/>
        <v/>
      </c>
      <c r="P1359" s="45" t="str">
        <f t="shared" si="29"/>
        <v/>
      </c>
    </row>
    <row r="1360" spans="1:16" ht="17.25">
      <c r="A1360" s="276" t="s">
        <v>6448</v>
      </c>
      <c r="B1360" s="277">
        <v>2019</v>
      </c>
      <c r="C1360" s="276" t="s">
        <v>6449</v>
      </c>
      <c r="D1360" s="277">
        <v>30311743</v>
      </c>
      <c r="E1360" s="278" t="str">
        <f t="shared" si="23"/>
        <v>https://pubmed.ncbi.nlm.nih.gov/30311743</v>
      </c>
      <c r="F1360" s="28" t="s">
        <v>511</v>
      </c>
      <c r="G1360" s="28" t="s">
        <v>6220</v>
      </c>
      <c r="J1360" s="346">
        <f t="shared" si="19"/>
        <v>1</v>
      </c>
      <c r="K1360" s="28" t="str">
        <f t="shared" si="24"/>
        <v/>
      </c>
      <c r="L1360" s="45" t="str">
        <f t="shared" si="25"/>
        <v/>
      </c>
      <c r="M1360" s="45" t="str">
        <f t="shared" si="26"/>
        <v/>
      </c>
      <c r="N1360" s="45" t="str">
        <f t="shared" si="27"/>
        <v/>
      </c>
      <c r="O1360" s="45" t="str">
        <f t="shared" si="28"/>
        <v/>
      </c>
      <c r="P1360" s="45" t="str">
        <f t="shared" si="29"/>
        <v/>
      </c>
    </row>
    <row r="1361" spans="1:16" ht="17.25">
      <c r="A1361" s="276" t="s">
        <v>6450</v>
      </c>
      <c r="B1361" s="277">
        <v>2004</v>
      </c>
      <c r="C1361" s="276"/>
      <c r="D1361" s="277">
        <v>15134469</v>
      </c>
      <c r="E1361" s="278" t="str">
        <f t="shared" si="23"/>
        <v>https://pubmed.ncbi.nlm.nih.gov/15134469</v>
      </c>
      <c r="F1361" s="28" t="s">
        <v>511</v>
      </c>
      <c r="G1361" s="28" t="s">
        <v>4592</v>
      </c>
      <c r="J1361" s="346">
        <f t="shared" si="19"/>
        <v>1</v>
      </c>
      <c r="K1361" s="28" t="str">
        <f t="shared" si="24"/>
        <v/>
      </c>
      <c r="L1361" s="45" t="str">
        <f t="shared" si="25"/>
        <v/>
      </c>
      <c r="M1361" s="45" t="str">
        <f t="shared" si="26"/>
        <v/>
      </c>
      <c r="N1361" s="45" t="str">
        <f t="shared" si="27"/>
        <v/>
      </c>
      <c r="O1361" s="45" t="str">
        <f t="shared" si="28"/>
        <v/>
      </c>
      <c r="P1361" s="45" t="str">
        <f t="shared" si="29"/>
        <v/>
      </c>
    </row>
    <row r="1362" spans="1:16" ht="17.25">
      <c r="A1362" s="276" t="s">
        <v>6451</v>
      </c>
      <c r="B1362" s="277">
        <v>2011</v>
      </c>
      <c r="C1362" s="276"/>
      <c r="D1362" s="277">
        <v>21457235</v>
      </c>
      <c r="E1362" s="278" t="str">
        <f t="shared" si="23"/>
        <v>https://pubmed.ncbi.nlm.nih.gov/21457235</v>
      </c>
      <c r="F1362" s="28" t="s">
        <v>511</v>
      </c>
      <c r="G1362" s="28" t="s">
        <v>5299</v>
      </c>
      <c r="J1362" s="346" t="str">
        <f t="shared" si="19"/>
        <v/>
      </c>
      <c r="K1362" s="28" t="str">
        <f t="shared" si="24"/>
        <v/>
      </c>
      <c r="L1362" s="45" t="str">
        <f t="shared" si="25"/>
        <v/>
      </c>
      <c r="M1362" s="45" t="str">
        <f t="shared" si="26"/>
        <v/>
      </c>
      <c r="N1362" s="45">
        <f t="shared" si="27"/>
        <v>1</v>
      </c>
      <c r="O1362" s="45" t="str">
        <f t="shared" si="28"/>
        <v/>
      </c>
      <c r="P1362" s="45" t="str">
        <f t="shared" si="29"/>
        <v/>
      </c>
    </row>
    <row r="1363" spans="1:16" ht="17.25">
      <c r="A1363" s="276" t="s">
        <v>6452</v>
      </c>
      <c r="B1363" s="277">
        <v>2010</v>
      </c>
      <c r="C1363" s="276" t="s">
        <v>6453</v>
      </c>
      <c r="D1363" s="277">
        <v>20156911</v>
      </c>
      <c r="E1363" s="278" t="str">
        <f t="shared" si="23"/>
        <v>https://pubmed.ncbi.nlm.nih.gov/20156911</v>
      </c>
      <c r="F1363" s="28" t="s">
        <v>511</v>
      </c>
      <c r="G1363" s="28" t="s">
        <v>6220</v>
      </c>
      <c r="J1363" s="346">
        <f t="shared" si="19"/>
        <v>1</v>
      </c>
      <c r="K1363" s="28" t="str">
        <f t="shared" si="24"/>
        <v/>
      </c>
      <c r="L1363" s="45" t="str">
        <f t="shared" si="25"/>
        <v/>
      </c>
      <c r="M1363" s="45" t="str">
        <f t="shared" si="26"/>
        <v/>
      </c>
      <c r="N1363" s="45" t="str">
        <f t="shared" si="27"/>
        <v/>
      </c>
      <c r="O1363" s="45" t="str">
        <f t="shared" si="28"/>
        <v/>
      </c>
      <c r="P1363" s="45" t="str">
        <f t="shared" si="29"/>
        <v/>
      </c>
    </row>
    <row r="1364" spans="1:16" ht="17.25">
      <c r="A1364" s="276" t="s">
        <v>6454</v>
      </c>
      <c r="B1364" s="277">
        <v>2017</v>
      </c>
      <c r="C1364" s="276" t="s">
        <v>6455</v>
      </c>
      <c r="D1364" s="277">
        <v>28715157</v>
      </c>
      <c r="E1364" s="278" t="str">
        <f t="shared" si="23"/>
        <v>https://pubmed.ncbi.nlm.nih.gov/28715157</v>
      </c>
      <c r="F1364" s="28" t="s">
        <v>511</v>
      </c>
      <c r="G1364" s="28" t="s">
        <v>4744</v>
      </c>
      <c r="J1364" s="346" t="str">
        <f t="shared" si="19"/>
        <v/>
      </c>
      <c r="K1364" s="28" t="str">
        <f t="shared" si="24"/>
        <v/>
      </c>
      <c r="L1364" s="45" t="str">
        <f t="shared" si="25"/>
        <v/>
      </c>
      <c r="M1364" s="45" t="str">
        <f t="shared" si="26"/>
        <v/>
      </c>
      <c r="N1364" s="45">
        <f t="shared" si="27"/>
        <v>1</v>
      </c>
      <c r="O1364" s="45" t="str">
        <f t="shared" si="28"/>
        <v/>
      </c>
      <c r="P1364" s="45" t="str">
        <f t="shared" si="29"/>
        <v/>
      </c>
    </row>
    <row r="1365" spans="1:16" ht="17.25">
      <c r="A1365" s="276" t="s">
        <v>6456</v>
      </c>
      <c r="B1365" s="277">
        <v>2001</v>
      </c>
      <c r="C1365" s="276"/>
      <c r="D1365" s="277">
        <v>11297595</v>
      </c>
      <c r="E1365" s="278" t="str">
        <f t="shared" si="23"/>
        <v>https://pubmed.ncbi.nlm.nih.gov/11297595</v>
      </c>
      <c r="F1365" s="28" t="s">
        <v>511</v>
      </c>
      <c r="G1365" s="28" t="s">
        <v>4867</v>
      </c>
      <c r="J1365" s="346" t="str">
        <f t="shared" si="19"/>
        <v/>
      </c>
      <c r="K1365" s="28" t="str">
        <f t="shared" si="24"/>
        <v/>
      </c>
      <c r="L1365" s="45" t="str">
        <f t="shared" si="25"/>
        <v/>
      </c>
      <c r="M1365" s="45" t="str">
        <f t="shared" si="26"/>
        <v/>
      </c>
      <c r="N1365" s="45">
        <f t="shared" si="27"/>
        <v>1</v>
      </c>
      <c r="O1365" s="45" t="str">
        <f t="shared" si="28"/>
        <v/>
      </c>
      <c r="P1365" s="45" t="str">
        <f t="shared" si="29"/>
        <v/>
      </c>
    </row>
    <row r="1366" spans="1:16" ht="17.25">
      <c r="A1366" s="276" t="s">
        <v>6457</v>
      </c>
      <c r="B1366" s="277">
        <v>2012</v>
      </c>
      <c r="C1366" s="276"/>
      <c r="D1366" s="277">
        <v>22504775</v>
      </c>
      <c r="E1366" s="278" t="str">
        <f t="shared" si="23"/>
        <v>https://pubmed.ncbi.nlm.nih.gov/22504775</v>
      </c>
      <c r="F1366" s="28" t="s">
        <v>511</v>
      </c>
      <c r="G1366" s="28" t="s">
        <v>6458</v>
      </c>
      <c r="J1366" s="346" t="str">
        <f t="shared" si="19"/>
        <v/>
      </c>
      <c r="K1366" s="28">
        <f t="shared" si="24"/>
        <v>1</v>
      </c>
      <c r="L1366" s="45" t="str">
        <f t="shared" si="25"/>
        <v/>
      </c>
      <c r="M1366" s="45" t="str">
        <f t="shared" si="26"/>
        <v/>
      </c>
      <c r="N1366" s="45" t="str">
        <f t="shared" si="27"/>
        <v/>
      </c>
      <c r="O1366" s="45" t="str">
        <f t="shared" si="28"/>
        <v/>
      </c>
      <c r="P1366" s="45" t="str">
        <f t="shared" si="29"/>
        <v/>
      </c>
    </row>
    <row r="1367" spans="1:16" ht="17.25">
      <c r="A1367" s="276" t="s">
        <v>6459</v>
      </c>
      <c r="B1367" s="277">
        <v>1996</v>
      </c>
      <c r="C1367" s="276"/>
      <c r="D1367" s="277">
        <v>8938880</v>
      </c>
      <c r="E1367" s="278" t="str">
        <f t="shared" si="23"/>
        <v>https://pubmed.ncbi.nlm.nih.gov/8938880</v>
      </c>
      <c r="F1367" s="28" t="s">
        <v>511</v>
      </c>
      <c r="G1367" s="28" t="s">
        <v>4744</v>
      </c>
      <c r="I1367" s="28" t="s">
        <v>6460</v>
      </c>
      <c r="J1367" s="346" t="str">
        <f t="shared" si="19"/>
        <v/>
      </c>
      <c r="K1367" s="28" t="str">
        <f t="shared" si="24"/>
        <v/>
      </c>
      <c r="L1367" s="45" t="str">
        <f t="shared" si="25"/>
        <v/>
      </c>
      <c r="M1367" s="45" t="str">
        <f t="shared" si="26"/>
        <v/>
      </c>
      <c r="N1367" s="45">
        <f t="shared" si="27"/>
        <v>1</v>
      </c>
      <c r="O1367" s="45" t="str">
        <f t="shared" si="28"/>
        <v/>
      </c>
      <c r="P1367" s="45" t="str">
        <f t="shared" si="29"/>
        <v/>
      </c>
    </row>
    <row r="1368" spans="1:16" ht="17.25">
      <c r="A1368" s="276" t="s">
        <v>6461</v>
      </c>
      <c r="B1368" s="277">
        <v>2020</v>
      </c>
      <c r="C1368" s="276" t="s">
        <v>6462</v>
      </c>
      <c r="D1368" s="277">
        <v>32034026</v>
      </c>
      <c r="E1368" s="278" t="str">
        <f t="shared" si="23"/>
        <v>https://pubmed.ncbi.nlm.nih.gov/32034026</v>
      </c>
      <c r="F1368" s="28" t="s">
        <v>511</v>
      </c>
      <c r="G1368" s="28" t="s">
        <v>6463</v>
      </c>
      <c r="J1368" s="346">
        <f t="shared" si="19"/>
        <v>1</v>
      </c>
      <c r="K1368" s="28" t="str">
        <f t="shared" si="24"/>
        <v/>
      </c>
      <c r="L1368" s="45" t="str">
        <f t="shared" si="25"/>
        <v/>
      </c>
      <c r="M1368" s="45" t="str">
        <f t="shared" si="26"/>
        <v/>
      </c>
      <c r="N1368" s="45" t="str">
        <f t="shared" si="27"/>
        <v/>
      </c>
      <c r="O1368" s="45" t="str">
        <f t="shared" si="28"/>
        <v/>
      </c>
      <c r="P1368" s="45" t="str">
        <f t="shared" si="29"/>
        <v/>
      </c>
    </row>
    <row r="1369" spans="1:16" ht="17.25">
      <c r="A1369" s="276" t="s">
        <v>6464</v>
      </c>
      <c r="B1369" s="277">
        <v>2006</v>
      </c>
      <c r="C1369" s="276"/>
      <c r="D1369" s="277">
        <v>16714917</v>
      </c>
      <c r="E1369" s="278" t="str">
        <f t="shared" si="23"/>
        <v>https://pubmed.ncbi.nlm.nih.gov/16714917</v>
      </c>
      <c r="F1369" s="28" t="s">
        <v>511</v>
      </c>
      <c r="G1369" s="28" t="s">
        <v>4592</v>
      </c>
      <c r="J1369" s="346">
        <f t="shared" si="19"/>
        <v>1</v>
      </c>
      <c r="K1369" s="28" t="str">
        <f t="shared" si="24"/>
        <v/>
      </c>
      <c r="L1369" s="45" t="str">
        <f t="shared" si="25"/>
        <v/>
      </c>
      <c r="M1369" s="45" t="str">
        <f t="shared" si="26"/>
        <v/>
      </c>
      <c r="N1369" s="45" t="str">
        <f t="shared" si="27"/>
        <v/>
      </c>
      <c r="O1369" s="45" t="str">
        <f t="shared" si="28"/>
        <v/>
      </c>
      <c r="P1369" s="45" t="str">
        <f t="shared" si="29"/>
        <v/>
      </c>
    </row>
    <row r="1370" spans="1:16" ht="17.25">
      <c r="A1370" s="276" t="s">
        <v>6465</v>
      </c>
      <c r="B1370" s="277">
        <v>2010</v>
      </c>
      <c r="C1370" s="276"/>
      <c r="D1370" s="277">
        <v>20629597</v>
      </c>
      <c r="E1370" s="278" t="str">
        <f t="shared" si="23"/>
        <v>https://pubmed.ncbi.nlm.nih.gov/20629597</v>
      </c>
      <c r="F1370" s="28" t="s">
        <v>511</v>
      </c>
      <c r="G1370" s="28" t="s">
        <v>5157</v>
      </c>
      <c r="J1370" s="346" t="str">
        <f t="shared" si="19"/>
        <v/>
      </c>
      <c r="K1370" s="28" t="str">
        <f t="shared" si="24"/>
        <v/>
      </c>
      <c r="L1370" s="45" t="str">
        <f t="shared" si="25"/>
        <v/>
      </c>
      <c r="M1370" s="45" t="str">
        <f t="shared" si="26"/>
        <v/>
      </c>
      <c r="N1370" s="45">
        <f t="shared" si="27"/>
        <v>1</v>
      </c>
      <c r="O1370" s="45" t="str">
        <f t="shared" si="28"/>
        <v/>
      </c>
      <c r="P1370" s="45" t="str">
        <f t="shared" si="29"/>
        <v/>
      </c>
    </row>
    <row r="1371" spans="1:16" ht="17.25">
      <c r="A1371" s="276" t="s">
        <v>4003</v>
      </c>
      <c r="B1371" s="277">
        <v>2017</v>
      </c>
      <c r="C1371" s="276" t="s">
        <v>6466</v>
      </c>
      <c r="D1371" s="277">
        <v>28457665</v>
      </c>
      <c r="E1371" s="278" t="str">
        <f t="shared" si="23"/>
        <v>https://pubmed.ncbi.nlm.nih.gov/28457665</v>
      </c>
      <c r="H1371" s="28" t="s">
        <v>511</v>
      </c>
      <c r="J1371" s="346" t="str">
        <f t="shared" si="19"/>
        <v/>
      </c>
      <c r="K1371" s="28" t="str">
        <f t="shared" si="24"/>
        <v/>
      </c>
      <c r="L1371" s="45" t="str">
        <f t="shared" si="25"/>
        <v/>
      </c>
      <c r="M1371" s="45" t="str">
        <f t="shared" si="26"/>
        <v/>
      </c>
      <c r="N1371" s="45" t="str">
        <f t="shared" si="27"/>
        <v/>
      </c>
      <c r="O1371" s="45" t="str">
        <f t="shared" si="28"/>
        <v/>
      </c>
      <c r="P1371" s="45" t="str">
        <f t="shared" si="29"/>
        <v/>
      </c>
    </row>
    <row r="1372" spans="1:16" ht="17.25">
      <c r="A1372" s="276" t="s">
        <v>6467</v>
      </c>
      <c r="B1372" s="277">
        <v>2020</v>
      </c>
      <c r="C1372" s="276" t="s">
        <v>6468</v>
      </c>
      <c r="D1372" s="277">
        <v>32605578</v>
      </c>
      <c r="E1372" s="278" t="str">
        <f t="shared" si="23"/>
        <v>https://pubmed.ncbi.nlm.nih.gov/32605578</v>
      </c>
      <c r="F1372" s="28" t="s">
        <v>511</v>
      </c>
      <c r="G1372" s="28" t="s">
        <v>6469</v>
      </c>
      <c r="J1372" s="346" t="str">
        <f t="shared" si="19"/>
        <v/>
      </c>
      <c r="K1372" s="28" t="str">
        <f t="shared" si="24"/>
        <v/>
      </c>
      <c r="L1372" s="45" t="str">
        <f t="shared" si="25"/>
        <v/>
      </c>
      <c r="M1372" s="45" t="str">
        <f t="shared" si="26"/>
        <v/>
      </c>
      <c r="N1372" s="45">
        <f t="shared" si="27"/>
        <v>1</v>
      </c>
      <c r="O1372" s="45" t="str">
        <f t="shared" si="28"/>
        <v/>
      </c>
      <c r="P1372" s="45" t="str">
        <f t="shared" si="29"/>
        <v/>
      </c>
    </row>
    <row r="1373" spans="1:16" ht="17.25">
      <c r="A1373" s="276" t="s">
        <v>6470</v>
      </c>
      <c r="B1373" s="277">
        <v>2013</v>
      </c>
      <c r="C1373" s="276" t="s">
        <v>6471</v>
      </c>
      <c r="D1373" s="277">
        <v>23425012</v>
      </c>
      <c r="E1373" s="278" t="str">
        <f t="shared" si="23"/>
        <v>https://pubmed.ncbi.nlm.nih.gov/23425012</v>
      </c>
      <c r="F1373" s="28" t="s">
        <v>511</v>
      </c>
      <c r="G1373" s="28" t="s">
        <v>4867</v>
      </c>
      <c r="J1373" s="346" t="str">
        <f t="shared" si="19"/>
        <v/>
      </c>
      <c r="K1373" s="28" t="str">
        <f t="shared" si="24"/>
        <v/>
      </c>
      <c r="L1373" s="45" t="str">
        <f t="shared" si="25"/>
        <v/>
      </c>
      <c r="M1373" s="45" t="str">
        <f t="shared" si="26"/>
        <v/>
      </c>
      <c r="N1373" s="45">
        <f t="shared" si="27"/>
        <v>1</v>
      </c>
      <c r="O1373" s="45" t="str">
        <f t="shared" si="28"/>
        <v/>
      </c>
      <c r="P1373" s="45" t="str">
        <f t="shared" si="29"/>
        <v/>
      </c>
    </row>
    <row r="1374" spans="1:16" ht="17.25">
      <c r="A1374" s="276" t="s">
        <v>6472</v>
      </c>
      <c r="B1374" s="277">
        <v>2015</v>
      </c>
      <c r="C1374" s="276"/>
      <c r="D1374" s="277">
        <v>26647887</v>
      </c>
      <c r="E1374" s="278" t="str">
        <f t="shared" si="23"/>
        <v>https://pubmed.ncbi.nlm.nih.gov/26647887</v>
      </c>
      <c r="F1374" s="28" t="s">
        <v>511</v>
      </c>
      <c r="G1374" s="28" t="s">
        <v>4587</v>
      </c>
      <c r="J1374" s="346" t="str">
        <f t="shared" si="19"/>
        <v/>
      </c>
      <c r="K1374" s="28" t="str">
        <f t="shared" si="24"/>
        <v/>
      </c>
      <c r="L1374" s="45" t="str">
        <f t="shared" si="25"/>
        <v/>
      </c>
      <c r="M1374" s="45">
        <f t="shared" si="26"/>
        <v>1</v>
      </c>
      <c r="N1374" s="45" t="str">
        <f t="shared" si="27"/>
        <v/>
      </c>
      <c r="O1374" s="45" t="str">
        <f t="shared" si="28"/>
        <v/>
      </c>
      <c r="P1374" s="45" t="str">
        <f t="shared" si="29"/>
        <v/>
      </c>
    </row>
    <row r="1375" spans="1:16" ht="17.25">
      <c r="A1375" s="276" t="s">
        <v>6473</v>
      </c>
      <c r="B1375" s="277">
        <v>2013</v>
      </c>
      <c r="C1375" s="276"/>
      <c r="D1375" s="277">
        <v>23257948</v>
      </c>
      <c r="E1375" s="278" t="str">
        <f t="shared" si="23"/>
        <v>https://pubmed.ncbi.nlm.nih.gov/23257948</v>
      </c>
      <c r="F1375" s="28" t="s">
        <v>511</v>
      </c>
      <c r="G1375" s="28" t="s">
        <v>6220</v>
      </c>
      <c r="J1375" s="346">
        <f t="shared" si="19"/>
        <v>1</v>
      </c>
      <c r="K1375" s="28" t="str">
        <f t="shared" si="24"/>
        <v/>
      </c>
      <c r="L1375" s="45" t="str">
        <f t="shared" si="25"/>
        <v/>
      </c>
      <c r="M1375" s="45" t="str">
        <f t="shared" si="26"/>
        <v/>
      </c>
      <c r="N1375" s="45" t="str">
        <f t="shared" si="27"/>
        <v/>
      </c>
      <c r="O1375" s="45" t="str">
        <f t="shared" si="28"/>
        <v/>
      </c>
      <c r="P1375" s="45" t="str">
        <f t="shared" si="29"/>
        <v/>
      </c>
    </row>
    <row r="1376" spans="1:16" ht="17.25">
      <c r="A1376" s="276" t="s">
        <v>6474</v>
      </c>
      <c r="B1376" s="277">
        <v>2015</v>
      </c>
      <c r="C1376" s="276" t="s">
        <v>6475</v>
      </c>
      <c r="D1376" s="277">
        <v>26604728</v>
      </c>
      <c r="E1376" s="278" t="str">
        <f t="shared" si="23"/>
        <v>https://pubmed.ncbi.nlm.nih.gov/26604728</v>
      </c>
      <c r="F1376" s="28" t="s">
        <v>511</v>
      </c>
      <c r="G1376" s="28" t="s">
        <v>4744</v>
      </c>
      <c r="J1376" s="346" t="str">
        <f t="shared" si="19"/>
        <v/>
      </c>
      <c r="K1376" s="28" t="str">
        <f t="shared" si="24"/>
        <v/>
      </c>
      <c r="L1376" s="45" t="str">
        <f t="shared" si="25"/>
        <v/>
      </c>
      <c r="M1376" s="45" t="str">
        <f t="shared" si="26"/>
        <v/>
      </c>
      <c r="N1376" s="45">
        <f t="shared" si="27"/>
        <v>1</v>
      </c>
      <c r="O1376" s="45" t="str">
        <f t="shared" si="28"/>
        <v/>
      </c>
      <c r="P1376" s="45" t="str">
        <f t="shared" si="29"/>
        <v/>
      </c>
    </row>
    <row r="1377" spans="1:16" ht="17.25">
      <c r="A1377" s="276" t="s">
        <v>6476</v>
      </c>
      <c r="B1377" s="277">
        <v>2004</v>
      </c>
      <c r="C1377" s="276"/>
      <c r="D1377" s="277">
        <v>15218439</v>
      </c>
      <c r="E1377" s="278" t="str">
        <f t="shared" si="23"/>
        <v>https://pubmed.ncbi.nlm.nih.gov/15218439</v>
      </c>
      <c r="F1377" s="28" t="s">
        <v>511</v>
      </c>
      <c r="G1377" s="28" t="s">
        <v>4867</v>
      </c>
      <c r="J1377" s="346" t="str">
        <f t="shared" si="19"/>
        <v/>
      </c>
      <c r="K1377" s="28" t="str">
        <f t="shared" si="24"/>
        <v/>
      </c>
      <c r="L1377" s="45" t="str">
        <f t="shared" si="25"/>
        <v/>
      </c>
      <c r="M1377" s="45" t="str">
        <f t="shared" si="26"/>
        <v/>
      </c>
      <c r="N1377" s="45">
        <f t="shared" si="27"/>
        <v>1</v>
      </c>
      <c r="O1377" s="45" t="str">
        <f t="shared" si="28"/>
        <v/>
      </c>
      <c r="P1377" s="45" t="str">
        <f t="shared" si="29"/>
        <v/>
      </c>
    </row>
    <row r="1378" spans="1:16" ht="17.25">
      <c r="A1378" s="276" t="s">
        <v>6477</v>
      </c>
      <c r="B1378" s="277">
        <v>2020</v>
      </c>
      <c r="C1378" s="276" t="s">
        <v>6478</v>
      </c>
      <c r="D1378" s="277">
        <v>32813272</v>
      </c>
      <c r="E1378" s="278" t="str">
        <f t="shared" si="23"/>
        <v>https://pubmed.ncbi.nlm.nih.gov/32813272</v>
      </c>
      <c r="F1378" s="28" t="s">
        <v>511</v>
      </c>
      <c r="G1378" s="28" t="s">
        <v>6220</v>
      </c>
      <c r="J1378" s="346">
        <f t="shared" si="19"/>
        <v>1</v>
      </c>
      <c r="K1378" s="28" t="str">
        <f t="shared" si="24"/>
        <v/>
      </c>
      <c r="L1378" s="45" t="str">
        <f t="shared" si="25"/>
        <v/>
      </c>
      <c r="M1378" s="45" t="str">
        <f t="shared" si="26"/>
        <v/>
      </c>
      <c r="N1378" s="45" t="str">
        <f t="shared" si="27"/>
        <v/>
      </c>
      <c r="O1378" s="45" t="str">
        <f t="shared" si="28"/>
        <v/>
      </c>
      <c r="P1378" s="45" t="str">
        <f t="shared" si="29"/>
        <v/>
      </c>
    </row>
    <row r="1379" spans="1:16" ht="17.25">
      <c r="A1379" s="276" t="s">
        <v>6479</v>
      </c>
      <c r="B1379" s="277">
        <v>2010</v>
      </c>
      <c r="C1379" s="276"/>
      <c r="D1379" s="277">
        <v>20806986</v>
      </c>
      <c r="E1379" s="278" t="str">
        <f t="shared" si="23"/>
        <v>https://pubmed.ncbi.nlm.nih.gov/20806986</v>
      </c>
      <c r="F1379" s="28" t="s">
        <v>511</v>
      </c>
      <c r="G1379" s="28" t="s">
        <v>4592</v>
      </c>
      <c r="J1379" s="346">
        <f t="shared" si="19"/>
        <v>1</v>
      </c>
      <c r="K1379" s="28" t="str">
        <f t="shared" si="24"/>
        <v/>
      </c>
      <c r="L1379" s="45" t="str">
        <f t="shared" si="25"/>
        <v/>
      </c>
      <c r="M1379" s="45" t="str">
        <f t="shared" si="26"/>
        <v/>
      </c>
      <c r="N1379" s="45" t="str">
        <f t="shared" si="27"/>
        <v/>
      </c>
      <c r="O1379" s="45" t="str">
        <f t="shared" si="28"/>
        <v/>
      </c>
      <c r="P1379" s="45" t="str">
        <f t="shared" si="29"/>
        <v/>
      </c>
    </row>
    <row r="1380" spans="1:16" ht="17.25">
      <c r="A1380" s="276" t="s">
        <v>6480</v>
      </c>
      <c r="B1380" s="277">
        <v>2012</v>
      </c>
      <c r="C1380" s="276"/>
      <c r="D1380" s="277">
        <v>23102749</v>
      </c>
      <c r="E1380" s="278" t="str">
        <f t="shared" si="23"/>
        <v>https://pubmed.ncbi.nlm.nih.gov/23102749</v>
      </c>
      <c r="F1380" s="28" t="s">
        <v>511</v>
      </c>
      <c r="G1380" s="28" t="s">
        <v>6220</v>
      </c>
      <c r="J1380" s="346">
        <f t="shared" si="19"/>
        <v>1</v>
      </c>
      <c r="K1380" s="28" t="str">
        <f t="shared" si="24"/>
        <v/>
      </c>
      <c r="L1380" s="45" t="str">
        <f t="shared" si="25"/>
        <v/>
      </c>
      <c r="M1380" s="45" t="str">
        <f t="shared" si="26"/>
        <v/>
      </c>
      <c r="N1380" s="45" t="str">
        <f t="shared" si="27"/>
        <v/>
      </c>
      <c r="O1380" s="45" t="str">
        <f t="shared" si="28"/>
        <v/>
      </c>
      <c r="P1380" s="45" t="str">
        <f t="shared" si="29"/>
        <v/>
      </c>
    </row>
    <row r="1381" spans="1:16" ht="17.25">
      <c r="A1381" s="276" t="s">
        <v>6481</v>
      </c>
      <c r="B1381" s="277">
        <v>2019</v>
      </c>
      <c r="C1381" s="276" t="s">
        <v>6482</v>
      </c>
      <c r="D1381" s="277">
        <v>31394914</v>
      </c>
      <c r="E1381" s="278" t="str">
        <f t="shared" si="23"/>
        <v>https://pubmed.ncbi.nlm.nih.gov/31394914</v>
      </c>
      <c r="F1381" s="28" t="s">
        <v>511</v>
      </c>
      <c r="G1381" s="28" t="s">
        <v>5157</v>
      </c>
      <c r="J1381" s="346" t="str">
        <f t="shared" si="19"/>
        <v/>
      </c>
      <c r="K1381" s="28" t="str">
        <f t="shared" si="24"/>
        <v/>
      </c>
      <c r="L1381" s="45" t="str">
        <f t="shared" si="25"/>
        <v/>
      </c>
      <c r="M1381" s="45" t="str">
        <f t="shared" si="26"/>
        <v/>
      </c>
      <c r="N1381" s="45">
        <f t="shared" si="27"/>
        <v>1</v>
      </c>
      <c r="O1381" s="45" t="str">
        <f t="shared" si="28"/>
        <v/>
      </c>
      <c r="P1381" s="45" t="str">
        <f t="shared" si="29"/>
        <v/>
      </c>
    </row>
    <row r="1382" spans="1:16" ht="17.25">
      <c r="A1382" s="276" t="s">
        <v>6483</v>
      </c>
      <c r="B1382" s="277">
        <v>2013</v>
      </c>
      <c r="C1382" s="276"/>
      <c r="D1382" s="277">
        <v>23213075</v>
      </c>
      <c r="E1382" s="278" t="str">
        <f t="shared" si="23"/>
        <v>https://pubmed.ncbi.nlm.nih.gov/23213075</v>
      </c>
      <c r="F1382" s="28" t="s">
        <v>511</v>
      </c>
      <c r="G1382" s="28" t="s">
        <v>4744</v>
      </c>
      <c r="J1382" s="346" t="str">
        <f t="shared" si="19"/>
        <v/>
      </c>
      <c r="K1382" s="28" t="str">
        <f t="shared" si="24"/>
        <v/>
      </c>
      <c r="L1382" s="45" t="str">
        <f t="shared" si="25"/>
        <v/>
      </c>
      <c r="M1382" s="45" t="str">
        <f t="shared" si="26"/>
        <v/>
      </c>
      <c r="N1382" s="45">
        <f t="shared" si="27"/>
        <v>1</v>
      </c>
      <c r="O1382" s="45" t="str">
        <f t="shared" si="28"/>
        <v/>
      </c>
      <c r="P1382" s="45" t="str">
        <f t="shared" si="29"/>
        <v/>
      </c>
    </row>
    <row r="1383" spans="1:16" ht="17.25">
      <c r="A1383" s="276" t="s">
        <v>6484</v>
      </c>
      <c r="B1383" s="277">
        <v>2019</v>
      </c>
      <c r="C1383" s="276"/>
      <c r="D1383" s="277">
        <v>30336497</v>
      </c>
      <c r="E1383" s="278" t="str">
        <f t="shared" si="23"/>
        <v>https://pubmed.ncbi.nlm.nih.gov/30336497</v>
      </c>
      <c r="F1383" s="28" t="s">
        <v>511</v>
      </c>
      <c r="G1383" s="28" t="s">
        <v>4592</v>
      </c>
      <c r="J1383" s="346">
        <f t="shared" si="19"/>
        <v>1</v>
      </c>
      <c r="K1383" s="28" t="str">
        <f t="shared" si="24"/>
        <v/>
      </c>
      <c r="L1383" s="45" t="str">
        <f t="shared" si="25"/>
        <v/>
      </c>
      <c r="M1383" s="45" t="str">
        <f t="shared" si="26"/>
        <v/>
      </c>
      <c r="N1383" s="45" t="str">
        <f t="shared" si="27"/>
        <v/>
      </c>
      <c r="O1383" s="45" t="str">
        <f t="shared" si="28"/>
        <v/>
      </c>
      <c r="P1383" s="45" t="str">
        <f t="shared" si="29"/>
        <v/>
      </c>
    </row>
    <row r="1384" spans="1:16" ht="17.25">
      <c r="A1384" s="276" t="s">
        <v>6485</v>
      </c>
      <c r="B1384" s="277">
        <v>2000</v>
      </c>
      <c r="C1384" s="276"/>
      <c r="D1384" s="277">
        <v>11022799</v>
      </c>
      <c r="E1384" s="278" t="str">
        <f t="shared" si="23"/>
        <v>https://pubmed.ncbi.nlm.nih.gov/11022799</v>
      </c>
      <c r="F1384" s="28" t="s">
        <v>511</v>
      </c>
      <c r="G1384" s="28" t="s">
        <v>4592</v>
      </c>
      <c r="J1384" s="346">
        <f t="shared" si="19"/>
        <v>1</v>
      </c>
      <c r="K1384" s="28" t="str">
        <f t="shared" si="24"/>
        <v/>
      </c>
      <c r="L1384" s="45" t="str">
        <f t="shared" si="25"/>
        <v/>
      </c>
      <c r="M1384" s="45" t="str">
        <f t="shared" si="26"/>
        <v/>
      </c>
      <c r="N1384" s="45" t="str">
        <f t="shared" si="27"/>
        <v/>
      </c>
      <c r="O1384" s="45" t="str">
        <f t="shared" si="28"/>
        <v/>
      </c>
      <c r="P1384" s="45" t="str">
        <f t="shared" si="29"/>
        <v/>
      </c>
    </row>
    <row r="1385" spans="1:16" ht="17.25">
      <c r="A1385" s="276" t="s">
        <v>6486</v>
      </c>
      <c r="B1385" s="277">
        <v>1994</v>
      </c>
      <c r="C1385" s="276"/>
      <c r="D1385" s="277">
        <v>7516250</v>
      </c>
      <c r="E1385" s="278" t="str">
        <f t="shared" si="23"/>
        <v>https://pubmed.ncbi.nlm.nih.gov/7516250</v>
      </c>
      <c r="F1385" s="28" t="s">
        <v>511</v>
      </c>
      <c r="G1385" s="28" t="s">
        <v>4744</v>
      </c>
      <c r="J1385" s="346" t="str">
        <f t="shared" si="19"/>
        <v/>
      </c>
      <c r="K1385" s="28" t="str">
        <f t="shared" si="24"/>
        <v/>
      </c>
      <c r="L1385" s="45" t="str">
        <f t="shared" si="25"/>
        <v/>
      </c>
      <c r="M1385" s="45" t="str">
        <f t="shared" si="26"/>
        <v/>
      </c>
      <c r="N1385" s="45">
        <f t="shared" si="27"/>
        <v>1</v>
      </c>
      <c r="O1385" s="45" t="str">
        <f t="shared" si="28"/>
        <v/>
      </c>
      <c r="P1385" s="45" t="str">
        <f t="shared" si="29"/>
        <v/>
      </c>
    </row>
    <row r="1386" spans="1:16" ht="17.25">
      <c r="A1386" s="276" t="s">
        <v>6487</v>
      </c>
      <c r="B1386" s="277">
        <v>2018</v>
      </c>
      <c r="C1386" s="276" t="s">
        <v>6488</v>
      </c>
      <c r="D1386" s="277">
        <v>30205844</v>
      </c>
      <c r="E1386" s="278" t="str">
        <f t="shared" si="23"/>
        <v>https://pubmed.ncbi.nlm.nih.gov/30205844</v>
      </c>
      <c r="F1386" s="28" t="s">
        <v>511</v>
      </c>
      <c r="G1386" s="28" t="s">
        <v>6463</v>
      </c>
      <c r="J1386" s="346">
        <f t="shared" si="19"/>
        <v>1</v>
      </c>
      <c r="K1386" s="28" t="str">
        <f t="shared" si="24"/>
        <v/>
      </c>
      <c r="L1386" s="45" t="str">
        <f t="shared" si="25"/>
        <v/>
      </c>
      <c r="M1386" s="45" t="str">
        <f t="shared" si="26"/>
        <v/>
      </c>
      <c r="N1386" s="45" t="str">
        <f t="shared" si="27"/>
        <v/>
      </c>
      <c r="O1386" s="45" t="str">
        <f t="shared" si="28"/>
        <v/>
      </c>
      <c r="P1386" s="45" t="str">
        <f t="shared" si="29"/>
        <v/>
      </c>
    </row>
    <row r="1387" spans="1:16" ht="17.25">
      <c r="A1387" s="276" t="s">
        <v>6489</v>
      </c>
      <c r="B1387" s="277">
        <v>2016</v>
      </c>
      <c r="C1387" s="276" t="s">
        <v>6490</v>
      </c>
      <c r="D1387" s="277">
        <v>26886513</v>
      </c>
      <c r="E1387" s="278" t="str">
        <f t="shared" si="23"/>
        <v>https://pubmed.ncbi.nlm.nih.gov/26886513</v>
      </c>
      <c r="F1387" s="28" t="s">
        <v>511</v>
      </c>
      <c r="G1387" s="28" t="s">
        <v>4346</v>
      </c>
      <c r="J1387" s="346" t="str">
        <f t="shared" si="19"/>
        <v/>
      </c>
      <c r="K1387" s="28" t="str">
        <f t="shared" si="24"/>
        <v/>
      </c>
      <c r="L1387" s="45">
        <f t="shared" si="25"/>
        <v>1</v>
      </c>
      <c r="M1387" s="45" t="str">
        <f t="shared" si="26"/>
        <v/>
      </c>
      <c r="N1387" s="45" t="str">
        <f t="shared" si="27"/>
        <v/>
      </c>
      <c r="O1387" s="45" t="str">
        <f t="shared" si="28"/>
        <v/>
      </c>
      <c r="P1387" s="45" t="str">
        <f t="shared" si="29"/>
        <v/>
      </c>
    </row>
    <row r="1388" spans="1:16" ht="17.25">
      <c r="A1388" s="276" t="s">
        <v>6491</v>
      </c>
      <c r="B1388" s="277">
        <v>2019</v>
      </c>
      <c r="C1388" s="276" t="s">
        <v>6492</v>
      </c>
      <c r="D1388" s="277">
        <v>31287523</v>
      </c>
      <c r="E1388" s="278" t="str">
        <f t="shared" si="23"/>
        <v>https://pubmed.ncbi.nlm.nih.gov/31287523</v>
      </c>
      <c r="F1388" s="28" t="s">
        <v>511</v>
      </c>
      <c r="G1388" s="28" t="s">
        <v>4744</v>
      </c>
      <c r="J1388" s="346" t="str">
        <f t="shared" si="19"/>
        <v/>
      </c>
      <c r="K1388" s="28" t="str">
        <f t="shared" si="24"/>
        <v/>
      </c>
      <c r="L1388" s="45" t="str">
        <f t="shared" si="25"/>
        <v/>
      </c>
      <c r="M1388" s="45" t="str">
        <f t="shared" si="26"/>
        <v/>
      </c>
      <c r="N1388" s="45">
        <f t="shared" si="27"/>
        <v>1</v>
      </c>
      <c r="O1388" s="45" t="str">
        <f t="shared" si="28"/>
        <v/>
      </c>
      <c r="P1388" s="45" t="str">
        <f t="shared" si="29"/>
        <v/>
      </c>
    </row>
    <row r="1389" spans="1:16" ht="17.25">
      <c r="A1389" s="276" t="s">
        <v>6493</v>
      </c>
      <c r="B1389" s="277">
        <v>2016</v>
      </c>
      <c r="C1389" s="276" t="s">
        <v>6494</v>
      </c>
      <c r="D1389" s="277">
        <v>27885969</v>
      </c>
      <c r="E1389" s="278" t="str">
        <f t="shared" si="23"/>
        <v>https://pubmed.ncbi.nlm.nih.gov/27885969</v>
      </c>
      <c r="F1389" s="28" t="s">
        <v>511</v>
      </c>
      <c r="G1389" s="28" t="s">
        <v>6495</v>
      </c>
      <c r="J1389" s="346" t="str">
        <f t="shared" si="19"/>
        <v/>
      </c>
      <c r="K1389" s="28" t="str">
        <f t="shared" si="24"/>
        <v/>
      </c>
      <c r="L1389" s="45" t="str">
        <f t="shared" si="25"/>
        <v/>
      </c>
      <c r="M1389" s="45" t="str">
        <f t="shared" si="26"/>
        <v/>
      </c>
      <c r="N1389" s="45">
        <f t="shared" si="27"/>
        <v>1</v>
      </c>
      <c r="O1389" s="45" t="str">
        <f t="shared" si="28"/>
        <v/>
      </c>
      <c r="P1389" s="45" t="str">
        <f t="shared" si="29"/>
        <v/>
      </c>
    </row>
    <row r="1390" spans="1:16" ht="17.25">
      <c r="A1390" s="276" t="s">
        <v>6496</v>
      </c>
      <c r="B1390" s="277">
        <v>2015</v>
      </c>
      <c r="C1390" s="276" t="s">
        <v>6497</v>
      </c>
      <c r="D1390" s="277">
        <v>26694748</v>
      </c>
      <c r="E1390" s="278" t="str">
        <f t="shared" si="23"/>
        <v>https://pubmed.ncbi.nlm.nih.gov/26694748</v>
      </c>
      <c r="F1390" s="28" t="s">
        <v>511</v>
      </c>
      <c r="G1390" s="28" t="s">
        <v>5157</v>
      </c>
      <c r="J1390" s="346" t="str">
        <f t="shared" si="19"/>
        <v/>
      </c>
      <c r="K1390" s="28" t="str">
        <f t="shared" si="24"/>
        <v/>
      </c>
      <c r="L1390" s="45" t="str">
        <f t="shared" si="25"/>
        <v/>
      </c>
      <c r="M1390" s="45" t="str">
        <f t="shared" si="26"/>
        <v/>
      </c>
      <c r="N1390" s="45">
        <f t="shared" si="27"/>
        <v>1</v>
      </c>
      <c r="O1390" s="45" t="str">
        <f t="shared" si="28"/>
        <v/>
      </c>
      <c r="P1390" s="45" t="str">
        <f t="shared" si="29"/>
        <v/>
      </c>
    </row>
    <row r="1391" spans="1:16" ht="17.25">
      <c r="A1391" s="276" t="s">
        <v>6498</v>
      </c>
      <c r="B1391" s="277">
        <v>2021</v>
      </c>
      <c r="C1391" s="276" t="s">
        <v>6499</v>
      </c>
      <c r="D1391" s="277">
        <v>33577770</v>
      </c>
      <c r="E1391" s="278" t="str">
        <f t="shared" si="23"/>
        <v>https://pubmed.ncbi.nlm.nih.gov/33577770</v>
      </c>
      <c r="F1391" s="28" t="s">
        <v>511</v>
      </c>
      <c r="G1391" s="28" t="s">
        <v>5157</v>
      </c>
      <c r="J1391" s="346" t="str">
        <f t="shared" si="19"/>
        <v/>
      </c>
      <c r="K1391" s="28" t="str">
        <f t="shared" si="24"/>
        <v/>
      </c>
      <c r="L1391" s="45" t="str">
        <f t="shared" si="25"/>
        <v/>
      </c>
      <c r="M1391" s="45" t="str">
        <f t="shared" si="26"/>
        <v/>
      </c>
      <c r="N1391" s="45">
        <f t="shared" si="27"/>
        <v>1</v>
      </c>
      <c r="O1391" s="45" t="str">
        <f t="shared" si="28"/>
        <v/>
      </c>
      <c r="P1391" s="45" t="str">
        <f t="shared" si="29"/>
        <v/>
      </c>
    </row>
    <row r="1392" spans="1:16" ht="17.25">
      <c r="A1392" s="276" t="s">
        <v>6500</v>
      </c>
      <c r="B1392" s="277">
        <v>2008</v>
      </c>
      <c r="C1392" s="276" t="s">
        <v>6501</v>
      </c>
      <c r="D1392" s="277">
        <v>18769636</v>
      </c>
      <c r="E1392" s="278" t="str">
        <f t="shared" si="23"/>
        <v>https://pubmed.ncbi.nlm.nih.gov/18769636</v>
      </c>
      <c r="F1392" s="28" t="s">
        <v>511</v>
      </c>
      <c r="G1392" s="28" t="s">
        <v>4592</v>
      </c>
      <c r="J1392" s="346">
        <f t="shared" si="19"/>
        <v>1</v>
      </c>
      <c r="K1392" s="28" t="str">
        <f t="shared" si="24"/>
        <v/>
      </c>
      <c r="L1392" s="45" t="str">
        <f t="shared" si="25"/>
        <v/>
      </c>
      <c r="M1392" s="45" t="str">
        <f t="shared" si="26"/>
        <v/>
      </c>
      <c r="N1392" s="45" t="str">
        <f t="shared" si="27"/>
        <v/>
      </c>
      <c r="O1392" s="45" t="str">
        <f t="shared" si="28"/>
        <v/>
      </c>
      <c r="P1392" s="45" t="str">
        <f t="shared" si="29"/>
        <v/>
      </c>
    </row>
    <row r="1393" spans="1:16" ht="17.25">
      <c r="A1393" s="276" t="s">
        <v>6502</v>
      </c>
      <c r="B1393" s="277">
        <v>2012</v>
      </c>
      <c r="C1393" s="276"/>
      <c r="D1393" s="277">
        <v>22450948</v>
      </c>
      <c r="E1393" s="278" t="str">
        <f t="shared" si="23"/>
        <v>https://pubmed.ncbi.nlm.nih.gov/22450948</v>
      </c>
      <c r="F1393" s="28" t="s">
        <v>511</v>
      </c>
      <c r="G1393" s="28" t="s">
        <v>4867</v>
      </c>
      <c r="J1393" s="346" t="str">
        <f t="shared" si="19"/>
        <v/>
      </c>
      <c r="K1393" s="28" t="str">
        <f t="shared" si="24"/>
        <v/>
      </c>
      <c r="L1393" s="45" t="str">
        <f t="shared" si="25"/>
        <v/>
      </c>
      <c r="M1393" s="45" t="str">
        <f t="shared" si="26"/>
        <v/>
      </c>
      <c r="N1393" s="45">
        <f t="shared" si="27"/>
        <v>1</v>
      </c>
      <c r="O1393" s="45" t="str">
        <f t="shared" si="28"/>
        <v/>
      </c>
      <c r="P1393" s="45" t="str">
        <f t="shared" si="29"/>
        <v/>
      </c>
    </row>
    <row r="1394" spans="1:16" ht="17.25">
      <c r="A1394" s="276" t="s">
        <v>6503</v>
      </c>
      <c r="B1394" s="277">
        <v>2000</v>
      </c>
      <c r="C1394" s="276"/>
      <c r="D1394" s="277">
        <v>11060682</v>
      </c>
      <c r="E1394" s="278" t="str">
        <f t="shared" si="23"/>
        <v>https://pubmed.ncbi.nlm.nih.gov/11060682</v>
      </c>
      <c r="F1394" s="28" t="s">
        <v>511</v>
      </c>
      <c r="G1394" s="28" t="s">
        <v>4592</v>
      </c>
      <c r="J1394" s="346">
        <f t="shared" si="19"/>
        <v>1</v>
      </c>
      <c r="K1394" s="28" t="str">
        <f t="shared" si="24"/>
        <v/>
      </c>
      <c r="L1394" s="45" t="str">
        <f t="shared" si="25"/>
        <v/>
      </c>
      <c r="M1394" s="45" t="str">
        <f t="shared" si="26"/>
        <v/>
      </c>
      <c r="N1394" s="45" t="str">
        <f t="shared" si="27"/>
        <v/>
      </c>
      <c r="O1394" s="45" t="str">
        <f t="shared" si="28"/>
        <v/>
      </c>
      <c r="P1394" s="45" t="str">
        <f t="shared" si="29"/>
        <v/>
      </c>
    </row>
    <row r="1395" spans="1:16" ht="17.25">
      <c r="A1395" s="276" t="s">
        <v>6504</v>
      </c>
      <c r="B1395" s="277">
        <v>2009</v>
      </c>
      <c r="C1395" s="276" t="s">
        <v>6505</v>
      </c>
      <c r="D1395" s="277">
        <v>19436693</v>
      </c>
      <c r="E1395" s="278" t="str">
        <f t="shared" si="23"/>
        <v>https://pubmed.ncbi.nlm.nih.gov/19436693</v>
      </c>
      <c r="F1395" s="28" t="s">
        <v>511</v>
      </c>
      <c r="G1395" s="28" t="s">
        <v>6469</v>
      </c>
      <c r="J1395" s="346" t="str">
        <f t="shared" si="19"/>
        <v/>
      </c>
      <c r="K1395" s="28" t="str">
        <f t="shared" si="24"/>
        <v/>
      </c>
      <c r="L1395" s="45" t="str">
        <f t="shared" si="25"/>
        <v/>
      </c>
      <c r="M1395" s="45" t="str">
        <f t="shared" si="26"/>
        <v/>
      </c>
      <c r="N1395" s="45">
        <f t="shared" si="27"/>
        <v>1</v>
      </c>
      <c r="O1395" s="45" t="str">
        <f t="shared" si="28"/>
        <v/>
      </c>
      <c r="P1395" s="45" t="str">
        <f t="shared" si="29"/>
        <v/>
      </c>
    </row>
    <row r="1396" spans="1:16" ht="17.25">
      <c r="A1396" s="276" t="s">
        <v>6506</v>
      </c>
      <c r="B1396" s="277">
        <v>2014</v>
      </c>
      <c r="C1396" s="276"/>
      <c r="D1396" s="277">
        <v>25399621</v>
      </c>
      <c r="E1396" s="278" t="str">
        <f t="shared" si="23"/>
        <v>https://pubmed.ncbi.nlm.nih.gov/25399621</v>
      </c>
      <c r="F1396" s="28" t="s">
        <v>511</v>
      </c>
      <c r="G1396" s="28" t="s">
        <v>5157</v>
      </c>
      <c r="J1396" s="346" t="str">
        <f t="shared" si="19"/>
        <v/>
      </c>
      <c r="K1396" s="28" t="str">
        <f t="shared" si="24"/>
        <v/>
      </c>
      <c r="L1396" s="45" t="str">
        <f t="shared" si="25"/>
        <v/>
      </c>
      <c r="M1396" s="45" t="str">
        <f t="shared" si="26"/>
        <v/>
      </c>
      <c r="N1396" s="45">
        <f t="shared" si="27"/>
        <v>1</v>
      </c>
      <c r="O1396" s="45" t="str">
        <f t="shared" si="28"/>
        <v/>
      </c>
      <c r="P1396" s="45" t="str">
        <f t="shared" si="29"/>
        <v/>
      </c>
    </row>
    <row r="1397" spans="1:16" ht="17.25">
      <c r="A1397" s="276" t="s">
        <v>6507</v>
      </c>
      <c r="B1397" s="277">
        <v>2019</v>
      </c>
      <c r="C1397" s="276" t="s">
        <v>6226</v>
      </c>
      <c r="D1397" s="277">
        <v>31582360</v>
      </c>
      <c r="E1397" s="278" t="str">
        <f t="shared" si="23"/>
        <v>https://pubmed.ncbi.nlm.nih.gov/31582360</v>
      </c>
      <c r="F1397" s="28" t="s">
        <v>511</v>
      </c>
      <c r="G1397" s="28" t="s">
        <v>4867</v>
      </c>
      <c r="J1397" s="346" t="str">
        <f t="shared" si="19"/>
        <v/>
      </c>
      <c r="K1397" s="28" t="str">
        <f t="shared" si="24"/>
        <v/>
      </c>
      <c r="L1397" s="45" t="str">
        <f t="shared" si="25"/>
        <v/>
      </c>
      <c r="M1397" s="45" t="str">
        <f t="shared" si="26"/>
        <v/>
      </c>
      <c r="N1397" s="45">
        <f t="shared" si="27"/>
        <v>1</v>
      </c>
      <c r="O1397" s="45" t="str">
        <f t="shared" si="28"/>
        <v/>
      </c>
      <c r="P1397" s="45" t="str">
        <f t="shared" si="29"/>
        <v/>
      </c>
    </row>
    <row r="1398" spans="1:16" ht="17.25">
      <c r="A1398" s="276" t="s">
        <v>6507</v>
      </c>
      <c r="B1398" s="277">
        <v>2018</v>
      </c>
      <c r="C1398" s="276" t="s">
        <v>6508</v>
      </c>
      <c r="D1398" s="277">
        <v>28929521</v>
      </c>
      <c r="E1398" s="278" t="str">
        <f t="shared" si="23"/>
        <v>https://pubmed.ncbi.nlm.nih.gov/28929521</v>
      </c>
      <c r="F1398" s="28" t="s">
        <v>511</v>
      </c>
      <c r="G1398" s="28" t="s">
        <v>6509</v>
      </c>
      <c r="J1398" s="346" t="str">
        <f t="shared" si="19"/>
        <v/>
      </c>
      <c r="K1398" s="28" t="str">
        <f t="shared" si="24"/>
        <v/>
      </c>
      <c r="L1398" s="45" t="str">
        <f t="shared" si="25"/>
        <v/>
      </c>
      <c r="M1398" s="45" t="str">
        <f t="shared" si="26"/>
        <v/>
      </c>
      <c r="N1398" s="45" t="str">
        <f t="shared" si="27"/>
        <v/>
      </c>
      <c r="O1398" s="45">
        <f t="shared" si="28"/>
        <v>1</v>
      </c>
      <c r="P1398" s="45" t="str">
        <f t="shared" si="29"/>
        <v/>
      </c>
    </row>
    <row r="1399" spans="1:16" ht="17.25">
      <c r="A1399" s="276" t="s">
        <v>6507</v>
      </c>
      <c r="B1399" s="277">
        <v>2020</v>
      </c>
      <c r="C1399" s="276" t="s">
        <v>6510</v>
      </c>
      <c r="D1399" s="277">
        <v>32445440</v>
      </c>
      <c r="E1399" s="278" t="str">
        <f t="shared" si="23"/>
        <v>https://pubmed.ncbi.nlm.nih.gov/32445440</v>
      </c>
      <c r="F1399" s="28" t="s">
        <v>511</v>
      </c>
      <c r="G1399" s="28" t="s">
        <v>4744</v>
      </c>
      <c r="J1399" s="346" t="str">
        <f t="shared" si="19"/>
        <v/>
      </c>
      <c r="K1399" s="28" t="str">
        <f t="shared" si="24"/>
        <v/>
      </c>
      <c r="L1399" s="45" t="str">
        <f t="shared" si="25"/>
        <v/>
      </c>
      <c r="M1399" s="45" t="str">
        <f t="shared" si="26"/>
        <v/>
      </c>
      <c r="N1399" s="45">
        <f t="shared" si="27"/>
        <v>1</v>
      </c>
      <c r="O1399" s="45" t="str">
        <f t="shared" si="28"/>
        <v/>
      </c>
      <c r="P1399" s="45" t="str">
        <f t="shared" si="29"/>
        <v/>
      </c>
    </row>
    <row r="1400" spans="1:16" ht="17.25">
      <c r="A1400" s="276" t="s">
        <v>6507</v>
      </c>
      <c r="B1400" s="277">
        <v>2018</v>
      </c>
      <c r="C1400" s="276" t="s">
        <v>6511</v>
      </c>
      <c r="D1400" s="277">
        <v>29329957</v>
      </c>
      <c r="E1400" s="278" t="str">
        <f t="shared" si="23"/>
        <v>https://pubmed.ncbi.nlm.nih.gov/29329957</v>
      </c>
      <c r="F1400" s="28" t="s">
        <v>511</v>
      </c>
      <c r="G1400" s="28" t="s">
        <v>4765</v>
      </c>
      <c r="J1400" s="346" t="str">
        <f t="shared" si="19"/>
        <v/>
      </c>
      <c r="K1400" s="28" t="str">
        <f t="shared" si="24"/>
        <v/>
      </c>
      <c r="L1400" s="45" t="str">
        <f t="shared" si="25"/>
        <v/>
      </c>
      <c r="M1400" s="45" t="str">
        <f t="shared" si="26"/>
        <v/>
      </c>
      <c r="N1400" s="45" t="str">
        <f t="shared" si="27"/>
        <v/>
      </c>
      <c r="O1400" s="45">
        <f t="shared" si="28"/>
        <v>1</v>
      </c>
      <c r="P1400" s="45" t="str">
        <f t="shared" si="29"/>
        <v/>
      </c>
    </row>
    <row r="1401" spans="1:16" ht="17.25">
      <c r="A1401" s="276" t="s">
        <v>6512</v>
      </c>
      <c r="B1401" s="277">
        <v>2014</v>
      </c>
      <c r="C1401" s="276"/>
      <c r="D1401" s="277">
        <v>25241554</v>
      </c>
      <c r="E1401" s="278" t="str">
        <f t="shared" si="23"/>
        <v>https://pubmed.ncbi.nlm.nih.gov/25241554</v>
      </c>
      <c r="F1401" s="28" t="s">
        <v>511</v>
      </c>
      <c r="G1401" s="28" t="s">
        <v>4587</v>
      </c>
      <c r="J1401" s="346" t="str">
        <f t="shared" si="19"/>
        <v/>
      </c>
      <c r="K1401" s="28" t="str">
        <f t="shared" si="24"/>
        <v/>
      </c>
      <c r="L1401" s="45" t="str">
        <f t="shared" si="25"/>
        <v/>
      </c>
      <c r="M1401" s="45">
        <f t="shared" si="26"/>
        <v>1</v>
      </c>
      <c r="N1401" s="45" t="str">
        <f t="shared" si="27"/>
        <v/>
      </c>
      <c r="O1401" s="45" t="str">
        <f t="shared" si="28"/>
        <v/>
      </c>
      <c r="P1401" s="45" t="str">
        <f t="shared" si="29"/>
        <v/>
      </c>
    </row>
    <row r="1402" spans="1:16" ht="17.25">
      <c r="A1402" s="276" t="s">
        <v>6513</v>
      </c>
      <c r="B1402" s="277">
        <v>2013</v>
      </c>
      <c r="C1402" s="276"/>
      <c r="D1402" s="277">
        <v>22490340</v>
      </c>
      <c r="E1402" s="278" t="str">
        <f t="shared" si="23"/>
        <v>https://pubmed.ncbi.nlm.nih.gov/22490340</v>
      </c>
      <c r="F1402" s="28" t="s">
        <v>511</v>
      </c>
      <c r="G1402" s="28" t="s">
        <v>5273</v>
      </c>
      <c r="J1402" s="346">
        <f t="shared" si="19"/>
        <v>1</v>
      </c>
      <c r="K1402" s="28" t="str">
        <f t="shared" si="24"/>
        <v/>
      </c>
      <c r="L1402" s="45" t="str">
        <f t="shared" si="25"/>
        <v/>
      </c>
      <c r="M1402" s="45" t="str">
        <f t="shared" si="26"/>
        <v/>
      </c>
      <c r="N1402" s="45" t="str">
        <f t="shared" si="27"/>
        <v/>
      </c>
      <c r="O1402" s="45" t="str">
        <f t="shared" si="28"/>
        <v/>
      </c>
      <c r="P1402" s="45" t="str">
        <f t="shared" si="29"/>
        <v/>
      </c>
    </row>
    <row r="1403" spans="1:16" ht="17.25">
      <c r="A1403" s="276" t="s">
        <v>6514</v>
      </c>
      <c r="B1403" s="277">
        <v>2021</v>
      </c>
      <c r="C1403" s="276"/>
      <c r="D1403" s="277">
        <v>33453783</v>
      </c>
      <c r="E1403" s="278" t="str">
        <f t="shared" si="23"/>
        <v>https://pubmed.ncbi.nlm.nih.gov/33453783</v>
      </c>
      <c r="F1403" s="28" t="s">
        <v>511</v>
      </c>
      <c r="G1403" s="28" t="s">
        <v>5157</v>
      </c>
      <c r="J1403" s="346" t="str">
        <f t="shared" si="19"/>
        <v/>
      </c>
      <c r="K1403" s="28" t="str">
        <f t="shared" si="24"/>
        <v/>
      </c>
      <c r="L1403" s="45" t="str">
        <f t="shared" si="25"/>
        <v/>
      </c>
      <c r="M1403" s="45" t="str">
        <f t="shared" si="26"/>
        <v/>
      </c>
      <c r="N1403" s="45">
        <f t="shared" si="27"/>
        <v>1</v>
      </c>
      <c r="O1403" s="45" t="str">
        <f t="shared" si="28"/>
        <v/>
      </c>
      <c r="P1403" s="45" t="str">
        <f t="shared" si="29"/>
        <v/>
      </c>
    </row>
    <row r="1404" spans="1:16" ht="17.25">
      <c r="A1404" s="276" t="s">
        <v>6515</v>
      </c>
      <c r="B1404" s="277">
        <v>2009</v>
      </c>
      <c r="C1404" s="276"/>
      <c r="D1404" s="277">
        <v>19711034</v>
      </c>
      <c r="E1404" s="278" t="str">
        <f t="shared" si="23"/>
        <v>https://pubmed.ncbi.nlm.nih.gov/19711034</v>
      </c>
      <c r="F1404" s="28" t="s">
        <v>511</v>
      </c>
      <c r="G1404" s="28" t="s">
        <v>4587</v>
      </c>
      <c r="J1404" s="346" t="str">
        <f t="shared" si="19"/>
        <v/>
      </c>
      <c r="K1404" s="28" t="str">
        <f t="shared" si="24"/>
        <v/>
      </c>
      <c r="L1404" s="45" t="str">
        <f t="shared" si="25"/>
        <v/>
      </c>
      <c r="M1404" s="45">
        <f t="shared" si="26"/>
        <v>1</v>
      </c>
      <c r="N1404" s="45" t="str">
        <f t="shared" si="27"/>
        <v/>
      </c>
      <c r="O1404" s="45" t="str">
        <f t="shared" si="28"/>
        <v/>
      </c>
      <c r="P1404" s="45" t="str">
        <f t="shared" si="29"/>
        <v/>
      </c>
    </row>
    <row r="1405" spans="1:16" ht="17.25">
      <c r="A1405" s="276" t="s">
        <v>6516</v>
      </c>
      <c r="B1405" s="277">
        <v>2011</v>
      </c>
      <c r="C1405" s="276"/>
      <c r="D1405" s="277">
        <v>21428031</v>
      </c>
      <c r="E1405" s="278" t="str">
        <f t="shared" si="23"/>
        <v>https://pubmed.ncbi.nlm.nih.gov/21428031</v>
      </c>
      <c r="F1405" s="28" t="s">
        <v>511</v>
      </c>
      <c r="G1405" s="28" t="s">
        <v>4587</v>
      </c>
      <c r="J1405" s="346" t="str">
        <f t="shared" si="19"/>
        <v/>
      </c>
      <c r="K1405" s="28" t="str">
        <f t="shared" si="24"/>
        <v/>
      </c>
      <c r="L1405" s="45" t="str">
        <f t="shared" si="25"/>
        <v/>
      </c>
      <c r="M1405" s="45">
        <f t="shared" si="26"/>
        <v>1</v>
      </c>
      <c r="N1405" s="45" t="str">
        <f t="shared" si="27"/>
        <v/>
      </c>
      <c r="O1405" s="45" t="str">
        <f t="shared" si="28"/>
        <v/>
      </c>
      <c r="P1405" s="45" t="str">
        <f t="shared" si="29"/>
        <v/>
      </c>
    </row>
    <row r="1406" spans="1:16" ht="17.25">
      <c r="A1406" s="276" t="s">
        <v>551</v>
      </c>
      <c r="B1406" s="277">
        <v>2005</v>
      </c>
      <c r="C1406" s="276"/>
      <c r="D1406" s="277">
        <v>16107978</v>
      </c>
      <c r="E1406" s="278" t="str">
        <f t="shared" si="23"/>
        <v>https://pubmed.ncbi.nlm.nih.gov/16107978</v>
      </c>
      <c r="F1406" s="28" t="s">
        <v>511</v>
      </c>
      <c r="G1406" s="28" t="s">
        <v>4744</v>
      </c>
      <c r="J1406" s="346" t="str">
        <f t="shared" si="19"/>
        <v/>
      </c>
      <c r="K1406" s="28" t="str">
        <f t="shared" si="24"/>
        <v/>
      </c>
      <c r="L1406" s="45" t="str">
        <f t="shared" si="25"/>
        <v/>
      </c>
      <c r="M1406" s="45" t="str">
        <f t="shared" si="26"/>
        <v/>
      </c>
      <c r="N1406" s="45">
        <f t="shared" si="27"/>
        <v>1</v>
      </c>
      <c r="O1406" s="45" t="str">
        <f t="shared" si="28"/>
        <v/>
      </c>
      <c r="P1406" s="45" t="str">
        <f t="shared" si="29"/>
        <v/>
      </c>
    </row>
    <row r="1407" spans="1:16" ht="17.25">
      <c r="A1407" s="276" t="s">
        <v>6517</v>
      </c>
      <c r="B1407" s="277">
        <v>2017</v>
      </c>
      <c r="C1407" s="276" t="s">
        <v>6518</v>
      </c>
      <c r="D1407" s="277">
        <v>28616094</v>
      </c>
      <c r="E1407" s="278" t="str">
        <f t="shared" si="23"/>
        <v>https://pubmed.ncbi.nlm.nih.gov/28616094</v>
      </c>
      <c r="F1407" s="28" t="s">
        <v>511</v>
      </c>
      <c r="G1407" s="28" t="s">
        <v>4744</v>
      </c>
      <c r="J1407" s="346" t="str">
        <f t="shared" si="19"/>
        <v/>
      </c>
      <c r="K1407" s="28" t="str">
        <f t="shared" si="24"/>
        <v/>
      </c>
      <c r="L1407" s="45" t="str">
        <f t="shared" si="25"/>
        <v/>
      </c>
      <c r="M1407" s="45" t="str">
        <f t="shared" si="26"/>
        <v/>
      </c>
      <c r="N1407" s="45">
        <f t="shared" si="27"/>
        <v>1</v>
      </c>
      <c r="O1407" s="45" t="str">
        <f t="shared" si="28"/>
        <v/>
      </c>
      <c r="P1407" s="45" t="str">
        <f t="shared" si="29"/>
        <v/>
      </c>
    </row>
    <row r="1408" spans="1:16" ht="17.25">
      <c r="A1408" s="276" t="s">
        <v>6519</v>
      </c>
      <c r="B1408" s="277">
        <v>2019</v>
      </c>
      <c r="C1408" s="276" t="s">
        <v>6520</v>
      </c>
      <c r="D1408" s="277">
        <v>31488213</v>
      </c>
      <c r="E1408" s="278" t="str">
        <f t="shared" si="23"/>
        <v>https://pubmed.ncbi.nlm.nih.gov/31488213</v>
      </c>
      <c r="F1408" s="28" t="s">
        <v>511</v>
      </c>
      <c r="G1408" s="28" t="s">
        <v>4744</v>
      </c>
      <c r="J1408" s="346" t="str">
        <f t="shared" si="19"/>
        <v/>
      </c>
      <c r="K1408" s="28" t="str">
        <f t="shared" si="24"/>
        <v/>
      </c>
      <c r="L1408" s="45" t="str">
        <f t="shared" si="25"/>
        <v/>
      </c>
      <c r="M1408" s="45" t="str">
        <f t="shared" si="26"/>
        <v/>
      </c>
      <c r="N1408" s="45">
        <f t="shared" si="27"/>
        <v>1</v>
      </c>
      <c r="O1408" s="45" t="str">
        <f t="shared" si="28"/>
        <v/>
      </c>
      <c r="P1408" s="45" t="str">
        <f t="shared" si="29"/>
        <v/>
      </c>
    </row>
    <row r="1409" spans="1:16" ht="17.25">
      <c r="A1409" s="276" t="s">
        <v>6521</v>
      </c>
      <c r="B1409" s="277">
        <v>2007</v>
      </c>
      <c r="C1409" s="276"/>
      <c r="D1409" s="277">
        <v>17257877</v>
      </c>
      <c r="E1409" s="278" t="str">
        <f t="shared" si="23"/>
        <v>https://pubmed.ncbi.nlm.nih.gov/17257877</v>
      </c>
      <c r="F1409" s="28" t="s">
        <v>511</v>
      </c>
      <c r="G1409" s="28" t="s">
        <v>6522</v>
      </c>
      <c r="J1409" s="346" t="str">
        <f t="shared" si="19"/>
        <v/>
      </c>
      <c r="K1409" s="28" t="str">
        <f t="shared" si="24"/>
        <v/>
      </c>
      <c r="L1409" s="45" t="str">
        <f t="shared" si="25"/>
        <v/>
      </c>
      <c r="M1409" s="45" t="str">
        <f t="shared" si="26"/>
        <v/>
      </c>
      <c r="N1409" s="45" t="str">
        <f t="shared" si="27"/>
        <v/>
      </c>
      <c r="O1409" s="45">
        <f t="shared" si="28"/>
        <v>1</v>
      </c>
      <c r="P1409" s="45" t="str">
        <f t="shared" si="29"/>
        <v/>
      </c>
    </row>
    <row r="1410" spans="1:16" ht="17.25">
      <c r="A1410" s="276" t="s">
        <v>6523</v>
      </c>
      <c r="B1410" s="277">
        <v>2017</v>
      </c>
      <c r="C1410" s="276" t="s">
        <v>6524</v>
      </c>
      <c r="D1410" s="277">
        <v>28983908</v>
      </c>
      <c r="E1410" s="278" t="str">
        <f t="shared" si="23"/>
        <v>https://pubmed.ncbi.nlm.nih.gov/28983908</v>
      </c>
      <c r="F1410" s="28" t="s">
        <v>511</v>
      </c>
      <c r="G1410" s="28" t="s">
        <v>4592</v>
      </c>
      <c r="J1410" s="346">
        <f t="shared" si="19"/>
        <v>1</v>
      </c>
      <c r="K1410" s="28" t="str">
        <f t="shared" si="24"/>
        <v/>
      </c>
      <c r="L1410" s="45" t="str">
        <f t="shared" si="25"/>
        <v/>
      </c>
      <c r="M1410" s="45" t="str">
        <f t="shared" si="26"/>
        <v/>
      </c>
      <c r="N1410" s="45" t="str">
        <f t="shared" si="27"/>
        <v/>
      </c>
      <c r="O1410" s="45" t="str">
        <f t="shared" si="28"/>
        <v/>
      </c>
      <c r="P1410" s="45" t="str">
        <f t="shared" si="29"/>
        <v/>
      </c>
    </row>
    <row r="1411" spans="1:16" ht="17.25">
      <c r="A1411" s="276" t="s">
        <v>6525</v>
      </c>
      <c r="B1411" s="277">
        <v>2014</v>
      </c>
      <c r="C1411" s="276"/>
      <c r="D1411" s="277">
        <v>24746600</v>
      </c>
      <c r="E1411" s="278" t="str">
        <f t="shared" si="23"/>
        <v>https://pubmed.ncbi.nlm.nih.gov/24746600</v>
      </c>
      <c r="F1411" s="28" t="s">
        <v>511</v>
      </c>
      <c r="G1411" s="28" t="s">
        <v>4744</v>
      </c>
      <c r="J1411" s="346" t="str">
        <f t="shared" si="19"/>
        <v/>
      </c>
      <c r="K1411" s="28" t="str">
        <f t="shared" si="24"/>
        <v/>
      </c>
      <c r="L1411" s="45" t="str">
        <f t="shared" si="25"/>
        <v/>
      </c>
      <c r="M1411" s="45" t="str">
        <f t="shared" si="26"/>
        <v/>
      </c>
      <c r="N1411" s="45">
        <f t="shared" si="27"/>
        <v>1</v>
      </c>
      <c r="O1411" s="45" t="str">
        <f t="shared" si="28"/>
        <v/>
      </c>
      <c r="P1411" s="45" t="str">
        <f t="shared" si="29"/>
        <v/>
      </c>
    </row>
    <row r="1412" spans="1:16" ht="17.25">
      <c r="A1412" s="276" t="s">
        <v>6526</v>
      </c>
      <c r="B1412" s="277">
        <v>2005</v>
      </c>
      <c r="C1412" s="276"/>
      <c r="D1412" s="277">
        <v>15899734</v>
      </c>
      <c r="E1412" s="278" t="str">
        <f t="shared" si="23"/>
        <v>https://pubmed.ncbi.nlm.nih.gov/15899734</v>
      </c>
      <c r="F1412" s="28" t="s">
        <v>511</v>
      </c>
      <c r="G1412" s="28" t="s">
        <v>4592</v>
      </c>
      <c r="J1412" s="346">
        <f t="shared" si="19"/>
        <v>1</v>
      </c>
      <c r="K1412" s="28" t="str">
        <f t="shared" si="24"/>
        <v/>
      </c>
      <c r="L1412" s="45" t="str">
        <f t="shared" si="25"/>
        <v/>
      </c>
      <c r="M1412" s="45" t="str">
        <f t="shared" si="26"/>
        <v/>
      </c>
      <c r="N1412" s="45" t="str">
        <f t="shared" si="27"/>
        <v/>
      </c>
      <c r="O1412" s="45" t="str">
        <f t="shared" si="28"/>
        <v/>
      </c>
      <c r="P1412" s="45" t="str">
        <f t="shared" si="29"/>
        <v/>
      </c>
    </row>
    <row r="1413" spans="1:16" ht="17.25">
      <c r="A1413" s="276" t="s">
        <v>6527</v>
      </c>
      <c r="B1413" s="277">
        <v>2005</v>
      </c>
      <c r="C1413" s="276"/>
      <c r="D1413" s="277">
        <v>16447468</v>
      </c>
      <c r="E1413" s="278" t="str">
        <f t="shared" si="23"/>
        <v>https://pubmed.ncbi.nlm.nih.gov/16447468</v>
      </c>
      <c r="F1413" s="28" t="s">
        <v>511</v>
      </c>
      <c r="G1413" s="28" t="s">
        <v>6528</v>
      </c>
      <c r="J1413" s="346" t="str">
        <f t="shared" si="19"/>
        <v/>
      </c>
      <c r="K1413" s="28" t="str">
        <f t="shared" si="24"/>
        <v/>
      </c>
      <c r="L1413" s="45" t="str">
        <f t="shared" si="25"/>
        <v/>
      </c>
      <c r="M1413" s="45" t="str">
        <f t="shared" si="26"/>
        <v/>
      </c>
      <c r="N1413" s="45">
        <f t="shared" si="27"/>
        <v>1</v>
      </c>
      <c r="O1413" s="45" t="str">
        <f t="shared" si="28"/>
        <v/>
      </c>
      <c r="P1413" s="45" t="str">
        <f t="shared" si="29"/>
        <v/>
      </c>
    </row>
    <row r="1414" spans="1:16" ht="17.25">
      <c r="A1414" s="276" t="s">
        <v>6529</v>
      </c>
      <c r="B1414" s="277">
        <v>2020</v>
      </c>
      <c r="C1414" s="276"/>
      <c r="D1414" s="277">
        <v>32077553</v>
      </c>
      <c r="E1414" s="278" t="str">
        <f t="shared" si="23"/>
        <v>https://pubmed.ncbi.nlm.nih.gov/32077553</v>
      </c>
      <c r="F1414" s="28" t="s">
        <v>511</v>
      </c>
      <c r="G1414" s="28" t="s">
        <v>5157</v>
      </c>
      <c r="J1414" s="346" t="str">
        <f t="shared" si="19"/>
        <v/>
      </c>
      <c r="K1414" s="28" t="str">
        <f t="shared" si="24"/>
        <v/>
      </c>
      <c r="L1414" s="45" t="str">
        <f t="shared" si="25"/>
        <v/>
      </c>
      <c r="M1414" s="45" t="str">
        <f t="shared" si="26"/>
        <v/>
      </c>
      <c r="N1414" s="45">
        <f t="shared" si="27"/>
        <v>1</v>
      </c>
      <c r="O1414" s="45" t="str">
        <f t="shared" si="28"/>
        <v/>
      </c>
      <c r="P1414" s="45" t="str">
        <f t="shared" si="29"/>
        <v/>
      </c>
    </row>
    <row r="1415" spans="1:16" ht="17.25">
      <c r="A1415" s="276" t="s">
        <v>6530</v>
      </c>
      <c r="B1415" s="277">
        <v>2020</v>
      </c>
      <c r="C1415" s="276" t="s">
        <v>6531</v>
      </c>
      <c r="D1415" s="277">
        <v>32992075</v>
      </c>
      <c r="E1415" s="278" t="str">
        <f t="shared" si="23"/>
        <v>https://pubmed.ncbi.nlm.nih.gov/32992075</v>
      </c>
      <c r="F1415" s="28" t="s">
        <v>511</v>
      </c>
      <c r="G1415" s="28" t="s">
        <v>6532</v>
      </c>
      <c r="J1415" s="346" t="str">
        <f t="shared" si="19"/>
        <v/>
      </c>
      <c r="K1415" s="28" t="str">
        <f t="shared" si="24"/>
        <v/>
      </c>
      <c r="L1415" s="45" t="str">
        <f t="shared" si="25"/>
        <v/>
      </c>
      <c r="M1415" s="45" t="str">
        <f t="shared" si="26"/>
        <v/>
      </c>
      <c r="N1415" s="45">
        <f t="shared" si="27"/>
        <v>1</v>
      </c>
      <c r="O1415" s="45" t="str">
        <f t="shared" si="28"/>
        <v/>
      </c>
      <c r="P1415" s="45" t="str">
        <f t="shared" si="29"/>
        <v/>
      </c>
    </row>
    <row r="1416" spans="1:16" ht="17.25">
      <c r="A1416" s="276" t="s">
        <v>6533</v>
      </c>
      <c r="B1416" s="277">
        <v>2015</v>
      </c>
      <c r="C1416" s="276"/>
      <c r="D1416" s="277">
        <v>26318715</v>
      </c>
      <c r="E1416" s="278" t="str">
        <f t="shared" si="23"/>
        <v>https://pubmed.ncbi.nlm.nih.gov/26318715</v>
      </c>
      <c r="F1416" s="28" t="s">
        <v>511</v>
      </c>
      <c r="G1416" s="28" t="s">
        <v>6534</v>
      </c>
      <c r="J1416" s="346" t="str">
        <f t="shared" si="19"/>
        <v/>
      </c>
      <c r="K1416" s="28" t="str">
        <f t="shared" si="24"/>
        <v/>
      </c>
      <c r="L1416" s="45" t="str">
        <f t="shared" si="25"/>
        <v/>
      </c>
      <c r="M1416" s="45" t="str">
        <f t="shared" si="26"/>
        <v/>
      </c>
      <c r="N1416" s="45">
        <f t="shared" si="27"/>
        <v>1</v>
      </c>
      <c r="O1416" s="45" t="str">
        <f t="shared" si="28"/>
        <v/>
      </c>
      <c r="P1416" s="45" t="str">
        <f t="shared" si="29"/>
        <v/>
      </c>
    </row>
    <row r="1417" spans="1:16" ht="17.25">
      <c r="A1417" s="276" t="s">
        <v>6533</v>
      </c>
      <c r="B1417" s="277">
        <v>2005</v>
      </c>
      <c r="C1417" s="276"/>
      <c r="D1417" s="277">
        <v>15687880</v>
      </c>
      <c r="E1417" s="278" t="str">
        <f t="shared" si="23"/>
        <v>https://pubmed.ncbi.nlm.nih.gov/15687880</v>
      </c>
      <c r="F1417" s="28" t="s">
        <v>511</v>
      </c>
      <c r="G1417" s="28" t="s">
        <v>4592</v>
      </c>
      <c r="J1417" s="346">
        <f t="shared" si="19"/>
        <v>1</v>
      </c>
      <c r="K1417" s="28" t="str">
        <f t="shared" si="24"/>
        <v/>
      </c>
      <c r="L1417" s="45" t="str">
        <f t="shared" si="25"/>
        <v/>
      </c>
      <c r="M1417" s="45" t="str">
        <f t="shared" si="26"/>
        <v/>
      </c>
      <c r="N1417" s="45" t="str">
        <f t="shared" si="27"/>
        <v/>
      </c>
      <c r="O1417" s="45" t="str">
        <f t="shared" si="28"/>
        <v/>
      </c>
      <c r="P1417" s="45" t="str">
        <f t="shared" si="29"/>
        <v/>
      </c>
    </row>
    <row r="1418" spans="1:16" ht="17.25">
      <c r="A1418" s="276" t="s">
        <v>6535</v>
      </c>
      <c r="B1418" s="277">
        <v>2008</v>
      </c>
      <c r="C1418" s="276"/>
      <c r="D1418" s="277">
        <v>18989104</v>
      </c>
      <c r="E1418" s="278" t="str">
        <f t="shared" si="23"/>
        <v>https://pubmed.ncbi.nlm.nih.gov/18989104</v>
      </c>
      <c r="F1418" s="28" t="s">
        <v>511</v>
      </c>
      <c r="G1418" s="28" t="s">
        <v>4592</v>
      </c>
      <c r="J1418" s="346">
        <f t="shared" si="19"/>
        <v>1</v>
      </c>
      <c r="K1418" s="28" t="str">
        <f t="shared" si="24"/>
        <v/>
      </c>
      <c r="L1418" s="45" t="str">
        <f t="shared" si="25"/>
        <v/>
      </c>
      <c r="M1418" s="45" t="str">
        <f t="shared" si="26"/>
        <v/>
      </c>
      <c r="N1418" s="45" t="str">
        <f t="shared" si="27"/>
        <v/>
      </c>
      <c r="O1418" s="45" t="str">
        <f t="shared" si="28"/>
        <v/>
      </c>
      <c r="P1418" s="45" t="str">
        <f t="shared" si="29"/>
        <v/>
      </c>
    </row>
    <row r="1419" spans="1:16" ht="17.25">
      <c r="A1419" s="276" t="s">
        <v>6536</v>
      </c>
      <c r="B1419" s="277">
        <v>2018</v>
      </c>
      <c r="C1419" s="276"/>
      <c r="D1419" s="277">
        <v>29092786</v>
      </c>
      <c r="E1419" s="278" t="str">
        <f t="shared" si="23"/>
        <v>https://pubmed.ncbi.nlm.nih.gov/29092786</v>
      </c>
      <c r="F1419" s="28" t="s">
        <v>511</v>
      </c>
      <c r="G1419" s="28" t="s">
        <v>4744</v>
      </c>
      <c r="I1419" s="28" t="s">
        <v>6429</v>
      </c>
      <c r="J1419" s="346" t="str">
        <f t="shared" si="19"/>
        <v/>
      </c>
      <c r="K1419" s="28" t="str">
        <f t="shared" si="24"/>
        <v/>
      </c>
      <c r="L1419" s="45" t="str">
        <f t="shared" si="25"/>
        <v/>
      </c>
      <c r="M1419" s="45" t="str">
        <f t="shared" si="26"/>
        <v/>
      </c>
      <c r="N1419" s="45">
        <f t="shared" si="27"/>
        <v>1</v>
      </c>
      <c r="O1419" s="45" t="str">
        <f t="shared" si="28"/>
        <v/>
      </c>
      <c r="P1419" s="45" t="str">
        <f t="shared" si="29"/>
        <v/>
      </c>
    </row>
    <row r="1420" spans="1:16" ht="17.25">
      <c r="A1420" s="276" t="s">
        <v>6537</v>
      </c>
      <c r="B1420" s="277">
        <v>2003</v>
      </c>
      <c r="C1420" s="276"/>
      <c r="D1420" s="277">
        <v>14641355</v>
      </c>
      <c r="E1420" s="278" t="str">
        <f t="shared" si="23"/>
        <v>https://pubmed.ncbi.nlm.nih.gov/14641355</v>
      </c>
      <c r="F1420" s="28" t="s">
        <v>511</v>
      </c>
      <c r="G1420" s="28" t="s">
        <v>4744</v>
      </c>
      <c r="J1420" s="346" t="str">
        <f t="shared" si="19"/>
        <v/>
      </c>
      <c r="K1420" s="28" t="str">
        <f t="shared" si="24"/>
        <v/>
      </c>
      <c r="L1420" s="45" t="str">
        <f t="shared" si="25"/>
        <v/>
      </c>
      <c r="M1420" s="45" t="str">
        <f t="shared" si="26"/>
        <v/>
      </c>
      <c r="N1420" s="45">
        <f t="shared" si="27"/>
        <v>1</v>
      </c>
      <c r="O1420" s="45" t="str">
        <f t="shared" si="28"/>
        <v/>
      </c>
      <c r="P1420" s="45" t="str">
        <f t="shared" si="29"/>
        <v/>
      </c>
    </row>
    <row r="1421" spans="1:16" ht="17.25">
      <c r="A1421" s="276" t="s">
        <v>6538</v>
      </c>
      <c r="B1421" s="277">
        <v>2018</v>
      </c>
      <c r="C1421" s="276"/>
      <c r="D1421" s="277">
        <v>29674251</v>
      </c>
      <c r="E1421" s="278" t="str">
        <f t="shared" si="23"/>
        <v>https://pubmed.ncbi.nlm.nih.gov/29674251</v>
      </c>
      <c r="F1421" s="28" t="s">
        <v>511</v>
      </c>
      <c r="G1421" s="28" t="s">
        <v>4744</v>
      </c>
      <c r="J1421" s="346" t="str">
        <f t="shared" si="19"/>
        <v/>
      </c>
      <c r="K1421" s="28" t="str">
        <f t="shared" si="24"/>
        <v/>
      </c>
      <c r="L1421" s="45" t="str">
        <f t="shared" si="25"/>
        <v/>
      </c>
      <c r="M1421" s="45" t="str">
        <f t="shared" si="26"/>
        <v/>
      </c>
      <c r="N1421" s="45">
        <f t="shared" si="27"/>
        <v>1</v>
      </c>
      <c r="O1421" s="45" t="str">
        <f t="shared" si="28"/>
        <v/>
      </c>
      <c r="P1421" s="45" t="str">
        <f t="shared" si="29"/>
        <v/>
      </c>
    </row>
    <row r="1422" spans="1:16" ht="17.25">
      <c r="A1422" s="276" t="s">
        <v>6539</v>
      </c>
      <c r="B1422" s="277">
        <v>2014</v>
      </c>
      <c r="C1422" s="276"/>
      <c r="D1422" s="277">
        <v>24456625</v>
      </c>
      <c r="E1422" s="278" t="str">
        <f t="shared" si="23"/>
        <v>https://pubmed.ncbi.nlm.nih.gov/24456625</v>
      </c>
      <c r="F1422" s="28" t="s">
        <v>511</v>
      </c>
      <c r="G1422" s="28" t="s">
        <v>6540</v>
      </c>
      <c r="J1422" s="346" t="str">
        <f t="shared" si="19"/>
        <v/>
      </c>
      <c r="K1422" s="28" t="str">
        <f t="shared" si="24"/>
        <v/>
      </c>
      <c r="L1422" s="45" t="str">
        <f t="shared" si="25"/>
        <v/>
      </c>
      <c r="M1422" s="45" t="str">
        <f t="shared" si="26"/>
        <v/>
      </c>
      <c r="N1422" s="45">
        <f t="shared" si="27"/>
        <v>1</v>
      </c>
      <c r="O1422" s="45" t="str">
        <f t="shared" si="28"/>
        <v/>
      </c>
      <c r="P1422" s="45" t="str">
        <f t="shared" si="29"/>
        <v/>
      </c>
    </row>
    <row r="1423" spans="1:16" ht="17.25">
      <c r="A1423" s="276" t="s">
        <v>6541</v>
      </c>
      <c r="B1423" s="277">
        <v>2013</v>
      </c>
      <c r="C1423" s="276"/>
      <c r="D1423" s="277">
        <v>23336849</v>
      </c>
      <c r="E1423" s="278" t="str">
        <f t="shared" si="23"/>
        <v>https://pubmed.ncbi.nlm.nih.gov/23336849</v>
      </c>
      <c r="F1423" s="28" t="s">
        <v>511</v>
      </c>
      <c r="G1423" s="28" t="s">
        <v>4744</v>
      </c>
      <c r="J1423" s="346" t="str">
        <f t="shared" si="19"/>
        <v/>
      </c>
      <c r="K1423" s="28" t="str">
        <f t="shared" si="24"/>
        <v/>
      </c>
      <c r="L1423" s="45" t="str">
        <f t="shared" si="25"/>
        <v/>
      </c>
      <c r="M1423" s="45" t="str">
        <f t="shared" si="26"/>
        <v/>
      </c>
      <c r="N1423" s="45">
        <f t="shared" si="27"/>
        <v>1</v>
      </c>
      <c r="O1423" s="45" t="str">
        <f t="shared" si="28"/>
        <v/>
      </c>
      <c r="P1423" s="45" t="str">
        <f t="shared" si="29"/>
        <v/>
      </c>
    </row>
    <row r="1424" spans="1:16" ht="17.25">
      <c r="A1424" s="276" t="s">
        <v>6542</v>
      </c>
      <c r="B1424" s="277">
        <v>2010</v>
      </c>
      <c r="C1424" s="276"/>
      <c r="D1424" s="277">
        <v>20078249</v>
      </c>
      <c r="E1424" s="278" t="str">
        <f t="shared" si="23"/>
        <v>https://pubmed.ncbi.nlm.nih.gov/20078249</v>
      </c>
      <c r="F1424" s="28" t="s">
        <v>511</v>
      </c>
      <c r="G1424" s="28" t="s">
        <v>4592</v>
      </c>
      <c r="J1424" s="346">
        <f t="shared" si="19"/>
        <v>1</v>
      </c>
      <c r="K1424" s="28" t="str">
        <f t="shared" si="24"/>
        <v/>
      </c>
      <c r="L1424" s="45" t="str">
        <f t="shared" si="25"/>
        <v/>
      </c>
      <c r="M1424" s="45" t="str">
        <f t="shared" si="26"/>
        <v/>
      </c>
      <c r="N1424" s="45" t="str">
        <f t="shared" si="27"/>
        <v/>
      </c>
      <c r="O1424" s="45" t="str">
        <f t="shared" si="28"/>
        <v/>
      </c>
      <c r="P1424" s="45" t="str">
        <f t="shared" si="29"/>
        <v/>
      </c>
    </row>
    <row r="1425" spans="1:16" ht="17.25">
      <c r="A1425" s="276" t="s">
        <v>6543</v>
      </c>
      <c r="B1425" s="277">
        <v>2019</v>
      </c>
      <c r="C1425" s="276"/>
      <c r="D1425" s="277">
        <v>30423449</v>
      </c>
      <c r="E1425" s="278" t="str">
        <f t="shared" si="23"/>
        <v>https://pubmed.ncbi.nlm.nih.gov/30423449</v>
      </c>
      <c r="F1425" s="28" t="s">
        <v>511</v>
      </c>
      <c r="G1425" s="28" t="s">
        <v>5299</v>
      </c>
      <c r="I1425" s="28" t="s">
        <v>6429</v>
      </c>
      <c r="J1425" s="346" t="str">
        <f t="shared" si="19"/>
        <v/>
      </c>
      <c r="K1425" s="28" t="str">
        <f t="shared" si="24"/>
        <v/>
      </c>
      <c r="L1425" s="45" t="str">
        <f t="shared" si="25"/>
        <v/>
      </c>
      <c r="M1425" s="45" t="str">
        <f t="shared" si="26"/>
        <v/>
      </c>
      <c r="N1425" s="45">
        <f t="shared" si="27"/>
        <v>1</v>
      </c>
      <c r="O1425" s="45" t="str">
        <f t="shared" si="28"/>
        <v/>
      </c>
      <c r="P1425" s="45" t="str">
        <f t="shared" si="29"/>
        <v/>
      </c>
    </row>
    <row r="1426" spans="1:16" ht="17.25">
      <c r="A1426" s="276" t="s">
        <v>6544</v>
      </c>
      <c r="B1426" s="277">
        <v>1995</v>
      </c>
      <c r="C1426" s="276"/>
      <c r="D1426" s="277">
        <v>7652502</v>
      </c>
      <c r="E1426" s="278" t="str">
        <f t="shared" si="23"/>
        <v>https://pubmed.ncbi.nlm.nih.gov/7652502</v>
      </c>
      <c r="F1426" s="28" t="s">
        <v>511</v>
      </c>
      <c r="G1426" s="28" t="s">
        <v>4592</v>
      </c>
      <c r="J1426" s="346">
        <f t="shared" si="19"/>
        <v>1</v>
      </c>
      <c r="K1426" s="28" t="str">
        <f t="shared" si="24"/>
        <v/>
      </c>
      <c r="L1426" s="45" t="str">
        <f t="shared" si="25"/>
        <v/>
      </c>
      <c r="M1426" s="45" t="str">
        <f t="shared" si="26"/>
        <v/>
      </c>
      <c r="N1426" s="45" t="str">
        <f t="shared" si="27"/>
        <v/>
      </c>
      <c r="O1426" s="45" t="str">
        <f t="shared" si="28"/>
        <v/>
      </c>
      <c r="P1426" s="45" t="str">
        <f t="shared" si="29"/>
        <v/>
      </c>
    </row>
    <row r="1427" spans="1:16" ht="17.25">
      <c r="A1427" s="276" t="s">
        <v>6545</v>
      </c>
      <c r="B1427" s="277">
        <v>2015</v>
      </c>
      <c r="C1427" s="276"/>
      <c r="D1427" s="277">
        <v>26490344</v>
      </c>
      <c r="E1427" s="278" t="str">
        <f t="shared" si="23"/>
        <v>https://pubmed.ncbi.nlm.nih.gov/26490344</v>
      </c>
      <c r="F1427" s="28" t="s">
        <v>511</v>
      </c>
      <c r="G1427" s="28" t="s">
        <v>5299</v>
      </c>
      <c r="J1427" s="346" t="str">
        <f t="shared" si="19"/>
        <v/>
      </c>
      <c r="K1427" s="28" t="str">
        <f t="shared" si="24"/>
        <v/>
      </c>
      <c r="L1427" s="45" t="str">
        <f t="shared" si="25"/>
        <v/>
      </c>
      <c r="M1427" s="45" t="str">
        <f t="shared" si="26"/>
        <v/>
      </c>
      <c r="N1427" s="45">
        <f t="shared" si="27"/>
        <v>1</v>
      </c>
      <c r="O1427" s="45" t="str">
        <f t="shared" si="28"/>
        <v/>
      </c>
      <c r="P1427" s="45" t="str">
        <f t="shared" si="29"/>
        <v/>
      </c>
    </row>
    <row r="1428" spans="1:16" ht="17.25">
      <c r="A1428" s="276" t="s">
        <v>6546</v>
      </c>
      <c r="B1428" s="277">
        <v>1999</v>
      </c>
      <c r="C1428" s="276"/>
      <c r="D1428" s="277">
        <v>10546007</v>
      </c>
      <c r="E1428" s="278" t="str">
        <f t="shared" si="23"/>
        <v>https://pubmed.ncbi.nlm.nih.gov/10546007</v>
      </c>
      <c r="F1428" s="28" t="s">
        <v>511</v>
      </c>
      <c r="G1428" s="28" t="s">
        <v>4867</v>
      </c>
      <c r="J1428" s="346" t="str">
        <f t="shared" si="19"/>
        <v/>
      </c>
      <c r="K1428" s="28" t="str">
        <f t="shared" si="24"/>
        <v/>
      </c>
      <c r="L1428" s="45" t="str">
        <f t="shared" si="25"/>
        <v/>
      </c>
      <c r="M1428" s="45" t="str">
        <f t="shared" si="26"/>
        <v/>
      </c>
      <c r="N1428" s="45">
        <f t="shared" si="27"/>
        <v>1</v>
      </c>
      <c r="O1428" s="45" t="str">
        <f t="shared" si="28"/>
        <v/>
      </c>
      <c r="P1428" s="45" t="str">
        <f t="shared" si="29"/>
        <v/>
      </c>
    </row>
    <row r="1429" spans="1:16" ht="17.25">
      <c r="A1429" s="276" t="s">
        <v>6547</v>
      </c>
      <c r="B1429" s="277">
        <v>2015</v>
      </c>
      <c r="C1429" s="276"/>
      <c r="D1429" s="277">
        <v>26269898</v>
      </c>
      <c r="E1429" s="278" t="str">
        <f t="shared" si="23"/>
        <v>https://pubmed.ncbi.nlm.nih.gov/26269898</v>
      </c>
      <c r="F1429" s="28" t="s">
        <v>511</v>
      </c>
      <c r="G1429" s="28" t="s">
        <v>4592</v>
      </c>
      <c r="J1429" s="346">
        <f t="shared" si="19"/>
        <v>1</v>
      </c>
      <c r="K1429" s="28" t="str">
        <f t="shared" si="24"/>
        <v/>
      </c>
      <c r="L1429" s="45" t="str">
        <f t="shared" si="25"/>
        <v/>
      </c>
      <c r="M1429" s="45" t="str">
        <f t="shared" si="26"/>
        <v/>
      </c>
      <c r="N1429" s="45" t="str">
        <f t="shared" si="27"/>
        <v/>
      </c>
      <c r="O1429" s="45" t="str">
        <f t="shared" si="28"/>
        <v/>
      </c>
      <c r="P1429" s="45" t="str">
        <f t="shared" si="29"/>
        <v/>
      </c>
    </row>
    <row r="1430" spans="1:16" ht="17.25">
      <c r="A1430" s="276" t="s">
        <v>6548</v>
      </c>
      <c r="B1430" s="277">
        <v>2014</v>
      </c>
      <c r="C1430" s="276" t="s">
        <v>6549</v>
      </c>
      <c r="D1430" s="277">
        <v>25386945</v>
      </c>
      <c r="E1430" s="278" t="str">
        <f t="shared" si="23"/>
        <v>https://pubmed.ncbi.nlm.nih.gov/25386945</v>
      </c>
      <c r="F1430" s="28" t="s">
        <v>511</v>
      </c>
      <c r="G1430" s="28" t="s">
        <v>4867</v>
      </c>
      <c r="J1430" s="346" t="str">
        <f t="shared" si="19"/>
        <v/>
      </c>
      <c r="K1430" s="28" t="str">
        <f t="shared" si="24"/>
        <v/>
      </c>
      <c r="L1430" s="45" t="str">
        <f t="shared" si="25"/>
        <v/>
      </c>
      <c r="M1430" s="45" t="str">
        <f t="shared" si="26"/>
        <v/>
      </c>
      <c r="N1430" s="45">
        <f t="shared" si="27"/>
        <v>1</v>
      </c>
      <c r="O1430" s="45" t="str">
        <f t="shared" si="28"/>
        <v/>
      </c>
      <c r="P1430" s="45" t="str">
        <f t="shared" si="29"/>
        <v/>
      </c>
    </row>
    <row r="1431" spans="1:16" ht="17.25">
      <c r="A1431" s="276" t="s">
        <v>6550</v>
      </c>
      <c r="B1431" s="277">
        <v>2017</v>
      </c>
      <c r="C1431" s="276"/>
      <c r="D1431" s="277">
        <v>28596448</v>
      </c>
      <c r="E1431" s="278" t="str">
        <f t="shared" si="23"/>
        <v>https://pubmed.ncbi.nlm.nih.gov/28596448</v>
      </c>
      <c r="F1431" s="28" t="s">
        <v>511</v>
      </c>
      <c r="G1431" s="28" t="s">
        <v>5299</v>
      </c>
      <c r="J1431" s="346" t="str">
        <f t="shared" si="19"/>
        <v/>
      </c>
      <c r="K1431" s="28" t="str">
        <f t="shared" si="24"/>
        <v/>
      </c>
      <c r="L1431" s="45" t="str">
        <f t="shared" si="25"/>
        <v/>
      </c>
      <c r="M1431" s="45" t="str">
        <f t="shared" si="26"/>
        <v/>
      </c>
      <c r="N1431" s="45">
        <f t="shared" si="27"/>
        <v>1</v>
      </c>
      <c r="O1431" s="45" t="str">
        <f t="shared" si="28"/>
        <v/>
      </c>
      <c r="P1431" s="45" t="str">
        <f t="shared" si="29"/>
        <v/>
      </c>
    </row>
    <row r="1432" spans="1:16" ht="17.25">
      <c r="A1432" s="276" t="s">
        <v>6551</v>
      </c>
      <c r="B1432" s="277">
        <v>2018</v>
      </c>
      <c r="C1432" s="276"/>
      <c r="D1432" s="277">
        <v>30354508</v>
      </c>
      <c r="E1432" s="278" t="str">
        <f t="shared" si="23"/>
        <v>https://pubmed.ncbi.nlm.nih.gov/30354508</v>
      </c>
      <c r="F1432" s="28" t="s">
        <v>511</v>
      </c>
      <c r="G1432" s="28" t="s">
        <v>4592</v>
      </c>
      <c r="J1432" s="346">
        <f t="shared" si="19"/>
        <v>1</v>
      </c>
      <c r="K1432" s="28" t="str">
        <f t="shared" si="24"/>
        <v/>
      </c>
      <c r="L1432" s="45" t="str">
        <f t="shared" si="25"/>
        <v/>
      </c>
      <c r="M1432" s="45" t="str">
        <f t="shared" si="26"/>
        <v/>
      </c>
      <c r="N1432" s="45" t="str">
        <f t="shared" si="27"/>
        <v/>
      </c>
      <c r="O1432" s="45" t="str">
        <f t="shared" si="28"/>
        <v/>
      </c>
      <c r="P1432" s="45" t="str">
        <f t="shared" si="29"/>
        <v/>
      </c>
    </row>
    <row r="1433" spans="1:16" ht="17.25">
      <c r="A1433" s="276" t="s">
        <v>6552</v>
      </c>
      <c r="B1433" s="277">
        <v>2017</v>
      </c>
      <c r="C1433" s="276" t="s">
        <v>6553</v>
      </c>
      <c r="D1433" s="277">
        <v>29190037</v>
      </c>
      <c r="E1433" s="278" t="str">
        <f t="shared" si="23"/>
        <v>https://pubmed.ncbi.nlm.nih.gov/29190037</v>
      </c>
      <c r="F1433" s="28" t="s">
        <v>511</v>
      </c>
      <c r="G1433" s="28" t="s">
        <v>4592</v>
      </c>
      <c r="J1433" s="346">
        <f t="shared" si="19"/>
        <v>1</v>
      </c>
      <c r="K1433" s="28" t="str">
        <f t="shared" si="24"/>
        <v/>
      </c>
      <c r="L1433" s="45" t="str">
        <f t="shared" si="25"/>
        <v/>
      </c>
      <c r="M1433" s="45" t="str">
        <f t="shared" si="26"/>
        <v/>
      </c>
      <c r="N1433" s="45" t="str">
        <f t="shared" si="27"/>
        <v/>
      </c>
      <c r="O1433" s="45" t="str">
        <f t="shared" si="28"/>
        <v/>
      </c>
      <c r="P1433" s="45" t="str">
        <f t="shared" si="29"/>
        <v/>
      </c>
    </row>
    <row r="1434" spans="1:16" ht="17.25">
      <c r="A1434" s="276" t="s">
        <v>6554</v>
      </c>
      <c r="B1434" s="277">
        <v>2018</v>
      </c>
      <c r="C1434" s="276"/>
      <c r="D1434" s="277">
        <v>29288035</v>
      </c>
      <c r="E1434" s="278" t="str">
        <f t="shared" si="23"/>
        <v>https://pubmed.ncbi.nlm.nih.gov/29288035</v>
      </c>
      <c r="F1434" s="28" t="s">
        <v>511</v>
      </c>
      <c r="G1434" s="28" t="s">
        <v>5299</v>
      </c>
      <c r="J1434" s="346" t="str">
        <f t="shared" si="19"/>
        <v/>
      </c>
      <c r="K1434" s="28" t="str">
        <f t="shared" si="24"/>
        <v/>
      </c>
      <c r="L1434" s="45" t="str">
        <f t="shared" si="25"/>
        <v/>
      </c>
      <c r="M1434" s="45" t="str">
        <f t="shared" si="26"/>
        <v/>
      </c>
      <c r="N1434" s="45">
        <f t="shared" si="27"/>
        <v>1</v>
      </c>
      <c r="O1434" s="45" t="str">
        <f t="shared" si="28"/>
        <v/>
      </c>
      <c r="P1434" s="45" t="str">
        <f t="shared" si="29"/>
        <v/>
      </c>
    </row>
    <row r="1435" spans="1:16" ht="17.25">
      <c r="A1435" s="276" t="s">
        <v>6555</v>
      </c>
      <c r="B1435" s="277">
        <v>2020</v>
      </c>
      <c r="C1435" s="276" t="s">
        <v>6556</v>
      </c>
      <c r="D1435" s="277">
        <v>33225960</v>
      </c>
      <c r="E1435" s="278" t="str">
        <f t="shared" si="23"/>
        <v>https://pubmed.ncbi.nlm.nih.gov/33225960</v>
      </c>
      <c r="F1435" s="28" t="s">
        <v>511</v>
      </c>
      <c r="G1435" s="28" t="s">
        <v>4744</v>
      </c>
      <c r="J1435" s="346" t="str">
        <f t="shared" si="19"/>
        <v/>
      </c>
      <c r="K1435" s="28" t="str">
        <f t="shared" si="24"/>
        <v/>
      </c>
      <c r="L1435" s="45" t="str">
        <f t="shared" si="25"/>
        <v/>
      </c>
      <c r="M1435" s="45" t="str">
        <f t="shared" si="26"/>
        <v/>
      </c>
      <c r="N1435" s="45">
        <f t="shared" si="27"/>
        <v>1</v>
      </c>
      <c r="O1435" s="45" t="str">
        <f t="shared" si="28"/>
        <v/>
      </c>
      <c r="P1435" s="45" t="str">
        <f t="shared" si="29"/>
        <v/>
      </c>
    </row>
    <row r="1436" spans="1:16" ht="17.25">
      <c r="A1436" s="276" t="s">
        <v>6557</v>
      </c>
      <c r="B1436" s="277">
        <v>2016</v>
      </c>
      <c r="C1436" s="276"/>
      <c r="D1436" s="277">
        <v>26599983</v>
      </c>
      <c r="E1436" s="278" t="str">
        <f t="shared" si="23"/>
        <v>https://pubmed.ncbi.nlm.nih.gov/26599983</v>
      </c>
      <c r="F1436" s="28" t="s">
        <v>511</v>
      </c>
      <c r="G1436" s="28" t="s">
        <v>5299</v>
      </c>
      <c r="J1436" s="346" t="str">
        <f t="shared" si="19"/>
        <v/>
      </c>
      <c r="K1436" s="28" t="str">
        <f t="shared" si="24"/>
        <v/>
      </c>
      <c r="L1436" s="45" t="str">
        <f t="shared" si="25"/>
        <v/>
      </c>
      <c r="M1436" s="45" t="str">
        <f t="shared" si="26"/>
        <v/>
      </c>
      <c r="N1436" s="45">
        <f t="shared" si="27"/>
        <v>1</v>
      </c>
      <c r="O1436" s="45" t="str">
        <f t="shared" si="28"/>
        <v/>
      </c>
      <c r="P1436" s="45" t="str">
        <f t="shared" si="29"/>
        <v/>
      </c>
    </row>
    <row r="1437" spans="1:16" ht="17.25">
      <c r="A1437" s="276" t="s">
        <v>6558</v>
      </c>
      <c r="B1437" s="277">
        <v>2009</v>
      </c>
      <c r="C1437" s="276"/>
      <c r="D1437" s="277">
        <v>19636030</v>
      </c>
      <c r="E1437" s="278" t="str">
        <f t="shared" si="23"/>
        <v>https://pubmed.ncbi.nlm.nih.gov/19636030</v>
      </c>
      <c r="F1437" s="28" t="s">
        <v>511</v>
      </c>
      <c r="G1437" s="28" t="s">
        <v>4744</v>
      </c>
      <c r="J1437" s="346" t="str">
        <f t="shared" si="19"/>
        <v/>
      </c>
      <c r="K1437" s="28" t="str">
        <f t="shared" si="24"/>
        <v/>
      </c>
      <c r="L1437" s="45" t="str">
        <f t="shared" si="25"/>
        <v/>
      </c>
      <c r="M1437" s="45" t="str">
        <f t="shared" si="26"/>
        <v/>
      </c>
      <c r="N1437" s="45">
        <f t="shared" si="27"/>
        <v>1</v>
      </c>
      <c r="O1437" s="45" t="str">
        <f t="shared" si="28"/>
        <v/>
      </c>
      <c r="P1437" s="45" t="str">
        <f t="shared" si="29"/>
        <v/>
      </c>
    </row>
    <row r="1438" spans="1:16" ht="17.25">
      <c r="A1438" s="276" t="s">
        <v>6559</v>
      </c>
      <c r="B1438" s="277">
        <v>2018</v>
      </c>
      <c r="C1438" s="276" t="s">
        <v>6560</v>
      </c>
      <c r="D1438" s="277">
        <v>30057900</v>
      </c>
      <c r="E1438" s="278" t="str">
        <f t="shared" si="23"/>
        <v>https://pubmed.ncbi.nlm.nih.gov/30057900</v>
      </c>
      <c r="F1438" s="28" t="s">
        <v>511</v>
      </c>
      <c r="G1438" s="28" t="s">
        <v>4592</v>
      </c>
      <c r="J1438" s="346">
        <f t="shared" si="19"/>
        <v>1</v>
      </c>
      <c r="K1438" s="28" t="str">
        <f t="shared" si="24"/>
        <v/>
      </c>
      <c r="L1438" s="45" t="str">
        <f t="shared" si="25"/>
        <v/>
      </c>
      <c r="M1438" s="45" t="str">
        <f t="shared" si="26"/>
        <v/>
      </c>
      <c r="N1438" s="45" t="str">
        <f t="shared" si="27"/>
        <v/>
      </c>
      <c r="O1438" s="45" t="str">
        <f t="shared" si="28"/>
        <v/>
      </c>
      <c r="P1438" s="45" t="str">
        <f t="shared" si="29"/>
        <v/>
      </c>
    </row>
    <row r="1439" spans="1:16" ht="17.25">
      <c r="A1439" s="276" t="s">
        <v>6561</v>
      </c>
      <c r="B1439" s="277">
        <v>1993</v>
      </c>
      <c r="C1439" s="276"/>
      <c r="D1439" s="277">
        <v>8482086</v>
      </c>
      <c r="E1439" s="278" t="str">
        <f t="shared" si="23"/>
        <v>https://pubmed.ncbi.nlm.nih.gov/8482086</v>
      </c>
      <c r="F1439" s="28" t="s">
        <v>511</v>
      </c>
      <c r="G1439" s="28" t="s">
        <v>6562</v>
      </c>
      <c r="J1439" s="346" t="str">
        <f t="shared" si="19"/>
        <v/>
      </c>
      <c r="K1439" s="28" t="str">
        <f t="shared" si="24"/>
        <v/>
      </c>
      <c r="L1439" s="45" t="str">
        <f t="shared" si="25"/>
        <v/>
      </c>
      <c r="M1439" s="45" t="str">
        <f t="shared" si="26"/>
        <v/>
      </c>
      <c r="N1439" s="45">
        <f t="shared" si="27"/>
        <v>1</v>
      </c>
      <c r="O1439" s="45" t="str">
        <f t="shared" si="28"/>
        <v/>
      </c>
      <c r="P1439" s="45" t="str">
        <f t="shared" si="29"/>
        <v/>
      </c>
    </row>
    <row r="1440" spans="1:16" ht="17.25">
      <c r="A1440" s="276" t="s">
        <v>6563</v>
      </c>
      <c r="B1440" s="277">
        <v>2019</v>
      </c>
      <c r="C1440" s="276" t="s">
        <v>6564</v>
      </c>
      <c r="D1440" s="277">
        <v>30935872</v>
      </c>
      <c r="E1440" s="278" t="str">
        <f t="shared" si="23"/>
        <v>https://pubmed.ncbi.nlm.nih.gov/30935872</v>
      </c>
      <c r="F1440" s="28" t="s">
        <v>511</v>
      </c>
      <c r="G1440" s="28" t="s">
        <v>5157</v>
      </c>
      <c r="J1440" s="346" t="str">
        <f t="shared" si="19"/>
        <v/>
      </c>
      <c r="K1440" s="28" t="str">
        <f t="shared" si="24"/>
        <v/>
      </c>
      <c r="L1440" s="45" t="str">
        <f t="shared" si="25"/>
        <v/>
      </c>
      <c r="M1440" s="45" t="str">
        <f t="shared" si="26"/>
        <v/>
      </c>
      <c r="N1440" s="45">
        <f t="shared" si="27"/>
        <v>1</v>
      </c>
      <c r="O1440" s="45" t="str">
        <f t="shared" si="28"/>
        <v/>
      </c>
      <c r="P1440" s="45" t="str">
        <f t="shared" si="29"/>
        <v/>
      </c>
    </row>
    <row r="1441" spans="1:16" ht="17.25">
      <c r="A1441" s="276" t="s">
        <v>4006</v>
      </c>
      <c r="B1441" s="277">
        <v>2015</v>
      </c>
      <c r="C1441" s="276" t="s">
        <v>6565</v>
      </c>
      <c r="D1441" s="277">
        <v>26252534</v>
      </c>
      <c r="E1441" s="278" t="str">
        <f t="shared" si="23"/>
        <v>https://pubmed.ncbi.nlm.nih.gov/26252534</v>
      </c>
      <c r="H1441" s="28" t="s">
        <v>511</v>
      </c>
      <c r="J1441" s="346" t="str">
        <f t="shared" si="19"/>
        <v/>
      </c>
      <c r="K1441" s="28" t="str">
        <f t="shared" si="24"/>
        <v/>
      </c>
      <c r="L1441" s="45" t="str">
        <f t="shared" si="25"/>
        <v/>
      </c>
      <c r="M1441" s="45" t="str">
        <f t="shared" si="26"/>
        <v/>
      </c>
      <c r="N1441" s="45" t="str">
        <f t="shared" si="27"/>
        <v/>
      </c>
      <c r="O1441" s="45" t="str">
        <f t="shared" si="28"/>
        <v/>
      </c>
      <c r="P1441" s="45" t="str">
        <f t="shared" si="29"/>
        <v/>
      </c>
    </row>
    <row r="1442" spans="1:16" ht="17.25">
      <c r="A1442" s="276" t="s">
        <v>6566</v>
      </c>
      <c r="B1442" s="277">
        <v>2009</v>
      </c>
      <c r="C1442" s="276"/>
      <c r="D1442" s="277">
        <v>19341608</v>
      </c>
      <c r="E1442" s="278" t="str">
        <f t="shared" si="23"/>
        <v>https://pubmed.ncbi.nlm.nih.gov/19341608</v>
      </c>
      <c r="F1442" s="28" t="s">
        <v>511</v>
      </c>
      <c r="G1442" s="28" t="s">
        <v>5188</v>
      </c>
      <c r="J1442" s="346">
        <f t="shared" si="19"/>
        <v>1</v>
      </c>
      <c r="K1442" s="28" t="str">
        <f t="shared" si="24"/>
        <v/>
      </c>
      <c r="L1442" s="45" t="str">
        <f t="shared" si="25"/>
        <v/>
      </c>
      <c r="M1442" s="45" t="str">
        <f t="shared" si="26"/>
        <v/>
      </c>
      <c r="N1442" s="45" t="str">
        <f t="shared" si="27"/>
        <v/>
      </c>
      <c r="O1442" s="45" t="str">
        <f t="shared" si="28"/>
        <v/>
      </c>
      <c r="P1442" s="45" t="str">
        <f t="shared" si="29"/>
        <v/>
      </c>
    </row>
    <row r="1443" spans="1:16" ht="17.25">
      <c r="A1443" s="276" t="s">
        <v>6567</v>
      </c>
      <c r="B1443" s="277">
        <v>2001</v>
      </c>
      <c r="C1443" s="276"/>
      <c r="D1443" s="277">
        <v>11176767</v>
      </c>
      <c r="E1443" s="278" t="str">
        <f t="shared" si="23"/>
        <v>https://pubmed.ncbi.nlm.nih.gov/11176767</v>
      </c>
      <c r="F1443" s="28" t="s">
        <v>511</v>
      </c>
      <c r="G1443" s="28" t="s">
        <v>4744</v>
      </c>
      <c r="J1443" s="346" t="str">
        <f t="shared" si="19"/>
        <v/>
      </c>
      <c r="K1443" s="28" t="str">
        <f t="shared" si="24"/>
        <v/>
      </c>
      <c r="L1443" s="45" t="str">
        <f t="shared" si="25"/>
        <v/>
      </c>
      <c r="M1443" s="45" t="str">
        <f t="shared" si="26"/>
        <v/>
      </c>
      <c r="N1443" s="45">
        <f t="shared" si="27"/>
        <v>1</v>
      </c>
      <c r="O1443" s="45" t="str">
        <f t="shared" si="28"/>
        <v/>
      </c>
      <c r="P1443" s="45" t="str">
        <f t="shared" si="29"/>
        <v/>
      </c>
    </row>
    <row r="1444" spans="1:16" ht="17.25">
      <c r="A1444" s="276" t="s">
        <v>6568</v>
      </c>
      <c r="B1444" s="277">
        <v>2020</v>
      </c>
      <c r="C1444" s="276" t="s">
        <v>6569</v>
      </c>
      <c r="D1444" s="277">
        <v>33172504</v>
      </c>
      <c r="E1444" s="278" t="str">
        <f t="shared" si="23"/>
        <v>https://pubmed.ncbi.nlm.nih.gov/33172504</v>
      </c>
      <c r="F1444" s="28" t="s">
        <v>511</v>
      </c>
      <c r="G1444" s="28" t="s">
        <v>5157</v>
      </c>
      <c r="J1444" s="346" t="str">
        <f t="shared" si="19"/>
        <v/>
      </c>
      <c r="K1444" s="28" t="str">
        <f t="shared" si="24"/>
        <v/>
      </c>
      <c r="L1444" s="45" t="str">
        <f t="shared" si="25"/>
        <v/>
      </c>
      <c r="M1444" s="45" t="str">
        <f t="shared" si="26"/>
        <v/>
      </c>
      <c r="N1444" s="45">
        <f t="shared" si="27"/>
        <v>1</v>
      </c>
      <c r="O1444" s="45" t="str">
        <f t="shared" si="28"/>
        <v/>
      </c>
      <c r="P1444" s="45" t="str">
        <f t="shared" si="29"/>
        <v/>
      </c>
    </row>
    <row r="1445" spans="1:16" ht="17.25">
      <c r="A1445" s="276" t="s">
        <v>6570</v>
      </c>
      <c r="B1445" s="277">
        <v>2003</v>
      </c>
      <c r="C1445" s="276"/>
      <c r="D1445" s="277">
        <v>12635507</v>
      </c>
      <c r="E1445" s="278" t="str">
        <f t="shared" si="23"/>
        <v>https://pubmed.ncbi.nlm.nih.gov/12635507</v>
      </c>
      <c r="F1445" s="28" t="s">
        <v>511</v>
      </c>
      <c r="G1445" s="28" t="s">
        <v>4592</v>
      </c>
      <c r="J1445" s="346">
        <f t="shared" si="19"/>
        <v>1</v>
      </c>
      <c r="K1445" s="28" t="str">
        <f t="shared" si="24"/>
        <v/>
      </c>
      <c r="L1445" s="45" t="str">
        <f t="shared" si="25"/>
        <v/>
      </c>
      <c r="M1445" s="45" t="str">
        <f t="shared" si="26"/>
        <v/>
      </c>
      <c r="N1445" s="45" t="str">
        <f t="shared" si="27"/>
        <v/>
      </c>
      <c r="O1445" s="45" t="str">
        <f t="shared" si="28"/>
        <v/>
      </c>
      <c r="P1445" s="45" t="str">
        <f t="shared" si="29"/>
        <v/>
      </c>
    </row>
    <row r="1446" spans="1:16" ht="17.25">
      <c r="A1446" s="276" t="s">
        <v>6571</v>
      </c>
      <c r="B1446" s="277">
        <v>2012</v>
      </c>
      <c r="C1446" s="276"/>
      <c r="D1446" s="277">
        <v>22336839</v>
      </c>
      <c r="E1446" s="278" t="str">
        <f t="shared" si="23"/>
        <v>https://pubmed.ncbi.nlm.nih.gov/22336839</v>
      </c>
      <c r="F1446" s="28" t="s">
        <v>511</v>
      </c>
      <c r="G1446" s="28" t="s">
        <v>5273</v>
      </c>
      <c r="J1446" s="346">
        <f t="shared" si="19"/>
        <v>1</v>
      </c>
      <c r="K1446" s="28" t="str">
        <f t="shared" si="24"/>
        <v/>
      </c>
      <c r="L1446" s="45" t="str">
        <f t="shared" si="25"/>
        <v/>
      </c>
      <c r="M1446" s="45" t="str">
        <f t="shared" si="26"/>
        <v/>
      </c>
      <c r="N1446" s="45" t="str">
        <f t="shared" si="27"/>
        <v/>
      </c>
      <c r="O1446" s="45" t="str">
        <f t="shared" si="28"/>
        <v/>
      </c>
      <c r="P1446" s="45" t="str">
        <f t="shared" si="29"/>
        <v/>
      </c>
    </row>
    <row r="1447" spans="1:16" ht="17.25">
      <c r="A1447" s="276" t="s">
        <v>6572</v>
      </c>
      <c r="B1447" s="277">
        <v>2013</v>
      </c>
      <c r="C1447" s="276"/>
      <c r="D1447" s="277">
        <v>23395587</v>
      </c>
      <c r="E1447" s="278" t="str">
        <f t="shared" si="23"/>
        <v>https://pubmed.ncbi.nlm.nih.gov/23395587</v>
      </c>
      <c r="F1447" s="28" t="s">
        <v>511</v>
      </c>
      <c r="G1447" s="28" t="s">
        <v>6573</v>
      </c>
      <c r="J1447" s="346" t="str">
        <f t="shared" si="19"/>
        <v/>
      </c>
      <c r="K1447" s="28" t="str">
        <f t="shared" si="24"/>
        <v/>
      </c>
      <c r="L1447" s="45" t="str">
        <f t="shared" si="25"/>
        <v/>
      </c>
      <c r="M1447" s="45" t="str">
        <f t="shared" si="26"/>
        <v/>
      </c>
      <c r="N1447" s="45" t="str">
        <f t="shared" si="27"/>
        <v/>
      </c>
      <c r="O1447" s="45">
        <f t="shared" si="28"/>
        <v>1</v>
      </c>
      <c r="P1447" s="45" t="str">
        <f t="shared" si="29"/>
        <v/>
      </c>
    </row>
    <row r="1448" spans="1:16" ht="17.25">
      <c r="A1448" s="276" t="s">
        <v>6574</v>
      </c>
      <c r="B1448" s="277">
        <v>2014</v>
      </c>
      <c r="C1448" s="276" t="s">
        <v>6029</v>
      </c>
      <c r="D1448" s="277">
        <v>24696467</v>
      </c>
      <c r="E1448" s="278" t="str">
        <f t="shared" si="23"/>
        <v>https://pubmed.ncbi.nlm.nih.gov/24696467</v>
      </c>
      <c r="F1448" s="28" t="s">
        <v>511</v>
      </c>
      <c r="G1448" s="28" t="s">
        <v>4346</v>
      </c>
      <c r="J1448" s="346" t="str">
        <f t="shared" si="19"/>
        <v/>
      </c>
      <c r="K1448" s="28" t="str">
        <f t="shared" si="24"/>
        <v/>
      </c>
      <c r="L1448" s="45">
        <f t="shared" si="25"/>
        <v>1</v>
      </c>
      <c r="M1448" s="45" t="str">
        <f t="shared" si="26"/>
        <v/>
      </c>
      <c r="N1448" s="45" t="str">
        <f t="shared" si="27"/>
        <v/>
      </c>
      <c r="O1448" s="45" t="str">
        <f t="shared" si="28"/>
        <v/>
      </c>
      <c r="P1448" s="45" t="str">
        <f t="shared" si="29"/>
        <v/>
      </c>
    </row>
    <row r="1449" spans="1:16" ht="17.25">
      <c r="A1449" s="276" t="s">
        <v>6575</v>
      </c>
      <c r="B1449" s="277">
        <v>2020</v>
      </c>
      <c r="C1449" s="276" t="s">
        <v>6576</v>
      </c>
      <c r="D1449" s="277">
        <v>31609787</v>
      </c>
      <c r="E1449" s="278" t="str">
        <f t="shared" si="23"/>
        <v>https://pubmed.ncbi.nlm.nih.gov/31609787</v>
      </c>
      <c r="F1449" s="28" t="s">
        <v>511</v>
      </c>
      <c r="G1449" s="28" t="s">
        <v>4744</v>
      </c>
      <c r="J1449" s="346" t="str">
        <f t="shared" si="19"/>
        <v/>
      </c>
      <c r="K1449" s="28" t="str">
        <f t="shared" si="24"/>
        <v/>
      </c>
      <c r="L1449" s="45" t="str">
        <f t="shared" si="25"/>
        <v/>
      </c>
      <c r="M1449" s="45" t="str">
        <f t="shared" si="26"/>
        <v/>
      </c>
      <c r="N1449" s="45">
        <f t="shared" si="27"/>
        <v>1</v>
      </c>
      <c r="O1449" s="45" t="str">
        <f t="shared" si="28"/>
        <v/>
      </c>
      <c r="P1449" s="45" t="str">
        <f t="shared" si="29"/>
        <v/>
      </c>
    </row>
    <row r="1450" spans="1:16" ht="17.25">
      <c r="A1450" s="276" t="s">
        <v>6577</v>
      </c>
      <c r="B1450" s="277">
        <v>2010</v>
      </c>
      <c r="C1450" s="276"/>
      <c r="D1450" s="277">
        <v>20091577</v>
      </c>
      <c r="E1450" s="278" t="str">
        <f t="shared" si="23"/>
        <v>https://pubmed.ncbi.nlm.nih.gov/20091577</v>
      </c>
      <c r="F1450" s="28" t="s">
        <v>511</v>
      </c>
      <c r="G1450" s="28" t="s">
        <v>4592</v>
      </c>
      <c r="J1450" s="346">
        <f t="shared" si="19"/>
        <v>1</v>
      </c>
      <c r="K1450" s="28" t="str">
        <f t="shared" si="24"/>
        <v/>
      </c>
      <c r="L1450" s="45" t="str">
        <f t="shared" si="25"/>
        <v/>
      </c>
      <c r="M1450" s="45" t="str">
        <f t="shared" si="26"/>
        <v/>
      </c>
      <c r="N1450" s="45" t="str">
        <f t="shared" si="27"/>
        <v/>
      </c>
      <c r="O1450" s="45" t="str">
        <f t="shared" si="28"/>
        <v/>
      </c>
      <c r="P1450" s="45" t="str">
        <f t="shared" si="29"/>
        <v/>
      </c>
    </row>
    <row r="1451" spans="1:16" ht="17.25">
      <c r="A1451" s="276" t="s">
        <v>6578</v>
      </c>
      <c r="B1451" s="277">
        <v>2014</v>
      </c>
      <c r="C1451" s="276" t="s">
        <v>6579</v>
      </c>
      <c r="D1451" s="277">
        <v>24713880</v>
      </c>
      <c r="E1451" s="278" t="str">
        <f t="shared" si="23"/>
        <v>https://pubmed.ncbi.nlm.nih.gov/24713880</v>
      </c>
      <c r="F1451" s="28" t="s">
        <v>511</v>
      </c>
      <c r="G1451" s="28" t="s">
        <v>6580</v>
      </c>
      <c r="J1451" s="346" t="str">
        <f t="shared" si="19"/>
        <v/>
      </c>
      <c r="K1451" s="28" t="str">
        <f t="shared" si="24"/>
        <v/>
      </c>
      <c r="L1451" s="45" t="str">
        <f t="shared" si="25"/>
        <v/>
      </c>
      <c r="M1451" s="45" t="str">
        <f t="shared" si="26"/>
        <v/>
      </c>
      <c r="N1451" s="45" t="str">
        <f t="shared" si="27"/>
        <v/>
      </c>
      <c r="O1451" s="45">
        <f t="shared" si="28"/>
        <v>1</v>
      </c>
      <c r="P1451" s="45" t="str">
        <f t="shared" si="29"/>
        <v/>
      </c>
    </row>
    <row r="1452" spans="1:16" ht="17.25">
      <c r="A1452" s="276" t="s">
        <v>6581</v>
      </c>
      <c r="B1452" s="277">
        <v>2018</v>
      </c>
      <c r="C1452" s="276" t="s">
        <v>6582</v>
      </c>
      <c r="D1452" s="277">
        <v>29900829</v>
      </c>
      <c r="E1452" s="278" t="str">
        <f t="shared" si="23"/>
        <v>https://pubmed.ncbi.nlm.nih.gov/29900829</v>
      </c>
      <c r="F1452" s="28" t="s">
        <v>511</v>
      </c>
      <c r="G1452" s="28" t="s">
        <v>4867</v>
      </c>
      <c r="J1452" s="346" t="str">
        <f t="shared" si="19"/>
        <v/>
      </c>
      <c r="K1452" s="28" t="str">
        <f t="shared" si="24"/>
        <v/>
      </c>
      <c r="L1452" s="45" t="str">
        <f t="shared" si="25"/>
        <v/>
      </c>
      <c r="M1452" s="45" t="str">
        <f t="shared" si="26"/>
        <v/>
      </c>
      <c r="N1452" s="45">
        <f t="shared" si="27"/>
        <v>1</v>
      </c>
      <c r="O1452" s="45" t="str">
        <f t="shared" si="28"/>
        <v/>
      </c>
      <c r="P1452" s="45" t="str">
        <f t="shared" si="29"/>
        <v/>
      </c>
    </row>
    <row r="1453" spans="1:16" ht="17.25">
      <c r="A1453" s="276" t="s">
        <v>6583</v>
      </c>
      <c r="B1453" s="277">
        <v>2012</v>
      </c>
      <c r="C1453" s="276"/>
      <c r="D1453" s="277">
        <v>22727733</v>
      </c>
      <c r="E1453" s="278" t="str">
        <f t="shared" si="23"/>
        <v>https://pubmed.ncbi.nlm.nih.gov/22727733</v>
      </c>
      <c r="F1453" s="28" t="s">
        <v>511</v>
      </c>
      <c r="G1453" s="28" t="s">
        <v>4744</v>
      </c>
      <c r="J1453" s="346" t="str">
        <f t="shared" si="19"/>
        <v/>
      </c>
      <c r="K1453" s="28" t="str">
        <f t="shared" si="24"/>
        <v/>
      </c>
      <c r="L1453" s="45" t="str">
        <f t="shared" si="25"/>
        <v/>
      </c>
      <c r="M1453" s="45" t="str">
        <f t="shared" si="26"/>
        <v/>
      </c>
      <c r="N1453" s="45">
        <f t="shared" si="27"/>
        <v>1</v>
      </c>
      <c r="O1453" s="45" t="str">
        <f t="shared" si="28"/>
        <v/>
      </c>
      <c r="P1453" s="45" t="str">
        <f t="shared" si="29"/>
        <v/>
      </c>
    </row>
    <row r="1454" spans="1:16" ht="17.25">
      <c r="A1454" s="276" t="s">
        <v>6584</v>
      </c>
      <c r="B1454" s="277">
        <v>2018</v>
      </c>
      <c r="C1454" s="276"/>
      <c r="D1454" s="277">
        <v>29730228</v>
      </c>
      <c r="E1454" s="278" t="str">
        <f t="shared" si="23"/>
        <v>https://pubmed.ncbi.nlm.nih.gov/29730228</v>
      </c>
      <c r="F1454" s="28" t="s">
        <v>511</v>
      </c>
      <c r="G1454" s="28" t="s">
        <v>6585</v>
      </c>
      <c r="J1454" s="346" t="str">
        <f t="shared" si="19"/>
        <v/>
      </c>
      <c r="K1454" s="28" t="str">
        <f t="shared" si="24"/>
        <v/>
      </c>
      <c r="L1454" s="45" t="str">
        <f t="shared" si="25"/>
        <v/>
      </c>
      <c r="M1454" s="45" t="str">
        <f t="shared" si="26"/>
        <v/>
      </c>
      <c r="N1454" s="45">
        <f t="shared" si="27"/>
        <v>1</v>
      </c>
      <c r="O1454" s="45" t="str">
        <f t="shared" si="28"/>
        <v/>
      </c>
      <c r="P1454" s="45" t="str">
        <f t="shared" si="29"/>
        <v/>
      </c>
    </row>
    <row r="1455" spans="1:16" ht="17.25">
      <c r="A1455" s="276" t="s">
        <v>6586</v>
      </c>
      <c r="B1455" s="277">
        <v>1993</v>
      </c>
      <c r="C1455" s="276"/>
      <c r="D1455" s="277">
        <v>8445199</v>
      </c>
      <c r="E1455" s="278" t="str">
        <f t="shared" si="23"/>
        <v>https://pubmed.ncbi.nlm.nih.gov/8445199</v>
      </c>
      <c r="F1455" s="28" t="s">
        <v>511</v>
      </c>
      <c r="G1455" s="28" t="s">
        <v>4592</v>
      </c>
      <c r="J1455" s="346">
        <f t="shared" si="19"/>
        <v>1</v>
      </c>
      <c r="K1455" s="28" t="str">
        <f t="shared" si="24"/>
        <v/>
      </c>
      <c r="L1455" s="45" t="str">
        <f t="shared" si="25"/>
        <v/>
      </c>
      <c r="M1455" s="45" t="str">
        <f t="shared" si="26"/>
        <v/>
      </c>
      <c r="N1455" s="45" t="str">
        <f t="shared" si="27"/>
        <v/>
      </c>
      <c r="O1455" s="45" t="str">
        <f t="shared" si="28"/>
        <v/>
      </c>
      <c r="P1455" s="45" t="str">
        <f t="shared" si="29"/>
        <v/>
      </c>
    </row>
    <row r="1456" spans="1:16" ht="17.25">
      <c r="A1456" s="276" t="s">
        <v>6587</v>
      </c>
      <c r="B1456" s="277">
        <v>2011</v>
      </c>
      <c r="C1456" s="276"/>
      <c r="D1456" s="277">
        <v>21329776</v>
      </c>
      <c r="E1456" s="278" t="str">
        <f t="shared" si="23"/>
        <v>https://pubmed.ncbi.nlm.nih.gov/21329776</v>
      </c>
      <c r="F1456" s="28" t="s">
        <v>511</v>
      </c>
      <c r="G1456" s="28" t="s">
        <v>4744</v>
      </c>
      <c r="J1456" s="346" t="str">
        <f t="shared" si="19"/>
        <v/>
      </c>
      <c r="K1456" s="28" t="str">
        <f t="shared" si="24"/>
        <v/>
      </c>
      <c r="L1456" s="45" t="str">
        <f t="shared" si="25"/>
        <v/>
      </c>
      <c r="M1456" s="45" t="str">
        <f t="shared" si="26"/>
        <v/>
      </c>
      <c r="N1456" s="45">
        <f t="shared" si="27"/>
        <v>1</v>
      </c>
      <c r="O1456" s="45" t="str">
        <f t="shared" si="28"/>
        <v/>
      </c>
      <c r="P1456" s="45" t="str">
        <f t="shared" si="29"/>
        <v/>
      </c>
    </row>
    <row r="1457" spans="1:16" ht="17.25">
      <c r="A1457" s="276" t="s">
        <v>6588</v>
      </c>
      <c r="B1457" s="277">
        <v>2020</v>
      </c>
      <c r="C1457" s="276" t="s">
        <v>6589</v>
      </c>
      <c r="D1457" s="277">
        <v>32297320</v>
      </c>
      <c r="E1457" s="278" t="str">
        <f t="shared" si="23"/>
        <v>https://pubmed.ncbi.nlm.nih.gov/32297320</v>
      </c>
      <c r="F1457" s="28" t="s">
        <v>511</v>
      </c>
      <c r="G1457" s="28" t="s">
        <v>6220</v>
      </c>
      <c r="J1457" s="346">
        <f t="shared" si="19"/>
        <v>1</v>
      </c>
      <c r="K1457" s="28" t="str">
        <f t="shared" si="24"/>
        <v/>
      </c>
      <c r="L1457" s="45" t="str">
        <f t="shared" si="25"/>
        <v/>
      </c>
      <c r="M1457" s="45" t="str">
        <f t="shared" si="26"/>
        <v/>
      </c>
      <c r="N1457" s="45" t="str">
        <f t="shared" si="27"/>
        <v/>
      </c>
      <c r="O1457" s="45" t="str">
        <f t="shared" si="28"/>
        <v/>
      </c>
      <c r="P1457" s="45" t="str">
        <f t="shared" si="29"/>
        <v/>
      </c>
    </row>
    <row r="1458" spans="1:16" ht="17.25">
      <c r="A1458" s="276" t="s">
        <v>6590</v>
      </c>
      <c r="B1458" s="277">
        <v>2011</v>
      </c>
      <c r="C1458" s="276"/>
      <c r="D1458" s="277">
        <v>21423006</v>
      </c>
      <c r="E1458" s="278" t="str">
        <f t="shared" si="23"/>
        <v>https://pubmed.ncbi.nlm.nih.gov/21423006</v>
      </c>
      <c r="F1458" s="28" t="s">
        <v>511</v>
      </c>
      <c r="G1458" s="28" t="s">
        <v>4592</v>
      </c>
      <c r="J1458" s="346">
        <f t="shared" si="19"/>
        <v>1</v>
      </c>
      <c r="K1458" s="28" t="str">
        <f t="shared" si="24"/>
        <v/>
      </c>
      <c r="L1458" s="45" t="str">
        <f t="shared" si="25"/>
        <v/>
      </c>
      <c r="M1458" s="45" t="str">
        <f t="shared" si="26"/>
        <v/>
      </c>
      <c r="N1458" s="45" t="str">
        <f t="shared" si="27"/>
        <v/>
      </c>
      <c r="O1458" s="45" t="str">
        <f t="shared" si="28"/>
        <v/>
      </c>
      <c r="P1458" s="45" t="str">
        <f t="shared" si="29"/>
        <v/>
      </c>
    </row>
    <row r="1459" spans="1:16" ht="17.25">
      <c r="A1459" s="276" t="s">
        <v>6591</v>
      </c>
      <c r="B1459" s="277">
        <v>2002</v>
      </c>
      <c r="C1459" s="276"/>
      <c r="D1459" s="277">
        <v>12132490</v>
      </c>
      <c r="E1459" s="278" t="str">
        <f t="shared" si="23"/>
        <v>https://pubmed.ncbi.nlm.nih.gov/12132490</v>
      </c>
      <c r="F1459" s="28" t="s">
        <v>511</v>
      </c>
      <c r="G1459" s="28" t="s">
        <v>4592</v>
      </c>
      <c r="J1459" s="346">
        <f t="shared" si="19"/>
        <v>1</v>
      </c>
      <c r="K1459" s="28" t="str">
        <f t="shared" si="24"/>
        <v/>
      </c>
      <c r="L1459" s="45" t="str">
        <f t="shared" si="25"/>
        <v/>
      </c>
      <c r="M1459" s="45" t="str">
        <f t="shared" si="26"/>
        <v/>
      </c>
      <c r="N1459" s="45" t="str">
        <f t="shared" si="27"/>
        <v/>
      </c>
      <c r="O1459" s="45" t="str">
        <f t="shared" si="28"/>
        <v/>
      </c>
      <c r="P1459" s="45" t="str">
        <f t="shared" si="29"/>
        <v/>
      </c>
    </row>
    <row r="1460" spans="1:16" ht="17.25">
      <c r="A1460" s="276" t="s">
        <v>6592</v>
      </c>
      <c r="B1460" s="277">
        <v>2020</v>
      </c>
      <c r="C1460" s="276"/>
      <c r="D1460" s="277">
        <v>32936949</v>
      </c>
      <c r="E1460" s="278" t="str">
        <f t="shared" si="23"/>
        <v>https://pubmed.ncbi.nlm.nih.gov/32936949</v>
      </c>
      <c r="F1460" s="28" t="s">
        <v>511</v>
      </c>
      <c r="G1460" s="28" t="s">
        <v>4592</v>
      </c>
      <c r="J1460" s="346">
        <f t="shared" si="19"/>
        <v>1</v>
      </c>
      <c r="K1460" s="28" t="str">
        <f t="shared" si="24"/>
        <v/>
      </c>
      <c r="L1460" s="45" t="str">
        <f t="shared" si="25"/>
        <v/>
      </c>
      <c r="M1460" s="45" t="str">
        <f t="shared" si="26"/>
        <v/>
      </c>
      <c r="N1460" s="45" t="str">
        <f t="shared" si="27"/>
        <v/>
      </c>
      <c r="O1460" s="45" t="str">
        <f t="shared" si="28"/>
        <v/>
      </c>
      <c r="P1460" s="45" t="str">
        <f t="shared" si="29"/>
        <v/>
      </c>
    </row>
    <row r="1461" spans="1:16" ht="17.25">
      <c r="A1461" s="276" t="s">
        <v>6592</v>
      </c>
      <c r="B1461" s="277">
        <v>2020</v>
      </c>
      <c r="C1461" s="276"/>
      <c r="D1461" s="277">
        <v>32936948</v>
      </c>
      <c r="E1461" s="278" t="str">
        <f t="shared" si="23"/>
        <v>https://pubmed.ncbi.nlm.nih.gov/32936948</v>
      </c>
      <c r="F1461" s="28" t="s">
        <v>511</v>
      </c>
      <c r="G1461" s="28" t="s">
        <v>4592</v>
      </c>
      <c r="J1461" s="346">
        <f t="shared" si="19"/>
        <v>1</v>
      </c>
      <c r="K1461" s="28" t="str">
        <f t="shared" si="24"/>
        <v/>
      </c>
      <c r="L1461" s="45" t="str">
        <f t="shared" si="25"/>
        <v/>
      </c>
      <c r="M1461" s="45" t="str">
        <f t="shared" si="26"/>
        <v/>
      </c>
      <c r="N1461" s="45" t="str">
        <f t="shared" si="27"/>
        <v/>
      </c>
      <c r="O1461" s="45" t="str">
        <f t="shared" si="28"/>
        <v/>
      </c>
      <c r="P1461" s="45" t="str">
        <f t="shared" si="29"/>
        <v/>
      </c>
    </row>
    <row r="1462" spans="1:16" ht="17.25">
      <c r="A1462" s="276" t="s">
        <v>6593</v>
      </c>
      <c r="B1462" s="277">
        <v>2012</v>
      </c>
      <c r="C1462" s="276"/>
      <c r="D1462" s="277">
        <v>22704398</v>
      </c>
      <c r="E1462" s="278" t="str">
        <f t="shared" si="23"/>
        <v>https://pubmed.ncbi.nlm.nih.gov/22704398</v>
      </c>
      <c r="F1462" s="28" t="s">
        <v>511</v>
      </c>
      <c r="G1462" s="28" t="s">
        <v>4867</v>
      </c>
      <c r="J1462" s="346" t="str">
        <f t="shared" si="19"/>
        <v/>
      </c>
      <c r="K1462" s="28" t="str">
        <f t="shared" si="24"/>
        <v/>
      </c>
      <c r="L1462" s="45" t="str">
        <f t="shared" si="25"/>
        <v/>
      </c>
      <c r="M1462" s="45" t="str">
        <f t="shared" si="26"/>
        <v/>
      </c>
      <c r="N1462" s="45">
        <f t="shared" si="27"/>
        <v>1</v>
      </c>
      <c r="O1462" s="45" t="str">
        <f t="shared" si="28"/>
        <v/>
      </c>
      <c r="P1462" s="45" t="str">
        <f t="shared" si="29"/>
        <v/>
      </c>
    </row>
    <row r="1463" spans="1:16" ht="17.25">
      <c r="A1463" s="276" t="s">
        <v>6594</v>
      </c>
      <c r="B1463" s="277">
        <v>2011</v>
      </c>
      <c r="C1463" s="276"/>
      <c r="D1463" s="277">
        <v>21333346</v>
      </c>
      <c r="E1463" s="278" t="str">
        <f t="shared" si="23"/>
        <v>https://pubmed.ncbi.nlm.nih.gov/21333346</v>
      </c>
      <c r="F1463" s="28" t="s">
        <v>511</v>
      </c>
      <c r="G1463" s="28" t="s">
        <v>6595</v>
      </c>
      <c r="J1463" s="346" t="str">
        <f t="shared" si="19"/>
        <v/>
      </c>
      <c r="K1463" s="28" t="str">
        <f t="shared" si="24"/>
        <v/>
      </c>
      <c r="L1463" s="45" t="str">
        <f t="shared" si="25"/>
        <v/>
      </c>
      <c r="M1463" s="45" t="str">
        <f t="shared" si="26"/>
        <v/>
      </c>
      <c r="N1463" s="45" t="str">
        <f t="shared" si="27"/>
        <v/>
      </c>
      <c r="O1463" s="45">
        <f t="shared" si="28"/>
        <v>1</v>
      </c>
      <c r="P1463" s="45" t="str">
        <f t="shared" si="29"/>
        <v/>
      </c>
    </row>
    <row r="1464" spans="1:16" ht="17.25">
      <c r="A1464" s="276" t="s">
        <v>6596</v>
      </c>
      <c r="B1464" s="277">
        <v>2013</v>
      </c>
      <c r="C1464" s="276"/>
      <c r="D1464" s="277">
        <v>23543569</v>
      </c>
      <c r="E1464" s="278" t="str">
        <f t="shared" si="23"/>
        <v>https://pubmed.ncbi.nlm.nih.gov/23543569</v>
      </c>
      <c r="F1464" s="28" t="s">
        <v>511</v>
      </c>
      <c r="G1464" s="28" t="s">
        <v>4592</v>
      </c>
      <c r="J1464" s="346">
        <f t="shared" si="19"/>
        <v>1</v>
      </c>
      <c r="K1464" s="28" t="str">
        <f t="shared" si="24"/>
        <v/>
      </c>
      <c r="L1464" s="45" t="str">
        <f t="shared" si="25"/>
        <v/>
      </c>
      <c r="M1464" s="45" t="str">
        <f t="shared" si="26"/>
        <v/>
      </c>
      <c r="N1464" s="45" t="str">
        <f t="shared" si="27"/>
        <v/>
      </c>
      <c r="O1464" s="45" t="str">
        <f t="shared" si="28"/>
        <v/>
      </c>
      <c r="P1464" s="45" t="str">
        <f t="shared" si="29"/>
        <v/>
      </c>
    </row>
    <row r="1465" spans="1:16" ht="17.25">
      <c r="A1465" s="276" t="s">
        <v>6597</v>
      </c>
      <c r="B1465" s="277">
        <v>2019</v>
      </c>
      <c r="C1465" s="276" t="s">
        <v>6598</v>
      </c>
      <c r="D1465" s="277">
        <v>31168411</v>
      </c>
      <c r="E1465" s="278" t="str">
        <f t="shared" si="23"/>
        <v>https://pubmed.ncbi.nlm.nih.gov/31168411</v>
      </c>
      <c r="F1465" s="28" t="s">
        <v>511</v>
      </c>
      <c r="G1465" s="28" t="s">
        <v>4744</v>
      </c>
      <c r="J1465" s="346" t="str">
        <f t="shared" si="19"/>
        <v/>
      </c>
      <c r="K1465" s="28" t="str">
        <f t="shared" si="24"/>
        <v/>
      </c>
      <c r="L1465" s="45" t="str">
        <f t="shared" si="25"/>
        <v/>
      </c>
      <c r="M1465" s="45" t="str">
        <f t="shared" si="26"/>
        <v/>
      </c>
      <c r="N1465" s="45">
        <f t="shared" si="27"/>
        <v>1</v>
      </c>
      <c r="O1465" s="45" t="str">
        <f t="shared" si="28"/>
        <v/>
      </c>
      <c r="P1465" s="45" t="str">
        <f t="shared" si="29"/>
        <v/>
      </c>
    </row>
    <row r="1466" spans="1:16" ht="17.25">
      <c r="A1466" s="276" t="s">
        <v>6599</v>
      </c>
      <c r="B1466" s="277">
        <v>2017</v>
      </c>
      <c r="C1466" s="276" t="s">
        <v>6600</v>
      </c>
      <c r="D1466" s="277">
        <v>28915908</v>
      </c>
      <c r="E1466" s="278" t="str">
        <f t="shared" si="23"/>
        <v>https://pubmed.ncbi.nlm.nih.gov/28915908</v>
      </c>
      <c r="F1466" s="28" t="s">
        <v>511</v>
      </c>
      <c r="G1466" s="28" t="s">
        <v>4592</v>
      </c>
      <c r="J1466" s="346">
        <f t="shared" si="19"/>
        <v>1</v>
      </c>
      <c r="K1466" s="28" t="str">
        <f t="shared" si="24"/>
        <v/>
      </c>
      <c r="L1466" s="45" t="str">
        <f t="shared" si="25"/>
        <v/>
      </c>
      <c r="M1466" s="45" t="str">
        <f t="shared" si="26"/>
        <v/>
      </c>
      <c r="N1466" s="45" t="str">
        <f t="shared" si="27"/>
        <v/>
      </c>
      <c r="O1466" s="45" t="str">
        <f t="shared" si="28"/>
        <v/>
      </c>
      <c r="P1466" s="45" t="str">
        <f t="shared" si="29"/>
        <v/>
      </c>
    </row>
    <row r="1467" spans="1:16" ht="17.25">
      <c r="A1467" s="276" t="s">
        <v>6601</v>
      </c>
      <c r="B1467" s="277">
        <v>2015</v>
      </c>
      <c r="C1467" s="276"/>
      <c r="D1467" s="277">
        <v>25393157</v>
      </c>
      <c r="E1467" s="278" t="str">
        <f t="shared" si="23"/>
        <v>https://pubmed.ncbi.nlm.nih.gov/25393157</v>
      </c>
      <c r="F1467" s="28" t="s">
        <v>511</v>
      </c>
      <c r="G1467" s="28" t="s">
        <v>4744</v>
      </c>
      <c r="J1467" s="346" t="str">
        <f t="shared" si="19"/>
        <v/>
      </c>
      <c r="K1467" s="28" t="str">
        <f t="shared" si="24"/>
        <v/>
      </c>
      <c r="L1467" s="45" t="str">
        <f t="shared" si="25"/>
        <v/>
      </c>
      <c r="M1467" s="45" t="str">
        <f t="shared" si="26"/>
        <v/>
      </c>
      <c r="N1467" s="45">
        <f t="shared" si="27"/>
        <v>1</v>
      </c>
      <c r="O1467" s="45" t="str">
        <f t="shared" si="28"/>
        <v/>
      </c>
      <c r="P1467" s="45" t="str">
        <f t="shared" si="29"/>
        <v/>
      </c>
    </row>
    <row r="1468" spans="1:16" ht="17.25">
      <c r="A1468" s="276" t="s">
        <v>6602</v>
      </c>
      <c r="B1468" s="277">
        <v>2010</v>
      </c>
      <c r="C1468" s="276"/>
      <c r="D1468" s="277">
        <v>21036294</v>
      </c>
      <c r="E1468" s="278" t="str">
        <f t="shared" si="23"/>
        <v>https://pubmed.ncbi.nlm.nih.gov/21036294</v>
      </c>
      <c r="F1468" s="28" t="s">
        <v>511</v>
      </c>
      <c r="G1468" s="28" t="s">
        <v>6210</v>
      </c>
      <c r="J1468" s="346">
        <f t="shared" si="19"/>
        <v>1</v>
      </c>
      <c r="K1468" s="28" t="str">
        <f t="shared" si="24"/>
        <v/>
      </c>
      <c r="L1468" s="45" t="str">
        <f t="shared" si="25"/>
        <v/>
      </c>
      <c r="M1468" s="45" t="str">
        <f t="shared" si="26"/>
        <v/>
      </c>
      <c r="N1468" s="45" t="str">
        <f t="shared" si="27"/>
        <v/>
      </c>
      <c r="O1468" s="45" t="str">
        <f t="shared" si="28"/>
        <v/>
      </c>
      <c r="P1468" s="45" t="str">
        <f t="shared" si="29"/>
        <v/>
      </c>
    </row>
    <row r="1469" spans="1:16" ht="17.25">
      <c r="A1469" s="276" t="s">
        <v>6603</v>
      </c>
      <c r="B1469" s="277">
        <v>2004</v>
      </c>
      <c r="C1469" s="276"/>
      <c r="D1469" s="277">
        <v>14674941</v>
      </c>
      <c r="E1469" s="278" t="str">
        <f t="shared" si="23"/>
        <v>https://pubmed.ncbi.nlm.nih.gov/14674941</v>
      </c>
      <c r="F1469" s="28" t="s">
        <v>511</v>
      </c>
      <c r="G1469" s="28" t="s">
        <v>6604</v>
      </c>
      <c r="J1469" s="346" t="str">
        <f t="shared" si="19"/>
        <v/>
      </c>
      <c r="K1469" s="28" t="str">
        <f t="shared" si="24"/>
        <v/>
      </c>
      <c r="L1469" s="45" t="str">
        <f t="shared" si="25"/>
        <v/>
      </c>
      <c r="M1469" s="45" t="str">
        <f t="shared" si="26"/>
        <v/>
      </c>
      <c r="N1469" s="45">
        <f t="shared" si="27"/>
        <v>1</v>
      </c>
      <c r="O1469" s="45" t="str">
        <f t="shared" si="28"/>
        <v/>
      </c>
      <c r="P1469" s="45" t="str">
        <f t="shared" si="29"/>
        <v/>
      </c>
    </row>
    <row r="1470" spans="1:16" ht="17.25">
      <c r="A1470" s="276" t="s">
        <v>6605</v>
      </c>
      <c r="B1470" s="277">
        <v>2015</v>
      </c>
      <c r="C1470" s="276" t="s">
        <v>6606</v>
      </c>
      <c r="D1470" s="277">
        <v>25619164</v>
      </c>
      <c r="E1470" s="278" t="str">
        <f t="shared" si="23"/>
        <v>https://pubmed.ncbi.nlm.nih.gov/25619164</v>
      </c>
      <c r="F1470" s="28" t="s">
        <v>511</v>
      </c>
      <c r="G1470" s="28" t="s">
        <v>4592</v>
      </c>
      <c r="J1470" s="346">
        <f t="shared" si="19"/>
        <v>1</v>
      </c>
      <c r="K1470" s="28" t="str">
        <f t="shared" si="24"/>
        <v/>
      </c>
      <c r="L1470" s="45" t="str">
        <f t="shared" si="25"/>
        <v/>
      </c>
      <c r="M1470" s="45" t="str">
        <f t="shared" si="26"/>
        <v/>
      </c>
      <c r="N1470" s="45" t="str">
        <f t="shared" si="27"/>
        <v/>
      </c>
      <c r="O1470" s="45" t="str">
        <f t="shared" si="28"/>
        <v/>
      </c>
      <c r="P1470" s="45" t="str">
        <f t="shared" si="29"/>
        <v/>
      </c>
    </row>
    <row r="1471" spans="1:16" ht="17.25">
      <c r="A1471" s="276" t="s">
        <v>6607</v>
      </c>
      <c r="B1471" s="277">
        <v>2020</v>
      </c>
      <c r="C1471" s="276"/>
      <c r="D1471" s="277">
        <v>31843246</v>
      </c>
      <c r="E1471" s="278" t="str">
        <f t="shared" si="23"/>
        <v>https://pubmed.ncbi.nlm.nih.gov/31843246</v>
      </c>
      <c r="F1471" s="28" t="s">
        <v>511</v>
      </c>
      <c r="G1471" s="28" t="s">
        <v>5157</v>
      </c>
      <c r="J1471" s="346" t="str">
        <f t="shared" si="19"/>
        <v/>
      </c>
      <c r="K1471" s="28" t="str">
        <f t="shared" si="24"/>
        <v/>
      </c>
      <c r="L1471" s="45" t="str">
        <f t="shared" si="25"/>
        <v/>
      </c>
      <c r="M1471" s="45" t="str">
        <f t="shared" si="26"/>
        <v/>
      </c>
      <c r="N1471" s="45">
        <f t="shared" si="27"/>
        <v>1</v>
      </c>
      <c r="O1471" s="45" t="str">
        <f t="shared" si="28"/>
        <v/>
      </c>
      <c r="P1471" s="45" t="str">
        <f t="shared" si="29"/>
        <v/>
      </c>
    </row>
    <row r="1472" spans="1:16" ht="17.25">
      <c r="A1472" s="276" t="s">
        <v>6608</v>
      </c>
      <c r="B1472" s="277">
        <v>2013</v>
      </c>
      <c r="C1472" s="276"/>
      <c r="D1472" s="277">
        <v>23818263</v>
      </c>
      <c r="E1472" s="278" t="str">
        <f t="shared" si="23"/>
        <v>https://pubmed.ncbi.nlm.nih.gov/23818263</v>
      </c>
      <c r="F1472" s="28" t="s">
        <v>511</v>
      </c>
      <c r="G1472" s="28" t="s">
        <v>4744</v>
      </c>
      <c r="J1472" s="346" t="str">
        <f t="shared" si="19"/>
        <v/>
      </c>
      <c r="K1472" s="28" t="str">
        <f t="shared" si="24"/>
        <v/>
      </c>
      <c r="L1472" s="45" t="str">
        <f t="shared" si="25"/>
        <v/>
      </c>
      <c r="M1472" s="45" t="str">
        <f t="shared" si="26"/>
        <v/>
      </c>
      <c r="N1472" s="45">
        <f t="shared" si="27"/>
        <v>1</v>
      </c>
      <c r="O1472" s="45" t="str">
        <f t="shared" si="28"/>
        <v/>
      </c>
      <c r="P1472" s="45" t="str">
        <f t="shared" si="29"/>
        <v/>
      </c>
    </row>
    <row r="1473" spans="1:16" ht="17.25">
      <c r="A1473" s="276" t="s">
        <v>6609</v>
      </c>
      <c r="B1473" s="277">
        <v>2014</v>
      </c>
      <c r="C1473" s="276"/>
      <c r="D1473" s="277">
        <v>24240985</v>
      </c>
      <c r="E1473" s="278" t="str">
        <f t="shared" si="23"/>
        <v>https://pubmed.ncbi.nlm.nih.gov/24240985</v>
      </c>
      <c r="F1473" s="28" t="s">
        <v>511</v>
      </c>
      <c r="G1473" s="28" t="s">
        <v>4592</v>
      </c>
      <c r="J1473" s="346">
        <f t="shared" si="19"/>
        <v>1</v>
      </c>
      <c r="K1473" s="28" t="str">
        <f t="shared" si="24"/>
        <v/>
      </c>
      <c r="L1473" s="45" t="str">
        <f t="shared" si="25"/>
        <v/>
      </c>
      <c r="M1473" s="45" t="str">
        <f t="shared" si="26"/>
        <v/>
      </c>
      <c r="N1473" s="45" t="str">
        <f t="shared" si="27"/>
        <v/>
      </c>
      <c r="O1473" s="45" t="str">
        <f t="shared" si="28"/>
        <v/>
      </c>
      <c r="P1473" s="45" t="str">
        <f t="shared" si="29"/>
        <v/>
      </c>
    </row>
    <row r="1474" spans="1:16" ht="17.25">
      <c r="A1474" s="276" t="s">
        <v>6610</v>
      </c>
      <c r="B1474" s="277">
        <v>2020</v>
      </c>
      <c r="C1474" s="276" t="s">
        <v>6611</v>
      </c>
      <c r="D1474" s="277">
        <v>32187464</v>
      </c>
      <c r="E1474" s="278" t="str">
        <f t="shared" si="23"/>
        <v>https://pubmed.ncbi.nlm.nih.gov/32187464</v>
      </c>
      <c r="F1474" s="28" t="s">
        <v>511</v>
      </c>
      <c r="G1474" s="28" t="s">
        <v>4744</v>
      </c>
      <c r="J1474" s="346" t="str">
        <f t="shared" si="19"/>
        <v/>
      </c>
      <c r="K1474" s="28" t="str">
        <f t="shared" si="24"/>
        <v/>
      </c>
      <c r="L1474" s="45" t="str">
        <f t="shared" si="25"/>
        <v/>
      </c>
      <c r="M1474" s="45" t="str">
        <f t="shared" si="26"/>
        <v/>
      </c>
      <c r="N1474" s="45">
        <f t="shared" si="27"/>
        <v>1</v>
      </c>
      <c r="O1474" s="45" t="str">
        <f t="shared" si="28"/>
        <v/>
      </c>
      <c r="P1474" s="45" t="str">
        <f t="shared" si="29"/>
        <v/>
      </c>
    </row>
    <row r="1475" spans="1:16" ht="17.25">
      <c r="A1475" s="276" t="s">
        <v>6612</v>
      </c>
      <c r="B1475" s="277">
        <v>2021</v>
      </c>
      <c r="C1475" s="276"/>
      <c r="D1475" s="277">
        <v>33093279</v>
      </c>
      <c r="E1475" s="278" t="str">
        <f t="shared" si="23"/>
        <v>https://pubmed.ncbi.nlm.nih.gov/33093279</v>
      </c>
      <c r="F1475" s="28" t="s">
        <v>511</v>
      </c>
      <c r="G1475" s="28" t="s">
        <v>4867</v>
      </c>
      <c r="J1475" s="346" t="str">
        <f t="shared" si="19"/>
        <v/>
      </c>
      <c r="K1475" s="28" t="str">
        <f t="shared" si="24"/>
        <v/>
      </c>
      <c r="L1475" s="45" t="str">
        <f t="shared" si="25"/>
        <v/>
      </c>
      <c r="M1475" s="45" t="str">
        <f t="shared" si="26"/>
        <v/>
      </c>
      <c r="N1475" s="45">
        <f t="shared" si="27"/>
        <v>1</v>
      </c>
      <c r="O1475" s="45" t="str">
        <f t="shared" si="28"/>
        <v/>
      </c>
      <c r="P1475" s="45" t="str">
        <f t="shared" si="29"/>
        <v/>
      </c>
    </row>
    <row r="1476" spans="1:16" ht="17.25">
      <c r="A1476" s="276" t="s">
        <v>6613</v>
      </c>
      <c r="B1476" s="277">
        <v>2020</v>
      </c>
      <c r="C1476" s="276"/>
      <c r="D1476" s="277">
        <v>32986537</v>
      </c>
      <c r="E1476" s="278" t="str">
        <f t="shared" si="23"/>
        <v>https://pubmed.ncbi.nlm.nih.gov/32986537</v>
      </c>
      <c r="F1476" s="28" t="s">
        <v>511</v>
      </c>
      <c r="G1476" s="28" t="s">
        <v>6614</v>
      </c>
      <c r="J1476" s="346" t="str">
        <f t="shared" si="19"/>
        <v/>
      </c>
      <c r="K1476" s="28" t="str">
        <f t="shared" si="24"/>
        <v/>
      </c>
      <c r="L1476" s="45" t="str">
        <f t="shared" si="25"/>
        <v/>
      </c>
      <c r="M1476" s="45" t="str">
        <f t="shared" si="26"/>
        <v/>
      </c>
      <c r="N1476" s="45" t="str">
        <f t="shared" si="27"/>
        <v/>
      </c>
      <c r="O1476" s="45">
        <f t="shared" si="28"/>
        <v>1</v>
      </c>
      <c r="P1476" s="45" t="str">
        <f t="shared" si="29"/>
        <v/>
      </c>
    </row>
    <row r="1477" spans="1:16" ht="17.25">
      <c r="A1477" s="276" t="s">
        <v>6615</v>
      </c>
      <c r="B1477" s="277">
        <v>2020</v>
      </c>
      <c r="C1477" s="276" t="s">
        <v>6616</v>
      </c>
      <c r="D1477" s="277">
        <v>32071183</v>
      </c>
      <c r="E1477" s="278" t="str">
        <f t="shared" si="23"/>
        <v>https://pubmed.ncbi.nlm.nih.gov/32071183</v>
      </c>
      <c r="F1477" s="28" t="s">
        <v>511</v>
      </c>
      <c r="G1477" s="28" t="s">
        <v>5736</v>
      </c>
      <c r="J1477" s="346">
        <f t="shared" si="19"/>
        <v>1</v>
      </c>
      <c r="K1477" s="28" t="str">
        <f t="shared" si="24"/>
        <v/>
      </c>
      <c r="L1477" s="45" t="str">
        <f t="shared" si="25"/>
        <v/>
      </c>
      <c r="M1477" s="45" t="str">
        <f t="shared" si="26"/>
        <v/>
      </c>
      <c r="N1477" s="45" t="str">
        <f t="shared" si="27"/>
        <v/>
      </c>
      <c r="O1477" s="45" t="str">
        <f t="shared" si="28"/>
        <v/>
      </c>
      <c r="P1477" s="45" t="str">
        <f t="shared" si="29"/>
        <v/>
      </c>
    </row>
    <row r="1478" spans="1:16" ht="17.25">
      <c r="A1478" s="276" t="s">
        <v>6617</v>
      </c>
      <c r="B1478" s="277">
        <v>2008</v>
      </c>
      <c r="C1478" s="276"/>
      <c r="D1478" s="277">
        <v>18778110</v>
      </c>
      <c r="E1478" s="278" t="str">
        <f t="shared" si="23"/>
        <v>https://pubmed.ncbi.nlm.nih.gov/18778110</v>
      </c>
      <c r="F1478" s="28" t="s">
        <v>511</v>
      </c>
      <c r="G1478" s="28" t="s">
        <v>4592</v>
      </c>
      <c r="J1478" s="346">
        <f t="shared" si="19"/>
        <v>1</v>
      </c>
      <c r="K1478" s="28" t="str">
        <f t="shared" si="24"/>
        <v/>
      </c>
      <c r="L1478" s="45" t="str">
        <f t="shared" si="25"/>
        <v/>
      </c>
      <c r="M1478" s="45" t="str">
        <f t="shared" si="26"/>
        <v/>
      </c>
      <c r="N1478" s="45" t="str">
        <f t="shared" si="27"/>
        <v/>
      </c>
      <c r="O1478" s="45" t="str">
        <f t="shared" si="28"/>
        <v/>
      </c>
      <c r="P1478" s="45" t="str">
        <f t="shared" si="29"/>
        <v/>
      </c>
    </row>
    <row r="1479" spans="1:16" ht="17.25">
      <c r="A1479" s="276" t="s">
        <v>6618</v>
      </c>
      <c r="B1479" s="277">
        <v>2006</v>
      </c>
      <c r="C1479" s="276"/>
      <c r="D1479" s="277">
        <v>17069098</v>
      </c>
      <c r="E1479" s="278" t="str">
        <f t="shared" si="23"/>
        <v>https://pubmed.ncbi.nlm.nih.gov/17069098</v>
      </c>
      <c r="F1479" s="28" t="s">
        <v>511</v>
      </c>
      <c r="G1479" s="28" t="s">
        <v>6619</v>
      </c>
      <c r="I1479" s="28" t="s">
        <v>6620</v>
      </c>
      <c r="J1479" s="346" t="str">
        <f t="shared" si="19"/>
        <v/>
      </c>
      <c r="K1479" s="28" t="str">
        <f t="shared" si="24"/>
        <v/>
      </c>
      <c r="L1479" s="45" t="str">
        <f t="shared" si="25"/>
        <v/>
      </c>
      <c r="M1479" s="45" t="str">
        <f t="shared" si="26"/>
        <v/>
      </c>
      <c r="N1479" s="45">
        <f t="shared" si="27"/>
        <v>1</v>
      </c>
      <c r="O1479" s="45" t="str">
        <f t="shared" si="28"/>
        <v/>
      </c>
      <c r="P1479" s="45" t="str">
        <f t="shared" si="29"/>
        <v/>
      </c>
    </row>
    <row r="1480" spans="1:16" ht="17.25">
      <c r="A1480" s="276" t="s">
        <v>6621</v>
      </c>
      <c r="B1480" s="277">
        <v>2009</v>
      </c>
      <c r="C1480" s="276"/>
      <c r="D1480" s="277">
        <v>20031822</v>
      </c>
      <c r="E1480" s="278" t="str">
        <f t="shared" si="23"/>
        <v>https://pubmed.ncbi.nlm.nih.gov/20031822</v>
      </c>
      <c r="F1480" s="28" t="s">
        <v>511</v>
      </c>
      <c r="G1480" s="28" t="s">
        <v>6412</v>
      </c>
      <c r="J1480" s="346" t="str">
        <f t="shared" si="19"/>
        <v/>
      </c>
      <c r="K1480" s="28" t="str">
        <f t="shared" si="24"/>
        <v/>
      </c>
      <c r="L1480" s="45" t="str">
        <f t="shared" si="25"/>
        <v/>
      </c>
      <c r="M1480" s="45" t="str">
        <f t="shared" si="26"/>
        <v/>
      </c>
      <c r="N1480" s="45">
        <f t="shared" si="27"/>
        <v>1</v>
      </c>
      <c r="O1480" s="45" t="str">
        <f t="shared" si="28"/>
        <v/>
      </c>
      <c r="P1480" s="45" t="str">
        <f t="shared" si="29"/>
        <v/>
      </c>
    </row>
    <row r="1481" spans="1:16" ht="17.25">
      <c r="A1481" s="276" t="s">
        <v>6622</v>
      </c>
      <c r="B1481" s="277">
        <v>2000</v>
      </c>
      <c r="C1481" s="276"/>
      <c r="D1481" s="277">
        <v>10731376</v>
      </c>
      <c r="E1481" s="278" t="str">
        <f t="shared" si="23"/>
        <v>https://pubmed.ncbi.nlm.nih.gov/10731376</v>
      </c>
      <c r="F1481" s="28" t="s">
        <v>511</v>
      </c>
      <c r="G1481" s="28" t="s">
        <v>6623</v>
      </c>
      <c r="J1481" s="346">
        <f t="shared" si="19"/>
        <v>1</v>
      </c>
      <c r="K1481" s="28" t="str">
        <f t="shared" si="24"/>
        <v/>
      </c>
      <c r="L1481" s="45" t="str">
        <f t="shared" si="25"/>
        <v/>
      </c>
      <c r="M1481" s="45" t="str">
        <f t="shared" si="26"/>
        <v/>
      </c>
      <c r="N1481" s="45" t="str">
        <f t="shared" si="27"/>
        <v/>
      </c>
      <c r="O1481" s="45" t="str">
        <f t="shared" si="28"/>
        <v/>
      </c>
      <c r="P1481" s="45" t="str">
        <f t="shared" si="29"/>
        <v/>
      </c>
    </row>
    <row r="1482" spans="1:16" ht="17.25">
      <c r="A1482" s="276" t="s">
        <v>6624</v>
      </c>
      <c r="B1482" s="277">
        <v>1999</v>
      </c>
      <c r="C1482" s="276"/>
      <c r="D1482" s="277">
        <v>10383509</v>
      </c>
      <c r="E1482" s="278" t="str">
        <f t="shared" si="23"/>
        <v>https://pubmed.ncbi.nlm.nih.gov/10383509</v>
      </c>
      <c r="F1482" s="28" t="s">
        <v>511</v>
      </c>
      <c r="G1482" s="28" t="s">
        <v>4744</v>
      </c>
      <c r="I1482" s="28" t="s">
        <v>6625</v>
      </c>
      <c r="J1482" s="346" t="str">
        <f t="shared" si="19"/>
        <v/>
      </c>
      <c r="K1482" s="28" t="str">
        <f t="shared" si="24"/>
        <v/>
      </c>
      <c r="L1482" s="45" t="str">
        <f t="shared" si="25"/>
        <v/>
      </c>
      <c r="M1482" s="45" t="str">
        <f t="shared" si="26"/>
        <v/>
      </c>
      <c r="N1482" s="45">
        <f t="shared" si="27"/>
        <v>1</v>
      </c>
      <c r="O1482" s="45" t="str">
        <f t="shared" si="28"/>
        <v/>
      </c>
      <c r="P1482" s="45" t="str">
        <f t="shared" si="29"/>
        <v/>
      </c>
    </row>
    <row r="1483" spans="1:16" ht="17.25">
      <c r="A1483" s="276" t="s">
        <v>6626</v>
      </c>
      <c r="B1483" s="277">
        <v>2015</v>
      </c>
      <c r="C1483" s="276"/>
      <c r="D1483" s="277">
        <v>26028608</v>
      </c>
      <c r="E1483" s="278" t="str">
        <f t="shared" si="23"/>
        <v>https://pubmed.ncbi.nlm.nih.gov/26028608</v>
      </c>
      <c r="F1483" s="28" t="s">
        <v>511</v>
      </c>
      <c r="G1483" s="28" t="s">
        <v>4592</v>
      </c>
      <c r="J1483" s="346">
        <f t="shared" si="19"/>
        <v>1</v>
      </c>
      <c r="K1483" s="28" t="str">
        <f t="shared" si="24"/>
        <v/>
      </c>
      <c r="L1483" s="45" t="str">
        <f t="shared" si="25"/>
        <v/>
      </c>
      <c r="M1483" s="45" t="str">
        <f t="shared" si="26"/>
        <v/>
      </c>
      <c r="N1483" s="45" t="str">
        <f t="shared" si="27"/>
        <v/>
      </c>
      <c r="O1483" s="45" t="str">
        <f t="shared" si="28"/>
        <v/>
      </c>
      <c r="P1483" s="45" t="str">
        <f t="shared" si="29"/>
        <v/>
      </c>
    </row>
    <row r="1484" spans="1:16" ht="17.25">
      <c r="A1484" s="276" t="s">
        <v>6627</v>
      </c>
      <c r="B1484" s="277">
        <v>2003</v>
      </c>
      <c r="C1484" s="276"/>
      <c r="D1484" s="277">
        <v>12803883</v>
      </c>
      <c r="E1484" s="278" t="str">
        <f t="shared" si="23"/>
        <v>https://pubmed.ncbi.nlm.nih.gov/12803883</v>
      </c>
      <c r="F1484" s="28" t="s">
        <v>511</v>
      </c>
      <c r="G1484" s="28" t="s">
        <v>4592</v>
      </c>
      <c r="J1484" s="346">
        <f t="shared" si="19"/>
        <v>1</v>
      </c>
      <c r="K1484" s="28" t="str">
        <f t="shared" si="24"/>
        <v/>
      </c>
      <c r="L1484" s="45" t="str">
        <f t="shared" si="25"/>
        <v/>
      </c>
      <c r="M1484" s="45" t="str">
        <f t="shared" si="26"/>
        <v/>
      </c>
      <c r="N1484" s="45" t="str">
        <f t="shared" si="27"/>
        <v/>
      </c>
      <c r="O1484" s="45" t="str">
        <f t="shared" si="28"/>
        <v/>
      </c>
      <c r="P1484" s="45" t="str">
        <f t="shared" si="29"/>
        <v/>
      </c>
    </row>
    <row r="1485" spans="1:16" ht="17.25">
      <c r="A1485" s="276" t="s">
        <v>6628</v>
      </c>
      <c r="B1485" s="277">
        <v>2019</v>
      </c>
      <c r="C1485" s="276"/>
      <c r="D1485" s="277">
        <v>30858502</v>
      </c>
      <c r="E1485" s="278" t="str">
        <f t="shared" si="23"/>
        <v>https://pubmed.ncbi.nlm.nih.gov/30858502</v>
      </c>
      <c r="F1485" s="28" t="s">
        <v>511</v>
      </c>
      <c r="G1485" s="28" t="s">
        <v>4592</v>
      </c>
      <c r="J1485" s="346">
        <f t="shared" si="19"/>
        <v>1</v>
      </c>
      <c r="K1485" s="28" t="str">
        <f t="shared" si="24"/>
        <v/>
      </c>
      <c r="L1485" s="45" t="str">
        <f t="shared" si="25"/>
        <v/>
      </c>
      <c r="M1485" s="45" t="str">
        <f t="shared" si="26"/>
        <v/>
      </c>
      <c r="N1485" s="45" t="str">
        <f t="shared" si="27"/>
        <v/>
      </c>
      <c r="O1485" s="45" t="str">
        <f t="shared" si="28"/>
        <v/>
      </c>
      <c r="P1485" s="45" t="str">
        <f t="shared" si="29"/>
        <v/>
      </c>
    </row>
    <row r="1486" spans="1:16" ht="17.25">
      <c r="A1486" s="276" t="s">
        <v>6629</v>
      </c>
      <c r="B1486" s="277">
        <v>2019</v>
      </c>
      <c r="C1486" s="276" t="s">
        <v>6630</v>
      </c>
      <c r="D1486" s="277">
        <v>31065872</v>
      </c>
      <c r="E1486" s="278" t="str">
        <f t="shared" si="23"/>
        <v>https://pubmed.ncbi.nlm.nih.gov/31065872</v>
      </c>
      <c r="F1486" s="28" t="s">
        <v>511</v>
      </c>
      <c r="G1486" s="28" t="s">
        <v>4592</v>
      </c>
      <c r="J1486" s="346">
        <f t="shared" si="19"/>
        <v>1</v>
      </c>
      <c r="K1486" s="28" t="str">
        <f t="shared" si="24"/>
        <v/>
      </c>
      <c r="L1486" s="45" t="str">
        <f t="shared" si="25"/>
        <v/>
      </c>
      <c r="M1486" s="45" t="str">
        <f t="shared" si="26"/>
        <v/>
      </c>
      <c r="N1486" s="45" t="str">
        <f t="shared" si="27"/>
        <v/>
      </c>
      <c r="O1486" s="45" t="str">
        <f t="shared" si="28"/>
        <v/>
      </c>
      <c r="P1486" s="45" t="str">
        <f t="shared" si="29"/>
        <v/>
      </c>
    </row>
    <row r="1487" spans="1:16" ht="17.25">
      <c r="A1487" s="276" t="s">
        <v>6631</v>
      </c>
      <c r="B1487" s="277">
        <v>2007</v>
      </c>
      <c r="C1487" s="276"/>
      <c r="D1487" s="277">
        <v>19124346</v>
      </c>
      <c r="E1487" s="278" t="str">
        <f t="shared" si="23"/>
        <v>https://pubmed.ncbi.nlm.nih.gov/19124346</v>
      </c>
      <c r="F1487" s="28" t="s">
        <v>511</v>
      </c>
      <c r="G1487" s="28" t="s">
        <v>4592</v>
      </c>
      <c r="J1487" s="346">
        <f t="shared" si="19"/>
        <v>1</v>
      </c>
      <c r="K1487" s="28" t="str">
        <f t="shared" si="24"/>
        <v/>
      </c>
      <c r="L1487" s="45" t="str">
        <f t="shared" si="25"/>
        <v/>
      </c>
      <c r="M1487" s="45" t="str">
        <f t="shared" si="26"/>
        <v/>
      </c>
      <c r="N1487" s="45" t="str">
        <f t="shared" si="27"/>
        <v/>
      </c>
      <c r="O1487" s="45" t="str">
        <f t="shared" si="28"/>
        <v/>
      </c>
      <c r="P1487" s="45" t="str">
        <f t="shared" si="29"/>
        <v/>
      </c>
    </row>
    <row r="1488" spans="1:16" ht="17.25">
      <c r="A1488" s="276" t="s">
        <v>6632</v>
      </c>
      <c r="B1488" s="277">
        <v>2014</v>
      </c>
      <c r="C1488" s="276"/>
      <c r="D1488" s="277">
        <v>25272001</v>
      </c>
      <c r="E1488" s="278" t="str">
        <f t="shared" si="23"/>
        <v>https://pubmed.ncbi.nlm.nih.gov/25272001</v>
      </c>
      <c r="F1488" s="28" t="s">
        <v>511</v>
      </c>
      <c r="G1488" s="28" t="s">
        <v>6633</v>
      </c>
      <c r="J1488" s="346">
        <f t="shared" si="19"/>
        <v>1</v>
      </c>
      <c r="K1488" s="28" t="str">
        <f t="shared" si="24"/>
        <v/>
      </c>
      <c r="L1488" s="45" t="str">
        <f t="shared" si="25"/>
        <v/>
      </c>
      <c r="M1488" s="45" t="str">
        <f t="shared" si="26"/>
        <v/>
      </c>
      <c r="N1488" s="45" t="str">
        <f t="shared" si="27"/>
        <v/>
      </c>
      <c r="O1488" s="45" t="str">
        <f t="shared" si="28"/>
        <v/>
      </c>
      <c r="P1488" s="45" t="str">
        <f t="shared" si="29"/>
        <v/>
      </c>
    </row>
    <row r="1489" spans="1:16" ht="17.25">
      <c r="A1489" s="276" t="s">
        <v>6634</v>
      </c>
      <c r="B1489" s="277">
        <v>2018</v>
      </c>
      <c r="C1489" s="276" t="s">
        <v>6635</v>
      </c>
      <c r="D1489" s="277">
        <v>29673395</v>
      </c>
      <c r="E1489" s="278" t="str">
        <f t="shared" si="23"/>
        <v>https://pubmed.ncbi.nlm.nih.gov/29673395</v>
      </c>
      <c r="F1489" s="28" t="s">
        <v>511</v>
      </c>
      <c r="G1489" s="28" t="s">
        <v>4867</v>
      </c>
      <c r="J1489" s="346" t="str">
        <f t="shared" si="19"/>
        <v/>
      </c>
      <c r="K1489" s="28" t="str">
        <f t="shared" si="24"/>
        <v/>
      </c>
      <c r="L1489" s="45" t="str">
        <f t="shared" si="25"/>
        <v/>
      </c>
      <c r="M1489" s="45" t="str">
        <f t="shared" si="26"/>
        <v/>
      </c>
      <c r="N1489" s="45">
        <f t="shared" si="27"/>
        <v>1</v>
      </c>
      <c r="O1489" s="45" t="str">
        <f t="shared" si="28"/>
        <v/>
      </c>
      <c r="P1489" s="45" t="str">
        <f t="shared" si="29"/>
        <v/>
      </c>
    </row>
    <row r="1490" spans="1:16" ht="17.25">
      <c r="A1490" s="276" t="s">
        <v>6636</v>
      </c>
      <c r="B1490" s="277">
        <v>2009</v>
      </c>
      <c r="C1490" s="276" t="s">
        <v>6637</v>
      </c>
      <c r="D1490" s="277">
        <v>20028569</v>
      </c>
      <c r="E1490" s="278" t="str">
        <f t="shared" si="23"/>
        <v>https://pubmed.ncbi.nlm.nih.gov/20028569</v>
      </c>
      <c r="F1490" s="28" t="s">
        <v>511</v>
      </c>
      <c r="G1490" s="28" t="s">
        <v>4592</v>
      </c>
      <c r="J1490" s="346">
        <f t="shared" si="19"/>
        <v>1</v>
      </c>
      <c r="K1490" s="28" t="str">
        <f t="shared" si="24"/>
        <v/>
      </c>
      <c r="L1490" s="45" t="str">
        <f t="shared" si="25"/>
        <v/>
      </c>
      <c r="M1490" s="45" t="str">
        <f t="shared" si="26"/>
        <v/>
      </c>
      <c r="N1490" s="45" t="str">
        <f t="shared" si="27"/>
        <v/>
      </c>
      <c r="O1490" s="45" t="str">
        <f t="shared" si="28"/>
        <v/>
      </c>
      <c r="P1490" s="45" t="str">
        <f t="shared" si="29"/>
        <v/>
      </c>
    </row>
    <row r="1491" spans="1:16" ht="17.25">
      <c r="A1491" s="276" t="s">
        <v>6638</v>
      </c>
      <c r="B1491" s="277">
        <v>2020</v>
      </c>
      <c r="C1491" s="276"/>
      <c r="D1491" s="277">
        <v>33044747</v>
      </c>
      <c r="E1491" s="278" t="str">
        <f t="shared" si="23"/>
        <v>https://pubmed.ncbi.nlm.nih.gov/33044747</v>
      </c>
      <c r="F1491" s="28" t="s">
        <v>511</v>
      </c>
      <c r="G1491" s="28" t="s">
        <v>6220</v>
      </c>
      <c r="J1491" s="346">
        <f t="shared" si="19"/>
        <v>1</v>
      </c>
      <c r="K1491" s="28" t="str">
        <f t="shared" si="24"/>
        <v/>
      </c>
      <c r="L1491" s="45" t="str">
        <f t="shared" si="25"/>
        <v/>
      </c>
      <c r="M1491" s="45" t="str">
        <f t="shared" si="26"/>
        <v/>
      </c>
      <c r="N1491" s="45" t="str">
        <f t="shared" si="27"/>
        <v/>
      </c>
      <c r="O1491" s="45" t="str">
        <f t="shared" si="28"/>
        <v/>
      </c>
      <c r="P1491" s="45" t="str">
        <f t="shared" si="29"/>
        <v/>
      </c>
    </row>
    <row r="1492" spans="1:16" ht="17.25">
      <c r="A1492" s="276" t="s">
        <v>6639</v>
      </c>
      <c r="B1492" s="277">
        <v>2014</v>
      </c>
      <c r="C1492" s="276"/>
      <c r="D1492" s="277">
        <v>24852804</v>
      </c>
      <c r="E1492" s="278" t="str">
        <f t="shared" si="23"/>
        <v>https://pubmed.ncbi.nlm.nih.gov/24852804</v>
      </c>
      <c r="F1492" s="28" t="s">
        <v>511</v>
      </c>
      <c r="G1492" s="28" t="s">
        <v>4744</v>
      </c>
      <c r="J1492" s="346" t="str">
        <f t="shared" si="19"/>
        <v/>
      </c>
      <c r="K1492" s="28" t="str">
        <f t="shared" si="24"/>
        <v/>
      </c>
      <c r="L1492" s="45" t="str">
        <f t="shared" si="25"/>
        <v/>
      </c>
      <c r="M1492" s="45" t="str">
        <f t="shared" si="26"/>
        <v/>
      </c>
      <c r="N1492" s="45">
        <f t="shared" si="27"/>
        <v>1</v>
      </c>
      <c r="O1492" s="45" t="str">
        <f t="shared" si="28"/>
        <v/>
      </c>
      <c r="P1492" s="45" t="str">
        <f t="shared" si="29"/>
        <v/>
      </c>
    </row>
    <row r="1493" spans="1:16" ht="17.25">
      <c r="A1493" s="276" t="s">
        <v>6640</v>
      </c>
      <c r="B1493" s="277">
        <v>2003</v>
      </c>
      <c r="C1493" s="276"/>
      <c r="D1493" s="277">
        <v>12957419</v>
      </c>
      <c r="E1493" s="278" t="str">
        <f t="shared" si="23"/>
        <v>https://pubmed.ncbi.nlm.nih.gov/12957419</v>
      </c>
      <c r="F1493" s="28" t="s">
        <v>511</v>
      </c>
      <c r="G1493" s="28" t="s">
        <v>4867</v>
      </c>
      <c r="J1493" s="346" t="str">
        <f t="shared" si="19"/>
        <v/>
      </c>
      <c r="K1493" s="28" t="str">
        <f t="shared" si="24"/>
        <v/>
      </c>
      <c r="L1493" s="45" t="str">
        <f t="shared" si="25"/>
        <v/>
      </c>
      <c r="M1493" s="45" t="str">
        <f t="shared" si="26"/>
        <v/>
      </c>
      <c r="N1493" s="45">
        <f t="shared" si="27"/>
        <v>1</v>
      </c>
      <c r="O1493" s="45" t="str">
        <f t="shared" si="28"/>
        <v/>
      </c>
      <c r="P1493" s="45" t="str">
        <f t="shared" si="29"/>
        <v/>
      </c>
    </row>
    <row r="1494" spans="1:16" ht="17.25">
      <c r="A1494" s="276" t="s">
        <v>6641</v>
      </c>
      <c r="B1494" s="277">
        <v>2008</v>
      </c>
      <c r="C1494" s="276"/>
      <c r="D1494" s="277">
        <v>18616780</v>
      </c>
      <c r="E1494" s="278" t="str">
        <f t="shared" si="23"/>
        <v>https://pubmed.ncbi.nlm.nih.gov/18616780</v>
      </c>
      <c r="F1494" s="28" t="s">
        <v>511</v>
      </c>
      <c r="G1494" s="28" t="s">
        <v>5157</v>
      </c>
      <c r="J1494" s="346" t="str">
        <f t="shared" si="19"/>
        <v/>
      </c>
      <c r="K1494" s="28" t="str">
        <f t="shared" si="24"/>
        <v/>
      </c>
      <c r="L1494" s="45" t="str">
        <f t="shared" si="25"/>
        <v/>
      </c>
      <c r="M1494" s="45" t="str">
        <f t="shared" si="26"/>
        <v/>
      </c>
      <c r="N1494" s="45">
        <f t="shared" si="27"/>
        <v>1</v>
      </c>
      <c r="O1494" s="45" t="str">
        <f t="shared" si="28"/>
        <v/>
      </c>
      <c r="P1494" s="45" t="str">
        <f t="shared" si="29"/>
        <v/>
      </c>
    </row>
    <row r="1495" spans="1:16" ht="17.25">
      <c r="A1495" s="276" t="s">
        <v>6642</v>
      </c>
      <c r="B1495" s="277">
        <v>2020</v>
      </c>
      <c r="C1495" s="276"/>
      <c r="D1495" s="277">
        <v>33159237</v>
      </c>
      <c r="E1495" s="278" t="str">
        <f t="shared" si="23"/>
        <v>https://pubmed.ncbi.nlm.nih.gov/33159237</v>
      </c>
      <c r="F1495" s="28" t="s">
        <v>511</v>
      </c>
      <c r="G1495" s="28" t="s">
        <v>6643</v>
      </c>
      <c r="J1495" s="346" t="str">
        <f t="shared" si="19"/>
        <v/>
      </c>
      <c r="K1495" s="28" t="str">
        <f t="shared" si="24"/>
        <v/>
      </c>
      <c r="L1495" s="45" t="str">
        <f t="shared" si="25"/>
        <v/>
      </c>
      <c r="M1495" s="45" t="str">
        <f t="shared" si="26"/>
        <v/>
      </c>
      <c r="N1495" s="45">
        <f t="shared" si="27"/>
        <v>1</v>
      </c>
      <c r="O1495" s="45" t="str">
        <f t="shared" si="28"/>
        <v/>
      </c>
      <c r="P1495" s="45" t="str">
        <f t="shared" si="29"/>
        <v/>
      </c>
    </row>
    <row r="1496" spans="1:16" ht="17.25">
      <c r="A1496" s="276" t="s">
        <v>6644</v>
      </c>
      <c r="B1496" s="277">
        <v>2020</v>
      </c>
      <c r="C1496" s="276" t="s">
        <v>6645</v>
      </c>
      <c r="D1496" s="277">
        <v>33170331</v>
      </c>
      <c r="E1496" s="278" t="str">
        <f t="shared" si="23"/>
        <v>https://pubmed.ncbi.nlm.nih.gov/33170331</v>
      </c>
      <c r="F1496" s="28" t="s">
        <v>511</v>
      </c>
      <c r="G1496" s="28" t="s">
        <v>4592</v>
      </c>
      <c r="J1496" s="346">
        <f t="shared" si="19"/>
        <v>1</v>
      </c>
      <c r="K1496" s="28" t="str">
        <f t="shared" si="24"/>
        <v/>
      </c>
      <c r="L1496" s="45" t="str">
        <f t="shared" si="25"/>
        <v/>
      </c>
      <c r="M1496" s="45" t="str">
        <f t="shared" si="26"/>
        <v/>
      </c>
      <c r="N1496" s="45" t="str">
        <f t="shared" si="27"/>
        <v/>
      </c>
      <c r="O1496" s="45" t="str">
        <f t="shared" si="28"/>
        <v/>
      </c>
      <c r="P1496" s="45" t="str">
        <f t="shared" si="29"/>
        <v/>
      </c>
    </row>
    <row r="1497" spans="1:16" ht="17.25">
      <c r="A1497" s="276" t="s">
        <v>6646</v>
      </c>
      <c r="B1497" s="277">
        <v>2018</v>
      </c>
      <c r="C1497" s="276" t="s">
        <v>6647</v>
      </c>
      <c r="D1497" s="277">
        <v>29280783</v>
      </c>
      <c r="E1497" s="278" t="str">
        <f t="shared" si="23"/>
        <v>https://pubmed.ncbi.nlm.nih.gov/29280783</v>
      </c>
      <c r="F1497" s="28" t="s">
        <v>511</v>
      </c>
      <c r="G1497" s="28" t="s">
        <v>6220</v>
      </c>
      <c r="J1497" s="346">
        <f t="shared" si="19"/>
        <v>1</v>
      </c>
      <c r="K1497" s="28" t="str">
        <f t="shared" si="24"/>
        <v/>
      </c>
      <c r="L1497" s="45" t="str">
        <f t="shared" si="25"/>
        <v/>
      </c>
      <c r="M1497" s="45" t="str">
        <f t="shared" si="26"/>
        <v/>
      </c>
      <c r="N1497" s="45" t="str">
        <f t="shared" si="27"/>
        <v/>
      </c>
      <c r="O1497" s="45" t="str">
        <f t="shared" si="28"/>
        <v/>
      </c>
      <c r="P1497" s="45" t="str">
        <f t="shared" si="29"/>
        <v/>
      </c>
    </row>
    <row r="1498" spans="1:16" ht="17.25">
      <c r="A1498" s="276" t="s">
        <v>6648</v>
      </c>
      <c r="B1498" s="277">
        <v>2007</v>
      </c>
      <c r="C1498" s="276" t="s">
        <v>6649</v>
      </c>
      <c r="D1498" s="277">
        <v>17517850</v>
      </c>
      <c r="E1498" s="278" t="str">
        <f t="shared" si="23"/>
        <v>https://pubmed.ncbi.nlm.nih.gov/17517850</v>
      </c>
      <c r="F1498" s="28" t="s">
        <v>511</v>
      </c>
      <c r="G1498" s="28" t="s">
        <v>4744</v>
      </c>
      <c r="J1498" s="346" t="str">
        <f t="shared" si="19"/>
        <v/>
      </c>
      <c r="K1498" s="28" t="str">
        <f t="shared" si="24"/>
        <v/>
      </c>
      <c r="L1498" s="45" t="str">
        <f t="shared" si="25"/>
        <v/>
      </c>
      <c r="M1498" s="45" t="str">
        <f t="shared" si="26"/>
        <v/>
      </c>
      <c r="N1498" s="45">
        <f t="shared" si="27"/>
        <v>1</v>
      </c>
      <c r="O1498" s="45" t="str">
        <f t="shared" si="28"/>
        <v/>
      </c>
      <c r="P1498" s="45" t="str">
        <f t="shared" si="29"/>
        <v/>
      </c>
    </row>
    <row r="1499" spans="1:16" ht="17.25">
      <c r="A1499" s="276" t="s">
        <v>6650</v>
      </c>
      <c r="B1499" s="277">
        <v>2008</v>
      </c>
      <c r="C1499" s="276"/>
      <c r="D1499" s="277">
        <v>18641578</v>
      </c>
      <c r="E1499" s="278" t="str">
        <f t="shared" si="23"/>
        <v>https://pubmed.ncbi.nlm.nih.gov/18641578</v>
      </c>
      <c r="F1499" s="28" t="s">
        <v>511</v>
      </c>
      <c r="G1499" s="28" t="s">
        <v>4587</v>
      </c>
      <c r="J1499" s="346" t="str">
        <f t="shared" si="19"/>
        <v/>
      </c>
      <c r="K1499" s="28" t="str">
        <f t="shared" si="24"/>
        <v/>
      </c>
      <c r="L1499" s="45" t="str">
        <f t="shared" si="25"/>
        <v/>
      </c>
      <c r="M1499" s="45">
        <f t="shared" si="26"/>
        <v>1</v>
      </c>
      <c r="N1499" s="45" t="str">
        <f t="shared" si="27"/>
        <v/>
      </c>
      <c r="O1499" s="45" t="str">
        <f t="shared" si="28"/>
        <v/>
      </c>
      <c r="P1499" s="45" t="str">
        <f t="shared" si="29"/>
        <v/>
      </c>
    </row>
    <row r="1500" spans="1:16" ht="17.25">
      <c r="A1500" s="276" t="s">
        <v>296</v>
      </c>
      <c r="B1500" s="277">
        <v>2016</v>
      </c>
      <c r="C1500" s="276" t="s">
        <v>6651</v>
      </c>
      <c r="D1500" s="277">
        <v>27001804</v>
      </c>
      <c r="E1500" s="278" t="str">
        <f t="shared" si="23"/>
        <v>https://pubmed.ncbi.nlm.nih.gov/27001804</v>
      </c>
      <c r="H1500" s="28" t="s">
        <v>511</v>
      </c>
      <c r="J1500" s="346" t="str">
        <f t="shared" si="19"/>
        <v/>
      </c>
      <c r="K1500" s="28" t="str">
        <f t="shared" si="24"/>
        <v/>
      </c>
      <c r="L1500" s="45" t="str">
        <f t="shared" si="25"/>
        <v/>
      </c>
      <c r="M1500" s="45" t="str">
        <f t="shared" si="26"/>
        <v/>
      </c>
      <c r="N1500" s="45" t="str">
        <f t="shared" si="27"/>
        <v/>
      </c>
      <c r="O1500" s="45" t="str">
        <f t="shared" si="28"/>
        <v/>
      </c>
      <c r="P1500" s="45" t="str">
        <f t="shared" si="29"/>
        <v/>
      </c>
    </row>
    <row r="1501" spans="1:16" ht="17.25">
      <c r="A1501" s="276" t="s">
        <v>4464</v>
      </c>
      <c r="B1501" s="277">
        <v>2019</v>
      </c>
      <c r="C1501" s="276" t="s">
        <v>6652</v>
      </c>
      <c r="D1501" s="277">
        <v>31335741</v>
      </c>
      <c r="E1501" s="278" t="str">
        <f t="shared" si="23"/>
        <v>https://pubmed.ncbi.nlm.nih.gov/31335741</v>
      </c>
      <c r="F1501" s="28" t="s">
        <v>511</v>
      </c>
      <c r="G1501" s="28" t="s">
        <v>5157</v>
      </c>
      <c r="J1501" s="346" t="str">
        <f t="shared" si="19"/>
        <v/>
      </c>
      <c r="K1501" s="28" t="str">
        <f t="shared" si="24"/>
        <v/>
      </c>
      <c r="L1501" s="45" t="str">
        <f t="shared" si="25"/>
        <v/>
      </c>
      <c r="M1501" s="45" t="str">
        <f t="shared" si="26"/>
        <v/>
      </c>
      <c r="N1501" s="45">
        <f t="shared" si="27"/>
        <v>1</v>
      </c>
      <c r="O1501" s="45" t="str">
        <f t="shared" si="28"/>
        <v/>
      </c>
      <c r="P1501" s="45" t="str">
        <f t="shared" si="29"/>
        <v/>
      </c>
    </row>
    <row r="1502" spans="1:16" ht="17.25">
      <c r="A1502" s="276" t="s">
        <v>6653</v>
      </c>
      <c r="B1502" s="277">
        <v>2015</v>
      </c>
      <c r="C1502" s="276" t="s">
        <v>6654</v>
      </c>
      <c r="D1502" s="277">
        <v>25793740</v>
      </c>
      <c r="E1502" s="278" t="str">
        <f t="shared" si="23"/>
        <v>https://pubmed.ncbi.nlm.nih.gov/25793740</v>
      </c>
      <c r="F1502" s="28" t="s">
        <v>511</v>
      </c>
      <c r="G1502" s="28" t="s">
        <v>4592</v>
      </c>
      <c r="J1502" s="346">
        <f t="shared" si="19"/>
        <v>1</v>
      </c>
      <c r="K1502" s="28" t="str">
        <f t="shared" si="24"/>
        <v/>
      </c>
      <c r="L1502" s="45" t="str">
        <f t="shared" si="25"/>
        <v/>
      </c>
      <c r="M1502" s="45" t="str">
        <f t="shared" si="26"/>
        <v/>
      </c>
      <c r="N1502" s="45" t="str">
        <f t="shared" si="27"/>
        <v/>
      </c>
      <c r="O1502" s="45" t="str">
        <f t="shared" si="28"/>
        <v/>
      </c>
      <c r="P1502" s="45" t="str">
        <f t="shared" si="29"/>
        <v/>
      </c>
    </row>
    <row r="1503" spans="1:16" ht="17.25">
      <c r="A1503" s="276" t="s">
        <v>5040</v>
      </c>
      <c r="B1503" s="277">
        <v>2013</v>
      </c>
      <c r="C1503" s="276"/>
      <c r="D1503" s="277">
        <v>24081937</v>
      </c>
      <c r="E1503" s="278" t="str">
        <f t="shared" si="23"/>
        <v>https://pubmed.ncbi.nlm.nih.gov/24081937</v>
      </c>
      <c r="F1503" s="28" t="s">
        <v>511</v>
      </c>
      <c r="G1503" s="28" t="s">
        <v>4744</v>
      </c>
      <c r="J1503" s="346" t="str">
        <f t="shared" si="19"/>
        <v/>
      </c>
      <c r="K1503" s="28" t="str">
        <f t="shared" si="24"/>
        <v/>
      </c>
      <c r="L1503" s="45" t="str">
        <f t="shared" si="25"/>
        <v/>
      </c>
      <c r="M1503" s="45" t="str">
        <f t="shared" si="26"/>
        <v/>
      </c>
      <c r="N1503" s="45">
        <f t="shared" si="27"/>
        <v>1</v>
      </c>
      <c r="O1503" s="45" t="str">
        <f t="shared" si="28"/>
        <v/>
      </c>
      <c r="P1503" s="45" t="str">
        <f t="shared" si="29"/>
        <v/>
      </c>
    </row>
    <row r="1504" spans="1:16" ht="17.25">
      <c r="A1504" s="276" t="s">
        <v>6655</v>
      </c>
      <c r="B1504" s="277">
        <v>2006</v>
      </c>
      <c r="C1504" s="276"/>
      <c r="D1504" s="277">
        <v>17019816</v>
      </c>
      <c r="E1504" s="278" t="str">
        <f t="shared" si="23"/>
        <v>https://pubmed.ncbi.nlm.nih.gov/17019816</v>
      </c>
      <c r="F1504" s="28" t="s">
        <v>511</v>
      </c>
      <c r="G1504" s="28" t="s">
        <v>4592</v>
      </c>
      <c r="J1504" s="346">
        <f t="shared" si="19"/>
        <v>1</v>
      </c>
      <c r="K1504" s="28" t="str">
        <f t="shared" si="24"/>
        <v/>
      </c>
      <c r="L1504" s="45" t="str">
        <f t="shared" si="25"/>
        <v/>
      </c>
      <c r="M1504" s="45" t="str">
        <f t="shared" si="26"/>
        <v/>
      </c>
      <c r="N1504" s="45" t="str">
        <f t="shared" si="27"/>
        <v/>
      </c>
      <c r="O1504" s="45" t="str">
        <f t="shared" si="28"/>
        <v/>
      </c>
      <c r="P1504" s="45" t="str">
        <f t="shared" si="29"/>
        <v/>
      </c>
    </row>
    <row r="1505" spans="1:16" ht="17.25">
      <c r="A1505" s="276" t="s">
        <v>6656</v>
      </c>
      <c r="B1505" s="277">
        <v>2021</v>
      </c>
      <c r="C1505" s="276"/>
      <c r="D1505" s="277">
        <v>33657293</v>
      </c>
      <c r="E1505" s="278" t="str">
        <f t="shared" si="23"/>
        <v>https://pubmed.ncbi.nlm.nih.gov/33657293</v>
      </c>
      <c r="F1505" s="28" t="s">
        <v>511</v>
      </c>
      <c r="G1505" s="28" t="s">
        <v>5299</v>
      </c>
      <c r="J1505" s="346" t="str">
        <f t="shared" si="19"/>
        <v/>
      </c>
      <c r="K1505" s="28" t="str">
        <f t="shared" si="24"/>
        <v/>
      </c>
      <c r="L1505" s="45" t="str">
        <f t="shared" si="25"/>
        <v/>
      </c>
      <c r="M1505" s="45" t="str">
        <f t="shared" si="26"/>
        <v/>
      </c>
      <c r="N1505" s="45">
        <f t="shared" si="27"/>
        <v>1</v>
      </c>
      <c r="O1505" s="45" t="str">
        <f t="shared" si="28"/>
        <v/>
      </c>
      <c r="P1505" s="45" t="str">
        <f t="shared" si="29"/>
        <v/>
      </c>
    </row>
    <row r="1506" spans="1:16" ht="17.25">
      <c r="A1506" s="276" t="s">
        <v>6657</v>
      </c>
      <c r="B1506" s="277">
        <v>2007</v>
      </c>
      <c r="C1506" s="276"/>
      <c r="D1506" s="277">
        <v>16949180</v>
      </c>
      <c r="E1506" s="278" t="str">
        <f t="shared" si="23"/>
        <v>https://pubmed.ncbi.nlm.nih.gov/16949180</v>
      </c>
      <c r="F1506" s="28" t="s">
        <v>511</v>
      </c>
      <c r="G1506" s="28" t="s">
        <v>5157</v>
      </c>
      <c r="J1506" s="346" t="str">
        <f t="shared" si="19"/>
        <v/>
      </c>
      <c r="K1506" s="28" t="str">
        <f t="shared" si="24"/>
        <v/>
      </c>
      <c r="L1506" s="45" t="str">
        <f t="shared" si="25"/>
        <v/>
      </c>
      <c r="M1506" s="45" t="str">
        <f t="shared" si="26"/>
        <v/>
      </c>
      <c r="N1506" s="45">
        <f t="shared" si="27"/>
        <v>1</v>
      </c>
      <c r="O1506" s="45" t="str">
        <f t="shared" si="28"/>
        <v/>
      </c>
      <c r="P1506" s="45" t="str">
        <f t="shared" si="29"/>
        <v/>
      </c>
    </row>
    <row r="1507" spans="1:16" ht="17.25">
      <c r="A1507" s="276" t="s">
        <v>6658</v>
      </c>
      <c r="B1507" s="277">
        <v>2017</v>
      </c>
      <c r="C1507" s="276"/>
      <c r="D1507" s="277">
        <v>28906574</v>
      </c>
      <c r="E1507" s="278" t="str">
        <f t="shared" si="23"/>
        <v>https://pubmed.ncbi.nlm.nih.gov/28906574</v>
      </c>
      <c r="F1507" s="28" t="s">
        <v>511</v>
      </c>
      <c r="G1507" s="28" t="s">
        <v>4867</v>
      </c>
      <c r="J1507" s="346" t="str">
        <f t="shared" si="19"/>
        <v/>
      </c>
      <c r="K1507" s="28" t="str">
        <f t="shared" si="24"/>
        <v/>
      </c>
      <c r="L1507" s="45" t="str">
        <f t="shared" si="25"/>
        <v/>
      </c>
      <c r="M1507" s="45" t="str">
        <f t="shared" si="26"/>
        <v/>
      </c>
      <c r="N1507" s="45">
        <f t="shared" si="27"/>
        <v>1</v>
      </c>
      <c r="O1507" s="45" t="str">
        <f t="shared" si="28"/>
        <v/>
      </c>
      <c r="P1507" s="45" t="str">
        <f t="shared" si="29"/>
        <v/>
      </c>
    </row>
    <row r="1508" spans="1:16" ht="17.25">
      <c r="A1508" s="276" t="s">
        <v>6659</v>
      </c>
      <c r="B1508" s="277">
        <v>2015</v>
      </c>
      <c r="C1508" s="276" t="s">
        <v>6660</v>
      </c>
      <c r="D1508" s="277">
        <v>25659142</v>
      </c>
      <c r="E1508" s="278" t="str">
        <f t="shared" si="23"/>
        <v>https://pubmed.ncbi.nlm.nih.gov/25659142</v>
      </c>
      <c r="F1508" s="28" t="s">
        <v>511</v>
      </c>
      <c r="G1508" s="28" t="s">
        <v>4744</v>
      </c>
      <c r="J1508" s="346" t="str">
        <f t="shared" si="19"/>
        <v/>
      </c>
      <c r="K1508" s="28" t="str">
        <f t="shared" si="24"/>
        <v/>
      </c>
      <c r="L1508" s="45" t="str">
        <f t="shared" si="25"/>
        <v/>
      </c>
      <c r="M1508" s="45" t="str">
        <f t="shared" si="26"/>
        <v/>
      </c>
      <c r="N1508" s="45">
        <f t="shared" si="27"/>
        <v>1</v>
      </c>
      <c r="O1508" s="45" t="str">
        <f t="shared" si="28"/>
        <v/>
      </c>
      <c r="P1508" s="45" t="str">
        <f t="shared" si="29"/>
        <v/>
      </c>
    </row>
    <row r="1509" spans="1:16" ht="17.25">
      <c r="A1509" s="276" t="s">
        <v>338</v>
      </c>
      <c r="B1509" s="277">
        <v>2013</v>
      </c>
      <c r="C1509" s="276" t="s">
        <v>6661</v>
      </c>
      <c r="D1509" s="277">
        <v>23457473</v>
      </c>
      <c r="E1509" s="278" t="str">
        <f t="shared" si="23"/>
        <v>https://pubmed.ncbi.nlm.nih.gov/23457473</v>
      </c>
      <c r="H1509" s="28" t="s">
        <v>511</v>
      </c>
      <c r="J1509" s="346" t="str">
        <f t="shared" si="19"/>
        <v/>
      </c>
      <c r="K1509" s="28" t="str">
        <f t="shared" si="24"/>
        <v/>
      </c>
      <c r="L1509" s="45" t="str">
        <f t="shared" si="25"/>
        <v/>
      </c>
      <c r="M1509" s="45" t="str">
        <f t="shared" si="26"/>
        <v/>
      </c>
      <c r="N1509" s="45" t="str">
        <f t="shared" si="27"/>
        <v/>
      </c>
      <c r="O1509" s="45" t="str">
        <f t="shared" si="28"/>
        <v/>
      </c>
      <c r="P1509" s="45" t="str">
        <f t="shared" si="29"/>
        <v/>
      </c>
    </row>
    <row r="1510" spans="1:16" ht="17.25">
      <c r="A1510" s="276" t="s">
        <v>6662</v>
      </c>
      <c r="B1510" s="277">
        <v>2018</v>
      </c>
      <c r="C1510" s="276" t="s">
        <v>6663</v>
      </c>
      <c r="D1510" s="277">
        <v>29987845</v>
      </c>
      <c r="E1510" s="278" t="str">
        <f t="shared" si="23"/>
        <v>https://pubmed.ncbi.nlm.nih.gov/29987845</v>
      </c>
      <c r="F1510" s="28" t="s">
        <v>511</v>
      </c>
      <c r="G1510" s="28" t="s">
        <v>4592</v>
      </c>
      <c r="J1510" s="346">
        <f t="shared" si="19"/>
        <v>1</v>
      </c>
      <c r="K1510" s="28" t="str">
        <f t="shared" si="24"/>
        <v/>
      </c>
      <c r="L1510" s="45" t="str">
        <f t="shared" si="25"/>
        <v/>
      </c>
      <c r="M1510" s="45" t="str">
        <f t="shared" si="26"/>
        <v/>
      </c>
      <c r="N1510" s="45" t="str">
        <f t="shared" si="27"/>
        <v/>
      </c>
      <c r="O1510" s="45" t="str">
        <f t="shared" si="28"/>
        <v/>
      </c>
      <c r="P1510" s="45" t="str">
        <f t="shared" si="29"/>
        <v/>
      </c>
    </row>
    <row r="1511" spans="1:16" ht="17.25">
      <c r="A1511" s="276" t="s">
        <v>6664</v>
      </c>
      <c r="B1511" s="277">
        <v>1992</v>
      </c>
      <c r="C1511" s="276"/>
      <c r="D1511" s="277">
        <v>1443450</v>
      </c>
      <c r="E1511" s="278" t="str">
        <f t="shared" si="23"/>
        <v>https://pubmed.ncbi.nlm.nih.gov/1443450</v>
      </c>
      <c r="F1511" s="28" t="s">
        <v>511</v>
      </c>
      <c r="G1511" s="28" t="s">
        <v>4744</v>
      </c>
      <c r="I1511" s="28" t="s">
        <v>6460</v>
      </c>
      <c r="J1511" s="346" t="str">
        <f t="shared" si="19"/>
        <v/>
      </c>
      <c r="K1511" s="28" t="str">
        <f t="shared" si="24"/>
        <v/>
      </c>
      <c r="L1511" s="45" t="str">
        <f t="shared" si="25"/>
        <v/>
      </c>
      <c r="M1511" s="45" t="str">
        <f t="shared" si="26"/>
        <v/>
      </c>
      <c r="N1511" s="45">
        <f t="shared" si="27"/>
        <v>1</v>
      </c>
      <c r="O1511" s="45" t="str">
        <f t="shared" si="28"/>
        <v/>
      </c>
      <c r="P1511" s="45" t="str">
        <f t="shared" si="29"/>
        <v/>
      </c>
    </row>
    <row r="1512" spans="1:16" ht="17.25">
      <c r="A1512" s="276" t="s">
        <v>6664</v>
      </c>
      <c r="B1512" s="277">
        <v>1993</v>
      </c>
      <c r="C1512" s="276"/>
      <c r="D1512" s="277">
        <v>8267692</v>
      </c>
      <c r="E1512" s="278" t="str">
        <f t="shared" si="23"/>
        <v>https://pubmed.ncbi.nlm.nih.gov/8267692</v>
      </c>
      <c r="F1512" s="28" t="s">
        <v>511</v>
      </c>
      <c r="G1512" s="28" t="s">
        <v>4744</v>
      </c>
      <c r="J1512" s="346" t="str">
        <f t="shared" si="19"/>
        <v/>
      </c>
      <c r="K1512" s="28" t="str">
        <f t="shared" si="24"/>
        <v/>
      </c>
      <c r="L1512" s="45" t="str">
        <f t="shared" si="25"/>
        <v/>
      </c>
      <c r="M1512" s="45" t="str">
        <f t="shared" si="26"/>
        <v/>
      </c>
      <c r="N1512" s="45">
        <f t="shared" si="27"/>
        <v>1</v>
      </c>
      <c r="O1512" s="45" t="str">
        <f t="shared" si="28"/>
        <v/>
      </c>
      <c r="P1512" s="45" t="str">
        <f t="shared" si="29"/>
        <v/>
      </c>
    </row>
    <row r="1513" spans="1:16" ht="17.25">
      <c r="A1513" s="276" t="s">
        <v>6664</v>
      </c>
      <c r="B1513" s="277">
        <v>1991</v>
      </c>
      <c r="C1513" s="276"/>
      <c r="D1513" s="277">
        <v>1687320</v>
      </c>
      <c r="E1513" s="278" t="str">
        <f t="shared" si="23"/>
        <v>https://pubmed.ncbi.nlm.nih.gov/1687320</v>
      </c>
      <c r="F1513" s="28" t="s">
        <v>511</v>
      </c>
      <c r="G1513" s="28" t="s">
        <v>4744</v>
      </c>
      <c r="I1513" s="28" t="s">
        <v>6460</v>
      </c>
      <c r="J1513" s="346" t="str">
        <f t="shared" si="19"/>
        <v/>
      </c>
      <c r="K1513" s="28" t="str">
        <f t="shared" si="24"/>
        <v/>
      </c>
      <c r="L1513" s="45" t="str">
        <f t="shared" si="25"/>
        <v/>
      </c>
      <c r="M1513" s="45" t="str">
        <f t="shared" si="26"/>
        <v/>
      </c>
      <c r="N1513" s="45">
        <f t="shared" si="27"/>
        <v>1</v>
      </c>
      <c r="O1513" s="45" t="str">
        <f t="shared" si="28"/>
        <v/>
      </c>
      <c r="P1513" s="45" t="str">
        <f t="shared" si="29"/>
        <v/>
      </c>
    </row>
    <row r="1514" spans="1:16" ht="17.25">
      <c r="A1514" s="276" t="s">
        <v>6664</v>
      </c>
      <c r="B1514" s="277">
        <v>1993</v>
      </c>
      <c r="C1514" s="276"/>
      <c r="D1514" s="277">
        <v>8313933</v>
      </c>
      <c r="E1514" s="278" t="str">
        <f t="shared" si="23"/>
        <v>https://pubmed.ncbi.nlm.nih.gov/8313933</v>
      </c>
      <c r="F1514" s="28" t="s">
        <v>511</v>
      </c>
      <c r="G1514" s="28" t="s">
        <v>4744</v>
      </c>
      <c r="J1514" s="346" t="str">
        <f t="shared" si="19"/>
        <v/>
      </c>
      <c r="K1514" s="28" t="str">
        <f t="shared" si="24"/>
        <v/>
      </c>
      <c r="L1514" s="45" t="str">
        <f t="shared" si="25"/>
        <v/>
      </c>
      <c r="M1514" s="45" t="str">
        <f t="shared" si="26"/>
        <v/>
      </c>
      <c r="N1514" s="45">
        <f t="shared" si="27"/>
        <v>1</v>
      </c>
      <c r="O1514" s="45" t="str">
        <f t="shared" si="28"/>
        <v/>
      </c>
      <c r="P1514" s="45" t="str">
        <f t="shared" si="29"/>
        <v/>
      </c>
    </row>
    <row r="1515" spans="1:16" ht="17.25">
      <c r="A1515" s="276" t="s">
        <v>6664</v>
      </c>
      <c r="B1515" s="277">
        <v>2004</v>
      </c>
      <c r="C1515" s="276"/>
      <c r="D1515" s="277">
        <v>15180356</v>
      </c>
      <c r="E1515" s="278" t="str">
        <f t="shared" si="23"/>
        <v>https://pubmed.ncbi.nlm.nih.gov/15180356</v>
      </c>
      <c r="F1515" s="28" t="s">
        <v>511</v>
      </c>
      <c r="G1515" s="28" t="s">
        <v>4867</v>
      </c>
      <c r="I1515" s="28" t="s">
        <v>6460</v>
      </c>
      <c r="J1515" s="346" t="str">
        <f t="shared" si="19"/>
        <v/>
      </c>
      <c r="K1515" s="28" t="str">
        <f t="shared" si="24"/>
        <v/>
      </c>
      <c r="L1515" s="45" t="str">
        <f t="shared" si="25"/>
        <v/>
      </c>
      <c r="M1515" s="45" t="str">
        <f t="shared" si="26"/>
        <v/>
      </c>
      <c r="N1515" s="45">
        <f t="shared" si="27"/>
        <v>1</v>
      </c>
      <c r="O1515" s="45" t="str">
        <f t="shared" si="28"/>
        <v/>
      </c>
      <c r="P1515" s="45" t="str">
        <f t="shared" si="29"/>
        <v/>
      </c>
    </row>
    <row r="1516" spans="1:16" ht="17.25">
      <c r="A1516" s="276" t="s">
        <v>6665</v>
      </c>
      <c r="B1516" s="277">
        <v>2019</v>
      </c>
      <c r="C1516" s="276"/>
      <c r="D1516" s="277">
        <v>31652166</v>
      </c>
      <c r="E1516" s="278" t="str">
        <f t="shared" si="23"/>
        <v>https://pubmed.ncbi.nlm.nih.gov/31652166</v>
      </c>
      <c r="F1516" s="28" t="s">
        <v>511</v>
      </c>
      <c r="G1516" s="28" t="s">
        <v>5157</v>
      </c>
      <c r="J1516" s="346" t="str">
        <f t="shared" si="19"/>
        <v/>
      </c>
      <c r="K1516" s="28" t="str">
        <f t="shared" si="24"/>
        <v/>
      </c>
      <c r="L1516" s="45" t="str">
        <f t="shared" si="25"/>
        <v/>
      </c>
      <c r="M1516" s="45" t="str">
        <f t="shared" si="26"/>
        <v/>
      </c>
      <c r="N1516" s="45">
        <f t="shared" si="27"/>
        <v>1</v>
      </c>
      <c r="O1516" s="45" t="str">
        <f t="shared" si="28"/>
        <v/>
      </c>
      <c r="P1516" s="45" t="str">
        <f t="shared" si="29"/>
        <v/>
      </c>
    </row>
    <row r="1517" spans="1:16" ht="17.25">
      <c r="A1517" s="276" t="s">
        <v>6666</v>
      </c>
      <c r="B1517" s="277">
        <v>2019</v>
      </c>
      <c r="C1517" s="276" t="s">
        <v>6667</v>
      </c>
      <c r="D1517" s="277">
        <v>31178289</v>
      </c>
      <c r="E1517" s="278" t="str">
        <f t="shared" si="23"/>
        <v>https://pubmed.ncbi.nlm.nih.gov/31178289</v>
      </c>
      <c r="F1517" s="28" t="s">
        <v>511</v>
      </c>
      <c r="G1517" s="28" t="s">
        <v>6220</v>
      </c>
      <c r="J1517" s="346">
        <f t="shared" si="19"/>
        <v>1</v>
      </c>
      <c r="K1517" s="28" t="str">
        <f t="shared" si="24"/>
        <v/>
      </c>
      <c r="L1517" s="45" t="str">
        <f t="shared" si="25"/>
        <v/>
      </c>
      <c r="M1517" s="45" t="str">
        <f t="shared" si="26"/>
        <v/>
      </c>
      <c r="N1517" s="45" t="str">
        <f t="shared" si="27"/>
        <v/>
      </c>
      <c r="O1517" s="45" t="str">
        <f t="shared" si="28"/>
        <v/>
      </c>
      <c r="P1517" s="45" t="str">
        <f t="shared" si="29"/>
        <v/>
      </c>
    </row>
    <row r="1518" spans="1:16" ht="17.25">
      <c r="A1518" s="276" t="s">
        <v>6668</v>
      </c>
      <c r="B1518" s="277">
        <v>2020</v>
      </c>
      <c r="C1518" s="276"/>
      <c r="D1518" s="277">
        <v>31952923</v>
      </c>
      <c r="E1518" s="278" t="str">
        <f t="shared" si="23"/>
        <v>https://pubmed.ncbi.nlm.nih.gov/31952923</v>
      </c>
      <c r="F1518" s="28" t="s">
        <v>511</v>
      </c>
      <c r="G1518" s="28" t="s">
        <v>4867</v>
      </c>
      <c r="J1518" s="346" t="str">
        <f t="shared" si="19"/>
        <v/>
      </c>
      <c r="K1518" s="28" t="str">
        <f t="shared" si="24"/>
        <v/>
      </c>
      <c r="L1518" s="45" t="str">
        <f t="shared" si="25"/>
        <v/>
      </c>
      <c r="M1518" s="45" t="str">
        <f t="shared" si="26"/>
        <v/>
      </c>
      <c r="N1518" s="45">
        <f t="shared" si="27"/>
        <v>1</v>
      </c>
      <c r="O1518" s="45" t="str">
        <f t="shared" si="28"/>
        <v/>
      </c>
      <c r="P1518" s="45" t="str">
        <f t="shared" si="29"/>
        <v/>
      </c>
    </row>
    <row r="1519" spans="1:16" ht="17.25">
      <c r="A1519" s="276" t="s">
        <v>6669</v>
      </c>
      <c r="B1519" s="277">
        <v>2019</v>
      </c>
      <c r="C1519" s="276" t="s">
        <v>6670</v>
      </c>
      <c r="D1519" s="277">
        <v>31194252</v>
      </c>
      <c r="E1519" s="278" t="str">
        <f t="shared" si="23"/>
        <v>https://pubmed.ncbi.nlm.nih.gov/31194252</v>
      </c>
      <c r="F1519" s="28" t="s">
        <v>511</v>
      </c>
      <c r="G1519" s="28" t="s">
        <v>6412</v>
      </c>
      <c r="J1519" s="346" t="str">
        <f t="shared" si="19"/>
        <v/>
      </c>
      <c r="K1519" s="28" t="str">
        <f t="shared" si="24"/>
        <v/>
      </c>
      <c r="L1519" s="45" t="str">
        <f t="shared" si="25"/>
        <v/>
      </c>
      <c r="M1519" s="45" t="str">
        <f t="shared" si="26"/>
        <v/>
      </c>
      <c r="N1519" s="45">
        <f t="shared" si="27"/>
        <v>1</v>
      </c>
      <c r="O1519" s="45" t="str">
        <f t="shared" si="28"/>
        <v/>
      </c>
      <c r="P1519" s="45" t="str">
        <f t="shared" si="29"/>
        <v/>
      </c>
    </row>
    <row r="1520" spans="1:16" ht="17.25">
      <c r="A1520" s="276" t="s">
        <v>6671</v>
      </c>
      <c r="B1520" s="277">
        <v>2017</v>
      </c>
      <c r="C1520" s="276" t="s">
        <v>6672</v>
      </c>
      <c r="D1520" s="277">
        <v>28653869</v>
      </c>
      <c r="E1520" s="278" t="str">
        <f t="shared" si="23"/>
        <v>https://pubmed.ncbi.nlm.nih.gov/28653869</v>
      </c>
      <c r="F1520" s="28" t="s">
        <v>511</v>
      </c>
      <c r="G1520" s="28" t="s">
        <v>5157</v>
      </c>
      <c r="J1520" s="346" t="str">
        <f t="shared" si="19"/>
        <v/>
      </c>
      <c r="K1520" s="28" t="str">
        <f t="shared" si="24"/>
        <v/>
      </c>
      <c r="L1520" s="45" t="str">
        <f t="shared" si="25"/>
        <v/>
      </c>
      <c r="M1520" s="45" t="str">
        <f t="shared" si="26"/>
        <v/>
      </c>
      <c r="N1520" s="45">
        <f t="shared" si="27"/>
        <v>1</v>
      </c>
      <c r="O1520" s="45" t="str">
        <f t="shared" si="28"/>
        <v/>
      </c>
      <c r="P1520" s="45" t="str">
        <f t="shared" si="29"/>
        <v/>
      </c>
    </row>
    <row r="1521" spans="1:16" ht="17.25">
      <c r="A1521" s="276" t="s">
        <v>6673</v>
      </c>
      <c r="B1521" s="277">
        <v>2017</v>
      </c>
      <c r="C1521" s="276"/>
      <c r="D1521" s="277">
        <v>29171774</v>
      </c>
      <c r="E1521" s="278" t="str">
        <f t="shared" si="23"/>
        <v>https://pubmed.ncbi.nlm.nih.gov/29171774</v>
      </c>
      <c r="F1521" s="28" t="s">
        <v>511</v>
      </c>
      <c r="G1521" s="28" t="s">
        <v>4592</v>
      </c>
      <c r="J1521" s="346">
        <f t="shared" si="19"/>
        <v>1</v>
      </c>
      <c r="K1521" s="28" t="str">
        <f t="shared" si="24"/>
        <v/>
      </c>
      <c r="L1521" s="45" t="str">
        <f t="shared" si="25"/>
        <v/>
      </c>
      <c r="M1521" s="45" t="str">
        <f t="shared" si="26"/>
        <v/>
      </c>
      <c r="N1521" s="45" t="str">
        <f t="shared" si="27"/>
        <v/>
      </c>
      <c r="O1521" s="45" t="str">
        <f t="shared" si="28"/>
        <v/>
      </c>
      <c r="P1521" s="45" t="str">
        <f t="shared" si="29"/>
        <v/>
      </c>
    </row>
    <row r="1522" spans="1:16" ht="17.25">
      <c r="A1522" s="276" t="s">
        <v>6674</v>
      </c>
      <c r="B1522" s="277">
        <v>2011</v>
      </c>
      <c r="C1522" s="276" t="s">
        <v>6675</v>
      </c>
      <c r="D1522" s="277">
        <v>21767103</v>
      </c>
      <c r="E1522" s="278" t="str">
        <f t="shared" si="23"/>
        <v>https://pubmed.ncbi.nlm.nih.gov/21767103</v>
      </c>
      <c r="F1522" s="28" t="s">
        <v>511</v>
      </c>
      <c r="G1522" s="28" t="s">
        <v>4744</v>
      </c>
      <c r="J1522" s="346" t="str">
        <f t="shared" si="19"/>
        <v/>
      </c>
      <c r="K1522" s="28" t="str">
        <f t="shared" si="24"/>
        <v/>
      </c>
      <c r="L1522" s="45" t="str">
        <f t="shared" si="25"/>
        <v/>
      </c>
      <c r="M1522" s="45" t="str">
        <f t="shared" si="26"/>
        <v/>
      </c>
      <c r="N1522" s="45">
        <f t="shared" si="27"/>
        <v>1</v>
      </c>
      <c r="O1522" s="45" t="str">
        <f t="shared" si="28"/>
        <v/>
      </c>
      <c r="P1522" s="45" t="str">
        <f t="shared" si="29"/>
        <v/>
      </c>
    </row>
    <row r="1523" spans="1:16" ht="17.25">
      <c r="A1523" s="276" t="s">
        <v>6676</v>
      </c>
      <c r="B1523" s="277">
        <v>2005</v>
      </c>
      <c r="C1523" s="276"/>
      <c r="D1523" s="277">
        <v>15868230</v>
      </c>
      <c r="E1523" s="278" t="str">
        <f t="shared" si="23"/>
        <v>https://pubmed.ncbi.nlm.nih.gov/15868230</v>
      </c>
      <c r="F1523" s="28" t="s">
        <v>511</v>
      </c>
      <c r="G1523" s="28" t="s">
        <v>4867</v>
      </c>
      <c r="J1523" s="346" t="str">
        <f t="shared" si="19"/>
        <v/>
      </c>
      <c r="K1523" s="28" t="str">
        <f t="shared" si="24"/>
        <v/>
      </c>
      <c r="L1523" s="45" t="str">
        <f t="shared" si="25"/>
        <v/>
      </c>
      <c r="M1523" s="45" t="str">
        <f t="shared" si="26"/>
        <v/>
      </c>
      <c r="N1523" s="45">
        <f t="shared" si="27"/>
        <v>1</v>
      </c>
      <c r="O1523" s="45" t="str">
        <f t="shared" si="28"/>
        <v/>
      </c>
      <c r="P1523" s="45" t="str">
        <f t="shared" si="29"/>
        <v/>
      </c>
    </row>
    <row r="1524" spans="1:16" ht="17.25">
      <c r="A1524" s="276" t="s">
        <v>6677</v>
      </c>
      <c r="B1524" s="277">
        <v>2014</v>
      </c>
      <c r="C1524" s="276" t="s">
        <v>6678</v>
      </c>
      <c r="D1524" s="277">
        <v>23564338</v>
      </c>
      <c r="E1524" s="278" t="str">
        <f t="shared" si="23"/>
        <v>https://pubmed.ncbi.nlm.nih.gov/23564338</v>
      </c>
      <c r="F1524" s="28" t="s">
        <v>511</v>
      </c>
      <c r="G1524" s="28" t="s">
        <v>4592</v>
      </c>
      <c r="J1524" s="346">
        <f t="shared" si="19"/>
        <v>1</v>
      </c>
      <c r="K1524" s="28" t="str">
        <f t="shared" si="24"/>
        <v/>
      </c>
      <c r="L1524" s="45" t="str">
        <f t="shared" si="25"/>
        <v/>
      </c>
      <c r="M1524" s="45" t="str">
        <f t="shared" si="26"/>
        <v/>
      </c>
      <c r="N1524" s="45" t="str">
        <f t="shared" si="27"/>
        <v/>
      </c>
      <c r="O1524" s="45" t="str">
        <f t="shared" si="28"/>
        <v/>
      </c>
      <c r="P1524" s="45" t="str">
        <f t="shared" si="29"/>
        <v/>
      </c>
    </row>
    <row r="1525" spans="1:16" ht="17.25">
      <c r="A1525" s="276" t="s">
        <v>632</v>
      </c>
      <c r="B1525" s="277">
        <v>2018</v>
      </c>
      <c r="C1525" s="276" t="s">
        <v>4095</v>
      </c>
      <c r="D1525" s="277">
        <v>29389671</v>
      </c>
      <c r="E1525" s="278" t="str">
        <f t="shared" si="23"/>
        <v>https://pubmed.ncbi.nlm.nih.gov/29389671</v>
      </c>
      <c r="H1525" s="28" t="s">
        <v>511</v>
      </c>
      <c r="J1525" s="346" t="str">
        <f t="shared" si="19"/>
        <v/>
      </c>
      <c r="K1525" s="28" t="str">
        <f t="shared" si="24"/>
        <v/>
      </c>
      <c r="L1525" s="45" t="str">
        <f t="shared" si="25"/>
        <v/>
      </c>
      <c r="M1525" s="45" t="str">
        <f t="shared" si="26"/>
        <v/>
      </c>
      <c r="N1525" s="45" t="str">
        <f t="shared" si="27"/>
        <v/>
      </c>
      <c r="O1525" s="45" t="str">
        <f t="shared" si="28"/>
        <v/>
      </c>
      <c r="P1525" s="45" t="str">
        <f t="shared" si="29"/>
        <v/>
      </c>
    </row>
    <row r="1526" spans="1:16" ht="17.25">
      <c r="A1526" s="276" t="s">
        <v>6679</v>
      </c>
      <c r="B1526" s="277">
        <v>2018</v>
      </c>
      <c r="C1526" s="276" t="s">
        <v>6680</v>
      </c>
      <c r="D1526" s="277">
        <v>30488948</v>
      </c>
      <c r="E1526" s="278" t="str">
        <f t="shared" si="23"/>
        <v>https://pubmed.ncbi.nlm.nih.gov/30488948</v>
      </c>
      <c r="F1526" s="28" t="s">
        <v>511</v>
      </c>
      <c r="G1526" s="28" t="s">
        <v>6220</v>
      </c>
      <c r="J1526" s="346">
        <f t="shared" si="19"/>
        <v>1</v>
      </c>
      <c r="K1526" s="28" t="str">
        <f t="shared" si="24"/>
        <v/>
      </c>
      <c r="L1526" s="45" t="str">
        <f t="shared" si="25"/>
        <v/>
      </c>
      <c r="M1526" s="45" t="str">
        <f t="shared" si="26"/>
        <v/>
      </c>
      <c r="N1526" s="45" t="str">
        <f t="shared" si="27"/>
        <v/>
      </c>
      <c r="O1526" s="45" t="str">
        <f t="shared" si="28"/>
        <v/>
      </c>
      <c r="P1526" s="45" t="str">
        <f t="shared" si="29"/>
        <v/>
      </c>
    </row>
    <row r="1527" spans="1:16" ht="17.25">
      <c r="A1527" s="276" t="s">
        <v>6681</v>
      </c>
      <c r="B1527" s="277">
        <v>2015</v>
      </c>
      <c r="C1527" s="276" t="s">
        <v>6682</v>
      </c>
      <c r="D1527" s="277">
        <v>26098746</v>
      </c>
      <c r="E1527" s="278" t="str">
        <f t="shared" si="23"/>
        <v>https://pubmed.ncbi.nlm.nih.gov/26098746</v>
      </c>
      <c r="F1527" s="28" t="s">
        <v>511</v>
      </c>
      <c r="G1527" s="28" t="s">
        <v>4592</v>
      </c>
      <c r="J1527" s="346">
        <f t="shared" si="19"/>
        <v>1</v>
      </c>
      <c r="K1527" s="28" t="str">
        <f t="shared" si="24"/>
        <v/>
      </c>
      <c r="L1527" s="45" t="str">
        <f t="shared" si="25"/>
        <v/>
      </c>
      <c r="M1527" s="45" t="str">
        <f t="shared" si="26"/>
        <v/>
      </c>
      <c r="N1527" s="45" t="str">
        <f t="shared" si="27"/>
        <v/>
      </c>
      <c r="O1527" s="45" t="str">
        <f t="shared" si="28"/>
        <v/>
      </c>
      <c r="P1527" s="45" t="str">
        <f t="shared" si="29"/>
        <v/>
      </c>
    </row>
    <row r="1528" spans="1:16" ht="17.25">
      <c r="A1528" s="276" t="s">
        <v>6683</v>
      </c>
      <c r="B1528" s="277">
        <v>2006</v>
      </c>
      <c r="C1528" s="276" t="s">
        <v>6684</v>
      </c>
      <c r="D1528" s="277">
        <v>17283610</v>
      </c>
      <c r="E1528" s="278" t="str">
        <f t="shared" si="23"/>
        <v>https://pubmed.ncbi.nlm.nih.gov/17283610</v>
      </c>
      <c r="F1528" s="28" t="s">
        <v>511</v>
      </c>
      <c r="G1528" s="28" t="s">
        <v>4592</v>
      </c>
      <c r="J1528" s="346">
        <f t="shared" si="19"/>
        <v>1</v>
      </c>
      <c r="K1528" s="28" t="str">
        <f t="shared" si="24"/>
        <v/>
      </c>
      <c r="L1528" s="45" t="str">
        <f t="shared" si="25"/>
        <v/>
      </c>
      <c r="M1528" s="45" t="str">
        <f t="shared" si="26"/>
        <v/>
      </c>
      <c r="N1528" s="45" t="str">
        <f t="shared" si="27"/>
        <v/>
      </c>
      <c r="O1528" s="45" t="str">
        <f t="shared" si="28"/>
        <v/>
      </c>
      <c r="P1528" s="45" t="str">
        <f t="shared" si="29"/>
        <v/>
      </c>
    </row>
    <row r="1529" spans="1:16" ht="17.25">
      <c r="A1529" s="276" t="s">
        <v>6685</v>
      </c>
      <c r="B1529" s="277">
        <v>2019</v>
      </c>
      <c r="C1529" s="276" t="s">
        <v>6686</v>
      </c>
      <c r="D1529" s="277">
        <v>31479100</v>
      </c>
      <c r="E1529" s="278" t="str">
        <f t="shared" si="23"/>
        <v>https://pubmed.ncbi.nlm.nih.gov/31479100</v>
      </c>
      <c r="F1529" s="28" t="s">
        <v>511</v>
      </c>
      <c r="G1529" s="28" t="s">
        <v>6687</v>
      </c>
      <c r="J1529" s="346" t="str">
        <f t="shared" si="19"/>
        <v/>
      </c>
      <c r="K1529" s="28" t="str">
        <f t="shared" si="24"/>
        <v/>
      </c>
      <c r="L1529" s="45" t="str">
        <f t="shared" si="25"/>
        <v/>
      </c>
      <c r="M1529" s="45" t="str">
        <f t="shared" si="26"/>
        <v/>
      </c>
      <c r="N1529" s="45">
        <f t="shared" si="27"/>
        <v>1</v>
      </c>
      <c r="O1529" s="45" t="str">
        <f t="shared" si="28"/>
        <v/>
      </c>
      <c r="P1529" s="45" t="str">
        <f t="shared" si="29"/>
        <v/>
      </c>
    </row>
    <row r="1530" spans="1:16" ht="17.25">
      <c r="A1530" s="276" t="s">
        <v>6688</v>
      </c>
      <c r="B1530" s="277">
        <v>2002</v>
      </c>
      <c r="C1530" s="276"/>
      <c r="D1530" s="277">
        <v>12122828</v>
      </c>
      <c r="E1530" s="278" t="str">
        <f t="shared" si="23"/>
        <v>https://pubmed.ncbi.nlm.nih.gov/12122828</v>
      </c>
      <c r="F1530" s="28" t="s">
        <v>511</v>
      </c>
      <c r="G1530" s="28" t="s">
        <v>4592</v>
      </c>
      <c r="J1530" s="346">
        <f t="shared" si="19"/>
        <v>1</v>
      </c>
      <c r="K1530" s="28" t="str">
        <f t="shared" si="24"/>
        <v/>
      </c>
      <c r="L1530" s="45" t="str">
        <f t="shared" si="25"/>
        <v/>
      </c>
      <c r="M1530" s="45" t="str">
        <f t="shared" si="26"/>
        <v/>
      </c>
      <c r="N1530" s="45" t="str">
        <f t="shared" si="27"/>
        <v/>
      </c>
      <c r="O1530" s="45" t="str">
        <f t="shared" si="28"/>
        <v/>
      </c>
      <c r="P1530" s="45" t="str">
        <f t="shared" si="29"/>
        <v/>
      </c>
    </row>
    <row r="1531" spans="1:16" ht="17.25">
      <c r="A1531" s="276" t="s">
        <v>6689</v>
      </c>
      <c r="B1531" s="277">
        <v>2013</v>
      </c>
      <c r="C1531" s="276"/>
      <c r="D1531" s="277">
        <v>24014191</v>
      </c>
      <c r="E1531" s="278" t="str">
        <f t="shared" si="23"/>
        <v>https://pubmed.ncbi.nlm.nih.gov/24014191</v>
      </c>
      <c r="F1531" s="28" t="s">
        <v>511</v>
      </c>
      <c r="G1531" s="28" t="s">
        <v>4592</v>
      </c>
      <c r="J1531" s="346">
        <f t="shared" si="19"/>
        <v>1</v>
      </c>
      <c r="K1531" s="28" t="str">
        <f t="shared" si="24"/>
        <v/>
      </c>
      <c r="L1531" s="45" t="str">
        <f t="shared" si="25"/>
        <v/>
      </c>
      <c r="M1531" s="45" t="str">
        <f t="shared" si="26"/>
        <v/>
      </c>
      <c r="N1531" s="45" t="str">
        <f t="shared" si="27"/>
        <v/>
      </c>
      <c r="O1531" s="45" t="str">
        <f t="shared" si="28"/>
        <v/>
      </c>
      <c r="P1531" s="45" t="str">
        <f t="shared" si="29"/>
        <v/>
      </c>
    </row>
    <row r="1532" spans="1:16" ht="17.25">
      <c r="A1532" s="276" t="s">
        <v>6689</v>
      </c>
      <c r="B1532" s="277">
        <v>2009</v>
      </c>
      <c r="C1532" s="276"/>
      <c r="D1532" s="277">
        <v>19588358</v>
      </c>
      <c r="E1532" s="278" t="str">
        <f t="shared" si="23"/>
        <v>https://pubmed.ncbi.nlm.nih.gov/19588358</v>
      </c>
      <c r="F1532" s="28" t="s">
        <v>511</v>
      </c>
      <c r="G1532" s="28" t="s">
        <v>4592</v>
      </c>
      <c r="J1532" s="346">
        <f t="shared" si="19"/>
        <v>1</v>
      </c>
      <c r="K1532" s="28" t="str">
        <f t="shared" si="24"/>
        <v/>
      </c>
      <c r="L1532" s="45" t="str">
        <f t="shared" si="25"/>
        <v/>
      </c>
      <c r="M1532" s="45" t="str">
        <f t="shared" si="26"/>
        <v/>
      </c>
      <c r="N1532" s="45" t="str">
        <f t="shared" si="27"/>
        <v/>
      </c>
      <c r="O1532" s="45" t="str">
        <f t="shared" si="28"/>
        <v/>
      </c>
      <c r="P1532" s="45" t="str">
        <f t="shared" si="29"/>
        <v/>
      </c>
    </row>
    <row r="1533" spans="1:16" ht="17.25">
      <c r="A1533" s="276" t="s">
        <v>6690</v>
      </c>
      <c r="B1533" s="277">
        <v>2007</v>
      </c>
      <c r="C1533" s="276"/>
      <c r="D1533" s="277">
        <v>17684335</v>
      </c>
      <c r="E1533" s="278" t="str">
        <f t="shared" si="23"/>
        <v>https://pubmed.ncbi.nlm.nih.gov/17684335</v>
      </c>
      <c r="F1533" s="28" t="s">
        <v>511</v>
      </c>
      <c r="G1533" s="28" t="s">
        <v>4592</v>
      </c>
      <c r="J1533" s="346">
        <f t="shared" si="19"/>
        <v>1</v>
      </c>
      <c r="K1533" s="28" t="str">
        <f t="shared" si="24"/>
        <v/>
      </c>
      <c r="L1533" s="45" t="str">
        <f t="shared" si="25"/>
        <v/>
      </c>
      <c r="M1533" s="45" t="str">
        <f t="shared" si="26"/>
        <v/>
      </c>
      <c r="N1533" s="45" t="str">
        <f t="shared" si="27"/>
        <v/>
      </c>
      <c r="O1533" s="45" t="str">
        <f t="shared" si="28"/>
        <v/>
      </c>
      <c r="P1533" s="45" t="str">
        <f t="shared" si="29"/>
        <v/>
      </c>
    </row>
    <row r="1534" spans="1:16" ht="17.25">
      <c r="A1534" s="276" t="s">
        <v>6691</v>
      </c>
      <c r="B1534" s="277">
        <v>2017</v>
      </c>
      <c r="C1534" s="276"/>
      <c r="D1534" s="277">
        <v>27884476</v>
      </c>
      <c r="E1534" s="278" t="str">
        <f t="shared" si="23"/>
        <v>https://pubmed.ncbi.nlm.nih.gov/27884476</v>
      </c>
      <c r="F1534" s="28" t="s">
        <v>511</v>
      </c>
      <c r="G1534" s="28" t="s">
        <v>6692</v>
      </c>
      <c r="J1534" s="346" t="str">
        <f t="shared" si="19"/>
        <v/>
      </c>
      <c r="K1534" s="28" t="str">
        <f t="shared" si="24"/>
        <v/>
      </c>
      <c r="L1534" s="45" t="str">
        <f t="shared" si="25"/>
        <v/>
      </c>
      <c r="M1534" s="45" t="str">
        <f t="shared" si="26"/>
        <v/>
      </c>
      <c r="N1534" s="45" t="str">
        <f t="shared" si="27"/>
        <v/>
      </c>
      <c r="O1534" s="45">
        <f t="shared" si="28"/>
        <v>1</v>
      </c>
      <c r="P1534" s="45" t="str">
        <f t="shared" si="29"/>
        <v/>
      </c>
    </row>
    <row r="1535" spans="1:16" ht="17.25">
      <c r="A1535" s="276" t="s">
        <v>6693</v>
      </c>
      <c r="B1535" s="277">
        <v>2009</v>
      </c>
      <c r="C1535" s="276"/>
      <c r="D1535" s="277">
        <v>19327956</v>
      </c>
      <c r="E1535" s="278" t="str">
        <f t="shared" si="23"/>
        <v>https://pubmed.ncbi.nlm.nih.gov/19327956</v>
      </c>
      <c r="F1535" s="28" t="s">
        <v>511</v>
      </c>
      <c r="G1535" s="28" t="s">
        <v>6694</v>
      </c>
      <c r="J1535" s="346">
        <f t="shared" si="19"/>
        <v>1</v>
      </c>
      <c r="K1535" s="28" t="str">
        <f t="shared" si="24"/>
        <v/>
      </c>
      <c r="L1535" s="45" t="str">
        <f t="shared" si="25"/>
        <v/>
      </c>
      <c r="M1535" s="45" t="str">
        <f t="shared" si="26"/>
        <v/>
      </c>
      <c r="N1535" s="45" t="str">
        <f t="shared" si="27"/>
        <v/>
      </c>
      <c r="O1535" s="45" t="str">
        <f t="shared" si="28"/>
        <v/>
      </c>
      <c r="P1535" s="45" t="str">
        <f t="shared" si="29"/>
        <v/>
      </c>
    </row>
    <row r="1536" spans="1:16" ht="17.25">
      <c r="A1536" s="276" t="s">
        <v>6695</v>
      </c>
      <c r="B1536" s="277">
        <v>2015</v>
      </c>
      <c r="C1536" s="276"/>
      <c r="D1536" s="277">
        <v>25922858</v>
      </c>
      <c r="E1536" s="278" t="str">
        <f t="shared" si="23"/>
        <v>https://pubmed.ncbi.nlm.nih.gov/25922858</v>
      </c>
      <c r="F1536" s="28" t="s">
        <v>511</v>
      </c>
      <c r="G1536" s="28" t="s">
        <v>5273</v>
      </c>
      <c r="J1536" s="346">
        <f t="shared" si="19"/>
        <v>1</v>
      </c>
      <c r="K1536" s="28" t="str">
        <f t="shared" si="24"/>
        <v/>
      </c>
      <c r="L1536" s="45" t="str">
        <f t="shared" si="25"/>
        <v/>
      </c>
      <c r="M1536" s="45" t="str">
        <f t="shared" si="26"/>
        <v/>
      </c>
      <c r="N1536" s="45" t="str">
        <f t="shared" si="27"/>
        <v/>
      </c>
      <c r="O1536" s="45" t="str">
        <f t="shared" si="28"/>
        <v/>
      </c>
      <c r="P1536" s="45" t="str">
        <f t="shared" si="29"/>
        <v/>
      </c>
    </row>
    <row r="1537" spans="1:16" ht="17.25">
      <c r="A1537" s="276" t="s">
        <v>6696</v>
      </c>
      <c r="B1537" s="277">
        <v>2016</v>
      </c>
      <c r="C1537" s="276" t="s">
        <v>6697</v>
      </c>
      <c r="D1537" s="277">
        <v>26772902</v>
      </c>
      <c r="E1537" s="278" t="str">
        <f t="shared" si="23"/>
        <v>https://pubmed.ncbi.nlm.nih.gov/26772902</v>
      </c>
      <c r="F1537" s="28" t="s">
        <v>511</v>
      </c>
      <c r="G1537" s="28" t="s">
        <v>4592</v>
      </c>
      <c r="J1537" s="346">
        <f t="shared" si="19"/>
        <v>1</v>
      </c>
      <c r="K1537" s="28" t="str">
        <f t="shared" si="24"/>
        <v/>
      </c>
      <c r="L1537" s="45" t="str">
        <f t="shared" si="25"/>
        <v/>
      </c>
      <c r="M1537" s="45" t="str">
        <f t="shared" si="26"/>
        <v/>
      </c>
      <c r="N1537" s="45" t="str">
        <f t="shared" si="27"/>
        <v/>
      </c>
      <c r="O1537" s="45" t="str">
        <f t="shared" si="28"/>
        <v/>
      </c>
      <c r="P1537" s="45" t="str">
        <f t="shared" si="29"/>
        <v/>
      </c>
    </row>
    <row r="1538" spans="1:16" ht="17.25">
      <c r="A1538" s="276" t="s">
        <v>6698</v>
      </c>
      <c r="B1538" s="277">
        <v>2005</v>
      </c>
      <c r="C1538" s="276"/>
      <c r="D1538" s="277">
        <v>16061267</v>
      </c>
      <c r="E1538" s="278" t="str">
        <f t="shared" si="23"/>
        <v>https://pubmed.ncbi.nlm.nih.gov/16061267</v>
      </c>
      <c r="F1538" s="28" t="s">
        <v>511</v>
      </c>
      <c r="G1538" s="28" t="s">
        <v>4346</v>
      </c>
      <c r="J1538" s="346" t="str">
        <f t="shared" si="19"/>
        <v/>
      </c>
      <c r="K1538" s="28" t="str">
        <f t="shared" si="24"/>
        <v/>
      </c>
      <c r="L1538" s="45">
        <f t="shared" si="25"/>
        <v>1</v>
      </c>
      <c r="M1538" s="45" t="str">
        <f t="shared" si="26"/>
        <v/>
      </c>
      <c r="N1538" s="45" t="str">
        <f t="shared" si="27"/>
        <v/>
      </c>
      <c r="O1538" s="45" t="str">
        <f t="shared" si="28"/>
        <v/>
      </c>
      <c r="P1538" s="45" t="str">
        <f t="shared" si="29"/>
        <v/>
      </c>
    </row>
    <row r="1539" spans="1:16" ht="17.25">
      <c r="A1539" s="276" t="s">
        <v>6699</v>
      </c>
      <c r="B1539" s="277">
        <v>2018</v>
      </c>
      <c r="C1539" s="276" t="s">
        <v>6700</v>
      </c>
      <c r="D1539" s="277">
        <v>29390169</v>
      </c>
      <c r="E1539" s="278" t="str">
        <f t="shared" si="23"/>
        <v>https://pubmed.ncbi.nlm.nih.gov/29390169</v>
      </c>
      <c r="F1539" s="28" t="s">
        <v>511</v>
      </c>
      <c r="G1539" s="28" t="s">
        <v>4592</v>
      </c>
      <c r="J1539" s="346">
        <f t="shared" si="19"/>
        <v>1</v>
      </c>
      <c r="K1539" s="28" t="str">
        <f t="shared" si="24"/>
        <v/>
      </c>
      <c r="L1539" s="45" t="str">
        <f t="shared" si="25"/>
        <v/>
      </c>
      <c r="M1539" s="45" t="str">
        <f t="shared" si="26"/>
        <v/>
      </c>
      <c r="N1539" s="45" t="str">
        <f t="shared" si="27"/>
        <v/>
      </c>
      <c r="O1539" s="45" t="str">
        <f t="shared" si="28"/>
        <v/>
      </c>
      <c r="P1539" s="45" t="str">
        <f t="shared" si="29"/>
        <v/>
      </c>
    </row>
    <row r="1540" spans="1:16" ht="17.25">
      <c r="A1540" s="276" t="s">
        <v>6701</v>
      </c>
      <c r="B1540" s="277">
        <v>2020</v>
      </c>
      <c r="C1540" s="276" t="s">
        <v>6702</v>
      </c>
      <c r="D1540" s="277">
        <v>32859477</v>
      </c>
      <c r="E1540" s="278" t="str">
        <f t="shared" si="23"/>
        <v>https://pubmed.ncbi.nlm.nih.gov/32859477</v>
      </c>
      <c r="F1540" s="28" t="s">
        <v>511</v>
      </c>
      <c r="G1540" s="28" t="s">
        <v>6703</v>
      </c>
      <c r="J1540" s="346" t="str">
        <f t="shared" si="19"/>
        <v/>
      </c>
      <c r="K1540" s="28" t="str">
        <f t="shared" si="24"/>
        <v/>
      </c>
      <c r="L1540" s="45" t="str">
        <f t="shared" si="25"/>
        <v/>
      </c>
      <c r="M1540" s="45" t="str">
        <f t="shared" si="26"/>
        <v/>
      </c>
      <c r="N1540" s="45">
        <f t="shared" si="27"/>
        <v>1</v>
      </c>
      <c r="O1540" s="45" t="str">
        <f t="shared" si="28"/>
        <v/>
      </c>
      <c r="P1540" s="45" t="str">
        <f t="shared" si="29"/>
        <v/>
      </c>
    </row>
    <row r="1541" spans="1:16" ht="17.25">
      <c r="A1541" s="276" t="s">
        <v>6704</v>
      </c>
      <c r="B1541" s="277">
        <v>2008</v>
      </c>
      <c r="C1541" s="276"/>
      <c r="D1541" s="277">
        <v>18308908</v>
      </c>
      <c r="E1541" s="278" t="str">
        <f t="shared" si="23"/>
        <v>https://pubmed.ncbi.nlm.nih.gov/18308908</v>
      </c>
      <c r="F1541" s="28" t="s">
        <v>511</v>
      </c>
      <c r="G1541" s="28" t="s">
        <v>5299</v>
      </c>
      <c r="J1541" s="346" t="str">
        <f t="shared" si="19"/>
        <v/>
      </c>
      <c r="K1541" s="28" t="str">
        <f t="shared" si="24"/>
        <v/>
      </c>
      <c r="L1541" s="45" t="str">
        <f t="shared" si="25"/>
        <v/>
      </c>
      <c r="M1541" s="45" t="str">
        <f t="shared" si="26"/>
        <v/>
      </c>
      <c r="N1541" s="45">
        <f t="shared" si="27"/>
        <v>1</v>
      </c>
      <c r="O1541" s="45" t="str">
        <f t="shared" si="28"/>
        <v/>
      </c>
      <c r="P1541" s="45" t="str">
        <f t="shared" si="29"/>
        <v/>
      </c>
    </row>
    <row r="1542" spans="1:16" ht="17.25">
      <c r="A1542" s="276" t="s">
        <v>6705</v>
      </c>
      <c r="B1542" s="277">
        <v>2019</v>
      </c>
      <c r="C1542" s="276" t="s">
        <v>6706</v>
      </c>
      <c r="D1542" s="277">
        <v>31623894</v>
      </c>
      <c r="E1542" s="278" t="str">
        <f t="shared" si="23"/>
        <v>https://pubmed.ncbi.nlm.nih.gov/31623894</v>
      </c>
      <c r="F1542" s="28" t="s">
        <v>511</v>
      </c>
      <c r="G1542" s="28" t="s">
        <v>4744</v>
      </c>
      <c r="J1542" s="346" t="str">
        <f t="shared" si="19"/>
        <v/>
      </c>
      <c r="K1542" s="28" t="str">
        <f t="shared" si="24"/>
        <v/>
      </c>
      <c r="L1542" s="45" t="str">
        <f t="shared" si="25"/>
        <v/>
      </c>
      <c r="M1542" s="45" t="str">
        <f t="shared" si="26"/>
        <v/>
      </c>
      <c r="N1542" s="45">
        <f t="shared" si="27"/>
        <v>1</v>
      </c>
      <c r="O1542" s="45" t="str">
        <f t="shared" si="28"/>
        <v/>
      </c>
      <c r="P1542" s="45" t="str">
        <f t="shared" si="29"/>
        <v/>
      </c>
    </row>
    <row r="1543" spans="1:16" ht="17.25">
      <c r="A1543" s="276" t="s">
        <v>6707</v>
      </c>
      <c r="B1543" s="277">
        <v>2017</v>
      </c>
      <c r="C1543" s="276"/>
      <c r="D1543" s="277">
        <v>27866765</v>
      </c>
      <c r="E1543" s="278" t="str">
        <f t="shared" si="23"/>
        <v>https://pubmed.ncbi.nlm.nih.gov/27866765</v>
      </c>
      <c r="F1543" s="28" t="s">
        <v>511</v>
      </c>
      <c r="G1543" s="28" t="s">
        <v>6708</v>
      </c>
      <c r="J1543" s="346" t="str">
        <f t="shared" si="19"/>
        <v/>
      </c>
      <c r="K1543" s="28" t="str">
        <f t="shared" si="24"/>
        <v/>
      </c>
      <c r="L1543" s="45" t="str">
        <f t="shared" si="25"/>
        <v/>
      </c>
      <c r="M1543" s="45" t="str">
        <f t="shared" si="26"/>
        <v/>
      </c>
      <c r="N1543" s="45" t="str">
        <f t="shared" si="27"/>
        <v/>
      </c>
      <c r="O1543" s="45">
        <f t="shared" si="28"/>
        <v>1</v>
      </c>
      <c r="P1543" s="45" t="str">
        <f t="shared" si="29"/>
        <v/>
      </c>
    </row>
    <row r="1544" spans="1:16" ht="17.25">
      <c r="A1544" s="276" t="s">
        <v>6709</v>
      </c>
      <c r="B1544" s="277">
        <v>2009</v>
      </c>
      <c r="C1544" s="276" t="s">
        <v>6710</v>
      </c>
      <c r="D1544" s="277">
        <v>19566925</v>
      </c>
      <c r="E1544" s="278" t="str">
        <f t="shared" si="23"/>
        <v>https://pubmed.ncbi.nlm.nih.gov/19566925</v>
      </c>
      <c r="F1544" s="28" t="s">
        <v>511</v>
      </c>
      <c r="G1544" s="28" t="s">
        <v>4744</v>
      </c>
      <c r="J1544" s="346" t="str">
        <f t="shared" si="19"/>
        <v/>
      </c>
      <c r="K1544" s="28" t="str">
        <f t="shared" si="24"/>
        <v/>
      </c>
      <c r="L1544" s="45" t="str">
        <f t="shared" si="25"/>
        <v/>
      </c>
      <c r="M1544" s="45" t="str">
        <f t="shared" si="26"/>
        <v/>
      </c>
      <c r="N1544" s="45">
        <f t="shared" si="27"/>
        <v>1</v>
      </c>
      <c r="O1544" s="45" t="str">
        <f t="shared" si="28"/>
        <v/>
      </c>
      <c r="P1544" s="45" t="str">
        <f t="shared" si="29"/>
        <v/>
      </c>
    </row>
    <row r="1545" spans="1:16" ht="17.25">
      <c r="A1545" s="276" t="s">
        <v>6711</v>
      </c>
      <c r="B1545" s="277">
        <v>2020</v>
      </c>
      <c r="C1545" s="276"/>
      <c r="D1545" s="277">
        <v>32147025</v>
      </c>
      <c r="E1545" s="278" t="str">
        <f t="shared" si="23"/>
        <v>https://pubmed.ncbi.nlm.nih.gov/32147025</v>
      </c>
      <c r="F1545" s="28" t="s">
        <v>511</v>
      </c>
      <c r="G1545" s="28" t="s">
        <v>6712</v>
      </c>
      <c r="J1545" s="346" t="str">
        <f t="shared" si="19"/>
        <v/>
      </c>
      <c r="K1545" s="28" t="str">
        <f t="shared" si="24"/>
        <v/>
      </c>
      <c r="L1545" s="45" t="str">
        <f t="shared" si="25"/>
        <v/>
      </c>
      <c r="M1545" s="45" t="str">
        <f t="shared" si="26"/>
        <v/>
      </c>
      <c r="N1545" s="45">
        <f t="shared" si="27"/>
        <v>1</v>
      </c>
      <c r="O1545" s="45" t="str">
        <f t="shared" si="28"/>
        <v/>
      </c>
      <c r="P1545" s="45" t="str">
        <f t="shared" si="29"/>
        <v/>
      </c>
    </row>
    <row r="1546" spans="1:16" ht="17.25">
      <c r="A1546" s="276" t="s">
        <v>6713</v>
      </c>
      <c r="B1546" s="277">
        <v>2015</v>
      </c>
      <c r="C1546" s="276"/>
      <c r="D1546" s="277">
        <v>25855760</v>
      </c>
      <c r="E1546" s="278" t="str">
        <f t="shared" si="23"/>
        <v>https://pubmed.ncbi.nlm.nih.gov/25855760</v>
      </c>
      <c r="F1546" s="28" t="s">
        <v>511</v>
      </c>
      <c r="G1546" s="28" t="s">
        <v>4867</v>
      </c>
      <c r="J1546" s="346" t="str">
        <f t="shared" si="19"/>
        <v/>
      </c>
      <c r="K1546" s="28" t="str">
        <f t="shared" si="24"/>
        <v/>
      </c>
      <c r="L1546" s="45" t="str">
        <f t="shared" si="25"/>
        <v/>
      </c>
      <c r="M1546" s="45" t="str">
        <f t="shared" si="26"/>
        <v/>
      </c>
      <c r="N1546" s="45">
        <f t="shared" si="27"/>
        <v>1</v>
      </c>
      <c r="O1546" s="45" t="str">
        <f t="shared" si="28"/>
        <v/>
      </c>
      <c r="P1546" s="45" t="str">
        <f t="shared" si="29"/>
        <v/>
      </c>
    </row>
    <row r="1547" spans="1:16" ht="17.25">
      <c r="A1547" s="276" t="s">
        <v>6714</v>
      </c>
      <c r="B1547" s="277">
        <v>2018</v>
      </c>
      <c r="C1547" s="276"/>
      <c r="D1547" s="277">
        <v>29269418</v>
      </c>
      <c r="E1547" s="278" t="str">
        <f t="shared" si="23"/>
        <v>https://pubmed.ncbi.nlm.nih.gov/29269418</v>
      </c>
      <c r="F1547" s="28" t="s">
        <v>511</v>
      </c>
      <c r="G1547" s="28" t="s">
        <v>6715</v>
      </c>
      <c r="J1547" s="346" t="str">
        <f t="shared" si="19"/>
        <v/>
      </c>
      <c r="K1547" s="28" t="str">
        <f t="shared" si="24"/>
        <v/>
      </c>
      <c r="L1547" s="45" t="str">
        <f t="shared" si="25"/>
        <v/>
      </c>
      <c r="M1547" s="45" t="str">
        <f t="shared" si="26"/>
        <v/>
      </c>
      <c r="N1547" s="45">
        <f t="shared" si="27"/>
        <v>1</v>
      </c>
      <c r="O1547" s="45" t="str">
        <f t="shared" si="28"/>
        <v/>
      </c>
      <c r="P1547" s="45" t="str">
        <f t="shared" si="29"/>
        <v/>
      </c>
    </row>
    <row r="1548" spans="1:16" ht="17.25">
      <c r="A1548" s="276" t="s">
        <v>6716</v>
      </c>
      <c r="B1548" s="277">
        <v>2019</v>
      </c>
      <c r="C1548" s="276"/>
      <c r="D1548" s="277">
        <v>31567928</v>
      </c>
      <c r="E1548" s="278" t="str">
        <f t="shared" si="23"/>
        <v>https://pubmed.ncbi.nlm.nih.gov/31567928</v>
      </c>
      <c r="F1548" s="28" t="s">
        <v>511</v>
      </c>
      <c r="G1548" s="28" t="s">
        <v>5157</v>
      </c>
      <c r="J1548" s="346" t="str">
        <f t="shared" si="19"/>
        <v/>
      </c>
      <c r="K1548" s="28" t="str">
        <f t="shared" si="24"/>
        <v/>
      </c>
      <c r="L1548" s="45" t="str">
        <f t="shared" si="25"/>
        <v/>
      </c>
      <c r="M1548" s="45" t="str">
        <f t="shared" si="26"/>
        <v/>
      </c>
      <c r="N1548" s="45">
        <f t="shared" si="27"/>
        <v>1</v>
      </c>
      <c r="O1548" s="45" t="str">
        <f t="shared" si="28"/>
        <v/>
      </c>
      <c r="P1548" s="45" t="str">
        <f t="shared" si="29"/>
        <v/>
      </c>
    </row>
    <row r="1549" spans="1:16" ht="17.25">
      <c r="A1549" s="276" t="s">
        <v>6717</v>
      </c>
      <c r="B1549" s="277">
        <v>2008</v>
      </c>
      <c r="C1549" s="276"/>
      <c r="D1549" s="277">
        <v>18479659</v>
      </c>
      <c r="E1549" s="278" t="str">
        <f t="shared" si="23"/>
        <v>https://pubmed.ncbi.nlm.nih.gov/18479659</v>
      </c>
      <c r="F1549" s="28" t="s">
        <v>511</v>
      </c>
      <c r="G1549" s="28" t="s">
        <v>5157</v>
      </c>
      <c r="J1549" s="346" t="str">
        <f t="shared" si="19"/>
        <v/>
      </c>
      <c r="K1549" s="28" t="str">
        <f t="shared" si="24"/>
        <v/>
      </c>
      <c r="L1549" s="45" t="str">
        <f t="shared" si="25"/>
        <v/>
      </c>
      <c r="M1549" s="45" t="str">
        <f t="shared" si="26"/>
        <v/>
      </c>
      <c r="N1549" s="45">
        <f t="shared" si="27"/>
        <v>1</v>
      </c>
      <c r="O1549" s="45" t="str">
        <f t="shared" si="28"/>
        <v/>
      </c>
      <c r="P1549" s="45" t="str">
        <f t="shared" si="29"/>
        <v/>
      </c>
    </row>
    <row r="1550" spans="1:16" ht="17.25">
      <c r="A1550" s="276" t="s">
        <v>6718</v>
      </c>
      <c r="B1550" s="277">
        <v>2002</v>
      </c>
      <c r="C1550" s="276"/>
      <c r="D1550" s="277">
        <v>11952024</v>
      </c>
      <c r="E1550" s="278" t="str">
        <f t="shared" si="23"/>
        <v>https://pubmed.ncbi.nlm.nih.gov/11952024</v>
      </c>
      <c r="F1550" s="28" t="s">
        <v>511</v>
      </c>
      <c r="G1550" s="28" t="s">
        <v>4867</v>
      </c>
      <c r="I1550" s="28" t="s">
        <v>6460</v>
      </c>
      <c r="J1550" s="346" t="str">
        <f t="shared" si="19"/>
        <v/>
      </c>
      <c r="K1550" s="28" t="str">
        <f t="shared" si="24"/>
        <v/>
      </c>
      <c r="L1550" s="45" t="str">
        <f t="shared" si="25"/>
        <v/>
      </c>
      <c r="M1550" s="45" t="str">
        <f t="shared" si="26"/>
        <v/>
      </c>
      <c r="N1550" s="45">
        <f t="shared" si="27"/>
        <v>1</v>
      </c>
      <c r="O1550" s="45" t="str">
        <f t="shared" si="28"/>
        <v/>
      </c>
      <c r="P1550" s="45" t="str">
        <f t="shared" si="29"/>
        <v/>
      </c>
    </row>
    <row r="1551" spans="1:16" ht="17.25">
      <c r="A1551" s="276" t="s">
        <v>6719</v>
      </c>
      <c r="B1551" s="277">
        <v>1999</v>
      </c>
      <c r="C1551" s="276" t="s">
        <v>6720</v>
      </c>
      <c r="D1551" s="277">
        <v>10524601</v>
      </c>
      <c r="E1551" s="278" t="str">
        <f t="shared" si="23"/>
        <v>https://pubmed.ncbi.nlm.nih.gov/10524601</v>
      </c>
      <c r="F1551" s="28" t="s">
        <v>511</v>
      </c>
      <c r="G1551" s="28" t="s">
        <v>6721</v>
      </c>
      <c r="J1551" s="346" t="str">
        <f t="shared" si="19"/>
        <v/>
      </c>
      <c r="K1551" s="28" t="str">
        <f t="shared" si="24"/>
        <v/>
      </c>
      <c r="L1551" s="45" t="str">
        <f t="shared" si="25"/>
        <v/>
      </c>
      <c r="M1551" s="45" t="str">
        <f t="shared" si="26"/>
        <v/>
      </c>
      <c r="N1551" s="45">
        <f t="shared" si="27"/>
        <v>1</v>
      </c>
      <c r="O1551" s="45" t="str">
        <f t="shared" si="28"/>
        <v/>
      </c>
      <c r="P1551" s="45" t="str">
        <f t="shared" si="29"/>
        <v/>
      </c>
    </row>
    <row r="1552" spans="1:16" ht="17.25">
      <c r="A1552" s="276" t="s">
        <v>6722</v>
      </c>
      <c r="B1552" s="277">
        <v>2019</v>
      </c>
      <c r="C1552" s="276" t="s">
        <v>6723</v>
      </c>
      <c r="D1552" s="277">
        <v>30515970</v>
      </c>
      <c r="E1552" s="278" t="str">
        <f t="shared" si="23"/>
        <v>https://pubmed.ncbi.nlm.nih.gov/30515970</v>
      </c>
      <c r="F1552" s="28" t="s">
        <v>511</v>
      </c>
      <c r="G1552" s="28" t="s">
        <v>5157</v>
      </c>
      <c r="J1552" s="346" t="str">
        <f t="shared" si="19"/>
        <v/>
      </c>
      <c r="K1552" s="28" t="str">
        <f t="shared" si="24"/>
        <v/>
      </c>
      <c r="L1552" s="45" t="str">
        <f t="shared" si="25"/>
        <v/>
      </c>
      <c r="M1552" s="45" t="str">
        <f t="shared" si="26"/>
        <v/>
      </c>
      <c r="N1552" s="45">
        <f t="shared" si="27"/>
        <v>1</v>
      </c>
      <c r="O1552" s="45" t="str">
        <f t="shared" si="28"/>
        <v/>
      </c>
      <c r="P1552" s="45" t="str">
        <f t="shared" si="29"/>
        <v/>
      </c>
    </row>
    <row r="1553" spans="1:16" ht="17.25">
      <c r="A1553" s="276" t="s">
        <v>6724</v>
      </c>
      <c r="B1553" s="277">
        <v>2009</v>
      </c>
      <c r="C1553" s="276" t="s">
        <v>6725</v>
      </c>
      <c r="D1553" s="277">
        <v>21289891</v>
      </c>
      <c r="E1553" s="278" t="str">
        <f t="shared" si="23"/>
        <v>https://pubmed.ncbi.nlm.nih.gov/21289891</v>
      </c>
      <c r="F1553" s="28" t="s">
        <v>511</v>
      </c>
      <c r="G1553" s="28" t="s">
        <v>4592</v>
      </c>
      <c r="J1553" s="346">
        <f t="shared" si="19"/>
        <v>1</v>
      </c>
      <c r="K1553" s="28" t="str">
        <f t="shared" si="24"/>
        <v/>
      </c>
      <c r="L1553" s="45" t="str">
        <f t="shared" si="25"/>
        <v/>
      </c>
      <c r="M1553" s="45" t="str">
        <f t="shared" si="26"/>
        <v/>
      </c>
      <c r="N1553" s="45" t="str">
        <f t="shared" si="27"/>
        <v/>
      </c>
      <c r="O1553" s="45" t="str">
        <f t="shared" si="28"/>
        <v/>
      </c>
      <c r="P1553" s="45" t="str">
        <f t="shared" si="29"/>
        <v/>
      </c>
    </row>
    <row r="1554" spans="1:16" ht="17.25">
      <c r="A1554" s="276" t="s">
        <v>6726</v>
      </c>
      <c r="B1554" s="277">
        <v>2014</v>
      </c>
      <c r="C1554" s="276" t="s">
        <v>6727</v>
      </c>
      <c r="D1554" s="277">
        <v>24656411</v>
      </c>
      <c r="E1554" s="278" t="str">
        <f t="shared" si="23"/>
        <v>https://pubmed.ncbi.nlm.nih.gov/24656411</v>
      </c>
      <c r="F1554" s="28" t="s">
        <v>511</v>
      </c>
      <c r="G1554" s="28" t="s">
        <v>4744</v>
      </c>
      <c r="J1554" s="346" t="str">
        <f t="shared" si="19"/>
        <v/>
      </c>
      <c r="K1554" s="28" t="str">
        <f t="shared" si="24"/>
        <v/>
      </c>
      <c r="L1554" s="45" t="str">
        <f t="shared" si="25"/>
        <v/>
      </c>
      <c r="M1554" s="45" t="str">
        <f t="shared" si="26"/>
        <v/>
      </c>
      <c r="N1554" s="45">
        <f t="shared" si="27"/>
        <v>1</v>
      </c>
      <c r="O1554" s="45" t="str">
        <f t="shared" si="28"/>
        <v/>
      </c>
      <c r="P1554" s="45" t="str">
        <f t="shared" si="29"/>
        <v/>
      </c>
    </row>
    <row r="1555" spans="1:16" ht="17.25">
      <c r="A1555" s="276" t="s">
        <v>6728</v>
      </c>
      <c r="B1555" s="277">
        <v>2021</v>
      </c>
      <c r="C1555" s="276" t="s">
        <v>6729</v>
      </c>
      <c r="D1555" s="277">
        <v>33499310</v>
      </c>
      <c r="E1555" s="278" t="str">
        <f t="shared" si="23"/>
        <v>https://pubmed.ncbi.nlm.nih.gov/33499310</v>
      </c>
      <c r="F1555" s="28" t="s">
        <v>511</v>
      </c>
      <c r="G1555" s="28" t="s">
        <v>4592</v>
      </c>
      <c r="J1555" s="346">
        <f t="shared" si="19"/>
        <v>1</v>
      </c>
      <c r="K1555" s="28" t="str">
        <f t="shared" si="24"/>
        <v/>
      </c>
      <c r="L1555" s="45" t="str">
        <f t="shared" si="25"/>
        <v/>
      </c>
      <c r="M1555" s="45" t="str">
        <f t="shared" si="26"/>
        <v/>
      </c>
      <c r="N1555" s="45" t="str">
        <f t="shared" si="27"/>
        <v/>
      </c>
      <c r="O1555" s="45" t="str">
        <f t="shared" si="28"/>
        <v/>
      </c>
      <c r="P1555" s="45" t="str">
        <f t="shared" si="29"/>
        <v/>
      </c>
    </row>
    <row r="1556" spans="1:16" ht="17.25">
      <c r="A1556" s="276" t="s">
        <v>6730</v>
      </c>
      <c r="B1556" s="277">
        <v>2018</v>
      </c>
      <c r="C1556" s="276"/>
      <c r="D1556" s="277">
        <v>30308319</v>
      </c>
      <c r="E1556" s="278" t="str">
        <f t="shared" si="23"/>
        <v>https://pubmed.ncbi.nlm.nih.gov/30308319</v>
      </c>
      <c r="F1556" s="28" t="s">
        <v>511</v>
      </c>
      <c r="G1556" s="28" t="s">
        <v>4592</v>
      </c>
      <c r="J1556" s="346">
        <f t="shared" si="19"/>
        <v>1</v>
      </c>
      <c r="K1556" s="28" t="str">
        <f t="shared" si="24"/>
        <v/>
      </c>
      <c r="L1556" s="45" t="str">
        <f t="shared" si="25"/>
        <v/>
      </c>
      <c r="M1556" s="45" t="str">
        <f t="shared" si="26"/>
        <v/>
      </c>
      <c r="N1556" s="45" t="str">
        <f t="shared" si="27"/>
        <v/>
      </c>
      <c r="O1556" s="45" t="str">
        <f t="shared" si="28"/>
        <v/>
      </c>
      <c r="P1556" s="45" t="str">
        <f t="shared" si="29"/>
        <v/>
      </c>
    </row>
    <row r="1557" spans="1:16" ht="17.25">
      <c r="A1557" s="276" t="s">
        <v>6731</v>
      </c>
      <c r="B1557" s="277">
        <v>2020</v>
      </c>
      <c r="C1557" s="276"/>
      <c r="D1557" s="277">
        <v>31769533</v>
      </c>
      <c r="E1557" s="278" t="str">
        <f t="shared" si="23"/>
        <v>https://pubmed.ncbi.nlm.nih.gov/31769533</v>
      </c>
      <c r="F1557" s="28" t="s">
        <v>511</v>
      </c>
      <c r="G1557" s="28" t="s">
        <v>5299</v>
      </c>
      <c r="J1557" s="346" t="str">
        <f t="shared" si="19"/>
        <v/>
      </c>
      <c r="K1557" s="28" t="str">
        <f t="shared" si="24"/>
        <v/>
      </c>
      <c r="L1557" s="45" t="str">
        <f t="shared" si="25"/>
        <v/>
      </c>
      <c r="M1557" s="45" t="str">
        <f t="shared" si="26"/>
        <v/>
      </c>
      <c r="N1557" s="45">
        <f t="shared" si="27"/>
        <v>1</v>
      </c>
      <c r="O1557" s="45" t="str">
        <f t="shared" si="28"/>
        <v/>
      </c>
      <c r="P1557" s="45" t="str">
        <f t="shared" si="29"/>
        <v/>
      </c>
    </row>
    <row r="1558" spans="1:16" ht="17.25">
      <c r="A1558" s="276" t="s">
        <v>6732</v>
      </c>
      <c r="B1558" s="277">
        <v>2019</v>
      </c>
      <c r="C1558" s="276" t="s">
        <v>6733</v>
      </c>
      <c r="D1558" s="277">
        <v>31582358</v>
      </c>
      <c r="E1558" s="278" t="str">
        <f t="shared" si="23"/>
        <v>https://pubmed.ncbi.nlm.nih.gov/31582358</v>
      </c>
      <c r="F1558" s="28" t="s">
        <v>511</v>
      </c>
      <c r="G1558" s="28" t="s">
        <v>4744</v>
      </c>
      <c r="J1558" s="346" t="str">
        <f t="shared" si="19"/>
        <v/>
      </c>
      <c r="K1558" s="28" t="str">
        <f t="shared" si="24"/>
        <v/>
      </c>
      <c r="L1558" s="45" t="str">
        <f t="shared" si="25"/>
        <v/>
      </c>
      <c r="M1558" s="45" t="str">
        <f t="shared" si="26"/>
        <v/>
      </c>
      <c r="N1558" s="45">
        <f t="shared" si="27"/>
        <v>1</v>
      </c>
      <c r="O1558" s="45" t="str">
        <f t="shared" si="28"/>
        <v/>
      </c>
      <c r="P1558" s="45" t="str">
        <f t="shared" si="29"/>
        <v/>
      </c>
    </row>
    <row r="1559" spans="1:16" ht="17.25">
      <c r="A1559" s="276" t="s">
        <v>6734</v>
      </c>
      <c r="B1559" s="277">
        <v>2007</v>
      </c>
      <c r="C1559" s="276"/>
      <c r="D1559" s="277">
        <v>18035190</v>
      </c>
      <c r="E1559" s="278" t="str">
        <f t="shared" si="23"/>
        <v>https://pubmed.ncbi.nlm.nih.gov/18035190</v>
      </c>
      <c r="F1559" s="28" t="s">
        <v>511</v>
      </c>
      <c r="G1559" s="28" t="s">
        <v>5157</v>
      </c>
      <c r="J1559" s="346" t="str">
        <f t="shared" si="19"/>
        <v/>
      </c>
      <c r="K1559" s="28" t="str">
        <f t="shared" si="24"/>
        <v/>
      </c>
      <c r="L1559" s="45" t="str">
        <f t="shared" si="25"/>
        <v/>
      </c>
      <c r="M1559" s="45" t="str">
        <f t="shared" si="26"/>
        <v/>
      </c>
      <c r="N1559" s="45">
        <f t="shared" si="27"/>
        <v>1</v>
      </c>
      <c r="O1559" s="45" t="str">
        <f t="shared" si="28"/>
        <v/>
      </c>
      <c r="P1559" s="45" t="str">
        <f t="shared" si="29"/>
        <v/>
      </c>
    </row>
    <row r="1560" spans="1:16" ht="17.25">
      <c r="A1560" s="276" t="s">
        <v>6735</v>
      </c>
      <c r="B1560" s="277">
        <v>2004</v>
      </c>
      <c r="C1560" s="276"/>
      <c r="D1560" s="277">
        <v>15178511</v>
      </c>
      <c r="E1560" s="278" t="str">
        <f t="shared" si="23"/>
        <v>https://pubmed.ncbi.nlm.nih.gov/15178511</v>
      </c>
      <c r="F1560" s="28" t="s">
        <v>511</v>
      </c>
      <c r="G1560" s="28" t="s">
        <v>4592</v>
      </c>
      <c r="J1560" s="346">
        <f t="shared" si="19"/>
        <v>1</v>
      </c>
      <c r="K1560" s="28" t="str">
        <f t="shared" si="24"/>
        <v/>
      </c>
      <c r="L1560" s="45" t="str">
        <f t="shared" si="25"/>
        <v/>
      </c>
      <c r="M1560" s="45" t="str">
        <f t="shared" si="26"/>
        <v/>
      </c>
      <c r="N1560" s="45" t="str">
        <f t="shared" si="27"/>
        <v/>
      </c>
      <c r="O1560" s="45" t="str">
        <f t="shared" si="28"/>
        <v/>
      </c>
      <c r="P1560" s="45" t="str">
        <f t="shared" si="29"/>
        <v/>
      </c>
    </row>
    <row r="1561" spans="1:16" ht="17.25">
      <c r="A1561" s="276" t="s">
        <v>6736</v>
      </c>
      <c r="B1561" s="277">
        <v>2008</v>
      </c>
      <c r="C1561" s="276" t="s">
        <v>6737</v>
      </c>
      <c r="D1561" s="277">
        <v>18333868</v>
      </c>
      <c r="E1561" s="278" t="str">
        <f t="shared" si="23"/>
        <v>https://pubmed.ncbi.nlm.nih.gov/18333868</v>
      </c>
      <c r="F1561" s="28" t="s">
        <v>511</v>
      </c>
      <c r="G1561" s="28" t="s">
        <v>4744</v>
      </c>
      <c r="J1561" s="346" t="str">
        <f t="shared" si="19"/>
        <v/>
      </c>
      <c r="K1561" s="28" t="str">
        <f t="shared" si="24"/>
        <v/>
      </c>
      <c r="L1561" s="45" t="str">
        <f t="shared" si="25"/>
        <v/>
      </c>
      <c r="M1561" s="45" t="str">
        <f t="shared" si="26"/>
        <v/>
      </c>
      <c r="N1561" s="45">
        <f t="shared" si="27"/>
        <v>1</v>
      </c>
      <c r="O1561" s="45" t="str">
        <f t="shared" si="28"/>
        <v/>
      </c>
      <c r="P1561" s="45" t="str">
        <f t="shared" si="29"/>
        <v/>
      </c>
    </row>
    <row r="1562" spans="1:16" ht="17.25">
      <c r="A1562" s="276" t="s">
        <v>6738</v>
      </c>
      <c r="B1562" s="277">
        <v>2001</v>
      </c>
      <c r="C1562" s="276"/>
      <c r="D1562" s="277">
        <v>11770694</v>
      </c>
      <c r="E1562" s="278" t="str">
        <f t="shared" si="23"/>
        <v>https://pubmed.ncbi.nlm.nih.gov/11770694</v>
      </c>
      <c r="F1562" s="28" t="s">
        <v>511</v>
      </c>
      <c r="G1562" s="28" t="s">
        <v>4744</v>
      </c>
      <c r="I1562" s="28" t="s">
        <v>6460</v>
      </c>
      <c r="J1562" s="346" t="str">
        <f t="shared" si="19"/>
        <v/>
      </c>
      <c r="K1562" s="28" t="str">
        <f t="shared" si="24"/>
        <v/>
      </c>
      <c r="L1562" s="45" t="str">
        <f t="shared" si="25"/>
        <v/>
      </c>
      <c r="M1562" s="45" t="str">
        <f t="shared" si="26"/>
        <v/>
      </c>
      <c r="N1562" s="45">
        <f t="shared" si="27"/>
        <v>1</v>
      </c>
      <c r="O1562" s="45" t="str">
        <f t="shared" si="28"/>
        <v/>
      </c>
      <c r="P1562" s="45" t="str">
        <f t="shared" si="29"/>
        <v/>
      </c>
    </row>
    <row r="1563" spans="1:16" ht="17.25">
      <c r="A1563" s="276" t="s">
        <v>6738</v>
      </c>
      <c r="B1563" s="277">
        <v>2004</v>
      </c>
      <c r="C1563" s="276"/>
      <c r="D1563" s="277">
        <v>15055564</v>
      </c>
      <c r="E1563" s="278" t="str">
        <f t="shared" si="23"/>
        <v>https://pubmed.ncbi.nlm.nih.gov/15055564</v>
      </c>
      <c r="F1563" s="28" t="s">
        <v>511</v>
      </c>
      <c r="G1563" s="28" t="s">
        <v>4744</v>
      </c>
      <c r="I1563" s="28" t="s">
        <v>6460</v>
      </c>
      <c r="J1563" s="346" t="str">
        <f t="shared" si="19"/>
        <v/>
      </c>
      <c r="K1563" s="28" t="str">
        <f t="shared" si="24"/>
        <v/>
      </c>
      <c r="L1563" s="45" t="str">
        <f t="shared" si="25"/>
        <v/>
      </c>
      <c r="M1563" s="45" t="str">
        <f t="shared" si="26"/>
        <v/>
      </c>
      <c r="N1563" s="45">
        <f t="shared" si="27"/>
        <v>1</v>
      </c>
      <c r="O1563" s="45" t="str">
        <f t="shared" si="28"/>
        <v/>
      </c>
      <c r="P1563" s="45" t="str">
        <f t="shared" si="29"/>
        <v/>
      </c>
    </row>
    <row r="1564" spans="1:16" ht="17.25">
      <c r="A1564" s="276" t="s">
        <v>6739</v>
      </c>
      <c r="B1564" s="277">
        <v>2019</v>
      </c>
      <c r="C1564" s="276"/>
      <c r="D1564" s="277">
        <v>30579443</v>
      </c>
      <c r="E1564" s="278" t="str">
        <f t="shared" si="23"/>
        <v>https://pubmed.ncbi.nlm.nih.gov/30579443</v>
      </c>
      <c r="F1564" s="28" t="s">
        <v>511</v>
      </c>
      <c r="G1564" s="28" t="s">
        <v>6585</v>
      </c>
      <c r="J1564" s="346" t="str">
        <f t="shared" si="19"/>
        <v/>
      </c>
      <c r="K1564" s="28" t="str">
        <f t="shared" si="24"/>
        <v/>
      </c>
      <c r="L1564" s="45" t="str">
        <f t="shared" si="25"/>
        <v/>
      </c>
      <c r="M1564" s="45" t="str">
        <f t="shared" si="26"/>
        <v/>
      </c>
      <c r="N1564" s="45">
        <f t="shared" si="27"/>
        <v>1</v>
      </c>
      <c r="O1564" s="45" t="str">
        <f t="shared" si="28"/>
        <v/>
      </c>
      <c r="P1564" s="45" t="str">
        <f t="shared" si="29"/>
        <v/>
      </c>
    </row>
    <row r="1565" spans="1:16" ht="17.25">
      <c r="A1565" s="276" t="s">
        <v>6740</v>
      </c>
      <c r="B1565" s="277">
        <v>2018</v>
      </c>
      <c r="C1565" s="276" t="s">
        <v>6741</v>
      </c>
      <c r="D1565" s="277">
        <v>29371475</v>
      </c>
      <c r="E1565" s="278" t="str">
        <f t="shared" si="23"/>
        <v>https://pubmed.ncbi.nlm.nih.gov/29371475</v>
      </c>
      <c r="F1565" s="28" t="s">
        <v>511</v>
      </c>
      <c r="G1565" s="28" t="s">
        <v>4867</v>
      </c>
      <c r="J1565" s="346" t="str">
        <f t="shared" si="19"/>
        <v/>
      </c>
      <c r="K1565" s="28" t="str">
        <f t="shared" si="24"/>
        <v/>
      </c>
      <c r="L1565" s="45" t="str">
        <f t="shared" si="25"/>
        <v/>
      </c>
      <c r="M1565" s="45" t="str">
        <f t="shared" si="26"/>
        <v/>
      </c>
      <c r="N1565" s="45">
        <f t="shared" si="27"/>
        <v>1</v>
      </c>
      <c r="O1565" s="45" t="str">
        <f t="shared" si="28"/>
        <v/>
      </c>
      <c r="P1565" s="45" t="str">
        <f t="shared" si="29"/>
        <v/>
      </c>
    </row>
    <row r="1566" spans="1:16" ht="17.25">
      <c r="A1566" s="276" t="s">
        <v>6742</v>
      </c>
      <c r="B1566" s="277">
        <v>2013</v>
      </c>
      <c r="C1566" s="276"/>
      <c r="D1566" s="277">
        <v>23348979</v>
      </c>
      <c r="E1566" s="278" t="str">
        <f t="shared" si="23"/>
        <v>https://pubmed.ncbi.nlm.nih.gov/23348979</v>
      </c>
      <c r="F1566" s="28" t="s">
        <v>511</v>
      </c>
      <c r="G1566" s="28" t="s">
        <v>4744</v>
      </c>
      <c r="J1566" s="346" t="str">
        <f t="shared" si="19"/>
        <v/>
      </c>
      <c r="K1566" s="28" t="str">
        <f t="shared" si="24"/>
        <v/>
      </c>
      <c r="L1566" s="45" t="str">
        <f t="shared" si="25"/>
        <v/>
      </c>
      <c r="M1566" s="45" t="str">
        <f t="shared" si="26"/>
        <v/>
      </c>
      <c r="N1566" s="45">
        <f t="shared" si="27"/>
        <v>1</v>
      </c>
      <c r="O1566" s="45" t="str">
        <f t="shared" si="28"/>
        <v/>
      </c>
      <c r="P1566" s="45" t="str">
        <f t="shared" si="29"/>
        <v/>
      </c>
    </row>
    <row r="1567" spans="1:16" ht="17.25">
      <c r="A1567" s="276" t="s">
        <v>6743</v>
      </c>
      <c r="B1567" s="277">
        <v>2014</v>
      </c>
      <c r="C1567" s="276"/>
      <c r="D1567" s="277">
        <v>25115871</v>
      </c>
      <c r="E1567" s="278" t="str">
        <f t="shared" si="23"/>
        <v>https://pubmed.ncbi.nlm.nih.gov/25115871</v>
      </c>
      <c r="F1567" s="28" t="s">
        <v>511</v>
      </c>
      <c r="G1567" s="28" t="s">
        <v>5157</v>
      </c>
      <c r="J1567" s="346" t="str">
        <f t="shared" si="19"/>
        <v/>
      </c>
      <c r="K1567" s="28" t="str">
        <f t="shared" si="24"/>
        <v/>
      </c>
      <c r="L1567" s="45" t="str">
        <f t="shared" si="25"/>
        <v/>
      </c>
      <c r="M1567" s="45" t="str">
        <f t="shared" si="26"/>
        <v/>
      </c>
      <c r="N1567" s="45">
        <f t="shared" si="27"/>
        <v>1</v>
      </c>
      <c r="O1567" s="45" t="str">
        <f t="shared" si="28"/>
        <v/>
      </c>
      <c r="P1567" s="45" t="str">
        <f t="shared" si="29"/>
        <v/>
      </c>
    </row>
    <row r="1568" spans="1:16" ht="17.25">
      <c r="A1568" s="276" t="s">
        <v>6744</v>
      </c>
      <c r="B1568" s="277">
        <v>2013</v>
      </c>
      <c r="C1568" s="276"/>
      <c r="D1568" s="277">
        <v>23053677</v>
      </c>
      <c r="E1568" s="278" t="str">
        <f t="shared" si="23"/>
        <v>https://pubmed.ncbi.nlm.nih.gov/23053677</v>
      </c>
      <c r="F1568" s="28" t="s">
        <v>511</v>
      </c>
      <c r="G1568" s="28" t="s">
        <v>4867</v>
      </c>
      <c r="J1568" s="346" t="str">
        <f t="shared" si="19"/>
        <v/>
      </c>
      <c r="K1568" s="28" t="str">
        <f t="shared" si="24"/>
        <v/>
      </c>
      <c r="L1568" s="45" t="str">
        <f t="shared" si="25"/>
        <v/>
      </c>
      <c r="M1568" s="45" t="str">
        <f t="shared" si="26"/>
        <v/>
      </c>
      <c r="N1568" s="45">
        <f t="shared" si="27"/>
        <v>1</v>
      </c>
      <c r="O1568" s="45" t="str">
        <f t="shared" si="28"/>
        <v/>
      </c>
      <c r="P1568" s="45" t="str">
        <f t="shared" si="29"/>
        <v/>
      </c>
    </row>
    <row r="1569" spans="1:16" ht="17.25">
      <c r="A1569" s="276" t="s">
        <v>6745</v>
      </c>
      <c r="B1569" s="277">
        <v>2008</v>
      </c>
      <c r="C1569" s="276"/>
      <c r="D1569" s="277">
        <v>19137906</v>
      </c>
      <c r="E1569" s="278" t="str">
        <f t="shared" si="23"/>
        <v>https://pubmed.ncbi.nlm.nih.gov/19137906</v>
      </c>
      <c r="F1569" s="28" t="s">
        <v>511</v>
      </c>
      <c r="G1569" s="28" t="s">
        <v>4744</v>
      </c>
      <c r="J1569" s="346" t="str">
        <f t="shared" si="19"/>
        <v/>
      </c>
      <c r="K1569" s="28" t="str">
        <f t="shared" si="24"/>
        <v/>
      </c>
      <c r="L1569" s="45" t="str">
        <f t="shared" si="25"/>
        <v/>
      </c>
      <c r="M1569" s="45" t="str">
        <f t="shared" si="26"/>
        <v/>
      </c>
      <c r="N1569" s="45">
        <f t="shared" si="27"/>
        <v>1</v>
      </c>
      <c r="O1569" s="45" t="str">
        <f t="shared" si="28"/>
        <v/>
      </c>
      <c r="P1569" s="45" t="str">
        <f t="shared" si="29"/>
        <v/>
      </c>
    </row>
    <row r="1570" spans="1:16" ht="17.25">
      <c r="A1570" s="276" t="s">
        <v>6746</v>
      </c>
      <c r="B1570" s="277">
        <v>2020</v>
      </c>
      <c r="C1570" s="276" t="s">
        <v>6747</v>
      </c>
      <c r="D1570" s="277">
        <v>33256617</v>
      </c>
      <c r="E1570" s="278" t="str">
        <f t="shared" si="23"/>
        <v>https://pubmed.ncbi.nlm.nih.gov/33256617</v>
      </c>
      <c r="F1570" s="28" t="s">
        <v>511</v>
      </c>
      <c r="G1570" s="28" t="s">
        <v>6458</v>
      </c>
      <c r="J1570" s="346" t="str">
        <f t="shared" si="19"/>
        <v/>
      </c>
      <c r="K1570" s="28">
        <f t="shared" si="24"/>
        <v>1</v>
      </c>
      <c r="L1570" s="45" t="str">
        <f t="shared" si="25"/>
        <v/>
      </c>
      <c r="M1570" s="45" t="str">
        <f t="shared" si="26"/>
        <v/>
      </c>
      <c r="N1570" s="45" t="str">
        <f t="shared" si="27"/>
        <v/>
      </c>
      <c r="O1570" s="45" t="str">
        <f t="shared" si="28"/>
        <v/>
      </c>
      <c r="P1570" s="45" t="str">
        <f t="shared" si="29"/>
        <v/>
      </c>
    </row>
    <row r="1571" spans="1:16" ht="17.25">
      <c r="A1571" s="276" t="s">
        <v>6748</v>
      </c>
      <c r="B1571" s="277">
        <v>2001</v>
      </c>
      <c r="C1571" s="276"/>
      <c r="D1571" s="277">
        <v>11534883</v>
      </c>
      <c r="E1571" s="278" t="str">
        <f t="shared" si="23"/>
        <v>https://pubmed.ncbi.nlm.nih.gov/11534883</v>
      </c>
      <c r="F1571" s="28" t="s">
        <v>511</v>
      </c>
      <c r="G1571" s="28" t="s">
        <v>5157</v>
      </c>
      <c r="J1571" s="346" t="str">
        <f t="shared" si="19"/>
        <v/>
      </c>
      <c r="K1571" s="28" t="str">
        <f t="shared" si="24"/>
        <v/>
      </c>
      <c r="L1571" s="45" t="str">
        <f t="shared" si="25"/>
        <v/>
      </c>
      <c r="M1571" s="45" t="str">
        <f t="shared" si="26"/>
        <v/>
      </c>
      <c r="N1571" s="45">
        <f t="shared" si="27"/>
        <v>1</v>
      </c>
      <c r="O1571" s="45" t="str">
        <f t="shared" si="28"/>
        <v/>
      </c>
      <c r="P1571" s="45" t="str">
        <f t="shared" si="29"/>
        <v/>
      </c>
    </row>
    <row r="1572" spans="1:16" ht="17.25">
      <c r="A1572" s="276" t="s">
        <v>6749</v>
      </c>
      <c r="B1572" s="277">
        <v>2013</v>
      </c>
      <c r="C1572" s="276" t="s">
        <v>6750</v>
      </c>
      <c r="D1572" s="277">
        <v>23543664</v>
      </c>
      <c r="E1572" s="278" t="str">
        <f t="shared" si="23"/>
        <v>https://pubmed.ncbi.nlm.nih.gov/23543664</v>
      </c>
      <c r="F1572" s="28" t="s">
        <v>511</v>
      </c>
      <c r="G1572" s="28" t="s">
        <v>4592</v>
      </c>
      <c r="J1572" s="346">
        <f t="shared" si="19"/>
        <v>1</v>
      </c>
      <c r="K1572" s="28" t="str">
        <f t="shared" si="24"/>
        <v/>
      </c>
      <c r="L1572" s="45" t="str">
        <f t="shared" si="25"/>
        <v/>
      </c>
      <c r="M1572" s="45" t="str">
        <f t="shared" si="26"/>
        <v/>
      </c>
      <c r="N1572" s="45" t="str">
        <f t="shared" si="27"/>
        <v/>
      </c>
      <c r="O1572" s="45" t="str">
        <f t="shared" si="28"/>
        <v/>
      </c>
      <c r="P1572" s="45" t="str">
        <f t="shared" si="29"/>
        <v/>
      </c>
    </row>
    <row r="1573" spans="1:16" ht="17.25">
      <c r="A1573" s="276" t="s">
        <v>6751</v>
      </c>
      <c r="B1573" s="277">
        <v>2017</v>
      </c>
      <c r="C1573" s="276" t="s">
        <v>6752</v>
      </c>
      <c r="D1573" s="277">
        <v>28050885</v>
      </c>
      <c r="E1573" s="278" t="str">
        <f t="shared" si="23"/>
        <v>https://pubmed.ncbi.nlm.nih.gov/28050885</v>
      </c>
      <c r="F1573" s="28" t="s">
        <v>511</v>
      </c>
      <c r="G1573" s="28" t="s">
        <v>6753</v>
      </c>
      <c r="J1573" s="346" t="str">
        <f t="shared" si="19"/>
        <v/>
      </c>
      <c r="K1573" s="28" t="str">
        <f t="shared" si="24"/>
        <v/>
      </c>
      <c r="L1573" s="45" t="str">
        <f t="shared" si="25"/>
        <v/>
      </c>
      <c r="M1573" s="45" t="str">
        <f t="shared" si="26"/>
        <v/>
      </c>
      <c r="N1573" s="45">
        <f t="shared" si="27"/>
        <v>1</v>
      </c>
      <c r="O1573" s="45" t="str">
        <f t="shared" si="28"/>
        <v/>
      </c>
      <c r="P1573" s="45" t="str">
        <f t="shared" si="29"/>
        <v/>
      </c>
    </row>
    <row r="1574" spans="1:16" ht="17.25">
      <c r="A1574" s="276" t="s">
        <v>6754</v>
      </c>
      <c r="B1574" s="277">
        <v>2015</v>
      </c>
      <c r="C1574" s="276"/>
      <c r="D1574" s="277">
        <v>26263297</v>
      </c>
      <c r="E1574" s="278" t="str">
        <f t="shared" si="23"/>
        <v>https://pubmed.ncbi.nlm.nih.gov/26263297</v>
      </c>
      <c r="F1574" s="28" t="s">
        <v>511</v>
      </c>
      <c r="G1574" s="28" t="s">
        <v>4592</v>
      </c>
      <c r="J1574" s="346">
        <f t="shared" si="19"/>
        <v>1</v>
      </c>
      <c r="K1574" s="28" t="str">
        <f t="shared" si="24"/>
        <v/>
      </c>
      <c r="L1574" s="45" t="str">
        <f t="shared" si="25"/>
        <v/>
      </c>
      <c r="M1574" s="45" t="str">
        <f t="shared" si="26"/>
        <v/>
      </c>
      <c r="N1574" s="45" t="str">
        <f t="shared" si="27"/>
        <v/>
      </c>
      <c r="O1574" s="45" t="str">
        <f t="shared" si="28"/>
        <v/>
      </c>
      <c r="P1574" s="45" t="str">
        <f t="shared" si="29"/>
        <v/>
      </c>
    </row>
    <row r="1575" spans="1:16" ht="17.25">
      <c r="A1575" s="276" t="s">
        <v>6755</v>
      </c>
      <c r="B1575" s="277">
        <v>2017</v>
      </c>
      <c r="C1575" s="276"/>
      <c r="D1575" s="277">
        <v>27717113</v>
      </c>
      <c r="E1575" s="278" t="str">
        <f t="shared" si="23"/>
        <v>https://pubmed.ncbi.nlm.nih.gov/27717113</v>
      </c>
      <c r="F1575" s="28" t="s">
        <v>511</v>
      </c>
      <c r="G1575" s="28" t="s">
        <v>5157</v>
      </c>
      <c r="J1575" s="346" t="str">
        <f t="shared" si="19"/>
        <v/>
      </c>
      <c r="K1575" s="28" t="str">
        <f t="shared" si="24"/>
        <v/>
      </c>
      <c r="L1575" s="45" t="str">
        <f t="shared" si="25"/>
        <v/>
      </c>
      <c r="M1575" s="45" t="str">
        <f t="shared" si="26"/>
        <v/>
      </c>
      <c r="N1575" s="45">
        <f t="shared" si="27"/>
        <v>1</v>
      </c>
      <c r="O1575" s="45" t="str">
        <f t="shared" si="28"/>
        <v/>
      </c>
      <c r="P1575" s="45" t="str">
        <f t="shared" si="29"/>
        <v/>
      </c>
    </row>
    <row r="1576" spans="1:16" ht="17.25">
      <c r="A1576" s="276" t="s">
        <v>6756</v>
      </c>
      <c r="B1576" s="277">
        <v>2001</v>
      </c>
      <c r="C1576" s="276"/>
      <c r="D1576" s="277">
        <v>11511404</v>
      </c>
      <c r="E1576" s="278" t="str">
        <f t="shared" si="23"/>
        <v>https://pubmed.ncbi.nlm.nih.gov/11511404</v>
      </c>
      <c r="F1576" s="28" t="s">
        <v>511</v>
      </c>
      <c r="G1576" s="28" t="s">
        <v>4744</v>
      </c>
      <c r="J1576" s="346" t="str">
        <f t="shared" si="19"/>
        <v/>
      </c>
      <c r="K1576" s="28" t="str">
        <f t="shared" si="24"/>
        <v/>
      </c>
      <c r="L1576" s="45" t="str">
        <f t="shared" si="25"/>
        <v/>
      </c>
      <c r="M1576" s="45" t="str">
        <f t="shared" si="26"/>
        <v/>
      </c>
      <c r="N1576" s="45">
        <f t="shared" si="27"/>
        <v>1</v>
      </c>
      <c r="O1576" s="45" t="str">
        <f t="shared" si="28"/>
        <v/>
      </c>
      <c r="P1576" s="45" t="str">
        <f t="shared" si="29"/>
        <v/>
      </c>
    </row>
    <row r="1577" spans="1:16" ht="17.25">
      <c r="A1577" s="276" t="s">
        <v>6757</v>
      </c>
      <c r="B1577" s="277">
        <v>2016</v>
      </c>
      <c r="C1577" s="276"/>
      <c r="D1577" s="277">
        <v>27363652</v>
      </c>
      <c r="E1577" s="278" t="str">
        <f t="shared" si="23"/>
        <v>https://pubmed.ncbi.nlm.nih.gov/27363652</v>
      </c>
      <c r="F1577" s="28" t="s">
        <v>511</v>
      </c>
      <c r="G1577" s="28" t="s">
        <v>6220</v>
      </c>
      <c r="J1577" s="346">
        <f t="shared" si="19"/>
        <v>1</v>
      </c>
      <c r="K1577" s="28" t="str">
        <f t="shared" si="24"/>
        <v/>
      </c>
      <c r="L1577" s="45" t="str">
        <f t="shared" si="25"/>
        <v/>
      </c>
      <c r="M1577" s="45" t="str">
        <f t="shared" si="26"/>
        <v/>
      </c>
      <c r="N1577" s="45" t="str">
        <f t="shared" si="27"/>
        <v/>
      </c>
      <c r="O1577" s="45" t="str">
        <f t="shared" si="28"/>
        <v/>
      </c>
      <c r="P1577" s="45" t="str">
        <f t="shared" si="29"/>
        <v/>
      </c>
    </row>
    <row r="1578" spans="1:16" ht="17.25">
      <c r="A1578" s="276" t="s">
        <v>6758</v>
      </c>
      <c r="B1578" s="277">
        <v>2016</v>
      </c>
      <c r="C1578" s="276" t="s">
        <v>6759</v>
      </c>
      <c r="D1578" s="277">
        <v>27797129</v>
      </c>
      <c r="E1578" s="278" t="str">
        <f t="shared" si="23"/>
        <v>https://pubmed.ncbi.nlm.nih.gov/27797129</v>
      </c>
      <c r="F1578" s="28" t="s">
        <v>511</v>
      </c>
      <c r="G1578" s="28" t="s">
        <v>4592</v>
      </c>
      <c r="J1578" s="346">
        <f t="shared" si="19"/>
        <v>1</v>
      </c>
      <c r="K1578" s="28" t="str">
        <f t="shared" si="24"/>
        <v/>
      </c>
      <c r="L1578" s="45" t="str">
        <f t="shared" si="25"/>
        <v/>
      </c>
      <c r="M1578" s="45" t="str">
        <f t="shared" si="26"/>
        <v/>
      </c>
      <c r="N1578" s="45" t="str">
        <f t="shared" si="27"/>
        <v/>
      </c>
      <c r="O1578" s="45" t="str">
        <f t="shared" si="28"/>
        <v/>
      </c>
      <c r="P1578" s="45" t="str">
        <f t="shared" si="29"/>
        <v/>
      </c>
    </row>
    <row r="1579" spans="1:16" ht="17.25">
      <c r="A1579" s="276" t="s">
        <v>6760</v>
      </c>
      <c r="B1579" s="277">
        <v>2006</v>
      </c>
      <c r="C1579" s="276" t="s">
        <v>6761</v>
      </c>
      <c r="D1579" s="277">
        <v>16801419</v>
      </c>
      <c r="E1579" s="278" t="str">
        <f t="shared" si="23"/>
        <v>https://pubmed.ncbi.nlm.nih.gov/16801419</v>
      </c>
      <c r="F1579" s="28" t="s">
        <v>511</v>
      </c>
      <c r="G1579" s="28" t="s">
        <v>4744</v>
      </c>
      <c r="J1579" s="346" t="str">
        <f t="shared" si="19"/>
        <v/>
      </c>
      <c r="K1579" s="28" t="str">
        <f t="shared" si="24"/>
        <v/>
      </c>
      <c r="L1579" s="45" t="str">
        <f t="shared" si="25"/>
        <v/>
      </c>
      <c r="M1579" s="45" t="str">
        <f t="shared" si="26"/>
        <v/>
      </c>
      <c r="N1579" s="45">
        <f t="shared" si="27"/>
        <v>1</v>
      </c>
      <c r="O1579" s="45" t="str">
        <f t="shared" si="28"/>
        <v/>
      </c>
      <c r="P1579" s="45" t="str">
        <f t="shared" si="29"/>
        <v/>
      </c>
    </row>
    <row r="1580" spans="1:16" ht="17.25">
      <c r="A1580" s="276" t="s">
        <v>6762</v>
      </c>
      <c r="B1580" s="277">
        <v>2020</v>
      </c>
      <c r="C1580" s="276" t="s">
        <v>6763</v>
      </c>
      <c r="D1580" s="277">
        <v>32444482</v>
      </c>
      <c r="E1580" s="278" t="str">
        <f t="shared" si="23"/>
        <v>https://pubmed.ncbi.nlm.nih.gov/32444482</v>
      </c>
      <c r="F1580" s="28" t="s">
        <v>511</v>
      </c>
      <c r="G1580" s="28" t="s">
        <v>6220</v>
      </c>
      <c r="J1580" s="346">
        <f t="shared" si="19"/>
        <v>1</v>
      </c>
      <c r="K1580" s="28" t="str">
        <f t="shared" si="24"/>
        <v/>
      </c>
      <c r="L1580" s="45" t="str">
        <f t="shared" si="25"/>
        <v/>
      </c>
      <c r="M1580" s="45" t="str">
        <f t="shared" si="26"/>
        <v/>
      </c>
      <c r="N1580" s="45" t="str">
        <f t="shared" si="27"/>
        <v/>
      </c>
      <c r="O1580" s="45" t="str">
        <f t="shared" si="28"/>
        <v/>
      </c>
      <c r="P1580" s="45" t="str">
        <f t="shared" si="29"/>
        <v/>
      </c>
    </row>
    <row r="1581" spans="1:16" ht="17.25">
      <c r="A1581" s="276" t="s">
        <v>704</v>
      </c>
      <c r="B1581" s="277">
        <v>2020</v>
      </c>
      <c r="C1581" s="276" t="s">
        <v>4104</v>
      </c>
      <c r="D1581" s="277">
        <v>31712214</v>
      </c>
      <c r="E1581" s="278" t="str">
        <f t="shared" si="23"/>
        <v>https://pubmed.ncbi.nlm.nih.gov/31712214</v>
      </c>
      <c r="H1581" s="28" t="s">
        <v>511</v>
      </c>
      <c r="J1581" s="346" t="str">
        <f t="shared" si="19"/>
        <v/>
      </c>
      <c r="K1581" s="28" t="str">
        <f t="shared" si="24"/>
        <v/>
      </c>
      <c r="L1581" s="45" t="str">
        <f t="shared" si="25"/>
        <v/>
      </c>
      <c r="M1581" s="45" t="str">
        <f t="shared" si="26"/>
        <v/>
      </c>
      <c r="N1581" s="45" t="str">
        <f t="shared" si="27"/>
        <v/>
      </c>
      <c r="O1581" s="45" t="str">
        <f t="shared" si="28"/>
        <v/>
      </c>
      <c r="P1581" s="45" t="str">
        <f t="shared" si="29"/>
        <v/>
      </c>
    </row>
    <row r="1582" spans="1:16" ht="17.25">
      <c r="A1582" s="276" t="s">
        <v>358</v>
      </c>
      <c r="B1582" s="277">
        <v>2015</v>
      </c>
      <c r="C1582" s="276"/>
      <c r="D1582" s="277">
        <v>26580997</v>
      </c>
      <c r="E1582" s="278" t="str">
        <f t="shared" si="23"/>
        <v>https://pubmed.ncbi.nlm.nih.gov/26580997</v>
      </c>
      <c r="H1582" s="28" t="s">
        <v>511</v>
      </c>
      <c r="J1582" s="346" t="str">
        <f t="shared" si="19"/>
        <v/>
      </c>
      <c r="K1582" s="28" t="str">
        <f t="shared" si="24"/>
        <v/>
      </c>
      <c r="L1582" s="45" t="str">
        <f t="shared" si="25"/>
        <v/>
      </c>
      <c r="M1582" s="45" t="str">
        <f t="shared" si="26"/>
        <v/>
      </c>
      <c r="N1582" s="45" t="str">
        <f t="shared" si="27"/>
        <v/>
      </c>
      <c r="O1582" s="45" t="str">
        <f t="shared" si="28"/>
        <v/>
      </c>
      <c r="P1582" s="45" t="str">
        <f t="shared" si="29"/>
        <v/>
      </c>
    </row>
    <row r="1583" spans="1:16" ht="17.25">
      <c r="A1583" s="276" t="s">
        <v>358</v>
      </c>
      <c r="B1583" s="277">
        <v>2014</v>
      </c>
      <c r="C1583" s="276"/>
      <c r="D1583" s="277">
        <v>25140957</v>
      </c>
      <c r="E1583" s="278" t="str">
        <f t="shared" si="23"/>
        <v>https://pubmed.ncbi.nlm.nih.gov/25140957</v>
      </c>
      <c r="H1583" s="28" t="s">
        <v>511</v>
      </c>
      <c r="J1583" s="346" t="str">
        <f t="shared" si="19"/>
        <v/>
      </c>
      <c r="K1583" s="28" t="str">
        <f t="shared" si="24"/>
        <v/>
      </c>
      <c r="L1583" s="45" t="str">
        <f t="shared" si="25"/>
        <v/>
      </c>
      <c r="M1583" s="45" t="str">
        <f t="shared" si="26"/>
        <v/>
      </c>
      <c r="N1583" s="45" t="str">
        <f t="shared" si="27"/>
        <v/>
      </c>
      <c r="O1583" s="45" t="str">
        <f t="shared" si="28"/>
        <v/>
      </c>
      <c r="P1583" s="45" t="str">
        <f t="shared" si="29"/>
        <v/>
      </c>
    </row>
    <row r="1584" spans="1:16" ht="17.25">
      <c r="A1584" s="276" t="s">
        <v>6764</v>
      </c>
      <c r="B1584" s="277">
        <v>2012</v>
      </c>
      <c r="C1584" s="276"/>
      <c r="D1584" s="277">
        <v>22226086</v>
      </c>
      <c r="E1584" s="278" t="str">
        <f t="shared" si="23"/>
        <v>https://pubmed.ncbi.nlm.nih.gov/22226086</v>
      </c>
      <c r="F1584" s="28" t="s">
        <v>511</v>
      </c>
      <c r="G1584" s="28" t="s">
        <v>5157</v>
      </c>
      <c r="J1584" s="346" t="str">
        <f t="shared" si="19"/>
        <v/>
      </c>
      <c r="K1584" s="28" t="str">
        <f t="shared" si="24"/>
        <v/>
      </c>
      <c r="L1584" s="45" t="str">
        <f t="shared" si="25"/>
        <v/>
      </c>
      <c r="M1584" s="45" t="str">
        <f t="shared" si="26"/>
        <v/>
      </c>
      <c r="N1584" s="45">
        <f t="shared" si="27"/>
        <v>1</v>
      </c>
      <c r="O1584" s="45" t="str">
        <f t="shared" si="28"/>
        <v/>
      </c>
      <c r="P1584" s="45" t="str">
        <f t="shared" si="29"/>
        <v/>
      </c>
    </row>
    <row r="1585" spans="1:16" ht="17.25">
      <c r="A1585" s="276" t="s">
        <v>6765</v>
      </c>
      <c r="B1585" s="277">
        <v>1994</v>
      </c>
      <c r="C1585" s="276"/>
      <c r="D1585" s="277">
        <v>7956274</v>
      </c>
      <c r="E1585" s="278" t="str">
        <f t="shared" si="23"/>
        <v>https://pubmed.ncbi.nlm.nih.gov/7956274</v>
      </c>
      <c r="F1585" s="28" t="s">
        <v>511</v>
      </c>
      <c r="G1585" s="28" t="s">
        <v>4744</v>
      </c>
      <c r="J1585" s="346" t="str">
        <f t="shared" si="19"/>
        <v/>
      </c>
      <c r="K1585" s="28" t="str">
        <f t="shared" si="24"/>
        <v/>
      </c>
      <c r="L1585" s="45" t="str">
        <f t="shared" si="25"/>
        <v/>
      </c>
      <c r="M1585" s="45" t="str">
        <f t="shared" si="26"/>
        <v/>
      </c>
      <c r="N1585" s="45">
        <f t="shared" si="27"/>
        <v>1</v>
      </c>
      <c r="O1585" s="45" t="str">
        <f t="shared" si="28"/>
        <v/>
      </c>
      <c r="P1585" s="45" t="str">
        <f t="shared" si="29"/>
        <v/>
      </c>
    </row>
    <row r="1586" spans="1:16" ht="17.25">
      <c r="A1586" s="276" t="s">
        <v>6765</v>
      </c>
      <c r="B1586" s="277">
        <v>2003</v>
      </c>
      <c r="C1586" s="276"/>
      <c r="D1586" s="277">
        <v>12712239</v>
      </c>
      <c r="E1586" s="278" t="str">
        <f t="shared" si="23"/>
        <v>https://pubmed.ncbi.nlm.nih.gov/12712239</v>
      </c>
      <c r="F1586" s="28" t="s">
        <v>511</v>
      </c>
      <c r="G1586" s="28" t="s">
        <v>4744</v>
      </c>
      <c r="J1586" s="346" t="str">
        <f t="shared" si="19"/>
        <v/>
      </c>
      <c r="K1586" s="28" t="str">
        <f t="shared" si="24"/>
        <v/>
      </c>
      <c r="L1586" s="45" t="str">
        <f t="shared" si="25"/>
        <v/>
      </c>
      <c r="M1586" s="45" t="str">
        <f t="shared" si="26"/>
        <v/>
      </c>
      <c r="N1586" s="45">
        <f t="shared" si="27"/>
        <v>1</v>
      </c>
      <c r="O1586" s="45" t="str">
        <f t="shared" si="28"/>
        <v/>
      </c>
      <c r="P1586" s="45" t="str">
        <f t="shared" si="29"/>
        <v/>
      </c>
    </row>
    <row r="1587" spans="1:16" ht="17.25">
      <c r="A1587" s="276" t="s">
        <v>6766</v>
      </c>
      <c r="B1587" s="277">
        <v>2018</v>
      </c>
      <c r="C1587" s="276" t="s">
        <v>6767</v>
      </c>
      <c r="D1587" s="277">
        <v>29077527</v>
      </c>
      <c r="E1587" s="278" t="str">
        <f t="shared" si="23"/>
        <v>https://pubmed.ncbi.nlm.nih.gov/29077527</v>
      </c>
      <c r="F1587" s="28" t="s">
        <v>511</v>
      </c>
      <c r="G1587" s="28" t="s">
        <v>4592</v>
      </c>
      <c r="J1587" s="346">
        <f t="shared" si="19"/>
        <v>1</v>
      </c>
      <c r="K1587" s="28" t="str">
        <f t="shared" si="24"/>
        <v/>
      </c>
      <c r="L1587" s="45" t="str">
        <f t="shared" si="25"/>
        <v/>
      </c>
      <c r="M1587" s="45" t="str">
        <f t="shared" si="26"/>
        <v/>
      </c>
      <c r="N1587" s="45" t="str">
        <f t="shared" si="27"/>
        <v/>
      </c>
      <c r="O1587" s="45" t="str">
        <f t="shared" si="28"/>
        <v/>
      </c>
      <c r="P1587" s="45" t="str">
        <f t="shared" si="29"/>
        <v/>
      </c>
    </row>
    <row r="1588" spans="1:16" ht="17.25">
      <c r="A1588" s="276" t="s">
        <v>6768</v>
      </c>
      <c r="B1588" s="277">
        <v>2018</v>
      </c>
      <c r="C1588" s="276"/>
      <c r="D1588" s="277">
        <v>30032682</v>
      </c>
      <c r="E1588" s="278" t="str">
        <f t="shared" si="23"/>
        <v>https://pubmed.ncbi.nlm.nih.gov/30032682</v>
      </c>
      <c r="F1588" s="28" t="s">
        <v>511</v>
      </c>
      <c r="G1588" s="28" t="s">
        <v>4592</v>
      </c>
      <c r="J1588" s="346">
        <f t="shared" si="19"/>
        <v>1</v>
      </c>
      <c r="K1588" s="28" t="str">
        <f t="shared" si="24"/>
        <v/>
      </c>
      <c r="L1588" s="45" t="str">
        <f t="shared" si="25"/>
        <v/>
      </c>
      <c r="M1588" s="45" t="str">
        <f t="shared" si="26"/>
        <v/>
      </c>
      <c r="N1588" s="45" t="str">
        <f t="shared" si="27"/>
        <v/>
      </c>
      <c r="O1588" s="45" t="str">
        <f t="shared" si="28"/>
        <v/>
      </c>
      <c r="P1588" s="45" t="str">
        <f t="shared" si="29"/>
        <v/>
      </c>
    </row>
    <row r="1589" spans="1:16" ht="17.25">
      <c r="A1589" s="276" t="s">
        <v>4014</v>
      </c>
      <c r="B1589" s="277">
        <v>2017</v>
      </c>
      <c r="C1589" s="276" t="s">
        <v>6769</v>
      </c>
      <c r="D1589" s="277">
        <v>28464026</v>
      </c>
      <c r="E1589" s="278" t="str">
        <f t="shared" si="23"/>
        <v>https://pubmed.ncbi.nlm.nih.gov/28464026</v>
      </c>
      <c r="H1589" s="28" t="s">
        <v>511</v>
      </c>
      <c r="J1589" s="346" t="str">
        <f t="shared" si="19"/>
        <v/>
      </c>
      <c r="K1589" s="28" t="str">
        <f t="shared" si="24"/>
        <v/>
      </c>
      <c r="L1589" s="45" t="str">
        <f t="shared" si="25"/>
        <v/>
      </c>
      <c r="M1589" s="45" t="str">
        <f t="shared" si="26"/>
        <v/>
      </c>
      <c r="N1589" s="45" t="str">
        <f t="shared" si="27"/>
        <v/>
      </c>
      <c r="O1589" s="45" t="str">
        <f t="shared" si="28"/>
        <v/>
      </c>
      <c r="P1589" s="45" t="str">
        <f t="shared" si="29"/>
        <v/>
      </c>
    </row>
    <row r="1590" spans="1:16" ht="17.25">
      <c r="A1590" s="276" t="s">
        <v>6770</v>
      </c>
      <c r="B1590" s="277">
        <v>2020</v>
      </c>
      <c r="C1590" s="276"/>
      <c r="D1590" s="277">
        <v>31899506</v>
      </c>
      <c r="E1590" s="278" t="str">
        <f t="shared" si="23"/>
        <v>https://pubmed.ncbi.nlm.nih.gov/31899506</v>
      </c>
      <c r="F1590" s="28" t="s">
        <v>511</v>
      </c>
      <c r="G1590" s="28" t="s">
        <v>6220</v>
      </c>
      <c r="J1590" s="346">
        <f t="shared" si="19"/>
        <v>1</v>
      </c>
      <c r="K1590" s="28" t="str">
        <f t="shared" si="24"/>
        <v/>
      </c>
      <c r="L1590" s="45" t="str">
        <f t="shared" si="25"/>
        <v/>
      </c>
      <c r="M1590" s="45" t="str">
        <f t="shared" si="26"/>
        <v/>
      </c>
      <c r="N1590" s="45" t="str">
        <f t="shared" si="27"/>
        <v/>
      </c>
      <c r="O1590" s="45" t="str">
        <f t="shared" si="28"/>
        <v/>
      </c>
      <c r="P1590" s="45" t="str">
        <f t="shared" si="29"/>
        <v/>
      </c>
    </row>
    <row r="1591" spans="1:16" ht="17.25">
      <c r="A1591" s="276" t="s">
        <v>6771</v>
      </c>
      <c r="B1591" s="277">
        <v>2008</v>
      </c>
      <c r="C1591" s="276"/>
      <c r="D1591" s="277">
        <v>18729535</v>
      </c>
      <c r="E1591" s="278" t="str">
        <f t="shared" si="23"/>
        <v>https://pubmed.ncbi.nlm.nih.gov/18729535</v>
      </c>
      <c r="F1591" s="28" t="s">
        <v>511</v>
      </c>
      <c r="G1591" s="28" t="s">
        <v>6220</v>
      </c>
      <c r="J1591" s="346">
        <f t="shared" si="19"/>
        <v>1</v>
      </c>
      <c r="K1591" s="28" t="str">
        <f t="shared" si="24"/>
        <v/>
      </c>
      <c r="L1591" s="45" t="str">
        <f t="shared" si="25"/>
        <v/>
      </c>
      <c r="M1591" s="45" t="str">
        <f t="shared" si="26"/>
        <v/>
      </c>
      <c r="N1591" s="45" t="str">
        <f t="shared" si="27"/>
        <v/>
      </c>
      <c r="O1591" s="45" t="str">
        <f t="shared" si="28"/>
        <v/>
      </c>
      <c r="P1591" s="45" t="str">
        <f t="shared" si="29"/>
        <v/>
      </c>
    </row>
    <row r="1592" spans="1:16" ht="17.25">
      <c r="A1592" s="276" t="s">
        <v>6772</v>
      </c>
      <c r="B1592" s="277">
        <v>2020</v>
      </c>
      <c r="C1592" s="276" t="s">
        <v>6773</v>
      </c>
      <c r="D1592" s="277">
        <v>32791733</v>
      </c>
      <c r="E1592" s="278" t="str">
        <f t="shared" si="23"/>
        <v>https://pubmed.ncbi.nlm.nih.gov/32791733</v>
      </c>
      <c r="F1592" s="28" t="s">
        <v>511</v>
      </c>
      <c r="G1592" s="28" t="s">
        <v>6458</v>
      </c>
      <c r="J1592" s="346" t="str">
        <f t="shared" si="19"/>
        <v/>
      </c>
      <c r="K1592" s="28">
        <f t="shared" si="24"/>
        <v>1</v>
      </c>
      <c r="L1592" s="45" t="str">
        <f t="shared" si="25"/>
        <v/>
      </c>
      <c r="M1592" s="45" t="str">
        <f t="shared" si="26"/>
        <v/>
      </c>
      <c r="N1592" s="45" t="str">
        <f t="shared" si="27"/>
        <v/>
      </c>
      <c r="O1592" s="45" t="str">
        <f t="shared" si="28"/>
        <v/>
      </c>
      <c r="P1592" s="45" t="str">
        <f t="shared" si="29"/>
        <v/>
      </c>
    </row>
    <row r="1593" spans="1:16" ht="17.25">
      <c r="A1593" s="276" t="s">
        <v>6774</v>
      </c>
      <c r="B1593" s="277">
        <v>2019</v>
      </c>
      <c r="C1593" s="276" t="s">
        <v>6775</v>
      </c>
      <c r="D1593" s="277">
        <v>30621791</v>
      </c>
      <c r="E1593" s="278" t="str">
        <f t="shared" si="23"/>
        <v>https://pubmed.ncbi.nlm.nih.gov/30621791</v>
      </c>
      <c r="F1593" s="28" t="s">
        <v>511</v>
      </c>
      <c r="G1593" s="28" t="s">
        <v>5299</v>
      </c>
      <c r="J1593" s="346" t="str">
        <f t="shared" si="19"/>
        <v/>
      </c>
      <c r="K1593" s="28" t="str">
        <f t="shared" si="24"/>
        <v/>
      </c>
      <c r="L1593" s="45" t="str">
        <f t="shared" si="25"/>
        <v/>
      </c>
      <c r="M1593" s="45" t="str">
        <f t="shared" si="26"/>
        <v/>
      </c>
      <c r="N1593" s="45">
        <f t="shared" si="27"/>
        <v>1</v>
      </c>
      <c r="O1593" s="45" t="str">
        <f t="shared" si="28"/>
        <v/>
      </c>
      <c r="P1593" s="45" t="str">
        <f t="shared" si="29"/>
        <v/>
      </c>
    </row>
    <row r="1594" spans="1:16" ht="17.25">
      <c r="A1594" s="276" t="s">
        <v>6776</v>
      </c>
      <c r="B1594" s="277">
        <v>2020</v>
      </c>
      <c r="C1594" s="276"/>
      <c r="D1594" s="277">
        <v>32674594</v>
      </c>
      <c r="E1594" s="278" t="str">
        <f t="shared" si="23"/>
        <v>https://pubmed.ncbi.nlm.nih.gov/32674594</v>
      </c>
      <c r="F1594" s="28" t="s">
        <v>511</v>
      </c>
      <c r="G1594" s="28" t="s">
        <v>4592</v>
      </c>
      <c r="J1594" s="346">
        <f t="shared" si="19"/>
        <v>1</v>
      </c>
      <c r="K1594" s="28" t="str">
        <f t="shared" si="24"/>
        <v/>
      </c>
      <c r="L1594" s="45" t="str">
        <f t="shared" si="25"/>
        <v/>
      </c>
      <c r="M1594" s="45" t="str">
        <f t="shared" si="26"/>
        <v/>
      </c>
      <c r="N1594" s="45" t="str">
        <f t="shared" si="27"/>
        <v/>
      </c>
      <c r="O1594" s="45" t="str">
        <f t="shared" si="28"/>
        <v/>
      </c>
      <c r="P1594" s="45" t="str">
        <f t="shared" si="29"/>
        <v/>
      </c>
    </row>
    <row r="1595" spans="1:16" ht="17.25">
      <c r="A1595" s="276" t="s">
        <v>6777</v>
      </c>
      <c r="B1595" s="277">
        <v>2014</v>
      </c>
      <c r="C1595" s="276" t="s">
        <v>6778</v>
      </c>
      <c r="D1595" s="277">
        <v>25053420</v>
      </c>
      <c r="E1595" s="278" t="str">
        <f t="shared" si="23"/>
        <v>https://pubmed.ncbi.nlm.nih.gov/25053420</v>
      </c>
      <c r="F1595" s="28" t="s">
        <v>511</v>
      </c>
      <c r="G1595" s="28" t="s">
        <v>6779</v>
      </c>
      <c r="J1595" s="346" t="str">
        <f t="shared" si="19"/>
        <v/>
      </c>
      <c r="K1595" s="28" t="str">
        <f t="shared" si="24"/>
        <v/>
      </c>
      <c r="L1595" s="45" t="str">
        <f t="shared" si="25"/>
        <v/>
      </c>
      <c r="M1595" s="45" t="str">
        <f t="shared" si="26"/>
        <v/>
      </c>
      <c r="N1595" s="45" t="str">
        <f t="shared" si="27"/>
        <v/>
      </c>
      <c r="O1595" s="45">
        <f t="shared" si="28"/>
        <v>1</v>
      </c>
      <c r="P1595" s="45" t="str">
        <f t="shared" si="29"/>
        <v/>
      </c>
    </row>
    <row r="1596" spans="1:16" ht="17.25">
      <c r="A1596" s="276" t="s">
        <v>6780</v>
      </c>
      <c r="B1596" s="277">
        <v>2016</v>
      </c>
      <c r="C1596" s="276"/>
      <c r="D1596" s="277">
        <v>27741339</v>
      </c>
      <c r="E1596" s="278" t="str">
        <f t="shared" si="23"/>
        <v>https://pubmed.ncbi.nlm.nih.gov/27741339</v>
      </c>
      <c r="F1596" s="28" t="s">
        <v>511</v>
      </c>
      <c r="G1596" s="28" t="s">
        <v>4867</v>
      </c>
      <c r="J1596" s="346" t="str">
        <f t="shared" si="19"/>
        <v/>
      </c>
      <c r="K1596" s="28" t="str">
        <f t="shared" si="24"/>
        <v/>
      </c>
      <c r="L1596" s="45" t="str">
        <f t="shared" si="25"/>
        <v/>
      </c>
      <c r="M1596" s="45" t="str">
        <f t="shared" si="26"/>
        <v/>
      </c>
      <c r="N1596" s="45">
        <f t="shared" si="27"/>
        <v>1</v>
      </c>
      <c r="O1596" s="45" t="str">
        <f t="shared" si="28"/>
        <v/>
      </c>
      <c r="P1596" s="45" t="str">
        <f t="shared" si="29"/>
        <v/>
      </c>
    </row>
    <row r="1597" spans="1:16" ht="17.25">
      <c r="A1597" s="276" t="s">
        <v>6781</v>
      </c>
      <c r="B1597" s="277">
        <v>2019</v>
      </c>
      <c r="C1597" s="276"/>
      <c r="D1597" s="277">
        <v>31179779</v>
      </c>
      <c r="E1597" s="278" t="str">
        <f t="shared" si="23"/>
        <v>https://pubmed.ncbi.nlm.nih.gov/31179779</v>
      </c>
      <c r="F1597" s="28" t="s">
        <v>511</v>
      </c>
      <c r="G1597" s="28" t="s">
        <v>4867</v>
      </c>
      <c r="J1597" s="346" t="str">
        <f t="shared" si="19"/>
        <v/>
      </c>
      <c r="K1597" s="28" t="str">
        <f t="shared" si="24"/>
        <v/>
      </c>
      <c r="L1597" s="45" t="str">
        <f t="shared" si="25"/>
        <v/>
      </c>
      <c r="M1597" s="45" t="str">
        <f t="shared" si="26"/>
        <v/>
      </c>
      <c r="N1597" s="45">
        <f t="shared" si="27"/>
        <v>1</v>
      </c>
      <c r="O1597" s="45" t="str">
        <f t="shared" si="28"/>
        <v/>
      </c>
      <c r="P1597" s="45" t="str">
        <f t="shared" si="29"/>
        <v/>
      </c>
    </row>
    <row r="1598" spans="1:16" ht="17.25">
      <c r="A1598" s="276" t="s">
        <v>6782</v>
      </c>
      <c r="B1598" s="277">
        <v>2009</v>
      </c>
      <c r="C1598" s="276"/>
      <c r="D1598" s="277">
        <v>19246990</v>
      </c>
      <c r="E1598" s="278" t="str">
        <f t="shared" si="23"/>
        <v>https://pubmed.ncbi.nlm.nih.gov/19246990</v>
      </c>
      <c r="F1598" s="28" t="s">
        <v>511</v>
      </c>
      <c r="G1598" s="28" t="s">
        <v>4744</v>
      </c>
      <c r="J1598" s="346" t="str">
        <f t="shared" si="19"/>
        <v/>
      </c>
      <c r="K1598" s="28" t="str">
        <f t="shared" si="24"/>
        <v/>
      </c>
      <c r="L1598" s="45" t="str">
        <f t="shared" si="25"/>
        <v/>
      </c>
      <c r="M1598" s="45" t="str">
        <f t="shared" si="26"/>
        <v/>
      </c>
      <c r="N1598" s="45">
        <f t="shared" si="27"/>
        <v>1</v>
      </c>
      <c r="O1598" s="45" t="str">
        <f t="shared" si="28"/>
        <v/>
      </c>
      <c r="P1598" s="45" t="str">
        <f t="shared" si="29"/>
        <v/>
      </c>
    </row>
    <row r="1599" spans="1:16" ht="17.25">
      <c r="A1599" s="276" t="s">
        <v>6783</v>
      </c>
      <c r="B1599" s="277">
        <v>2011</v>
      </c>
      <c r="C1599" s="276" t="s">
        <v>6784</v>
      </c>
      <c r="D1599" s="277">
        <v>21291629</v>
      </c>
      <c r="E1599" s="278" t="str">
        <f t="shared" si="23"/>
        <v>https://pubmed.ncbi.nlm.nih.gov/21291629</v>
      </c>
      <c r="F1599" s="28" t="s">
        <v>511</v>
      </c>
      <c r="G1599" s="28" t="s">
        <v>4592</v>
      </c>
      <c r="J1599" s="346">
        <f t="shared" si="19"/>
        <v>1</v>
      </c>
      <c r="K1599" s="28" t="str">
        <f t="shared" si="24"/>
        <v/>
      </c>
      <c r="L1599" s="45" t="str">
        <f t="shared" si="25"/>
        <v/>
      </c>
      <c r="M1599" s="45" t="str">
        <f t="shared" si="26"/>
        <v/>
      </c>
      <c r="N1599" s="45" t="str">
        <f t="shared" si="27"/>
        <v/>
      </c>
      <c r="O1599" s="45" t="str">
        <f t="shared" si="28"/>
        <v/>
      </c>
      <c r="P1599" s="45" t="str">
        <f t="shared" si="29"/>
        <v/>
      </c>
    </row>
    <row r="1600" spans="1:16" ht="17.25">
      <c r="A1600" s="276" t="s">
        <v>6785</v>
      </c>
      <c r="B1600" s="277">
        <v>2001</v>
      </c>
      <c r="C1600" s="276"/>
      <c r="D1600" s="277">
        <v>11310443</v>
      </c>
      <c r="E1600" s="278" t="str">
        <f t="shared" si="23"/>
        <v>https://pubmed.ncbi.nlm.nih.gov/11310443</v>
      </c>
      <c r="F1600" s="28" t="s">
        <v>511</v>
      </c>
      <c r="G1600" s="28" t="s">
        <v>4592</v>
      </c>
      <c r="J1600" s="346">
        <f t="shared" si="19"/>
        <v>1</v>
      </c>
      <c r="K1600" s="28" t="str">
        <f t="shared" si="24"/>
        <v/>
      </c>
      <c r="L1600" s="45" t="str">
        <f t="shared" si="25"/>
        <v/>
      </c>
      <c r="M1600" s="45" t="str">
        <f t="shared" si="26"/>
        <v/>
      </c>
      <c r="N1600" s="45" t="str">
        <f t="shared" si="27"/>
        <v/>
      </c>
      <c r="O1600" s="45" t="str">
        <f t="shared" si="28"/>
        <v/>
      </c>
      <c r="P1600" s="45" t="str">
        <f t="shared" si="29"/>
        <v/>
      </c>
    </row>
    <row r="1601" spans="1:16" ht="17.25">
      <c r="A1601" s="276" t="s">
        <v>6786</v>
      </c>
      <c r="B1601" s="277">
        <v>2000</v>
      </c>
      <c r="C1601" s="276"/>
      <c r="D1601" s="277">
        <v>10632735</v>
      </c>
      <c r="E1601" s="278" t="str">
        <f t="shared" si="23"/>
        <v>https://pubmed.ncbi.nlm.nih.gov/10632735</v>
      </c>
      <c r="F1601" s="28" t="s">
        <v>511</v>
      </c>
      <c r="G1601" s="28" t="s">
        <v>4744</v>
      </c>
      <c r="J1601" s="346" t="str">
        <f t="shared" si="19"/>
        <v/>
      </c>
      <c r="K1601" s="28" t="str">
        <f t="shared" si="24"/>
        <v/>
      </c>
      <c r="L1601" s="45" t="str">
        <f t="shared" si="25"/>
        <v/>
      </c>
      <c r="M1601" s="45" t="str">
        <f t="shared" si="26"/>
        <v/>
      </c>
      <c r="N1601" s="45">
        <f t="shared" si="27"/>
        <v>1</v>
      </c>
      <c r="O1601" s="45" t="str">
        <f t="shared" si="28"/>
        <v/>
      </c>
      <c r="P1601" s="45" t="str">
        <f t="shared" si="29"/>
        <v/>
      </c>
    </row>
    <row r="1602" spans="1:16" ht="17.25">
      <c r="A1602" s="276" t="s">
        <v>6787</v>
      </c>
      <c r="B1602" s="277">
        <v>2017</v>
      </c>
      <c r="C1602" s="276"/>
      <c r="D1602" s="277">
        <v>28906284</v>
      </c>
      <c r="E1602" s="278" t="str">
        <f t="shared" si="23"/>
        <v>https://pubmed.ncbi.nlm.nih.gov/28906284</v>
      </c>
      <c r="F1602" s="28" t="s">
        <v>511</v>
      </c>
      <c r="G1602" s="28" t="s">
        <v>6788</v>
      </c>
      <c r="J1602" s="346" t="str">
        <f t="shared" si="19"/>
        <v/>
      </c>
      <c r="K1602" s="28" t="str">
        <f t="shared" si="24"/>
        <v/>
      </c>
      <c r="L1602" s="45" t="str">
        <f t="shared" si="25"/>
        <v/>
      </c>
      <c r="M1602" s="45" t="str">
        <f t="shared" si="26"/>
        <v/>
      </c>
      <c r="N1602" s="45" t="str">
        <f t="shared" si="27"/>
        <v/>
      </c>
      <c r="O1602" s="45">
        <f t="shared" si="28"/>
        <v>1</v>
      </c>
      <c r="P1602" s="45" t="str">
        <f t="shared" si="29"/>
        <v/>
      </c>
    </row>
    <row r="1603" spans="1:16" ht="17.25">
      <c r="A1603" s="276" t="s">
        <v>6789</v>
      </c>
      <c r="B1603" s="277">
        <v>2013</v>
      </c>
      <c r="C1603" s="276" t="s">
        <v>6790</v>
      </c>
      <c r="D1603" s="277">
        <v>24100694</v>
      </c>
      <c r="E1603" s="278" t="str">
        <f t="shared" si="23"/>
        <v>https://pubmed.ncbi.nlm.nih.gov/24100694</v>
      </c>
      <c r="F1603" s="28" t="s">
        <v>511</v>
      </c>
      <c r="G1603" s="28" t="s">
        <v>4592</v>
      </c>
      <c r="J1603" s="346">
        <f t="shared" si="19"/>
        <v>1</v>
      </c>
      <c r="K1603" s="28" t="str">
        <f t="shared" si="24"/>
        <v/>
      </c>
      <c r="L1603" s="45" t="str">
        <f t="shared" si="25"/>
        <v/>
      </c>
      <c r="M1603" s="45" t="str">
        <f t="shared" si="26"/>
        <v/>
      </c>
      <c r="N1603" s="45" t="str">
        <f t="shared" si="27"/>
        <v/>
      </c>
      <c r="O1603" s="45" t="str">
        <f t="shared" si="28"/>
        <v/>
      </c>
      <c r="P1603" s="45" t="str">
        <f t="shared" si="29"/>
        <v/>
      </c>
    </row>
    <row r="1604" spans="1:16" ht="17.25">
      <c r="A1604" s="276" t="s">
        <v>6791</v>
      </c>
      <c r="B1604" s="277">
        <v>2009</v>
      </c>
      <c r="C1604" s="276"/>
      <c r="D1604" s="277">
        <v>19515590</v>
      </c>
      <c r="E1604" s="278" t="str">
        <f t="shared" si="23"/>
        <v>https://pubmed.ncbi.nlm.nih.gov/19515590</v>
      </c>
      <c r="F1604" s="28" t="s">
        <v>511</v>
      </c>
      <c r="G1604" s="28" t="s">
        <v>4592</v>
      </c>
      <c r="J1604" s="346">
        <f t="shared" si="19"/>
        <v>1</v>
      </c>
      <c r="K1604" s="28" t="str">
        <f t="shared" si="24"/>
        <v/>
      </c>
      <c r="L1604" s="45" t="str">
        <f t="shared" si="25"/>
        <v/>
      </c>
      <c r="M1604" s="45" t="str">
        <f t="shared" si="26"/>
        <v/>
      </c>
      <c r="N1604" s="45" t="str">
        <f t="shared" si="27"/>
        <v/>
      </c>
      <c r="O1604" s="45" t="str">
        <f t="shared" si="28"/>
        <v/>
      </c>
      <c r="P1604" s="45" t="str">
        <f t="shared" si="29"/>
        <v/>
      </c>
    </row>
    <row r="1605" spans="1:16" ht="17.25">
      <c r="A1605" s="276" t="s">
        <v>6792</v>
      </c>
      <c r="B1605" s="277">
        <v>2016</v>
      </c>
      <c r="C1605" s="276"/>
      <c r="D1605" s="277">
        <v>27441483</v>
      </c>
      <c r="E1605" s="278" t="str">
        <f t="shared" si="23"/>
        <v>https://pubmed.ncbi.nlm.nih.gov/27441483</v>
      </c>
      <c r="F1605" s="28" t="s">
        <v>511</v>
      </c>
      <c r="G1605" s="28" t="s">
        <v>4744</v>
      </c>
      <c r="J1605" s="346" t="str">
        <f t="shared" si="19"/>
        <v/>
      </c>
      <c r="K1605" s="28" t="str">
        <f t="shared" si="24"/>
        <v/>
      </c>
      <c r="L1605" s="45" t="str">
        <f t="shared" si="25"/>
        <v/>
      </c>
      <c r="M1605" s="45" t="str">
        <f t="shared" si="26"/>
        <v/>
      </c>
      <c r="N1605" s="45">
        <f t="shared" si="27"/>
        <v>1</v>
      </c>
      <c r="O1605" s="45" t="str">
        <f t="shared" si="28"/>
        <v/>
      </c>
      <c r="P1605" s="45" t="str">
        <f t="shared" si="29"/>
        <v/>
      </c>
    </row>
    <row r="1606" spans="1:16" ht="17.25">
      <c r="A1606" s="276" t="s">
        <v>6793</v>
      </c>
      <c r="B1606" s="277">
        <v>2016</v>
      </c>
      <c r="C1606" s="276"/>
      <c r="D1606" s="277">
        <v>27545697</v>
      </c>
      <c r="E1606" s="278" t="str">
        <f t="shared" si="23"/>
        <v>https://pubmed.ncbi.nlm.nih.gov/27545697</v>
      </c>
      <c r="F1606" s="28" t="s">
        <v>511</v>
      </c>
      <c r="G1606" s="28" t="s">
        <v>6794</v>
      </c>
      <c r="J1606" s="346" t="str">
        <f t="shared" si="19"/>
        <v/>
      </c>
      <c r="K1606" s="28" t="str">
        <f t="shared" si="24"/>
        <v/>
      </c>
      <c r="L1606" s="45" t="str">
        <f t="shared" si="25"/>
        <v/>
      </c>
      <c r="M1606" s="45" t="str">
        <f t="shared" si="26"/>
        <v/>
      </c>
      <c r="N1606" s="45" t="str">
        <f t="shared" si="27"/>
        <v/>
      </c>
      <c r="O1606" s="45">
        <f t="shared" si="28"/>
        <v>1</v>
      </c>
      <c r="P1606" s="45" t="str">
        <f t="shared" si="29"/>
        <v/>
      </c>
    </row>
    <row r="1607" spans="1:16" ht="17.25">
      <c r="A1607" s="276" t="s">
        <v>6795</v>
      </c>
      <c r="B1607" s="277">
        <v>2004</v>
      </c>
      <c r="C1607" s="276"/>
      <c r="D1607" s="277">
        <v>14872017</v>
      </c>
      <c r="E1607" s="278" t="str">
        <f t="shared" si="23"/>
        <v>https://pubmed.ncbi.nlm.nih.gov/14872017</v>
      </c>
      <c r="F1607" s="28" t="s">
        <v>511</v>
      </c>
      <c r="G1607" s="28" t="s">
        <v>4744</v>
      </c>
      <c r="J1607" s="346" t="str">
        <f t="shared" si="19"/>
        <v/>
      </c>
      <c r="K1607" s="28" t="str">
        <f t="shared" si="24"/>
        <v/>
      </c>
      <c r="L1607" s="45" t="str">
        <f t="shared" si="25"/>
        <v/>
      </c>
      <c r="M1607" s="45" t="str">
        <f t="shared" si="26"/>
        <v/>
      </c>
      <c r="N1607" s="45">
        <f t="shared" si="27"/>
        <v>1</v>
      </c>
      <c r="O1607" s="45" t="str">
        <f t="shared" si="28"/>
        <v/>
      </c>
      <c r="P1607" s="45" t="str">
        <f t="shared" si="29"/>
        <v/>
      </c>
    </row>
    <row r="1608" spans="1:16" ht="17.25">
      <c r="A1608" s="276" t="s">
        <v>6796</v>
      </c>
      <c r="B1608" s="277">
        <v>2018</v>
      </c>
      <c r="C1608" s="276" t="s">
        <v>6797</v>
      </c>
      <c r="D1608" s="277">
        <v>29656903</v>
      </c>
      <c r="E1608" s="278" t="str">
        <f t="shared" si="23"/>
        <v>https://pubmed.ncbi.nlm.nih.gov/29656903</v>
      </c>
      <c r="F1608" s="28" t="s">
        <v>511</v>
      </c>
      <c r="G1608" s="28" t="s">
        <v>6220</v>
      </c>
      <c r="J1608" s="346">
        <f t="shared" si="19"/>
        <v>1</v>
      </c>
      <c r="K1608" s="28" t="str">
        <f t="shared" si="24"/>
        <v/>
      </c>
      <c r="L1608" s="45" t="str">
        <f t="shared" si="25"/>
        <v/>
      </c>
      <c r="M1608" s="45" t="str">
        <f t="shared" si="26"/>
        <v/>
      </c>
      <c r="N1608" s="45" t="str">
        <f t="shared" si="27"/>
        <v/>
      </c>
      <c r="O1608" s="45" t="str">
        <f t="shared" si="28"/>
        <v/>
      </c>
      <c r="P1608" s="45" t="str">
        <f t="shared" si="29"/>
        <v/>
      </c>
    </row>
    <row r="1609" spans="1:16" ht="17.25">
      <c r="A1609" s="276" t="s">
        <v>6798</v>
      </c>
      <c r="B1609" s="277">
        <v>2017</v>
      </c>
      <c r="C1609" s="276" t="s">
        <v>6799</v>
      </c>
      <c r="D1609" s="277">
        <v>28167545</v>
      </c>
      <c r="E1609" s="278" t="str">
        <f t="shared" si="23"/>
        <v>https://pubmed.ncbi.nlm.nih.gov/28167545</v>
      </c>
      <c r="F1609" s="28" t="s">
        <v>511</v>
      </c>
      <c r="G1609" s="28" t="s">
        <v>4867</v>
      </c>
      <c r="J1609" s="346" t="str">
        <f t="shared" si="19"/>
        <v/>
      </c>
      <c r="K1609" s="28" t="str">
        <f t="shared" si="24"/>
        <v/>
      </c>
      <c r="L1609" s="45" t="str">
        <f t="shared" si="25"/>
        <v/>
      </c>
      <c r="M1609" s="45" t="str">
        <f t="shared" si="26"/>
        <v/>
      </c>
      <c r="N1609" s="45">
        <f t="shared" si="27"/>
        <v>1</v>
      </c>
      <c r="O1609" s="45" t="str">
        <f t="shared" si="28"/>
        <v/>
      </c>
      <c r="P1609" s="45" t="str">
        <f t="shared" si="29"/>
        <v/>
      </c>
    </row>
    <row r="1610" spans="1:16" ht="17.25">
      <c r="A1610" s="276" t="s">
        <v>6800</v>
      </c>
      <c r="B1610" s="277">
        <v>2020</v>
      </c>
      <c r="C1610" s="276" t="s">
        <v>6801</v>
      </c>
      <c r="D1610" s="277">
        <v>32513308</v>
      </c>
      <c r="E1610" s="278" t="str">
        <f t="shared" si="23"/>
        <v>https://pubmed.ncbi.nlm.nih.gov/32513308</v>
      </c>
      <c r="F1610" s="28" t="s">
        <v>511</v>
      </c>
      <c r="G1610" s="28" t="s">
        <v>6802</v>
      </c>
      <c r="J1610" s="346" t="str">
        <f t="shared" si="19"/>
        <v/>
      </c>
      <c r="K1610" s="28" t="str">
        <f t="shared" si="24"/>
        <v/>
      </c>
      <c r="L1610" s="45" t="str">
        <f t="shared" si="25"/>
        <v/>
      </c>
      <c r="M1610" s="45" t="str">
        <f t="shared" si="26"/>
        <v/>
      </c>
      <c r="N1610" s="45">
        <f t="shared" si="27"/>
        <v>1</v>
      </c>
      <c r="O1610" s="45" t="str">
        <f t="shared" si="28"/>
        <v/>
      </c>
      <c r="P1610" s="45" t="str">
        <f t="shared" si="29"/>
        <v/>
      </c>
    </row>
    <row r="1611" spans="1:16" ht="17.25">
      <c r="A1611" s="276" t="s">
        <v>6803</v>
      </c>
      <c r="B1611" s="277">
        <v>2018</v>
      </c>
      <c r="C1611" s="276"/>
      <c r="D1611" s="277">
        <v>29275068</v>
      </c>
      <c r="E1611" s="278" t="str">
        <f t="shared" si="23"/>
        <v>https://pubmed.ncbi.nlm.nih.gov/29275068</v>
      </c>
      <c r="F1611" s="28" t="s">
        <v>511</v>
      </c>
      <c r="G1611" s="28" t="s">
        <v>5157</v>
      </c>
      <c r="J1611" s="346" t="str">
        <f t="shared" si="19"/>
        <v/>
      </c>
      <c r="K1611" s="28" t="str">
        <f t="shared" si="24"/>
        <v/>
      </c>
      <c r="L1611" s="45" t="str">
        <f t="shared" si="25"/>
        <v/>
      </c>
      <c r="M1611" s="45" t="str">
        <f t="shared" si="26"/>
        <v/>
      </c>
      <c r="N1611" s="45">
        <f t="shared" si="27"/>
        <v>1</v>
      </c>
      <c r="O1611" s="45" t="str">
        <f t="shared" si="28"/>
        <v/>
      </c>
      <c r="P1611" s="45" t="str">
        <f t="shared" si="29"/>
        <v/>
      </c>
    </row>
    <row r="1612" spans="1:16" ht="17.25">
      <c r="A1612" s="276" t="s">
        <v>6804</v>
      </c>
      <c r="B1612" s="277">
        <v>2005</v>
      </c>
      <c r="C1612" s="276"/>
      <c r="D1612" s="277">
        <v>15969878</v>
      </c>
      <c r="E1612" s="278" t="str">
        <f t="shared" si="23"/>
        <v>https://pubmed.ncbi.nlm.nih.gov/15969878</v>
      </c>
      <c r="F1612" s="28" t="s">
        <v>511</v>
      </c>
      <c r="G1612" s="28" t="s">
        <v>5273</v>
      </c>
      <c r="J1612" s="346">
        <f t="shared" si="19"/>
        <v>1</v>
      </c>
      <c r="K1612" s="28" t="str">
        <f t="shared" si="24"/>
        <v/>
      </c>
      <c r="L1612" s="45" t="str">
        <f t="shared" si="25"/>
        <v/>
      </c>
      <c r="M1612" s="45" t="str">
        <f t="shared" si="26"/>
        <v/>
      </c>
      <c r="N1612" s="45" t="str">
        <f t="shared" si="27"/>
        <v/>
      </c>
      <c r="O1612" s="45" t="str">
        <f t="shared" si="28"/>
        <v/>
      </c>
      <c r="P1612" s="45" t="str">
        <f t="shared" si="29"/>
        <v/>
      </c>
    </row>
    <row r="1613" spans="1:16" ht="17.25">
      <c r="A1613" s="276" t="s">
        <v>6805</v>
      </c>
      <c r="B1613" s="277">
        <v>2015</v>
      </c>
      <c r="C1613" s="276"/>
      <c r="D1613" s="277">
        <v>25510394</v>
      </c>
      <c r="E1613" s="278" t="str">
        <f t="shared" si="23"/>
        <v>https://pubmed.ncbi.nlm.nih.gov/25510394</v>
      </c>
      <c r="F1613" s="28" t="s">
        <v>511</v>
      </c>
      <c r="G1613" s="28" t="s">
        <v>4592</v>
      </c>
      <c r="J1613" s="346">
        <f t="shared" si="19"/>
        <v>1</v>
      </c>
      <c r="K1613" s="28" t="str">
        <f t="shared" si="24"/>
        <v/>
      </c>
      <c r="L1613" s="45" t="str">
        <f t="shared" si="25"/>
        <v/>
      </c>
      <c r="M1613" s="45" t="str">
        <f t="shared" si="26"/>
        <v/>
      </c>
      <c r="N1613" s="45" t="str">
        <f t="shared" si="27"/>
        <v/>
      </c>
      <c r="O1613" s="45" t="str">
        <f t="shared" si="28"/>
        <v/>
      </c>
      <c r="P1613" s="45" t="str">
        <f t="shared" si="29"/>
        <v/>
      </c>
    </row>
    <row r="1614" spans="1:16" ht="17.25">
      <c r="A1614" s="276" t="s">
        <v>6806</v>
      </c>
      <c r="B1614" s="277">
        <v>2016</v>
      </c>
      <c r="C1614" s="276"/>
      <c r="D1614" s="277">
        <v>27537997</v>
      </c>
      <c r="E1614" s="278" t="str">
        <f t="shared" si="23"/>
        <v>https://pubmed.ncbi.nlm.nih.gov/27537997</v>
      </c>
      <c r="F1614" s="28" t="s">
        <v>511</v>
      </c>
      <c r="G1614" s="28" t="s">
        <v>4744</v>
      </c>
      <c r="J1614" s="346" t="str">
        <f t="shared" si="19"/>
        <v/>
      </c>
      <c r="K1614" s="28" t="str">
        <f t="shared" si="24"/>
        <v/>
      </c>
      <c r="L1614" s="45" t="str">
        <f t="shared" si="25"/>
        <v/>
      </c>
      <c r="M1614" s="45" t="str">
        <f t="shared" si="26"/>
        <v/>
      </c>
      <c r="N1614" s="45">
        <f t="shared" si="27"/>
        <v>1</v>
      </c>
      <c r="O1614" s="45" t="str">
        <f t="shared" si="28"/>
        <v/>
      </c>
      <c r="P1614" s="45" t="str">
        <f t="shared" si="29"/>
        <v/>
      </c>
    </row>
    <row r="1615" spans="1:16" ht="17.25">
      <c r="A1615" s="276" t="s">
        <v>6807</v>
      </c>
      <c r="B1615" s="277">
        <v>2019</v>
      </c>
      <c r="C1615" s="276" t="s">
        <v>6808</v>
      </c>
      <c r="D1615" s="277">
        <v>30832699</v>
      </c>
      <c r="E1615" s="278" t="str">
        <f t="shared" si="23"/>
        <v>https://pubmed.ncbi.nlm.nih.gov/30832699</v>
      </c>
      <c r="F1615" s="28" t="s">
        <v>511</v>
      </c>
      <c r="G1615" s="28" t="s">
        <v>6809</v>
      </c>
      <c r="J1615" s="346" t="str">
        <f t="shared" si="19"/>
        <v/>
      </c>
      <c r="K1615" s="28" t="str">
        <f t="shared" si="24"/>
        <v/>
      </c>
      <c r="L1615" s="45" t="str">
        <f t="shared" si="25"/>
        <v/>
      </c>
      <c r="M1615" s="45" t="str">
        <f t="shared" si="26"/>
        <v/>
      </c>
      <c r="N1615" s="45">
        <f t="shared" si="27"/>
        <v>1</v>
      </c>
      <c r="O1615" s="45" t="str">
        <f t="shared" si="28"/>
        <v/>
      </c>
      <c r="P1615" s="45" t="str">
        <f t="shared" si="29"/>
        <v/>
      </c>
    </row>
    <row r="1616" spans="1:16" ht="17.25">
      <c r="A1616" s="276" t="s">
        <v>6810</v>
      </c>
      <c r="B1616" s="277">
        <v>2007</v>
      </c>
      <c r="C1616" s="276"/>
      <c r="D1616" s="277">
        <v>17424701</v>
      </c>
      <c r="E1616" s="278" t="str">
        <f t="shared" si="23"/>
        <v>https://pubmed.ncbi.nlm.nih.gov/17424701</v>
      </c>
      <c r="F1616" s="28" t="s">
        <v>511</v>
      </c>
      <c r="G1616" s="28" t="s">
        <v>6623</v>
      </c>
      <c r="J1616" s="346">
        <f t="shared" si="19"/>
        <v>1</v>
      </c>
      <c r="K1616" s="28" t="str">
        <f t="shared" si="24"/>
        <v/>
      </c>
      <c r="L1616" s="45" t="str">
        <f t="shared" si="25"/>
        <v/>
      </c>
      <c r="M1616" s="45" t="str">
        <f t="shared" si="26"/>
        <v/>
      </c>
      <c r="N1616" s="45" t="str">
        <f t="shared" si="27"/>
        <v/>
      </c>
      <c r="O1616" s="45" t="str">
        <f t="shared" si="28"/>
        <v/>
      </c>
      <c r="P1616" s="45" t="str">
        <f t="shared" si="29"/>
        <v/>
      </c>
    </row>
    <row r="1617" spans="1:16" ht="17.25">
      <c r="A1617" s="276" t="s">
        <v>6811</v>
      </c>
      <c r="B1617" s="277">
        <v>2006</v>
      </c>
      <c r="C1617" s="276"/>
      <c r="D1617" s="277">
        <v>16454836</v>
      </c>
      <c r="E1617" s="278" t="str">
        <f t="shared" si="23"/>
        <v>https://pubmed.ncbi.nlm.nih.gov/16454836</v>
      </c>
      <c r="F1617" s="28" t="s">
        <v>511</v>
      </c>
      <c r="G1617" s="28" t="s">
        <v>5299</v>
      </c>
      <c r="J1617" s="346" t="str">
        <f t="shared" si="19"/>
        <v/>
      </c>
      <c r="K1617" s="28" t="str">
        <f t="shared" si="24"/>
        <v/>
      </c>
      <c r="L1617" s="45" t="str">
        <f t="shared" si="25"/>
        <v/>
      </c>
      <c r="M1617" s="45" t="str">
        <f t="shared" si="26"/>
        <v/>
      </c>
      <c r="N1617" s="45">
        <f t="shared" si="27"/>
        <v>1</v>
      </c>
      <c r="O1617" s="45" t="str">
        <f t="shared" si="28"/>
        <v/>
      </c>
      <c r="P1617" s="45" t="str">
        <f t="shared" si="29"/>
        <v/>
      </c>
    </row>
    <row r="1618" spans="1:16" ht="17.25">
      <c r="A1618" s="276" t="s">
        <v>6812</v>
      </c>
      <c r="B1618" s="277">
        <v>2012</v>
      </c>
      <c r="C1618" s="276"/>
      <c r="D1618" s="277">
        <v>22682133</v>
      </c>
      <c r="E1618" s="278" t="str">
        <f t="shared" si="23"/>
        <v>https://pubmed.ncbi.nlm.nih.gov/22682133</v>
      </c>
      <c r="F1618" s="28" t="s">
        <v>511</v>
      </c>
      <c r="G1618" s="28" t="s">
        <v>4592</v>
      </c>
      <c r="J1618" s="346">
        <f t="shared" si="19"/>
        <v>1</v>
      </c>
      <c r="K1618" s="28" t="str">
        <f t="shared" si="24"/>
        <v/>
      </c>
      <c r="L1618" s="45" t="str">
        <f t="shared" si="25"/>
        <v/>
      </c>
      <c r="M1618" s="45" t="str">
        <f t="shared" si="26"/>
        <v/>
      </c>
      <c r="N1618" s="45" t="str">
        <f t="shared" si="27"/>
        <v/>
      </c>
      <c r="O1618" s="45" t="str">
        <f t="shared" si="28"/>
        <v/>
      </c>
      <c r="P1618" s="45" t="str">
        <f t="shared" si="29"/>
        <v/>
      </c>
    </row>
    <row r="1619" spans="1:16" ht="17.25">
      <c r="A1619" s="276" t="s">
        <v>6813</v>
      </c>
      <c r="B1619" s="277">
        <v>2014</v>
      </c>
      <c r="C1619" s="276"/>
      <c r="D1619" s="277">
        <v>23796195</v>
      </c>
      <c r="E1619" s="278" t="str">
        <f t="shared" si="23"/>
        <v>https://pubmed.ncbi.nlm.nih.gov/23796195</v>
      </c>
      <c r="F1619" s="28" t="s">
        <v>511</v>
      </c>
      <c r="G1619" s="28" t="s">
        <v>4592</v>
      </c>
      <c r="J1619" s="346">
        <f t="shared" si="19"/>
        <v>1</v>
      </c>
      <c r="K1619" s="28" t="str">
        <f t="shared" si="24"/>
        <v/>
      </c>
      <c r="L1619" s="45" t="str">
        <f t="shared" si="25"/>
        <v/>
      </c>
      <c r="M1619" s="45" t="str">
        <f t="shared" si="26"/>
        <v/>
      </c>
      <c r="N1619" s="45" t="str">
        <f t="shared" si="27"/>
        <v/>
      </c>
      <c r="O1619" s="45" t="str">
        <f t="shared" si="28"/>
        <v/>
      </c>
      <c r="P1619" s="45" t="str">
        <f t="shared" si="29"/>
        <v/>
      </c>
    </row>
    <row r="1620" spans="1:16" ht="17.25">
      <c r="A1620" s="276" t="s">
        <v>6814</v>
      </c>
      <c r="B1620" s="277">
        <v>2019</v>
      </c>
      <c r="C1620" s="276" t="s">
        <v>6815</v>
      </c>
      <c r="D1620" s="277">
        <v>30852528</v>
      </c>
      <c r="E1620" s="278" t="str">
        <f t="shared" si="23"/>
        <v>https://pubmed.ncbi.nlm.nih.gov/30852528</v>
      </c>
      <c r="F1620" s="28" t="s">
        <v>511</v>
      </c>
      <c r="G1620" s="28" t="s">
        <v>5157</v>
      </c>
      <c r="J1620" s="346" t="str">
        <f t="shared" si="19"/>
        <v/>
      </c>
      <c r="K1620" s="28" t="str">
        <f t="shared" si="24"/>
        <v/>
      </c>
      <c r="L1620" s="45" t="str">
        <f t="shared" si="25"/>
        <v/>
      </c>
      <c r="M1620" s="45" t="str">
        <f t="shared" si="26"/>
        <v/>
      </c>
      <c r="N1620" s="45">
        <f t="shared" si="27"/>
        <v>1</v>
      </c>
      <c r="O1620" s="45" t="str">
        <f t="shared" si="28"/>
        <v/>
      </c>
      <c r="P1620" s="45" t="str">
        <f t="shared" si="29"/>
        <v/>
      </c>
    </row>
    <row r="1621" spans="1:16" ht="17.25">
      <c r="A1621" s="276" t="s">
        <v>6816</v>
      </c>
      <c r="B1621" s="277">
        <v>2003</v>
      </c>
      <c r="C1621" s="276"/>
      <c r="D1621" s="277">
        <v>12544987</v>
      </c>
      <c r="E1621" s="278" t="str">
        <f t="shared" si="23"/>
        <v>https://pubmed.ncbi.nlm.nih.gov/12544987</v>
      </c>
      <c r="F1621" s="28" t="s">
        <v>511</v>
      </c>
      <c r="G1621" s="28" t="s">
        <v>4744</v>
      </c>
      <c r="J1621" s="346" t="str">
        <f t="shared" si="19"/>
        <v/>
      </c>
      <c r="K1621" s="28" t="str">
        <f t="shared" si="24"/>
        <v/>
      </c>
      <c r="L1621" s="45" t="str">
        <f t="shared" si="25"/>
        <v/>
      </c>
      <c r="M1621" s="45" t="str">
        <f t="shared" si="26"/>
        <v/>
      </c>
      <c r="N1621" s="45">
        <f t="shared" si="27"/>
        <v>1</v>
      </c>
      <c r="O1621" s="45" t="str">
        <f t="shared" si="28"/>
        <v/>
      </c>
      <c r="P1621" s="45" t="str">
        <f t="shared" si="29"/>
        <v/>
      </c>
    </row>
    <row r="1622" spans="1:16" ht="17.25">
      <c r="A1622" s="276" t="s">
        <v>6817</v>
      </c>
      <c r="B1622" s="277">
        <v>2009</v>
      </c>
      <c r="C1622" s="276"/>
      <c r="D1622" s="277">
        <v>19476405</v>
      </c>
      <c r="E1622" s="278" t="str">
        <f t="shared" si="23"/>
        <v>https://pubmed.ncbi.nlm.nih.gov/19476405</v>
      </c>
      <c r="F1622" s="28" t="s">
        <v>511</v>
      </c>
      <c r="G1622" s="28" t="s">
        <v>4744</v>
      </c>
      <c r="I1622" s="28" t="s">
        <v>6460</v>
      </c>
      <c r="J1622" s="346" t="str">
        <f t="shared" si="19"/>
        <v/>
      </c>
      <c r="K1622" s="28" t="str">
        <f t="shared" si="24"/>
        <v/>
      </c>
      <c r="L1622" s="45" t="str">
        <f t="shared" si="25"/>
        <v/>
      </c>
      <c r="M1622" s="45" t="str">
        <f t="shared" si="26"/>
        <v/>
      </c>
      <c r="N1622" s="45">
        <f t="shared" si="27"/>
        <v>1</v>
      </c>
      <c r="O1622" s="45" t="str">
        <f t="shared" si="28"/>
        <v/>
      </c>
      <c r="P1622" s="45" t="str">
        <f t="shared" si="29"/>
        <v/>
      </c>
    </row>
    <row r="1623" spans="1:16" ht="17.25">
      <c r="A1623" s="276" t="s">
        <v>6818</v>
      </c>
      <c r="B1623" s="277">
        <v>2015</v>
      </c>
      <c r="C1623" s="276"/>
      <c r="D1623" s="277">
        <v>25805741</v>
      </c>
      <c r="E1623" s="278" t="str">
        <f t="shared" si="23"/>
        <v>https://pubmed.ncbi.nlm.nih.gov/25805741</v>
      </c>
      <c r="F1623" s="28" t="s">
        <v>511</v>
      </c>
      <c r="G1623" s="28" t="s">
        <v>4592</v>
      </c>
      <c r="J1623" s="346">
        <f t="shared" si="19"/>
        <v>1</v>
      </c>
      <c r="K1623" s="28" t="str">
        <f t="shared" si="24"/>
        <v/>
      </c>
      <c r="L1623" s="45" t="str">
        <f t="shared" si="25"/>
        <v/>
      </c>
      <c r="M1623" s="45" t="str">
        <f t="shared" si="26"/>
        <v/>
      </c>
      <c r="N1623" s="45" t="str">
        <f t="shared" si="27"/>
        <v/>
      </c>
      <c r="O1623" s="45" t="str">
        <f t="shared" si="28"/>
        <v/>
      </c>
      <c r="P1623" s="45" t="str">
        <f t="shared" si="29"/>
        <v/>
      </c>
    </row>
    <row r="1624" spans="1:16" ht="17.25">
      <c r="A1624" s="276" t="s">
        <v>6819</v>
      </c>
      <c r="B1624" s="277">
        <v>2007</v>
      </c>
      <c r="C1624" s="276" t="s">
        <v>6820</v>
      </c>
      <c r="D1624" s="277">
        <v>17483254</v>
      </c>
      <c r="E1624" s="278" t="str">
        <f t="shared" si="23"/>
        <v>https://pubmed.ncbi.nlm.nih.gov/17483254</v>
      </c>
      <c r="F1624" s="28" t="s">
        <v>511</v>
      </c>
      <c r="G1624" s="28" t="s">
        <v>5188</v>
      </c>
      <c r="J1624" s="346">
        <f t="shared" si="19"/>
        <v>1</v>
      </c>
      <c r="K1624" s="28" t="str">
        <f t="shared" si="24"/>
        <v/>
      </c>
      <c r="L1624" s="45" t="str">
        <f t="shared" si="25"/>
        <v/>
      </c>
      <c r="M1624" s="45" t="str">
        <f t="shared" si="26"/>
        <v/>
      </c>
      <c r="N1624" s="45" t="str">
        <f t="shared" si="27"/>
        <v/>
      </c>
      <c r="O1624" s="45" t="str">
        <f t="shared" si="28"/>
        <v/>
      </c>
      <c r="P1624" s="45" t="str">
        <f t="shared" si="29"/>
        <v/>
      </c>
    </row>
    <row r="1625" spans="1:16" ht="17.25">
      <c r="A1625" s="276" t="s">
        <v>6821</v>
      </c>
      <c r="B1625" s="277">
        <v>2005</v>
      </c>
      <c r="C1625" s="276"/>
      <c r="D1625" s="277">
        <v>15601653</v>
      </c>
      <c r="E1625" s="278" t="str">
        <f t="shared" si="23"/>
        <v>https://pubmed.ncbi.nlm.nih.gov/15601653</v>
      </c>
      <c r="F1625" s="28" t="s">
        <v>511</v>
      </c>
      <c r="G1625" s="28" t="s">
        <v>4744</v>
      </c>
      <c r="J1625" s="346" t="str">
        <f t="shared" si="19"/>
        <v/>
      </c>
      <c r="K1625" s="28" t="str">
        <f t="shared" si="24"/>
        <v/>
      </c>
      <c r="L1625" s="45" t="str">
        <f t="shared" si="25"/>
        <v/>
      </c>
      <c r="M1625" s="45" t="str">
        <f t="shared" si="26"/>
        <v/>
      </c>
      <c r="N1625" s="45">
        <f t="shared" si="27"/>
        <v>1</v>
      </c>
      <c r="O1625" s="45" t="str">
        <f t="shared" si="28"/>
        <v/>
      </c>
      <c r="P1625" s="45" t="str">
        <f t="shared" si="29"/>
        <v/>
      </c>
    </row>
    <row r="1626" spans="1:16" ht="17.25">
      <c r="A1626" s="276" t="s">
        <v>6822</v>
      </c>
      <c r="B1626" s="277">
        <v>2016</v>
      </c>
      <c r="C1626" s="276"/>
      <c r="D1626" s="277">
        <v>27290681</v>
      </c>
      <c r="E1626" s="278" t="str">
        <f t="shared" si="23"/>
        <v>https://pubmed.ncbi.nlm.nih.gov/27290681</v>
      </c>
      <c r="F1626" s="28" t="s">
        <v>511</v>
      </c>
      <c r="G1626" s="28" t="s">
        <v>4744</v>
      </c>
      <c r="J1626" s="346" t="str">
        <f t="shared" si="19"/>
        <v/>
      </c>
      <c r="K1626" s="28" t="str">
        <f t="shared" si="24"/>
        <v/>
      </c>
      <c r="L1626" s="45" t="str">
        <f t="shared" si="25"/>
        <v/>
      </c>
      <c r="M1626" s="45" t="str">
        <f t="shared" si="26"/>
        <v/>
      </c>
      <c r="N1626" s="45">
        <f t="shared" si="27"/>
        <v>1</v>
      </c>
      <c r="O1626" s="45" t="str">
        <f t="shared" si="28"/>
        <v/>
      </c>
      <c r="P1626" s="45" t="str">
        <f t="shared" si="29"/>
        <v/>
      </c>
    </row>
    <row r="1627" spans="1:16" ht="17.25">
      <c r="A1627" s="276" t="s">
        <v>6823</v>
      </c>
      <c r="B1627" s="277">
        <v>2016</v>
      </c>
      <c r="C1627" s="276"/>
      <c r="D1627" s="277">
        <v>27217097</v>
      </c>
      <c r="E1627" s="278" t="str">
        <f t="shared" si="23"/>
        <v>https://pubmed.ncbi.nlm.nih.gov/27217097</v>
      </c>
      <c r="F1627" s="28" t="s">
        <v>511</v>
      </c>
      <c r="G1627" s="28" t="s">
        <v>4744</v>
      </c>
      <c r="J1627" s="346" t="str">
        <f t="shared" si="19"/>
        <v/>
      </c>
      <c r="K1627" s="28" t="str">
        <f t="shared" si="24"/>
        <v/>
      </c>
      <c r="L1627" s="45" t="str">
        <f t="shared" si="25"/>
        <v/>
      </c>
      <c r="M1627" s="45" t="str">
        <f t="shared" si="26"/>
        <v/>
      </c>
      <c r="N1627" s="45">
        <f t="shared" si="27"/>
        <v>1</v>
      </c>
      <c r="O1627" s="45" t="str">
        <f t="shared" si="28"/>
        <v/>
      </c>
      <c r="P1627" s="45" t="str">
        <f t="shared" si="29"/>
        <v/>
      </c>
    </row>
    <row r="1628" spans="1:16" ht="17.25">
      <c r="A1628" s="276" t="s">
        <v>6824</v>
      </c>
      <c r="B1628" s="277">
        <v>2015</v>
      </c>
      <c r="C1628" s="276" t="s">
        <v>6825</v>
      </c>
      <c r="D1628" s="277">
        <v>26295732</v>
      </c>
      <c r="E1628" s="278" t="str">
        <f t="shared" si="23"/>
        <v>https://pubmed.ncbi.nlm.nih.gov/26295732</v>
      </c>
      <c r="F1628" s="28" t="s">
        <v>511</v>
      </c>
      <c r="G1628" s="28" t="s">
        <v>6826</v>
      </c>
      <c r="J1628" s="346">
        <f t="shared" si="19"/>
        <v>1</v>
      </c>
      <c r="K1628" s="28" t="str">
        <f t="shared" si="24"/>
        <v/>
      </c>
      <c r="L1628" s="45" t="str">
        <f t="shared" si="25"/>
        <v/>
      </c>
      <c r="M1628" s="45" t="str">
        <f t="shared" si="26"/>
        <v/>
      </c>
      <c r="N1628" s="45" t="str">
        <f t="shared" si="27"/>
        <v/>
      </c>
      <c r="O1628" s="45" t="str">
        <f t="shared" si="28"/>
        <v/>
      </c>
      <c r="P1628" s="45" t="str">
        <f t="shared" si="29"/>
        <v/>
      </c>
    </row>
    <row r="1629" spans="1:16" ht="17.25">
      <c r="A1629" s="276" t="s">
        <v>6827</v>
      </c>
      <c r="B1629" s="277">
        <v>2019</v>
      </c>
      <c r="C1629" s="276" t="s">
        <v>6828</v>
      </c>
      <c r="D1629" s="277">
        <v>31042143</v>
      </c>
      <c r="E1629" s="278" t="str">
        <f t="shared" si="23"/>
        <v>https://pubmed.ncbi.nlm.nih.gov/31042143</v>
      </c>
      <c r="F1629" s="28" t="s">
        <v>511</v>
      </c>
      <c r="G1629" s="28" t="s">
        <v>4744</v>
      </c>
      <c r="J1629" s="346" t="str">
        <f t="shared" si="19"/>
        <v/>
      </c>
      <c r="K1629" s="28" t="str">
        <f t="shared" si="24"/>
        <v/>
      </c>
      <c r="L1629" s="45" t="str">
        <f t="shared" si="25"/>
        <v/>
      </c>
      <c r="M1629" s="45" t="str">
        <f t="shared" si="26"/>
        <v/>
      </c>
      <c r="N1629" s="45">
        <f t="shared" si="27"/>
        <v>1</v>
      </c>
      <c r="O1629" s="45" t="str">
        <f t="shared" si="28"/>
        <v/>
      </c>
      <c r="P1629" s="45" t="str">
        <f t="shared" si="29"/>
        <v/>
      </c>
    </row>
    <row r="1630" spans="1:16" ht="17.25">
      <c r="A1630" s="276" t="s">
        <v>6829</v>
      </c>
      <c r="B1630" s="277">
        <v>2020</v>
      </c>
      <c r="C1630" s="276" t="s">
        <v>5611</v>
      </c>
      <c r="D1630" s="277">
        <v>32441894</v>
      </c>
      <c r="E1630" s="278" t="str">
        <f t="shared" si="23"/>
        <v>https://pubmed.ncbi.nlm.nih.gov/32441894</v>
      </c>
      <c r="F1630" s="28" t="s">
        <v>511</v>
      </c>
      <c r="G1630" s="28" t="s">
        <v>5188</v>
      </c>
      <c r="J1630" s="346">
        <f t="shared" si="19"/>
        <v>1</v>
      </c>
      <c r="K1630" s="28" t="str">
        <f t="shared" si="24"/>
        <v/>
      </c>
      <c r="L1630" s="45" t="str">
        <f t="shared" si="25"/>
        <v/>
      </c>
      <c r="M1630" s="45" t="str">
        <f t="shared" si="26"/>
        <v/>
      </c>
      <c r="N1630" s="45" t="str">
        <f t="shared" si="27"/>
        <v/>
      </c>
      <c r="O1630" s="45" t="str">
        <f t="shared" si="28"/>
        <v/>
      </c>
      <c r="P1630" s="45" t="str">
        <f t="shared" si="29"/>
        <v/>
      </c>
    </row>
    <row r="1631" spans="1:16" ht="17.25">
      <c r="A1631" s="276" t="s">
        <v>6830</v>
      </c>
      <c r="B1631" s="277">
        <v>2000</v>
      </c>
      <c r="C1631" s="276"/>
      <c r="D1631" s="277">
        <v>10859993</v>
      </c>
      <c r="E1631" s="278" t="str">
        <f t="shared" si="23"/>
        <v>https://pubmed.ncbi.nlm.nih.gov/10859993</v>
      </c>
      <c r="F1631" s="28" t="s">
        <v>511</v>
      </c>
      <c r="G1631" s="28" t="s">
        <v>6623</v>
      </c>
      <c r="J1631" s="346">
        <f t="shared" si="19"/>
        <v>1</v>
      </c>
      <c r="K1631" s="28" t="str">
        <f t="shared" si="24"/>
        <v/>
      </c>
      <c r="L1631" s="45" t="str">
        <f t="shared" si="25"/>
        <v/>
      </c>
      <c r="M1631" s="45" t="str">
        <f t="shared" si="26"/>
        <v/>
      </c>
      <c r="N1631" s="45" t="str">
        <f t="shared" si="27"/>
        <v/>
      </c>
      <c r="O1631" s="45" t="str">
        <f t="shared" si="28"/>
        <v/>
      </c>
      <c r="P1631" s="45" t="str">
        <f t="shared" si="29"/>
        <v/>
      </c>
    </row>
    <row r="1632" spans="1:16" ht="17.25">
      <c r="A1632" s="276" t="s">
        <v>6831</v>
      </c>
      <c r="B1632" s="277">
        <v>2014</v>
      </c>
      <c r="C1632" s="276"/>
      <c r="D1632" s="277">
        <v>24895301</v>
      </c>
      <c r="E1632" s="278" t="str">
        <f t="shared" si="23"/>
        <v>https://pubmed.ncbi.nlm.nih.gov/24895301</v>
      </c>
      <c r="F1632" s="28" t="s">
        <v>511</v>
      </c>
      <c r="G1632" s="28" t="s">
        <v>5157</v>
      </c>
      <c r="J1632" s="346" t="str">
        <f t="shared" si="19"/>
        <v/>
      </c>
      <c r="K1632" s="28" t="str">
        <f t="shared" si="24"/>
        <v/>
      </c>
      <c r="L1632" s="45" t="str">
        <f t="shared" si="25"/>
        <v/>
      </c>
      <c r="M1632" s="45" t="str">
        <f t="shared" si="26"/>
        <v/>
      </c>
      <c r="N1632" s="45">
        <f t="shared" si="27"/>
        <v>1</v>
      </c>
      <c r="O1632" s="45" t="str">
        <f t="shared" si="28"/>
        <v/>
      </c>
      <c r="P1632" s="45" t="str">
        <f t="shared" si="29"/>
        <v/>
      </c>
    </row>
    <row r="1633" spans="1:16" ht="17.25">
      <c r="A1633" s="276" t="s">
        <v>6832</v>
      </c>
      <c r="B1633" s="277">
        <v>2009</v>
      </c>
      <c r="C1633" s="276"/>
      <c r="D1633" s="277">
        <v>19440988</v>
      </c>
      <c r="E1633" s="278" t="str">
        <f t="shared" si="23"/>
        <v>https://pubmed.ncbi.nlm.nih.gov/19440988</v>
      </c>
      <c r="F1633" s="28" t="s">
        <v>511</v>
      </c>
      <c r="G1633" s="28" t="s">
        <v>6220</v>
      </c>
      <c r="J1633" s="346">
        <f t="shared" si="19"/>
        <v>1</v>
      </c>
      <c r="K1633" s="28" t="str">
        <f t="shared" si="24"/>
        <v/>
      </c>
      <c r="L1633" s="45" t="str">
        <f t="shared" si="25"/>
        <v/>
      </c>
      <c r="M1633" s="45" t="str">
        <f t="shared" si="26"/>
        <v/>
      </c>
      <c r="N1633" s="45" t="str">
        <f t="shared" si="27"/>
        <v/>
      </c>
      <c r="O1633" s="45" t="str">
        <f t="shared" si="28"/>
        <v/>
      </c>
      <c r="P1633" s="45" t="str">
        <f t="shared" si="29"/>
        <v/>
      </c>
    </row>
    <row r="1634" spans="1:16" ht="17.25">
      <c r="A1634" s="276" t="s">
        <v>6833</v>
      </c>
      <c r="B1634" s="277">
        <v>2011</v>
      </c>
      <c r="C1634" s="276"/>
      <c r="D1634" s="277">
        <v>22129322</v>
      </c>
      <c r="E1634" s="278" t="str">
        <f t="shared" si="23"/>
        <v>https://pubmed.ncbi.nlm.nih.gov/22129322</v>
      </c>
      <c r="F1634" s="28" t="s">
        <v>511</v>
      </c>
      <c r="G1634" s="28" t="s">
        <v>4592</v>
      </c>
      <c r="J1634" s="346">
        <f t="shared" si="19"/>
        <v>1</v>
      </c>
      <c r="K1634" s="28" t="str">
        <f t="shared" si="24"/>
        <v/>
      </c>
      <c r="L1634" s="45" t="str">
        <f t="shared" si="25"/>
        <v/>
      </c>
      <c r="M1634" s="45" t="str">
        <f t="shared" si="26"/>
        <v/>
      </c>
      <c r="N1634" s="45" t="str">
        <f t="shared" si="27"/>
        <v/>
      </c>
      <c r="O1634" s="45" t="str">
        <f t="shared" si="28"/>
        <v/>
      </c>
      <c r="P1634" s="45" t="str">
        <f t="shared" si="29"/>
        <v/>
      </c>
    </row>
    <row r="1635" spans="1:16" ht="17.25">
      <c r="A1635" s="276" t="s">
        <v>6834</v>
      </c>
      <c r="B1635" s="277">
        <v>2003</v>
      </c>
      <c r="C1635" s="276"/>
      <c r="D1635" s="277">
        <v>12730439</v>
      </c>
      <c r="E1635" s="278" t="str">
        <f t="shared" si="23"/>
        <v>https://pubmed.ncbi.nlm.nih.gov/12730439</v>
      </c>
      <c r="F1635" s="28" t="s">
        <v>511</v>
      </c>
      <c r="G1635" s="28" t="s">
        <v>4592</v>
      </c>
      <c r="J1635" s="346">
        <f t="shared" si="19"/>
        <v>1</v>
      </c>
      <c r="K1635" s="28" t="str">
        <f t="shared" si="24"/>
        <v/>
      </c>
      <c r="L1635" s="45" t="str">
        <f t="shared" si="25"/>
        <v/>
      </c>
      <c r="M1635" s="45" t="str">
        <f t="shared" si="26"/>
        <v/>
      </c>
      <c r="N1635" s="45" t="str">
        <f t="shared" si="27"/>
        <v/>
      </c>
      <c r="O1635" s="45" t="str">
        <f t="shared" si="28"/>
        <v/>
      </c>
      <c r="P1635" s="45" t="str">
        <f t="shared" si="29"/>
        <v/>
      </c>
    </row>
    <row r="1636" spans="1:16" ht="17.25">
      <c r="A1636" s="276" t="s">
        <v>6835</v>
      </c>
      <c r="B1636" s="277">
        <v>2017</v>
      </c>
      <c r="C1636" s="276"/>
      <c r="D1636" s="277">
        <v>28992823</v>
      </c>
      <c r="E1636" s="278" t="str">
        <f t="shared" si="23"/>
        <v>https://pubmed.ncbi.nlm.nih.gov/28992823</v>
      </c>
      <c r="F1636" s="28" t="s">
        <v>511</v>
      </c>
      <c r="G1636" s="28" t="s">
        <v>4592</v>
      </c>
      <c r="J1636" s="346">
        <f t="shared" si="19"/>
        <v>1</v>
      </c>
      <c r="K1636" s="28" t="str">
        <f t="shared" si="24"/>
        <v/>
      </c>
      <c r="L1636" s="45" t="str">
        <f t="shared" si="25"/>
        <v/>
      </c>
      <c r="M1636" s="45" t="str">
        <f t="shared" si="26"/>
        <v/>
      </c>
      <c r="N1636" s="45" t="str">
        <f t="shared" si="27"/>
        <v/>
      </c>
      <c r="O1636" s="45" t="str">
        <f t="shared" si="28"/>
        <v/>
      </c>
      <c r="P1636" s="45" t="str">
        <f t="shared" si="29"/>
        <v/>
      </c>
    </row>
    <row r="1637" spans="1:16" ht="17.25">
      <c r="A1637" s="276" t="s">
        <v>6836</v>
      </c>
      <c r="B1637" s="277">
        <v>2008</v>
      </c>
      <c r="C1637" s="276"/>
      <c r="D1637" s="277">
        <v>18266994</v>
      </c>
      <c r="E1637" s="278" t="str">
        <f t="shared" si="23"/>
        <v>https://pubmed.ncbi.nlm.nih.gov/18266994</v>
      </c>
      <c r="F1637" s="28" t="s">
        <v>511</v>
      </c>
      <c r="G1637" s="28" t="s">
        <v>6220</v>
      </c>
      <c r="J1637" s="346">
        <f t="shared" si="19"/>
        <v>1</v>
      </c>
      <c r="K1637" s="28" t="str">
        <f t="shared" si="24"/>
        <v/>
      </c>
      <c r="L1637" s="45" t="str">
        <f t="shared" si="25"/>
        <v/>
      </c>
      <c r="M1637" s="45" t="str">
        <f t="shared" si="26"/>
        <v/>
      </c>
      <c r="N1637" s="45" t="str">
        <f t="shared" si="27"/>
        <v/>
      </c>
      <c r="O1637" s="45" t="str">
        <f t="shared" si="28"/>
        <v/>
      </c>
      <c r="P1637" s="45" t="str">
        <f t="shared" si="29"/>
        <v/>
      </c>
    </row>
    <row r="1638" spans="1:16" ht="17.25">
      <c r="A1638" s="276" t="s">
        <v>6836</v>
      </c>
      <c r="B1638" s="277">
        <v>2009</v>
      </c>
      <c r="C1638" s="276" t="s">
        <v>6837</v>
      </c>
      <c r="D1638" s="277">
        <v>19154447</v>
      </c>
      <c r="E1638" s="278" t="str">
        <f t="shared" si="23"/>
        <v>https://pubmed.ncbi.nlm.nih.gov/19154447</v>
      </c>
      <c r="F1638" s="28" t="s">
        <v>511</v>
      </c>
      <c r="G1638" s="28" t="s">
        <v>6220</v>
      </c>
      <c r="J1638" s="346">
        <f t="shared" si="19"/>
        <v>1</v>
      </c>
      <c r="K1638" s="28" t="str">
        <f t="shared" si="24"/>
        <v/>
      </c>
      <c r="L1638" s="45" t="str">
        <f t="shared" si="25"/>
        <v/>
      </c>
      <c r="M1638" s="45" t="str">
        <f t="shared" si="26"/>
        <v/>
      </c>
      <c r="N1638" s="45" t="str">
        <f t="shared" si="27"/>
        <v/>
      </c>
      <c r="O1638" s="45" t="str">
        <f t="shared" si="28"/>
        <v/>
      </c>
      <c r="P1638" s="45" t="str">
        <f t="shared" si="29"/>
        <v/>
      </c>
    </row>
    <row r="1639" spans="1:16" ht="17.25">
      <c r="A1639" s="276" t="s">
        <v>6838</v>
      </c>
      <c r="B1639" s="277">
        <v>2014</v>
      </c>
      <c r="C1639" s="276"/>
      <c r="D1639" s="277">
        <v>25491459</v>
      </c>
      <c r="E1639" s="278" t="str">
        <f t="shared" si="23"/>
        <v>https://pubmed.ncbi.nlm.nih.gov/25491459</v>
      </c>
      <c r="F1639" s="28" t="s">
        <v>511</v>
      </c>
      <c r="G1639" s="28" t="s">
        <v>6839</v>
      </c>
      <c r="J1639" s="346">
        <f t="shared" si="19"/>
        <v>1</v>
      </c>
      <c r="K1639" s="28" t="str">
        <f t="shared" si="24"/>
        <v/>
      </c>
      <c r="L1639" s="45" t="str">
        <f t="shared" si="25"/>
        <v/>
      </c>
      <c r="M1639" s="45" t="str">
        <f t="shared" si="26"/>
        <v/>
      </c>
      <c r="N1639" s="45" t="str">
        <f t="shared" si="27"/>
        <v/>
      </c>
      <c r="O1639" s="45" t="str">
        <f t="shared" si="28"/>
        <v/>
      </c>
      <c r="P1639" s="45" t="str">
        <f t="shared" si="29"/>
        <v/>
      </c>
    </row>
    <row r="1640" spans="1:16" ht="17.25">
      <c r="A1640" s="276" t="s">
        <v>6840</v>
      </c>
      <c r="B1640" s="277">
        <v>2008</v>
      </c>
      <c r="C1640" s="276"/>
      <c r="D1640" s="277">
        <v>17928580</v>
      </c>
      <c r="E1640" s="278" t="str">
        <f t="shared" si="23"/>
        <v>https://pubmed.ncbi.nlm.nih.gov/17928580</v>
      </c>
      <c r="F1640" s="28" t="s">
        <v>511</v>
      </c>
      <c r="G1640" s="28" t="s">
        <v>4744</v>
      </c>
      <c r="J1640" s="346" t="str">
        <f t="shared" si="19"/>
        <v/>
      </c>
      <c r="K1640" s="28" t="str">
        <f t="shared" si="24"/>
        <v/>
      </c>
      <c r="L1640" s="45" t="str">
        <f t="shared" si="25"/>
        <v/>
      </c>
      <c r="M1640" s="45" t="str">
        <f t="shared" si="26"/>
        <v/>
      </c>
      <c r="N1640" s="45">
        <f t="shared" si="27"/>
        <v>1</v>
      </c>
      <c r="O1640" s="45" t="str">
        <f t="shared" si="28"/>
        <v/>
      </c>
      <c r="P1640" s="45" t="str">
        <f t="shared" si="29"/>
        <v/>
      </c>
    </row>
    <row r="1641" spans="1:16" ht="17.25">
      <c r="A1641" s="276" t="s">
        <v>6841</v>
      </c>
      <c r="B1641" s="277">
        <v>2012</v>
      </c>
      <c r="C1641" s="276" t="s">
        <v>6842</v>
      </c>
      <c r="D1641" s="277">
        <v>22929469</v>
      </c>
      <c r="E1641" s="278" t="str">
        <f t="shared" si="23"/>
        <v>https://pubmed.ncbi.nlm.nih.gov/22929469</v>
      </c>
      <c r="F1641" s="28" t="s">
        <v>511</v>
      </c>
      <c r="G1641" s="28" t="s">
        <v>6843</v>
      </c>
      <c r="J1641" s="346" t="str">
        <f t="shared" si="19"/>
        <v/>
      </c>
      <c r="K1641" s="28" t="str">
        <f t="shared" si="24"/>
        <v/>
      </c>
      <c r="L1641" s="45">
        <f t="shared" si="25"/>
        <v>1</v>
      </c>
      <c r="M1641" s="45" t="str">
        <f t="shared" si="26"/>
        <v/>
      </c>
      <c r="N1641" s="45" t="str">
        <f t="shared" si="27"/>
        <v/>
      </c>
      <c r="O1641" s="45" t="str">
        <f t="shared" si="28"/>
        <v/>
      </c>
      <c r="P1641" s="45" t="str">
        <f t="shared" si="29"/>
        <v/>
      </c>
    </row>
    <row r="1642" spans="1:16" ht="17.25">
      <c r="A1642" s="276" t="s">
        <v>6844</v>
      </c>
      <c r="B1642" s="277">
        <v>2019</v>
      </c>
      <c r="C1642" s="276"/>
      <c r="D1642" s="277">
        <v>31319919</v>
      </c>
      <c r="E1642" s="278" t="str">
        <f t="shared" si="23"/>
        <v>https://pubmed.ncbi.nlm.nih.gov/31319919</v>
      </c>
      <c r="F1642" s="28" t="s">
        <v>511</v>
      </c>
      <c r="G1642" s="28" t="s">
        <v>4592</v>
      </c>
      <c r="J1642" s="346">
        <f t="shared" si="19"/>
        <v>1</v>
      </c>
      <c r="K1642" s="28" t="str">
        <f t="shared" si="24"/>
        <v/>
      </c>
      <c r="L1642" s="45" t="str">
        <f t="shared" si="25"/>
        <v/>
      </c>
      <c r="M1642" s="45" t="str">
        <f t="shared" si="26"/>
        <v/>
      </c>
      <c r="N1642" s="45" t="str">
        <f t="shared" si="27"/>
        <v/>
      </c>
      <c r="O1642" s="45" t="str">
        <f t="shared" si="28"/>
        <v/>
      </c>
      <c r="P1642" s="45" t="str">
        <f t="shared" si="29"/>
        <v/>
      </c>
    </row>
    <row r="1643" spans="1:16" ht="17.25">
      <c r="A1643" s="276" t="s">
        <v>6845</v>
      </c>
      <c r="B1643" s="277">
        <v>2018</v>
      </c>
      <c r="C1643" s="276"/>
      <c r="D1643" s="277">
        <v>29665158</v>
      </c>
      <c r="E1643" s="278" t="str">
        <f t="shared" si="23"/>
        <v>https://pubmed.ncbi.nlm.nih.gov/29665158</v>
      </c>
      <c r="F1643" s="28" t="s">
        <v>511</v>
      </c>
      <c r="G1643" s="28" t="s">
        <v>4867</v>
      </c>
      <c r="I1643" s="28" t="s">
        <v>6429</v>
      </c>
      <c r="J1643" s="346" t="str">
        <f t="shared" si="19"/>
        <v/>
      </c>
      <c r="K1643" s="28" t="str">
        <f t="shared" si="24"/>
        <v/>
      </c>
      <c r="L1643" s="45" t="str">
        <f t="shared" si="25"/>
        <v/>
      </c>
      <c r="M1643" s="45" t="str">
        <f t="shared" si="26"/>
        <v/>
      </c>
      <c r="N1643" s="45">
        <f t="shared" si="27"/>
        <v>1</v>
      </c>
      <c r="O1643" s="45" t="str">
        <f t="shared" si="28"/>
        <v/>
      </c>
      <c r="P1643" s="45" t="str">
        <f t="shared" si="29"/>
        <v/>
      </c>
    </row>
    <row r="1644" spans="1:16" ht="17.25">
      <c r="A1644" s="276" t="s">
        <v>6846</v>
      </c>
      <c r="B1644" s="277">
        <v>2002</v>
      </c>
      <c r="C1644" s="276"/>
      <c r="D1644" s="277">
        <v>12097784</v>
      </c>
      <c r="E1644" s="278" t="str">
        <f t="shared" si="23"/>
        <v>https://pubmed.ncbi.nlm.nih.gov/12097784</v>
      </c>
      <c r="F1644" s="28" t="s">
        <v>511</v>
      </c>
      <c r="G1644" s="28" t="s">
        <v>4867</v>
      </c>
      <c r="J1644" s="346" t="str">
        <f t="shared" si="19"/>
        <v/>
      </c>
      <c r="K1644" s="28" t="str">
        <f t="shared" si="24"/>
        <v/>
      </c>
      <c r="L1644" s="45" t="str">
        <f t="shared" si="25"/>
        <v/>
      </c>
      <c r="M1644" s="45" t="str">
        <f t="shared" si="26"/>
        <v/>
      </c>
      <c r="N1644" s="45">
        <f t="shared" si="27"/>
        <v>1</v>
      </c>
      <c r="O1644" s="45" t="str">
        <f t="shared" si="28"/>
        <v/>
      </c>
      <c r="P1644" s="45" t="str">
        <f t="shared" si="29"/>
        <v/>
      </c>
    </row>
    <row r="1645" spans="1:16" ht="17.25">
      <c r="A1645" s="276" t="s">
        <v>6847</v>
      </c>
      <c r="B1645" s="277">
        <v>2020</v>
      </c>
      <c r="C1645" s="276"/>
      <c r="D1645" s="277">
        <v>32788015</v>
      </c>
      <c r="E1645" s="278" t="str">
        <f t="shared" si="23"/>
        <v>https://pubmed.ncbi.nlm.nih.gov/32788015</v>
      </c>
      <c r="F1645" s="28" t="s">
        <v>511</v>
      </c>
      <c r="G1645" s="28" t="s">
        <v>4587</v>
      </c>
      <c r="J1645" s="346" t="str">
        <f t="shared" si="19"/>
        <v/>
      </c>
      <c r="K1645" s="28" t="str">
        <f t="shared" si="24"/>
        <v/>
      </c>
      <c r="L1645" s="45" t="str">
        <f t="shared" si="25"/>
        <v/>
      </c>
      <c r="M1645" s="45">
        <f t="shared" si="26"/>
        <v>1</v>
      </c>
      <c r="N1645" s="45" t="str">
        <f t="shared" si="27"/>
        <v/>
      </c>
      <c r="O1645" s="45" t="str">
        <f t="shared" si="28"/>
        <v/>
      </c>
      <c r="P1645" s="45" t="str">
        <f t="shared" si="29"/>
        <v/>
      </c>
    </row>
    <row r="1646" spans="1:16" ht="17.25">
      <c r="A1646" s="276" t="s">
        <v>6848</v>
      </c>
      <c r="B1646" s="277">
        <v>2017</v>
      </c>
      <c r="C1646" s="276"/>
      <c r="D1646" s="277">
        <v>28917657</v>
      </c>
      <c r="E1646" s="278" t="str">
        <f t="shared" si="23"/>
        <v>https://pubmed.ncbi.nlm.nih.gov/28917657</v>
      </c>
      <c r="F1646" s="28" t="s">
        <v>511</v>
      </c>
      <c r="G1646" s="28" t="s">
        <v>4744</v>
      </c>
      <c r="J1646" s="346" t="str">
        <f t="shared" si="19"/>
        <v/>
      </c>
      <c r="K1646" s="28" t="str">
        <f t="shared" si="24"/>
        <v/>
      </c>
      <c r="L1646" s="45" t="str">
        <f t="shared" si="25"/>
        <v/>
      </c>
      <c r="M1646" s="45" t="str">
        <f t="shared" si="26"/>
        <v/>
      </c>
      <c r="N1646" s="45">
        <f t="shared" si="27"/>
        <v>1</v>
      </c>
      <c r="O1646" s="45" t="str">
        <f t="shared" si="28"/>
        <v/>
      </c>
      <c r="P1646" s="45" t="str">
        <f t="shared" si="29"/>
        <v/>
      </c>
    </row>
    <row r="1647" spans="1:16" ht="17.25">
      <c r="A1647" s="276" t="s">
        <v>6849</v>
      </c>
      <c r="B1647" s="277">
        <v>2016</v>
      </c>
      <c r="C1647" s="276" t="s">
        <v>6850</v>
      </c>
      <c r="D1647" s="277">
        <v>27074283</v>
      </c>
      <c r="E1647" s="278" t="str">
        <f t="shared" si="23"/>
        <v>https://pubmed.ncbi.nlm.nih.gov/27074283</v>
      </c>
      <c r="F1647" s="28" t="s">
        <v>511</v>
      </c>
      <c r="G1647" s="28" t="s">
        <v>4592</v>
      </c>
      <c r="J1647" s="346">
        <f t="shared" si="19"/>
        <v>1</v>
      </c>
      <c r="K1647" s="28" t="str">
        <f t="shared" si="24"/>
        <v/>
      </c>
      <c r="L1647" s="45" t="str">
        <f t="shared" si="25"/>
        <v/>
      </c>
      <c r="M1647" s="45" t="str">
        <f t="shared" si="26"/>
        <v/>
      </c>
      <c r="N1647" s="45" t="str">
        <f t="shared" si="27"/>
        <v/>
      </c>
      <c r="O1647" s="45" t="str">
        <f t="shared" si="28"/>
        <v/>
      </c>
      <c r="P1647" s="45" t="str">
        <f t="shared" si="29"/>
        <v/>
      </c>
    </row>
    <row r="1648" spans="1:16" ht="17.25">
      <c r="A1648" s="276" t="s">
        <v>6851</v>
      </c>
      <c r="B1648" s="277">
        <v>2010</v>
      </c>
      <c r="C1648" s="276" t="s">
        <v>6852</v>
      </c>
      <c r="D1648" s="277">
        <v>20525274</v>
      </c>
      <c r="E1648" s="278" t="str">
        <f t="shared" si="23"/>
        <v>https://pubmed.ncbi.nlm.nih.gov/20525274</v>
      </c>
      <c r="F1648" s="28" t="s">
        <v>511</v>
      </c>
      <c r="G1648" s="28" t="s">
        <v>4744</v>
      </c>
      <c r="J1648" s="346" t="str">
        <f t="shared" si="19"/>
        <v/>
      </c>
      <c r="K1648" s="28" t="str">
        <f t="shared" si="24"/>
        <v/>
      </c>
      <c r="L1648" s="45" t="str">
        <f t="shared" si="25"/>
        <v/>
      </c>
      <c r="M1648" s="45" t="str">
        <f t="shared" si="26"/>
        <v/>
      </c>
      <c r="N1648" s="45">
        <f t="shared" si="27"/>
        <v>1</v>
      </c>
      <c r="O1648" s="45" t="str">
        <f t="shared" si="28"/>
        <v/>
      </c>
      <c r="P1648" s="45" t="str">
        <f t="shared" si="29"/>
        <v/>
      </c>
    </row>
    <row r="1649" spans="1:16" ht="17.25">
      <c r="A1649" s="276" t="s">
        <v>6853</v>
      </c>
      <c r="B1649" s="277">
        <v>2006</v>
      </c>
      <c r="C1649" s="276"/>
      <c r="D1649" s="277">
        <v>16899204</v>
      </c>
      <c r="E1649" s="278" t="str">
        <f t="shared" si="23"/>
        <v>https://pubmed.ncbi.nlm.nih.gov/16899204</v>
      </c>
      <c r="F1649" s="28" t="s">
        <v>511</v>
      </c>
      <c r="G1649" s="28" t="s">
        <v>4592</v>
      </c>
      <c r="J1649" s="346">
        <f t="shared" si="19"/>
        <v>1</v>
      </c>
      <c r="K1649" s="28" t="str">
        <f t="shared" si="24"/>
        <v/>
      </c>
      <c r="L1649" s="45" t="str">
        <f t="shared" si="25"/>
        <v/>
      </c>
      <c r="M1649" s="45" t="str">
        <f t="shared" si="26"/>
        <v/>
      </c>
      <c r="N1649" s="45" t="str">
        <f t="shared" si="27"/>
        <v/>
      </c>
      <c r="O1649" s="45" t="str">
        <f t="shared" si="28"/>
        <v/>
      </c>
      <c r="P1649" s="45" t="str">
        <f t="shared" si="29"/>
        <v/>
      </c>
    </row>
    <row r="1650" spans="1:16" ht="17.25">
      <c r="A1650" s="276" t="s">
        <v>6854</v>
      </c>
      <c r="B1650" s="277">
        <v>2009</v>
      </c>
      <c r="C1650" s="276"/>
      <c r="D1650" s="277">
        <v>19183164</v>
      </c>
      <c r="E1650" s="278" t="str">
        <f t="shared" si="23"/>
        <v>https://pubmed.ncbi.nlm.nih.gov/19183164</v>
      </c>
      <c r="F1650" s="28" t="s">
        <v>511</v>
      </c>
      <c r="G1650" s="28" t="s">
        <v>5299</v>
      </c>
      <c r="I1650" s="28" t="s">
        <v>6429</v>
      </c>
      <c r="J1650" s="346" t="str">
        <f t="shared" si="19"/>
        <v/>
      </c>
      <c r="K1650" s="28" t="str">
        <f t="shared" si="24"/>
        <v/>
      </c>
      <c r="L1650" s="45" t="str">
        <f t="shared" si="25"/>
        <v/>
      </c>
      <c r="M1650" s="45" t="str">
        <f t="shared" si="26"/>
        <v/>
      </c>
      <c r="N1650" s="45">
        <f t="shared" si="27"/>
        <v>1</v>
      </c>
      <c r="O1650" s="45" t="str">
        <f t="shared" si="28"/>
        <v/>
      </c>
      <c r="P1650" s="45" t="str">
        <f t="shared" si="29"/>
        <v/>
      </c>
    </row>
    <row r="1651" spans="1:16" ht="17.25">
      <c r="A1651" s="276" t="s">
        <v>6855</v>
      </c>
      <c r="B1651" s="277">
        <v>2016</v>
      </c>
      <c r="C1651" s="276" t="s">
        <v>6856</v>
      </c>
      <c r="D1651" s="277">
        <v>26847922</v>
      </c>
      <c r="E1651" s="278" t="str">
        <f t="shared" si="23"/>
        <v>https://pubmed.ncbi.nlm.nih.gov/26847922</v>
      </c>
      <c r="F1651" s="28" t="s">
        <v>511</v>
      </c>
      <c r="G1651" s="28" t="s">
        <v>4867</v>
      </c>
      <c r="J1651" s="346" t="str">
        <f t="shared" si="19"/>
        <v/>
      </c>
      <c r="K1651" s="28" t="str">
        <f t="shared" si="24"/>
        <v/>
      </c>
      <c r="L1651" s="45" t="str">
        <f t="shared" si="25"/>
        <v/>
      </c>
      <c r="M1651" s="45" t="str">
        <f t="shared" si="26"/>
        <v/>
      </c>
      <c r="N1651" s="45">
        <f t="shared" si="27"/>
        <v>1</v>
      </c>
      <c r="O1651" s="45" t="str">
        <f t="shared" si="28"/>
        <v/>
      </c>
      <c r="P1651" s="45" t="str">
        <f t="shared" si="29"/>
        <v/>
      </c>
    </row>
    <row r="1652" spans="1:16" ht="17.25">
      <c r="A1652" s="276" t="s">
        <v>6857</v>
      </c>
      <c r="B1652" s="277">
        <v>2016</v>
      </c>
      <c r="C1652" s="276"/>
      <c r="D1652" s="277">
        <v>27252452</v>
      </c>
      <c r="E1652" s="278" t="str">
        <f t="shared" si="23"/>
        <v>https://pubmed.ncbi.nlm.nih.gov/27252452</v>
      </c>
      <c r="F1652" s="28" t="s">
        <v>511</v>
      </c>
      <c r="G1652" s="28" t="s">
        <v>4592</v>
      </c>
      <c r="J1652" s="346">
        <f t="shared" si="19"/>
        <v>1</v>
      </c>
      <c r="K1652" s="28" t="str">
        <f t="shared" si="24"/>
        <v/>
      </c>
      <c r="L1652" s="45" t="str">
        <f t="shared" si="25"/>
        <v/>
      </c>
      <c r="M1652" s="45" t="str">
        <f t="shared" si="26"/>
        <v/>
      </c>
      <c r="N1652" s="45" t="str">
        <f t="shared" si="27"/>
        <v/>
      </c>
      <c r="O1652" s="45" t="str">
        <f t="shared" si="28"/>
        <v/>
      </c>
      <c r="P1652" s="45" t="str">
        <f t="shared" si="29"/>
        <v/>
      </c>
    </row>
    <row r="1653" spans="1:16" ht="17.25">
      <c r="A1653" s="276" t="s">
        <v>6858</v>
      </c>
      <c r="B1653" s="277">
        <v>2011</v>
      </c>
      <c r="C1653" s="276"/>
      <c r="D1653" s="277">
        <v>21489779</v>
      </c>
      <c r="E1653" s="278" t="str">
        <f t="shared" si="23"/>
        <v>https://pubmed.ncbi.nlm.nih.gov/21489779</v>
      </c>
      <c r="F1653" s="28" t="s">
        <v>511</v>
      </c>
      <c r="G1653" s="28" t="s">
        <v>4765</v>
      </c>
      <c r="J1653" s="346" t="str">
        <f t="shared" si="19"/>
        <v/>
      </c>
      <c r="K1653" s="28" t="str">
        <f t="shared" si="24"/>
        <v/>
      </c>
      <c r="L1653" s="45" t="str">
        <f t="shared" si="25"/>
        <v/>
      </c>
      <c r="M1653" s="45" t="str">
        <f t="shared" si="26"/>
        <v/>
      </c>
      <c r="N1653" s="45" t="str">
        <f t="shared" si="27"/>
        <v/>
      </c>
      <c r="O1653" s="45">
        <f t="shared" si="28"/>
        <v>1</v>
      </c>
      <c r="P1653" s="45" t="str">
        <f t="shared" si="29"/>
        <v/>
      </c>
    </row>
    <row r="1654" spans="1:16" ht="17.25">
      <c r="A1654" s="276" t="s">
        <v>6859</v>
      </c>
      <c r="B1654" s="277">
        <v>2012</v>
      </c>
      <c r="C1654" s="276"/>
      <c r="D1654" s="277">
        <v>24236468</v>
      </c>
      <c r="E1654" s="278" t="str">
        <f t="shared" si="23"/>
        <v>https://pubmed.ncbi.nlm.nih.gov/24236468</v>
      </c>
      <c r="F1654" s="28" t="s">
        <v>511</v>
      </c>
      <c r="G1654" s="28" t="s">
        <v>4592</v>
      </c>
      <c r="J1654" s="346">
        <f t="shared" si="19"/>
        <v>1</v>
      </c>
      <c r="K1654" s="28" t="str">
        <f t="shared" si="24"/>
        <v/>
      </c>
      <c r="L1654" s="45" t="str">
        <f t="shared" si="25"/>
        <v/>
      </c>
      <c r="M1654" s="45" t="str">
        <f t="shared" si="26"/>
        <v/>
      </c>
      <c r="N1654" s="45" t="str">
        <f t="shared" si="27"/>
        <v/>
      </c>
      <c r="O1654" s="45" t="str">
        <f t="shared" si="28"/>
        <v/>
      </c>
      <c r="P1654" s="45" t="str">
        <f t="shared" si="29"/>
        <v/>
      </c>
    </row>
    <row r="1655" spans="1:16" ht="17.25">
      <c r="A1655" s="276" t="s">
        <v>6860</v>
      </c>
      <c r="B1655" s="277">
        <v>2013</v>
      </c>
      <c r="C1655" s="276" t="s">
        <v>6861</v>
      </c>
      <c r="D1655" s="277">
        <v>24041408</v>
      </c>
      <c r="E1655" s="278" t="str">
        <f t="shared" si="23"/>
        <v>https://pubmed.ncbi.nlm.nih.gov/24041408</v>
      </c>
      <c r="F1655" s="28" t="s">
        <v>511</v>
      </c>
      <c r="G1655" s="28" t="s">
        <v>5299</v>
      </c>
      <c r="J1655" s="346" t="str">
        <f t="shared" si="19"/>
        <v/>
      </c>
      <c r="K1655" s="28" t="str">
        <f t="shared" si="24"/>
        <v/>
      </c>
      <c r="L1655" s="45" t="str">
        <f t="shared" si="25"/>
        <v/>
      </c>
      <c r="M1655" s="45" t="str">
        <f t="shared" si="26"/>
        <v/>
      </c>
      <c r="N1655" s="45">
        <f t="shared" si="27"/>
        <v>1</v>
      </c>
      <c r="O1655" s="45" t="str">
        <f t="shared" si="28"/>
        <v/>
      </c>
      <c r="P1655" s="45" t="str">
        <f t="shared" si="29"/>
        <v/>
      </c>
    </row>
    <row r="1656" spans="1:16" ht="17.25">
      <c r="A1656" s="276" t="s">
        <v>6862</v>
      </c>
      <c r="B1656" s="277">
        <v>2010</v>
      </c>
      <c r="C1656" s="276"/>
      <c r="D1656" s="277">
        <v>20331461</v>
      </c>
      <c r="E1656" s="278" t="str">
        <f t="shared" si="23"/>
        <v>https://pubmed.ncbi.nlm.nih.gov/20331461</v>
      </c>
      <c r="F1656" s="28" t="s">
        <v>511</v>
      </c>
      <c r="G1656" s="28" t="s">
        <v>5157</v>
      </c>
      <c r="J1656" s="346" t="str">
        <f t="shared" si="19"/>
        <v/>
      </c>
      <c r="K1656" s="28" t="str">
        <f t="shared" si="24"/>
        <v/>
      </c>
      <c r="L1656" s="45" t="str">
        <f t="shared" si="25"/>
        <v/>
      </c>
      <c r="M1656" s="45" t="str">
        <f t="shared" si="26"/>
        <v/>
      </c>
      <c r="N1656" s="45">
        <f t="shared" si="27"/>
        <v>1</v>
      </c>
      <c r="O1656" s="45" t="str">
        <f t="shared" si="28"/>
        <v/>
      </c>
      <c r="P1656" s="45" t="str">
        <f t="shared" si="29"/>
        <v/>
      </c>
    </row>
    <row r="1657" spans="1:16" ht="17.25">
      <c r="A1657" s="276" t="s">
        <v>6863</v>
      </c>
      <c r="B1657" s="277">
        <v>2006</v>
      </c>
      <c r="C1657" s="276"/>
      <c r="D1657" s="277">
        <v>17192129</v>
      </c>
      <c r="E1657" s="278" t="str">
        <f t="shared" si="23"/>
        <v>https://pubmed.ncbi.nlm.nih.gov/17192129</v>
      </c>
      <c r="F1657" s="28" t="s">
        <v>511</v>
      </c>
      <c r="G1657" s="28" t="s">
        <v>4744</v>
      </c>
      <c r="J1657" s="346" t="str">
        <f t="shared" si="19"/>
        <v/>
      </c>
      <c r="K1657" s="28" t="str">
        <f t="shared" si="24"/>
        <v/>
      </c>
      <c r="L1657" s="45" t="str">
        <f t="shared" si="25"/>
        <v/>
      </c>
      <c r="M1657" s="45" t="str">
        <f t="shared" si="26"/>
        <v/>
      </c>
      <c r="N1657" s="45">
        <f t="shared" si="27"/>
        <v>1</v>
      </c>
      <c r="O1657" s="45" t="str">
        <f t="shared" si="28"/>
        <v/>
      </c>
      <c r="P1657" s="45" t="str">
        <f t="shared" si="29"/>
        <v/>
      </c>
    </row>
    <row r="1658" spans="1:16" ht="17.25">
      <c r="A1658" s="276" t="s">
        <v>6864</v>
      </c>
      <c r="B1658" s="277">
        <v>2019</v>
      </c>
      <c r="C1658" s="276" t="s">
        <v>6865</v>
      </c>
      <c r="D1658" s="277">
        <v>30794314</v>
      </c>
      <c r="E1658" s="278" t="str">
        <f t="shared" si="23"/>
        <v>https://pubmed.ncbi.nlm.nih.gov/30794314</v>
      </c>
      <c r="F1658" s="28" t="s">
        <v>511</v>
      </c>
      <c r="G1658" s="28" t="s">
        <v>4744</v>
      </c>
      <c r="I1658" s="28" t="s">
        <v>6429</v>
      </c>
      <c r="J1658" s="346" t="str">
        <f t="shared" si="19"/>
        <v/>
      </c>
      <c r="K1658" s="28" t="str">
        <f t="shared" si="24"/>
        <v/>
      </c>
      <c r="L1658" s="45" t="str">
        <f t="shared" si="25"/>
        <v/>
      </c>
      <c r="M1658" s="45" t="str">
        <f t="shared" si="26"/>
        <v/>
      </c>
      <c r="N1658" s="45">
        <f t="shared" si="27"/>
        <v>1</v>
      </c>
      <c r="O1658" s="45" t="str">
        <f t="shared" si="28"/>
        <v/>
      </c>
      <c r="P1658" s="45" t="str">
        <f t="shared" si="29"/>
        <v/>
      </c>
    </row>
    <row r="1659" spans="1:16" ht="17.25">
      <c r="A1659" s="276" t="s">
        <v>6866</v>
      </c>
      <c r="B1659" s="277">
        <v>2007</v>
      </c>
      <c r="C1659" s="276"/>
      <c r="D1659" s="277">
        <v>17872493</v>
      </c>
      <c r="E1659" s="278" t="str">
        <f t="shared" si="23"/>
        <v>https://pubmed.ncbi.nlm.nih.gov/17872493</v>
      </c>
      <c r="F1659" s="28" t="s">
        <v>511</v>
      </c>
      <c r="G1659" s="28" t="s">
        <v>5157</v>
      </c>
      <c r="J1659" s="346" t="str">
        <f t="shared" si="19"/>
        <v/>
      </c>
      <c r="K1659" s="28" t="str">
        <f t="shared" si="24"/>
        <v/>
      </c>
      <c r="L1659" s="45" t="str">
        <f t="shared" si="25"/>
        <v/>
      </c>
      <c r="M1659" s="45" t="str">
        <f t="shared" si="26"/>
        <v/>
      </c>
      <c r="N1659" s="45">
        <f t="shared" si="27"/>
        <v>1</v>
      </c>
      <c r="O1659" s="45" t="str">
        <f t="shared" si="28"/>
        <v/>
      </c>
      <c r="P1659" s="45" t="str">
        <f t="shared" si="29"/>
        <v/>
      </c>
    </row>
    <row r="1660" spans="1:16" ht="17.25">
      <c r="A1660" s="276" t="s">
        <v>6867</v>
      </c>
      <c r="B1660" s="277">
        <v>2019</v>
      </c>
      <c r="C1660" s="276"/>
      <c r="D1660" s="277">
        <v>30934066</v>
      </c>
      <c r="E1660" s="278" t="str">
        <f t="shared" si="23"/>
        <v>https://pubmed.ncbi.nlm.nih.gov/30934066</v>
      </c>
      <c r="F1660" s="28" t="s">
        <v>511</v>
      </c>
      <c r="G1660" s="28" t="s">
        <v>4744</v>
      </c>
      <c r="J1660" s="346" t="str">
        <f t="shared" si="19"/>
        <v/>
      </c>
      <c r="K1660" s="28" t="str">
        <f t="shared" si="24"/>
        <v/>
      </c>
      <c r="L1660" s="45" t="str">
        <f t="shared" si="25"/>
        <v/>
      </c>
      <c r="M1660" s="45" t="str">
        <f t="shared" si="26"/>
        <v/>
      </c>
      <c r="N1660" s="45">
        <f t="shared" si="27"/>
        <v>1</v>
      </c>
      <c r="O1660" s="45" t="str">
        <f t="shared" si="28"/>
        <v/>
      </c>
      <c r="P1660" s="45" t="str">
        <f t="shared" si="29"/>
        <v/>
      </c>
    </row>
    <row r="1661" spans="1:16" ht="17.25">
      <c r="A1661" s="276" t="s">
        <v>6868</v>
      </c>
      <c r="B1661" s="277">
        <v>2018</v>
      </c>
      <c r="C1661" s="276"/>
      <c r="D1661" s="277">
        <v>29188358</v>
      </c>
      <c r="E1661" s="278" t="str">
        <f t="shared" si="23"/>
        <v>https://pubmed.ncbi.nlm.nih.gov/29188358</v>
      </c>
      <c r="F1661" s="28" t="s">
        <v>511</v>
      </c>
      <c r="G1661" s="28" t="s">
        <v>4592</v>
      </c>
      <c r="J1661" s="346">
        <f t="shared" si="19"/>
        <v>1</v>
      </c>
      <c r="K1661" s="28" t="str">
        <f t="shared" si="24"/>
        <v/>
      </c>
      <c r="L1661" s="45" t="str">
        <f t="shared" si="25"/>
        <v/>
      </c>
      <c r="M1661" s="45" t="str">
        <f t="shared" si="26"/>
        <v/>
      </c>
      <c r="N1661" s="45" t="str">
        <f t="shared" si="27"/>
        <v/>
      </c>
      <c r="O1661" s="45" t="str">
        <f t="shared" si="28"/>
        <v/>
      </c>
      <c r="P1661" s="45" t="str">
        <f t="shared" si="29"/>
        <v/>
      </c>
    </row>
    <row r="1662" spans="1:16" ht="17.25">
      <c r="A1662" s="276" t="s">
        <v>6869</v>
      </c>
      <c r="B1662" s="277">
        <v>2013</v>
      </c>
      <c r="C1662" s="276"/>
      <c r="D1662" s="277">
        <v>24302466</v>
      </c>
      <c r="E1662" s="278" t="str">
        <f t="shared" si="23"/>
        <v>https://pubmed.ncbi.nlm.nih.gov/24302466</v>
      </c>
      <c r="F1662" s="28" t="s">
        <v>511</v>
      </c>
      <c r="G1662" s="28" t="s">
        <v>4592</v>
      </c>
      <c r="J1662" s="346">
        <f t="shared" si="19"/>
        <v>1</v>
      </c>
      <c r="K1662" s="28" t="str">
        <f t="shared" si="24"/>
        <v/>
      </c>
      <c r="L1662" s="45" t="str">
        <f t="shared" si="25"/>
        <v/>
      </c>
      <c r="M1662" s="45" t="str">
        <f t="shared" si="26"/>
        <v/>
      </c>
      <c r="N1662" s="45" t="str">
        <f t="shared" si="27"/>
        <v/>
      </c>
      <c r="O1662" s="45" t="str">
        <f t="shared" si="28"/>
        <v/>
      </c>
      <c r="P1662" s="45" t="str">
        <f t="shared" si="29"/>
        <v/>
      </c>
    </row>
    <row r="1663" spans="1:16" ht="17.25">
      <c r="A1663" s="276" t="s">
        <v>6870</v>
      </c>
      <c r="B1663" s="277">
        <v>2007</v>
      </c>
      <c r="C1663" s="276"/>
      <c r="D1663" s="277">
        <v>18039501</v>
      </c>
      <c r="E1663" s="278" t="str">
        <f t="shared" si="23"/>
        <v>https://pubmed.ncbi.nlm.nih.gov/18039501</v>
      </c>
      <c r="F1663" s="28" t="s">
        <v>511</v>
      </c>
      <c r="G1663" s="28" t="s">
        <v>4744</v>
      </c>
      <c r="J1663" s="346" t="str">
        <f t="shared" si="19"/>
        <v/>
      </c>
      <c r="K1663" s="28" t="str">
        <f t="shared" si="24"/>
        <v/>
      </c>
      <c r="L1663" s="45" t="str">
        <f t="shared" si="25"/>
        <v/>
      </c>
      <c r="M1663" s="45" t="str">
        <f t="shared" si="26"/>
        <v/>
      </c>
      <c r="N1663" s="45">
        <f t="shared" si="27"/>
        <v>1</v>
      </c>
      <c r="O1663" s="45" t="str">
        <f t="shared" si="28"/>
        <v/>
      </c>
      <c r="P1663" s="45" t="str">
        <f t="shared" si="29"/>
        <v/>
      </c>
    </row>
    <row r="1664" spans="1:16" ht="17.25">
      <c r="A1664" s="276" t="s">
        <v>6871</v>
      </c>
      <c r="B1664" s="277">
        <v>2018</v>
      </c>
      <c r="C1664" s="276"/>
      <c r="D1664" s="277">
        <v>30266608</v>
      </c>
      <c r="E1664" s="278" t="str">
        <f t="shared" si="23"/>
        <v>https://pubmed.ncbi.nlm.nih.gov/30266608</v>
      </c>
      <c r="F1664" s="28" t="s">
        <v>511</v>
      </c>
      <c r="G1664" s="28" t="s">
        <v>5157</v>
      </c>
      <c r="J1664" s="346" t="str">
        <f t="shared" si="19"/>
        <v/>
      </c>
      <c r="K1664" s="28" t="str">
        <f t="shared" si="24"/>
        <v/>
      </c>
      <c r="L1664" s="45" t="str">
        <f t="shared" si="25"/>
        <v/>
      </c>
      <c r="M1664" s="45" t="str">
        <f t="shared" si="26"/>
        <v/>
      </c>
      <c r="N1664" s="45">
        <f t="shared" si="27"/>
        <v>1</v>
      </c>
      <c r="O1664" s="45" t="str">
        <f t="shared" si="28"/>
        <v/>
      </c>
      <c r="P1664" s="45" t="str">
        <f t="shared" si="29"/>
        <v/>
      </c>
    </row>
    <row r="1665" spans="1:16" ht="17.25">
      <c r="A1665" s="276" t="s">
        <v>6872</v>
      </c>
      <c r="B1665" s="277">
        <v>1999</v>
      </c>
      <c r="C1665" s="276"/>
      <c r="D1665" s="277">
        <v>9990745</v>
      </c>
      <c r="E1665" s="278" t="str">
        <f t="shared" si="23"/>
        <v>https://pubmed.ncbi.nlm.nih.gov/9990745</v>
      </c>
      <c r="F1665" s="28" t="s">
        <v>511</v>
      </c>
      <c r="G1665" s="28" t="s">
        <v>4744</v>
      </c>
      <c r="J1665" s="346" t="str">
        <f t="shared" si="19"/>
        <v/>
      </c>
      <c r="K1665" s="28" t="str">
        <f t="shared" si="24"/>
        <v/>
      </c>
      <c r="L1665" s="45" t="str">
        <f t="shared" si="25"/>
        <v/>
      </c>
      <c r="M1665" s="45" t="str">
        <f t="shared" si="26"/>
        <v/>
      </c>
      <c r="N1665" s="45">
        <f t="shared" si="27"/>
        <v>1</v>
      </c>
      <c r="O1665" s="45" t="str">
        <f t="shared" si="28"/>
        <v/>
      </c>
      <c r="P1665" s="45" t="str">
        <f t="shared" si="29"/>
        <v/>
      </c>
    </row>
    <row r="1666" spans="1:16" ht="17.25">
      <c r="A1666" s="276" t="s">
        <v>6873</v>
      </c>
      <c r="B1666" s="277">
        <v>2018</v>
      </c>
      <c r="C1666" s="276" t="s">
        <v>6874</v>
      </c>
      <c r="D1666" s="277">
        <v>29563196</v>
      </c>
      <c r="E1666" s="278" t="str">
        <f t="shared" si="23"/>
        <v>https://pubmed.ncbi.nlm.nih.gov/29563196</v>
      </c>
      <c r="F1666" s="28" t="s">
        <v>511</v>
      </c>
      <c r="G1666" s="28" t="s">
        <v>4744</v>
      </c>
      <c r="J1666" s="346" t="str">
        <f t="shared" si="19"/>
        <v/>
      </c>
      <c r="K1666" s="28" t="str">
        <f t="shared" si="24"/>
        <v/>
      </c>
      <c r="L1666" s="45" t="str">
        <f t="shared" si="25"/>
        <v/>
      </c>
      <c r="M1666" s="45" t="str">
        <f t="shared" si="26"/>
        <v/>
      </c>
      <c r="N1666" s="45">
        <f t="shared" si="27"/>
        <v>1</v>
      </c>
      <c r="O1666" s="45" t="str">
        <f t="shared" si="28"/>
        <v/>
      </c>
      <c r="P1666" s="45" t="str">
        <f t="shared" si="29"/>
        <v/>
      </c>
    </row>
    <row r="1667" spans="1:16" ht="17.25">
      <c r="A1667" s="276" t="s">
        <v>6875</v>
      </c>
      <c r="B1667" s="277">
        <v>2014</v>
      </c>
      <c r="C1667" s="276" t="s">
        <v>6876</v>
      </c>
      <c r="D1667" s="277">
        <v>24484547</v>
      </c>
      <c r="E1667" s="278" t="str">
        <f t="shared" si="23"/>
        <v>https://pubmed.ncbi.nlm.nih.gov/24484547</v>
      </c>
      <c r="F1667" s="28" t="s">
        <v>511</v>
      </c>
      <c r="G1667" s="28" t="s">
        <v>4744</v>
      </c>
      <c r="J1667" s="346" t="str">
        <f t="shared" si="19"/>
        <v/>
      </c>
      <c r="K1667" s="28" t="str">
        <f t="shared" si="24"/>
        <v/>
      </c>
      <c r="L1667" s="45" t="str">
        <f t="shared" si="25"/>
        <v/>
      </c>
      <c r="M1667" s="45" t="str">
        <f t="shared" si="26"/>
        <v/>
      </c>
      <c r="N1667" s="45">
        <f t="shared" si="27"/>
        <v>1</v>
      </c>
      <c r="O1667" s="45" t="str">
        <f t="shared" si="28"/>
        <v/>
      </c>
      <c r="P1667" s="45" t="str">
        <f t="shared" si="29"/>
        <v/>
      </c>
    </row>
    <row r="1668" spans="1:16" ht="17.25">
      <c r="A1668" s="276" t="s">
        <v>6877</v>
      </c>
      <c r="B1668" s="277">
        <v>2008</v>
      </c>
      <c r="C1668" s="276"/>
      <c r="D1668" s="277">
        <v>18053020</v>
      </c>
      <c r="E1668" s="278" t="str">
        <f t="shared" si="23"/>
        <v>https://pubmed.ncbi.nlm.nih.gov/18053020</v>
      </c>
      <c r="F1668" s="28" t="s">
        <v>511</v>
      </c>
      <c r="G1668" s="28" t="s">
        <v>5299</v>
      </c>
      <c r="I1668" s="28" t="s">
        <v>6878</v>
      </c>
      <c r="J1668" s="346" t="str">
        <f t="shared" si="19"/>
        <v/>
      </c>
      <c r="K1668" s="28" t="str">
        <f t="shared" si="24"/>
        <v/>
      </c>
      <c r="L1668" s="45" t="str">
        <f t="shared" si="25"/>
        <v/>
      </c>
      <c r="M1668" s="45" t="str">
        <f t="shared" si="26"/>
        <v/>
      </c>
      <c r="N1668" s="45">
        <f t="shared" si="27"/>
        <v>1</v>
      </c>
      <c r="O1668" s="45" t="str">
        <f t="shared" si="28"/>
        <v/>
      </c>
      <c r="P1668" s="45" t="str">
        <f t="shared" si="29"/>
        <v/>
      </c>
    </row>
    <row r="1669" spans="1:16" ht="17.25">
      <c r="A1669" s="276" t="s">
        <v>6879</v>
      </c>
      <c r="B1669" s="277">
        <v>2013</v>
      </c>
      <c r="C1669" s="276"/>
      <c r="D1669" s="277">
        <v>24429275</v>
      </c>
      <c r="E1669" s="278" t="str">
        <f t="shared" si="23"/>
        <v>https://pubmed.ncbi.nlm.nih.gov/24429275</v>
      </c>
      <c r="F1669" s="28" t="s">
        <v>511</v>
      </c>
      <c r="G1669" s="28" t="s">
        <v>5299</v>
      </c>
      <c r="J1669" s="346" t="str">
        <f t="shared" si="19"/>
        <v/>
      </c>
      <c r="K1669" s="28" t="str">
        <f t="shared" si="24"/>
        <v/>
      </c>
      <c r="L1669" s="45" t="str">
        <f t="shared" si="25"/>
        <v/>
      </c>
      <c r="M1669" s="45" t="str">
        <f t="shared" si="26"/>
        <v/>
      </c>
      <c r="N1669" s="45">
        <f t="shared" si="27"/>
        <v>1</v>
      </c>
      <c r="O1669" s="45" t="str">
        <f t="shared" si="28"/>
        <v/>
      </c>
      <c r="P1669" s="45" t="str">
        <f t="shared" si="29"/>
        <v/>
      </c>
    </row>
    <row r="1670" spans="1:16" ht="17.25">
      <c r="A1670" s="276" t="s">
        <v>6880</v>
      </c>
      <c r="B1670" s="277">
        <v>2012</v>
      </c>
      <c r="C1670" s="276"/>
      <c r="D1670" s="277">
        <v>22622405</v>
      </c>
      <c r="E1670" s="278" t="str">
        <f t="shared" si="23"/>
        <v>https://pubmed.ncbi.nlm.nih.gov/22622405</v>
      </c>
      <c r="F1670" s="28" t="s">
        <v>511</v>
      </c>
      <c r="G1670" s="28" t="s">
        <v>4867</v>
      </c>
      <c r="J1670" s="346" t="str">
        <f t="shared" si="19"/>
        <v/>
      </c>
      <c r="K1670" s="28" t="str">
        <f t="shared" si="24"/>
        <v/>
      </c>
      <c r="L1670" s="45" t="str">
        <f t="shared" si="25"/>
        <v/>
      </c>
      <c r="M1670" s="45" t="str">
        <f t="shared" si="26"/>
        <v/>
      </c>
      <c r="N1670" s="45">
        <f t="shared" si="27"/>
        <v>1</v>
      </c>
      <c r="O1670" s="45" t="str">
        <f t="shared" si="28"/>
        <v/>
      </c>
      <c r="P1670" s="45" t="str">
        <f t="shared" si="29"/>
        <v/>
      </c>
    </row>
    <row r="1671" spans="1:16" ht="17.25">
      <c r="A1671" s="276" t="s">
        <v>6881</v>
      </c>
      <c r="B1671" s="277">
        <v>2018</v>
      </c>
      <c r="C1671" s="276" t="s">
        <v>6882</v>
      </c>
      <c r="D1671" s="277">
        <v>30518685</v>
      </c>
      <c r="E1671" s="278" t="str">
        <f t="shared" si="23"/>
        <v>https://pubmed.ncbi.nlm.nih.gov/30518685</v>
      </c>
      <c r="F1671" s="28" t="s">
        <v>511</v>
      </c>
      <c r="G1671" s="28" t="s">
        <v>4744</v>
      </c>
      <c r="J1671" s="346" t="str">
        <f t="shared" si="19"/>
        <v/>
      </c>
      <c r="K1671" s="28" t="str">
        <f t="shared" si="24"/>
        <v/>
      </c>
      <c r="L1671" s="45" t="str">
        <f t="shared" si="25"/>
        <v/>
      </c>
      <c r="M1671" s="45" t="str">
        <f t="shared" si="26"/>
        <v/>
      </c>
      <c r="N1671" s="45">
        <f t="shared" si="27"/>
        <v>1</v>
      </c>
      <c r="O1671" s="45" t="str">
        <f t="shared" si="28"/>
        <v/>
      </c>
      <c r="P1671" s="45" t="str">
        <f t="shared" si="29"/>
        <v/>
      </c>
    </row>
    <row r="1672" spans="1:16" ht="17.25">
      <c r="A1672" s="276" t="s">
        <v>6883</v>
      </c>
      <c r="B1672" s="277">
        <v>2020</v>
      </c>
      <c r="C1672" s="276" t="s">
        <v>6884</v>
      </c>
      <c r="D1672" s="277">
        <v>31996161</v>
      </c>
      <c r="E1672" s="278" t="str">
        <f t="shared" si="23"/>
        <v>https://pubmed.ncbi.nlm.nih.gov/31996161</v>
      </c>
      <c r="F1672" s="28" t="s">
        <v>511</v>
      </c>
      <c r="G1672" s="28" t="s">
        <v>6885</v>
      </c>
      <c r="J1672" s="346" t="str">
        <f t="shared" si="19"/>
        <v/>
      </c>
      <c r="K1672" s="28" t="str">
        <f t="shared" si="24"/>
        <v/>
      </c>
      <c r="L1672" s="45" t="str">
        <f t="shared" si="25"/>
        <v/>
      </c>
      <c r="M1672" s="45" t="str">
        <f t="shared" si="26"/>
        <v/>
      </c>
      <c r="N1672" s="45">
        <f t="shared" si="27"/>
        <v>1</v>
      </c>
      <c r="O1672" s="45" t="str">
        <f t="shared" si="28"/>
        <v/>
      </c>
      <c r="P1672" s="45" t="str">
        <f t="shared" si="29"/>
        <v/>
      </c>
    </row>
    <row r="1673" spans="1:16" ht="17.25">
      <c r="A1673" s="276" t="s">
        <v>6886</v>
      </c>
      <c r="B1673" s="277">
        <v>2017</v>
      </c>
      <c r="C1673" s="276"/>
      <c r="D1673" s="277">
        <v>28111876</v>
      </c>
      <c r="E1673" s="278" t="str">
        <f t="shared" si="23"/>
        <v>https://pubmed.ncbi.nlm.nih.gov/28111876</v>
      </c>
      <c r="F1673" s="28" t="s">
        <v>511</v>
      </c>
      <c r="G1673" s="28" t="s">
        <v>4592</v>
      </c>
      <c r="J1673" s="346">
        <f t="shared" si="19"/>
        <v>1</v>
      </c>
      <c r="K1673" s="28" t="str">
        <f t="shared" si="24"/>
        <v/>
      </c>
      <c r="L1673" s="45" t="str">
        <f t="shared" si="25"/>
        <v/>
      </c>
      <c r="M1673" s="45" t="str">
        <f t="shared" si="26"/>
        <v/>
      </c>
      <c r="N1673" s="45" t="str">
        <f t="shared" si="27"/>
        <v/>
      </c>
      <c r="O1673" s="45" t="str">
        <f t="shared" si="28"/>
        <v/>
      </c>
      <c r="P1673" s="45" t="str">
        <f t="shared" si="29"/>
        <v/>
      </c>
    </row>
    <row r="1674" spans="1:16" ht="17.25">
      <c r="A1674" s="276" t="s">
        <v>6887</v>
      </c>
      <c r="B1674" s="277">
        <v>2012</v>
      </c>
      <c r="C1674" s="276" t="s">
        <v>6888</v>
      </c>
      <c r="D1674" s="277">
        <v>23011715</v>
      </c>
      <c r="E1674" s="278" t="str">
        <f t="shared" si="23"/>
        <v>https://pubmed.ncbi.nlm.nih.gov/23011715</v>
      </c>
      <c r="F1674" s="28" t="s">
        <v>511</v>
      </c>
      <c r="G1674" s="28" t="s">
        <v>6458</v>
      </c>
      <c r="J1674" s="346" t="str">
        <f t="shared" si="19"/>
        <v/>
      </c>
      <c r="K1674" s="28">
        <f t="shared" si="24"/>
        <v>1</v>
      </c>
      <c r="L1674" s="45" t="str">
        <f t="shared" si="25"/>
        <v/>
      </c>
      <c r="M1674" s="45" t="str">
        <f t="shared" si="26"/>
        <v/>
      </c>
      <c r="N1674" s="45" t="str">
        <f t="shared" si="27"/>
        <v/>
      </c>
      <c r="O1674" s="45" t="str">
        <f t="shared" si="28"/>
        <v/>
      </c>
      <c r="P1674" s="45" t="str">
        <f t="shared" si="29"/>
        <v/>
      </c>
    </row>
    <row r="1675" spans="1:16" ht="17.25">
      <c r="A1675" s="276" t="s">
        <v>4017</v>
      </c>
      <c r="B1675" s="277">
        <v>2019</v>
      </c>
      <c r="C1675" s="276" t="s">
        <v>6889</v>
      </c>
      <c r="D1675" s="277">
        <v>30675854</v>
      </c>
      <c r="E1675" s="278" t="str">
        <f t="shared" si="23"/>
        <v>https://pubmed.ncbi.nlm.nih.gov/30675854</v>
      </c>
      <c r="H1675" s="28" t="s">
        <v>511</v>
      </c>
      <c r="J1675" s="346" t="str">
        <f t="shared" si="19"/>
        <v/>
      </c>
      <c r="K1675" s="28" t="str">
        <f t="shared" si="24"/>
        <v/>
      </c>
      <c r="L1675" s="45" t="str">
        <f t="shared" si="25"/>
        <v/>
      </c>
      <c r="M1675" s="45" t="str">
        <f t="shared" si="26"/>
        <v/>
      </c>
      <c r="N1675" s="45" t="str">
        <f t="shared" si="27"/>
        <v/>
      </c>
      <c r="O1675" s="45" t="str">
        <f t="shared" si="28"/>
        <v/>
      </c>
      <c r="P1675" s="45" t="str">
        <f t="shared" si="29"/>
        <v/>
      </c>
    </row>
    <row r="1676" spans="1:16" ht="17.25">
      <c r="A1676" s="276" t="s">
        <v>6890</v>
      </c>
      <c r="B1676" s="277">
        <v>2011</v>
      </c>
      <c r="C1676" s="276"/>
      <c r="D1676" s="277">
        <v>21823550</v>
      </c>
      <c r="E1676" s="278" t="str">
        <f t="shared" si="23"/>
        <v>https://pubmed.ncbi.nlm.nih.gov/21823550</v>
      </c>
      <c r="F1676" s="28" t="s">
        <v>511</v>
      </c>
      <c r="G1676" s="28" t="s">
        <v>4744</v>
      </c>
      <c r="J1676" s="346" t="str">
        <f t="shared" si="19"/>
        <v/>
      </c>
      <c r="K1676" s="28" t="str">
        <f t="shared" si="24"/>
        <v/>
      </c>
      <c r="L1676" s="45" t="str">
        <f t="shared" si="25"/>
        <v/>
      </c>
      <c r="M1676" s="45" t="str">
        <f t="shared" si="26"/>
        <v/>
      </c>
      <c r="N1676" s="45">
        <f t="shared" si="27"/>
        <v>1</v>
      </c>
      <c r="O1676" s="45" t="str">
        <f t="shared" si="28"/>
        <v/>
      </c>
      <c r="P1676" s="45" t="str">
        <f t="shared" si="29"/>
        <v/>
      </c>
    </row>
    <row r="1677" spans="1:16" ht="17.25">
      <c r="A1677" s="276" t="s">
        <v>6891</v>
      </c>
      <c r="B1677" s="277">
        <v>2014</v>
      </c>
      <c r="C1677" s="276" t="s">
        <v>6892</v>
      </c>
      <c r="D1677" s="277">
        <v>25269854</v>
      </c>
      <c r="E1677" s="278" t="str">
        <f t="shared" si="23"/>
        <v>https://pubmed.ncbi.nlm.nih.gov/25269854</v>
      </c>
      <c r="F1677" s="28" t="s">
        <v>511</v>
      </c>
      <c r="G1677" s="28" t="s">
        <v>5299</v>
      </c>
      <c r="I1677" s="28" t="s">
        <v>6460</v>
      </c>
      <c r="J1677" s="346" t="str">
        <f t="shared" si="19"/>
        <v/>
      </c>
      <c r="K1677" s="28" t="str">
        <f t="shared" si="24"/>
        <v/>
      </c>
      <c r="L1677" s="45" t="str">
        <f t="shared" si="25"/>
        <v/>
      </c>
      <c r="M1677" s="45" t="str">
        <f t="shared" si="26"/>
        <v/>
      </c>
      <c r="N1677" s="45">
        <f t="shared" si="27"/>
        <v>1</v>
      </c>
      <c r="O1677" s="45" t="str">
        <f t="shared" si="28"/>
        <v/>
      </c>
      <c r="P1677" s="45" t="str">
        <f t="shared" si="29"/>
        <v/>
      </c>
    </row>
    <row r="1678" spans="1:16" ht="17.25">
      <c r="A1678" s="276" t="s">
        <v>6893</v>
      </c>
      <c r="B1678" s="277">
        <v>2018</v>
      </c>
      <c r="C1678" s="276" t="s">
        <v>6894</v>
      </c>
      <c r="D1678" s="277">
        <v>29948739</v>
      </c>
      <c r="E1678" s="278" t="str">
        <f t="shared" si="23"/>
        <v>https://pubmed.ncbi.nlm.nih.gov/29948739</v>
      </c>
      <c r="F1678" s="28" t="s">
        <v>511</v>
      </c>
      <c r="G1678" s="28" t="s">
        <v>4744</v>
      </c>
      <c r="J1678" s="346" t="str">
        <f t="shared" si="19"/>
        <v/>
      </c>
      <c r="K1678" s="28" t="str">
        <f t="shared" si="24"/>
        <v/>
      </c>
      <c r="L1678" s="45" t="str">
        <f t="shared" si="25"/>
        <v/>
      </c>
      <c r="M1678" s="45" t="str">
        <f t="shared" si="26"/>
        <v/>
      </c>
      <c r="N1678" s="45">
        <f t="shared" si="27"/>
        <v>1</v>
      </c>
      <c r="O1678" s="45" t="str">
        <f t="shared" si="28"/>
        <v/>
      </c>
      <c r="P1678" s="45" t="str">
        <f t="shared" si="29"/>
        <v/>
      </c>
    </row>
    <row r="1679" spans="1:16" ht="17.25">
      <c r="A1679" s="276" t="s">
        <v>6895</v>
      </c>
      <c r="B1679" s="277">
        <v>2015</v>
      </c>
      <c r="C1679" s="276"/>
      <c r="D1679" s="277">
        <v>26413879</v>
      </c>
      <c r="E1679" s="278" t="str">
        <f t="shared" si="23"/>
        <v>https://pubmed.ncbi.nlm.nih.gov/26413879</v>
      </c>
      <c r="F1679" s="28" t="s">
        <v>511</v>
      </c>
      <c r="G1679" s="28" t="s">
        <v>5273</v>
      </c>
      <c r="J1679" s="346">
        <f t="shared" si="19"/>
        <v>1</v>
      </c>
      <c r="K1679" s="28" t="str">
        <f t="shared" si="24"/>
        <v/>
      </c>
      <c r="L1679" s="45" t="str">
        <f t="shared" si="25"/>
        <v/>
      </c>
      <c r="M1679" s="45" t="str">
        <f t="shared" si="26"/>
        <v/>
      </c>
      <c r="N1679" s="45" t="str">
        <f t="shared" si="27"/>
        <v/>
      </c>
      <c r="O1679" s="45" t="str">
        <f t="shared" si="28"/>
        <v/>
      </c>
      <c r="P1679" s="45" t="str">
        <f t="shared" si="29"/>
        <v/>
      </c>
    </row>
    <row r="1680" spans="1:16" ht="17.25">
      <c r="A1680" s="276" t="s">
        <v>6896</v>
      </c>
      <c r="B1680" s="277">
        <v>2007</v>
      </c>
      <c r="C1680" s="276"/>
      <c r="D1680" s="277">
        <v>17368522</v>
      </c>
      <c r="E1680" s="278" t="str">
        <f t="shared" si="23"/>
        <v>https://pubmed.ncbi.nlm.nih.gov/17368522</v>
      </c>
      <c r="F1680" s="28" t="s">
        <v>511</v>
      </c>
      <c r="G1680" s="28" t="s">
        <v>4592</v>
      </c>
      <c r="J1680" s="346">
        <f t="shared" si="19"/>
        <v>1</v>
      </c>
      <c r="K1680" s="28" t="str">
        <f t="shared" si="24"/>
        <v/>
      </c>
      <c r="L1680" s="45" t="str">
        <f t="shared" si="25"/>
        <v/>
      </c>
      <c r="M1680" s="45" t="str">
        <f t="shared" si="26"/>
        <v/>
      </c>
      <c r="N1680" s="45" t="str">
        <f t="shared" si="27"/>
        <v/>
      </c>
      <c r="O1680" s="45" t="str">
        <f t="shared" si="28"/>
        <v/>
      </c>
      <c r="P1680" s="45" t="str">
        <f t="shared" si="29"/>
        <v/>
      </c>
    </row>
    <row r="1681" spans="1:16" ht="17.25">
      <c r="A1681" s="276" t="s">
        <v>6897</v>
      </c>
      <c r="B1681" s="277">
        <v>2020</v>
      </c>
      <c r="C1681" s="276"/>
      <c r="D1681" s="277">
        <v>31483689</v>
      </c>
      <c r="E1681" s="278" t="str">
        <f t="shared" si="23"/>
        <v>https://pubmed.ncbi.nlm.nih.gov/31483689</v>
      </c>
      <c r="F1681" s="28" t="s">
        <v>511</v>
      </c>
      <c r="G1681" s="28" t="s">
        <v>6898</v>
      </c>
      <c r="J1681" s="346" t="str">
        <f t="shared" si="19"/>
        <v/>
      </c>
      <c r="K1681" s="28" t="str">
        <f t="shared" si="24"/>
        <v/>
      </c>
      <c r="L1681" s="45" t="str">
        <f t="shared" si="25"/>
        <v/>
      </c>
      <c r="M1681" s="45" t="str">
        <f t="shared" si="26"/>
        <v/>
      </c>
      <c r="N1681" s="45">
        <f t="shared" si="27"/>
        <v>1</v>
      </c>
      <c r="O1681" s="45" t="str">
        <f t="shared" si="28"/>
        <v/>
      </c>
      <c r="P1681" s="45" t="str">
        <f t="shared" si="29"/>
        <v/>
      </c>
    </row>
    <row r="1682" spans="1:16" ht="17.25">
      <c r="A1682" s="276" t="s">
        <v>6899</v>
      </c>
      <c r="B1682" s="277">
        <v>2005</v>
      </c>
      <c r="C1682" s="276" t="s">
        <v>6900</v>
      </c>
      <c r="D1682" s="277">
        <v>16292292</v>
      </c>
      <c r="E1682" s="278" t="str">
        <f t="shared" si="23"/>
        <v>https://pubmed.ncbi.nlm.nih.gov/16292292</v>
      </c>
      <c r="F1682" s="28" t="s">
        <v>511</v>
      </c>
      <c r="G1682" s="28" t="s">
        <v>6633</v>
      </c>
      <c r="J1682" s="346">
        <f t="shared" si="19"/>
        <v>1</v>
      </c>
      <c r="K1682" s="28" t="str">
        <f t="shared" si="24"/>
        <v/>
      </c>
      <c r="L1682" s="45" t="str">
        <f t="shared" si="25"/>
        <v/>
      </c>
      <c r="M1682" s="45" t="str">
        <f t="shared" si="26"/>
        <v/>
      </c>
      <c r="N1682" s="45" t="str">
        <f t="shared" si="27"/>
        <v/>
      </c>
      <c r="O1682" s="45" t="str">
        <f t="shared" si="28"/>
        <v/>
      </c>
      <c r="P1682" s="45" t="str">
        <f t="shared" si="29"/>
        <v/>
      </c>
    </row>
    <row r="1683" spans="1:16" ht="17.25">
      <c r="A1683" s="276" t="s">
        <v>6901</v>
      </c>
      <c r="B1683" s="277">
        <v>2013</v>
      </c>
      <c r="C1683" s="276" t="s">
        <v>6902</v>
      </c>
      <c r="D1683" s="277">
        <v>23437138</v>
      </c>
      <c r="E1683" s="278" t="str">
        <f t="shared" si="23"/>
        <v>https://pubmed.ncbi.nlm.nih.gov/23437138</v>
      </c>
      <c r="F1683" s="28" t="s">
        <v>511</v>
      </c>
      <c r="G1683" s="28" t="s">
        <v>6220</v>
      </c>
      <c r="J1683" s="346">
        <f t="shared" si="19"/>
        <v>1</v>
      </c>
      <c r="K1683" s="28" t="str">
        <f t="shared" si="24"/>
        <v/>
      </c>
      <c r="L1683" s="45" t="str">
        <f t="shared" si="25"/>
        <v/>
      </c>
      <c r="M1683" s="45" t="str">
        <f t="shared" si="26"/>
        <v/>
      </c>
      <c r="N1683" s="45" t="str">
        <f t="shared" si="27"/>
        <v/>
      </c>
      <c r="O1683" s="45" t="str">
        <f t="shared" si="28"/>
        <v/>
      </c>
      <c r="P1683" s="45" t="str">
        <f t="shared" si="29"/>
        <v/>
      </c>
    </row>
    <row r="1684" spans="1:16" ht="17.25">
      <c r="A1684" s="276" t="s">
        <v>6903</v>
      </c>
      <c r="B1684" s="277">
        <v>2013</v>
      </c>
      <c r="C1684" s="276" t="s">
        <v>6904</v>
      </c>
      <c r="D1684" s="277">
        <v>23881653</v>
      </c>
      <c r="E1684" s="278" t="str">
        <f t="shared" si="23"/>
        <v>https://pubmed.ncbi.nlm.nih.gov/23881653</v>
      </c>
      <c r="F1684" s="28" t="s">
        <v>511</v>
      </c>
      <c r="G1684" s="28" t="s">
        <v>4592</v>
      </c>
      <c r="J1684" s="346">
        <f t="shared" si="19"/>
        <v>1</v>
      </c>
      <c r="K1684" s="28" t="str">
        <f t="shared" si="24"/>
        <v/>
      </c>
      <c r="L1684" s="45" t="str">
        <f t="shared" si="25"/>
        <v/>
      </c>
      <c r="M1684" s="45" t="str">
        <f t="shared" si="26"/>
        <v/>
      </c>
      <c r="N1684" s="45" t="str">
        <f t="shared" si="27"/>
        <v/>
      </c>
      <c r="O1684" s="45" t="str">
        <f t="shared" si="28"/>
        <v/>
      </c>
      <c r="P1684" s="45" t="str">
        <f t="shared" si="29"/>
        <v/>
      </c>
    </row>
    <row r="1685" spans="1:16" ht="17.25">
      <c r="A1685" s="276" t="s">
        <v>6905</v>
      </c>
      <c r="B1685" s="277">
        <v>2018</v>
      </c>
      <c r="C1685" s="276"/>
      <c r="D1685" s="277">
        <v>29941151</v>
      </c>
      <c r="E1685" s="278" t="str">
        <f t="shared" si="23"/>
        <v>https://pubmed.ncbi.nlm.nih.gov/29941151</v>
      </c>
      <c r="F1685" s="28" t="s">
        <v>511</v>
      </c>
      <c r="G1685" s="28" t="s">
        <v>4744</v>
      </c>
      <c r="J1685" s="346" t="str">
        <f t="shared" si="19"/>
        <v/>
      </c>
      <c r="K1685" s="28" t="str">
        <f t="shared" si="24"/>
        <v/>
      </c>
      <c r="L1685" s="45" t="str">
        <f t="shared" si="25"/>
        <v/>
      </c>
      <c r="M1685" s="45" t="str">
        <f t="shared" si="26"/>
        <v/>
      </c>
      <c r="N1685" s="45">
        <f t="shared" si="27"/>
        <v>1</v>
      </c>
      <c r="O1685" s="45" t="str">
        <f t="shared" si="28"/>
        <v/>
      </c>
      <c r="P1685" s="45" t="str">
        <f t="shared" si="29"/>
        <v/>
      </c>
    </row>
    <row r="1686" spans="1:16" ht="17.25">
      <c r="A1686" s="276" t="s">
        <v>6906</v>
      </c>
      <c r="B1686" s="277">
        <v>2018</v>
      </c>
      <c r="C1686" s="276"/>
      <c r="D1686" s="277">
        <v>29860473</v>
      </c>
      <c r="E1686" s="278" t="str">
        <f t="shared" si="23"/>
        <v>https://pubmed.ncbi.nlm.nih.gov/29860473</v>
      </c>
      <c r="F1686" s="28" t="s">
        <v>511</v>
      </c>
      <c r="G1686" s="28" t="s">
        <v>4744</v>
      </c>
      <c r="J1686" s="346" t="str">
        <f t="shared" si="19"/>
        <v/>
      </c>
      <c r="K1686" s="28" t="str">
        <f t="shared" si="24"/>
        <v/>
      </c>
      <c r="L1686" s="45" t="str">
        <f t="shared" si="25"/>
        <v/>
      </c>
      <c r="M1686" s="45" t="str">
        <f t="shared" si="26"/>
        <v/>
      </c>
      <c r="N1686" s="45">
        <f t="shared" si="27"/>
        <v>1</v>
      </c>
      <c r="O1686" s="45" t="str">
        <f t="shared" si="28"/>
        <v/>
      </c>
      <c r="P1686" s="45" t="str">
        <f t="shared" si="29"/>
        <v/>
      </c>
    </row>
    <row r="1687" spans="1:16" ht="17.25">
      <c r="A1687" s="276" t="s">
        <v>6907</v>
      </c>
      <c r="B1687" s="277">
        <v>2013</v>
      </c>
      <c r="C1687" s="276"/>
      <c r="D1687" s="277">
        <v>23535095</v>
      </c>
      <c r="E1687" s="278" t="str">
        <f t="shared" si="23"/>
        <v>https://pubmed.ncbi.nlm.nih.gov/23535095</v>
      </c>
      <c r="F1687" s="28" t="s">
        <v>511</v>
      </c>
      <c r="G1687" s="28" t="s">
        <v>4744</v>
      </c>
      <c r="I1687" s="28" t="s">
        <v>6460</v>
      </c>
      <c r="J1687" s="346" t="str">
        <f t="shared" si="19"/>
        <v/>
      </c>
      <c r="K1687" s="28" t="str">
        <f t="shared" si="24"/>
        <v/>
      </c>
      <c r="L1687" s="45" t="str">
        <f t="shared" si="25"/>
        <v/>
      </c>
      <c r="M1687" s="45" t="str">
        <f t="shared" si="26"/>
        <v/>
      </c>
      <c r="N1687" s="45">
        <f t="shared" si="27"/>
        <v>1</v>
      </c>
      <c r="O1687" s="45" t="str">
        <f t="shared" si="28"/>
        <v/>
      </c>
      <c r="P1687" s="45" t="str">
        <f t="shared" si="29"/>
        <v/>
      </c>
    </row>
    <row r="1688" spans="1:16" ht="17.25">
      <c r="A1688" s="276" t="s">
        <v>6908</v>
      </c>
      <c r="B1688" s="277">
        <v>2015</v>
      </c>
      <c r="C1688" s="276"/>
      <c r="D1688" s="277">
        <v>26353915</v>
      </c>
      <c r="E1688" s="278" t="str">
        <f t="shared" si="23"/>
        <v>https://pubmed.ncbi.nlm.nih.gov/26353915</v>
      </c>
      <c r="F1688" s="28" t="s">
        <v>511</v>
      </c>
      <c r="G1688" s="28" t="s">
        <v>4592</v>
      </c>
      <c r="J1688" s="346">
        <f t="shared" si="19"/>
        <v>1</v>
      </c>
      <c r="K1688" s="28" t="str">
        <f t="shared" si="24"/>
        <v/>
      </c>
      <c r="L1688" s="45" t="str">
        <f t="shared" si="25"/>
        <v/>
      </c>
      <c r="M1688" s="45" t="str">
        <f t="shared" si="26"/>
        <v/>
      </c>
      <c r="N1688" s="45" t="str">
        <f t="shared" si="27"/>
        <v/>
      </c>
      <c r="O1688" s="45" t="str">
        <f t="shared" si="28"/>
        <v/>
      </c>
      <c r="P1688" s="45" t="str">
        <f t="shared" si="29"/>
        <v/>
      </c>
    </row>
    <row r="1689" spans="1:16" ht="17.25">
      <c r="A1689" s="276" t="s">
        <v>6908</v>
      </c>
      <c r="B1689" s="277">
        <v>2014</v>
      </c>
      <c r="C1689" s="276"/>
      <c r="D1689" s="277">
        <v>24636387</v>
      </c>
      <c r="E1689" s="278" t="str">
        <f t="shared" si="23"/>
        <v>https://pubmed.ncbi.nlm.nih.gov/24636387</v>
      </c>
      <c r="F1689" s="28" t="s">
        <v>511</v>
      </c>
      <c r="G1689" s="28" t="s">
        <v>6909</v>
      </c>
      <c r="J1689" s="346" t="str">
        <f t="shared" si="19"/>
        <v/>
      </c>
      <c r="K1689" s="28" t="str">
        <f t="shared" si="24"/>
        <v/>
      </c>
      <c r="L1689" s="45" t="str">
        <f t="shared" si="25"/>
        <v/>
      </c>
      <c r="M1689" s="45" t="str">
        <f t="shared" si="26"/>
        <v/>
      </c>
      <c r="N1689" s="45">
        <f t="shared" si="27"/>
        <v>1</v>
      </c>
      <c r="O1689" s="45" t="str">
        <f t="shared" si="28"/>
        <v/>
      </c>
      <c r="P1689" s="45" t="str">
        <f t="shared" si="29"/>
        <v/>
      </c>
    </row>
    <row r="1690" spans="1:16" ht="17.25">
      <c r="A1690" s="276" t="s">
        <v>6910</v>
      </c>
      <c r="B1690" s="277">
        <v>2015</v>
      </c>
      <c r="C1690" s="276"/>
      <c r="D1690" s="277">
        <v>26384206</v>
      </c>
      <c r="E1690" s="278" t="str">
        <f t="shared" si="23"/>
        <v>https://pubmed.ncbi.nlm.nih.gov/26384206</v>
      </c>
      <c r="F1690" s="28" t="s">
        <v>511</v>
      </c>
      <c r="G1690" s="28" t="s">
        <v>4592</v>
      </c>
      <c r="J1690" s="346">
        <f t="shared" si="19"/>
        <v>1</v>
      </c>
      <c r="K1690" s="28" t="str">
        <f t="shared" si="24"/>
        <v/>
      </c>
      <c r="L1690" s="45" t="str">
        <f t="shared" si="25"/>
        <v/>
      </c>
      <c r="M1690" s="45" t="str">
        <f t="shared" si="26"/>
        <v/>
      </c>
      <c r="N1690" s="45" t="str">
        <f t="shared" si="27"/>
        <v/>
      </c>
      <c r="O1690" s="45" t="str">
        <f t="shared" si="28"/>
        <v/>
      </c>
      <c r="P1690" s="45" t="str">
        <f t="shared" si="29"/>
        <v/>
      </c>
    </row>
    <row r="1691" spans="1:16" ht="17.25">
      <c r="A1691" s="276" t="s">
        <v>6911</v>
      </c>
      <c r="B1691" s="277">
        <v>2010</v>
      </c>
      <c r="C1691" s="276" t="s">
        <v>6912</v>
      </c>
      <c r="D1691" s="277">
        <v>20556771</v>
      </c>
      <c r="E1691" s="278" t="str">
        <f t="shared" si="23"/>
        <v>https://pubmed.ncbi.nlm.nih.gov/20556771</v>
      </c>
      <c r="F1691" s="28" t="s">
        <v>511</v>
      </c>
      <c r="G1691" s="28" t="s">
        <v>4592</v>
      </c>
      <c r="J1691" s="346">
        <f t="shared" si="19"/>
        <v>1</v>
      </c>
      <c r="K1691" s="28" t="str">
        <f t="shared" si="24"/>
        <v/>
      </c>
      <c r="L1691" s="45" t="str">
        <f t="shared" si="25"/>
        <v/>
      </c>
      <c r="M1691" s="45" t="str">
        <f t="shared" si="26"/>
        <v/>
      </c>
      <c r="N1691" s="45" t="str">
        <f t="shared" si="27"/>
        <v/>
      </c>
      <c r="O1691" s="45" t="str">
        <f t="shared" si="28"/>
        <v/>
      </c>
      <c r="P1691" s="45" t="str">
        <f t="shared" si="29"/>
        <v/>
      </c>
    </row>
    <row r="1692" spans="1:16" ht="17.25">
      <c r="A1692" s="276" t="s">
        <v>6913</v>
      </c>
      <c r="B1692" s="277">
        <v>2019</v>
      </c>
      <c r="C1692" s="276" t="s">
        <v>6914</v>
      </c>
      <c r="D1692" s="277">
        <v>31310299</v>
      </c>
      <c r="E1692" s="278" t="str">
        <f t="shared" si="23"/>
        <v>https://pubmed.ncbi.nlm.nih.gov/31310299</v>
      </c>
      <c r="F1692" s="28" t="s">
        <v>511</v>
      </c>
      <c r="G1692" s="28" t="s">
        <v>5157</v>
      </c>
      <c r="J1692" s="346" t="str">
        <f t="shared" si="19"/>
        <v/>
      </c>
      <c r="K1692" s="28" t="str">
        <f t="shared" si="24"/>
        <v/>
      </c>
      <c r="L1692" s="45" t="str">
        <f t="shared" si="25"/>
        <v/>
      </c>
      <c r="M1692" s="45" t="str">
        <f t="shared" si="26"/>
        <v/>
      </c>
      <c r="N1692" s="45">
        <f t="shared" si="27"/>
        <v>1</v>
      </c>
      <c r="O1692" s="45" t="str">
        <f t="shared" si="28"/>
        <v/>
      </c>
      <c r="P1692" s="45" t="str">
        <f t="shared" si="29"/>
        <v/>
      </c>
    </row>
    <row r="1693" spans="1:16" ht="17.25">
      <c r="A1693" s="276" t="s">
        <v>6915</v>
      </c>
      <c r="B1693" s="277">
        <v>2012</v>
      </c>
      <c r="C1693" s="276"/>
      <c r="D1693" s="277">
        <v>22424013</v>
      </c>
      <c r="E1693" s="278" t="str">
        <f t="shared" si="23"/>
        <v>https://pubmed.ncbi.nlm.nih.gov/22424013</v>
      </c>
      <c r="F1693" s="28" t="s">
        <v>511</v>
      </c>
      <c r="G1693" s="28" t="s">
        <v>4867</v>
      </c>
      <c r="J1693" s="346" t="str">
        <f t="shared" si="19"/>
        <v/>
      </c>
      <c r="K1693" s="28" t="str">
        <f t="shared" si="24"/>
        <v/>
      </c>
      <c r="L1693" s="45" t="str">
        <f t="shared" si="25"/>
        <v/>
      </c>
      <c r="M1693" s="45" t="str">
        <f t="shared" si="26"/>
        <v/>
      </c>
      <c r="N1693" s="45">
        <f t="shared" si="27"/>
        <v>1</v>
      </c>
      <c r="O1693" s="45" t="str">
        <f t="shared" si="28"/>
        <v/>
      </c>
      <c r="P1693" s="45" t="str">
        <f t="shared" si="29"/>
        <v/>
      </c>
    </row>
    <row r="1694" spans="1:16" ht="17.25">
      <c r="A1694" s="276" t="s">
        <v>6916</v>
      </c>
      <c r="B1694" s="277">
        <v>2009</v>
      </c>
      <c r="C1694" s="276"/>
      <c r="D1694" s="277">
        <v>19700988</v>
      </c>
      <c r="E1694" s="278" t="str">
        <f t="shared" si="23"/>
        <v>https://pubmed.ncbi.nlm.nih.gov/19700988</v>
      </c>
      <c r="F1694" s="28" t="s">
        <v>511</v>
      </c>
      <c r="G1694" s="28" t="s">
        <v>5157</v>
      </c>
      <c r="J1694" s="346" t="str">
        <f t="shared" si="19"/>
        <v/>
      </c>
      <c r="K1694" s="28" t="str">
        <f t="shared" si="24"/>
        <v/>
      </c>
      <c r="L1694" s="45" t="str">
        <f t="shared" si="25"/>
        <v/>
      </c>
      <c r="M1694" s="45" t="str">
        <f t="shared" si="26"/>
        <v/>
      </c>
      <c r="N1694" s="45">
        <f t="shared" si="27"/>
        <v>1</v>
      </c>
      <c r="O1694" s="45" t="str">
        <f t="shared" si="28"/>
        <v/>
      </c>
      <c r="P1694" s="45" t="str">
        <f t="shared" si="29"/>
        <v/>
      </c>
    </row>
    <row r="1695" spans="1:16" ht="17.25">
      <c r="A1695" s="276" t="s">
        <v>6917</v>
      </c>
      <c r="B1695" s="277">
        <v>2018</v>
      </c>
      <c r="C1695" s="276"/>
      <c r="D1695" s="277">
        <v>29423947</v>
      </c>
      <c r="E1695" s="278" t="str">
        <f t="shared" si="23"/>
        <v>https://pubmed.ncbi.nlm.nih.gov/29423947</v>
      </c>
      <c r="F1695" s="28" t="s">
        <v>511</v>
      </c>
      <c r="G1695" s="28" t="s">
        <v>5157</v>
      </c>
      <c r="I1695" s="28" t="s">
        <v>6460</v>
      </c>
      <c r="J1695" s="346" t="str">
        <f t="shared" si="19"/>
        <v/>
      </c>
      <c r="K1695" s="28" t="str">
        <f t="shared" si="24"/>
        <v/>
      </c>
      <c r="L1695" s="45" t="str">
        <f t="shared" si="25"/>
        <v/>
      </c>
      <c r="M1695" s="45" t="str">
        <f t="shared" si="26"/>
        <v/>
      </c>
      <c r="N1695" s="45">
        <f t="shared" si="27"/>
        <v>1</v>
      </c>
      <c r="O1695" s="45" t="str">
        <f t="shared" si="28"/>
        <v/>
      </c>
      <c r="P1695" s="45" t="str">
        <f t="shared" si="29"/>
        <v/>
      </c>
    </row>
    <row r="1696" spans="1:16" ht="17.25">
      <c r="A1696" s="276" t="s">
        <v>6918</v>
      </c>
      <c r="B1696" s="277">
        <v>2013</v>
      </c>
      <c r="C1696" s="276"/>
      <c r="D1696" s="277">
        <v>23937747</v>
      </c>
      <c r="E1696" s="278" t="str">
        <f t="shared" si="23"/>
        <v>https://pubmed.ncbi.nlm.nih.gov/23937747</v>
      </c>
      <c r="F1696" s="28" t="s">
        <v>511</v>
      </c>
      <c r="G1696" s="28" t="s">
        <v>6919</v>
      </c>
      <c r="J1696" s="346">
        <f t="shared" si="19"/>
        <v>1</v>
      </c>
      <c r="K1696" s="28" t="str">
        <f t="shared" si="24"/>
        <v/>
      </c>
      <c r="L1696" s="45" t="str">
        <f t="shared" si="25"/>
        <v/>
      </c>
      <c r="M1696" s="45" t="str">
        <f t="shared" si="26"/>
        <v/>
      </c>
      <c r="N1696" s="45" t="str">
        <f t="shared" si="27"/>
        <v/>
      </c>
      <c r="O1696" s="45" t="str">
        <f t="shared" si="28"/>
        <v/>
      </c>
      <c r="P1696" s="45" t="str">
        <f t="shared" si="29"/>
        <v/>
      </c>
    </row>
    <row r="1697" spans="1:16" ht="17.25">
      <c r="A1697" s="276" t="s">
        <v>6920</v>
      </c>
      <c r="B1697" s="277">
        <v>2004</v>
      </c>
      <c r="C1697" s="276"/>
      <c r="D1697" s="277">
        <v>15638050</v>
      </c>
      <c r="E1697" s="278" t="str">
        <f t="shared" si="23"/>
        <v>https://pubmed.ncbi.nlm.nih.gov/15638050</v>
      </c>
      <c r="F1697" s="28" t="s">
        <v>511</v>
      </c>
      <c r="G1697" s="28" t="s">
        <v>4592</v>
      </c>
      <c r="J1697" s="346">
        <f t="shared" si="19"/>
        <v>1</v>
      </c>
      <c r="K1697" s="28" t="str">
        <f t="shared" si="24"/>
        <v/>
      </c>
      <c r="L1697" s="45" t="str">
        <f t="shared" si="25"/>
        <v/>
      </c>
      <c r="M1697" s="45" t="str">
        <f t="shared" si="26"/>
        <v/>
      </c>
      <c r="N1697" s="45" t="str">
        <f t="shared" si="27"/>
        <v/>
      </c>
      <c r="O1697" s="45" t="str">
        <f t="shared" si="28"/>
        <v/>
      </c>
      <c r="P1697" s="45" t="str">
        <f t="shared" si="29"/>
        <v/>
      </c>
    </row>
    <row r="1698" spans="1:16" ht="17.25">
      <c r="A1698" s="276" t="s">
        <v>6921</v>
      </c>
      <c r="B1698" s="277">
        <v>2020</v>
      </c>
      <c r="C1698" s="276" t="s">
        <v>6922</v>
      </c>
      <c r="D1698" s="277">
        <v>32379955</v>
      </c>
      <c r="E1698" s="278" t="str">
        <f t="shared" si="23"/>
        <v>https://pubmed.ncbi.nlm.nih.gov/32379955</v>
      </c>
      <c r="F1698" s="28" t="s">
        <v>511</v>
      </c>
      <c r="G1698" s="28" t="s">
        <v>4744</v>
      </c>
      <c r="J1698" s="346" t="str">
        <f t="shared" si="19"/>
        <v/>
      </c>
      <c r="K1698" s="28" t="str">
        <f t="shared" si="24"/>
        <v/>
      </c>
      <c r="L1698" s="45" t="str">
        <f t="shared" si="25"/>
        <v/>
      </c>
      <c r="M1698" s="45" t="str">
        <f t="shared" si="26"/>
        <v/>
      </c>
      <c r="N1698" s="45">
        <f t="shared" si="27"/>
        <v>1</v>
      </c>
      <c r="O1698" s="45" t="str">
        <f t="shared" si="28"/>
        <v/>
      </c>
      <c r="P1698" s="45" t="str">
        <f t="shared" si="29"/>
        <v/>
      </c>
    </row>
    <row r="1699" spans="1:16" ht="17.25">
      <c r="A1699" s="276" t="s">
        <v>6923</v>
      </c>
      <c r="B1699" s="277">
        <v>2016</v>
      </c>
      <c r="C1699" s="276"/>
      <c r="D1699" s="277">
        <v>27067745</v>
      </c>
      <c r="E1699" s="278" t="str">
        <f t="shared" si="23"/>
        <v>https://pubmed.ncbi.nlm.nih.gov/27067745</v>
      </c>
      <c r="F1699" s="28" t="s">
        <v>511</v>
      </c>
      <c r="G1699" s="28" t="s">
        <v>4592</v>
      </c>
      <c r="J1699" s="346">
        <f t="shared" si="19"/>
        <v>1</v>
      </c>
      <c r="K1699" s="28" t="str">
        <f t="shared" si="24"/>
        <v/>
      </c>
      <c r="L1699" s="45" t="str">
        <f t="shared" si="25"/>
        <v/>
      </c>
      <c r="M1699" s="45" t="str">
        <f t="shared" si="26"/>
        <v/>
      </c>
      <c r="N1699" s="45" t="str">
        <f t="shared" si="27"/>
        <v/>
      </c>
      <c r="O1699" s="45" t="str">
        <f t="shared" si="28"/>
        <v/>
      </c>
      <c r="P1699" s="45" t="str">
        <f t="shared" si="29"/>
        <v/>
      </c>
    </row>
    <row r="1700" spans="1:16" ht="17.25">
      <c r="A1700" s="276" t="s">
        <v>6924</v>
      </c>
      <c r="B1700" s="277">
        <v>2014</v>
      </c>
      <c r="C1700" s="276" t="s">
        <v>6925</v>
      </c>
      <c r="D1700" s="277">
        <v>24895310</v>
      </c>
      <c r="E1700" s="278" t="str">
        <f t="shared" si="23"/>
        <v>https://pubmed.ncbi.nlm.nih.gov/24895310</v>
      </c>
      <c r="F1700" s="28" t="s">
        <v>511</v>
      </c>
      <c r="G1700" s="28" t="s">
        <v>4346</v>
      </c>
      <c r="J1700" s="346" t="str">
        <f t="shared" si="19"/>
        <v/>
      </c>
      <c r="K1700" s="28" t="str">
        <f t="shared" si="24"/>
        <v/>
      </c>
      <c r="L1700" s="45">
        <f t="shared" si="25"/>
        <v>1</v>
      </c>
      <c r="M1700" s="45" t="str">
        <f t="shared" si="26"/>
        <v/>
      </c>
      <c r="N1700" s="45" t="str">
        <f t="shared" si="27"/>
        <v/>
      </c>
      <c r="O1700" s="45" t="str">
        <f t="shared" si="28"/>
        <v/>
      </c>
      <c r="P1700" s="45" t="str">
        <f t="shared" si="29"/>
        <v/>
      </c>
    </row>
    <row r="1701" spans="1:16" ht="17.25">
      <c r="A1701" s="276" t="s">
        <v>6926</v>
      </c>
      <c r="B1701" s="277">
        <v>2013</v>
      </c>
      <c r="C1701" s="276"/>
      <c r="D1701" s="277">
        <v>23599435</v>
      </c>
      <c r="E1701" s="278" t="str">
        <f t="shared" si="23"/>
        <v>https://pubmed.ncbi.nlm.nih.gov/23599435</v>
      </c>
      <c r="F1701" s="28" t="s">
        <v>511</v>
      </c>
      <c r="G1701" s="28" t="s">
        <v>4867</v>
      </c>
      <c r="J1701" s="346" t="str">
        <f t="shared" si="19"/>
        <v/>
      </c>
      <c r="K1701" s="28" t="str">
        <f t="shared" si="24"/>
        <v/>
      </c>
      <c r="L1701" s="45" t="str">
        <f t="shared" si="25"/>
        <v/>
      </c>
      <c r="M1701" s="45" t="str">
        <f t="shared" si="26"/>
        <v/>
      </c>
      <c r="N1701" s="45">
        <f t="shared" si="27"/>
        <v>1</v>
      </c>
      <c r="O1701" s="45" t="str">
        <f t="shared" si="28"/>
        <v/>
      </c>
      <c r="P1701" s="45" t="str">
        <f t="shared" si="29"/>
        <v/>
      </c>
    </row>
    <row r="1702" spans="1:16" ht="17.25">
      <c r="A1702" s="276" t="s">
        <v>6926</v>
      </c>
      <c r="B1702" s="277">
        <v>2016</v>
      </c>
      <c r="C1702" s="276"/>
      <c r="D1702" s="277">
        <v>27028914</v>
      </c>
      <c r="E1702" s="278" t="str">
        <f t="shared" si="23"/>
        <v>https://pubmed.ncbi.nlm.nih.gov/27028914</v>
      </c>
      <c r="F1702" s="28" t="s">
        <v>511</v>
      </c>
      <c r="G1702" s="28" t="s">
        <v>4744</v>
      </c>
      <c r="J1702" s="346" t="str">
        <f t="shared" si="19"/>
        <v/>
      </c>
      <c r="K1702" s="28" t="str">
        <f t="shared" si="24"/>
        <v/>
      </c>
      <c r="L1702" s="45" t="str">
        <f t="shared" si="25"/>
        <v/>
      </c>
      <c r="M1702" s="45" t="str">
        <f t="shared" si="26"/>
        <v/>
      </c>
      <c r="N1702" s="45">
        <f t="shared" si="27"/>
        <v>1</v>
      </c>
      <c r="O1702" s="45" t="str">
        <f t="shared" si="28"/>
        <v/>
      </c>
      <c r="P1702" s="45" t="str">
        <f t="shared" si="29"/>
        <v/>
      </c>
    </row>
    <row r="1703" spans="1:16" ht="17.25">
      <c r="A1703" s="276" t="s">
        <v>6927</v>
      </c>
      <c r="B1703" s="277">
        <v>2004</v>
      </c>
      <c r="C1703" s="276" t="s">
        <v>6928</v>
      </c>
      <c r="D1703" s="277">
        <v>32288145</v>
      </c>
      <c r="E1703" s="278" t="str">
        <f t="shared" si="23"/>
        <v>https://pubmed.ncbi.nlm.nih.gov/32288145</v>
      </c>
      <c r="F1703" s="28" t="s">
        <v>511</v>
      </c>
      <c r="G1703" s="28" t="s">
        <v>6929</v>
      </c>
      <c r="J1703" s="346" t="str">
        <f t="shared" si="19"/>
        <v/>
      </c>
      <c r="K1703" s="28" t="str">
        <f t="shared" si="24"/>
        <v/>
      </c>
      <c r="L1703" s="45" t="str">
        <f t="shared" si="25"/>
        <v/>
      </c>
      <c r="M1703" s="45" t="str">
        <f t="shared" si="26"/>
        <v/>
      </c>
      <c r="N1703" s="45">
        <f t="shared" si="27"/>
        <v>1</v>
      </c>
      <c r="O1703" s="45" t="str">
        <f t="shared" si="28"/>
        <v/>
      </c>
      <c r="P1703" s="45" t="str">
        <f t="shared" si="29"/>
        <v/>
      </c>
    </row>
    <row r="1704" spans="1:16" ht="17.25">
      <c r="A1704" s="276" t="s">
        <v>6930</v>
      </c>
      <c r="B1704" s="277">
        <v>2014</v>
      </c>
      <c r="C1704" s="276"/>
      <c r="D1704" s="277">
        <v>25552038</v>
      </c>
      <c r="E1704" s="278" t="str">
        <f t="shared" si="23"/>
        <v>https://pubmed.ncbi.nlm.nih.gov/25552038</v>
      </c>
      <c r="F1704" s="28" t="s">
        <v>511</v>
      </c>
      <c r="G1704" s="28" t="s">
        <v>4587</v>
      </c>
      <c r="J1704" s="346" t="str">
        <f t="shared" si="19"/>
        <v/>
      </c>
      <c r="K1704" s="28" t="str">
        <f t="shared" si="24"/>
        <v/>
      </c>
      <c r="L1704" s="45" t="str">
        <f t="shared" si="25"/>
        <v/>
      </c>
      <c r="M1704" s="45">
        <f t="shared" si="26"/>
        <v>1</v>
      </c>
      <c r="N1704" s="45" t="str">
        <f t="shared" si="27"/>
        <v/>
      </c>
      <c r="O1704" s="45" t="str">
        <f t="shared" si="28"/>
        <v/>
      </c>
      <c r="P1704" s="45" t="str">
        <f t="shared" si="29"/>
        <v/>
      </c>
    </row>
    <row r="1705" spans="1:16" ht="17.25">
      <c r="A1705" s="276" t="s">
        <v>6931</v>
      </c>
      <c r="B1705" s="277">
        <v>2004</v>
      </c>
      <c r="C1705" s="276"/>
      <c r="D1705" s="277">
        <v>14667790</v>
      </c>
      <c r="E1705" s="278" t="str">
        <f t="shared" si="23"/>
        <v>https://pubmed.ncbi.nlm.nih.gov/14667790</v>
      </c>
      <c r="F1705" s="28" t="s">
        <v>511</v>
      </c>
      <c r="G1705" s="28" t="s">
        <v>4744</v>
      </c>
      <c r="J1705" s="346" t="str">
        <f t="shared" si="19"/>
        <v/>
      </c>
      <c r="K1705" s="28" t="str">
        <f t="shared" si="24"/>
        <v/>
      </c>
      <c r="L1705" s="45" t="str">
        <f t="shared" si="25"/>
        <v/>
      </c>
      <c r="M1705" s="45" t="str">
        <f t="shared" si="26"/>
        <v/>
      </c>
      <c r="N1705" s="45">
        <f t="shared" si="27"/>
        <v>1</v>
      </c>
      <c r="O1705" s="45" t="str">
        <f t="shared" si="28"/>
        <v/>
      </c>
      <c r="P1705" s="45" t="str">
        <f t="shared" si="29"/>
        <v/>
      </c>
    </row>
    <row r="1706" spans="1:16" ht="17.25">
      <c r="A1706" s="276" t="s">
        <v>6932</v>
      </c>
      <c r="B1706" s="277">
        <v>2020</v>
      </c>
      <c r="C1706" s="276"/>
      <c r="D1706" s="277">
        <v>32327163</v>
      </c>
      <c r="E1706" s="278" t="str">
        <f t="shared" si="23"/>
        <v>https://pubmed.ncbi.nlm.nih.gov/32327163</v>
      </c>
      <c r="F1706" s="28" t="s">
        <v>511</v>
      </c>
      <c r="G1706" s="28" t="s">
        <v>6933</v>
      </c>
      <c r="J1706" s="346" t="str">
        <f t="shared" si="19"/>
        <v/>
      </c>
      <c r="K1706" s="28" t="str">
        <f t="shared" si="24"/>
        <v/>
      </c>
      <c r="L1706" s="45" t="str">
        <f t="shared" si="25"/>
        <v/>
      </c>
      <c r="M1706" s="45" t="str">
        <f t="shared" si="26"/>
        <v/>
      </c>
      <c r="N1706" s="45">
        <f t="shared" si="27"/>
        <v>1</v>
      </c>
      <c r="O1706" s="45" t="str">
        <f t="shared" si="28"/>
        <v/>
      </c>
      <c r="P1706" s="45" t="str">
        <f t="shared" si="29"/>
        <v/>
      </c>
    </row>
    <row r="1707" spans="1:16" ht="17.25">
      <c r="A1707" s="276" t="s">
        <v>6934</v>
      </c>
      <c r="B1707" s="277">
        <v>2011</v>
      </c>
      <c r="C1707" s="276" t="s">
        <v>6935</v>
      </c>
      <c r="D1707" s="277">
        <v>22045670</v>
      </c>
      <c r="E1707" s="278" t="str">
        <f t="shared" si="23"/>
        <v>https://pubmed.ncbi.nlm.nih.gov/22045670</v>
      </c>
      <c r="F1707" s="28" t="s">
        <v>511</v>
      </c>
      <c r="G1707" s="28" t="s">
        <v>6936</v>
      </c>
      <c r="J1707" s="346" t="str">
        <f t="shared" si="19"/>
        <v/>
      </c>
      <c r="K1707" s="28" t="str">
        <f t="shared" si="24"/>
        <v/>
      </c>
      <c r="L1707" s="45" t="str">
        <f t="shared" si="25"/>
        <v/>
      </c>
      <c r="M1707" s="45" t="str">
        <f t="shared" si="26"/>
        <v/>
      </c>
      <c r="N1707" s="45">
        <f t="shared" si="27"/>
        <v>1</v>
      </c>
      <c r="O1707" s="45" t="str">
        <f t="shared" si="28"/>
        <v/>
      </c>
      <c r="P1707" s="45" t="str">
        <f t="shared" si="29"/>
        <v/>
      </c>
    </row>
    <row r="1708" spans="1:16" ht="17.25">
      <c r="A1708" s="276" t="s">
        <v>6937</v>
      </c>
      <c r="B1708" s="277">
        <v>2010</v>
      </c>
      <c r="C1708" s="276"/>
      <c r="D1708" s="277">
        <v>20220777</v>
      </c>
      <c r="E1708" s="278" t="str">
        <f t="shared" si="23"/>
        <v>https://pubmed.ncbi.nlm.nih.gov/20220777</v>
      </c>
      <c r="F1708" s="28" t="s">
        <v>511</v>
      </c>
      <c r="G1708" s="28" t="s">
        <v>4744</v>
      </c>
      <c r="J1708" s="346" t="str">
        <f t="shared" si="19"/>
        <v/>
      </c>
      <c r="K1708" s="28" t="str">
        <f t="shared" si="24"/>
        <v/>
      </c>
      <c r="L1708" s="45" t="str">
        <f t="shared" si="25"/>
        <v/>
      </c>
      <c r="M1708" s="45" t="str">
        <f t="shared" si="26"/>
        <v/>
      </c>
      <c r="N1708" s="45">
        <f t="shared" si="27"/>
        <v>1</v>
      </c>
      <c r="O1708" s="45" t="str">
        <f t="shared" si="28"/>
        <v/>
      </c>
      <c r="P1708" s="45" t="str">
        <f t="shared" si="29"/>
        <v/>
      </c>
    </row>
    <row r="1709" spans="1:16" ht="17.25">
      <c r="A1709" s="276" t="s">
        <v>6938</v>
      </c>
      <c r="B1709" s="277">
        <v>2009</v>
      </c>
      <c r="C1709" s="276"/>
      <c r="D1709" s="277">
        <v>19722725</v>
      </c>
      <c r="E1709" s="278" t="str">
        <f t="shared" si="23"/>
        <v>https://pubmed.ncbi.nlm.nih.gov/19722725</v>
      </c>
      <c r="F1709" s="28" t="s">
        <v>511</v>
      </c>
      <c r="G1709" s="28" t="s">
        <v>4592</v>
      </c>
      <c r="J1709" s="346">
        <f t="shared" si="19"/>
        <v>1</v>
      </c>
      <c r="K1709" s="28" t="str">
        <f t="shared" si="24"/>
        <v/>
      </c>
      <c r="L1709" s="45" t="str">
        <f t="shared" si="25"/>
        <v/>
      </c>
      <c r="M1709" s="45" t="str">
        <f t="shared" si="26"/>
        <v/>
      </c>
      <c r="N1709" s="45" t="str">
        <f t="shared" si="27"/>
        <v/>
      </c>
      <c r="O1709" s="45" t="str">
        <f t="shared" si="28"/>
        <v/>
      </c>
      <c r="P1709" s="45" t="str">
        <f t="shared" si="29"/>
        <v/>
      </c>
    </row>
    <row r="1710" spans="1:16" ht="17.25">
      <c r="A1710" s="276" t="s">
        <v>6939</v>
      </c>
      <c r="B1710" s="277">
        <v>2015</v>
      </c>
      <c r="C1710" s="276"/>
      <c r="D1710" s="277">
        <v>26068490</v>
      </c>
      <c r="E1710" s="278" t="str">
        <f t="shared" si="23"/>
        <v>https://pubmed.ncbi.nlm.nih.gov/26068490</v>
      </c>
      <c r="F1710" s="28" t="s">
        <v>511</v>
      </c>
      <c r="G1710" s="28" t="s">
        <v>5273</v>
      </c>
      <c r="J1710" s="346">
        <f t="shared" si="19"/>
        <v>1</v>
      </c>
      <c r="K1710" s="28" t="str">
        <f t="shared" si="24"/>
        <v/>
      </c>
      <c r="L1710" s="45" t="str">
        <f t="shared" si="25"/>
        <v/>
      </c>
      <c r="M1710" s="45" t="str">
        <f t="shared" si="26"/>
        <v/>
      </c>
      <c r="N1710" s="45" t="str">
        <f t="shared" si="27"/>
        <v/>
      </c>
      <c r="O1710" s="45" t="str">
        <f t="shared" si="28"/>
        <v/>
      </c>
      <c r="P1710" s="45" t="str">
        <f t="shared" si="29"/>
        <v/>
      </c>
    </row>
    <row r="1711" spans="1:16" ht="17.25">
      <c r="A1711" s="276" t="s">
        <v>6940</v>
      </c>
      <c r="B1711" s="277">
        <v>2002</v>
      </c>
      <c r="C1711" s="276"/>
      <c r="D1711" s="277">
        <v>11869630</v>
      </c>
      <c r="E1711" s="278" t="str">
        <f t="shared" si="23"/>
        <v>https://pubmed.ncbi.nlm.nih.gov/11869630</v>
      </c>
      <c r="F1711" s="28" t="s">
        <v>511</v>
      </c>
      <c r="G1711" s="28" t="s">
        <v>4592</v>
      </c>
      <c r="J1711" s="346">
        <f t="shared" si="19"/>
        <v>1</v>
      </c>
      <c r="K1711" s="28" t="str">
        <f t="shared" si="24"/>
        <v/>
      </c>
      <c r="L1711" s="45" t="str">
        <f t="shared" si="25"/>
        <v/>
      </c>
      <c r="M1711" s="45" t="str">
        <f t="shared" si="26"/>
        <v/>
      </c>
      <c r="N1711" s="45" t="str">
        <f t="shared" si="27"/>
        <v/>
      </c>
      <c r="O1711" s="45" t="str">
        <f t="shared" si="28"/>
        <v/>
      </c>
      <c r="P1711" s="45" t="str">
        <f t="shared" si="29"/>
        <v/>
      </c>
    </row>
    <row r="1712" spans="1:16" ht="17.25">
      <c r="A1712" s="276" t="s">
        <v>6941</v>
      </c>
      <c r="B1712" s="277">
        <v>2014</v>
      </c>
      <c r="C1712" s="276"/>
      <c r="D1712" s="277">
        <v>25151286</v>
      </c>
      <c r="E1712" s="278" t="str">
        <f t="shared" si="23"/>
        <v>https://pubmed.ncbi.nlm.nih.gov/25151286</v>
      </c>
      <c r="F1712" s="28" t="s">
        <v>511</v>
      </c>
      <c r="G1712" s="28" t="s">
        <v>4592</v>
      </c>
      <c r="J1712" s="346">
        <f t="shared" si="19"/>
        <v>1</v>
      </c>
      <c r="K1712" s="28" t="str">
        <f t="shared" si="24"/>
        <v/>
      </c>
      <c r="L1712" s="45" t="str">
        <f t="shared" si="25"/>
        <v/>
      </c>
      <c r="M1712" s="45" t="str">
        <f t="shared" si="26"/>
        <v/>
      </c>
      <c r="N1712" s="45" t="str">
        <f t="shared" si="27"/>
        <v/>
      </c>
      <c r="O1712" s="45" t="str">
        <f t="shared" si="28"/>
        <v/>
      </c>
      <c r="P1712" s="45" t="str">
        <f t="shared" si="29"/>
        <v/>
      </c>
    </row>
    <row r="1713" spans="1:16" ht="17.25">
      <c r="A1713" s="276" t="s">
        <v>6942</v>
      </c>
      <c r="B1713" s="277">
        <v>2007</v>
      </c>
      <c r="C1713" s="276"/>
      <c r="D1713" s="277">
        <v>17441794</v>
      </c>
      <c r="E1713" s="278" t="str">
        <f t="shared" si="23"/>
        <v>https://pubmed.ncbi.nlm.nih.gov/17441794</v>
      </c>
      <c r="F1713" s="28" t="s">
        <v>511</v>
      </c>
      <c r="G1713" s="28" t="s">
        <v>5157</v>
      </c>
      <c r="J1713" s="346" t="str">
        <f t="shared" si="19"/>
        <v/>
      </c>
      <c r="K1713" s="28" t="str">
        <f t="shared" si="24"/>
        <v/>
      </c>
      <c r="L1713" s="45" t="str">
        <f t="shared" si="25"/>
        <v/>
      </c>
      <c r="M1713" s="45" t="str">
        <f t="shared" si="26"/>
        <v/>
      </c>
      <c r="N1713" s="45">
        <f t="shared" si="27"/>
        <v>1</v>
      </c>
      <c r="O1713" s="45" t="str">
        <f t="shared" si="28"/>
        <v/>
      </c>
      <c r="P1713" s="45" t="str">
        <f t="shared" si="29"/>
        <v/>
      </c>
    </row>
    <row r="1714" spans="1:16" ht="17.25">
      <c r="A1714" s="276" t="s">
        <v>5170</v>
      </c>
      <c r="B1714" s="277">
        <v>2001</v>
      </c>
      <c r="C1714" s="276"/>
      <c r="D1714" s="277">
        <v>11445748</v>
      </c>
      <c r="E1714" s="278" t="str">
        <f t="shared" si="23"/>
        <v>https://pubmed.ncbi.nlm.nih.gov/11445748</v>
      </c>
      <c r="F1714" s="28" t="s">
        <v>511</v>
      </c>
      <c r="G1714" s="28" t="s">
        <v>5273</v>
      </c>
      <c r="J1714" s="346">
        <f t="shared" si="19"/>
        <v>1</v>
      </c>
      <c r="K1714" s="28" t="str">
        <f t="shared" si="24"/>
        <v/>
      </c>
      <c r="L1714" s="45" t="str">
        <f t="shared" si="25"/>
        <v/>
      </c>
      <c r="M1714" s="45" t="str">
        <f t="shared" si="26"/>
        <v/>
      </c>
      <c r="N1714" s="45" t="str">
        <f t="shared" si="27"/>
        <v/>
      </c>
      <c r="O1714" s="45" t="str">
        <f t="shared" si="28"/>
        <v/>
      </c>
      <c r="P1714" s="45" t="str">
        <f t="shared" si="29"/>
        <v/>
      </c>
    </row>
    <row r="1715" spans="1:16" ht="17.25">
      <c r="A1715" s="276" t="s">
        <v>6943</v>
      </c>
      <c r="B1715" s="277">
        <v>2018</v>
      </c>
      <c r="C1715" s="276" t="s">
        <v>6944</v>
      </c>
      <c r="D1715" s="277">
        <v>30092840</v>
      </c>
      <c r="E1715" s="278" t="str">
        <f t="shared" si="23"/>
        <v>https://pubmed.ncbi.nlm.nih.gov/30092840</v>
      </c>
      <c r="F1715" s="28" t="s">
        <v>511</v>
      </c>
      <c r="G1715" s="28" t="s">
        <v>4744</v>
      </c>
      <c r="J1715" s="346" t="str">
        <f t="shared" si="19"/>
        <v/>
      </c>
      <c r="K1715" s="28" t="str">
        <f t="shared" si="24"/>
        <v/>
      </c>
      <c r="L1715" s="45" t="str">
        <f t="shared" si="25"/>
        <v/>
      </c>
      <c r="M1715" s="45" t="str">
        <f t="shared" si="26"/>
        <v/>
      </c>
      <c r="N1715" s="45">
        <f t="shared" si="27"/>
        <v>1</v>
      </c>
      <c r="O1715" s="45" t="str">
        <f t="shared" si="28"/>
        <v/>
      </c>
      <c r="P1715" s="45" t="str">
        <f t="shared" si="29"/>
        <v/>
      </c>
    </row>
    <row r="1716" spans="1:16" ht="17.25">
      <c r="A1716" s="276" t="s">
        <v>6945</v>
      </c>
      <c r="B1716" s="277">
        <v>2009</v>
      </c>
      <c r="C1716" s="276"/>
      <c r="D1716" s="277">
        <v>19519591</v>
      </c>
      <c r="E1716" s="278" t="str">
        <f t="shared" si="23"/>
        <v>https://pubmed.ncbi.nlm.nih.gov/19519591</v>
      </c>
      <c r="F1716" s="28" t="s">
        <v>511</v>
      </c>
      <c r="G1716" s="28" t="s">
        <v>4592</v>
      </c>
      <c r="J1716" s="346">
        <f t="shared" si="19"/>
        <v>1</v>
      </c>
      <c r="K1716" s="28" t="str">
        <f t="shared" si="24"/>
        <v/>
      </c>
      <c r="L1716" s="45" t="str">
        <f t="shared" si="25"/>
        <v/>
      </c>
      <c r="M1716" s="45" t="str">
        <f t="shared" si="26"/>
        <v/>
      </c>
      <c r="N1716" s="45" t="str">
        <f t="shared" si="27"/>
        <v/>
      </c>
      <c r="O1716" s="45" t="str">
        <f t="shared" si="28"/>
        <v/>
      </c>
      <c r="P1716" s="45" t="str">
        <f t="shared" si="29"/>
        <v/>
      </c>
    </row>
    <row r="1717" spans="1:16" ht="17.25">
      <c r="A1717" s="276" t="s">
        <v>6946</v>
      </c>
      <c r="B1717" s="277">
        <v>2019</v>
      </c>
      <c r="C1717" s="276"/>
      <c r="D1717" s="277">
        <v>30003988</v>
      </c>
      <c r="E1717" s="278" t="str">
        <f t="shared" si="23"/>
        <v>https://pubmed.ncbi.nlm.nih.gov/30003988</v>
      </c>
      <c r="F1717" s="28" t="s">
        <v>511</v>
      </c>
      <c r="G1717" s="28" t="s">
        <v>4744</v>
      </c>
      <c r="J1717" s="346" t="str">
        <f t="shared" si="19"/>
        <v/>
      </c>
      <c r="K1717" s="28" t="str">
        <f t="shared" si="24"/>
        <v/>
      </c>
      <c r="L1717" s="45" t="str">
        <f t="shared" si="25"/>
        <v/>
      </c>
      <c r="M1717" s="45" t="str">
        <f t="shared" si="26"/>
        <v/>
      </c>
      <c r="N1717" s="45">
        <f t="shared" si="27"/>
        <v>1</v>
      </c>
      <c r="O1717" s="45" t="str">
        <f t="shared" si="28"/>
        <v/>
      </c>
      <c r="P1717" s="45" t="str">
        <f t="shared" si="29"/>
        <v/>
      </c>
    </row>
    <row r="1718" spans="1:16" ht="17.25">
      <c r="A1718" s="276" t="s">
        <v>6947</v>
      </c>
      <c r="B1718" s="277">
        <v>2011</v>
      </c>
      <c r="C1718" s="276" t="s">
        <v>6948</v>
      </c>
      <c r="D1718" s="277">
        <v>21420657</v>
      </c>
      <c r="E1718" s="278" t="str">
        <f t="shared" si="23"/>
        <v>https://pubmed.ncbi.nlm.nih.gov/21420657</v>
      </c>
      <c r="F1718" s="28" t="s">
        <v>511</v>
      </c>
      <c r="G1718" s="28" t="s">
        <v>6210</v>
      </c>
      <c r="J1718" s="346">
        <f t="shared" si="19"/>
        <v>1</v>
      </c>
      <c r="K1718" s="28" t="str">
        <f t="shared" si="24"/>
        <v/>
      </c>
      <c r="L1718" s="45" t="str">
        <f t="shared" si="25"/>
        <v/>
      </c>
      <c r="M1718" s="45" t="str">
        <f t="shared" si="26"/>
        <v/>
      </c>
      <c r="N1718" s="45" t="str">
        <f t="shared" si="27"/>
        <v/>
      </c>
      <c r="O1718" s="45" t="str">
        <f t="shared" si="28"/>
        <v/>
      </c>
      <c r="P1718" s="45" t="str">
        <f t="shared" si="29"/>
        <v/>
      </c>
    </row>
    <row r="1719" spans="1:16" ht="17.25">
      <c r="A1719" s="276" t="s">
        <v>6949</v>
      </c>
      <c r="B1719" s="277">
        <v>1993</v>
      </c>
      <c r="C1719" s="276"/>
      <c r="D1719" s="277">
        <v>7691504</v>
      </c>
      <c r="E1719" s="278" t="str">
        <f t="shared" si="23"/>
        <v>https://pubmed.ncbi.nlm.nih.gov/7691504</v>
      </c>
      <c r="F1719" s="28" t="s">
        <v>511</v>
      </c>
      <c r="G1719" s="28" t="s">
        <v>4592</v>
      </c>
      <c r="J1719" s="346">
        <f t="shared" si="19"/>
        <v>1</v>
      </c>
      <c r="K1719" s="28" t="str">
        <f t="shared" si="24"/>
        <v/>
      </c>
      <c r="L1719" s="45" t="str">
        <f t="shared" si="25"/>
        <v/>
      </c>
      <c r="M1719" s="45" t="str">
        <f t="shared" si="26"/>
        <v/>
      </c>
      <c r="N1719" s="45" t="str">
        <f t="shared" si="27"/>
        <v/>
      </c>
      <c r="O1719" s="45" t="str">
        <f t="shared" si="28"/>
        <v/>
      </c>
      <c r="P1719" s="45" t="str">
        <f t="shared" si="29"/>
        <v/>
      </c>
    </row>
    <row r="1720" spans="1:16" ht="17.25">
      <c r="A1720" s="276" t="s">
        <v>6950</v>
      </c>
      <c r="B1720" s="277">
        <v>2017</v>
      </c>
      <c r="C1720" s="276"/>
      <c r="D1720" s="277">
        <v>28333405</v>
      </c>
      <c r="E1720" s="278" t="str">
        <f t="shared" si="23"/>
        <v>https://pubmed.ncbi.nlm.nih.gov/28333405</v>
      </c>
      <c r="F1720" s="28" t="s">
        <v>511</v>
      </c>
      <c r="G1720" s="28" t="s">
        <v>6951</v>
      </c>
      <c r="J1720" s="346" t="str">
        <f t="shared" si="19"/>
        <v/>
      </c>
      <c r="K1720" s="28" t="str">
        <f t="shared" si="24"/>
        <v/>
      </c>
      <c r="L1720" s="45" t="str">
        <f t="shared" si="25"/>
        <v/>
      </c>
      <c r="M1720" s="45" t="str">
        <f t="shared" si="26"/>
        <v/>
      </c>
      <c r="N1720" s="45">
        <f t="shared" si="27"/>
        <v>1</v>
      </c>
      <c r="O1720" s="45" t="str">
        <f t="shared" si="28"/>
        <v/>
      </c>
      <c r="P1720" s="45" t="str">
        <f t="shared" si="29"/>
        <v/>
      </c>
    </row>
    <row r="1721" spans="1:16" ht="17.25">
      <c r="A1721" s="276" t="s">
        <v>6952</v>
      </c>
      <c r="B1721" s="277">
        <v>2019</v>
      </c>
      <c r="C1721" s="276"/>
      <c r="D1721" s="277">
        <v>30189465</v>
      </c>
      <c r="E1721" s="278" t="str">
        <f t="shared" si="23"/>
        <v>https://pubmed.ncbi.nlm.nih.gov/30189465</v>
      </c>
      <c r="F1721" s="28" t="s">
        <v>511</v>
      </c>
      <c r="G1721" s="28" t="s">
        <v>5299</v>
      </c>
      <c r="J1721" s="346" t="str">
        <f t="shared" si="19"/>
        <v/>
      </c>
      <c r="K1721" s="28" t="str">
        <f t="shared" si="24"/>
        <v/>
      </c>
      <c r="L1721" s="45" t="str">
        <f t="shared" si="25"/>
        <v/>
      </c>
      <c r="M1721" s="45" t="str">
        <f t="shared" si="26"/>
        <v/>
      </c>
      <c r="N1721" s="45">
        <f t="shared" si="27"/>
        <v>1</v>
      </c>
      <c r="O1721" s="45" t="str">
        <f t="shared" si="28"/>
        <v/>
      </c>
      <c r="P1721" s="45" t="str">
        <f t="shared" si="29"/>
        <v/>
      </c>
    </row>
    <row r="1722" spans="1:16" ht="17.25">
      <c r="A1722" s="276" t="s">
        <v>6953</v>
      </c>
      <c r="B1722" s="277">
        <v>2011</v>
      </c>
      <c r="C1722" s="276" t="s">
        <v>6954</v>
      </c>
      <c r="D1722" s="277">
        <v>20952517</v>
      </c>
      <c r="E1722" s="278" t="str">
        <f t="shared" si="23"/>
        <v>https://pubmed.ncbi.nlm.nih.gov/20952517</v>
      </c>
      <c r="F1722" s="28" t="s">
        <v>511</v>
      </c>
      <c r="G1722" s="28" t="s">
        <v>4867</v>
      </c>
      <c r="J1722" s="346" t="str">
        <f t="shared" si="19"/>
        <v/>
      </c>
      <c r="K1722" s="28" t="str">
        <f t="shared" si="24"/>
        <v/>
      </c>
      <c r="L1722" s="45" t="str">
        <f t="shared" si="25"/>
        <v/>
      </c>
      <c r="M1722" s="45" t="str">
        <f t="shared" si="26"/>
        <v/>
      </c>
      <c r="N1722" s="45">
        <f t="shared" si="27"/>
        <v>1</v>
      </c>
      <c r="O1722" s="45" t="str">
        <f t="shared" si="28"/>
        <v/>
      </c>
      <c r="P1722" s="45" t="str">
        <f t="shared" si="29"/>
        <v/>
      </c>
    </row>
    <row r="1723" spans="1:16" ht="17.25">
      <c r="A1723" s="276" t="s">
        <v>6955</v>
      </c>
      <c r="B1723" s="277">
        <v>2017</v>
      </c>
      <c r="C1723" s="276" t="s">
        <v>6956</v>
      </c>
      <c r="D1723" s="277">
        <v>29257353</v>
      </c>
      <c r="E1723" s="278" t="str">
        <f t="shared" si="23"/>
        <v>https://pubmed.ncbi.nlm.nih.gov/29257353</v>
      </c>
      <c r="F1723" s="28" t="s">
        <v>511</v>
      </c>
      <c r="G1723" s="28" t="s">
        <v>4592</v>
      </c>
      <c r="J1723" s="346">
        <f t="shared" si="19"/>
        <v>1</v>
      </c>
      <c r="K1723" s="28" t="str">
        <f t="shared" si="24"/>
        <v/>
      </c>
      <c r="L1723" s="45" t="str">
        <f t="shared" si="25"/>
        <v/>
      </c>
      <c r="M1723" s="45" t="str">
        <f t="shared" si="26"/>
        <v/>
      </c>
      <c r="N1723" s="45" t="str">
        <f t="shared" si="27"/>
        <v/>
      </c>
      <c r="O1723" s="45" t="str">
        <f t="shared" si="28"/>
        <v/>
      </c>
      <c r="P1723" s="45" t="str">
        <f t="shared" si="29"/>
        <v/>
      </c>
    </row>
    <row r="1724" spans="1:16" ht="17.25">
      <c r="A1724" s="276" t="s">
        <v>6955</v>
      </c>
      <c r="B1724" s="277">
        <v>2013</v>
      </c>
      <c r="C1724" s="276"/>
      <c r="D1724" s="277">
        <v>23728658</v>
      </c>
      <c r="E1724" s="278" t="str">
        <f t="shared" si="23"/>
        <v>https://pubmed.ncbi.nlm.nih.gov/23728658</v>
      </c>
      <c r="F1724" s="28" t="s">
        <v>511</v>
      </c>
      <c r="G1724" s="28" t="s">
        <v>4592</v>
      </c>
      <c r="J1724" s="346">
        <f t="shared" si="19"/>
        <v>1</v>
      </c>
      <c r="K1724" s="28" t="str">
        <f t="shared" si="24"/>
        <v/>
      </c>
      <c r="L1724" s="45" t="str">
        <f t="shared" si="25"/>
        <v/>
      </c>
      <c r="M1724" s="45" t="str">
        <f t="shared" si="26"/>
        <v/>
      </c>
      <c r="N1724" s="45" t="str">
        <f t="shared" si="27"/>
        <v/>
      </c>
      <c r="O1724" s="45" t="str">
        <f t="shared" si="28"/>
        <v/>
      </c>
      <c r="P1724" s="45" t="str">
        <f t="shared" si="29"/>
        <v/>
      </c>
    </row>
    <row r="1725" spans="1:16" ht="17.25">
      <c r="A1725" s="276" t="s">
        <v>6957</v>
      </c>
      <c r="B1725" s="277">
        <v>2017</v>
      </c>
      <c r="C1725" s="276"/>
      <c r="D1725" s="277">
        <v>29202209</v>
      </c>
      <c r="E1725" s="278" t="str">
        <f t="shared" si="23"/>
        <v>https://pubmed.ncbi.nlm.nih.gov/29202209</v>
      </c>
      <c r="F1725" s="28" t="s">
        <v>511</v>
      </c>
      <c r="G1725" s="28" t="s">
        <v>6958</v>
      </c>
      <c r="J1725" s="346" t="str">
        <f t="shared" si="19"/>
        <v/>
      </c>
      <c r="K1725" s="28" t="str">
        <f t="shared" si="24"/>
        <v/>
      </c>
      <c r="L1725" s="45" t="str">
        <f t="shared" si="25"/>
        <v/>
      </c>
      <c r="M1725" s="45" t="str">
        <f t="shared" si="26"/>
        <v/>
      </c>
      <c r="N1725" s="45">
        <f t="shared" si="27"/>
        <v>1</v>
      </c>
      <c r="O1725" s="45" t="str">
        <f t="shared" si="28"/>
        <v/>
      </c>
      <c r="P1725" s="45" t="str">
        <f t="shared" si="29"/>
        <v/>
      </c>
    </row>
    <row r="1726" spans="1:16" ht="17.25">
      <c r="A1726" s="276" t="s">
        <v>6959</v>
      </c>
      <c r="B1726" s="277">
        <v>2020</v>
      </c>
      <c r="C1726" s="276" t="s">
        <v>6960</v>
      </c>
      <c r="D1726" s="277">
        <v>32459919</v>
      </c>
      <c r="E1726" s="278" t="str">
        <f t="shared" si="23"/>
        <v>https://pubmed.ncbi.nlm.nih.gov/32459919</v>
      </c>
      <c r="F1726" s="28" t="s">
        <v>511</v>
      </c>
      <c r="G1726" s="28" t="s">
        <v>4744</v>
      </c>
      <c r="J1726" s="346" t="str">
        <f t="shared" si="19"/>
        <v/>
      </c>
      <c r="K1726" s="28" t="str">
        <f t="shared" si="24"/>
        <v/>
      </c>
      <c r="L1726" s="45" t="str">
        <f t="shared" si="25"/>
        <v/>
      </c>
      <c r="M1726" s="45" t="str">
        <f t="shared" si="26"/>
        <v/>
      </c>
      <c r="N1726" s="45">
        <f t="shared" si="27"/>
        <v>1</v>
      </c>
      <c r="O1726" s="45" t="str">
        <f t="shared" si="28"/>
        <v/>
      </c>
      <c r="P1726" s="45" t="str">
        <f t="shared" si="29"/>
        <v/>
      </c>
    </row>
    <row r="1727" spans="1:16" ht="17.25">
      <c r="A1727" s="276" t="s">
        <v>6961</v>
      </c>
      <c r="B1727" s="277">
        <v>2014</v>
      </c>
      <c r="C1727" s="276" t="s">
        <v>6962</v>
      </c>
      <c r="D1727" s="277">
        <v>25104969</v>
      </c>
      <c r="E1727" s="278" t="str">
        <f t="shared" si="23"/>
        <v>https://pubmed.ncbi.nlm.nih.gov/25104969</v>
      </c>
      <c r="F1727" s="28" t="s">
        <v>511</v>
      </c>
      <c r="G1727" s="28" t="s">
        <v>6963</v>
      </c>
      <c r="J1727" s="346" t="str">
        <f t="shared" si="19"/>
        <v/>
      </c>
      <c r="K1727" s="28" t="str">
        <f t="shared" si="24"/>
        <v/>
      </c>
      <c r="L1727" s="45" t="str">
        <f t="shared" si="25"/>
        <v/>
      </c>
      <c r="M1727" s="45" t="str">
        <f t="shared" si="26"/>
        <v/>
      </c>
      <c r="N1727" s="45" t="str">
        <f t="shared" si="27"/>
        <v/>
      </c>
      <c r="O1727" s="45">
        <f t="shared" si="28"/>
        <v>1</v>
      </c>
      <c r="P1727" s="45" t="str">
        <f t="shared" si="29"/>
        <v/>
      </c>
    </row>
    <row r="1728" spans="1:16" ht="17.25">
      <c r="A1728" s="276" t="s">
        <v>6964</v>
      </c>
      <c r="B1728" s="277">
        <v>2015</v>
      </c>
      <c r="C1728" s="276" t="s">
        <v>6965</v>
      </c>
      <c r="D1728" s="277">
        <v>25555390</v>
      </c>
      <c r="E1728" s="278" t="str">
        <f t="shared" si="23"/>
        <v>https://pubmed.ncbi.nlm.nih.gov/25555390</v>
      </c>
      <c r="F1728" s="28" t="s">
        <v>511</v>
      </c>
      <c r="G1728" s="28" t="s">
        <v>5157</v>
      </c>
      <c r="J1728" s="346" t="str">
        <f t="shared" si="19"/>
        <v/>
      </c>
      <c r="K1728" s="28" t="str">
        <f t="shared" si="24"/>
        <v/>
      </c>
      <c r="L1728" s="45" t="str">
        <f t="shared" si="25"/>
        <v/>
      </c>
      <c r="M1728" s="45" t="str">
        <f t="shared" si="26"/>
        <v/>
      </c>
      <c r="N1728" s="45">
        <f t="shared" si="27"/>
        <v>1</v>
      </c>
      <c r="O1728" s="45" t="str">
        <f t="shared" si="28"/>
        <v/>
      </c>
      <c r="P1728" s="45" t="str">
        <f t="shared" si="29"/>
        <v/>
      </c>
    </row>
    <row r="1729" spans="1:16" ht="17.25">
      <c r="A1729" s="276" t="s">
        <v>6966</v>
      </c>
      <c r="B1729" s="277">
        <v>2009</v>
      </c>
      <c r="C1729" s="276"/>
      <c r="D1729" s="277">
        <v>19370624</v>
      </c>
      <c r="E1729" s="278" t="str">
        <f t="shared" si="23"/>
        <v>https://pubmed.ncbi.nlm.nih.gov/19370624</v>
      </c>
      <c r="F1729" s="28" t="s">
        <v>511</v>
      </c>
      <c r="G1729" s="28" t="s">
        <v>5273</v>
      </c>
      <c r="J1729" s="346">
        <f t="shared" si="19"/>
        <v>1</v>
      </c>
      <c r="K1729" s="28" t="str">
        <f t="shared" si="24"/>
        <v/>
      </c>
      <c r="L1729" s="45" t="str">
        <f t="shared" si="25"/>
        <v/>
      </c>
      <c r="M1729" s="45" t="str">
        <f t="shared" si="26"/>
        <v/>
      </c>
      <c r="N1729" s="45" t="str">
        <f t="shared" si="27"/>
        <v/>
      </c>
      <c r="O1729" s="45" t="str">
        <f t="shared" si="28"/>
        <v/>
      </c>
      <c r="P1729" s="45" t="str">
        <f t="shared" si="29"/>
        <v/>
      </c>
    </row>
    <row r="1730" spans="1:16" ht="17.25">
      <c r="A1730" s="276" t="s">
        <v>6967</v>
      </c>
      <c r="B1730" s="277">
        <v>2019</v>
      </c>
      <c r="C1730" s="276" t="s">
        <v>6968</v>
      </c>
      <c r="D1730" s="277">
        <v>30624763</v>
      </c>
      <c r="E1730" s="278" t="str">
        <f t="shared" si="23"/>
        <v>https://pubmed.ncbi.nlm.nih.gov/30624763</v>
      </c>
      <c r="F1730" s="28" t="s">
        <v>511</v>
      </c>
      <c r="G1730" s="28" t="s">
        <v>6220</v>
      </c>
      <c r="J1730" s="346">
        <f t="shared" si="19"/>
        <v>1</v>
      </c>
      <c r="K1730" s="28" t="str">
        <f t="shared" si="24"/>
        <v/>
      </c>
      <c r="L1730" s="45" t="str">
        <f t="shared" si="25"/>
        <v/>
      </c>
      <c r="M1730" s="45" t="str">
        <f t="shared" si="26"/>
        <v/>
      </c>
      <c r="N1730" s="45" t="str">
        <f t="shared" si="27"/>
        <v/>
      </c>
      <c r="O1730" s="45" t="str">
        <f t="shared" si="28"/>
        <v/>
      </c>
      <c r="P1730" s="45" t="str">
        <f t="shared" si="29"/>
        <v/>
      </c>
    </row>
    <row r="1731" spans="1:16" ht="17.25">
      <c r="A1731" s="276" t="s">
        <v>6969</v>
      </c>
      <c r="B1731" s="277">
        <v>2007</v>
      </c>
      <c r="C1731" s="276"/>
      <c r="D1731" s="277">
        <v>17630815</v>
      </c>
      <c r="E1731" s="278" t="str">
        <f t="shared" si="23"/>
        <v>https://pubmed.ncbi.nlm.nih.gov/17630815</v>
      </c>
      <c r="F1731" s="28" t="s">
        <v>511</v>
      </c>
      <c r="G1731" s="28" t="s">
        <v>4592</v>
      </c>
      <c r="J1731" s="346">
        <f t="shared" si="19"/>
        <v>1</v>
      </c>
      <c r="K1731" s="28" t="str">
        <f t="shared" si="24"/>
        <v/>
      </c>
      <c r="L1731" s="45" t="str">
        <f t="shared" si="25"/>
        <v/>
      </c>
      <c r="M1731" s="45" t="str">
        <f t="shared" si="26"/>
        <v/>
      </c>
      <c r="N1731" s="45" t="str">
        <f t="shared" si="27"/>
        <v/>
      </c>
      <c r="O1731" s="45" t="str">
        <f t="shared" si="28"/>
        <v/>
      </c>
      <c r="P1731" s="45" t="str">
        <f t="shared" si="29"/>
        <v/>
      </c>
    </row>
    <row r="1732" spans="1:16" ht="17.25">
      <c r="A1732" s="276" t="s">
        <v>6970</v>
      </c>
      <c r="B1732" s="277">
        <v>2001</v>
      </c>
      <c r="C1732" s="276"/>
      <c r="D1732" s="277">
        <v>11275039</v>
      </c>
      <c r="E1732" s="278" t="str">
        <f t="shared" si="23"/>
        <v>https://pubmed.ncbi.nlm.nih.gov/11275039</v>
      </c>
      <c r="F1732" s="28" t="s">
        <v>511</v>
      </c>
      <c r="G1732" s="28" t="s">
        <v>4744</v>
      </c>
      <c r="J1732" s="346" t="str">
        <f t="shared" si="19"/>
        <v/>
      </c>
      <c r="K1732" s="28" t="str">
        <f t="shared" si="24"/>
        <v/>
      </c>
      <c r="L1732" s="45" t="str">
        <f t="shared" si="25"/>
        <v/>
      </c>
      <c r="M1732" s="45" t="str">
        <f t="shared" si="26"/>
        <v/>
      </c>
      <c r="N1732" s="45">
        <f t="shared" si="27"/>
        <v>1</v>
      </c>
      <c r="O1732" s="45" t="str">
        <f t="shared" si="28"/>
        <v/>
      </c>
      <c r="P1732" s="45" t="str">
        <f t="shared" si="29"/>
        <v/>
      </c>
    </row>
    <row r="1733" spans="1:16" ht="17.25">
      <c r="A1733" s="276" t="s">
        <v>6971</v>
      </c>
      <c r="B1733" s="277">
        <v>2019</v>
      </c>
      <c r="C1733" s="276" t="s">
        <v>6972</v>
      </c>
      <c r="D1733" s="277">
        <v>31577341</v>
      </c>
      <c r="E1733" s="278" t="str">
        <f t="shared" si="23"/>
        <v>https://pubmed.ncbi.nlm.nih.gov/31577341</v>
      </c>
      <c r="F1733" s="28" t="s">
        <v>511</v>
      </c>
      <c r="G1733" s="28" t="s">
        <v>4867</v>
      </c>
      <c r="J1733" s="346" t="str">
        <f t="shared" si="19"/>
        <v/>
      </c>
      <c r="K1733" s="28" t="str">
        <f t="shared" si="24"/>
        <v/>
      </c>
      <c r="L1733" s="45" t="str">
        <f t="shared" si="25"/>
        <v/>
      </c>
      <c r="M1733" s="45" t="str">
        <f t="shared" si="26"/>
        <v/>
      </c>
      <c r="N1733" s="45">
        <f t="shared" si="27"/>
        <v>1</v>
      </c>
      <c r="O1733" s="45" t="str">
        <f t="shared" si="28"/>
        <v/>
      </c>
      <c r="P1733" s="45" t="str">
        <f t="shared" si="29"/>
        <v/>
      </c>
    </row>
    <row r="1734" spans="1:16" ht="17.25">
      <c r="A1734" s="276" t="s">
        <v>6973</v>
      </c>
      <c r="B1734" s="277">
        <v>2008</v>
      </c>
      <c r="C1734" s="276"/>
      <c r="D1734" s="277">
        <v>18501566</v>
      </c>
      <c r="E1734" s="278" t="str">
        <f t="shared" si="23"/>
        <v>https://pubmed.ncbi.nlm.nih.gov/18501566</v>
      </c>
      <c r="F1734" s="28" t="s">
        <v>511</v>
      </c>
      <c r="G1734" s="28" t="s">
        <v>4592</v>
      </c>
      <c r="J1734" s="346">
        <f t="shared" si="19"/>
        <v>1</v>
      </c>
      <c r="K1734" s="28" t="str">
        <f t="shared" si="24"/>
        <v/>
      </c>
      <c r="L1734" s="45" t="str">
        <f t="shared" si="25"/>
        <v/>
      </c>
      <c r="M1734" s="45" t="str">
        <f t="shared" si="26"/>
        <v/>
      </c>
      <c r="N1734" s="45" t="str">
        <f t="shared" si="27"/>
        <v/>
      </c>
      <c r="O1734" s="45" t="str">
        <f t="shared" si="28"/>
        <v/>
      </c>
      <c r="P1734" s="45" t="str">
        <f t="shared" si="29"/>
        <v/>
      </c>
    </row>
    <row r="1735" spans="1:16" ht="17.25">
      <c r="A1735" s="276" t="s">
        <v>6974</v>
      </c>
      <c r="B1735" s="277">
        <v>2021</v>
      </c>
      <c r="C1735" s="276"/>
      <c r="D1735" s="277">
        <v>33612449</v>
      </c>
      <c r="E1735" s="278" t="str">
        <f t="shared" si="23"/>
        <v>https://pubmed.ncbi.nlm.nih.gov/33612449</v>
      </c>
      <c r="F1735" s="28" t="s">
        <v>511</v>
      </c>
      <c r="G1735" s="28" t="s">
        <v>6975</v>
      </c>
      <c r="J1735" s="346">
        <f t="shared" si="19"/>
        <v>1</v>
      </c>
      <c r="K1735" s="28" t="str">
        <f t="shared" si="24"/>
        <v/>
      </c>
      <c r="L1735" s="45" t="str">
        <f t="shared" si="25"/>
        <v/>
      </c>
      <c r="M1735" s="45" t="str">
        <f t="shared" si="26"/>
        <v/>
      </c>
      <c r="N1735" s="45" t="str">
        <f t="shared" si="27"/>
        <v/>
      </c>
      <c r="O1735" s="45" t="str">
        <f t="shared" si="28"/>
        <v/>
      </c>
      <c r="P1735" s="45" t="str">
        <f t="shared" si="29"/>
        <v/>
      </c>
    </row>
    <row r="1736" spans="1:16" ht="17.25">
      <c r="A1736" s="276" t="s">
        <v>6976</v>
      </c>
      <c r="B1736" s="277">
        <v>2008</v>
      </c>
      <c r="C1736" s="276"/>
      <c r="D1736" s="277">
        <v>18771056</v>
      </c>
      <c r="E1736" s="278" t="str">
        <f t="shared" si="23"/>
        <v>https://pubmed.ncbi.nlm.nih.gov/18771056</v>
      </c>
      <c r="F1736" s="28" t="s">
        <v>511</v>
      </c>
      <c r="G1736" s="28" t="s">
        <v>5157</v>
      </c>
      <c r="J1736" s="346" t="str">
        <f t="shared" si="19"/>
        <v/>
      </c>
      <c r="K1736" s="28" t="str">
        <f t="shared" si="24"/>
        <v/>
      </c>
      <c r="L1736" s="45" t="str">
        <f t="shared" si="25"/>
        <v/>
      </c>
      <c r="M1736" s="45" t="str">
        <f t="shared" si="26"/>
        <v/>
      </c>
      <c r="N1736" s="45">
        <f t="shared" si="27"/>
        <v>1</v>
      </c>
      <c r="O1736" s="45" t="str">
        <f t="shared" si="28"/>
        <v/>
      </c>
      <c r="P1736" s="45" t="str">
        <f t="shared" si="29"/>
        <v/>
      </c>
    </row>
    <row r="1737" spans="1:16" ht="17.25">
      <c r="A1737" s="276" t="s">
        <v>6977</v>
      </c>
      <c r="B1737" s="277">
        <v>2017</v>
      </c>
      <c r="C1737" s="276"/>
      <c r="D1737" s="277">
        <v>29040433</v>
      </c>
      <c r="E1737" s="278" t="str">
        <f t="shared" si="23"/>
        <v>https://pubmed.ncbi.nlm.nih.gov/29040433</v>
      </c>
      <c r="F1737" s="28" t="s">
        <v>511</v>
      </c>
      <c r="G1737" s="28" t="s">
        <v>6412</v>
      </c>
      <c r="J1737" s="346" t="str">
        <f t="shared" si="19"/>
        <v/>
      </c>
      <c r="K1737" s="28" t="str">
        <f t="shared" si="24"/>
        <v/>
      </c>
      <c r="L1737" s="45" t="str">
        <f t="shared" si="25"/>
        <v/>
      </c>
      <c r="M1737" s="45" t="str">
        <f t="shared" si="26"/>
        <v/>
      </c>
      <c r="N1737" s="45">
        <f t="shared" si="27"/>
        <v>1</v>
      </c>
      <c r="O1737" s="45" t="str">
        <f t="shared" si="28"/>
        <v/>
      </c>
      <c r="P1737" s="45" t="str">
        <f t="shared" si="29"/>
        <v/>
      </c>
    </row>
    <row r="1738" spans="1:16" ht="17.25">
      <c r="A1738" s="276" t="s">
        <v>6978</v>
      </c>
      <c r="B1738" s="277">
        <v>2001</v>
      </c>
      <c r="C1738" s="276" t="s">
        <v>6979</v>
      </c>
      <c r="D1738" s="277">
        <v>11878792</v>
      </c>
      <c r="E1738" s="278" t="str">
        <f t="shared" si="23"/>
        <v>https://pubmed.ncbi.nlm.nih.gov/11878792</v>
      </c>
      <c r="F1738" s="28" t="s">
        <v>511</v>
      </c>
      <c r="G1738" s="28" t="s">
        <v>4592</v>
      </c>
      <c r="J1738" s="346">
        <f t="shared" si="19"/>
        <v>1</v>
      </c>
      <c r="K1738" s="28" t="str">
        <f t="shared" si="24"/>
        <v/>
      </c>
      <c r="L1738" s="45" t="str">
        <f t="shared" si="25"/>
        <v/>
      </c>
      <c r="M1738" s="45" t="str">
        <f t="shared" si="26"/>
        <v/>
      </c>
      <c r="N1738" s="45" t="str">
        <f t="shared" si="27"/>
        <v/>
      </c>
      <c r="O1738" s="45" t="str">
        <f t="shared" si="28"/>
        <v/>
      </c>
      <c r="P1738" s="45" t="str">
        <f t="shared" si="29"/>
        <v/>
      </c>
    </row>
    <row r="1739" spans="1:16" ht="17.25">
      <c r="A1739" s="276" t="s">
        <v>6980</v>
      </c>
      <c r="B1739" s="277">
        <v>2017</v>
      </c>
      <c r="C1739" s="276"/>
      <c r="D1739" s="277">
        <v>28920492</v>
      </c>
      <c r="E1739" s="278" t="str">
        <f t="shared" si="23"/>
        <v>https://pubmed.ncbi.nlm.nih.gov/28920492</v>
      </c>
      <c r="F1739" s="28" t="s">
        <v>511</v>
      </c>
      <c r="G1739" s="28" t="s">
        <v>4592</v>
      </c>
      <c r="J1739" s="346">
        <f t="shared" si="19"/>
        <v>1</v>
      </c>
      <c r="K1739" s="28" t="str">
        <f t="shared" si="24"/>
        <v/>
      </c>
      <c r="L1739" s="45" t="str">
        <f t="shared" si="25"/>
        <v/>
      </c>
      <c r="M1739" s="45" t="str">
        <f t="shared" si="26"/>
        <v/>
      </c>
      <c r="N1739" s="45" t="str">
        <f t="shared" si="27"/>
        <v/>
      </c>
      <c r="O1739" s="45" t="str">
        <f t="shared" si="28"/>
        <v/>
      </c>
      <c r="P1739" s="45" t="str">
        <f t="shared" si="29"/>
        <v/>
      </c>
    </row>
    <row r="1740" spans="1:16" ht="17.25">
      <c r="A1740" s="276" t="s">
        <v>5155</v>
      </c>
      <c r="B1740" s="277">
        <v>2006</v>
      </c>
      <c r="C1740" s="276" t="s">
        <v>6981</v>
      </c>
      <c r="D1740" s="277">
        <v>17054280</v>
      </c>
      <c r="E1740" s="278" t="str">
        <f t="shared" si="23"/>
        <v>https://pubmed.ncbi.nlm.nih.gov/17054280</v>
      </c>
      <c r="F1740" s="28" t="s">
        <v>511</v>
      </c>
      <c r="G1740" s="28" t="s">
        <v>4592</v>
      </c>
      <c r="J1740" s="346">
        <f t="shared" si="19"/>
        <v>1</v>
      </c>
      <c r="K1740" s="28" t="str">
        <f t="shared" si="24"/>
        <v/>
      </c>
      <c r="L1740" s="45" t="str">
        <f t="shared" si="25"/>
        <v/>
      </c>
      <c r="M1740" s="45" t="str">
        <f t="shared" si="26"/>
        <v/>
      </c>
      <c r="N1740" s="45" t="str">
        <f t="shared" si="27"/>
        <v/>
      </c>
      <c r="O1740" s="45" t="str">
        <f t="shared" si="28"/>
        <v/>
      </c>
      <c r="P1740" s="45" t="str">
        <f t="shared" si="29"/>
        <v/>
      </c>
    </row>
    <row r="1741" spans="1:16" ht="17.25">
      <c r="A1741" s="276" t="s">
        <v>5155</v>
      </c>
      <c r="B1741" s="277">
        <v>2006</v>
      </c>
      <c r="C1741" s="276" t="s">
        <v>6982</v>
      </c>
      <c r="D1741" s="277">
        <v>16625647</v>
      </c>
      <c r="E1741" s="278" t="str">
        <f t="shared" si="23"/>
        <v>https://pubmed.ncbi.nlm.nih.gov/16625647</v>
      </c>
      <c r="F1741" s="28" t="s">
        <v>511</v>
      </c>
      <c r="G1741" s="28" t="s">
        <v>5273</v>
      </c>
      <c r="J1741" s="346">
        <f t="shared" si="19"/>
        <v>1</v>
      </c>
      <c r="K1741" s="28" t="str">
        <f t="shared" si="24"/>
        <v/>
      </c>
      <c r="L1741" s="45" t="str">
        <f t="shared" si="25"/>
        <v/>
      </c>
      <c r="M1741" s="45" t="str">
        <f t="shared" si="26"/>
        <v/>
      </c>
      <c r="N1741" s="45" t="str">
        <f t="shared" si="27"/>
        <v/>
      </c>
      <c r="O1741" s="45" t="str">
        <f t="shared" si="28"/>
        <v/>
      </c>
      <c r="P1741" s="45" t="str">
        <f t="shared" si="29"/>
        <v/>
      </c>
    </row>
    <row r="1742" spans="1:16" ht="17.25">
      <c r="A1742" s="276" t="s">
        <v>6983</v>
      </c>
      <c r="B1742" s="277">
        <v>2016</v>
      </c>
      <c r="C1742" s="276" t="s">
        <v>6984</v>
      </c>
      <c r="D1742" s="277">
        <v>27464582</v>
      </c>
      <c r="E1742" s="278" t="str">
        <f t="shared" si="23"/>
        <v>https://pubmed.ncbi.nlm.nih.gov/27464582</v>
      </c>
      <c r="F1742" s="28" t="s">
        <v>511</v>
      </c>
      <c r="G1742" s="28" t="s">
        <v>6985</v>
      </c>
      <c r="J1742" s="346" t="str">
        <f t="shared" si="19"/>
        <v/>
      </c>
      <c r="K1742" s="28" t="str">
        <f t="shared" si="24"/>
        <v/>
      </c>
      <c r="L1742" s="45" t="str">
        <f t="shared" si="25"/>
        <v/>
      </c>
      <c r="M1742" s="45" t="str">
        <f t="shared" si="26"/>
        <v/>
      </c>
      <c r="N1742" s="45">
        <f t="shared" si="27"/>
        <v>1</v>
      </c>
      <c r="O1742" s="45" t="str">
        <f t="shared" si="28"/>
        <v/>
      </c>
      <c r="P1742" s="45" t="str">
        <f t="shared" si="29"/>
        <v/>
      </c>
    </row>
    <row r="1743" spans="1:16" ht="17.25">
      <c r="A1743" s="276" t="s">
        <v>6986</v>
      </c>
      <c r="B1743" s="277">
        <v>2007</v>
      </c>
      <c r="C1743" s="276"/>
      <c r="D1743" s="277">
        <v>17803871</v>
      </c>
      <c r="E1743" s="278" t="str">
        <f t="shared" si="23"/>
        <v>https://pubmed.ncbi.nlm.nih.gov/17803871</v>
      </c>
      <c r="F1743" s="28" t="s">
        <v>511</v>
      </c>
      <c r="G1743" s="28" t="s">
        <v>4592</v>
      </c>
      <c r="J1743" s="346">
        <f t="shared" si="19"/>
        <v>1</v>
      </c>
      <c r="K1743" s="28" t="str">
        <f t="shared" si="24"/>
        <v/>
      </c>
      <c r="L1743" s="45" t="str">
        <f t="shared" si="25"/>
        <v/>
      </c>
      <c r="M1743" s="45" t="str">
        <f t="shared" si="26"/>
        <v/>
      </c>
      <c r="N1743" s="45" t="str">
        <f t="shared" si="27"/>
        <v/>
      </c>
      <c r="O1743" s="45" t="str">
        <f t="shared" si="28"/>
        <v/>
      </c>
      <c r="P1743" s="45" t="str">
        <f t="shared" si="29"/>
        <v/>
      </c>
    </row>
    <row r="1744" spans="1:16" ht="17.25">
      <c r="A1744" s="276" t="s">
        <v>6987</v>
      </c>
      <c r="B1744" s="277">
        <v>2001</v>
      </c>
      <c r="C1744" s="276"/>
      <c r="D1744" s="277">
        <v>11134441</v>
      </c>
      <c r="E1744" s="278" t="str">
        <f t="shared" si="23"/>
        <v>https://pubmed.ncbi.nlm.nih.gov/11134441</v>
      </c>
      <c r="F1744" s="28" t="s">
        <v>511</v>
      </c>
      <c r="G1744" s="28" t="s">
        <v>4744</v>
      </c>
      <c r="J1744" s="346" t="str">
        <f t="shared" si="19"/>
        <v/>
      </c>
      <c r="K1744" s="28" t="str">
        <f t="shared" si="24"/>
        <v/>
      </c>
      <c r="L1744" s="45" t="str">
        <f t="shared" si="25"/>
        <v/>
      </c>
      <c r="M1744" s="45" t="str">
        <f t="shared" si="26"/>
        <v/>
      </c>
      <c r="N1744" s="45">
        <f t="shared" si="27"/>
        <v>1</v>
      </c>
      <c r="O1744" s="45" t="str">
        <f t="shared" si="28"/>
        <v/>
      </c>
      <c r="P1744" s="45" t="str">
        <f t="shared" si="29"/>
        <v/>
      </c>
    </row>
    <row r="1745" spans="1:16" ht="17.25">
      <c r="A1745" s="276" t="s">
        <v>6988</v>
      </c>
      <c r="B1745" s="277">
        <v>2019</v>
      </c>
      <c r="C1745" s="276"/>
      <c r="D1745" s="277">
        <v>31329402</v>
      </c>
      <c r="E1745" s="278" t="str">
        <f t="shared" si="23"/>
        <v>https://pubmed.ncbi.nlm.nih.gov/31329402</v>
      </c>
      <c r="F1745" s="28" t="s">
        <v>511</v>
      </c>
      <c r="G1745" s="28" t="s">
        <v>5157</v>
      </c>
      <c r="J1745" s="346" t="str">
        <f t="shared" si="19"/>
        <v/>
      </c>
      <c r="K1745" s="28" t="str">
        <f t="shared" si="24"/>
        <v/>
      </c>
      <c r="L1745" s="45" t="str">
        <f t="shared" si="25"/>
        <v/>
      </c>
      <c r="M1745" s="45" t="str">
        <f t="shared" si="26"/>
        <v/>
      </c>
      <c r="N1745" s="45">
        <f t="shared" si="27"/>
        <v>1</v>
      </c>
      <c r="O1745" s="45" t="str">
        <f t="shared" si="28"/>
        <v/>
      </c>
      <c r="P1745" s="45" t="str">
        <f t="shared" si="29"/>
        <v/>
      </c>
    </row>
    <row r="1746" spans="1:16" ht="17.25">
      <c r="A1746" s="276" t="s">
        <v>6989</v>
      </c>
      <c r="B1746" s="277">
        <v>2014</v>
      </c>
      <c r="C1746" s="276" t="s">
        <v>6990</v>
      </c>
      <c r="D1746" s="277">
        <v>24602844</v>
      </c>
      <c r="E1746" s="278" t="str">
        <f t="shared" si="23"/>
        <v>https://pubmed.ncbi.nlm.nih.gov/24602844</v>
      </c>
      <c r="F1746" s="28" t="s">
        <v>511</v>
      </c>
      <c r="G1746" s="28" t="s">
        <v>4867</v>
      </c>
      <c r="J1746" s="346" t="str">
        <f t="shared" si="19"/>
        <v/>
      </c>
      <c r="K1746" s="28" t="str">
        <f t="shared" si="24"/>
        <v/>
      </c>
      <c r="L1746" s="45" t="str">
        <f t="shared" si="25"/>
        <v/>
      </c>
      <c r="M1746" s="45" t="str">
        <f t="shared" si="26"/>
        <v/>
      </c>
      <c r="N1746" s="45">
        <f t="shared" si="27"/>
        <v>1</v>
      </c>
      <c r="O1746" s="45" t="str">
        <f t="shared" si="28"/>
        <v/>
      </c>
      <c r="P1746" s="45" t="str">
        <f t="shared" si="29"/>
        <v/>
      </c>
    </row>
    <row r="1747" spans="1:16" ht="17.25">
      <c r="A1747" s="276" t="s">
        <v>6991</v>
      </c>
      <c r="B1747" s="277">
        <v>1993</v>
      </c>
      <c r="C1747" s="276"/>
      <c r="D1747" s="277">
        <v>8413475</v>
      </c>
      <c r="E1747" s="278" t="str">
        <f t="shared" si="23"/>
        <v>https://pubmed.ncbi.nlm.nih.gov/8413475</v>
      </c>
      <c r="F1747" s="28" t="s">
        <v>511</v>
      </c>
      <c r="G1747" s="28" t="s">
        <v>4744</v>
      </c>
      <c r="J1747" s="346" t="str">
        <f t="shared" si="19"/>
        <v/>
      </c>
      <c r="K1747" s="28" t="str">
        <f t="shared" si="24"/>
        <v/>
      </c>
      <c r="L1747" s="45" t="str">
        <f t="shared" si="25"/>
        <v/>
      </c>
      <c r="M1747" s="45" t="str">
        <f t="shared" si="26"/>
        <v/>
      </c>
      <c r="N1747" s="45">
        <f t="shared" si="27"/>
        <v>1</v>
      </c>
      <c r="O1747" s="45" t="str">
        <f t="shared" si="28"/>
        <v/>
      </c>
      <c r="P1747" s="45" t="str">
        <f t="shared" si="29"/>
        <v/>
      </c>
    </row>
    <row r="1748" spans="1:16" ht="17.25">
      <c r="A1748" s="276" t="s">
        <v>6992</v>
      </c>
      <c r="B1748" s="277">
        <v>2013</v>
      </c>
      <c r="C1748" s="276"/>
      <c r="D1748" s="277">
        <v>23350812</v>
      </c>
      <c r="E1748" s="278" t="str">
        <f t="shared" si="23"/>
        <v>https://pubmed.ncbi.nlm.nih.gov/23350812</v>
      </c>
      <c r="F1748" s="28" t="s">
        <v>511</v>
      </c>
      <c r="G1748" s="28" t="s">
        <v>4867</v>
      </c>
      <c r="J1748" s="346" t="str">
        <f t="shared" si="19"/>
        <v/>
      </c>
      <c r="K1748" s="28" t="str">
        <f t="shared" si="24"/>
        <v/>
      </c>
      <c r="L1748" s="45" t="str">
        <f t="shared" si="25"/>
        <v/>
      </c>
      <c r="M1748" s="45" t="str">
        <f t="shared" si="26"/>
        <v/>
      </c>
      <c r="N1748" s="45">
        <f t="shared" si="27"/>
        <v>1</v>
      </c>
      <c r="O1748" s="45" t="str">
        <f t="shared" si="28"/>
        <v/>
      </c>
      <c r="P1748" s="45" t="str">
        <f t="shared" si="29"/>
        <v/>
      </c>
    </row>
    <row r="1749" spans="1:16" ht="17.25">
      <c r="A1749" s="276" t="s">
        <v>6993</v>
      </c>
      <c r="B1749" s="277">
        <v>2020</v>
      </c>
      <c r="C1749" s="276"/>
      <c r="D1749" s="277">
        <v>31574543</v>
      </c>
      <c r="E1749" s="278" t="str">
        <f t="shared" si="23"/>
        <v>https://pubmed.ncbi.nlm.nih.gov/31574543</v>
      </c>
      <c r="F1749" s="28" t="s">
        <v>511</v>
      </c>
      <c r="G1749" s="28" t="s">
        <v>4592</v>
      </c>
      <c r="J1749" s="346">
        <f t="shared" si="19"/>
        <v>1</v>
      </c>
      <c r="K1749" s="28" t="str">
        <f t="shared" si="24"/>
        <v/>
      </c>
      <c r="L1749" s="45" t="str">
        <f t="shared" si="25"/>
        <v/>
      </c>
      <c r="M1749" s="45" t="str">
        <f t="shared" si="26"/>
        <v/>
      </c>
      <c r="N1749" s="45" t="str">
        <f t="shared" si="27"/>
        <v/>
      </c>
      <c r="O1749" s="45" t="str">
        <f t="shared" si="28"/>
        <v/>
      </c>
      <c r="P1749" s="45" t="str">
        <f t="shared" si="29"/>
        <v/>
      </c>
    </row>
    <row r="1750" spans="1:16" ht="17.25">
      <c r="A1750" s="276" t="s">
        <v>6994</v>
      </c>
      <c r="B1750" s="277">
        <v>2020</v>
      </c>
      <c r="C1750" s="276" t="s">
        <v>6995</v>
      </c>
      <c r="D1750" s="277">
        <v>32224496</v>
      </c>
      <c r="E1750" s="278" t="str">
        <f t="shared" si="23"/>
        <v>https://pubmed.ncbi.nlm.nih.gov/32224496</v>
      </c>
      <c r="F1750" s="28" t="s">
        <v>511</v>
      </c>
      <c r="G1750" s="28" t="s">
        <v>4592</v>
      </c>
      <c r="J1750" s="346">
        <f t="shared" si="19"/>
        <v>1</v>
      </c>
      <c r="K1750" s="28" t="str">
        <f t="shared" si="24"/>
        <v/>
      </c>
      <c r="L1750" s="45" t="str">
        <f t="shared" si="25"/>
        <v/>
      </c>
      <c r="M1750" s="45" t="str">
        <f t="shared" si="26"/>
        <v/>
      </c>
      <c r="N1750" s="45" t="str">
        <f t="shared" si="27"/>
        <v/>
      </c>
      <c r="O1750" s="45" t="str">
        <f t="shared" si="28"/>
        <v/>
      </c>
      <c r="P1750" s="45" t="str">
        <f t="shared" si="29"/>
        <v/>
      </c>
    </row>
    <row r="1751" spans="1:16" ht="17.25">
      <c r="A1751" s="276" t="s">
        <v>6996</v>
      </c>
      <c r="B1751" s="277">
        <v>2019</v>
      </c>
      <c r="C1751" s="276"/>
      <c r="D1751" s="277">
        <v>31653334</v>
      </c>
      <c r="E1751" s="278" t="str">
        <f t="shared" si="23"/>
        <v>https://pubmed.ncbi.nlm.nih.gov/31653334</v>
      </c>
      <c r="F1751" s="28" t="s">
        <v>511</v>
      </c>
      <c r="G1751" s="28" t="s">
        <v>4587</v>
      </c>
      <c r="J1751" s="346" t="str">
        <f t="shared" si="19"/>
        <v/>
      </c>
      <c r="K1751" s="28" t="str">
        <f t="shared" si="24"/>
        <v/>
      </c>
      <c r="L1751" s="45" t="str">
        <f t="shared" si="25"/>
        <v/>
      </c>
      <c r="M1751" s="45">
        <f t="shared" si="26"/>
        <v>1</v>
      </c>
      <c r="N1751" s="45" t="str">
        <f t="shared" si="27"/>
        <v/>
      </c>
      <c r="O1751" s="45" t="str">
        <f t="shared" si="28"/>
        <v/>
      </c>
      <c r="P1751" s="45" t="str">
        <f t="shared" si="29"/>
        <v/>
      </c>
    </row>
    <row r="1752" spans="1:16" ht="17.25">
      <c r="A1752" s="276" t="s">
        <v>6997</v>
      </c>
      <c r="B1752" s="277">
        <v>2013</v>
      </c>
      <c r="C1752" s="276" t="s">
        <v>6998</v>
      </c>
      <c r="D1752" s="277">
        <v>24359122</v>
      </c>
      <c r="E1752" s="278" t="str">
        <f t="shared" si="23"/>
        <v>https://pubmed.ncbi.nlm.nih.gov/24359122</v>
      </c>
      <c r="F1752" s="28" t="s">
        <v>511</v>
      </c>
      <c r="G1752" s="28" t="s">
        <v>5157</v>
      </c>
      <c r="J1752" s="346" t="str">
        <f t="shared" si="19"/>
        <v/>
      </c>
      <c r="K1752" s="28" t="str">
        <f t="shared" si="24"/>
        <v/>
      </c>
      <c r="L1752" s="45" t="str">
        <f t="shared" si="25"/>
        <v/>
      </c>
      <c r="M1752" s="45" t="str">
        <f t="shared" si="26"/>
        <v/>
      </c>
      <c r="N1752" s="45">
        <f t="shared" si="27"/>
        <v>1</v>
      </c>
      <c r="O1752" s="45" t="str">
        <f t="shared" si="28"/>
        <v/>
      </c>
      <c r="P1752" s="45" t="str">
        <f t="shared" si="29"/>
        <v/>
      </c>
    </row>
    <row r="1753" spans="1:16" ht="17.25">
      <c r="A1753" s="276" t="s">
        <v>6999</v>
      </c>
      <c r="B1753" s="277">
        <v>2018</v>
      </c>
      <c r="C1753" s="276"/>
      <c r="D1753" s="277">
        <v>29421012</v>
      </c>
      <c r="E1753" s="278" t="str">
        <f t="shared" si="23"/>
        <v>https://pubmed.ncbi.nlm.nih.gov/29421012</v>
      </c>
      <c r="F1753" s="28" t="s">
        <v>511</v>
      </c>
      <c r="G1753" s="28" t="s">
        <v>6919</v>
      </c>
      <c r="J1753" s="346">
        <f t="shared" si="19"/>
        <v>1</v>
      </c>
      <c r="K1753" s="28" t="str">
        <f t="shared" si="24"/>
        <v/>
      </c>
      <c r="L1753" s="45" t="str">
        <f t="shared" si="25"/>
        <v/>
      </c>
      <c r="M1753" s="45" t="str">
        <f t="shared" si="26"/>
        <v/>
      </c>
      <c r="N1753" s="45" t="str">
        <f t="shared" si="27"/>
        <v/>
      </c>
      <c r="O1753" s="45" t="str">
        <f t="shared" si="28"/>
        <v/>
      </c>
      <c r="P1753" s="45" t="str">
        <f t="shared" si="29"/>
        <v/>
      </c>
    </row>
    <row r="1754" spans="1:16" ht="17.25">
      <c r="A1754" s="276" t="s">
        <v>7000</v>
      </c>
      <c r="B1754" s="277">
        <v>2014</v>
      </c>
      <c r="C1754" s="276"/>
      <c r="D1754" s="277">
        <v>25007364</v>
      </c>
      <c r="E1754" s="278" t="str">
        <f t="shared" si="23"/>
        <v>https://pubmed.ncbi.nlm.nih.gov/25007364</v>
      </c>
      <c r="F1754" s="28" t="s">
        <v>511</v>
      </c>
      <c r="G1754" s="28" t="s">
        <v>6220</v>
      </c>
      <c r="J1754" s="346">
        <f t="shared" si="19"/>
        <v>1</v>
      </c>
      <c r="K1754" s="28" t="str">
        <f t="shared" si="24"/>
        <v/>
      </c>
      <c r="L1754" s="45" t="str">
        <f t="shared" si="25"/>
        <v/>
      </c>
      <c r="M1754" s="45" t="str">
        <f t="shared" si="26"/>
        <v/>
      </c>
      <c r="N1754" s="45" t="str">
        <f t="shared" si="27"/>
        <v/>
      </c>
      <c r="O1754" s="45" t="str">
        <f t="shared" si="28"/>
        <v/>
      </c>
      <c r="P1754" s="45" t="str">
        <f t="shared" si="29"/>
        <v/>
      </c>
    </row>
    <row r="1755" spans="1:16" ht="17.25">
      <c r="A1755" s="276" t="s">
        <v>7001</v>
      </c>
      <c r="B1755" s="277">
        <v>2006</v>
      </c>
      <c r="C1755" s="276"/>
      <c r="D1755" s="277">
        <v>17042674</v>
      </c>
      <c r="E1755" s="278" t="str">
        <f t="shared" si="23"/>
        <v>https://pubmed.ncbi.nlm.nih.gov/17042674</v>
      </c>
      <c r="F1755" s="28" t="s">
        <v>511</v>
      </c>
      <c r="G1755" s="28" t="s">
        <v>7002</v>
      </c>
      <c r="J1755" s="346" t="str">
        <f t="shared" si="19"/>
        <v/>
      </c>
      <c r="K1755" s="28" t="str">
        <f t="shared" si="24"/>
        <v/>
      </c>
      <c r="L1755" s="45" t="str">
        <f t="shared" si="25"/>
        <v/>
      </c>
      <c r="M1755" s="45" t="str">
        <f t="shared" si="26"/>
        <v/>
      </c>
      <c r="N1755" s="45">
        <f t="shared" si="27"/>
        <v>1</v>
      </c>
      <c r="O1755" s="45" t="str">
        <f t="shared" si="28"/>
        <v/>
      </c>
      <c r="P1755" s="45" t="str">
        <f t="shared" si="29"/>
        <v/>
      </c>
    </row>
    <row r="1756" spans="1:16" ht="17.25">
      <c r="A1756" s="276" t="s">
        <v>7003</v>
      </c>
      <c r="B1756" s="277">
        <v>2020</v>
      </c>
      <c r="C1756" s="276"/>
      <c r="D1756" s="277">
        <v>32194150</v>
      </c>
      <c r="E1756" s="278" t="str">
        <f t="shared" si="23"/>
        <v>https://pubmed.ncbi.nlm.nih.gov/32194150</v>
      </c>
      <c r="F1756" s="28" t="s">
        <v>511</v>
      </c>
      <c r="G1756" s="28" t="s">
        <v>4592</v>
      </c>
      <c r="J1756" s="346">
        <f t="shared" si="19"/>
        <v>1</v>
      </c>
      <c r="K1756" s="28" t="str">
        <f t="shared" si="24"/>
        <v/>
      </c>
      <c r="L1756" s="45" t="str">
        <f t="shared" si="25"/>
        <v/>
      </c>
      <c r="M1756" s="45" t="str">
        <f t="shared" si="26"/>
        <v/>
      </c>
      <c r="N1756" s="45" t="str">
        <f t="shared" si="27"/>
        <v/>
      </c>
      <c r="O1756" s="45" t="str">
        <f t="shared" si="28"/>
        <v/>
      </c>
      <c r="P1756" s="45" t="str">
        <f t="shared" si="29"/>
        <v/>
      </c>
    </row>
    <row r="1757" spans="1:16" ht="17.25">
      <c r="A1757" s="276" t="s">
        <v>7004</v>
      </c>
      <c r="B1757" s="277">
        <v>2013</v>
      </c>
      <c r="C1757" s="276" t="s">
        <v>7005</v>
      </c>
      <c r="D1757" s="277">
        <v>23418281</v>
      </c>
      <c r="E1757" s="278" t="str">
        <f t="shared" si="23"/>
        <v>https://pubmed.ncbi.nlm.nih.gov/23418281</v>
      </c>
      <c r="F1757" s="28" t="s">
        <v>511</v>
      </c>
      <c r="G1757" s="28" t="s">
        <v>5273</v>
      </c>
      <c r="J1757" s="346">
        <f t="shared" si="19"/>
        <v>1</v>
      </c>
      <c r="K1757" s="28" t="str">
        <f t="shared" si="24"/>
        <v/>
      </c>
      <c r="L1757" s="45" t="str">
        <f t="shared" si="25"/>
        <v/>
      </c>
      <c r="M1757" s="45" t="str">
        <f t="shared" si="26"/>
        <v/>
      </c>
      <c r="N1757" s="45" t="str">
        <f t="shared" si="27"/>
        <v/>
      </c>
      <c r="O1757" s="45" t="str">
        <f t="shared" si="28"/>
        <v/>
      </c>
      <c r="P1757" s="45" t="str">
        <f t="shared" si="29"/>
        <v/>
      </c>
    </row>
    <row r="1758" spans="1:16" ht="17.25">
      <c r="A1758" s="276" t="s">
        <v>7006</v>
      </c>
      <c r="B1758" s="277">
        <v>2014</v>
      </c>
      <c r="C1758" s="276"/>
      <c r="D1758" s="277">
        <v>24393593</v>
      </c>
      <c r="E1758" s="278" t="str">
        <f t="shared" si="23"/>
        <v>https://pubmed.ncbi.nlm.nih.gov/24393593</v>
      </c>
      <c r="F1758" s="28" t="s">
        <v>511</v>
      </c>
      <c r="G1758" s="28" t="s">
        <v>4867</v>
      </c>
      <c r="J1758" s="346" t="str">
        <f t="shared" si="19"/>
        <v/>
      </c>
      <c r="K1758" s="28" t="str">
        <f t="shared" si="24"/>
        <v/>
      </c>
      <c r="L1758" s="45" t="str">
        <f t="shared" si="25"/>
        <v/>
      </c>
      <c r="M1758" s="45" t="str">
        <f t="shared" si="26"/>
        <v/>
      </c>
      <c r="N1758" s="45">
        <f t="shared" si="27"/>
        <v>1</v>
      </c>
      <c r="O1758" s="45" t="str">
        <f t="shared" si="28"/>
        <v/>
      </c>
      <c r="P1758" s="45" t="str">
        <f t="shared" si="29"/>
        <v/>
      </c>
    </row>
    <row r="1759" spans="1:16" ht="17.25">
      <c r="A1759" s="276" t="s">
        <v>7007</v>
      </c>
      <c r="B1759" s="277">
        <v>2010</v>
      </c>
      <c r="C1759" s="276" t="s">
        <v>7008</v>
      </c>
      <c r="D1759" s="277">
        <v>20200300</v>
      </c>
      <c r="E1759" s="278" t="str">
        <f t="shared" si="23"/>
        <v>https://pubmed.ncbi.nlm.nih.gov/20200300</v>
      </c>
      <c r="F1759" s="28" t="s">
        <v>511</v>
      </c>
      <c r="G1759" s="28" t="s">
        <v>4744</v>
      </c>
      <c r="J1759" s="346" t="str">
        <f t="shared" si="19"/>
        <v/>
      </c>
      <c r="K1759" s="28" t="str">
        <f t="shared" si="24"/>
        <v/>
      </c>
      <c r="L1759" s="45" t="str">
        <f t="shared" si="25"/>
        <v/>
      </c>
      <c r="M1759" s="45" t="str">
        <f t="shared" si="26"/>
        <v/>
      </c>
      <c r="N1759" s="45">
        <f t="shared" si="27"/>
        <v>1</v>
      </c>
      <c r="O1759" s="45" t="str">
        <f t="shared" si="28"/>
        <v/>
      </c>
      <c r="P1759" s="45" t="str">
        <f t="shared" si="29"/>
        <v/>
      </c>
    </row>
    <row r="1760" spans="1:16" ht="17.25">
      <c r="A1760" s="276" t="s">
        <v>7009</v>
      </c>
      <c r="B1760" s="277">
        <v>2016</v>
      </c>
      <c r="C1760" s="276" t="s">
        <v>7010</v>
      </c>
      <c r="D1760" s="277">
        <v>26826498</v>
      </c>
      <c r="E1760" s="278" t="str">
        <f t="shared" si="23"/>
        <v>https://pubmed.ncbi.nlm.nih.gov/26826498</v>
      </c>
      <c r="F1760" s="28" t="s">
        <v>511</v>
      </c>
      <c r="G1760" s="28" t="s">
        <v>4592</v>
      </c>
      <c r="J1760" s="346">
        <f t="shared" si="19"/>
        <v>1</v>
      </c>
      <c r="K1760" s="28" t="str">
        <f t="shared" si="24"/>
        <v/>
      </c>
      <c r="L1760" s="45" t="str">
        <f t="shared" si="25"/>
        <v/>
      </c>
      <c r="M1760" s="45" t="str">
        <f t="shared" si="26"/>
        <v/>
      </c>
      <c r="N1760" s="45" t="str">
        <f t="shared" si="27"/>
        <v/>
      </c>
      <c r="O1760" s="45" t="str">
        <f t="shared" si="28"/>
        <v/>
      </c>
      <c r="P1760" s="45" t="str">
        <f t="shared" si="29"/>
        <v/>
      </c>
    </row>
    <row r="1761" spans="1:16" ht="17.25">
      <c r="A1761" s="276" t="s">
        <v>7011</v>
      </c>
      <c r="B1761" s="277">
        <v>2017</v>
      </c>
      <c r="C1761" s="276"/>
      <c r="D1761" s="277">
        <v>27841822</v>
      </c>
      <c r="E1761" s="278" t="str">
        <f t="shared" si="23"/>
        <v>https://pubmed.ncbi.nlm.nih.gov/27841822</v>
      </c>
      <c r="F1761" s="28" t="s">
        <v>511</v>
      </c>
      <c r="G1761" s="28" t="s">
        <v>5157</v>
      </c>
      <c r="J1761" s="346" t="str">
        <f t="shared" si="19"/>
        <v/>
      </c>
      <c r="K1761" s="28" t="str">
        <f t="shared" si="24"/>
        <v/>
      </c>
      <c r="L1761" s="45" t="str">
        <f t="shared" si="25"/>
        <v/>
      </c>
      <c r="M1761" s="45" t="str">
        <f t="shared" si="26"/>
        <v/>
      </c>
      <c r="N1761" s="45">
        <f t="shared" si="27"/>
        <v>1</v>
      </c>
      <c r="O1761" s="45" t="str">
        <f t="shared" si="28"/>
        <v/>
      </c>
      <c r="P1761" s="45" t="str">
        <f t="shared" si="29"/>
        <v/>
      </c>
    </row>
    <row r="1762" spans="1:16" ht="17.25">
      <c r="A1762" s="276" t="s">
        <v>7012</v>
      </c>
      <c r="B1762" s="277">
        <v>2013</v>
      </c>
      <c r="C1762" s="276"/>
      <c r="D1762" s="277">
        <v>23884503</v>
      </c>
      <c r="E1762" s="278" t="str">
        <f t="shared" si="23"/>
        <v>https://pubmed.ncbi.nlm.nih.gov/23884503</v>
      </c>
      <c r="F1762" s="28" t="s">
        <v>511</v>
      </c>
      <c r="G1762" s="28" t="s">
        <v>4744</v>
      </c>
      <c r="J1762" s="346" t="str">
        <f t="shared" si="19"/>
        <v/>
      </c>
      <c r="K1762" s="28" t="str">
        <f t="shared" si="24"/>
        <v/>
      </c>
      <c r="L1762" s="45" t="str">
        <f t="shared" si="25"/>
        <v/>
      </c>
      <c r="M1762" s="45" t="str">
        <f t="shared" si="26"/>
        <v/>
      </c>
      <c r="N1762" s="45">
        <f t="shared" si="27"/>
        <v>1</v>
      </c>
      <c r="O1762" s="45" t="str">
        <f t="shared" si="28"/>
        <v/>
      </c>
      <c r="P1762" s="45" t="str">
        <f t="shared" si="29"/>
        <v/>
      </c>
    </row>
    <row r="1763" spans="1:16" ht="17.25">
      <c r="A1763" s="276" t="s">
        <v>7013</v>
      </c>
      <c r="B1763" s="277">
        <v>2010</v>
      </c>
      <c r="C1763" s="276"/>
      <c r="D1763" s="277">
        <v>20441397</v>
      </c>
      <c r="E1763" s="278" t="str">
        <f t="shared" si="23"/>
        <v>https://pubmed.ncbi.nlm.nih.gov/20441397</v>
      </c>
      <c r="F1763" s="28" t="s">
        <v>511</v>
      </c>
      <c r="G1763" s="28" t="s">
        <v>4592</v>
      </c>
      <c r="J1763" s="346">
        <f t="shared" si="19"/>
        <v>1</v>
      </c>
      <c r="K1763" s="28" t="str">
        <f t="shared" si="24"/>
        <v/>
      </c>
      <c r="L1763" s="45" t="str">
        <f t="shared" si="25"/>
        <v/>
      </c>
      <c r="M1763" s="45" t="str">
        <f t="shared" si="26"/>
        <v/>
      </c>
      <c r="N1763" s="45" t="str">
        <f t="shared" si="27"/>
        <v/>
      </c>
      <c r="O1763" s="45" t="str">
        <f t="shared" si="28"/>
        <v/>
      </c>
      <c r="P1763" s="45" t="str">
        <f t="shared" si="29"/>
        <v/>
      </c>
    </row>
    <row r="1764" spans="1:16" ht="17.25">
      <c r="A1764" s="276" t="s">
        <v>7014</v>
      </c>
      <c r="B1764" s="277">
        <v>2005</v>
      </c>
      <c r="C1764" s="276" t="s">
        <v>7015</v>
      </c>
      <c r="D1764" s="277">
        <v>15947280</v>
      </c>
      <c r="E1764" s="278" t="str">
        <f t="shared" si="23"/>
        <v>https://pubmed.ncbi.nlm.nih.gov/15947280</v>
      </c>
      <c r="F1764" s="28" t="s">
        <v>511</v>
      </c>
      <c r="G1764" s="28" t="s">
        <v>4867</v>
      </c>
      <c r="J1764" s="346" t="str">
        <f t="shared" si="19"/>
        <v/>
      </c>
      <c r="K1764" s="28" t="str">
        <f t="shared" si="24"/>
        <v/>
      </c>
      <c r="L1764" s="45" t="str">
        <f t="shared" si="25"/>
        <v/>
      </c>
      <c r="M1764" s="45" t="str">
        <f t="shared" si="26"/>
        <v/>
      </c>
      <c r="N1764" s="45">
        <f t="shared" si="27"/>
        <v>1</v>
      </c>
      <c r="O1764" s="45" t="str">
        <f t="shared" si="28"/>
        <v/>
      </c>
      <c r="P1764" s="45" t="str">
        <f t="shared" si="29"/>
        <v/>
      </c>
    </row>
    <row r="1765" spans="1:16" ht="17.25">
      <c r="A1765" s="276" t="s">
        <v>7016</v>
      </c>
      <c r="B1765" s="277">
        <v>2020</v>
      </c>
      <c r="C1765" s="276" t="s">
        <v>7017</v>
      </c>
      <c r="D1765" s="277">
        <v>32785649</v>
      </c>
      <c r="E1765" s="278" t="str">
        <f t="shared" si="23"/>
        <v>https://pubmed.ncbi.nlm.nih.gov/32785649</v>
      </c>
      <c r="F1765" s="28" t="s">
        <v>511</v>
      </c>
      <c r="G1765" s="28" t="s">
        <v>4592</v>
      </c>
      <c r="J1765" s="346">
        <f t="shared" si="19"/>
        <v>1</v>
      </c>
      <c r="K1765" s="28" t="str">
        <f t="shared" si="24"/>
        <v/>
      </c>
      <c r="L1765" s="45" t="str">
        <f t="shared" si="25"/>
        <v/>
      </c>
      <c r="M1765" s="45" t="str">
        <f t="shared" si="26"/>
        <v/>
      </c>
      <c r="N1765" s="45" t="str">
        <f t="shared" si="27"/>
        <v/>
      </c>
      <c r="O1765" s="45" t="str">
        <f t="shared" si="28"/>
        <v/>
      </c>
      <c r="P1765" s="45" t="str">
        <f t="shared" si="29"/>
        <v/>
      </c>
    </row>
    <row r="1766" spans="1:16" ht="17.25">
      <c r="A1766" s="276" t="s">
        <v>7018</v>
      </c>
      <c r="B1766" s="277">
        <v>2012</v>
      </c>
      <c r="C1766" s="276" t="s">
        <v>7019</v>
      </c>
      <c r="D1766" s="277">
        <v>22595272</v>
      </c>
      <c r="E1766" s="278" t="str">
        <f t="shared" si="23"/>
        <v>https://pubmed.ncbi.nlm.nih.gov/22595272</v>
      </c>
      <c r="F1766" s="28" t="s">
        <v>511</v>
      </c>
      <c r="G1766" s="28" t="s">
        <v>4744</v>
      </c>
      <c r="J1766" s="346" t="str">
        <f t="shared" si="19"/>
        <v/>
      </c>
      <c r="K1766" s="28" t="str">
        <f t="shared" si="24"/>
        <v/>
      </c>
      <c r="L1766" s="45" t="str">
        <f t="shared" si="25"/>
        <v/>
      </c>
      <c r="M1766" s="45" t="str">
        <f t="shared" si="26"/>
        <v/>
      </c>
      <c r="N1766" s="45">
        <f t="shared" si="27"/>
        <v>1</v>
      </c>
      <c r="O1766" s="45" t="str">
        <f t="shared" si="28"/>
        <v/>
      </c>
      <c r="P1766" s="45" t="str">
        <f t="shared" si="29"/>
        <v/>
      </c>
    </row>
    <row r="1767" spans="1:16" ht="17.25">
      <c r="A1767" s="276" t="s">
        <v>7020</v>
      </c>
      <c r="B1767" s="277">
        <v>2020</v>
      </c>
      <c r="C1767" s="276" t="s">
        <v>7021</v>
      </c>
      <c r="D1767" s="277">
        <v>33087107</v>
      </c>
      <c r="E1767" s="278" t="str">
        <f t="shared" si="23"/>
        <v>https://pubmed.ncbi.nlm.nih.gov/33087107</v>
      </c>
      <c r="F1767" s="28" t="s">
        <v>511</v>
      </c>
      <c r="G1767" s="28" t="s">
        <v>7022</v>
      </c>
      <c r="J1767" s="346">
        <f t="shared" si="19"/>
        <v>1</v>
      </c>
      <c r="K1767" s="28" t="str">
        <f t="shared" si="24"/>
        <v/>
      </c>
      <c r="L1767" s="45" t="str">
        <f t="shared" si="25"/>
        <v/>
      </c>
      <c r="M1767" s="45" t="str">
        <f t="shared" si="26"/>
        <v/>
      </c>
      <c r="N1767" s="45" t="str">
        <f t="shared" si="27"/>
        <v/>
      </c>
      <c r="O1767" s="45" t="str">
        <f t="shared" si="28"/>
        <v/>
      </c>
      <c r="P1767" s="45" t="str">
        <f t="shared" si="29"/>
        <v/>
      </c>
    </row>
    <row r="1768" spans="1:16" ht="17.25">
      <c r="A1768" s="276" t="s">
        <v>7023</v>
      </c>
      <c r="B1768" s="277">
        <v>2017</v>
      </c>
      <c r="C1768" s="276"/>
      <c r="D1768" s="277">
        <v>28394229</v>
      </c>
      <c r="E1768" s="278" t="str">
        <f t="shared" si="23"/>
        <v>https://pubmed.ncbi.nlm.nih.gov/28394229</v>
      </c>
      <c r="F1768" s="28" t="s">
        <v>511</v>
      </c>
      <c r="G1768" s="28" t="s">
        <v>7024</v>
      </c>
      <c r="J1768" s="346" t="str">
        <f t="shared" si="19"/>
        <v/>
      </c>
      <c r="K1768" s="28" t="str">
        <f t="shared" si="24"/>
        <v/>
      </c>
      <c r="L1768" s="45" t="str">
        <f t="shared" si="25"/>
        <v/>
      </c>
      <c r="M1768" s="45" t="str">
        <f t="shared" si="26"/>
        <v/>
      </c>
      <c r="N1768" s="45">
        <f t="shared" si="27"/>
        <v>1</v>
      </c>
      <c r="O1768" s="45" t="str">
        <f t="shared" si="28"/>
        <v/>
      </c>
      <c r="P1768" s="45" t="str">
        <f t="shared" si="29"/>
        <v/>
      </c>
    </row>
    <row r="1769" spans="1:16" ht="17.25">
      <c r="A1769" s="276" t="s">
        <v>7023</v>
      </c>
      <c r="B1769" s="277">
        <v>2009</v>
      </c>
      <c r="C1769" s="276"/>
      <c r="D1769" s="277">
        <v>19852750</v>
      </c>
      <c r="E1769" s="278" t="str">
        <f t="shared" si="23"/>
        <v>https://pubmed.ncbi.nlm.nih.gov/19852750</v>
      </c>
      <c r="F1769" s="28" t="s">
        <v>511</v>
      </c>
      <c r="G1769" s="28" t="s">
        <v>4592</v>
      </c>
      <c r="J1769" s="346">
        <f t="shared" si="19"/>
        <v>1</v>
      </c>
      <c r="K1769" s="28" t="str">
        <f t="shared" si="24"/>
        <v/>
      </c>
      <c r="L1769" s="45" t="str">
        <f t="shared" si="25"/>
        <v/>
      </c>
      <c r="M1769" s="45" t="str">
        <f t="shared" si="26"/>
        <v/>
      </c>
      <c r="N1769" s="45" t="str">
        <f t="shared" si="27"/>
        <v/>
      </c>
      <c r="O1769" s="45" t="str">
        <f t="shared" si="28"/>
        <v/>
      </c>
      <c r="P1769" s="45" t="str">
        <f t="shared" si="29"/>
        <v/>
      </c>
    </row>
    <row r="1770" spans="1:16" ht="17.25">
      <c r="A1770" s="276" t="s">
        <v>7025</v>
      </c>
      <c r="B1770" s="277">
        <v>2008</v>
      </c>
      <c r="C1770" s="276"/>
      <c r="D1770" s="277">
        <v>18262450</v>
      </c>
      <c r="E1770" s="278" t="str">
        <f t="shared" si="23"/>
        <v>https://pubmed.ncbi.nlm.nih.gov/18262450</v>
      </c>
      <c r="F1770" s="28" t="s">
        <v>511</v>
      </c>
      <c r="G1770" s="28" t="s">
        <v>4867</v>
      </c>
      <c r="J1770" s="346" t="str">
        <f t="shared" si="19"/>
        <v/>
      </c>
      <c r="K1770" s="28" t="str">
        <f t="shared" si="24"/>
        <v/>
      </c>
      <c r="L1770" s="45" t="str">
        <f t="shared" si="25"/>
        <v/>
      </c>
      <c r="M1770" s="45" t="str">
        <f t="shared" si="26"/>
        <v/>
      </c>
      <c r="N1770" s="45">
        <f t="shared" si="27"/>
        <v>1</v>
      </c>
      <c r="O1770" s="45" t="str">
        <f t="shared" si="28"/>
        <v/>
      </c>
      <c r="P1770" s="45" t="str">
        <f t="shared" si="29"/>
        <v/>
      </c>
    </row>
    <row r="1771" spans="1:16" ht="17.25">
      <c r="A1771" s="276" t="s">
        <v>7026</v>
      </c>
      <c r="B1771" s="277">
        <v>2018</v>
      </c>
      <c r="C1771" s="276" t="s">
        <v>7027</v>
      </c>
      <c r="D1771" s="277">
        <v>29301585</v>
      </c>
      <c r="E1771" s="278" t="str">
        <f t="shared" si="23"/>
        <v>https://pubmed.ncbi.nlm.nih.gov/29301585</v>
      </c>
      <c r="F1771" s="28" t="s">
        <v>511</v>
      </c>
      <c r="G1771" s="28" t="s">
        <v>6469</v>
      </c>
      <c r="J1771" s="346" t="str">
        <f t="shared" si="19"/>
        <v/>
      </c>
      <c r="K1771" s="28" t="str">
        <f t="shared" si="24"/>
        <v/>
      </c>
      <c r="L1771" s="45" t="str">
        <f t="shared" si="25"/>
        <v/>
      </c>
      <c r="M1771" s="45" t="str">
        <f t="shared" si="26"/>
        <v/>
      </c>
      <c r="N1771" s="45">
        <f t="shared" si="27"/>
        <v>1</v>
      </c>
      <c r="O1771" s="45" t="str">
        <f t="shared" si="28"/>
        <v/>
      </c>
      <c r="P1771" s="45" t="str">
        <f t="shared" si="29"/>
        <v/>
      </c>
    </row>
    <row r="1772" spans="1:16" ht="17.25">
      <c r="A1772" s="276" t="s">
        <v>7028</v>
      </c>
      <c r="B1772" s="277">
        <v>2015</v>
      </c>
      <c r="C1772" s="276"/>
      <c r="D1772" s="277">
        <v>25300600</v>
      </c>
      <c r="E1772" s="278" t="str">
        <f t="shared" si="23"/>
        <v>https://pubmed.ncbi.nlm.nih.gov/25300600</v>
      </c>
      <c r="F1772" s="28" t="s">
        <v>511</v>
      </c>
      <c r="G1772" s="28" t="s">
        <v>7029</v>
      </c>
      <c r="J1772" s="346" t="str">
        <f t="shared" si="19"/>
        <v/>
      </c>
      <c r="K1772" s="28" t="str">
        <f t="shared" si="24"/>
        <v/>
      </c>
      <c r="L1772" s="45" t="str">
        <f t="shared" si="25"/>
        <v/>
      </c>
      <c r="M1772" s="45" t="str">
        <f t="shared" si="26"/>
        <v/>
      </c>
      <c r="N1772" s="45" t="str">
        <f t="shared" si="27"/>
        <v/>
      </c>
      <c r="O1772" s="45">
        <f t="shared" si="28"/>
        <v>1</v>
      </c>
      <c r="P1772" s="45" t="str">
        <f t="shared" si="29"/>
        <v/>
      </c>
    </row>
    <row r="1773" spans="1:16" ht="17.25">
      <c r="A1773" s="276" t="s">
        <v>7030</v>
      </c>
      <c r="B1773" s="277">
        <v>2008</v>
      </c>
      <c r="C1773" s="276" t="s">
        <v>7031</v>
      </c>
      <c r="D1773" s="277">
        <v>18492259</v>
      </c>
      <c r="E1773" s="278" t="str">
        <f t="shared" si="23"/>
        <v>https://pubmed.ncbi.nlm.nih.gov/18492259</v>
      </c>
      <c r="F1773" s="28" t="s">
        <v>511</v>
      </c>
      <c r="G1773" s="28" t="s">
        <v>7032</v>
      </c>
      <c r="J1773" s="346" t="str">
        <f t="shared" si="19"/>
        <v/>
      </c>
      <c r="K1773" s="28" t="str">
        <f t="shared" si="24"/>
        <v/>
      </c>
      <c r="L1773" s="45" t="str">
        <f t="shared" si="25"/>
        <v/>
      </c>
      <c r="M1773" s="45" t="str">
        <f t="shared" si="26"/>
        <v/>
      </c>
      <c r="N1773" s="45" t="str">
        <f t="shared" si="27"/>
        <v/>
      </c>
      <c r="O1773" s="45">
        <f t="shared" si="28"/>
        <v>1</v>
      </c>
      <c r="P1773" s="45" t="str">
        <f t="shared" si="29"/>
        <v/>
      </c>
    </row>
    <row r="1774" spans="1:16" ht="17.25">
      <c r="A1774" s="276" t="s">
        <v>7033</v>
      </c>
      <c r="B1774" s="277">
        <v>2017</v>
      </c>
      <c r="C1774" s="276" t="s">
        <v>7034</v>
      </c>
      <c r="D1774" s="277">
        <v>27774754</v>
      </c>
      <c r="E1774" s="278" t="str">
        <f t="shared" si="23"/>
        <v>https://pubmed.ncbi.nlm.nih.gov/27774754</v>
      </c>
      <c r="F1774" s="28" t="s">
        <v>511</v>
      </c>
      <c r="G1774" s="28" t="s">
        <v>4744</v>
      </c>
      <c r="J1774" s="346" t="str">
        <f t="shared" si="19"/>
        <v/>
      </c>
      <c r="K1774" s="28" t="str">
        <f t="shared" si="24"/>
        <v/>
      </c>
      <c r="L1774" s="45" t="str">
        <f t="shared" si="25"/>
        <v/>
      </c>
      <c r="M1774" s="45" t="str">
        <f t="shared" si="26"/>
        <v/>
      </c>
      <c r="N1774" s="45">
        <f t="shared" si="27"/>
        <v>1</v>
      </c>
      <c r="O1774" s="45" t="str">
        <f t="shared" si="28"/>
        <v/>
      </c>
      <c r="P1774" s="45" t="str">
        <f t="shared" si="29"/>
        <v/>
      </c>
    </row>
    <row r="1775" spans="1:16" ht="17.25">
      <c r="A1775" s="276" t="s">
        <v>7035</v>
      </c>
      <c r="B1775" s="277">
        <v>2017</v>
      </c>
      <c r="C1775" s="276"/>
      <c r="D1775" s="277">
        <v>27759621</v>
      </c>
      <c r="E1775" s="278" t="str">
        <f t="shared" si="23"/>
        <v>https://pubmed.ncbi.nlm.nih.gov/27759621</v>
      </c>
      <c r="F1775" s="28" t="s">
        <v>511</v>
      </c>
      <c r="G1775" s="28" t="s">
        <v>4592</v>
      </c>
      <c r="J1775" s="346">
        <f t="shared" si="19"/>
        <v>1</v>
      </c>
      <c r="K1775" s="28" t="str">
        <f t="shared" si="24"/>
        <v/>
      </c>
      <c r="L1775" s="45" t="str">
        <f t="shared" si="25"/>
        <v/>
      </c>
      <c r="M1775" s="45" t="str">
        <f t="shared" si="26"/>
        <v/>
      </c>
      <c r="N1775" s="45" t="str">
        <f t="shared" si="27"/>
        <v/>
      </c>
      <c r="O1775" s="45" t="str">
        <f t="shared" si="28"/>
        <v/>
      </c>
      <c r="P1775" s="45" t="str">
        <f t="shared" si="29"/>
        <v/>
      </c>
    </row>
    <row r="1776" spans="1:16" ht="17.25">
      <c r="A1776" s="276" t="s">
        <v>7036</v>
      </c>
      <c r="B1776" s="277">
        <v>2011</v>
      </c>
      <c r="C1776" s="276"/>
      <c r="D1776" s="277">
        <v>21767064</v>
      </c>
      <c r="E1776" s="278" t="str">
        <f t="shared" si="23"/>
        <v>https://pubmed.ncbi.nlm.nih.gov/21767064</v>
      </c>
      <c r="F1776" s="28" t="s">
        <v>511</v>
      </c>
      <c r="G1776" s="28" t="s">
        <v>7037</v>
      </c>
      <c r="J1776" s="346" t="str">
        <f t="shared" si="19"/>
        <v/>
      </c>
      <c r="K1776" s="28" t="str">
        <f t="shared" si="24"/>
        <v/>
      </c>
      <c r="L1776" s="45" t="str">
        <f t="shared" si="25"/>
        <v/>
      </c>
      <c r="M1776" s="45" t="str">
        <f t="shared" si="26"/>
        <v/>
      </c>
      <c r="N1776" s="45">
        <f t="shared" si="27"/>
        <v>1</v>
      </c>
      <c r="O1776" s="45" t="str">
        <f t="shared" si="28"/>
        <v/>
      </c>
      <c r="P1776" s="45" t="str">
        <f t="shared" si="29"/>
        <v/>
      </c>
    </row>
    <row r="1777" spans="1:16" ht="17.25">
      <c r="A1777" s="276" t="s">
        <v>7038</v>
      </c>
      <c r="B1777" s="277">
        <v>2019</v>
      </c>
      <c r="C1777" s="276"/>
      <c r="D1777" s="277">
        <v>30996040</v>
      </c>
      <c r="E1777" s="278" t="str">
        <f t="shared" si="23"/>
        <v>https://pubmed.ncbi.nlm.nih.gov/30996040</v>
      </c>
      <c r="F1777" s="28" t="s">
        <v>511</v>
      </c>
      <c r="G1777" s="28" t="s">
        <v>4592</v>
      </c>
      <c r="J1777" s="346">
        <f t="shared" si="19"/>
        <v>1</v>
      </c>
      <c r="K1777" s="28" t="str">
        <f t="shared" si="24"/>
        <v/>
      </c>
      <c r="L1777" s="45" t="str">
        <f t="shared" si="25"/>
        <v/>
      </c>
      <c r="M1777" s="45" t="str">
        <f t="shared" si="26"/>
        <v/>
      </c>
      <c r="N1777" s="45" t="str">
        <f t="shared" si="27"/>
        <v/>
      </c>
      <c r="O1777" s="45" t="str">
        <f t="shared" si="28"/>
        <v/>
      </c>
      <c r="P1777" s="45" t="str">
        <f t="shared" si="29"/>
        <v/>
      </c>
    </row>
    <row r="1778" spans="1:16" ht="17.25">
      <c r="A1778" s="276" t="s">
        <v>7039</v>
      </c>
      <c r="B1778" s="277">
        <v>2017</v>
      </c>
      <c r="C1778" s="276" t="s">
        <v>7040</v>
      </c>
      <c r="D1778" s="277">
        <v>28765140</v>
      </c>
      <c r="E1778" s="278" t="str">
        <f t="shared" si="23"/>
        <v>https://pubmed.ncbi.nlm.nih.gov/28765140</v>
      </c>
      <c r="F1778" s="28" t="s">
        <v>511</v>
      </c>
      <c r="G1778" s="28" t="s">
        <v>4592</v>
      </c>
      <c r="J1778" s="346">
        <f t="shared" si="19"/>
        <v>1</v>
      </c>
      <c r="K1778" s="28" t="str">
        <f t="shared" si="24"/>
        <v/>
      </c>
      <c r="L1778" s="45" t="str">
        <f t="shared" si="25"/>
        <v/>
      </c>
      <c r="M1778" s="45" t="str">
        <f t="shared" si="26"/>
        <v/>
      </c>
      <c r="N1778" s="45" t="str">
        <f t="shared" si="27"/>
        <v/>
      </c>
      <c r="O1778" s="45" t="str">
        <f t="shared" si="28"/>
        <v/>
      </c>
      <c r="P1778" s="45" t="str">
        <f t="shared" si="29"/>
        <v/>
      </c>
    </row>
    <row r="1779" spans="1:16" ht="17.25">
      <c r="A1779" s="276" t="s">
        <v>7041</v>
      </c>
      <c r="B1779" s="277">
        <v>2019</v>
      </c>
      <c r="C1779" s="276" t="s">
        <v>7042</v>
      </c>
      <c r="D1779" s="277">
        <v>31272493</v>
      </c>
      <c r="E1779" s="278" t="str">
        <f t="shared" si="23"/>
        <v>https://pubmed.ncbi.nlm.nih.gov/31272493</v>
      </c>
      <c r="F1779" s="28" t="s">
        <v>511</v>
      </c>
      <c r="G1779" s="28" t="s">
        <v>4867</v>
      </c>
      <c r="J1779" s="346" t="str">
        <f t="shared" si="19"/>
        <v/>
      </c>
      <c r="K1779" s="28" t="str">
        <f t="shared" si="24"/>
        <v/>
      </c>
      <c r="L1779" s="45" t="str">
        <f t="shared" si="25"/>
        <v/>
      </c>
      <c r="M1779" s="45" t="str">
        <f t="shared" si="26"/>
        <v/>
      </c>
      <c r="N1779" s="45">
        <f t="shared" si="27"/>
        <v>1</v>
      </c>
      <c r="O1779" s="45" t="str">
        <f t="shared" si="28"/>
        <v/>
      </c>
      <c r="P1779" s="45" t="str">
        <f t="shared" si="29"/>
        <v/>
      </c>
    </row>
    <row r="1780" spans="1:16" ht="17.25">
      <c r="A1780" s="276" t="s">
        <v>7043</v>
      </c>
      <c r="B1780" s="277">
        <v>2014</v>
      </c>
      <c r="C1780" s="276" t="s">
        <v>7044</v>
      </c>
      <c r="D1780" s="277">
        <v>25350588</v>
      </c>
      <c r="E1780" s="278" t="str">
        <f t="shared" si="23"/>
        <v>https://pubmed.ncbi.nlm.nih.gov/25350588</v>
      </c>
      <c r="F1780" s="28" t="s">
        <v>511</v>
      </c>
      <c r="G1780" s="28" t="s">
        <v>4592</v>
      </c>
      <c r="J1780" s="346">
        <f t="shared" si="19"/>
        <v>1</v>
      </c>
      <c r="K1780" s="28" t="str">
        <f t="shared" si="24"/>
        <v/>
      </c>
      <c r="L1780" s="45" t="str">
        <f t="shared" si="25"/>
        <v/>
      </c>
      <c r="M1780" s="45" t="str">
        <f t="shared" si="26"/>
        <v/>
      </c>
      <c r="N1780" s="45" t="str">
        <f t="shared" si="27"/>
        <v/>
      </c>
      <c r="O1780" s="45" t="str">
        <f t="shared" si="28"/>
        <v/>
      </c>
      <c r="P1780" s="45" t="str">
        <f t="shared" si="29"/>
        <v/>
      </c>
    </row>
    <row r="1781" spans="1:16" ht="17.25">
      <c r="A1781" s="276" t="s">
        <v>7045</v>
      </c>
      <c r="B1781" s="277">
        <v>2020</v>
      </c>
      <c r="C1781" s="276"/>
      <c r="D1781" s="277">
        <v>31279028</v>
      </c>
      <c r="E1781" s="278" t="str">
        <f t="shared" si="23"/>
        <v>https://pubmed.ncbi.nlm.nih.gov/31279028</v>
      </c>
      <c r="F1781" s="28" t="s">
        <v>511</v>
      </c>
      <c r="G1781" s="28" t="s">
        <v>5299</v>
      </c>
      <c r="J1781" s="346" t="str">
        <f t="shared" si="19"/>
        <v/>
      </c>
      <c r="K1781" s="28" t="str">
        <f t="shared" si="24"/>
        <v/>
      </c>
      <c r="L1781" s="45" t="str">
        <f t="shared" si="25"/>
        <v/>
      </c>
      <c r="M1781" s="45" t="str">
        <f t="shared" si="26"/>
        <v/>
      </c>
      <c r="N1781" s="45">
        <f t="shared" si="27"/>
        <v>1</v>
      </c>
      <c r="O1781" s="45" t="str">
        <f t="shared" si="28"/>
        <v/>
      </c>
      <c r="P1781" s="45" t="str">
        <f t="shared" si="29"/>
        <v/>
      </c>
    </row>
    <row r="1782" spans="1:16" ht="17.25">
      <c r="A1782" s="276" t="s">
        <v>7046</v>
      </c>
      <c r="B1782" s="277">
        <v>2015</v>
      </c>
      <c r="C1782" s="276" t="s">
        <v>7047</v>
      </c>
      <c r="D1782" s="277">
        <v>26687795</v>
      </c>
      <c r="E1782" s="278" t="str">
        <f t="shared" si="23"/>
        <v>https://pubmed.ncbi.nlm.nih.gov/26687795</v>
      </c>
      <c r="F1782" s="28" t="s">
        <v>511</v>
      </c>
      <c r="G1782" s="28" t="s">
        <v>4744</v>
      </c>
      <c r="J1782" s="346" t="str">
        <f t="shared" si="19"/>
        <v/>
      </c>
      <c r="K1782" s="28" t="str">
        <f t="shared" si="24"/>
        <v/>
      </c>
      <c r="L1782" s="45" t="str">
        <f t="shared" si="25"/>
        <v/>
      </c>
      <c r="M1782" s="45" t="str">
        <f t="shared" si="26"/>
        <v/>
      </c>
      <c r="N1782" s="45">
        <f t="shared" si="27"/>
        <v>1</v>
      </c>
      <c r="O1782" s="45" t="str">
        <f t="shared" si="28"/>
        <v/>
      </c>
      <c r="P1782" s="45" t="str">
        <f t="shared" si="29"/>
        <v/>
      </c>
    </row>
    <row r="1783" spans="1:16" ht="17.25">
      <c r="A1783" s="276" t="s">
        <v>7048</v>
      </c>
      <c r="B1783" s="277">
        <v>2018</v>
      </c>
      <c r="C1783" s="276" t="s">
        <v>7049</v>
      </c>
      <c r="D1783" s="277">
        <v>29596045</v>
      </c>
      <c r="E1783" s="278" t="str">
        <f t="shared" si="23"/>
        <v>https://pubmed.ncbi.nlm.nih.gov/29596045</v>
      </c>
      <c r="F1783" s="28" t="s">
        <v>511</v>
      </c>
      <c r="G1783" s="28" t="s">
        <v>4744</v>
      </c>
      <c r="J1783" s="346" t="str">
        <f t="shared" si="19"/>
        <v/>
      </c>
      <c r="K1783" s="28" t="str">
        <f t="shared" si="24"/>
        <v/>
      </c>
      <c r="L1783" s="45" t="str">
        <f t="shared" si="25"/>
        <v/>
      </c>
      <c r="M1783" s="45" t="str">
        <f t="shared" si="26"/>
        <v/>
      </c>
      <c r="N1783" s="45">
        <f t="shared" si="27"/>
        <v>1</v>
      </c>
      <c r="O1783" s="45" t="str">
        <f t="shared" si="28"/>
        <v/>
      </c>
      <c r="P1783" s="45" t="str">
        <f t="shared" si="29"/>
        <v/>
      </c>
    </row>
    <row r="1784" spans="1:16" ht="17.25">
      <c r="A1784" s="276" t="s">
        <v>7050</v>
      </c>
      <c r="B1784" s="277">
        <v>2008</v>
      </c>
      <c r="C1784" s="276" t="s">
        <v>7051</v>
      </c>
      <c r="D1784" s="277">
        <v>18826358</v>
      </c>
      <c r="E1784" s="278" t="str">
        <f t="shared" si="23"/>
        <v>https://pubmed.ncbi.nlm.nih.gov/18826358</v>
      </c>
      <c r="F1784" s="28" t="s">
        <v>511</v>
      </c>
      <c r="G1784" s="28" t="s">
        <v>4867</v>
      </c>
      <c r="J1784" s="346" t="str">
        <f t="shared" si="19"/>
        <v/>
      </c>
      <c r="K1784" s="28" t="str">
        <f t="shared" si="24"/>
        <v/>
      </c>
      <c r="L1784" s="45" t="str">
        <f t="shared" si="25"/>
        <v/>
      </c>
      <c r="M1784" s="45" t="str">
        <f t="shared" si="26"/>
        <v/>
      </c>
      <c r="N1784" s="45">
        <f t="shared" si="27"/>
        <v>1</v>
      </c>
      <c r="O1784" s="45" t="str">
        <f t="shared" si="28"/>
        <v/>
      </c>
      <c r="P1784" s="45" t="str">
        <f t="shared" si="29"/>
        <v/>
      </c>
    </row>
    <row r="1785" spans="1:16" ht="17.25">
      <c r="A1785" s="276" t="s">
        <v>7052</v>
      </c>
      <c r="B1785" s="277">
        <v>2017</v>
      </c>
      <c r="C1785" s="276" t="s">
        <v>7053</v>
      </c>
      <c r="D1785" s="277">
        <v>28603881</v>
      </c>
      <c r="E1785" s="278" t="str">
        <f t="shared" si="23"/>
        <v>https://pubmed.ncbi.nlm.nih.gov/28603881</v>
      </c>
      <c r="F1785" s="28" t="s">
        <v>511</v>
      </c>
      <c r="G1785" s="28" t="s">
        <v>4592</v>
      </c>
      <c r="J1785" s="346">
        <f t="shared" si="19"/>
        <v>1</v>
      </c>
      <c r="K1785" s="28" t="str">
        <f t="shared" si="24"/>
        <v/>
      </c>
      <c r="L1785" s="45" t="str">
        <f t="shared" si="25"/>
        <v/>
      </c>
      <c r="M1785" s="45" t="str">
        <f t="shared" si="26"/>
        <v/>
      </c>
      <c r="N1785" s="45" t="str">
        <f t="shared" si="27"/>
        <v/>
      </c>
      <c r="O1785" s="45" t="str">
        <f t="shared" si="28"/>
        <v/>
      </c>
      <c r="P1785" s="45" t="str">
        <f t="shared" si="29"/>
        <v/>
      </c>
    </row>
    <row r="1786" spans="1:16" ht="17.25">
      <c r="A1786" s="276" t="s">
        <v>7054</v>
      </c>
      <c r="B1786" s="277">
        <v>2008</v>
      </c>
      <c r="C1786" s="276"/>
      <c r="D1786" s="277">
        <v>18770487</v>
      </c>
      <c r="E1786" s="278" t="str">
        <f t="shared" si="23"/>
        <v>https://pubmed.ncbi.nlm.nih.gov/18770487</v>
      </c>
      <c r="F1786" s="28" t="s">
        <v>511</v>
      </c>
      <c r="G1786" s="28" t="s">
        <v>4587</v>
      </c>
      <c r="J1786" s="346" t="str">
        <f t="shared" si="19"/>
        <v/>
      </c>
      <c r="K1786" s="28" t="str">
        <f t="shared" si="24"/>
        <v/>
      </c>
      <c r="L1786" s="45" t="str">
        <f t="shared" si="25"/>
        <v/>
      </c>
      <c r="M1786" s="45">
        <f t="shared" si="26"/>
        <v>1</v>
      </c>
      <c r="N1786" s="45" t="str">
        <f t="shared" si="27"/>
        <v/>
      </c>
      <c r="O1786" s="45" t="str">
        <f t="shared" si="28"/>
        <v/>
      </c>
      <c r="P1786" s="45" t="str">
        <f t="shared" si="29"/>
        <v/>
      </c>
    </row>
    <row r="1787" spans="1:16" ht="17.25">
      <c r="A1787" s="276" t="s">
        <v>7055</v>
      </c>
      <c r="B1787" s="277">
        <v>2011</v>
      </c>
      <c r="C1787" s="276"/>
      <c r="D1787" s="277">
        <v>21658525</v>
      </c>
      <c r="E1787" s="278" t="str">
        <f t="shared" si="23"/>
        <v>https://pubmed.ncbi.nlm.nih.gov/21658525</v>
      </c>
      <c r="F1787" s="28" t="s">
        <v>511</v>
      </c>
      <c r="G1787" s="28" t="s">
        <v>4744</v>
      </c>
      <c r="J1787" s="346" t="str">
        <f t="shared" si="19"/>
        <v/>
      </c>
      <c r="K1787" s="28" t="str">
        <f t="shared" si="24"/>
        <v/>
      </c>
      <c r="L1787" s="45" t="str">
        <f t="shared" si="25"/>
        <v/>
      </c>
      <c r="M1787" s="45" t="str">
        <f t="shared" si="26"/>
        <v/>
      </c>
      <c r="N1787" s="45">
        <f t="shared" si="27"/>
        <v>1</v>
      </c>
      <c r="O1787" s="45" t="str">
        <f t="shared" si="28"/>
        <v/>
      </c>
      <c r="P1787" s="45" t="str">
        <f t="shared" si="29"/>
        <v/>
      </c>
    </row>
    <row r="1788" spans="1:16" ht="17.25">
      <c r="A1788" s="276" t="s">
        <v>7056</v>
      </c>
      <c r="B1788" s="277">
        <v>2014</v>
      </c>
      <c r="C1788" s="276"/>
      <c r="D1788" s="277">
        <v>25346301</v>
      </c>
      <c r="E1788" s="278" t="str">
        <f t="shared" si="23"/>
        <v>https://pubmed.ncbi.nlm.nih.gov/25346301</v>
      </c>
      <c r="F1788" s="28" t="s">
        <v>511</v>
      </c>
      <c r="G1788" s="28" t="s">
        <v>6712</v>
      </c>
      <c r="J1788" s="346" t="str">
        <f t="shared" si="19"/>
        <v/>
      </c>
      <c r="K1788" s="28" t="str">
        <f t="shared" si="24"/>
        <v/>
      </c>
      <c r="L1788" s="45" t="str">
        <f t="shared" si="25"/>
        <v/>
      </c>
      <c r="M1788" s="45" t="str">
        <f t="shared" si="26"/>
        <v/>
      </c>
      <c r="N1788" s="45">
        <f t="shared" si="27"/>
        <v>1</v>
      </c>
      <c r="O1788" s="45" t="str">
        <f t="shared" si="28"/>
        <v/>
      </c>
      <c r="P1788" s="45" t="str">
        <f t="shared" si="29"/>
        <v/>
      </c>
    </row>
    <row r="1789" spans="1:16" ht="17.25">
      <c r="A1789" s="276" t="s">
        <v>7057</v>
      </c>
      <c r="B1789" s="277">
        <v>2020</v>
      </c>
      <c r="C1789" s="276" t="s">
        <v>7058</v>
      </c>
      <c r="D1789" s="277">
        <v>32781984</v>
      </c>
      <c r="E1789" s="278" t="str">
        <f t="shared" si="23"/>
        <v>https://pubmed.ncbi.nlm.nih.gov/32781984</v>
      </c>
      <c r="F1789" s="28" t="s">
        <v>511</v>
      </c>
      <c r="G1789" s="28" t="s">
        <v>7059</v>
      </c>
      <c r="J1789" s="346" t="str">
        <f t="shared" si="19"/>
        <v/>
      </c>
      <c r="K1789" s="28" t="str">
        <f t="shared" si="24"/>
        <v/>
      </c>
      <c r="L1789" s="45" t="str">
        <f t="shared" si="25"/>
        <v/>
      </c>
      <c r="M1789" s="45" t="str">
        <f t="shared" si="26"/>
        <v/>
      </c>
      <c r="N1789" s="45">
        <f t="shared" si="27"/>
        <v>1</v>
      </c>
      <c r="O1789" s="45" t="str">
        <f t="shared" si="28"/>
        <v/>
      </c>
      <c r="P1789" s="45" t="str">
        <f t="shared" si="29"/>
        <v/>
      </c>
    </row>
    <row r="1790" spans="1:16" ht="17.25">
      <c r="A1790" s="276" t="s">
        <v>7060</v>
      </c>
      <c r="B1790" s="277">
        <v>2006</v>
      </c>
      <c r="C1790" s="276"/>
      <c r="D1790" s="277">
        <v>16842449</v>
      </c>
      <c r="E1790" s="278" t="str">
        <f t="shared" si="23"/>
        <v>https://pubmed.ncbi.nlm.nih.gov/16842449</v>
      </c>
      <c r="F1790" s="28" t="s">
        <v>511</v>
      </c>
      <c r="G1790" s="28" t="s">
        <v>5273</v>
      </c>
      <c r="J1790" s="346">
        <f t="shared" si="19"/>
        <v>1</v>
      </c>
      <c r="K1790" s="28" t="str">
        <f t="shared" si="24"/>
        <v/>
      </c>
      <c r="L1790" s="45" t="str">
        <f t="shared" si="25"/>
        <v/>
      </c>
      <c r="M1790" s="45" t="str">
        <f t="shared" si="26"/>
        <v/>
      </c>
      <c r="N1790" s="45" t="str">
        <f t="shared" si="27"/>
        <v/>
      </c>
      <c r="O1790" s="45" t="str">
        <f t="shared" si="28"/>
        <v/>
      </c>
      <c r="P1790" s="45" t="str">
        <f t="shared" si="29"/>
        <v/>
      </c>
    </row>
    <row r="1791" spans="1:16" ht="17.25">
      <c r="A1791" s="276" t="s">
        <v>7061</v>
      </c>
      <c r="B1791" s="277">
        <v>2019</v>
      </c>
      <c r="C1791" s="276" t="s">
        <v>7062</v>
      </c>
      <c r="D1791" s="277">
        <v>31256137</v>
      </c>
      <c r="E1791" s="278" t="str">
        <f t="shared" si="23"/>
        <v>https://pubmed.ncbi.nlm.nih.gov/31256137</v>
      </c>
      <c r="F1791" s="28" t="s">
        <v>511</v>
      </c>
      <c r="G1791" s="28" t="s">
        <v>5157</v>
      </c>
      <c r="J1791" s="346" t="str">
        <f t="shared" si="19"/>
        <v/>
      </c>
      <c r="K1791" s="28" t="str">
        <f t="shared" si="24"/>
        <v/>
      </c>
      <c r="L1791" s="45" t="str">
        <f t="shared" si="25"/>
        <v/>
      </c>
      <c r="M1791" s="45" t="str">
        <f t="shared" si="26"/>
        <v/>
      </c>
      <c r="N1791" s="45">
        <f t="shared" si="27"/>
        <v>1</v>
      </c>
      <c r="O1791" s="45" t="str">
        <f t="shared" si="28"/>
        <v/>
      </c>
      <c r="P1791" s="45" t="str">
        <f t="shared" si="29"/>
        <v/>
      </c>
    </row>
    <row r="1792" spans="1:16" ht="17.25">
      <c r="A1792" s="276" t="s">
        <v>7063</v>
      </c>
      <c r="B1792" s="277">
        <v>2017</v>
      </c>
      <c r="C1792" s="276"/>
      <c r="D1792" s="277">
        <v>28187915</v>
      </c>
      <c r="E1792" s="278" t="str">
        <f t="shared" si="23"/>
        <v>https://pubmed.ncbi.nlm.nih.gov/28187915</v>
      </c>
      <c r="F1792" s="28" t="s">
        <v>511</v>
      </c>
      <c r="G1792" s="28" t="s">
        <v>4744</v>
      </c>
      <c r="J1792" s="346" t="str">
        <f t="shared" si="19"/>
        <v/>
      </c>
      <c r="K1792" s="28" t="str">
        <f t="shared" si="24"/>
        <v/>
      </c>
      <c r="L1792" s="45" t="str">
        <f t="shared" si="25"/>
        <v/>
      </c>
      <c r="M1792" s="45" t="str">
        <f t="shared" si="26"/>
        <v/>
      </c>
      <c r="N1792" s="45">
        <f t="shared" si="27"/>
        <v>1</v>
      </c>
      <c r="O1792" s="45" t="str">
        <f t="shared" si="28"/>
        <v/>
      </c>
      <c r="P1792" s="45" t="str">
        <f t="shared" si="29"/>
        <v/>
      </c>
    </row>
    <row r="1793" spans="1:16" ht="17.25">
      <c r="A1793" s="276" t="s">
        <v>7064</v>
      </c>
      <c r="B1793" s="277">
        <v>2014</v>
      </c>
      <c r="C1793" s="276"/>
      <c r="D1793" s="277">
        <v>24152416</v>
      </c>
      <c r="E1793" s="278" t="str">
        <f t="shared" si="23"/>
        <v>https://pubmed.ncbi.nlm.nih.gov/24152416</v>
      </c>
      <c r="F1793" s="28" t="s">
        <v>511</v>
      </c>
      <c r="G1793" s="28" t="s">
        <v>4592</v>
      </c>
      <c r="J1793" s="346">
        <f t="shared" si="19"/>
        <v>1</v>
      </c>
      <c r="K1793" s="28" t="str">
        <f t="shared" si="24"/>
        <v/>
      </c>
      <c r="L1793" s="45" t="str">
        <f t="shared" si="25"/>
        <v/>
      </c>
      <c r="M1793" s="45" t="str">
        <f t="shared" si="26"/>
        <v/>
      </c>
      <c r="N1793" s="45" t="str">
        <f t="shared" si="27"/>
        <v/>
      </c>
      <c r="O1793" s="45" t="str">
        <f t="shared" si="28"/>
        <v/>
      </c>
      <c r="P1793" s="45" t="str">
        <f t="shared" si="29"/>
        <v/>
      </c>
    </row>
    <row r="1794" spans="1:16" ht="17.25">
      <c r="A1794" s="276" t="s">
        <v>7065</v>
      </c>
      <c r="B1794" s="277">
        <v>2019</v>
      </c>
      <c r="C1794" s="276"/>
      <c r="D1794" s="277">
        <v>31074674</v>
      </c>
      <c r="E1794" s="278" t="str">
        <f t="shared" si="23"/>
        <v>https://pubmed.ncbi.nlm.nih.gov/31074674</v>
      </c>
      <c r="F1794" s="28" t="s">
        <v>511</v>
      </c>
      <c r="G1794" s="28" t="s">
        <v>4867</v>
      </c>
      <c r="J1794" s="346" t="str">
        <f t="shared" si="19"/>
        <v/>
      </c>
      <c r="K1794" s="28" t="str">
        <f t="shared" si="24"/>
        <v/>
      </c>
      <c r="L1794" s="45" t="str">
        <f t="shared" si="25"/>
        <v/>
      </c>
      <c r="M1794" s="45" t="str">
        <f t="shared" si="26"/>
        <v/>
      </c>
      <c r="N1794" s="45">
        <f t="shared" si="27"/>
        <v>1</v>
      </c>
      <c r="O1794" s="45" t="str">
        <f t="shared" si="28"/>
        <v/>
      </c>
      <c r="P1794" s="45" t="str">
        <f t="shared" si="29"/>
        <v/>
      </c>
    </row>
    <row r="1795" spans="1:16" ht="17.25">
      <c r="A1795" s="276" t="s">
        <v>7066</v>
      </c>
      <c r="B1795" s="277">
        <v>1999</v>
      </c>
      <c r="C1795" s="276"/>
      <c r="D1795" s="277">
        <v>10394023</v>
      </c>
      <c r="E1795" s="278" t="str">
        <f t="shared" si="23"/>
        <v>https://pubmed.ncbi.nlm.nih.gov/10394023</v>
      </c>
      <c r="F1795" s="28" t="s">
        <v>511</v>
      </c>
      <c r="G1795" s="28" t="s">
        <v>4592</v>
      </c>
      <c r="J1795" s="346">
        <f t="shared" si="19"/>
        <v>1</v>
      </c>
      <c r="K1795" s="28" t="str">
        <f t="shared" si="24"/>
        <v/>
      </c>
      <c r="L1795" s="45" t="str">
        <f t="shared" si="25"/>
        <v/>
      </c>
      <c r="M1795" s="45" t="str">
        <f t="shared" si="26"/>
        <v/>
      </c>
      <c r="N1795" s="45" t="str">
        <f t="shared" si="27"/>
        <v/>
      </c>
      <c r="O1795" s="45" t="str">
        <f t="shared" si="28"/>
        <v/>
      </c>
      <c r="P1795" s="45" t="str">
        <f t="shared" si="29"/>
        <v/>
      </c>
    </row>
    <row r="1796" spans="1:16" ht="17.25">
      <c r="A1796" s="276" t="s">
        <v>7067</v>
      </c>
      <c r="B1796" s="277">
        <v>2020</v>
      </c>
      <c r="C1796" s="276"/>
      <c r="D1796" s="277">
        <v>33283264</v>
      </c>
      <c r="E1796" s="278" t="str">
        <f t="shared" si="23"/>
        <v>https://pubmed.ncbi.nlm.nih.gov/33283264</v>
      </c>
      <c r="F1796" s="28" t="s">
        <v>511</v>
      </c>
      <c r="G1796" s="28" t="s">
        <v>6220</v>
      </c>
      <c r="J1796" s="346">
        <f t="shared" si="19"/>
        <v>1</v>
      </c>
      <c r="K1796" s="28" t="str">
        <f t="shared" si="24"/>
        <v/>
      </c>
      <c r="L1796" s="45" t="str">
        <f t="shared" si="25"/>
        <v/>
      </c>
      <c r="M1796" s="45" t="str">
        <f t="shared" si="26"/>
        <v/>
      </c>
      <c r="N1796" s="45" t="str">
        <f t="shared" si="27"/>
        <v/>
      </c>
      <c r="O1796" s="45" t="str">
        <f t="shared" si="28"/>
        <v/>
      </c>
      <c r="P1796" s="45" t="str">
        <f t="shared" si="29"/>
        <v/>
      </c>
    </row>
    <row r="1797" spans="1:16" ht="17.25">
      <c r="A1797" s="276" t="s">
        <v>7068</v>
      </c>
      <c r="B1797" s="277">
        <v>2019</v>
      </c>
      <c r="C1797" s="276" t="s">
        <v>7069</v>
      </c>
      <c r="D1797" s="277">
        <v>30638863</v>
      </c>
      <c r="E1797" s="278" t="str">
        <f t="shared" si="23"/>
        <v>https://pubmed.ncbi.nlm.nih.gov/30638863</v>
      </c>
      <c r="F1797" s="28" t="s">
        <v>511</v>
      </c>
      <c r="G1797" s="28" t="s">
        <v>4744</v>
      </c>
      <c r="J1797" s="346" t="str">
        <f t="shared" si="19"/>
        <v/>
      </c>
      <c r="K1797" s="28" t="str">
        <f t="shared" si="24"/>
        <v/>
      </c>
      <c r="L1797" s="45" t="str">
        <f t="shared" si="25"/>
        <v/>
      </c>
      <c r="M1797" s="45" t="str">
        <f t="shared" si="26"/>
        <v/>
      </c>
      <c r="N1797" s="45">
        <f t="shared" si="27"/>
        <v>1</v>
      </c>
      <c r="O1797" s="45" t="str">
        <f t="shared" si="28"/>
        <v/>
      </c>
      <c r="P1797" s="45" t="str">
        <f t="shared" si="29"/>
        <v/>
      </c>
    </row>
    <row r="1798" spans="1:16" ht="17.25">
      <c r="A1798" s="276" t="s">
        <v>391</v>
      </c>
      <c r="B1798" s="277">
        <v>2016</v>
      </c>
      <c r="C1798" s="276" t="s">
        <v>7070</v>
      </c>
      <c r="D1798" s="277">
        <v>27448805</v>
      </c>
      <c r="E1798" s="278" t="str">
        <f t="shared" si="23"/>
        <v>https://pubmed.ncbi.nlm.nih.gov/27448805</v>
      </c>
      <c r="H1798" s="28" t="s">
        <v>511</v>
      </c>
      <c r="J1798" s="346" t="str">
        <f t="shared" si="19"/>
        <v/>
      </c>
      <c r="K1798" s="28" t="str">
        <f t="shared" si="24"/>
        <v/>
      </c>
      <c r="L1798" s="45" t="str">
        <f t="shared" si="25"/>
        <v/>
      </c>
      <c r="M1798" s="45" t="str">
        <f t="shared" si="26"/>
        <v/>
      </c>
      <c r="N1798" s="45" t="str">
        <f t="shared" si="27"/>
        <v/>
      </c>
      <c r="O1798" s="45" t="str">
        <f t="shared" si="28"/>
        <v/>
      </c>
      <c r="P1798" s="45" t="str">
        <f t="shared" si="29"/>
        <v/>
      </c>
    </row>
    <row r="1799" spans="1:16" ht="17.25">
      <c r="A1799" s="276" t="s">
        <v>7071</v>
      </c>
      <c r="B1799" s="277">
        <v>2001</v>
      </c>
      <c r="C1799" s="276"/>
      <c r="D1799" s="277">
        <v>11268707</v>
      </c>
      <c r="E1799" s="278" t="str">
        <f t="shared" si="23"/>
        <v>https://pubmed.ncbi.nlm.nih.gov/11268707</v>
      </c>
      <c r="F1799" s="28" t="s">
        <v>511</v>
      </c>
      <c r="G1799" s="28" t="s">
        <v>4744</v>
      </c>
      <c r="J1799" s="346" t="str">
        <f t="shared" si="19"/>
        <v/>
      </c>
      <c r="K1799" s="28" t="str">
        <f t="shared" si="24"/>
        <v/>
      </c>
      <c r="L1799" s="45" t="str">
        <f t="shared" si="25"/>
        <v/>
      </c>
      <c r="M1799" s="45" t="str">
        <f t="shared" si="26"/>
        <v/>
      </c>
      <c r="N1799" s="45">
        <f t="shared" si="27"/>
        <v>1</v>
      </c>
      <c r="O1799" s="45" t="str">
        <f t="shared" si="28"/>
        <v/>
      </c>
      <c r="P1799" s="45" t="str">
        <f t="shared" si="29"/>
        <v/>
      </c>
    </row>
    <row r="1800" spans="1:16" ht="17.25">
      <c r="A1800" s="276" t="s">
        <v>7072</v>
      </c>
      <c r="B1800" s="277">
        <v>2014</v>
      </c>
      <c r="C1800" s="276"/>
      <c r="D1800" s="277">
        <v>24756009</v>
      </c>
      <c r="E1800" s="278" t="str">
        <f t="shared" si="23"/>
        <v>https://pubmed.ncbi.nlm.nih.gov/24756009</v>
      </c>
      <c r="F1800" s="28" t="s">
        <v>511</v>
      </c>
      <c r="G1800" s="28" t="s">
        <v>5157</v>
      </c>
      <c r="J1800" s="346" t="str">
        <f t="shared" si="19"/>
        <v/>
      </c>
      <c r="K1800" s="28" t="str">
        <f t="shared" si="24"/>
        <v/>
      </c>
      <c r="L1800" s="45" t="str">
        <f t="shared" si="25"/>
        <v/>
      </c>
      <c r="M1800" s="45" t="str">
        <f t="shared" si="26"/>
        <v/>
      </c>
      <c r="N1800" s="45">
        <f t="shared" si="27"/>
        <v>1</v>
      </c>
      <c r="O1800" s="45" t="str">
        <f t="shared" si="28"/>
        <v/>
      </c>
      <c r="P1800" s="45" t="str">
        <f t="shared" si="29"/>
        <v/>
      </c>
    </row>
    <row r="1801" spans="1:16" ht="17.25">
      <c r="A1801" s="276" t="s">
        <v>7073</v>
      </c>
      <c r="B1801" s="277">
        <v>2009</v>
      </c>
      <c r="C1801" s="276"/>
      <c r="D1801" s="277">
        <v>19114670</v>
      </c>
      <c r="E1801" s="278" t="str">
        <f t="shared" si="23"/>
        <v>https://pubmed.ncbi.nlm.nih.gov/19114670</v>
      </c>
      <c r="F1801" s="28" t="s">
        <v>511</v>
      </c>
      <c r="G1801" s="28" t="s">
        <v>4592</v>
      </c>
      <c r="J1801" s="346">
        <f t="shared" si="19"/>
        <v>1</v>
      </c>
      <c r="K1801" s="28" t="str">
        <f t="shared" si="24"/>
        <v/>
      </c>
      <c r="L1801" s="45" t="str">
        <f t="shared" si="25"/>
        <v/>
      </c>
      <c r="M1801" s="45" t="str">
        <f t="shared" si="26"/>
        <v/>
      </c>
      <c r="N1801" s="45" t="str">
        <f t="shared" si="27"/>
        <v/>
      </c>
      <c r="O1801" s="45" t="str">
        <f t="shared" si="28"/>
        <v/>
      </c>
      <c r="P1801" s="45" t="str">
        <f t="shared" si="29"/>
        <v/>
      </c>
    </row>
    <row r="1802" spans="1:16" ht="17.25">
      <c r="A1802" s="276" t="s">
        <v>7074</v>
      </c>
      <c r="B1802" s="277">
        <v>2012</v>
      </c>
      <c r="C1802" s="276" t="s">
        <v>7075</v>
      </c>
      <c r="D1802" s="277">
        <v>22230592</v>
      </c>
      <c r="E1802" s="278" t="str">
        <f t="shared" si="23"/>
        <v>https://pubmed.ncbi.nlm.nih.gov/22230592</v>
      </c>
      <c r="F1802" s="28" t="s">
        <v>511</v>
      </c>
      <c r="G1802" s="28" t="s">
        <v>7076</v>
      </c>
      <c r="J1802" s="346" t="str">
        <f t="shared" si="19"/>
        <v/>
      </c>
      <c r="K1802" s="28" t="str">
        <f t="shared" si="24"/>
        <v/>
      </c>
      <c r="L1802" s="45">
        <f t="shared" si="25"/>
        <v>1</v>
      </c>
      <c r="M1802" s="45" t="str">
        <f t="shared" si="26"/>
        <v/>
      </c>
      <c r="N1802" s="45" t="str">
        <f t="shared" si="27"/>
        <v/>
      </c>
      <c r="O1802" s="45" t="str">
        <f t="shared" si="28"/>
        <v/>
      </c>
      <c r="P1802" s="45" t="str">
        <f t="shared" si="29"/>
        <v/>
      </c>
    </row>
    <row r="1803" spans="1:16" ht="17.25">
      <c r="A1803" s="276" t="s">
        <v>7077</v>
      </c>
      <c r="B1803" s="277">
        <v>2019</v>
      </c>
      <c r="C1803" s="276"/>
      <c r="D1803" s="277">
        <v>30414864</v>
      </c>
      <c r="E1803" s="278" t="str">
        <f t="shared" si="23"/>
        <v>https://pubmed.ncbi.nlm.nih.gov/30414864</v>
      </c>
      <c r="F1803" s="28" t="s">
        <v>511</v>
      </c>
      <c r="G1803" s="28" t="s">
        <v>4744</v>
      </c>
      <c r="J1803" s="346" t="str">
        <f t="shared" si="19"/>
        <v/>
      </c>
      <c r="K1803" s="28" t="str">
        <f t="shared" si="24"/>
        <v/>
      </c>
      <c r="L1803" s="45" t="str">
        <f t="shared" si="25"/>
        <v/>
      </c>
      <c r="M1803" s="45" t="str">
        <f t="shared" si="26"/>
        <v/>
      </c>
      <c r="N1803" s="45">
        <f t="shared" si="27"/>
        <v>1</v>
      </c>
      <c r="O1803" s="45" t="str">
        <f t="shared" si="28"/>
        <v/>
      </c>
      <c r="P1803" s="45" t="str">
        <f t="shared" si="29"/>
        <v/>
      </c>
    </row>
    <row r="1804" spans="1:16" ht="17.25">
      <c r="A1804" s="276" t="s">
        <v>7078</v>
      </c>
      <c r="B1804" s="277">
        <v>2005</v>
      </c>
      <c r="C1804" s="276"/>
      <c r="D1804" s="277">
        <v>15725883</v>
      </c>
      <c r="E1804" s="278" t="str">
        <f t="shared" si="23"/>
        <v>https://pubmed.ncbi.nlm.nih.gov/15725883</v>
      </c>
      <c r="F1804" s="28" t="s">
        <v>511</v>
      </c>
      <c r="G1804" s="28" t="s">
        <v>4867</v>
      </c>
      <c r="J1804" s="346" t="str">
        <f t="shared" si="19"/>
        <v/>
      </c>
      <c r="K1804" s="28" t="str">
        <f t="shared" si="24"/>
        <v/>
      </c>
      <c r="L1804" s="45" t="str">
        <f t="shared" si="25"/>
        <v/>
      </c>
      <c r="M1804" s="45" t="str">
        <f t="shared" si="26"/>
        <v/>
      </c>
      <c r="N1804" s="45">
        <f t="shared" si="27"/>
        <v>1</v>
      </c>
      <c r="O1804" s="45" t="str">
        <f t="shared" si="28"/>
        <v/>
      </c>
      <c r="P1804" s="45" t="str">
        <f t="shared" si="29"/>
        <v/>
      </c>
    </row>
    <row r="1805" spans="1:16" ht="17.25">
      <c r="A1805" s="276" t="s">
        <v>408</v>
      </c>
      <c r="B1805" s="277">
        <v>2021</v>
      </c>
      <c r="C1805" s="276"/>
      <c r="D1805" s="277">
        <v>32645714</v>
      </c>
      <c r="E1805" s="278" t="str">
        <f t="shared" si="23"/>
        <v>https://pubmed.ncbi.nlm.nih.gov/32645714</v>
      </c>
      <c r="H1805" s="28" t="s">
        <v>511</v>
      </c>
      <c r="J1805" s="346" t="str">
        <f t="shared" si="19"/>
        <v/>
      </c>
      <c r="K1805" s="28" t="str">
        <f t="shared" si="24"/>
        <v/>
      </c>
      <c r="L1805" s="45" t="str">
        <f t="shared" si="25"/>
        <v/>
      </c>
      <c r="M1805" s="45" t="str">
        <f t="shared" si="26"/>
        <v/>
      </c>
      <c r="N1805" s="45" t="str">
        <f t="shared" si="27"/>
        <v/>
      </c>
      <c r="O1805" s="45" t="str">
        <f t="shared" si="28"/>
        <v/>
      </c>
      <c r="P1805" s="45" t="str">
        <f t="shared" si="29"/>
        <v/>
      </c>
    </row>
    <row r="1806" spans="1:16" ht="17.25">
      <c r="A1806" s="276" t="s">
        <v>7079</v>
      </c>
      <c r="B1806" s="277">
        <v>2010</v>
      </c>
      <c r="C1806" s="276"/>
      <c r="D1806" s="277">
        <v>20493274</v>
      </c>
      <c r="E1806" s="278" t="str">
        <f t="shared" si="23"/>
        <v>https://pubmed.ncbi.nlm.nih.gov/20493274</v>
      </c>
      <c r="F1806" s="28" t="s">
        <v>511</v>
      </c>
      <c r="G1806" s="28" t="s">
        <v>4346</v>
      </c>
      <c r="J1806" s="346" t="str">
        <f t="shared" si="19"/>
        <v/>
      </c>
      <c r="K1806" s="28" t="str">
        <f t="shared" si="24"/>
        <v/>
      </c>
      <c r="L1806" s="45">
        <f t="shared" si="25"/>
        <v>1</v>
      </c>
      <c r="M1806" s="45" t="str">
        <f t="shared" si="26"/>
        <v/>
      </c>
      <c r="N1806" s="45" t="str">
        <f t="shared" si="27"/>
        <v/>
      </c>
      <c r="O1806" s="45" t="str">
        <f t="shared" si="28"/>
        <v/>
      </c>
      <c r="P1806" s="45" t="str">
        <f t="shared" si="29"/>
        <v/>
      </c>
    </row>
    <row r="1807" spans="1:16" ht="17.25">
      <c r="A1807" s="276" t="s">
        <v>7080</v>
      </c>
      <c r="B1807" s="277">
        <v>2009</v>
      </c>
      <c r="C1807" s="276"/>
      <c r="D1807" s="277">
        <v>19505217</v>
      </c>
      <c r="E1807" s="278" t="str">
        <f t="shared" si="23"/>
        <v>https://pubmed.ncbi.nlm.nih.gov/19505217</v>
      </c>
      <c r="F1807" s="28" t="s">
        <v>511</v>
      </c>
      <c r="G1807" s="28" t="s">
        <v>4592</v>
      </c>
      <c r="J1807" s="346">
        <f t="shared" si="19"/>
        <v>1</v>
      </c>
      <c r="K1807" s="28" t="str">
        <f t="shared" si="24"/>
        <v/>
      </c>
      <c r="L1807" s="45" t="str">
        <f t="shared" si="25"/>
        <v/>
      </c>
      <c r="M1807" s="45" t="str">
        <f t="shared" si="26"/>
        <v/>
      </c>
      <c r="N1807" s="45" t="str">
        <f t="shared" si="27"/>
        <v/>
      </c>
      <c r="O1807" s="45" t="str">
        <f t="shared" si="28"/>
        <v/>
      </c>
      <c r="P1807" s="45" t="str">
        <f t="shared" si="29"/>
        <v/>
      </c>
    </row>
    <row r="1808" spans="1:16" ht="17.25">
      <c r="A1808" s="276" t="s">
        <v>7081</v>
      </c>
      <c r="B1808" s="277">
        <v>2020</v>
      </c>
      <c r="C1808" s="276"/>
      <c r="D1808" s="277">
        <v>33017195</v>
      </c>
      <c r="E1808" s="278" t="str">
        <f t="shared" si="23"/>
        <v>https://pubmed.ncbi.nlm.nih.gov/33017195</v>
      </c>
      <c r="F1808" s="28" t="s">
        <v>511</v>
      </c>
      <c r="G1808" s="28" t="s">
        <v>7082</v>
      </c>
      <c r="J1808" s="346">
        <f t="shared" si="19"/>
        <v>1</v>
      </c>
      <c r="K1808" s="28" t="str">
        <f t="shared" si="24"/>
        <v/>
      </c>
      <c r="L1808" s="45" t="str">
        <f t="shared" si="25"/>
        <v/>
      </c>
      <c r="M1808" s="45" t="str">
        <f t="shared" si="26"/>
        <v/>
      </c>
      <c r="N1808" s="45" t="str">
        <f t="shared" si="27"/>
        <v/>
      </c>
      <c r="O1808" s="45" t="str">
        <f t="shared" si="28"/>
        <v/>
      </c>
      <c r="P1808" s="45" t="str">
        <f t="shared" si="29"/>
        <v/>
      </c>
    </row>
    <row r="1809" spans="1:16" ht="17.25">
      <c r="A1809" s="276" t="s">
        <v>7083</v>
      </c>
      <c r="B1809" s="277">
        <v>2018</v>
      </c>
      <c r="C1809" s="276"/>
      <c r="D1809" s="277">
        <v>29270698</v>
      </c>
      <c r="E1809" s="278" t="str">
        <f t="shared" si="23"/>
        <v>https://pubmed.ncbi.nlm.nih.gov/29270698</v>
      </c>
      <c r="F1809" s="28" t="s">
        <v>511</v>
      </c>
      <c r="G1809" s="28" t="s">
        <v>6220</v>
      </c>
      <c r="J1809" s="346">
        <f t="shared" si="19"/>
        <v>1</v>
      </c>
      <c r="K1809" s="28" t="str">
        <f t="shared" si="24"/>
        <v/>
      </c>
      <c r="L1809" s="45" t="str">
        <f t="shared" si="25"/>
        <v/>
      </c>
      <c r="M1809" s="45" t="str">
        <f t="shared" si="26"/>
        <v/>
      </c>
      <c r="N1809" s="45" t="str">
        <f t="shared" si="27"/>
        <v/>
      </c>
      <c r="O1809" s="45" t="str">
        <f t="shared" si="28"/>
        <v/>
      </c>
      <c r="P1809" s="45" t="str">
        <f t="shared" si="29"/>
        <v/>
      </c>
    </row>
    <row r="1810" spans="1:16" ht="17.25">
      <c r="A1810" s="276" t="s">
        <v>7084</v>
      </c>
      <c r="B1810" s="277">
        <v>2017</v>
      </c>
      <c r="C1810" s="276"/>
      <c r="D1810" s="277">
        <v>28499509</v>
      </c>
      <c r="E1810" s="278" t="str">
        <f t="shared" si="23"/>
        <v>https://pubmed.ncbi.nlm.nih.gov/28499509</v>
      </c>
      <c r="F1810" s="28" t="s">
        <v>511</v>
      </c>
      <c r="G1810" s="28" t="s">
        <v>7085</v>
      </c>
      <c r="J1810" s="346">
        <f t="shared" si="19"/>
        <v>1</v>
      </c>
      <c r="K1810" s="28" t="str">
        <f t="shared" si="24"/>
        <v/>
      </c>
      <c r="L1810" s="45" t="str">
        <f t="shared" si="25"/>
        <v/>
      </c>
      <c r="M1810" s="45" t="str">
        <f t="shared" si="26"/>
        <v/>
      </c>
      <c r="N1810" s="45" t="str">
        <f t="shared" si="27"/>
        <v/>
      </c>
      <c r="O1810" s="45" t="str">
        <f t="shared" si="28"/>
        <v/>
      </c>
      <c r="P1810" s="45" t="str">
        <f t="shared" si="29"/>
        <v/>
      </c>
    </row>
    <row r="1811" spans="1:16" ht="17.25">
      <c r="A1811" s="276" t="s">
        <v>7086</v>
      </c>
      <c r="B1811" s="277">
        <v>2019</v>
      </c>
      <c r="C1811" s="276" t="s">
        <v>7087</v>
      </c>
      <c r="D1811" s="277">
        <v>31532516</v>
      </c>
      <c r="E1811" s="278" t="str">
        <f t="shared" si="23"/>
        <v>https://pubmed.ncbi.nlm.nih.gov/31532516</v>
      </c>
      <c r="F1811" s="28" t="s">
        <v>511</v>
      </c>
      <c r="G1811" s="28" t="s">
        <v>7088</v>
      </c>
      <c r="J1811" s="346" t="str">
        <f t="shared" si="19"/>
        <v/>
      </c>
      <c r="K1811" s="28" t="str">
        <f t="shared" si="24"/>
        <v/>
      </c>
      <c r="L1811" s="45" t="str">
        <f t="shared" si="25"/>
        <v/>
      </c>
      <c r="M1811" s="45" t="str">
        <f t="shared" si="26"/>
        <v/>
      </c>
      <c r="N1811" s="45" t="str">
        <f t="shared" si="27"/>
        <v/>
      </c>
      <c r="O1811" s="45">
        <f t="shared" si="28"/>
        <v>1</v>
      </c>
      <c r="P1811" s="45" t="str">
        <f t="shared" si="29"/>
        <v/>
      </c>
    </row>
    <row r="1812" spans="1:16" ht="17.25">
      <c r="A1812" s="276" t="s">
        <v>7089</v>
      </c>
      <c r="B1812" s="277">
        <v>2019</v>
      </c>
      <c r="C1812" s="276" t="s">
        <v>7090</v>
      </c>
      <c r="D1812" s="277">
        <v>31291932</v>
      </c>
      <c r="E1812" s="278" t="str">
        <f t="shared" si="23"/>
        <v>https://pubmed.ncbi.nlm.nih.gov/31291932</v>
      </c>
      <c r="F1812" s="28" t="s">
        <v>511</v>
      </c>
      <c r="G1812" s="28" t="s">
        <v>6220</v>
      </c>
      <c r="J1812" s="346">
        <f t="shared" si="19"/>
        <v>1</v>
      </c>
      <c r="K1812" s="28" t="str">
        <f t="shared" si="24"/>
        <v/>
      </c>
      <c r="L1812" s="45" t="str">
        <f t="shared" si="25"/>
        <v/>
      </c>
      <c r="M1812" s="45" t="str">
        <f t="shared" si="26"/>
        <v/>
      </c>
      <c r="N1812" s="45" t="str">
        <f t="shared" si="27"/>
        <v/>
      </c>
      <c r="O1812" s="45" t="str">
        <f t="shared" si="28"/>
        <v/>
      </c>
      <c r="P1812" s="45" t="str">
        <f t="shared" si="29"/>
        <v/>
      </c>
    </row>
    <row r="1813" spans="1:16" ht="17.25">
      <c r="A1813" s="276" t="s">
        <v>7091</v>
      </c>
      <c r="B1813" s="277">
        <v>2019</v>
      </c>
      <c r="C1813" s="276" t="s">
        <v>7092</v>
      </c>
      <c r="D1813" s="277">
        <v>30950194</v>
      </c>
      <c r="E1813" s="278" t="str">
        <f t="shared" si="23"/>
        <v>https://pubmed.ncbi.nlm.nih.gov/30950194</v>
      </c>
      <c r="F1813" s="28" t="s">
        <v>511</v>
      </c>
      <c r="G1813" s="28" t="s">
        <v>6220</v>
      </c>
      <c r="J1813" s="346">
        <f t="shared" si="19"/>
        <v>1</v>
      </c>
      <c r="K1813" s="28" t="str">
        <f t="shared" si="24"/>
        <v/>
      </c>
      <c r="L1813" s="45" t="str">
        <f t="shared" si="25"/>
        <v/>
      </c>
      <c r="M1813" s="45" t="str">
        <f t="shared" si="26"/>
        <v/>
      </c>
      <c r="N1813" s="45" t="str">
        <f t="shared" si="27"/>
        <v/>
      </c>
      <c r="O1813" s="45" t="str">
        <f t="shared" si="28"/>
        <v/>
      </c>
      <c r="P1813" s="45" t="str">
        <f t="shared" si="29"/>
        <v/>
      </c>
    </row>
    <row r="1814" spans="1:16" ht="17.25">
      <c r="A1814" s="276" t="s">
        <v>5050</v>
      </c>
      <c r="B1814" s="277">
        <v>2010</v>
      </c>
      <c r="C1814" s="276"/>
      <c r="D1814" s="277">
        <v>20926833</v>
      </c>
      <c r="E1814" s="278" t="str">
        <f t="shared" si="23"/>
        <v>https://pubmed.ncbi.nlm.nih.gov/20926833</v>
      </c>
      <c r="F1814" s="28" t="s">
        <v>511</v>
      </c>
      <c r="G1814" s="28" t="s">
        <v>5299</v>
      </c>
      <c r="J1814" s="346" t="str">
        <f t="shared" si="19"/>
        <v/>
      </c>
      <c r="K1814" s="28" t="str">
        <f t="shared" si="24"/>
        <v/>
      </c>
      <c r="L1814" s="45" t="str">
        <f t="shared" si="25"/>
        <v/>
      </c>
      <c r="M1814" s="45" t="str">
        <f t="shared" si="26"/>
        <v/>
      </c>
      <c r="N1814" s="45">
        <f t="shared" si="27"/>
        <v>1</v>
      </c>
      <c r="O1814" s="45" t="str">
        <f t="shared" si="28"/>
        <v/>
      </c>
      <c r="P1814" s="45" t="str">
        <f t="shared" si="29"/>
        <v/>
      </c>
    </row>
    <row r="1815" spans="1:16" ht="17.25">
      <c r="A1815" s="276" t="s">
        <v>7093</v>
      </c>
      <c r="B1815" s="277">
        <v>2019</v>
      </c>
      <c r="C1815" s="276" t="s">
        <v>7094</v>
      </c>
      <c r="D1815" s="277">
        <v>30673716</v>
      </c>
      <c r="E1815" s="278" t="str">
        <f t="shared" si="23"/>
        <v>https://pubmed.ncbi.nlm.nih.gov/30673716</v>
      </c>
      <c r="F1815" s="28" t="s">
        <v>511</v>
      </c>
      <c r="G1815" s="28" t="s">
        <v>6220</v>
      </c>
      <c r="J1815" s="346">
        <f t="shared" si="19"/>
        <v>1</v>
      </c>
      <c r="K1815" s="28" t="str">
        <f t="shared" si="24"/>
        <v/>
      </c>
      <c r="L1815" s="45" t="str">
        <f t="shared" si="25"/>
        <v/>
      </c>
      <c r="M1815" s="45" t="str">
        <f t="shared" si="26"/>
        <v/>
      </c>
      <c r="N1815" s="45" t="str">
        <f t="shared" si="27"/>
        <v/>
      </c>
      <c r="O1815" s="45" t="str">
        <f t="shared" si="28"/>
        <v/>
      </c>
      <c r="P1815" s="45" t="str">
        <f t="shared" si="29"/>
        <v/>
      </c>
    </row>
    <row r="1816" spans="1:16" ht="17.25">
      <c r="A1816" s="276" t="s">
        <v>7095</v>
      </c>
      <c r="B1816" s="277">
        <v>2005</v>
      </c>
      <c r="C1816" s="276"/>
      <c r="D1816" s="277">
        <v>15679715</v>
      </c>
      <c r="E1816" s="278" t="str">
        <f t="shared" si="23"/>
        <v>https://pubmed.ncbi.nlm.nih.gov/15679715</v>
      </c>
      <c r="F1816" s="28" t="s">
        <v>511</v>
      </c>
      <c r="G1816" s="28" t="s">
        <v>4744</v>
      </c>
      <c r="J1816" s="346" t="str">
        <f t="shared" si="19"/>
        <v/>
      </c>
      <c r="K1816" s="28" t="str">
        <f t="shared" si="24"/>
        <v/>
      </c>
      <c r="L1816" s="45" t="str">
        <f t="shared" si="25"/>
        <v/>
      </c>
      <c r="M1816" s="45" t="str">
        <f t="shared" si="26"/>
        <v/>
      </c>
      <c r="N1816" s="45">
        <f t="shared" si="27"/>
        <v>1</v>
      </c>
      <c r="O1816" s="45" t="str">
        <f t="shared" si="28"/>
        <v/>
      </c>
      <c r="P1816" s="45" t="str">
        <f t="shared" si="29"/>
        <v/>
      </c>
    </row>
    <row r="1817" spans="1:16" ht="17.25">
      <c r="A1817" s="276" t="s">
        <v>7096</v>
      </c>
      <c r="B1817" s="277">
        <v>2017</v>
      </c>
      <c r="C1817" s="276" t="s">
        <v>7097</v>
      </c>
      <c r="D1817" s="277">
        <v>28459617</v>
      </c>
      <c r="E1817" s="278" t="str">
        <f t="shared" si="23"/>
        <v>https://pubmed.ncbi.nlm.nih.gov/28459617</v>
      </c>
      <c r="F1817" s="28" t="s">
        <v>511</v>
      </c>
      <c r="G1817" s="28" t="s">
        <v>4744</v>
      </c>
      <c r="J1817" s="346" t="str">
        <f t="shared" si="19"/>
        <v/>
      </c>
      <c r="K1817" s="28" t="str">
        <f t="shared" si="24"/>
        <v/>
      </c>
      <c r="L1817" s="45" t="str">
        <f t="shared" si="25"/>
        <v/>
      </c>
      <c r="M1817" s="45" t="str">
        <f t="shared" si="26"/>
        <v/>
      </c>
      <c r="N1817" s="45">
        <f t="shared" si="27"/>
        <v>1</v>
      </c>
      <c r="O1817" s="45" t="str">
        <f t="shared" si="28"/>
        <v/>
      </c>
      <c r="P1817" s="45" t="str">
        <f t="shared" si="29"/>
        <v/>
      </c>
    </row>
    <row r="1818" spans="1:16" ht="17.25">
      <c r="A1818" s="276" t="s">
        <v>7098</v>
      </c>
      <c r="B1818" s="277">
        <v>2013</v>
      </c>
      <c r="C1818" s="276"/>
      <c r="D1818" s="277">
        <v>23374268</v>
      </c>
      <c r="E1818" s="278" t="str">
        <f t="shared" si="23"/>
        <v>https://pubmed.ncbi.nlm.nih.gov/23374268</v>
      </c>
      <c r="F1818" s="28" t="s">
        <v>511</v>
      </c>
      <c r="G1818" s="28" t="s">
        <v>5157</v>
      </c>
      <c r="I1818" s="28" t="s">
        <v>6460</v>
      </c>
      <c r="J1818" s="346" t="str">
        <f t="shared" si="19"/>
        <v/>
      </c>
      <c r="K1818" s="28" t="str">
        <f t="shared" si="24"/>
        <v/>
      </c>
      <c r="L1818" s="45" t="str">
        <f t="shared" si="25"/>
        <v/>
      </c>
      <c r="M1818" s="45" t="str">
        <f t="shared" si="26"/>
        <v/>
      </c>
      <c r="N1818" s="45">
        <f t="shared" si="27"/>
        <v>1</v>
      </c>
      <c r="O1818" s="45" t="str">
        <f t="shared" si="28"/>
        <v/>
      </c>
      <c r="P1818" s="45" t="str">
        <f t="shared" si="29"/>
        <v/>
      </c>
    </row>
    <row r="1819" spans="1:16" ht="17.25">
      <c r="A1819" s="276" t="s">
        <v>7099</v>
      </c>
      <c r="B1819" s="277">
        <v>2020</v>
      </c>
      <c r="C1819" s="276"/>
      <c r="D1819" s="277">
        <v>32035366</v>
      </c>
      <c r="E1819" s="278" t="str">
        <f t="shared" si="23"/>
        <v>https://pubmed.ncbi.nlm.nih.gov/32035366</v>
      </c>
      <c r="F1819" s="28" t="s">
        <v>511</v>
      </c>
      <c r="G1819" s="28" t="s">
        <v>7100</v>
      </c>
      <c r="J1819" s="346" t="str">
        <f t="shared" si="19"/>
        <v/>
      </c>
      <c r="K1819" s="28" t="str">
        <f t="shared" si="24"/>
        <v/>
      </c>
      <c r="L1819" s="45" t="str">
        <f t="shared" si="25"/>
        <v/>
      </c>
      <c r="M1819" s="45" t="str">
        <f t="shared" si="26"/>
        <v/>
      </c>
      <c r="N1819" s="45">
        <f t="shared" si="27"/>
        <v>1</v>
      </c>
      <c r="O1819" s="45" t="str">
        <f t="shared" si="28"/>
        <v/>
      </c>
      <c r="P1819" s="45" t="str">
        <f t="shared" si="29"/>
        <v/>
      </c>
    </row>
    <row r="1820" spans="1:16" ht="17.25">
      <c r="A1820" s="276" t="s">
        <v>7101</v>
      </c>
      <c r="B1820" s="277">
        <v>2017</v>
      </c>
      <c r="C1820" s="276"/>
      <c r="D1820" s="277">
        <v>28229274</v>
      </c>
      <c r="E1820" s="278" t="str">
        <f t="shared" si="23"/>
        <v>https://pubmed.ncbi.nlm.nih.gov/28229274</v>
      </c>
      <c r="F1820" s="28" t="s">
        <v>511</v>
      </c>
      <c r="G1820" s="28" t="s">
        <v>4592</v>
      </c>
      <c r="J1820" s="346">
        <f t="shared" si="19"/>
        <v>1</v>
      </c>
      <c r="K1820" s="28" t="str">
        <f t="shared" si="24"/>
        <v/>
      </c>
      <c r="L1820" s="45" t="str">
        <f t="shared" si="25"/>
        <v/>
      </c>
      <c r="M1820" s="45" t="str">
        <f t="shared" si="26"/>
        <v/>
      </c>
      <c r="N1820" s="45" t="str">
        <f t="shared" si="27"/>
        <v/>
      </c>
      <c r="O1820" s="45" t="str">
        <f t="shared" si="28"/>
        <v/>
      </c>
      <c r="P1820" s="45" t="str">
        <f t="shared" si="29"/>
        <v/>
      </c>
    </row>
    <row r="1821" spans="1:16" ht="17.25">
      <c r="A1821" s="276" t="s">
        <v>7102</v>
      </c>
      <c r="B1821" s="277">
        <v>2018</v>
      </c>
      <c r="C1821" s="276"/>
      <c r="D1821" s="277">
        <v>30170735</v>
      </c>
      <c r="E1821" s="278" t="str">
        <f t="shared" si="23"/>
        <v>https://pubmed.ncbi.nlm.nih.gov/30170735</v>
      </c>
      <c r="F1821" s="28" t="s">
        <v>511</v>
      </c>
      <c r="G1821" s="28" t="s">
        <v>6220</v>
      </c>
      <c r="J1821" s="346">
        <f t="shared" si="19"/>
        <v>1</v>
      </c>
      <c r="K1821" s="28" t="str">
        <f t="shared" si="24"/>
        <v/>
      </c>
      <c r="L1821" s="45" t="str">
        <f t="shared" si="25"/>
        <v/>
      </c>
      <c r="M1821" s="45" t="str">
        <f t="shared" si="26"/>
        <v/>
      </c>
      <c r="N1821" s="45" t="str">
        <f t="shared" si="27"/>
        <v/>
      </c>
      <c r="O1821" s="45" t="str">
        <f t="shared" si="28"/>
        <v/>
      </c>
      <c r="P1821" s="45" t="str">
        <f t="shared" si="29"/>
        <v/>
      </c>
    </row>
    <row r="1822" spans="1:16" ht="17.25">
      <c r="A1822" s="276" t="s">
        <v>7103</v>
      </c>
      <c r="B1822" s="277">
        <v>2015</v>
      </c>
      <c r="C1822" s="276"/>
      <c r="D1822" s="277">
        <v>26041411</v>
      </c>
      <c r="E1822" s="278" t="str">
        <f t="shared" si="23"/>
        <v>https://pubmed.ncbi.nlm.nih.gov/26041411</v>
      </c>
      <c r="F1822" s="28" t="s">
        <v>511</v>
      </c>
      <c r="G1822" s="28" t="s">
        <v>4592</v>
      </c>
      <c r="J1822" s="346">
        <f t="shared" si="19"/>
        <v>1</v>
      </c>
      <c r="K1822" s="28" t="str">
        <f t="shared" si="24"/>
        <v/>
      </c>
      <c r="L1822" s="45" t="str">
        <f t="shared" si="25"/>
        <v/>
      </c>
      <c r="M1822" s="45" t="str">
        <f t="shared" si="26"/>
        <v/>
      </c>
      <c r="N1822" s="45" t="str">
        <f t="shared" si="27"/>
        <v/>
      </c>
      <c r="O1822" s="45" t="str">
        <f t="shared" si="28"/>
        <v/>
      </c>
      <c r="P1822" s="45" t="str">
        <f t="shared" si="29"/>
        <v/>
      </c>
    </row>
    <row r="1823" spans="1:16" ht="17.25">
      <c r="A1823" s="276" t="s">
        <v>7104</v>
      </c>
      <c r="B1823" s="277">
        <v>2018</v>
      </c>
      <c r="C1823" s="276" t="s">
        <v>7105</v>
      </c>
      <c r="D1823" s="277">
        <v>30480772</v>
      </c>
      <c r="E1823" s="278" t="str">
        <f t="shared" si="23"/>
        <v>https://pubmed.ncbi.nlm.nih.gov/30480772</v>
      </c>
      <c r="F1823" s="28" t="s">
        <v>511</v>
      </c>
      <c r="G1823" s="28" t="s">
        <v>6220</v>
      </c>
      <c r="J1823" s="346">
        <f t="shared" si="19"/>
        <v>1</v>
      </c>
      <c r="K1823" s="28" t="str">
        <f t="shared" si="24"/>
        <v/>
      </c>
      <c r="L1823" s="45" t="str">
        <f t="shared" si="25"/>
        <v/>
      </c>
      <c r="M1823" s="45" t="str">
        <f t="shared" si="26"/>
        <v/>
      </c>
      <c r="N1823" s="45" t="str">
        <f t="shared" si="27"/>
        <v/>
      </c>
      <c r="O1823" s="45" t="str">
        <f t="shared" si="28"/>
        <v/>
      </c>
      <c r="P1823" s="45" t="str">
        <f t="shared" si="29"/>
        <v/>
      </c>
    </row>
    <row r="1824" spans="1:16" ht="17.25">
      <c r="A1824" s="276" t="s">
        <v>7106</v>
      </c>
      <c r="B1824" s="277">
        <v>2018</v>
      </c>
      <c r="C1824" s="276" t="s">
        <v>7107</v>
      </c>
      <c r="D1824" s="277">
        <v>30238870</v>
      </c>
      <c r="E1824" s="278" t="str">
        <f t="shared" si="23"/>
        <v>https://pubmed.ncbi.nlm.nih.gov/30238870</v>
      </c>
      <c r="F1824" s="28" t="s">
        <v>511</v>
      </c>
      <c r="G1824" s="28" t="s">
        <v>4744</v>
      </c>
      <c r="J1824" s="346" t="str">
        <f t="shared" si="19"/>
        <v/>
      </c>
      <c r="K1824" s="28" t="str">
        <f t="shared" si="24"/>
        <v/>
      </c>
      <c r="L1824" s="45" t="str">
        <f t="shared" si="25"/>
        <v/>
      </c>
      <c r="M1824" s="45" t="str">
        <f t="shared" si="26"/>
        <v/>
      </c>
      <c r="N1824" s="45">
        <f t="shared" si="27"/>
        <v>1</v>
      </c>
      <c r="O1824" s="45" t="str">
        <f t="shared" si="28"/>
        <v/>
      </c>
      <c r="P1824" s="45" t="str">
        <f t="shared" si="29"/>
        <v/>
      </c>
    </row>
    <row r="1825" spans="1:16" ht="17.25">
      <c r="A1825" s="276" t="s">
        <v>7108</v>
      </c>
      <c r="B1825" s="277">
        <v>2020</v>
      </c>
      <c r="C1825" s="276"/>
      <c r="D1825" s="277">
        <v>31869863</v>
      </c>
      <c r="E1825" s="278" t="str">
        <f t="shared" si="23"/>
        <v>https://pubmed.ncbi.nlm.nih.gov/31869863</v>
      </c>
      <c r="F1825" s="28" t="s">
        <v>511</v>
      </c>
      <c r="G1825" s="28" t="s">
        <v>5273</v>
      </c>
      <c r="J1825" s="346">
        <f t="shared" si="19"/>
        <v>1</v>
      </c>
      <c r="K1825" s="28" t="str">
        <f t="shared" si="24"/>
        <v/>
      </c>
      <c r="L1825" s="45" t="str">
        <f t="shared" si="25"/>
        <v/>
      </c>
      <c r="M1825" s="45" t="str">
        <f t="shared" si="26"/>
        <v/>
      </c>
      <c r="N1825" s="45" t="str">
        <f t="shared" si="27"/>
        <v/>
      </c>
      <c r="O1825" s="45" t="str">
        <f t="shared" si="28"/>
        <v/>
      </c>
      <c r="P1825" s="45" t="str">
        <f t="shared" si="29"/>
        <v/>
      </c>
    </row>
    <row r="1826" spans="1:16" ht="17.25">
      <c r="A1826" s="276" t="s">
        <v>7109</v>
      </c>
      <c r="B1826" s="277">
        <v>2018</v>
      </c>
      <c r="C1826" s="276"/>
      <c r="D1826" s="277">
        <v>29528485</v>
      </c>
      <c r="E1826" s="278" t="str">
        <f t="shared" si="23"/>
        <v>https://pubmed.ncbi.nlm.nih.gov/29528485</v>
      </c>
      <c r="F1826" s="28" t="s">
        <v>511</v>
      </c>
      <c r="G1826" s="28" t="s">
        <v>7110</v>
      </c>
      <c r="J1826" s="346" t="str">
        <f t="shared" si="19"/>
        <v/>
      </c>
      <c r="K1826" s="28" t="str">
        <f t="shared" si="24"/>
        <v/>
      </c>
      <c r="L1826" s="45" t="str">
        <f t="shared" si="25"/>
        <v/>
      </c>
      <c r="M1826" s="45" t="str">
        <f t="shared" si="26"/>
        <v/>
      </c>
      <c r="N1826" s="45">
        <f t="shared" si="27"/>
        <v>1</v>
      </c>
      <c r="O1826" s="45" t="str">
        <f t="shared" si="28"/>
        <v/>
      </c>
      <c r="P1826" s="45" t="str">
        <f t="shared" si="29"/>
        <v/>
      </c>
    </row>
    <row r="1827" spans="1:16" ht="17.25">
      <c r="A1827" s="276" t="s">
        <v>7111</v>
      </c>
      <c r="B1827" s="277">
        <v>2014</v>
      </c>
      <c r="C1827" s="276"/>
      <c r="D1827" s="277">
        <v>24979556</v>
      </c>
      <c r="E1827" s="278" t="str">
        <f t="shared" si="23"/>
        <v>https://pubmed.ncbi.nlm.nih.gov/24979556</v>
      </c>
      <c r="F1827" s="28" t="s">
        <v>511</v>
      </c>
      <c r="G1827" s="28" t="s">
        <v>5157</v>
      </c>
      <c r="J1827" s="346" t="str">
        <f t="shared" si="19"/>
        <v/>
      </c>
      <c r="K1827" s="28" t="str">
        <f t="shared" si="24"/>
        <v/>
      </c>
      <c r="L1827" s="45" t="str">
        <f t="shared" si="25"/>
        <v/>
      </c>
      <c r="M1827" s="45" t="str">
        <f t="shared" si="26"/>
        <v/>
      </c>
      <c r="N1827" s="45">
        <f t="shared" si="27"/>
        <v>1</v>
      </c>
      <c r="O1827" s="45" t="str">
        <f t="shared" si="28"/>
        <v/>
      </c>
      <c r="P1827" s="45" t="str">
        <f t="shared" si="29"/>
        <v/>
      </c>
    </row>
    <row r="1828" spans="1:16" ht="17.25">
      <c r="A1828" s="276" t="s">
        <v>7112</v>
      </c>
      <c r="B1828" s="277">
        <v>2021</v>
      </c>
      <c r="C1828" s="276" t="s">
        <v>7113</v>
      </c>
      <c r="D1828" s="277">
        <v>33786063</v>
      </c>
      <c r="E1828" s="278" t="str">
        <f t="shared" si="23"/>
        <v>https://pubmed.ncbi.nlm.nih.gov/33786063</v>
      </c>
      <c r="F1828" s="28" t="s">
        <v>511</v>
      </c>
      <c r="G1828" s="28" t="s">
        <v>4592</v>
      </c>
      <c r="J1828" s="346">
        <f t="shared" si="19"/>
        <v>1</v>
      </c>
      <c r="K1828" s="28" t="str">
        <f t="shared" si="24"/>
        <v/>
      </c>
      <c r="L1828" s="45" t="str">
        <f t="shared" si="25"/>
        <v/>
      </c>
      <c r="M1828" s="45" t="str">
        <f t="shared" si="26"/>
        <v/>
      </c>
      <c r="N1828" s="45" t="str">
        <f t="shared" si="27"/>
        <v/>
      </c>
      <c r="O1828" s="45" t="str">
        <f t="shared" si="28"/>
        <v/>
      </c>
      <c r="P1828" s="45" t="str">
        <f t="shared" si="29"/>
        <v/>
      </c>
    </row>
    <row r="1829" spans="1:16" ht="17.25">
      <c r="A1829" s="276" t="s">
        <v>7114</v>
      </c>
      <c r="B1829" s="277">
        <v>2009</v>
      </c>
      <c r="C1829" s="276"/>
      <c r="D1829" s="277">
        <v>19629539</v>
      </c>
      <c r="E1829" s="278" t="str">
        <f t="shared" si="23"/>
        <v>https://pubmed.ncbi.nlm.nih.gov/19629539</v>
      </c>
      <c r="F1829" s="28" t="s">
        <v>511</v>
      </c>
      <c r="G1829" s="28" t="s">
        <v>5299</v>
      </c>
      <c r="J1829" s="346" t="str">
        <f t="shared" si="19"/>
        <v/>
      </c>
      <c r="K1829" s="28" t="str">
        <f t="shared" si="24"/>
        <v/>
      </c>
      <c r="L1829" s="45" t="str">
        <f t="shared" si="25"/>
        <v/>
      </c>
      <c r="M1829" s="45" t="str">
        <f t="shared" si="26"/>
        <v/>
      </c>
      <c r="N1829" s="45">
        <f t="shared" si="27"/>
        <v>1</v>
      </c>
      <c r="O1829" s="45" t="str">
        <f t="shared" si="28"/>
        <v/>
      </c>
      <c r="P1829" s="45" t="str">
        <f t="shared" si="29"/>
        <v/>
      </c>
    </row>
    <row r="1830" spans="1:16" ht="17.25">
      <c r="A1830" s="276" t="s">
        <v>7115</v>
      </c>
      <c r="B1830" s="277">
        <v>2013</v>
      </c>
      <c r="C1830" s="276"/>
      <c r="D1830" s="277">
        <v>24328444</v>
      </c>
      <c r="E1830" s="278" t="str">
        <f t="shared" si="23"/>
        <v>https://pubmed.ncbi.nlm.nih.gov/24328444</v>
      </c>
      <c r="F1830" s="28" t="s">
        <v>511</v>
      </c>
      <c r="G1830" s="28" t="s">
        <v>4867</v>
      </c>
      <c r="J1830" s="346" t="str">
        <f t="shared" si="19"/>
        <v/>
      </c>
      <c r="K1830" s="28" t="str">
        <f t="shared" si="24"/>
        <v/>
      </c>
      <c r="L1830" s="45" t="str">
        <f t="shared" si="25"/>
        <v/>
      </c>
      <c r="M1830" s="45" t="str">
        <f t="shared" si="26"/>
        <v/>
      </c>
      <c r="N1830" s="45">
        <f t="shared" si="27"/>
        <v>1</v>
      </c>
      <c r="O1830" s="45" t="str">
        <f t="shared" si="28"/>
        <v/>
      </c>
      <c r="P1830" s="45" t="str">
        <f t="shared" si="29"/>
        <v/>
      </c>
    </row>
    <row r="1831" spans="1:16" ht="17.25">
      <c r="A1831" s="276" t="s">
        <v>7116</v>
      </c>
      <c r="B1831" s="277">
        <v>2021</v>
      </c>
      <c r="C1831" s="276" t="s">
        <v>7117</v>
      </c>
      <c r="D1831" s="277">
        <v>33432484</v>
      </c>
      <c r="E1831" s="278" t="str">
        <f t="shared" si="23"/>
        <v>https://pubmed.ncbi.nlm.nih.gov/33432484</v>
      </c>
      <c r="F1831" s="28" t="s">
        <v>511</v>
      </c>
      <c r="G1831" s="28" t="s">
        <v>4592</v>
      </c>
      <c r="J1831" s="346">
        <f t="shared" si="19"/>
        <v>1</v>
      </c>
      <c r="K1831" s="28" t="str">
        <f t="shared" si="24"/>
        <v/>
      </c>
      <c r="L1831" s="45" t="str">
        <f t="shared" si="25"/>
        <v/>
      </c>
      <c r="M1831" s="45" t="str">
        <f t="shared" si="26"/>
        <v/>
      </c>
      <c r="N1831" s="45" t="str">
        <f t="shared" si="27"/>
        <v/>
      </c>
      <c r="O1831" s="45" t="str">
        <f t="shared" si="28"/>
        <v/>
      </c>
      <c r="P1831" s="45" t="str">
        <f t="shared" si="29"/>
        <v/>
      </c>
    </row>
    <row r="1832" spans="1:16" ht="17.25">
      <c r="A1832" s="276" t="s">
        <v>7118</v>
      </c>
      <c r="B1832" s="277">
        <v>2014</v>
      </c>
      <c r="C1832" s="276"/>
      <c r="D1832" s="277">
        <v>25217488</v>
      </c>
      <c r="E1832" s="278" t="str">
        <f t="shared" si="23"/>
        <v>https://pubmed.ncbi.nlm.nih.gov/25217488</v>
      </c>
      <c r="F1832" s="28" t="s">
        <v>511</v>
      </c>
      <c r="G1832" s="28" t="s">
        <v>7119</v>
      </c>
      <c r="J1832" s="346" t="str">
        <f t="shared" si="19"/>
        <v/>
      </c>
      <c r="K1832" s="28" t="str">
        <f t="shared" si="24"/>
        <v/>
      </c>
      <c r="L1832" s="45" t="str">
        <f t="shared" si="25"/>
        <v/>
      </c>
      <c r="M1832" s="45" t="str">
        <f t="shared" si="26"/>
        <v/>
      </c>
      <c r="N1832" s="45" t="str">
        <f t="shared" si="27"/>
        <v/>
      </c>
      <c r="O1832" s="45">
        <f t="shared" si="28"/>
        <v>1</v>
      </c>
      <c r="P1832" s="45" t="str">
        <f t="shared" si="29"/>
        <v/>
      </c>
    </row>
    <row r="1833" spans="1:16" ht="17.25">
      <c r="A1833" s="276" t="s">
        <v>7120</v>
      </c>
      <c r="B1833" s="277">
        <v>2006</v>
      </c>
      <c r="C1833" s="276"/>
      <c r="D1833" s="277">
        <v>16440357</v>
      </c>
      <c r="E1833" s="278" t="str">
        <f t="shared" si="23"/>
        <v>https://pubmed.ncbi.nlm.nih.gov/16440357</v>
      </c>
      <c r="F1833" s="28" t="s">
        <v>511</v>
      </c>
      <c r="G1833" s="28" t="s">
        <v>7121</v>
      </c>
      <c r="J1833" s="346" t="str">
        <f t="shared" si="19"/>
        <v/>
      </c>
      <c r="K1833" s="28" t="str">
        <f t="shared" si="24"/>
        <v/>
      </c>
      <c r="L1833" s="45" t="str">
        <f t="shared" si="25"/>
        <v/>
      </c>
      <c r="M1833" s="45" t="str">
        <f t="shared" si="26"/>
        <v/>
      </c>
      <c r="N1833" s="45" t="str">
        <f t="shared" si="27"/>
        <v/>
      </c>
      <c r="O1833" s="45">
        <f t="shared" si="28"/>
        <v>1</v>
      </c>
      <c r="P1833" s="45" t="str">
        <f t="shared" si="29"/>
        <v/>
      </c>
    </row>
    <row r="1834" spans="1:16" ht="17.25">
      <c r="A1834" s="276" t="s">
        <v>7122</v>
      </c>
      <c r="B1834" s="277">
        <v>2021</v>
      </c>
      <c r="C1834" s="276"/>
      <c r="D1834" s="277">
        <v>33448349</v>
      </c>
      <c r="E1834" s="278" t="str">
        <f t="shared" si="23"/>
        <v>https://pubmed.ncbi.nlm.nih.gov/33448349</v>
      </c>
      <c r="F1834" s="28" t="s">
        <v>511</v>
      </c>
      <c r="G1834" s="28" t="s">
        <v>6220</v>
      </c>
      <c r="J1834" s="346">
        <f t="shared" si="19"/>
        <v>1</v>
      </c>
      <c r="K1834" s="28" t="str">
        <f t="shared" si="24"/>
        <v/>
      </c>
      <c r="L1834" s="45" t="str">
        <f t="shared" si="25"/>
        <v/>
      </c>
      <c r="M1834" s="45" t="str">
        <f t="shared" si="26"/>
        <v/>
      </c>
      <c r="N1834" s="45" t="str">
        <f t="shared" si="27"/>
        <v/>
      </c>
      <c r="O1834" s="45" t="str">
        <f t="shared" si="28"/>
        <v/>
      </c>
      <c r="P1834" s="45" t="str">
        <f t="shared" si="29"/>
        <v/>
      </c>
    </row>
    <row r="1835" spans="1:16" ht="17.25">
      <c r="A1835" s="276" t="s">
        <v>7123</v>
      </c>
      <c r="B1835" s="277">
        <v>2007</v>
      </c>
      <c r="C1835" s="276"/>
      <c r="D1835" s="277">
        <v>17921712</v>
      </c>
      <c r="E1835" s="278" t="str">
        <f t="shared" si="23"/>
        <v>https://pubmed.ncbi.nlm.nih.gov/17921712</v>
      </c>
      <c r="F1835" s="28" t="s">
        <v>511</v>
      </c>
      <c r="G1835" s="28" t="s">
        <v>4744</v>
      </c>
      <c r="J1835" s="346" t="str">
        <f t="shared" si="19"/>
        <v/>
      </c>
      <c r="K1835" s="28" t="str">
        <f t="shared" si="24"/>
        <v/>
      </c>
      <c r="L1835" s="45" t="str">
        <f t="shared" si="25"/>
        <v/>
      </c>
      <c r="M1835" s="45" t="str">
        <f t="shared" si="26"/>
        <v/>
      </c>
      <c r="N1835" s="45">
        <f t="shared" si="27"/>
        <v>1</v>
      </c>
      <c r="O1835" s="45" t="str">
        <f t="shared" si="28"/>
        <v/>
      </c>
      <c r="P1835" s="45" t="str">
        <f t="shared" si="29"/>
        <v/>
      </c>
    </row>
    <row r="1836" spans="1:16" ht="17.25">
      <c r="A1836" s="276" t="s">
        <v>7124</v>
      </c>
      <c r="B1836" s="277">
        <v>2019</v>
      </c>
      <c r="C1836" s="276"/>
      <c r="D1836" s="277">
        <v>30471827</v>
      </c>
      <c r="E1836" s="278" t="str">
        <f t="shared" si="23"/>
        <v>https://pubmed.ncbi.nlm.nih.gov/30471827</v>
      </c>
      <c r="F1836" s="28" t="s">
        <v>511</v>
      </c>
      <c r="G1836" s="28" t="s">
        <v>5157</v>
      </c>
      <c r="J1836" s="346" t="str">
        <f t="shared" si="19"/>
        <v/>
      </c>
      <c r="K1836" s="28" t="str">
        <f t="shared" si="24"/>
        <v/>
      </c>
      <c r="L1836" s="45" t="str">
        <f t="shared" si="25"/>
        <v/>
      </c>
      <c r="M1836" s="45" t="str">
        <f t="shared" si="26"/>
        <v/>
      </c>
      <c r="N1836" s="45">
        <f t="shared" si="27"/>
        <v>1</v>
      </c>
      <c r="O1836" s="45" t="str">
        <f t="shared" si="28"/>
        <v/>
      </c>
      <c r="P1836" s="45" t="str">
        <f t="shared" si="29"/>
        <v/>
      </c>
    </row>
    <row r="1837" spans="1:16" ht="17.25">
      <c r="A1837" s="276" t="s">
        <v>7125</v>
      </c>
      <c r="B1837" s="277">
        <v>2017</v>
      </c>
      <c r="C1837" s="276"/>
      <c r="D1837" s="277">
        <v>28967274</v>
      </c>
      <c r="E1837" s="278" t="str">
        <f t="shared" si="23"/>
        <v>https://pubmed.ncbi.nlm.nih.gov/28967274</v>
      </c>
      <c r="F1837" s="28" t="s">
        <v>511</v>
      </c>
      <c r="G1837" s="28" t="s">
        <v>4592</v>
      </c>
      <c r="J1837" s="346">
        <f t="shared" si="19"/>
        <v>1</v>
      </c>
      <c r="K1837" s="28" t="str">
        <f t="shared" si="24"/>
        <v/>
      </c>
      <c r="L1837" s="45" t="str">
        <f t="shared" si="25"/>
        <v/>
      </c>
      <c r="M1837" s="45" t="str">
        <f t="shared" si="26"/>
        <v/>
      </c>
      <c r="N1837" s="45" t="str">
        <f t="shared" si="27"/>
        <v/>
      </c>
      <c r="O1837" s="45" t="str">
        <f t="shared" si="28"/>
        <v/>
      </c>
      <c r="P1837" s="45" t="str">
        <f t="shared" si="29"/>
        <v/>
      </c>
    </row>
    <row r="1838" spans="1:16" ht="17.25">
      <c r="A1838" s="276" t="s">
        <v>7126</v>
      </c>
      <c r="B1838" s="277">
        <v>2019</v>
      </c>
      <c r="C1838" s="276"/>
      <c r="D1838" s="277">
        <v>30951497</v>
      </c>
      <c r="E1838" s="278" t="str">
        <f t="shared" si="23"/>
        <v>https://pubmed.ncbi.nlm.nih.gov/30951497</v>
      </c>
      <c r="F1838" s="28" t="s">
        <v>511</v>
      </c>
      <c r="G1838" s="28" t="s">
        <v>7127</v>
      </c>
      <c r="J1838" s="346" t="str">
        <f t="shared" si="19"/>
        <v/>
      </c>
      <c r="K1838" s="28" t="str">
        <f t="shared" si="24"/>
        <v/>
      </c>
      <c r="L1838" s="45" t="str">
        <f t="shared" si="25"/>
        <v/>
      </c>
      <c r="M1838" s="45" t="str">
        <f t="shared" si="26"/>
        <v/>
      </c>
      <c r="N1838" s="45" t="str">
        <f t="shared" si="27"/>
        <v/>
      </c>
      <c r="O1838" s="45">
        <f t="shared" si="28"/>
        <v>1</v>
      </c>
      <c r="P1838" s="45" t="str">
        <f t="shared" si="29"/>
        <v/>
      </c>
    </row>
    <row r="1839" spans="1:16" ht="17.25">
      <c r="A1839" s="276" t="s">
        <v>7128</v>
      </c>
      <c r="B1839" s="277">
        <v>2021</v>
      </c>
      <c r="C1839" s="276" t="s">
        <v>7129</v>
      </c>
      <c r="D1839" s="277">
        <v>33296619</v>
      </c>
      <c r="E1839" s="278" t="str">
        <f t="shared" si="23"/>
        <v>https://pubmed.ncbi.nlm.nih.gov/33296619</v>
      </c>
      <c r="F1839" s="28" t="s">
        <v>511</v>
      </c>
      <c r="G1839" s="28" t="s">
        <v>4592</v>
      </c>
      <c r="J1839" s="346">
        <f t="shared" si="19"/>
        <v>1</v>
      </c>
      <c r="K1839" s="28" t="str">
        <f t="shared" si="24"/>
        <v/>
      </c>
      <c r="L1839" s="45" t="str">
        <f t="shared" si="25"/>
        <v/>
      </c>
      <c r="M1839" s="45" t="str">
        <f t="shared" si="26"/>
        <v/>
      </c>
      <c r="N1839" s="45" t="str">
        <f t="shared" si="27"/>
        <v/>
      </c>
      <c r="O1839" s="45" t="str">
        <f t="shared" si="28"/>
        <v/>
      </c>
      <c r="P1839" s="45" t="str">
        <f t="shared" si="29"/>
        <v/>
      </c>
    </row>
    <row r="1840" spans="1:16" ht="17.25">
      <c r="A1840" s="276" t="s">
        <v>7130</v>
      </c>
      <c r="B1840" s="277">
        <v>2008</v>
      </c>
      <c r="C1840" s="276"/>
      <c r="D1840" s="277">
        <v>18951937</v>
      </c>
      <c r="E1840" s="278" t="str">
        <f t="shared" si="23"/>
        <v>https://pubmed.ncbi.nlm.nih.gov/18951937</v>
      </c>
      <c r="F1840" s="28" t="s">
        <v>511</v>
      </c>
      <c r="G1840" s="28" t="s">
        <v>4592</v>
      </c>
      <c r="J1840" s="346">
        <f t="shared" si="19"/>
        <v>1</v>
      </c>
      <c r="K1840" s="28" t="str">
        <f t="shared" si="24"/>
        <v/>
      </c>
      <c r="L1840" s="45" t="str">
        <f t="shared" si="25"/>
        <v/>
      </c>
      <c r="M1840" s="45" t="str">
        <f t="shared" si="26"/>
        <v/>
      </c>
      <c r="N1840" s="45" t="str">
        <f t="shared" si="27"/>
        <v/>
      </c>
      <c r="O1840" s="45" t="str">
        <f t="shared" si="28"/>
        <v/>
      </c>
      <c r="P1840" s="45" t="str">
        <f t="shared" si="29"/>
        <v/>
      </c>
    </row>
    <row r="1841" spans="1:16" ht="17.25">
      <c r="A1841" s="276" t="s">
        <v>5358</v>
      </c>
      <c r="B1841" s="277">
        <v>2017</v>
      </c>
      <c r="C1841" s="276" t="s">
        <v>7131</v>
      </c>
      <c r="D1841" s="277">
        <v>28176333</v>
      </c>
      <c r="E1841" s="278" t="str">
        <f t="shared" si="23"/>
        <v>https://pubmed.ncbi.nlm.nih.gov/28176333</v>
      </c>
      <c r="F1841" s="28" t="s">
        <v>511</v>
      </c>
      <c r="G1841" s="28" t="s">
        <v>4592</v>
      </c>
      <c r="J1841" s="346">
        <f t="shared" si="19"/>
        <v>1</v>
      </c>
      <c r="K1841" s="28" t="str">
        <f t="shared" si="24"/>
        <v/>
      </c>
      <c r="L1841" s="45" t="str">
        <f t="shared" si="25"/>
        <v/>
      </c>
      <c r="M1841" s="45" t="str">
        <f t="shared" si="26"/>
        <v/>
      </c>
      <c r="N1841" s="45" t="str">
        <f t="shared" si="27"/>
        <v/>
      </c>
      <c r="O1841" s="45" t="str">
        <f t="shared" si="28"/>
        <v/>
      </c>
      <c r="P1841" s="45" t="str">
        <f t="shared" si="29"/>
        <v/>
      </c>
    </row>
    <row r="1842" spans="1:16" ht="17.25">
      <c r="A1842" s="276" t="s">
        <v>5358</v>
      </c>
      <c r="B1842" s="277">
        <v>2009</v>
      </c>
      <c r="C1842" s="276"/>
      <c r="D1842" s="277">
        <v>19951553</v>
      </c>
      <c r="E1842" s="278" t="str">
        <f t="shared" si="23"/>
        <v>https://pubmed.ncbi.nlm.nih.gov/19951553</v>
      </c>
      <c r="F1842" s="28" t="s">
        <v>511</v>
      </c>
      <c r="G1842" s="28" t="s">
        <v>6623</v>
      </c>
      <c r="J1842" s="346">
        <f t="shared" si="19"/>
        <v>1</v>
      </c>
      <c r="K1842" s="28" t="str">
        <f t="shared" si="24"/>
        <v/>
      </c>
      <c r="L1842" s="45" t="str">
        <f t="shared" si="25"/>
        <v/>
      </c>
      <c r="M1842" s="45" t="str">
        <f t="shared" si="26"/>
        <v/>
      </c>
      <c r="N1842" s="45" t="str">
        <f t="shared" si="27"/>
        <v/>
      </c>
      <c r="O1842" s="45" t="str">
        <f t="shared" si="28"/>
        <v/>
      </c>
      <c r="P1842" s="45" t="str">
        <f t="shared" si="29"/>
        <v/>
      </c>
    </row>
    <row r="1843" spans="1:16" ht="17.25">
      <c r="A1843" s="276" t="s">
        <v>7132</v>
      </c>
      <c r="B1843" s="277">
        <v>2015</v>
      </c>
      <c r="C1843" s="276"/>
      <c r="D1843" s="277">
        <v>26323415</v>
      </c>
      <c r="E1843" s="278" t="str">
        <f t="shared" si="23"/>
        <v>https://pubmed.ncbi.nlm.nih.gov/26323415</v>
      </c>
      <c r="F1843" s="28" t="s">
        <v>511</v>
      </c>
      <c r="G1843" s="28" t="s">
        <v>4592</v>
      </c>
      <c r="J1843" s="346">
        <f t="shared" si="19"/>
        <v>1</v>
      </c>
      <c r="K1843" s="28" t="str">
        <f t="shared" si="24"/>
        <v/>
      </c>
      <c r="L1843" s="45" t="str">
        <f t="shared" si="25"/>
        <v/>
      </c>
      <c r="M1843" s="45" t="str">
        <f t="shared" si="26"/>
        <v/>
      </c>
      <c r="N1843" s="45" t="str">
        <f t="shared" si="27"/>
        <v/>
      </c>
      <c r="O1843" s="45" t="str">
        <f t="shared" si="28"/>
        <v/>
      </c>
      <c r="P1843" s="45" t="str">
        <f t="shared" si="29"/>
        <v/>
      </c>
    </row>
    <row r="1844" spans="1:16" ht="17.25">
      <c r="A1844" s="276" t="s">
        <v>7133</v>
      </c>
      <c r="B1844" s="277">
        <v>2019</v>
      </c>
      <c r="C1844" s="276"/>
      <c r="D1844" s="277">
        <v>30921546</v>
      </c>
      <c r="E1844" s="278" t="str">
        <f t="shared" si="23"/>
        <v>https://pubmed.ncbi.nlm.nih.gov/30921546</v>
      </c>
      <c r="F1844" s="28" t="s">
        <v>511</v>
      </c>
      <c r="G1844" s="28" t="s">
        <v>7134</v>
      </c>
      <c r="J1844" s="346" t="str">
        <f t="shared" si="19"/>
        <v/>
      </c>
      <c r="K1844" s="28" t="str">
        <f t="shared" si="24"/>
        <v/>
      </c>
      <c r="L1844" s="45" t="str">
        <f t="shared" si="25"/>
        <v/>
      </c>
      <c r="M1844" s="45" t="str">
        <f t="shared" si="26"/>
        <v/>
      </c>
      <c r="N1844" s="45" t="str">
        <f t="shared" si="27"/>
        <v/>
      </c>
      <c r="O1844" s="45">
        <f t="shared" si="28"/>
        <v>1</v>
      </c>
      <c r="P1844" s="45" t="str">
        <f t="shared" si="29"/>
        <v/>
      </c>
    </row>
    <row r="1845" spans="1:16" ht="17.25">
      <c r="A1845" s="276" t="s">
        <v>7135</v>
      </c>
      <c r="B1845" s="277">
        <v>2016</v>
      </c>
      <c r="C1845" s="276" t="s">
        <v>7136</v>
      </c>
      <c r="D1845" s="277">
        <v>26350571</v>
      </c>
      <c r="E1845" s="278" t="str">
        <f t="shared" si="23"/>
        <v>https://pubmed.ncbi.nlm.nih.gov/26350571</v>
      </c>
      <c r="F1845" s="28" t="s">
        <v>511</v>
      </c>
      <c r="G1845" s="28" t="s">
        <v>4592</v>
      </c>
      <c r="J1845" s="346">
        <f t="shared" si="19"/>
        <v>1</v>
      </c>
      <c r="K1845" s="28" t="str">
        <f t="shared" si="24"/>
        <v/>
      </c>
      <c r="L1845" s="45" t="str">
        <f t="shared" si="25"/>
        <v/>
      </c>
      <c r="M1845" s="45" t="str">
        <f t="shared" si="26"/>
        <v/>
      </c>
      <c r="N1845" s="45" t="str">
        <f t="shared" si="27"/>
        <v/>
      </c>
      <c r="O1845" s="45" t="str">
        <f t="shared" si="28"/>
        <v/>
      </c>
      <c r="P1845" s="45" t="str">
        <f t="shared" si="29"/>
        <v/>
      </c>
    </row>
    <row r="1846" spans="1:16" ht="17.25">
      <c r="A1846" s="276" t="s">
        <v>7137</v>
      </c>
      <c r="B1846" s="277">
        <v>2020</v>
      </c>
      <c r="C1846" s="276" t="s">
        <v>7138</v>
      </c>
      <c r="D1846" s="277">
        <v>31504664</v>
      </c>
      <c r="E1846" s="278" t="str">
        <f t="shared" si="23"/>
        <v>https://pubmed.ncbi.nlm.nih.gov/31504664</v>
      </c>
      <c r="F1846" s="28" t="s">
        <v>511</v>
      </c>
      <c r="G1846" s="28" t="s">
        <v>4592</v>
      </c>
      <c r="J1846" s="346">
        <f t="shared" si="19"/>
        <v>1</v>
      </c>
      <c r="K1846" s="28" t="str">
        <f t="shared" si="24"/>
        <v/>
      </c>
      <c r="L1846" s="45" t="str">
        <f t="shared" si="25"/>
        <v/>
      </c>
      <c r="M1846" s="45" t="str">
        <f t="shared" si="26"/>
        <v/>
      </c>
      <c r="N1846" s="45" t="str">
        <f t="shared" si="27"/>
        <v/>
      </c>
      <c r="O1846" s="45" t="str">
        <f t="shared" si="28"/>
        <v/>
      </c>
      <c r="P1846" s="45" t="str">
        <f t="shared" si="29"/>
        <v/>
      </c>
    </row>
    <row r="1847" spans="1:16" ht="17.25">
      <c r="A1847" s="276" t="s">
        <v>7139</v>
      </c>
      <c r="B1847" s="277">
        <v>2018</v>
      </c>
      <c r="C1847" s="276"/>
      <c r="D1847" s="277">
        <v>30209862</v>
      </c>
      <c r="E1847" s="278" t="str">
        <f t="shared" si="23"/>
        <v>https://pubmed.ncbi.nlm.nih.gov/30209862</v>
      </c>
      <c r="F1847" s="28" t="s">
        <v>511</v>
      </c>
      <c r="G1847" s="28" t="s">
        <v>4867</v>
      </c>
      <c r="J1847" s="346" t="str">
        <f t="shared" si="19"/>
        <v/>
      </c>
      <c r="K1847" s="28" t="str">
        <f t="shared" si="24"/>
        <v/>
      </c>
      <c r="L1847" s="45" t="str">
        <f t="shared" si="25"/>
        <v/>
      </c>
      <c r="M1847" s="45" t="str">
        <f t="shared" si="26"/>
        <v/>
      </c>
      <c r="N1847" s="45">
        <f t="shared" si="27"/>
        <v>1</v>
      </c>
      <c r="O1847" s="45" t="str">
        <f t="shared" si="28"/>
        <v/>
      </c>
      <c r="P1847" s="45" t="str">
        <f t="shared" si="29"/>
        <v/>
      </c>
    </row>
    <row r="1848" spans="1:16" ht="17.25">
      <c r="A1848" s="276" t="s">
        <v>7140</v>
      </c>
      <c r="B1848" s="277">
        <v>2007</v>
      </c>
      <c r="C1848" s="276"/>
      <c r="D1848" s="277">
        <v>17940977</v>
      </c>
      <c r="E1848" s="278" t="str">
        <f t="shared" si="23"/>
        <v>https://pubmed.ncbi.nlm.nih.gov/17940977</v>
      </c>
      <c r="F1848" s="28" t="s">
        <v>511</v>
      </c>
      <c r="G1848" s="28" t="s">
        <v>4346</v>
      </c>
      <c r="J1848" s="346" t="str">
        <f t="shared" si="19"/>
        <v/>
      </c>
      <c r="K1848" s="28" t="str">
        <f t="shared" si="24"/>
        <v/>
      </c>
      <c r="L1848" s="45">
        <f t="shared" si="25"/>
        <v>1</v>
      </c>
      <c r="M1848" s="45" t="str">
        <f t="shared" si="26"/>
        <v/>
      </c>
      <c r="N1848" s="45" t="str">
        <f t="shared" si="27"/>
        <v/>
      </c>
      <c r="O1848" s="45" t="str">
        <f t="shared" si="28"/>
        <v/>
      </c>
      <c r="P1848" s="45" t="str">
        <f t="shared" si="29"/>
        <v/>
      </c>
    </row>
    <row r="1849" spans="1:16" ht="17.25">
      <c r="A1849" s="276" t="s">
        <v>7141</v>
      </c>
      <c r="B1849" s="277">
        <v>2016</v>
      </c>
      <c r="C1849" s="276"/>
      <c r="D1849" s="277">
        <v>26945846</v>
      </c>
      <c r="E1849" s="278" t="str">
        <f t="shared" si="23"/>
        <v>https://pubmed.ncbi.nlm.nih.gov/26945846</v>
      </c>
      <c r="F1849" s="28" t="s">
        <v>511</v>
      </c>
      <c r="G1849" s="28" t="s">
        <v>7142</v>
      </c>
      <c r="J1849" s="346" t="str">
        <f t="shared" si="19"/>
        <v/>
      </c>
      <c r="K1849" s="28" t="str">
        <f t="shared" si="24"/>
        <v/>
      </c>
      <c r="L1849" s="45" t="str">
        <f t="shared" si="25"/>
        <v/>
      </c>
      <c r="M1849" s="45" t="str">
        <f t="shared" si="26"/>
        <v/>
      </c>
      <c r="N1849" s="45" t="str">
        <f t="shared" si="27"/>
        <v/>
      </c>
      <c r="O1849" s="45">
        <f t="shared" si="28"/>
        <v>1</v>
      </c>
      <c r="P1849" s="45" t="str">
        <f t="shared" si="29"/>
        <v/>
      </c>
    </row>
    <row r="1850" spans="1:16" ht="17.25">
      <c r="A1850" s="276" t="s">
        <v>7143</v>
      </c>
      <c r="B1850" s="277">
        <v>2004</v>
      </c>
      <c r="C1850" s="276"/>
      <c r="D1850" s="277">
        <v>15225401</v>
      </c>
      <c r="E1850" s="278" t="str">
        <f t="shared" si="23"/>
        <v>https://pubmed.ncbi.nlm.nih.gov/15225401</v>
      </c>
      <c r="F1850" s="28" t="s">
        <v>511</v>
      </c>
      <c r="G1850" s="28" t="s">
        <v>4592</v>
      </c>
      <c r="J1850" s="346">
        <f t="shared" si="19"/>
        <v>1</v>
      </c>
      <c r="K1850" s="28" t="str">
        <f t="shared" si="24"/>
        <v/>
      </c>
      <c r="L1850" s="45" t="str">
        <f t="shared" si="25"/>
        <v/>
      </c>
      <c r="M1850" s="45" t="str">
        <f t="shared" si="26"/>
        <v/>
      </c>
      <c r="N1850" s="45" t="str">
        <f t="shared" si="27"/>
        <v/>
      </c>
      <c r="O1850" s="45" t="str">
        <f t="shared" si="28"/>
        <v/>
      </c>
      <c r="P1850" s="45" t="str">
        <f t="shared" si="29"/>
        <v/>
      </c>
    </row>
    <row r="1851" spans="1:16" ht="17.25">
      <c r="A1851" s="276" t="s">
        <v>7144</v>
      </c>
      <c r="B1851" s="277">
        <v>2009</v>
      </c>
      <c r="C1851" s="276"/>
      <c r="D1851" s="277">
        <v>19486315</v>
      </c>
      <c r="E1851" s="278" t="str">
        <f t="shared" si="23"/>
        <v>https://pubmed.ncbi.nlm.nih.gov/19486315</v>
      </c>
      <c r="F1851" s="28" t="s">
        <v>511</v>
      </c>
      <c r="G1851" s="28" t="s">
        <v>4592</v>
      </c>
      <c r="J1851" s="346">
        <f t="shared" si="19"/>
        <v>1</v>
      </c>
      <c r="K1851" s="28" t="str">
        <f t="shared" si="24"/>
        <v/>
      </c>
      <c r="L1851" s="45" t="str">
        <f t="shared" si="25"/>
        <v/>
      </c>
      <c r="M1851" s="45" t="str">
        <f t="shared" si="26"/>
        <v/>
      </c>
      <c r="N1851" s="45" t="str">
        <f t="shared" si="27"/>
        <v/>
      </c>
      <c r="O1851" s="45" t="str">
        <f t="shared" si="28"/>
        <v/>
      </c>
      <c r="P1851" s="45" t="str">
        <f t="shared" si="29"/>
        <v/>
      </c>
    </row>
    <row r="1852" spans="1:16" ht="17.25">
      <c r="A1852" s="276" t="s">
        <v>7145</v>
      </c>
      <c r="B1852" s="277">
        <v>2019</v>
      </c>
      <c r="C1852" s="276"/>
      <c r="D1852" s="277">
        <v>30484353</v>
      </c>
      <c r="E1852" s="278" t="str">
        <f t="shared" si="23"/>
        <v>https://pubmed.ncbi.nlm.nih.gov/30484353</v>
      </c>
      <c r="F1852" s="28" t="s">
        <v>511</v>
      </c>
      <c r="G1852" s="28" t="s">
        <v>7146</v>
      </c>
      <c r="J1852" s="346" t="str">
        <f t="shared" si="19"/>
        <v/>
      </c>
      <c r="K1852" s="28" t="str">
        <f t="shared" si="24"/>
        <v/>
      </c>
      <c r="L1852" s="45" t="str">
        <f t="shared" si="25"/>
        <v/>
      </c>
      <c r="M1852" s="45" t="str">
        <f t="shared" si="26"/>
        <v/>
      </c>
      <c r="N1852" s="45">
        <f t="shared" si="27"/>
        <v>1</v>
      </c>
      <c r="O1852" s="45" t="str">
        <f t="shared" si="28"/>
        <v/>
      </c>
      <c r="P1852" s="45" t="str">
        <f t="shared" si="29"/>
        <v/>
      </c>
    </row>
    <row r="1853" spans="1:16" ht="17.25">
      <c r="A1853" s="276" t="s">
        <v>7147</v>
      </c>
      <c r="B1853" s="277">
        <v>2015</v>
      </c>
      <c r="C1853" s="276"/>
      <c r="D1853" s="277">
        <v>25970800</v>
      </c>
      <c r="E1853" s="278" t="str">
        <f t="shared" si="23"/>
        <v>https://pubmed.ncbi.nlm.nih.gov/25970800</v>
      </c>
      <c r="F1853" s="28" t="s">
        <v>511</v>
      </c>
      <c r="G1853" s="28" t="s">
        <v>4744</v>
      </c>
      <c r="J1853" s="346" t="str">
        <f t="shared" si="19"/>
        <v/>
      </c>
      <c r="K1853" s="28" t="str">
        <f t="shared" si="24"/>
        <v/>
      </c>
      <c r="L1853" s="45" t="str">
        <f t="shared" si="25"/>
        <v/>
      </c>
      <c r="M1853" s="45" t="str">
        <f t="shared" si="26"/>
        <v/>
      </c>
      <c r="N1853" s="45">
        <f t="shared" si="27"/>
        <v>1</v>
      </c>
      <c r="O1853" s="45" t="str">
        <f t="shared" si="28"/>
        <v/>
      </c>
      <c r="P1853" s="45" t="str">
        <f t="shared" si="29"/>
        <v/>
      </c>
    </row>
    <row r="1854" spans="1:16" ht="17.25">
      <c r="A1854" s="276" t="s">
        <v>7148</v>
      </c>
      <c r="B1854" s="277">
        <v>2007</v>
      </c>
      <c r="C1854" s="276"/>
      <c r="D1854" s="277">
        <v>17335319</v>
      </c>
      <c r="E1854" s="278" t="str">
        <f t="shared" si="23"/>
        <v>https://pubmed.ncbi.nlm.nih.gov/17335319</v>
      </c>
      <c r="F1854" s="28" t="s">
        <v>511</v>
      </c>
      <c r="G1854" s="28" t="s">
        <v>5157</v>
      </c>
      <c r="J1854" s="346" t="str">
        <f t="shared" si="19"/>
        <v/>
      </c>
      <c r="K1854" s="28" t="str">
        <f t="shared" si="24"/>
        <v/>
      </c>
      <c r="L1854" s="45" t="str">
        <f t="shared" si="25"/>
        <v/>
      </c>
      <c r="M1854" s="45" t="str">
        <f t="shared" si="26"/>
        <v/>
      </c>
      <c r="N1854" s="45">
        <f t="shared" si="27"/>
        <v>1</v>
      </c>
      <c r="O1854" s="45" t="str">
        <f t="shared" si="28"/>
        <v/>
      </c>
      <c r="P1854" s="45" t="str">
        <f t="shared" si="29"/>
        <v/>
      </c>
    </row>
    <row r="1855" spans="1:16" ht="17.25">
      <c r="A1855" s="276" t="s">
        <v>7149</v>
      </c>
      <c r="B1855" s="277">
        <v>2008</v>
      </c>
      <c r="C1855" s="276"/>
      <c r="D1855" s="277">
        <v>17922274</v>
      </c>
      <c r="E1855" s="278" t="str">
        <f t="shared" si="23"/>
        <v>https://pubmed.ncbi.nlm.nih.gov/17922274</v>
      </c>
      <c r="F1855" s="28" t="s">
        <v>511</v>
      </c>
      <c r="G1855" s="28" t="s">
        <v>4744</v>
      </c>
      <c r="J1855" s="346" t="str">
        <f t="shared" si="19"/>
        <v/>
      </c>
      <c r="K1855" s="28" t="str">
        <f t="shared" si="24"/>
        <v/>
      </c>
      <c r="L1855" s="45" t="str">
        <f t="shared" si="25"/>
        <v/>
      </c>
      <c r="M1855" s="45" t="str">
        <f t="shared" si="26"/>
        <v/>
      </c>
      <c r="N1855" s="45">
        <f t="shared" si="27"/>
        <v>1</v>
      </c>
      <c r="O1855" s="45" t="str">
        <f t="shared" si="28"/>
        <v/>
      </c>
      <c r="P1855" s="45" t="str">
        <f t="shared" si="29"/>
        <v/>
      </c>
    </row>
    <row r="1856" spans="1:16" ht="17.25">
      <c r="A1856" s="276" t="s">
        <v>7150</v>
      </c>
      <c r="B1856" s="277">
        <v>2003</v>
      </c>
      <c r="C1856" s="276"/>
      <c r="D1856" s="277">
        <v>12775315</v>
      </c>
      <c r="E1856" s="278" t="str">
        <f t="shared" si="23"/>
        <v>https://pubmed.ncbi.nlm.nih.gov/12775315</v>
      </c>
      <c r="F1856" s="28" t="s">
        <v>511</v>
      </c>
      <c r="G1856" s="28" t="s">
        <v>4744</v>
      </c>
      <c r="J1856" s="346" t="str">
        <f t="shared" si="19"/>
        <v/>
      </c>
      <c r="K1856" s="28" t="str">
        <f t="shared" si="24"/>
        <v/>
      </c>
      <c r="L1856" s="45" t="str">
        <f t="shared" si="25"/>
        <v/>
      </c>
      <c r="M1856" s="45" t="str">
        <f t="shared" si="26"/>
        <v/>
      </c>
      <c r="N1856" s="45">
        <f t="shared" si="27"/>
        <v>1</v>
      </c>
      <c r="O1856" s="45" t="str">
        <f t="shared" si="28"/>
        <v/>
      </c>
      <c r="P1856" s="45" t="str">
        <f t="shared" si="29"/>
        <v/>
      </c>
    </row>
    <row r="1857" spans="1:16" ht="17.25">
      <c r="A1857" s="276" t="s">
        <v>7151</v>
      </c>
      <c r="B1857" s="277">
        <v>2015</v>
      </c>
      <c r="C1857" s="276"/>
      <c r="D1857" s="277">
        <v>25366634</v>
      </c>
      <c r="E1857" s="278" t="str">
        <f t="shared" si="23"/>
        <v>https://pubmed.ncbi.nlm.nih.gov/25366634</v>
      </c>
      <c r="F1857" s="28" t="s">
        <v>511</v>
      </c>
      <c r="G1857" s="28" t="s">
        <v>4592</v>
      </c>
      <c r="J1857" s="346">
        <f t="shared" si="19"/>
        <v>1</v>
      </c>
      <c r="K1857" s="28" t="str">
        <f t="shared" si="24"/>
        <v/>
      </c>
      <c r="L1857" s="45" t="str">
        <f t="shared" si="25"/>
        <v/>
      </c>
      <c r="M1857" s="45" t="str">
        <f t="shared" si="26"/>
        <v/>
      </c>
      <c r="N1857" s="45" t="str">
        <f t="shared" si="27"/>
        <v/>
      </c>
      <c r="O1857" s="45" t="str">
        <f t="shared" si="28"/>
        <v/>
      </c>
      <c r="P1857" s="45" t="str">
        <f t="shared" si="29"/>
        <v/>
      </c>
    </row>
    <row r="1858" spans="1:16" ht="17.25">
      <c r="A1858" s="276" t="s">
        <v>7152</v>
      </c>
      <c r="B1858" s="277">
        <v>2015</v>
      </c>
      <c r="C1858" s="276" t="s">
        <v>7153</v>
      </c>
      <c r="D1858" s="277">
        <v>25652127</v>
      </c>
      <c r="E1858" s="278" t="str">
        <f t="shared" si="23"/>
        <v>https://pubmed.ncbi.nlm.nih.gov/25652127</v>
      </c>
      <c r="F1858" s="28" t="s">
        <v>511</v>
      </c>
      <c r="G1858" s="28" t="s">
        <v>4744</v>
      </c>
      <c r="J1858" s="346" t="str">
        <f t="shared" si="19"/>
        <v/>
      </c>
      <c r="K1858" s="28" t="str">
        <f t="shared" si="24"/>
        <v/>
      </c>
      <c r="L1858" s="45" t="str">
        <f t="shared" si="25"/>
        <v/>
      </c>
      <c r="M1858" s="45" t="str">
        <f t="shared" si="26"/>
        <v/>
      </c>
      <c r="N1858" s="45">
        <f t="shared" si="27"/>
        <v>1</v>
      </c>
      <c r="O1858" s="45" t="str">
        <f t="shared" si="28"/>
        <v/>
      </c>
      <c r="P1858" s="45" t="str">
        <f t="shared" si="29"/>
        <v/>
      </c>
    </row>
    <row r="1859" spans="1:16" ht="17.25">
      <c r="A1859" s="276" t="s">
        <v>7154</v>
      </c>
      <c r="B1859" s="277">
        <v>2019</v>
      </c>
      <c r="C1859" s="276"/>
      <c r="D1859" s="277">
        <v>30799766</v>
      </c>
      <c r="E1859" s="278" t="str">
        <f t="shared" si="23"/>
        <v>https://pubmed.ncbi.nlm.nih.gov/30799766</v>
      </c>
      <c r="F1859" s="28" t="s">
        <v>511</v>
      </c>
      <c r="G1859" s="28" t="s">
        <v>4592</v>
      </c>
      <c r="J1859" s="346">
        <f t="shared" si="19"/>
        <v>1</v>
      </c>
      <c r="K1859" s="28" t="str">
        <f t="shared" si="24"/>
        <v/>
      </c>
      <c r="L1859" s="45" t="str">
        <f t="shared" si="25"/>
        <v/>
      </c>
      <c r="M1859" s="45" t="str">
        <f t="shared" si="26"/>
        <v/>
      </c>
      <c r="N1859" s="45" t="str">
        <f t="shared" si="27"/>
        <v/>
      </c>
      <c r="O1859" s="45" t="str">
        <f t="shared" si="28"/>
        <v/>
      </c>
      <c r="P1859" s="45" t="str">
        <f t="shared" si="29"/>
        <v/>
      </c>
    </row>
    <row r="1860" spans="1:16" ht="17.25">
      <c r="A1860" s="276" t="s">
        <v>7155</v>
      </c>
      <c r="B1860" s="277">
        <v>2020</v>
      </c>
      <c r="C1860" s="276" t="s">
        <v>7156</v>
      </c>
      <c r="D1860" s="277">
        <v>32511687</v>
      </c>
      <c r="E1860" s="278" t="str">
        <f t="shared" si="23"/>
        <v>https://pubmed.ncbi.nlm.nih.gov/32511687</v>
      </c>
      <c r="F1860" s="28" t="s">
        <v>511</v>
      </c>
      <c r="G1860" s="28" t="s">
        <v>4867</v>
      </c>
      <c r="J1860" s="346" t="str">
        <f t="shared" si="19"/>
        <v/>
      </c>
      <c r="K1860" s="28" t="str">
        <f t="shared" si="24"/>
        <v/>
      </c>
      <c r="L1860" s="45" t="str">
        <f t="shared" si="25"/>
        <v/>
      </c>
      <c r="M1860" s="45" t="str">
        <f t="shared" si="26"/>
        <v/>
      </c>
      <c r="N1860" s="45">
        <f t="shared" si="27"/>
        <v>1</v>
      </c>
      <c r="O1860" s="45" t="str">
        <f t="shared" si="28"/>
        <v/>
      </c>
      <c r="P1860" s="45" t="str">
        <f t="shared" si="29"/>
        <v/>
      </c>
    </row>
    <row r="1861" spans="1:16" ht="17.25">
      <c r="A1861" s="276" t="s">
        <v>7157</v>
      </c>
      <c r="B1861" s="277">
        <v>2018</v>
      </c>
      <c r="C1861" s="276" t="s">
        <v>7158</v>
      </c>
      <c r="D1861" s="277">
        <v>30509294</v>
      </c>
      <c r="E1861" s="278" t="str">
        <f t="shared" si="23"/>
        <v>https://pubmed.ncbi.nlm.nih.gov/30509294</v>
      </c>
      <c r="F1861" s="28" t="s">
        <v>511</v>
      </c>
      <c r="G1861" s="28" t="s">
        <v>4592</v>
      </c>
      <c r="J1861" s="346">
        <f t="shared" si="19"/>
        <v>1</v>
      </c>
      <c r="K1861" s="28" t="str">
        <f t="shared" si="24"/>
        <v/>
      </c>
      <c r="L1861" s="45" t="str">
        <f t="shared" si="25"/>
        <v/>
      </c>
      <c r="M1861" s="45" t="str">
        <f t="shared" si="26"/>
        <v/>
      </c>
      <c r="N1861" s="45" t="str">
        <f t="shared" si="27"/>
        <v/>
      </c>
      <c r="O1861" s="45" t="str">
        <f t="shared" si="28"/>
        <v/>
      </c>
      <c r="P1861" s="45" t="str">
        <f t="shared" si="29"/>
        <v/>
      </c>
    </row>
    <row r="1862" spans="1:16" ht="17.25">
      <c r="A1862" s="276" t="s">
        <v>7159</v>
      </c>
      <c r="B1862" s="277">
        <v>2012</v>
      </c>
      <c r="C1862" s="276"/>
      <c r="D1862" s="277">
        <v>21569111</v>
      </c>
      <c r="E1862" s="278" t="str">
        <f t="shared" si="23"/>
        <v>https://pubmed.ncbi.nlm.nih.gov/21569111</v>
      </c>
      <c r="F1862" s="28" t="s">
        <v>511</v>
      </c>
      <c r="G1862" s="28" t="s">
        <v>4867</v>
      </c>
      <c r="J1862" s="346" t="str">
        <f t="shared" si="19"/>
        <v/>
      </c>
      <c r="K1862" s="28" t="str">
        <f t="shared" si="24"/>
        <v/>
      </c>
      <c r="L1862" s="45" t="str">
        <f t="shared" si="25"/>
        <v/>
      </c>
      <c r="M1862" s="45" t="str">
        <f t="shared" si="26"/>
        <v/>
      </c>
      <c r="N1862" s="45">
        <f t="shared" si="27"/>
        <v>1</v>
      </c>
      <c r="O1862" s="45" t="str">
        <f t="shared" si="28"/>
        <v/>
      </c>
      <c r="P1862" s="45" t="str">
        <f t="shared" si="29"/>
        <v/>
      </c>
    </row>
    <row r="1863" spans="1:16" ht="17.25">
      <c r="A1863" s="276" t="s">
        <v>7160</v>
      </c>
      <c r="B1863" s="277">
        <v>2007</v>
      </c>
      <c r="C1863" s="276"/>
      <c r="D1863" s="277">
        <v>17237928</v>
      </c>
      <c r="E1863" s="278" t="str">
        <f t="shared" si="23"/>
        <v>https://pubmed.ncbi.nlm.nih.gov/17237928</v>
      </c>
      <c r="F1863" s="28" t="s">
        <v>511</v>
      </c>
      <c r="G1863" s="28" t="s">
        <v>6623</v>
      </c>
      <c r="J1863" s="346">
        <f t="shared" si="19"/>
        <v>1</v>
      </c>
      <c r="K1863" s="28" t="str">
        <f t="shared" si="24"/>
        <v/>
      </c>
      <c r="L1863" s="45" t="str">
        <f t="shared" si="25"/>
        <v/>
      </c>
      <c r="M1863" s="45" t="str">
        <f t="shared" si="26"/>
        <v/>
      </c>
      <c r="N1863" s="45" t="str">
        <f t="shared" si="27"/>
        <v/>
      </c>
      <c r="O1863" s="45" t="str">
        <f t="shared" si="28"/>
        <v/>
      </c>
      <c r="P1863" s="45" t="str">
        <f t="shared" si="29"/>
        <v/>
      </c>
    </row>
    <row r="1864" spans="1:16" ht="17.25">
      <c r="A1864" s="276" t="s">
        <v>7161</v>
      </c>
      <c r="B1864" s="277">
        <v>2019</v>
      </c>
      <c r="C1864" s="276"/>
      <c r="D1864" s="277">
        <v>30786171</v>
      </c>
      <c r="E1864" s="278" t="str">
        <f t="shared" si="23"/>
        <v>https://pubmed.ncbi.nlm.nih.gov/30786171</v>
      </c>
      <c r="F1864" s="28" t="s">
        <v>511</v>
      </c>
      <c r="G1864" s="28" t="s">
        <v>4592</v>
      </c>
      <c r="J1864" s="346">
        <f t="shared" si="19"/>
        <v>1</v>
      </c>
      <c r="K1864" s="28" t="str">
        <f t="shared" si="24"/>
        <v/>
      </c>
      <c r="L1864" s="45" t="str">
        <f t="shared" si="25"/>
        <v/>
      </c>
      <c r="M1864" s="45" t="str">
        <f t="shared" si="26"/>
        <v/>
      </c>
      <c r="N1864" s="45" t="str">
        <f t="shared" si="27"/>
        <v/>
      </c>
      <c r="O1864" s="45" t="str">
        <f t="shared" si="28"/>
        <v/>
      </c>
      <c r="P1864" s="45" t="str">
        <f t="shared" si="29"/>
        <v/>
      </c>
    </row>
    <row r="1865" spans="1:16" ht="17.25">
      <c r="A1865" s="276" t="s">
        <v>7162</v>
      </c>
      <c r="B1865" s="277">
        <v>2008</v>
      </c>
      <c r="C1865" s="276"/>
      <c r="D1865" s="277">
        <v>18494750</v>
      </c>
      <c r="E1865" s="278" t="str">
        <f t="shared" si="23"/>
        <v>https://pubmed.ncbi.nlm.nih.gov/18494750</v>
      </c>
      <c r="F1865" s="28" t="s">
        <v>511</v>
      </c>
      <c r="G1865" s="28" t="s">
        <v>4744</v>
      </c>
      <c r="J1865" s="346" t="str">
        <f t="shared" si="19"/>
        <v/>
      </c>
      <c r="K1865" s="28" t="str">
        <f t="shared" si="24"/>
        <v/>
      </c>
      <c r="L1865" s="45" t="str">
        <f t="shared" si="25"/>
        <v/>
      </c>
      <c r="M1865" s="45" t="str">
        <f t="shared" si="26"/>
        <v/>
      </c>
      <c r="N1865" s="45">
        <f t="shared" si="27"/>
        <v>1</v>
      </c>
      <c r="O1865" s="45" t="str">
        <f t="shared" si="28"/>
        <v/>
      </c>
      <c r="P1865" s="45" t="str">
        <f t="shared" si="29"/>
        <v/>
      </c>
    </row>
    <row r="1866" spans="1:16" ht="17.25">
      <c r="A1866" s="276" t="s">
        <v>7163</v>
      </c>
      <c r="B1866" s="277">
        <v>2020</v>
      </c>
      <c r="C1866" s="276"/>
      <c r="D1866" s="277">
        <v>31811360</v>
      </c>
      <c r="E1866" s="278" t="str">
        <f t="shared" si="23"/>
        <v>https://pubmed.ncbi.nlm.nih.gov/31811360</v>
      </c>
      <c r="F1866" s="28" t="s">
        <v>511</v>
      </c>
      <c r="G1866" s="28" t="s">
        <v>5299</v>
      </c>
      <c r="J1866" s="346" t="str">
        <f t="shared" si="19"/>
        <v/>
      </c>
      <c r="K1866" s="28" t="str">
        <f t="shared" si="24"/>
        <v/>
      </c>
      <c r="L1866" s="45" t="str">
        <f t="shared" si="25"/>
        <v/>
      </c>
      <c r="M1866" s="45" t="str">
        <f t="shared" si="26"/>
        <v/>
      </c>
      <c r="N1866" s="45">
        <f t="shared" si="27"/>
        <v>1</v>
      </c>
      <c r="O1866" s="45" t="str">
        <f t="shared" si="28"/>
        <v/>
      </c>
      <c r="P1866" s="45" t="str">
        <f t="shared" si="29"/>
        <v/>
      </c>
    </row>
    <row r="1867" spans="1:16" ht="17.25">
      <c r="A1867" s="276" t="s">
        <v>7164</v>
      </c>
      <c r="B1867" s="277">
        <v>2014</v>
      </c>
      <c r="C1867" s="276"/>
      <c r="D1867" s="277">
        <v>24934254</v>
      </c>
      <c r="E1867" s="278" t="str">
        <f t="shared" si="23"/>
        <v>https://pubmed.ncbi.nlm.nih.gov/24934254</v>
      </c>
      <c r="F1867" s="28" t="s">
        <v>511</v>
      </c>
      <c r="G1867" s="28" t="s">
        <v>4592</v>
      </c>
      <c r="J1867" s="346">
        <f t="shared" si="19"/>
        <v>1</v>
      </c>
      <c r="K1867" s="28" t="str">
        <f t="shared" si="24"/>
        <v/>
      </c>
      <c r="L1867" s="45" t="str">
        <f t="shared" si="25"/>
        <v/>
      </c>
      <c r="M1867" s="45" t="str">
        <f t="shared" si="26"/>
        <v/>
      </c>
      <c r="N1867" s="45" t="str">
        <f t="shared" si="27"/>
        <v/>
      </c>
      <c r="O1867" s="45" t="str">
        <f t="shared" si="28"/>
        <v/>
      </c>
      <c r="P1867" s="45" t="str">
        <f t="shared" si="29"/>
        <v/>
      </c>
    </row>
    <row r="1868" spans="1:16" ht="17.25">
      <c r="A1868" s="276" t="s">
        <v>7165</v>
      </c>
      <c r="B1868" s="277">
        <v>2004</v>
      </c>
      <c r="C1868" s="276"/>
      <c r="D1868" s="277">
        <v>15649831</v>
      </c>
      <c r="E1868" s="278" t="str">
        <f t="shared" si="23"/>
        <v>https://pubmed.ncbi.nlm.nih.gov/15649831</v>
      </c>
      <c r="F1868" s="28" t="s">
        <v>511</v>
      </c>
      <c r="G1868" s="28" t="s">
        <v>4744</v>
      </c>
      <c r="J1868" s="346" t="str">
        <f t="shared" si="19"/>
        <v/>
      </c>
      <c r="K1868" s="28" t="str">
        <f t="shared" si="24"/>
        <v/>
      </c>
      <c r="L1868" s="45" t="str">
        <f t="shared" si="25"/>
        <v/>
      </c>
      <c r="M1868" s="45" t="str">
        <f t="shared" si="26"/>
        <v/>
      </c>
      <c r="N1868" s="45">
        <f t="shared" si="27"/>
        <v>1</v>
      </c>
      <c r="O1868" s="45" t="str">
        <f t="shared" si="28"/>
        <v/>
      </c>
      <c r="P1868" s="45" t="str">
        <f t="shared" si="29"/>
        <v/>
      </c>
    </row>
    <row r="1869" spans="1:16" ht="17.25">
      <c r="A1869" s="276" t="s">
        <v>7166</v>
      </c>
      <c r="B1869" s="277">
        <v>2008</v>
      </c>
      <c r="C1869" s="276"/>
      <c r="D1869" s="277">
        <v>17919763</v>
      </c>
      <c r="E1869" s="278" t="str">
        <f t="shared" si="23"/>
        <v>https://pubmed.ncbi.nlm.nih.gov/17919763</v>
      </c>
      <c r="F1869" s="28" t="s">
        <v>511</v>
      </c>
      <c r="G1869" s="28" t="s">
        <v>4744</v>
      </c>
      <c r="J1869" s="346" t="str">
        <f t="shared" si="19"/>
        <v/>
      </c>
      <c r="K1869" s="28" t="str">
        <f t="shared" si="24"/>
        <v/>
      </c>
      <c r="L1869" s="45" t="str">
        <f t="shared" si="25"/>
        <v/>
      </c>
      <c r="M1869" s="45" t="str">
        <f t="shared" si="26"/>
        <v/>
      </c>
      <c r="N1869" s="45">
        <f t="shared" si="27"/>
        <v>1</v>
      </c>
      <c r="O1869" s="45" t="str">
        <f t="shared" si="28"/>
        <v/>
      </c>
      <c r="P1869" s="45" t="str">
        <f t="shared" si="29"/>
        <v/>
      </c>
    </row>
    <row r="1870" spans="1:16" ht="17.25">
      <c r="A1870" s="276" t="s">
        <v>7167</v>
      </c>
      <c r="B1870" s="277">
        <v>2015</v>
      </c>
      <c r="C1870" s="276"/>
      <c r="D1870" s="277">
        <v>25749502</v>
      </c>
      <c r="E1870" s="278" t="str">
        <f t="shared" si="23"/>
        <v>https://pubmed.ncbi.nlm.nih.gov/25749502</v>
      </c>
      <c r="F1870" s="28" t="s">
        <v>511</v>
      </c>
      <c r="G1870" s="28" t="s">
        <v>5157</v>
      </c>
      <c r="J1870" s="346" t="str">
        <f t="shared" si="19"/>
        <v/>
      </c>
      <c r="K1870" s="28" t="str">
        <f t="shared" si="24"/>
        <v/>
      </c>
      <c r="L1870" s="45" t="str">
        <f t="shared" si="25"/>
        <v/>
      </c>
      <c r="M1870" s="45" t="str">
        <f t="shared" si="26"/>
        <v/>
      </c>
      <c r="N1870" s="45">
        <f t="shared" si="27"/>
        <v>1</v>
      </c>
      <c r="O1870" s="45" t="str">
        <f t="shared" si="28"/>
        <v/>
      </c>
      <c r="P1870" s="45" t="str">
        <f t="shared" si="29"/>
        <v/>
      </c>
    </row>
    <row r="1871" spans="1:16" ht="17.25">
      <c r="A1871" s="276" t="s">
        <v>5361</v>
      </c>
      <c r="B1871" s="277">
        <v>2014</v>
      </c>
      <c r="C1871" s="276" t="s">
        <v>7168</v>
      </c>
      <c r="D1871" s="277">
        <v>25033291</v>
      </c>
      <c r="E1871" s="278" t="str">
        <f t="shared" si="23"/>
        <v>https://pubmed.ncbi.nlm.nih.gov/25033291</v>
      </c>
      <c r="F1871" s="28" t="s">
        <v>511</v>
      </c>
      <c r="G1871" s="28" t="s">
        <v>4867</v>
      </c>
      <c r="J1871" s="346" t="str">
        <f t="shared" si="19"/>
        <v/>
      </c>
      <c r="K1871" s="28" t="str">
        <f t="shared" si="24"/>
        <v/>
      </c>
      <c r="L1871" s="45" t="str">
        <f t="shared" si="25"/>
        <v/>
      </c>
      <c r="M1871" s="45" t="str">
        <f t="shared" si="26"/>
        <v/>
      </c>
      <c r="N1871" s="45">
        <f t="shared" si="27"/>
        <v>1</v>
      </c>
      <c r="O1871" s="45" t="str">
        <f t="shared" si="28"/>
        <v/>
      </c>
      <c r="P1871" s="45" t="str">
        <f t="shared" si="29"/>
        <v/>
      </c>
    </row>
    <row r="1872" spans="1:16" ht="17.25">
      <c r="A1872" s="276" t="s">
        <v>7169</v>
      </c>
      <c r="B1872" s="277">
        <v>1997</v>
      </c>
      <c r="C1872" s="276"/>
      <c r="D1872" s="277">
        <v>9296243</v>
      </c>
      <c r="E1872" s="278" t="str">
        <f t="shared" si="23"/>
        <v>https://pubmed.ncbi.nlm.nih.gov/9296243</v>
      </c>
      <c r="F1872" s="28" t="s">
        <v>511</v>
      </c>
      <c r="G1872" s="28" t="s">
        <v>4592</v>
      </c>
      <c r="J1872" s="346">
        <f t="shared" si="19"/>
        <v>1</v>
      </c>
      <c r="K1872" s="28" t="str">
        <f t="shared" si="24"/>
        <v/>
      </c>
      <c r="L1872" s="45" t="str">
        <f t="shared" si="25"/>
        <v/>
      </c>
      <c r="M1872" s="45" t="str">
        <f t="shared" si="26"/>
        <v/>
      </c>
      <c r="N1872" s="45" t="str">
        <f t="shared" si="27"/>
        <v/>
      </c>
      <c r="O1872" s="45" t="str">
        <f t="shared" si="28"/>
        <v/>
      </c>
      <c r="P1872" s="45" t="str">
        <f t="shared" si="29"/>
        <v/>
      </c>
    </row>
    <row r="1873" spans="1:16" ht="17.25">
      <c r="A1873" s="276" t="s">
        <v>7170</v>
      </c>
      <c r="B1873" s="277">
        <v>2013</v>
      </c>
      <c r="C1873" s="276"/>
      <c r="D1873" s="277">
        <v>23163616</v>
      </c>
      <c r="E1873" s="278" t="str">
        <f t="shared" si="23"/>
        <v>https://pubmed.ncbi.nlm.nih.gov/23163616</v>
      </c>
      <c r="F1873" s="28" t="s">
        <v>308</v>
      </c>
      <c r="G1873" s="28" t="s">
        <v>5299</v>
      </c>
      <c r="I1873" s="28" t="s">
        <v>7171</v>
      </c>
      <c r="J1873" s="346" t="str">
        <f t="shared" si="19"/>
        <v/>
      </c>
      <c r="K1873" s="28" t="str">
        <f t="shared" si="24"/>
        <v/>
      </c>
      <c r="L1873" s="45" t="str">
        <f t="shared" si="25"/>
        <v/>
      </c>
      <c r="M1873" s="45" t="str">
        <f t="shared" si="26"/>
        <v/>
      </c>
      <c r="N1873" s="45">
        <f t="shared" si="27"/>
        <v>1</v>
      </c>
      <c r="O1873" s="45" t="str">
        <f t="shared" si="28"/>
        <v/>
      </c>
      <c r="P1873" s="45" t="str">
        <f t="shared" si="29"/>
        <v/>
      </c>
    </row>
    <row r="1874" spans="1:16" ht="17.25">
      <c r="A1874" s="276" t="s">
        <v>7172</v>
      </c>
      <c r="B1874" s="277">
        <v>2014</v>
      </c>
      <c r="C1874" s="276" t="s">
        <v>7173</v>
      </c>
      <c r="D1874" s="277">
        <v>25359150</v>
      </c>
      <c r="E1874" s="278" t="str">
        <f t="shared" si="23"/>
        <v>https://pubmed.ncbi.nlm.nih.gov/25359150</v>
      </c>
      <c r="F1874" s="28" t="s">
        <v>511</v>
      </c>
      <c r="G1874" s="28" t="s">
        <v>4744</v>
      </c>
      <c r="J1874" s="346" t="str">
        <f t="shared" si="19"/>
        <v/>
      </c>
      <c r="K1874" s="28" t="str">
        <f t="shared" si="24"/>
        <v/>
      </c>
      <c r="L1874" s="45" t="str">
        <f t="shared" si="25"/>
        <v/>
      </c>
      <c r="M1874" s="45" t="str">
        <f t="shared" si="26"/>
        <v/>
      </c>
      <c r="N1874" s="45">
        <f t="shared" si="27"/>
        <v>1</v>
      </c>
      <c r="O1874" s="45" t="str">
        <f t="shared" si="28"/>
        <v/>
      </c>
      <c r="P1874" s="45" t="str">
        <f t="shared" si="29"/>
        <v/>
      </c>
    </row>
    <row r="1875" spans="1:16" ht="17.25">
      <c r="A1875" s="276" t="s">
        <v>7174</v>
      </c>
      <c r="B1875" s="277">
        <v>2015</v>
      </c>
      <c r="C1875" s="276" t="s">
        <v>7175</v>
      </c>
      <c r="D1875" s="277">
        <v>25914907</v>
      </c>
      <c r="E1875" s="278" t="str">
        <f t="shared" si="23"/>
        <v>https://pubmed.ncbi.nlm.nih.gov/25914907</v>
      </c>
      <c r="F1875" s="28" t="s">
        <v>511</v>
      </c>
      <c r="G1875" s="28" t="s">
        <v>4592</v>
      </c>
      <c r="J1875" s="346">
        <f t="shared" si="19"/>
        <v>1</v>
      </c>
      <c r="K1875" s="28" t="str">
        <f t="shared" si="24"/>
        <v/>
      </c>
      <c r="L1875" s="45" t="str">
        <f t="shared" si="25"/>
        <v/>
      </c>
      <c r="M1875" s="45" t="str">
        <f t="shared" si="26"/>
        <v/>
      </c>
      <c r="N1875" s="45" t="str">
        <f t="shared" si="27"/>
        <v/>
      </c>
      <c r="O1875" s="45" t="str">
        <f t="shared" si="28"/>
        <v/>
      </c>
      <c r="P1875" s="45" t="str">
        <f t="shared" si="29"/>
        <v/>
      </c>
    </row>
    <row r="1876" spans="1:16" ht="17.25">
      <c r="A1876" s="276" t="s">
        <v>7176</v>
      </c>
      <c r="B1876" s="277">
        <v>2015</v>
      </c>
      <c r="C1876" s="276" t="s">
        <v>7177</v>
      </c>
      <c r="D1876" s="277">
        <v>25692326</v>
      </c>
      <c r="E1876" s="278" t="str">
        <f t="shared" si="23"/>
        <v>https://pubmed.ncbi.nlm.nih.gov/25692326</v>
      </c>
      <c r="F1876" s="28" t="s">
        <v>511</v>
      </c>
      <c r="G1876" s="28" t="s">
        <v>4592</v>
      </c>
      <c r="J1876" s="346">
        <f t="shared" si="19"/>
        <v>1</v>
      </c>
      <c r="K1876" s="28" t="str">
        <f t="shared" si="24"/>
        <v/>
      </c>
      <c r="L1876" s="45" t="str">
        <f t="shared" si="25"/>
        <v/>
      </c>
      <c r="M1876" s="45" t="str">
        <f t="shared" si="26"/>
        <v/>
      </c>
      <c r="N1876" s="45" t="str">
        <f t="shared" si="27"/>
        <v/>
      </c>
      <c r="O1876" s="45" t="str">
        <f t="shared" si="28"/>
        <v/>
      </c>
      <c r="P1876" s="45" t="str">
        <f t="shared" si="29"/>
        <v/>
      </c>
    </row>
    <row r="1877" spans="1:16" ht="17.25">
      <c r="A1877" s="276" t="s">
        <v>7178</v>
      </c>
      <c r="B1877" s="277">
        <v>2018</v>
      </c>
      <c r="C1877" s="276"/>
      <c r="D1877" s="277">
        <v>29936327</v>
      </c>
      <c r="E1877" s="278" t="str">
        <f t="shared" si="23"/>
        <v>https://pubmed.ncbi.nlm.nih.gov/29936327</v>
      </c>
      <c r="F1877" s="28" t="s">
        <v>511</v>
      </c>
      <c r="G1877" s="28" t="s">
        <v>4592</v>
      </c>
      <c r="J1877" s="346">
        <f t="shared" si="19"/>
        <v>1</v>
      </c>
      <c r="K1877" s="28" t="str">
        <f t="shared" si="24"/>
        <v/>
      </c>
      <c r="L1877" s="45" t="str">
        <f t="shared" si="25"/>
        <v/>
      </c>
      <c r="M1877" s="45" t="str">
        <f t="shared" si="26"/>
        <v/>
      </c>
      <c r="N1877" s="45" t="str">
        <f t="shared" si="27"/>
        <v/>
      </c>
      <c r="O1877" s="45" t="str">
        <f t="shared" si="28"/>
        <v/>
      </c>
      <c r="P1877" s="45" t="str">
        <f t="shared" si="29"/>
        <v/>
      </c>
    </row>
    <row r="1878" spans="1:16" ht="17.25">
      <c r="A1878" s="276" t="s">
        <v>7179</v>
      </c>
      <c r="B1878" s="277">
        <v>2015</v>
      </c>
      <c r="C1878" s="276"/>
      <c r="D1878" s="277">
        <v>25942580</v>
      </c>
      <c r="E1878" s="278" t="str">
        <f t="shared" si="23"/>
        <v>https://pubmed.ncbi.nlm.nih.gov/25942580</v>
      </c>
      <c r="F1878" s="28" t="s">
        <v>511</v>
      </c>
      <c r="G1878" s="28" t="s">
        <v>4592</v>
      </c>
      <c r="J1878" s="346">
        <f t="shared" si="19"/>
        <v>1</v>
      </c>
      <c r="K1878" s="28" t="str">
        <f t="shared" si="24"/>
        <v/>
      </c>
      <c r="L1878" s="45" t="str">
        <f t="shared" si="25"/>
        <v/>
      </c>
      <c r="M1878" s="45" t="str">
        <f t="shared" si="26"/>
        <v/>
      </c>
      <c r="N1878" s="45" t="str">
        <f t="shared" si="27"/>
        <v/>
      </c>
      <c r="O1878" s="45" t="str">
        <f t="shared" si="28"/>
        <v/>
      </c>
      <c r="P1878" s="45" t="str">
        <f t="shared" si="29"/>
        <v/>
      </c>
    </row>
    <row r="1879" spans="1:16" ht="17.25">
      <c r="A1879" s="276" t="s">
        <v>7180</v>
      </c>
      <c r="B1879" s="277">
        <v>2014</v>
      </c>
      <c r="C1879" s="276"/>
      <c r="D1879" s="277">
        <v>25061777</v>
      </c>
      <c r="E1879" s="278" t="str">
        <f t="shared" si="23"/>
        <v>https://pubmed.ncbi.nlm.nih.gov/25061777</v>
      </c>
      <c r="F1879" s="28" t="s">
        <v>511</v>
      </c>
      <c r="G1879" s="28" t="s">
        <v>4592</v>
      </c>
      <c r="J1879" s="346">
        <f t="shared" si="19"/>
        <v>1</v>
      </c>
      <c r="K1879" s="28" t="str">
        <f t="shared" si="24"/>
        <v/>
      </c>
      <c r="L1879" s="45" t="str">
        <f t="shared" si="25"/>
        <v/>
      </c>
      <c r="M1879" s="45" t="str">
        <f t="shared" si="26"/>
        <v/>
      </c>
      <c r="N1879" s="45" t="str">
        <f t="shared" si="27"/>
        <v/>
      </c>
      <c r="O1879" s="45" t="str">
        <f t="shared" si="28"/>
        <v/>
      </c>
      <c r="P1879" s="45" t="str">
        <f t="shared" si="29"/>
        <v/>
      </c>
    </row>
    <row r="1880" spans="1:16" ht="17.25">
      <c r="A1880" s="276" t="s">
        <v>7181</v>
      </c>
      <c r="B1880" s="277">
        <v>2007</v>
      </c>
      <c r="C1880" s="276"/>
      <c r="D1880" s="277">
        <v>17391217</v>
      </c>
      <c r="E1880" s="278" t="str">
        <f t="shared" si="23"/>
        <v>https://pubmed.ncbi.nlm.nih.gov/17391217</v>
      </c>
      <c r="F1880" s="28" t="s">
        <v>511</v>
      </c>
      <c r="G1880" s="28" t="s">
        <v>4744</v>
      </c>
      <c r="J1880" s="346" t="str">
        <f t="shared" si="19"/>
        <v/>
      </c>
      <c r="K1880" s="28" t="str">
        <f t="shared" si="24"/>
        <v/>
      </c>
      <c r="L1880" s="45" t="str">
        <f t="shared" si="25"/>
        <v/>
      </c>
      <c r="M1880" s="45" t="str">
        <f t="shared" si="26"/>
        <v/>
      </c>
      <c r="N1880" s="45">
        <f t="shared" si="27"/>
        <v>1</v>
      </c>
      <c r="O1880" s="45" t="str">
        <f t="shared" si="28"/>
        <v/>
      </c>
      <c r="P1880" s="45" t="str">
        <f t="shared" si="29"/>
        <v/>
      </c>
    </row>
    <row r="1881" spans="1:16" ht="17.25">
      <c r="A1881" s="276" t="s">
        <v>7182</v>
      </c>
      <c r="B1881" s="277">
        <v>2015</v>
      </c>
      <c r="C1881" s="276"/>
      <c r="D1881" s="277">
        <v>25732089</v>
      </c>
      <c r="E1881" s="278" t="str">
        <f t="shared" si="23"/>
        <v>https://pubmed.ncbi.nlm.nih.gov/25732089</v>
      </c>
      <c r="F1881" s="28" t="s">
        <v>511</v>
      </c>
      <c r="G1881" s="28" t="s">
        <v>7183</v>
      </c>
      <c r="J1881" s="346" t="str">
        <f t="shared" si="19"/>
        <v/>
      </c>
      <c r="K1881" s="28" t="str">
        <f t="shared" si="24"/>
        <v/>
      </c>
      <c r="L1881" s="45">
        <f t="shared" si="25"/>
        <v>1</v>
      </c>
      <c r="M1881" s="45" t="str">
        <f t="shared" si="26"/>
        <v/>
      </c>
      <c r="N1881" s="45" t="str">
        <f t="shared" si="27"/>
        <v/>
      </c>
      <c r="O1881" s="45" t="str">
        <f t="shared" si="28"/>
        <v/>
      </c>
      <c r="P1881" s="45" t="str">
        <f t="shared" si="29"/>
        <v/>
      </c>
    </row>
    <row r="1882" spans="1:16" ht="17.25">
      <c r="A1882" s="276" t="s">
        <v>7184</v>
      </c>
      <c r="B1882" s="277">
        <v>2018</v>
      </c>
      <c r="C1882" s="276" t="s">
        <v>7185</v>
      </c>
      <c r="D1882" s="277">
        <v>30547802</v>
      </c>
      <c r="E1882" s="278" t="str">
        <f t="shared" si="23"/>
        <v>https://pubmed.ncbi.nlm.nih.gov/30547802</v>
      </c>
      <c r="F1882" s="28" t="s">
        <v>511</v>
      </c>
      <c r="G1882" s="28" t="s">
        <v>6975</v>
      </c>
      <c r="J1882" s="346">
        <f t="shared" si="19"/>
        <v>1</v>
      </c>
      <c r="K1882" s="28" t="str">
        <f t="shared" si="24"/>
        <v/>
      </c>
      <c r="L1882" s="45" t="str">
        <f t="shared" si="25"/>
        <v/>
      </c>
      <c r="M1882" s="45" t="str">
        <f t="shared" si="26"/>
        <v/>
      </c>
      <c r="N1882" s="45" t="str">
        <f t="shared" si="27"/>
        <v/>
      </c>
      <c r="O1882" s="45" t="str">
        <f t="shared" si="28"/>
        <v/>
      </c>
      <c r="P1882" s="45" t="str">
        <f t="shared" si="29"/>
        <v/>
      </c>
    </row>
    <row r="1883" spans="1:16" ht="17.25">
      <c r="A1883" s="276" t="s">
        <v>7186</v>
      </c>
      <c r="B1883" s="277">
        <v>2013</v>
      </c>
      <c r="C1883" s="276"/>
      <c r="D1883" s="277">
        <v>23607714</v>
      </c>
      <c r="E1883" s="278" t="str">
        <f t="shared" si="23"/>
        <v>https://pubmed.ncbi.nlm.nih.gov/23607714</v>
      </c>
      <c r="F1883" s="28" t="s">
        <v>511</v>
      </c>
      <c r="G1883" s="28" t="s">
        <v>5157</v>
      </c>
      <c r="J1883" s="346" t="str">
        <f t="shared" si="19"/>
        <v/>
      </c>
      <c r="K1883" s="28" t="str">
        <f t="shared" si="24"/>
        <v/>
      </c>
      <c r="L1883" s="45" t="str">
        <f t="shared" si="25"/>
        <v/>
      </c>
      <c r="M1883" s="45" t="str">
        <f t="shared" si="26"/>
        <v/>
      </c>
      <c r="N1883" s="45">
        <f t="shared" si="27"/>
        <v>1</v>
      </c>
      <c r="O1883" s="45" t="str">
        <f t="shared" si="28"/>
        <v/>
      </c>
      <c r="P1883" s="45" t="str">
        <f t="shared" si="29"/>
        <v/>
      </c>
    </row>
    <row r="1884" spans="1:16" ht="17.25">
      <c r="A1884" s="276" t="s">
        <v>7187</v>
      </c>
      <c r="B1884" s="277">
        <v>2008</v>
      </c>
      <c r="C1884" s="276"/>
      <c r="D1884" s="277">
        <v>19034219</v>
      </c>
      <c r="E1884" s="278" t="str">
        <f t="shared" si="23"/>
        <v>https://pubmed.ncbi.nlm.nih.gov/19034219</v>
      </c>
      <c r="F1884" s="28" t="s">
        <v>511</v>
      </c>
      <c r="G1884" s="28" t="s">
        <v>5299</v>
      </c>
      <c r="J1884" s="346" t="str">
        <f t="shared" si="19"/>
        <v/>
      </c>
      <c r="K1884" s="28" t="str">
        <f t="shared" si="24"/>
        <v/>
      </c>
      <c r="L1884" s="45" t="str">
        <f t="shared" si="25"/>
        <v/>
      </c>
      <c r="M1884" s="45" t="str">
        <f t="shared" si="26"/>
        <v/>
      </c>
      <c r="N1884" s="45">
        <f t="shared" si="27"/>
        <v>1</v>
      </c>
      <c r="O1884" s="45" t="str">
        <f t="shared" si="28"/>
        <v/>
      </c>
      <c r="P1884" s="45" t="str">
        <f t="shared" si="29"/>
        <v/>
      </c>
    </row>
    <row r="1885" spans="1:16" ht="17.25">
      <c r="A1885" s="276" t="s">
        <v>7188</v>
      </c>
      <c r="B1885" s="277">
        <v>2015</v>
      </c>
      <c r="C1885" s="276"/>
      <c r="D1885" s="277">
        <v>26041587</v>
      </c>
      <c r="E1885" s="278" t="str">
        <f t="shared" si="23"/>
        <v>https://pubmed.ncbi.nlm.nih.gov/26041587</v>
      </c>
      <c r="F1885" s="28" t="s">
        <v>511</v>
      </c>
      <c r="G1885" s="28" t="s">
        <v>5157</v>
      </c>
      <c r="J1885" s="346" t="str">
        <f t="shared" si="19"/>
        <v/>
      </c>
      <c r="K1885" s="28" t="str">
        <f t="shared" si="24"/>
        <v/>
      </c>
      <c r="L1885" s="45" t="str">
        <f t="shared" si="25"/>
        <v/>
      </c>
      <c r="M1885" s="45" t="str">
        <f t="shared" si="26"/>
        <v/>
      </c>
      <c r="N1885" s="45">
        <f t="shared" si="27"/>
        <v>1</v>
      </c>
      <c r="O1885" s="45" t="str">
        <f t="shared" si="28"/>
        <v/>
      </c>
      <c r="P1885" s="45" t="str">
        <f t="shared" si="29"/>
        <v/>
      </c>
    </row>
    <row r="1886" spans="1:16" ht="17.25">
      <c r="A1886" s="276" t="s">
        <v>7189</v>
      </c>
      <c r="B1886" s="277">
        <v>1997</v>
      </c>
      <c r="C1886" s="276"/>
      <c r="D1886" s="277">
        <v>9198182</v>
      </c>
      <c r="E1886" s="278" t="str">
        <f t="shared" si="23"/>
        <v>https://pubmed.ncbi.nlm.nih.gov/9198182</v>
      </c>
      <c r="F1886" s="28" t="s">
        <v>511</v>
      </c>
      <c r="G1886" s="28" t="s">
        <v>4592</v>
      </c>
      <c r="J1886" s="346">
        <f t="shared" si="19"/>
        <v>1</v>
      </c>
      <c r="K1886" s="28" t="str">
        <f t="shared" si="24"/>
        <v/>
      </c>
      <c r="L1886" s="45" t="str">
        <f t="shared" si="25"/>
        <v/>
      </c>
      <c r="M1886" s="45" t="str">
        <f t="shared" si="26"/>
        <v/>
      </c>
      <c r="N1886" s="45" t="str">
        <f t="shared" si="27"/>
        <v/>
      </c>
      <c r="O1886" s="45" t="str">
        <f t="shared" si="28"/>
        <v/>
      </c>
      <c r="P1886" s="45" t="str">
        <f t="shared" si="29"/>
        <v/>
      </c>
    </row>
    <row r="1887" spans="1:16" ht="17.25">
      <c r="A1887" s="276" t="s">
        <v>7190</v>
      </c>
      <c r="B1887" s="277">
        <v>2012</v>
      </c>
      <c r="C1887" s="276" t="s">
        <v>7191</v>
      </c>
      <c r="D1887" s="277">
        <v>22161082</v>
      </c>
      <c r="E1887" s="278" t="str">
        <f t="shared" si="23"/>
        <v>https://pubmed.ncbi.nlm.nih.gov/22161082</v>
      </c>
      <c r="F1887" s="28" t="s">
        <v>511</v>
      </c>
      <c r="G1887" s="28" t="s">
        <v>4744</v>
      </c>
      <c r="J1887" s="346" t="str">
        <f t="shared" si="19"/>
        <v/>
      </c>
      <c r="K1887" s="28" t="str">
        <f t="shared" si="24"/>
        <v/>
      </c>
      <c r="L1887" s="45" t="str">
        <f t="shared" si="25"/>
        <v/>
      </c>
      <c r="M1887" s="45" t="str">
        <f t="shared" si="26"/>
        <v/>
      </c>
      <c r="N1887" s="45">
        <f t="shared" si="27"/>
        <v>1</v>
      </c>
      <c r="O1887" s="45" t="str">
        <f t="shared" si="28"/>
        <v/>
      </c>
      <c r="P1887" s="45" t="str">
        <f t="shared" si="29"/>
        <v/>
      </c>
    </row>
    <row r="1888" spans="1:16" ht="17.25">
      <c r="A1888" s="276" t="s">
        <v>7192</v>
      </c>
      <c r="B1888" s="277">
        <v>2016</v>
      </c>
      <c r="C1888" s="276" t="s">
        <v>7193</v>
      </c>
      <c r="D1888" s="277">
        <v>26888178</v>
      </c>
      <c r="E1888" s="278" t="str">
        <f t="shared" si="23"/>
        <v>https://pubmed.ncbi.nlm.nih.gov/26888178</v>
      </c>
      <c r="F1888" s="28" t="s">
        <v>511</v>
      </c>
      <c r="G1888" s="28" t="s">
        <v>7194</v>
      </c>
      <c r="J1888" s="346" t="str">
        <f t="shared" si="19"/>
        <v/>
      </c>
      <c r="K1888" s="28" t="str">
        <f t="shared" si="24"/>
        <v/>
      </c>
      <c r="L1888" s="45" t="str">
        <f t="shared" si="25"/>
        <v/>
      </c>
      <c r="M1888" s="45" t="str">
        <f t="shared" si="26"/>
        <v/>
      </c>
      <c r="N1888" s="45">
        <f t="shared" si="27"/>
        <v>1</v>
      </c>
      <c r="O1888" s="45" t="str">
        <f t="shared" si="28"/>
        <v/>
      </c>
      <c r="P1888" s="45" t="str">
        <f t="shared" si="29"/>
        <v/>
      </c>
    </row>
    <row r="1889" spans="1:16" ht="17.25">
      <c r="A1889" s="276" t="s">
        <v>7195</v>
      </c>
      <c r="B1889" s="277">
        <v>2020</v>
      </c>
      <c r="C1889" s="276"/>
      <c r="D1889" s="277">
        <v>32063522</v>
      </c>
      <c r="E1889" s="278" t="str">
        <f t="shared" si="23"/>
        <v>https://pubmed.ncbi.nlm.nih.gov/32063522</v>
      </c>
      <c r="F1889" s="28" t="s">
        <v>511</v>
      </c>
      <c r="G1889" s="28" t="s">
        <v>6220</v>
      </c>
      <c r="J1889" s="346">
        <f t="shared" si="19"/>
        <v>1</v>
      </c>
      <c r="K1889" s="28" t="str">
        <f t="shared" si="24"/>
        <v/>
      </c>
      <c r="L1889" s="45" t="str">
        <f t="shared" si="25"/>
        <v/>
      </c>
      <c r="M1889" s="45" t="str">
        <f t="shared" si="26"/>
        <v/>
      </c>
      <c r="N1889" s="45" t="str">
        <f t="shared" si="27"/>
        <v/>
      </c>
      <c r="O1889" s="45" t="str">
        <f t="shared" si="28"/>
        <v/>
      </c>
      <c r="P1889" s="45" t="str">
        <f t="shared" si="29"/>
        <v/>
      </c>
    </row>
    <row r="1890" spans="1:16" ht="17.25">
      <c r="A1890" s="276" t="s">
        <v>7196</v>
      </c>
      <c r="B1890" s="277">
        <v>2018</v>
      </c>
      <c r="C1890" s="276" t="s">
        <v>7197</v>
      </c>
      <c r="D1890" s="277">
        <v>28913600</v>
      </c>
      <c r="E1890" s="278" t="str">
        <f t="shared" si="23"/>
        <v>https://pubmed.ncbi.nlm.nih.gov/28913600</v>
      </c>
      <c r="F1890" s="28" t="s">
        <v>511</v>
      </c>
      <c r="G1890" s="28" t="s">
        <v>5157</v>
      </c>
      <c r="J1890" s="346" t="str">
        <f t="shared" si="19"/>
        <v/>
      </c>
      <c r="K1890" s="28" t="str">
        <f t="shared" si="24"/>
        <v/>
      </c>
      <c r="L1890" s="45" t="str">
        <f t="shared" si="25"/>
        <v/>
      </c>
      <c r="M1890" s="45" t="str">
        <f t="shared" si="26"/>
        <v/>
      </c>
      <c r="N1890" s="45">
        <f t="shared" si="27"/>
        <v>1</v>
      </c>
      <c r="O1890" s="45" t="str">
        <f t="shared" si="28"/>
        <v/>
      </c>
      <c r="P1890" s="45" t="str">
        <f t="shared" si="29"/>
        <v/>
      </c>
    </row>
    <row r="1891" spans="1:16" ht="17.25">
      <c r="A1891" s="276" t="s">
        <v>7198</v>
      </c>
      <c r="B1891" s="277">
        <v>2011</v>
      </c>
      <c r="C1891" s="276" t="s">
        <v>7199</v>
      </c>
      <c r="D1891" s="277">
        <v>21304925</v>
      </c>
      <c r="E1891" s="278" t="str">
        <f t="shared" si="23"/>
        <v>https://pubmed.ncbi.nlm.nih.gov/21304925</v>
      </c>
      <c r="F1891" s="28" t="s">
        <v>511</v>
      </c>
      <c r="G1891" s="28" t="s">
        <v>4744</v>
      </c>
      <c r="J1891" s="346" t="str">
        <f t="shared" si="19"/>
        <v/>
      </c>
      <c r="K1891" s="28" t="str">
        <f t="shared" si="24"/>
        <v/>
      </c>
      <c r="L1891" s="45" t="str">
        <f t="shared" si="25"/>
        <v/>
      </c>
      <c r="M1891" s="45" t="str">
        <f t="shared" si="26"/>
        <v/>
      </c>
      <c r="N1891" s="45">
        <f t="shared" si="27"/>
        <v>1</v>
      </c>
      <c r="O1891" s="45" t="str">
        <f t="shared" si="28"/>
        <v/>
      </c>
      <c r="P1891" s="45" t="str">
        <f t="shared" si="29"/>
        <v/>
      </c>
    </row>
    <row r="1892" spans="1:16" ht="17.25">
      <c r="A1892" s="276" t="s">
        <v>7200</v>
      </c>
      <c r="B1892" s="277">
        <v>2012</v>
      </c>
      <c r="C1892" s="276" t="s">
        <v>7201</v>
      </c>
      <c r="D1892" s="277">
        <v>23284915</v>
      </c>
      <c r="E1892" s="278" t="str">
        <f t="shared" si="23"/>
        <v>https://pubmed.ncbi.nlm.nih.gov/23284915</v>
      </c>
      <c r="F1892" s="28" t="s">
        <v>511</v>
      </c>
      <c r="G1892" s="28" t="s">
        <v>6220</v>
      </c>
      <c r="J1892" s="346">
        <f t="shared" si="19"/>
        <v>1</v>
      </c>
      <c r="K1892" s="28" t="str">
        <f t="shared" si="24"/>
        <v/>
      </c>
      <c r="L1892" s="45" t="str">
        <f t="shared" si="25"/>
        <v/>
      </c>
      <c r="M1892" s="45" t="str">
        <f t="shared" si="26"/>
        <v/>
      </c>
      <c r="N1892" s="45" t="str">
        <f t="shared" si="27"/>
        <v/>
      </c>
      <c r="O1892" s="45" t="str">
        <f t="shared" si="28"/>
        <v/>
      </c>
      <c r="P1892" s="45" t="str">
        <f t="shared" si="29"/>
        <v/>
      </c>
    </row>
    <row r="1893" spans="1:16" ht="17.25">
      <c r="A1893" s="276" t="s">
        <v>7202</v>
      </c>
      <c r="B1893" s="277">
        <v>2016</v>
      </c>
      <c r="C1893" s="276"/>
      <c r="D1893" s="277">
        <v>27337526</v>
      </c>
      <c r="E1893" s="278" t="str">
        <f t="shared" si="23"/>
        <v>https://pubmed.ncbi.nlm.nih.gov/27337526</v>
      </c>
      <c r="F1893" s="28" t="s">
        <v>511</v>
      </c>
      <c r="G1893" s="28" t="s">
        <v>4592</v>
      </c>
      <c r="J1893" s="346">
        <f t="shared" si="19"/>
        <v>1</v>
      </c>
      <c r="K1893" s="28" t="str">
        <f t="shared" si="24"/>
        <v/>
      </c>
      <c r="L1893" s="45" t="str">
        <f t="shared" si="25"/>
        <v/>
      </c>
      <c r="M1893" s="45" t="str">
        <f t="shared" si="26"/>
        <v/>
      </c>
      <c r="N1893" s="45" t="str">
        <f t="shared" si="27"/>
        <v/>
      </c>
      <c r="O1893" s="45" t="str">
        <f t="shared" si="28"/>
        <v/>
      </c>
      <c r="P1893" s="45" t="str">
        <f t="shared" si="29"/>
        <v/>
      </c>
    </row>
    <row r="1894" spans="1:16" ht="17.25">
      <c r="A1894" s="276" t="s">
        <v>7203</v>
      </c>
      <c r="B1894" s="277">
        <v>2013</v>
      </c>
      <c r="C1894" s="276" t="s">
        <v>7204</v>
      </c>
      <c r="D1894" s="277">
        <v>23440791</v>
      </c>
      <c r="E1894" s="278" t="str">
        <f t="shared" si="23"/>
        <v>https://pubmed.ncbi.nlm.nih.gov/23440791</v>
      </c>
      <c r="F1894" s="28" t="s">
        <v>511</v>
      </c>
      <c r="G1894" s="28" t="s">
        <v>5273</v>
      </c>
      <c r="J1894" s="346">
        <f t="shared" si="19"/>
        <v>1</v>
      </c>
      <c r="K1894" s="28" t="str">
        <f t="shared" si="24"/>
        <v/>
      </c>
      <c r="L1894" s="45" t="str">
        <f t="shared" si="25"/>
        <v/>
      </c>
      <c r="M1894" s="45" t="str">
        <f t="shared" si="26"/>
        <v/>
      </c>
      <c r="N1894" s="45" t="str">
        <f t="shared" si="27"/>
        <v/>
      </c>
      <c r="O1894" s="45" t="str">
        <f t="shared" si="28"/>
        <v/>
      </c>
      <c r="P1894" s="45" t="str">
        <f t="shared" si="29"/>
        <v/>
      </c>
    </row>
    <row r="1895" spans="1:16" ht="17.25">
      <c r="A1895" s="276" t="s">
        <v>7205</v>
      </c>
      <c r="B1895" s="277">
        <v>2009</v>
      </c>
      <c r="C1895" s="276"/>
      <c r="D1895" s="277">
        <v>19840663</v>
      </c>
      <c r="E1895" s="278" t="str">
        <f t="shared" si="23"/>
        <v>https://pubmed.ncbi.nlm.nih.gov/19840663</v>
      </c>
      <c r="F1895" s="28" t="s">
        <v>511</v>
      </c>
      <c r="G1895" s="28" t="s">
        <v>4346</v>
      </c>
      <c r="J1895" s="346" t="str">
        <f t="shared" si="19"/>
        <v/>
      </c>
      <c r="K1895" s="28" t="str">
        <f t="shared" si="24"/>
        <v/>
      </c>
      <c r="L1895" s="45">
        <f t="shared" si="25"/>
        <v>1</v>
      </c>
      <c r="M1895" s="45" t="str">
        <f t="shared" si="26"/>
        <v/>
      </c>
      <c r="N1895" s="45" t="str">
        <f t="shared" si="27"/>
        <v/>
      </c>
      <c r="O1895" s="45" t="str">
        <f t="shared" si="28"/>
        <v/>
      </c>
      <c r="P1895" s="45" t="str">
        <f t="shared" si="29"/>
        <v/>
      </c>
    </row>
    <row r="1896" spans="1:16" ht="17.25">
      <c r="A1896" s="276" t="s">
        <v>7205</v>
      </c>
      <c r="B1896" s="277">
        <v>2009</v>
      </c>
      <c r="C1896" s="276"/>
      <c r="D1896" s="277">
        <v>19061423</v>
      </c>
      <c r="E1896" s="278" t="str">
        <f t="shared" si="23"/>
        <v>https://pubmed.ncbi.nlm.nih.gov/19061423</v>
      </c>
      <c r="F1896" s="28" t="s">
        <v>511</v>
      </c>
      <c r="G1896" s="28" t="s">
        <v>4346</v>
      </c>
      <c r="J1896" s="346" t="str">
        <f t="shared" si="19"/>
        <v/>
      </c>
      <c r="K1896" s="28" t="str">
        <f t="shared" si="24"/>
        <v/>
      </c>
      <c r="L1896" s="45">
        <f t="shared" si="25"/>
        <v>1</v>
      </c>
      <c r="M1896" s="45" t="str">
        <f t="shared" si="26"/>
        <v/>
      </c>
      <c r="N1896" s="45" t="str">
        <f t="shared" si="27"/>
        <v/>
      </c>
      <c r="O1896" s="45" t="str">
        <f t="shared" si="28"/>
        <v/>
      </c>
      <c r="P1896" s="45" t="str">
        <f t="shared" si="29"/>
        <v/>
      </c>
    </row>
    <row r="1897" spans="1:16" ht="17.25">
      <c r="A1897" s="276" t="s">
        <v>7205</v>
      </c>
      <c r="B1897" s="277">
        <v>2014</v>
      </c>
      <c r="C1897" s="276"/>
      <c r="D1897" s="277">
        <v>25455987</v>
      </c>
      <c r="E1897" s="278" t="str">
        <f t="shared" si="23"/>
        <v>https://pubmed.ncbi.nlm.nih.gov/25455987</v>
      </c>
      <c r="F1897" s="28" t="s">
        <v>511</v>
      </c>
      <c r="G1897" s="28" t="s">
        <v>4744</v>
      </c>
      <c r="I1897" s="28" t="s">
        <v>7206</v>
      </c>
      <c r="J1897" s="346" t="str">
        <f t="shared" si="19"/>
        <v/>
      </c>
      <c r="K1897" s="28" t="str">
        <f t="shared" si="24"/>
        <v/>
      </c>
      <c r="L1897" s="45" t="str">
        <f t="shared" si="25"/>
        <v/>
      </c>
      <c r="M1897" s="45" t="str">
        <f t="shared" si="26"/>
        <v/>
      </c>
      <c r="N1897" s="45">
        <f t="shared" si="27"/>
        <v>1</v>
      </c>
      <c r="O1897" s="45" t="str">
        <f t="shared" si="28"/>
        <v/>
      </c>
      <c r="P1897" s="45" t="str">
        <f t="shared" si="29"/>
        <v/>
      </c>
    </row>
    <row r="1898" spans="1:16" ht="17.25">
      <c r="A1898" s="276" t="s">
        <v>7207</v>
      </c>
      <c r="B1898" s="277">
        <v>2018</v>
      </c>
      <c r="C1898" s="276"/>
      <c r="D1898" s="277">
        <v>29528861</v>
      </c>
      <c r="E1898" s="278" t="str">
        <f t="shared" si="23"/>
        <v>https://pubmed.ncbi.nlm.nih.gov/29528861</v>
      </c>
      <c r="F1898" s="28" t="s">
        <v>511</v>
      </c>
      <c r="G1898" s="28" t="s">
        <v>4592</v>
      </c>
      <c r="J1898" s="346">
        <f t="shared" si="19"/>
        <v>1</v>
      </c>
      <c r="K1898" s="28" t="str">
        <f t="shared" si="24"/>
        <v/>
      </c>
      <c r="L1898" s="45" t="str">
        <f t="shared" si="25"/>
        <v/>
      </c>
      <c r="M1898" s="45" t="str">
        <f t="shared" si="26"/>
        <v/>
      </c>
      <c r="N1898" s="45" t="str">
        <f t="shared" si="27"/>
        <v/>
      </c>
      <c r="O1898" s="45" t="str">
        <f t="shared" si="28"/>
        <v/>
      </c>
      <c r="P1898" s="45" t="str">
        <f t="shared" si="29"/>
        <v/>
      </c>
    </row>
    <row r="1899" spans="1:16" ht="17.25">
      <c r="A1899" s="276" t="s">
        <v>7208</v>
      </c>
      <c r="B1899" s="277">
        <v>2019</v>
      </c>
      <c r="C1899" s="276" t="s">
        <v>7209</v>
      </c>
      <c r="D1899" s="277">
        <v>30958392</v>
      </c>
      <c r="E1899" s="278" t="str">
        <f t="shared" si="23"/>
        <v>https://pubmed.ncbi.nlm.nih.gov/30958392</v>
      </c>
      <c r="F1899" s="28" t="s">
        <v>511</v>
      </c>
      <c r="G1899" s="28" t="s">
        <v>6220</v>
      </c>
      <c r="J1899" s="346">
        <f t="shared" si="19"/>
        <v>1</v>
      </c>
      <c r="K1899" s="28" t="str">
        <f t="shared" si="24"/>
        <v/>
      </c>
      <c r="L1899" s="45" t="str">
        <f t="shared" si="25"/>
        <v/>
      </c>
      <c r="M1899" s="45" t="str">
        <f t="shared" si="26"/>
        <v/>
      </c>
      <c r="N1899" s="45" t="str">
        <f t="shared" si="27"/>
        <v/>
      </c>
      <c r="O1899" s="45" t="str">
        <f t="shared" si="28"/>
        <v/>
      </c>
      <c r="P1899" s="45" t="str">
        <f t="shared" si="29"/>
        <v/>
      </c>
    </row>
    <row r="1900" spans="1:16" ht="17.25">
      <c r="A1900" s="276" t="s">
        <v>7210</v>
      </c>
      <c r="B1900" s="277">
        <v>2011</v>
      </c>
      <c r="C1900" s="276"/>
      <c r="D1900" s="277">
        <v>21529928</v>
      </c>
      <c r="E1900" s="278" t="str">
        <f t="shared" si="23"/>
        <v>https://pubmed.ncbi.nlm.nih.gov/21529928</v>
      </c>
      <c r="F1900" s="28" t="s">
        <v>511</v>
      </c>
      <c r="G1900" s="28" t="s">
        <v>5157</v>
      </c>
      <c r="J1900" s="346" t="str">
        <f t="shared" si="19"/>
        <v/>
      </c>
      <c r="K1900" s="28" t="str">
        <f t="shared" si="24"/>
        <v/>
      </c>
      <c r="L1900" s="45" t="str">
        <f t="shared" si="25"/>
        <v/>
      </c>
      <c r="M1900" s="45" t="str">
        <f t="shared" si="26"/>
        <v/>
      </c>
      <c r="N1900" s="45">
        <f t="shared" si="27"/>
        <v>1</v>
      </c>
      <c r="O1900" s="45" t="str">
        <f t="shared" si="28"/>
        <v/>
      </c>
      <c r="P1900" s="45" t="str">
        <f t="shared" si="29"/>
        <v/>
      </c>
    </row>
    <row r="1901" spans="1:16" ht="17.25">
      <c r="A1901" s="276" t="s">
        <v>7211</v>
      </c>
      <c r="B1901" s="277">
        <v>2017</v>
      </c>
      <c r="C1901" s="276"/>
      <c r="D1901" s="277">
        <v>27859599</v>
      </c>
      <c r="E1901" s="278" t="str">
        <f t="shared" si="23"/>
        <v>https://pubmed.ncbi.nlm.nih.gov/27859599</v>
      </c>
      <c r="F1901" s="28" t="s">
        <v>511</v>
      </c>
      <c r="G1901" s="28" t="s">
        <v>4744</v>
      </c>
      <c r="I1901" s="28" t="s">
        <v>6429</v>
      </c>
      <c r="J1901" s="346" t="str">
        <f t="shared" si="19"/>
        <v/>
      </c>
      <c r="K1901" s="28" t="str">
        <f t="shared" si="24"/>
        <v/>
      </c>
      <c r="L1901" s="45" t="str">
        <f t="shared" si="25"/>
        <v/>
      </c>
      <c r="M1901" s="45" t="str">
        <f t="shared" si="26"/>
        <v/>
      </c>
      <c r="N1901" s="45">
        <f t="shared" si="27"/>
        <v>1</v>
      </c>
      <c r="O1901" s="45" t="str">
        <f t="shared" si="28"/>
        <v/>
      </c>
      <c r="P1901" s="45" t="str">
        <f t="shared" si="29"/>
        <v/>
      </c>
    </row>
    <row r="1902" spans="1:16" ht="17.25">
      <c r="A1902" s="276" t="s">
        <v>7212</v>
      </c>
      <c r="B1902" s="277">
        <v>2019</v>
      </c>
      <c r="C1902" s="276" t="s">
        <v>7213</v>
      </c>
      <c r="D1902" s="277">
        <v>31171018</v>
      </c>
      <c r="E1902" s="278" t="str">
        <f t="shared" si="23"/>
        <v>https://pubmed.ncbi.nlm.nih.gov/31171018</v>
      </c>
      <c r="F1902" s="28" t="s">
        <v>511</v>
      </c>
      <c r="G1902" s="28" t="s">
        <v>4592</v>
      </c>
      <c r="J1902" s="346">
        <f t="shared" si="19"/>
        <v>1</v>
      </c>
      <c r="K1902" s="28" t="str">
        <f t="shared" si="24"/>
        <v/>
      </c>
      <c r="L1902" s="45" t="str">
        <f t="shared" si="25"/>
        <v/>
      </c>
      <c r="M1902" s="45" t="str">
        <f t="shared" si="26"/>
        <v/>
      </c>
      <c r="N1902" s="45" t="str">
        <f t="shared" si="27"/>
        <v/>
      </c>
      <c r="O1902" s="45" t="str">
        <f t="shared" si="28"/>
        <v/>
      </c>
      <c r="P1902" s="45" t="str">
        <f t="shared" si="29"/>
        <v/>
      </c>
    </row>
    <row r="1903" spans="1:16" ht="17.25">
      <c r="A1903" s="276" t="s">
        <v>7214</v>
      </c>
      <c r="B1903" s="277">
        <v>2019</v>
      </c>
      <c r="C1903" s="276"/>
      <c r="D1903" s="277">
        <v>30617677</v>
      </c>
      <c r="E1903" s="278" t="str">
        <f t="shared" si="23"/>
        <v>https://pubmed.ncbi.nlm.nih.gov/30617677</v>
      </c>
      <c r="F1903" s="28" t="s">
        <v>511</v>
      </c>
      <c r="G1903" s="28" t="s">
        <v>6220</v>
      </c>
      <c r="J1903" s="346">
        <f t="shared" si="19"/>
        <v>1</v>
      </c>
      <c r="K1903" s="28" t="str">
        <f t="shared" si="24"/>
        <v/>
      </c>
      <c r="L1903" s="45" t="str">
        <f t="shared" si="25"/>
        <v/>
      </c>
      <c r="M1903" s="45" t="str">
        <f t="shared" si="26"/>
        <v/>
      </c>
      <c r="N1903" s="45" t="str">
        <f t="shared" si="27"/>
        <v/>
      </c>
      <c r="O1903" s="45" t="str">
        <f t="shared" si="28"/>
        <v/>
      </c>
      <c r="P1903" s="45" t="str">
        <f t="shared" si="29"/>
        <v/>
      </c>
    </row>
    <row r="1904" spans="1:16" ht="17.25">
      <c r="A1904" s="276" t="s">
        <v>7214</v>
      </c>
      <c r="B1904" s="277">
        <v>2019</v>
      </c>
      <c r="C1904" s="276"/>
      <c r="D1904" s="277">
        <v>31119554</v>
      </c>
      <c r="E1904" s="278" t="str">
        <f t="shared" si="23"/>
        <v>https://pubmed.ncbi.nlm.nih.gov/31119554</v>
      </c>
      <c r="F1904" s="28" t="s">
        <v>511</v>
      </c>
      <c r="G1904" s="28" t="s">
        <v>6220</v>
      </c>
      <c r="J1904" s="346">
        <f t="shared" si="19"/>
        <v>1</v>
      </c>
      <c r="K1904" s="28" t="str">
        <f t="shared" si="24"/>
        <v/>
      </c>
      <c r="L1904" s="45" t="str">
        <f t="shared" si="25"/>
        <v/>
      </c>
      <c r="M1904" s="45" t="str">
        <f t="shared" si="26"/>
        <v/>
      </c>
      <c r="N1904" s="45" t="str">
        <f t="shared" si="27"/>
        <v/>
      </c>
      <c r="O1904" s="45" t="str">
        <f t="shared" si="28"/>
        <v/>
      </c>
      <c r="P1904" s="45" t="str">
        <f t="shared" si="29"/>
        <v/>
      </c>
    </row>
    <row r="1905" spans="1:16" ht="17.25">
      <c r="A1905" s="276" t="s">
        <v>7214</v>
      </c>
      <c r="B1905" s="277">
        <v>2019</v>
      </c>
      <c r="C1905" s="276"/>
      <c r="D1905" s="277">
        <v>30391446</v>
      </c>
      <c r="E1905" s="278" t="str">
        <f t="shared" si="23"/>
        <v>https://pubmed.ncbi.nlm.nih.gov/30391446</v>
      </c>
      <c r="F1905" s="28" t="s">
        <v>511</v>
      </c>
      <c r="G1905" s="28" t="s">
        <v>6220</v>
      </c>
      <c r="J1905" s="346">
        <f t="shared" si="19"/>
        <v>1</v>
      </c>
      <c r="K1905" s="28" t="str">
        <f t="shared" si="24"/>
        <v/>
      </c>
      <c r="L1905" s="45" t="str">
        <f t="shared" si="25"/>
        <v/>
      </c>
      <c r="M1905" s="45" t="str">
        <f t="shared" si="26"/>
        <v/>
      </c>
      <c r="N1905" s="45" t="str">
        <f t="shared" si="27"/>
        <v/>
      </c>
      <c r="O1905" s="45" t="str">
        <f t="shared" si="28"/>
        <v/>
      </c>
      <c r="P1905" s="45" t="str">
        <f t="shared" si="29"/>
        <v/>
      </c>
    </row>
    <row r="1906" spans="1:16" ht="17.25">
      <c r="A1906" s="276" t="s">
        <v>7214</v>
      </c>
      <c r="B1906" s="277">
        <v>2018</v>
      </c>
      <c r="C1906" s="276"/>
      <c r="D1906" s="277">
        <v>29377080</v>
      </c>
      <c r="E1906" s="278" t="str">
        <f t="shared" si="23"/>
        <v>https://pubmed.ncbi.nlm.nih.gov/29377080</v>
      </c>
      <c r="F1906" s="28" t="s">
        <v>511</v>
      </c>
      <c r="G1906" s="28" t="s">
        <v>6220</v>
      </c>
      <c r="J1906" s="346">
        <f t="shared" si="19"/>
        <v>1</v>
      </c>
      <c r="K1906" s="28" t="str">
        <f t="shared" si="24"/>
        <v/>
      </c>
      <c r="L1906" s="45" t="str">
        <f t="shared" si="25"/>
        <v/>
      </c>
      <c r="M1906" s="45" t="str">
        <f t="shared" si="26"/>
        <v/>
      </c>
      <c r="N1906" s="45" t="str">
        <f t="shared" si="27"/>
        <v/>
      </c>
      <c r="O1906" s="45" t="str">
        <f t="shared" si="28"/>
        <v/>
      </c>
      <c r="P1906" s="45" t="str">
        <f t="shared" si="29"/>
        <v/>
      </c>
    </row>
    <row r="1907" spans="1:16" ht="17.25">
      <c r="A1907" s="276" t="s">
        <v>7215</v>
      </c>
      <c r="B1907" s="277">
        <v>2021</v>
      </c>
      <c r="C1907" s="276"/>
      <c r="D1907" s="277">
        <v>33765062</v>
      </c>
      <c r="E1907" s="278" t="str">
        <f t="shared" si="23"/>
        <v>https://pubmed.ncbi.nlm.nih.gov/33765062</v>
      </c>
      <c r="F1907" s="28" t="s">
        <v>511</v>
      </c>
      <c r="G1907" s="28" t="s">
        <v>4346</v>
      </c>
      <c r="J1907" s="346" t="str">
        <f t="shared" si="19"/>
        <v/>
      </c>
      <c r="K1907" s="28" t="str">
        <f t="shared" si="24"/>
        <v/>
      </c>
      <c r="L1907" s="45">
        <f t="shared" si="25"/>
        <v>1</v>
      </c>
      <c r="M1907" s="45" t="str">
        <f t="shared" si="26"/>
        <v/>
      </c>
      <c r="N1907" s="45" t="str">
        <f t="shared" si="27"/>
        <v/>
      </c>
      <c r="O1907" s="45" t="str">
        <f t="shared" si="28"/>
        <v/>
      </c>
      <c r="P1907" s="45" t="str">
        <f t="shared" si="29"/>
        <v/>
      </c>
    </row>
    <row r="1908" spans="1:16" ht="17.25">
      <c r="A1908" s="276" t="s">
        <v>7216</v>
      </c>
      <c r="B1908" s="277">
        <v>1995</v>
      </c>
      <c r="C1908" s="276"/>
      <c r="D1908" s="277">
        <v>7595741</v>
      </c>
      <c r="E1908" s="278" t="str">
        <f t="shared" si="23"/>
        <v>https://pubmed.ncbi.nlm.nih.gov/7595741</v>
      </c>
      <c r="F1908" s="28" t="s">
        <v>511</v>
      </c>
      <c r="G1908" s="28" t="s">
        <v>4744</v>
      </c>
      <c r="J1908" s="346" t="str">
        <f t="shared" si="19"/>
        <v/>
      </c>
      <c r="K1908" s="28" t="str">
        <f t="shared" si="24"/>
        <v/>
      </c>
      <c r="L1908" s="45" t="str">
        <f t="shared" si="25"/>
        <v/>
      </c>
      <c r="M1908" s="45" t="str">
        <f t="shared" si="26"/>
        <v/>
      </c>
      <c r="N1908" s="45">
        <f t="shared" si="27"/>
        <v>1</v>
      </c>
      <c r="O1908" s="45" t="str">
        <f t="shared" si="28"/>
        <v/>
      </c>
      <c r="P1908" s="45" t="str">
        <f t="shared" si="29"/>
        <v/>
      </c>
    </row>
    <row r="1909" spans="1:16" ht="17.25">
      <c r="A1909" s="276" t="s">
        <v>7217</v>
      </c>
      <c r="B1909" s="277">
        <v>2020</v>
      </c>
      <c r="C1909" s="276"/>
      <c r="D1909" s="277">
        <v>33264546</v>
      </c>
      <c r="E1909" s="278" t="str">
        <f t="shared" si="23"/>
        <v>https://pubmed.ncbi.nlm.nih.gov/33264546</v>
      </c>
      <c r="F1909" s="28" t="s">
        <v>511</v>
      </c>
      <c r="G1909" s="28" t="s">
        <v>4744</v>
      </c>
      <c r="J1909" s="346" t="str">
        <f t="shared" si="19"/>
        <v/>
      </c>
      <c r="K1909" s="28" t="str">
        <f t="shared" si="24"/>
        <v/>
      </c>
      <c r="L1909" s="45" t="str">
        <f t="shared" si="25"/>
        <v/>
      </c>
      <c r="M1909" s="45" t="str">
        <f t="shared" si="26"/>
        <v/>
      </c>
      <c r="N1909" s="45">
        <f t="shared" si="27"/>
        <v>1</v>
      </c>
      <c r="O1909" s="45" t="str">
        <f t="shared" si="28"/>
        <v/>
      </c>
      <c r="P1909" s="45" t="str">
        <f t="shared" si="29"/>
        <v/>
      </c>
    </row>
    <row r="1910" spans="1:16" ht="17.25">
      <c r="A1910" s="276" t="s">
        <v>7218</v>
      </c>
      <c r="B1910" s="277">
        <v>2012</v>
      </c>
      <c r="C1910" s="276" t="s">
        <v>7219</v>
      </c>
      <c r="D1910" s="277">
        <v>22513930</v>
      </c>
      <c r="E1910" s="278" t="str">
        <f t="shared" si="23"/>
        <v>https://pubmed.ncbi.nlm.nih.gov/22513930</v>
      </c>
      <c r="F1910" s="28" t="s">
        <v>511</v>
      </c>
      <c r="G1910" s="28" t="s">
        <v>4592</v>
      </c>
      <c r="J1910" s="346">
        <f t="shared" si="19"/>
        <v>1</v>
      </c>
      <c r="K1910" s="28" t="str">
        <f t="shared" si="24"/>
        <v/>
      </c>
      <c r="L1910" s="45" t="str">
        <f t="shared" si="25"/>
        <v/>
      </c>
      <c r="M1910" s="45" t="str">
        <f t="shared" si="26"/>
        <v/>
      </c>
      <c r="N1910" s="45" t="str">
        <f t="shared" si="27"/>
        <v/>
      </c>
      <c r="O1910" s="45" t="str">
        <f t="shared" si="28"/>
        <v/>
      </c>
      <c r="P1910" s="45" t="str">
        <f t="shared" si="29"/>
        <v/>
      </c>
    </row>
    <row r="1911" spans="1:16" ht="17.25">
      <c r="A1911" s="276" t="s">
        <v>7218</v>
      </c>
      <c r="B1911" s="277">
        <v>2006</v>
      </c>
      <c r="C1911" s="276"/>
      <c r="D1911" s="277">
        <v>16625638</v>
      </c>
      <c r="E1911" s="278" t="str">
        <f t="shared" si="23"/>
        <v>https://pubmed.ncbi.nlm.nih.gov/16625638</v>
      </c>
      <c r="F1911" s="28" t="s">
        <v>511</v>
      </c>
      <c r="G1911" s="28" t="s">
        <v>4592</v>
      </c>
      <c r="J1911" s="346">
        <f t="shared" si="19"/>
        <v>1</v>
      </c>
      <c r="K1911" s="28" t="str">
        <f t="shared" si="24"/>
        <v/>
      </c>
      <c r="L1911" s="45" t="str">
        <f t="shared" si="25"/>
        <v/>
      </c>
      <c r="M1911" s="45" t="str">
        <f t="shared" si="26"/>
        <v/>
      </c>
      <c r="N1911" s="45" t="str">
        <f t="shared" si="27"/>
        <v/>
      </c>
      <c r="O1911" s="45" t="str">
        <f t="shared" si="28"/>
        <v/>
      </c>
      <c r="P1911" s="45" t="str">
        <f t="shared" si="29"/>
        <v/>
      </c>
    </row>
    <row r="1912" spans="1:16" ht="17.25">
      <c r="A1912" s="276" t="s">
        <v>7220</v>
      </c>
      <c r="B1912" s="277">
        <v>2002</v>
      </c>
      <c r="C1912" s="276"/>
      <c r="D1912" s="277">
        <v>11899571</v>
      </c>
      <c r="E1912" s="278" t="str">
        <f t="shared" si="23"/>
        <v>https://pubmed.ncbi.nlm.nih.gov/11899571</v>
      </c>
      <c r="F1912" s="28" t="s">
        <v>511</v>
      </c>
      <c r="G1912" s="28" t="s">
        <v>6623</v>
      </c>
      <c r="J1912" s="346">
        <f t="shared" si="19"/>
        <v>1</v>
      </c>
      <c r="K1912" s="28" t="str">
        <f t="shared" si="24"/>
        <v/>
      </c>
      <c r="L1912" s="45" t="str">
        <f t="shared" si="25"/>
        <v/>
      </c>
      <c r="M1912" s="45" t="str">
        <f t="shared" si="26"/>
        <v/>
      </c>
      <c r="N1912" s="45" t="str">
        <f t="shared" si="27"/>
        <v/>
      </c>
      <c r="O1912" s="45" t="str">
        <f t="shared" si="28"/>
        <v/>
      </c>
      <c r="P1912" s="45" t="str">
        <f t="shared" si="29"/>
        <v/>
      </c>
    </row>
    <row r="1913" spans="1:16" ht="17.25">
      <c r="A1913" s="276" t="s">
        <v>7221</v>
      </c>
      <c r="B1913" s="277">
        <v>2017</v>
      </c>
      <c r="C1913" s="276" t="s">
        <v>7222</v>
      </c>
      <c r="D1913" s="277">
        <v>28341755</v>
      </c>
      <c r="E1913" s="278" t="str">
        <f t="shared" si="23"/>
        <v>https://pubmed.ncbi.nlm.nih.gov/28341755</v>
      </c>
      <c r="F1913" s="28" t="s">
        <v>511</v>
      </c>
      <c r="G1913" s="28" t="s">
        <v>7223</v>
      </c>
      <c r="J1913" s="346" t="str">
        <f t="shared" si="19"/>
        <v/>
      </c>
      <c r="K1913" s="28" t="str">
        <f t="shared" si="24"/>
        <v/>
      </c>
      <c r="L1913" s="45" t="str">
        <f t="shared" si="25"/>
        <v/>
      </c>
      <c r="M1913" s="45" t="str">
        <f t="shared" si="26"/>
        <v/>
      </c>
      <c r="N1913" s="45">
        <f t="shared" si="27"/>
        <v>1</v>
      </c>
      <c r="O1913" s="45" t="str">
        <f t="shared" si="28"/>
        <v/>
      </c>
      <c r="P1913" s="45" t="str">
        <f t="shared" si="29"/>
        <v/>
      </c>
    </row>
    <row r="1914" spans="1:16" ht="17.25">
      <c r="A1914" s="276" t="s">
        <v>4045</v>
      </c>
      <c r="B1914" s="277">
        <v>2019</v>
      </c>
      <c r="C1914" s="276"/>
      <c r="D1914" s="277">
        <v>31494096</v>
      </c>
      <c r="E1914" s="278" t="str">
        <f t="shared" si="23"/>
        <v>https://pubmed.ncbi.nlm.nih.gov/31494096</v>
      </c>
      <c r="H1914" s="28" t="s">
        <v>511</v>
      </c>
      <c r="J1914" s="346" t="str">
        <f t="shared" si="19"/>
        <v/>
      </c>
      <c r="K1914" s="28" t="str">
        <f t="shared" si="24"/>
        <v/>
      </c>
      <c r="L1914" s="45" t="str">
        <f t="shared" si="25"/>
        <v/>
      </c>
      <c r="M1914" s="45" t="str">
        <f t="shared" si="26"/>
        <v/>
      </c>
      <c r="N1914" s="45" t="str">
        <f t="shared" si="27"/>
        <v/>
      </c>
      <c r="O1914" s="45" t="str">
        <f t="shared" si="28"/>
        <v/>
      </c>
      <c r="P1914" s="45" t="str">
        <f t="shared" si="29"/>
        <v/>
      </c>
    </row>
    <row r="1915" spans="1:16" ht="17.25">
      <c r="A1915" s="276" t="s">
        <v>7224</v>
      </c>
      <c r="B1915" s="277">
        <v>2014</v>
      </c>
      <c r="C1915" s="276" t="s">
        <v>7225</v>
      </c>
      <c r="D1915" s="277">
        <v>24790646</v>
      </c>
      <c r="E1915" s="278" t="str">
        <f t="shared" si="23"/>
        <v>https://pubmed.ncbi.nlm.nih.gov/24790646</v>
      </c>
      <c r="F1915" s="28" t="s">
        <v>511</v>
      </c>
      <c r="G1915" s="28" t="s">
        <v>4592</v>
      </c>
      <c r="J1915" s="346">
        <f t="shared" si="19"/>
        <v>1</v>
      </c>
      <c r="K1915" s="28" t="str">
        <f t="shared" si="24"/>
        <v/>
      </c>
      <c r="L1915" s="45" t="str">
        <f t="shared" si="25"/>
        <v/>
      </c>
      <c r="M1915" s="45" t="str">
        <f t="shared" si="26"/>
        <v/>
      </c>
      <c r="N1915" s="45" t="str">
        <f t="shared" si="27"/>
        <v/>
      </c>
      <c r="O1915" s="45" t="str">
        <f t="shared" si="28"/>
        <v/>
      </c>
      <c r="P1915" s="45" t="str">
        <f t="shared" si="29"/>
        <v/>
      </c>
    </row>
    <row r="1916" spans="1:16" ht="17.25">
      <c r="A1916" s="276" t="s">
        <v>7226</v>
      </c>
      <c r="B1916" s="277">
        <v>2014</v>
      </c>
      <c r="C1916" s="276"/>
      <c r="D1916" s="277">
        <v>25236917</v>
      </c>
      <c r="E1916" s="278" t="str">
        <f t="shared" si="23"/>
        <v>https://pubmed.ncbi.nlm.nih.gov/25236917</v>
      </c>
      <c r="F1916" s="28" t="s">
        <v>511</v>
      </c>
      <c r="G1916" s="28" t="s">
        <v>6412</v>
      </c>
      <c r="J1916" s="346" t="str">
        <f t="shared" si="19"/>
        <v/>
      </c>
      <c r="K1916" s="28" t="str">
        <f t="shared" si="24"/>
        <v/>
      </c>
      <c r="L1916" s="45" t="str">
        <f t="shared" si="25"/>
        <v/>
      </c>
      <c r="M1916" s="45" t="str">
        <f t="shared" si="26"/>
        <v/>
      </c>
      <c r="N1916" s="45">
        <f t="shared" si="27"/>
        <v>1</v>
      </c>
      <c r="O1916" s="45" t="str">
        <f t="shared" si="28"/>
        <v/>
      </c>
      <c r="P1916" s="45" t="str">
        <f t="shared" si="29"/>
        <v/>
      </c>
    </row>
    <row r="1917" spans="1:16" ht="17.25">
      <c r="A1917" s="276" t="s">
        <v>7227</v>
      </c>
      <c r="B1917" s="277">
        <v>2017</v>
      </c>
      <c r="C1917" s="276"/>
      <c r="D1917" s="277">
        <v>28062950</v>
      </c>
      <c r="E1917" s="278" t="str">
        <f t="shared" si="23"/>
        <v>https://pubmed.ncbi.nlm.nih.gov/28062950</v>
      </c>
      <c r="F1917" s="28" t="s">
        <v>511</v>
      </c>
      <c r="G1917" s="28" t="s">
        <v>4744</v>
      </c>
      <c r="J1917" s="346" t="str">
        <f t="shared" si="19"/>
        <v/>
      </c>
      <c r="K1917" s="28" t="str">
        <f t="shared" si="24"/>
        <v/>
      </c>
      <c r="L1917" s="45" t="str">
        <f t="shared" si="25"/>
        <v/>
      </c>
      <c r="M1917" s="45" t="str">
        <f t="shared" si="26"/>
        <v/>
      </c>
      <c r="N1917" s="45">
        <f t="shared" si="27"/>
        <v>1</v>
      </c>
      <c r="O1917" s="45" t="str">
        <f t="shared" si="28"/>
        <v/>
      </c>
      <c r="P1917" s="45" t="str">
        <f t="shared" si="29"/>
        <v/>
      </c>
    </row>
    <row r="1918" spans="1:16" ht="17.25">
      <c r="A1918" s="276" t="s">
        <v>7228</v>
      </c>
      <c r="B1918" s="277">
        <v>2013</v>
      </c>
      <c r="C1918" s="276"/>
      <c r="D1918" s="277">
        <v>23795817</v>
      </c>
      <c r="E1918" s="278" t="str">
        <f t="shared" si="23"/>
        <v>https://pubmed.ncbi.nlm.nih.gov/23795817</v>
      </c>
      <c r="F1918" s="28" t="s">
        <v>511</v>
      </c>
      <c r="G1918" s="28" t="s">
        <v>4592</v>
      </c>
      <c r="J1918" s="346">
        <f t="shared" si="19"/>
        <v>1</v>
      </c>
      <c r="K1918" s="28" t="str">
        <f t="shared" si="24"/>
        <v/>
      </c>
      <c r="L1918" s="45" t="str">
        <f t="shared" si="25"/>
        <v/>
      </c>
      <c r="M1918" s="45" t="str">
        <f t="shared" si="26"/>
        <v/>
      </c>
      <c r="N1918" s="45" t="str">
        <f t="shared" si="27"/>
        <v/>
      </c>
      <c r="O1918" s="45" t="str">
        <f t="shared" si="28"/>
        <v/>
      </c>
      <c r="P1918" s="45" t="str">
        <f t="shared" si="29"/>
        <v/>
      </c>
    </row>
    <row r="1919" spans="1:16" ht="17.25">
      <c r="A1919" s="276" t="s">
        <v>7229</v>
      </c>
      <c r="B1919" s="277">
        <v>2002</v>
      </c>
      <c r="C1919" s="276" t="s">
        <v>7230</v>
      </c>
      <c r="D1919" s="277">
        <v>12053708</v>
      </c>
      <c r="E1919" s="278" t="str">
        <f t="shared" si="23"/>
        <v>https://pubmed.ncbi.nlm.nih.gov/12053708</v>
      </c>
      <c r="F1919" s="28" t="s">
        <v>511</v>
      </c>
      <c r="G1919" s="28" t="s">
        <v>4592</v>
      </c>
      <c r="J1919" s="346">
        <f t="shared" si="19"/>
        <v>1</v>
      </c>
      <c r="K1919" s="28" t="str">
        <f t="shared" si="24"/>
        <v/>
      </c>
      <c r="L1919" s="45" t="str">
        <f t="shared" si="25"/>
        <v/>
      </c>
      <c r="M1919" s="45" t="str">
        <f t="shared" si="26"/>
        <v/>
      </c>
      <c r="N1919" s="45" t="str">
        <f t="shared" si="27"/>
        <v/>
      </c>
      <c r="O1919" s="45" t="str">
        <f t="shared" si="28"/>
        <v/>
      </c>
      <c r="P1919" s="45" t="str">
        <f t="shared" si="29"/>
        <v/>
      </c>
    </row>
    <row r="1920" spans="1:16" ht="17.25">
      <c r="A1920" s="276" t="s">
        <v>423</v>
      </c>
      <c r="B1920" s="277">
        <v>2020</v>
      </c>
      <c r="C1920" s="276"/>
      <c r="D1920" s="277">
        <v>32066978</v>
      </c>
      <c r="E1920" s="278" t="str">
        <f t="shared" si="23"/>
        <v>https://pubmed.ncbi.nlm.nih.gov/32066978</v>
      </c>
      <c r="H1920" s="28" t="s">
        <v>511</v>
      </c>
      <c r="J1920" s="346" t="str">
        <f t="shared" si="19"/>
        <v/>
      </c>
      <c r="K1920" s="28" t="str">
        <f t="shared" si="24"/>
        <v/>
      </c>
      <c r="L1920" s="45" t="str">
        <f t="shared" si="25"/>
        <v/>
      </c>
      <c r="M1920" s="45" t="str">
        <f t="shared" si="26"/>
        <v/>
      </c>
      <c r="N1920" s="45" t="str">
        <f t="shared" si="27"/>
        <v/>
      </c>
      <c r="O1920" s="45" t="str">
        <f t="shared" si="28"/>
        <v/>
      </c>
      <c r="P1920" s="45" t="str">
        <f t="shared" si="29"/>
        <v/>
      </c>
    </row>
    <row r="1921" spans="1:16" ht="17.25">
      <c r="A1921" s="276" t="s">
        <v>7231</v>
      </c>
      <c r="B1921" s="277">
        <v>2002</v>
      </c>
      <c r="C1921" s="276" t="s">
        <v>7232</v>
      </c>
      <c r="D1921" s="277">
        <v>11953468</v>
      </c>
      <c r="E1921" s="278" t="str">
        <f t="shared" si="23"/>
        <v>https://pubmed.ncbi.nlm.nih.gov/11953468</v>
      </c>
      <c r="F1921" s="28" t="s">
        <v>511</v>
      </c>
      <c r="G1921" s="28" t="s">
        <v>4433</v>
      </c>
      <c r="J1921" s="346" t="str">
        <f t="shared" si="19"/>
        <v/>
      </c>
      <c r="K1921" s="28" t="str">
        <f t="shared" si="24"/>
        <v/>
      </c>
      <c r="L1921" s="45" t="str">
        <f t="shared" si="25"/>
        <v/>
      </c>
      <c r="M1921" s="45" t="str">
        <f t="shared" si="26"/>
        <v/>
      </c>
      <c r="N1921" s="45">
        <f t="shared" si="27"/>
        <v>1</v>
      </c>
      <c r="O1921" s="45" t="str">
        <f t="shared" si="28"/>
        <v/>
      </c>
      <c r="P1921" s="45" t="str">
        <f t="shared" si="29"/>
        <v/>
      </c>
    </row>
    <row r="1922" spans="1:16" ht="17.25">
      <c r="A1922" s="276" t="s">
        <v>7233</v>
      </c>
      <c r="B1922" s="277">
        <v>2001</v>
      </c>
      <c r="C1922" s="276"/>
      <c r="D1922" s="277">
        <v>11397654</v>
      </c>
      <c r="E1922" s="278" t="str">
        <f t="shared" si="23"/>
        <v>https://pubmed.ncbi.nlm.nih.gov/11397654</v>
      </c>
      <c r="F1922" s="28" t="s">
        <v>511</v>
      </c>
      <c r="G1922" s="28" t="s">
        <v>4592</v>
      </c>
      <c r="J1922" s="346">
        <f t="shared" si="19"/>
        <v>1</v>
      </c>
      <c r="K1922" s="28" t="str">
        <f t="shared" si="24"/>
        <v/>
      </c>
      <c r="L1922" s="45" t="str">
        <f t="shared" si="25"/>
        <v/>
      </c>
      <c r="M1922" s="45" t="str">
        <f t="shared" si="26"/>
        <v/>
      </c>
      <c r="N1922" s="45" t="str">
        <f t="shared" si="27"/>
        <v/>
      </c>
      <c r="O1922" s="45" t="str">
        <f t="shared" si="28"/>
        <v/>
      </c>
      <c r="P1922" s="45" t="str">
        <f t="shared" si="29"/>
        <v/>
      </c>
    </row>
    <row r="1923" spans="1:16" ht="17.25">
      <c r="A1923" s="276" t="s">
        <v>7234</v>
      </c>
      <c r="B1923" s="277">
        <v>2017</v>
      </c>
      <c r="C1923" s="276"/>
      <c r="D1923" s="277">
        <v>28146402</v>
      </c>
      <c r="E1923" s="278" t="str">
        <f t="shared" si="23"/>
        <v>https://pubmed.ncbi.nlm.nih.gov/28146402</v>
      </c>
      <c r="F1923" s="28" t="s">
        <v>511</v>
      </c>
      <c r="G1923" s="28" t="s">
        <v>5157</v>
      </c>
      <c r="J1923" s="346" t="str">
        <f t="shared" si="19"/>
        <v/>
      </c>
      <c r="K1923" s="28" t="str">
        <f t="shared" si="24"/>
        <v/>
      </c>
      <c r="L1923" s="45" t="str">
        <f t="shared" si="25"/>
        <v/>
      </c>
      <c r="M1923" s="45" t="str">
        <f t="shared" si="26"/>
        <v/>
      </c>
      <c r="N1923" s="45">
        <f t="shared" si="27"/>
        <v>1</v>
      </c>
      <c r="O1923" s="45" t="str">
        <f t="shared" si="28"/>
        <v/>
      </c>
      <c r="P1923" s="45" t="str">
        <f t="shared" si="29"/>
        <v/>
      </c>
    </row>
    <row r="1924" spans="1:16" ht="17.25">
      <c r="A1924" s="276" t="s">
        <v>7235</v>
      </c>
      <c r="B1924" s="277">
        <v>2009</v>
      </c>
      <c r="C1924" s="276"/>
      <c r="D1924" s="277">
        <v>19135496</v>
      </c>
      <c r="E1924" s="278" t="str">
        <f t="shared" si="23"/>
        <v>https://pubmed.ncbi.nlm.nih.gov/19135496</v>
      </c>
      <c r="F1924" s="28" t="s">
        <v>511</v>
      </c>
      <c r="G1924" s="28" t="s">
        <v>7236</v>
      </c>
      <c r="J1924" s="346" t="str">
        <f t="shared" si="19"/>
        <v/>
      </c>
      <c r="K1924" s="28" t="str">
        <f t="shared" si="24"/>
        <v/>
      </c>
      <c r="L1924" s="45" t="str">
        <f t="shared" si="25"/>
        <v/>
      </c>
      <c r="M1924" s="45" t="str">
        <f t="shared" si="26"/>
        <v/>
      </c>
      <c r="N1924" s="45" t="str">
        <f t="shared" si="27"/>
        <v/>
      </c>
      <c r="O1924" s="45">
        <f t="shared" si="28"/>
        <v>1</v>
      </c>
      <c r="P1924" s="45" t="str">
        <f t="shared" si="29"/>
        <v/>
      </c>
    </row>
    <row r="1925" spans="1:16" ht="17.25">
      <c r="A1925" s="276" t="s">
        <v>7237</v>
      </c>
      <c r="B1925" s="277">
        <v>2013</v>
      </c>
      <c r="C1925" s="276"/>
      <c r="D1925" s="277">
        <v>23203821</v>
      </c>
      <c r="E1925" s="278" t="str">
        <f t="shared" si="23"/>
        <v>https://pubmed.ncbi.nlm.nih.gov/23203821</v>
      </c>
      <c r="F1925" s="28" t="s">
        <v>511</v>
      </c>
      <c r="G1925" s="28" t="s">
        <v>4867</v>
      </c>
      <c r="J1925" s="346" t="str">
        <f t="shared" si="19"/>
        <v/>
      </c>
      <c r="K1925" s="28" t="str">
        <f t="shared" si="24"/>
        <v/>
      </c>
      <c r="L1925" s="45" t="str">
        <f t="shared" si="25"/>
        <v/>
      </c>
      <c r="M1925" s="45" t="str">
        <f t="shared" si="26"/>
        <v/>
      </c>
      <c r="N1925" s="45">
        <f t="shared" si="27"/>
        <v>1</v>
      </c>
      <c r="O1925" s="45" t="str">
        <f t="shared" si="28"/>
        <v/>
      </c>
      <c r="P1925" s="45" t="str">
        <f t="shared" si="29"/>
        <v/>
      </c>
    </row>
    <row r="1926" spans="1:16" ht="17.25">
      <c r="A1926" s="276" t="s">
        <v>7238</v>
      </c>
      <c r="B1926" s="277">
        <v>2012</v>
      </c>
      <c r="C1926" s="276"/>
      <c r="D1926" s="277">
        <v>22609040</v>
      </c>
      <c r="E1926" s="278" t="str">
        <f t="shared" si="23"/>
        <v>https://pubmed.ncbi.nlm.nih.gov/22609040</v>
      </c>
      <c r="F1926" s="28" t="s">
        <v>511</v>
      </c>
      <c r="G1926" s="28" t="s">
        <v>4744</v>
      </c>
      <c r="J1926" s="346" t="str">
        <f t="shared" si="19"/>
        <v/>
      </c>
      <c r="K1926" s="28" t="str">
        <f t="shared" si="24"/>
        <v/>
      </c>
      <c r="L1926" s="45" t="str">
        <f t="shared" si="25"/>
        <v/>
      </c>
      <c r="M1926" s="45" t="str">
        <f t="shared" si="26"/>
        <v/>
      </c>
      <c r="N1926" s="45">
        <f t="shared" si="27"/>
        <v>1</v>
      </c>
      <c r="O1926" s="45" t="str">
        <f t="shared" si="28"/>
        <v/>
      </c>
      <c r="P1926" s="45" t="str">
        <f t="shared" si="29"/>
        <v/>
      </c>
    </row>
    <row r="1927" spans="1:16" ht="17.25">
      <c r="A1927" s="276" t="s">
        <v>7239</v>
      </c>
      <c r="B1927" s="277">
        <v>2013</v>
      </c>
      <c r="C1927" s="276" t="s">
        <v>7240</v>
      </c>
      <c r="D1927" s="277">
        <v>23835762</v>
      </c>
      <c r="E1927" s="278" t="str">
        <f t="shared" si="23"/>
        <v>https://pubmed.ncbi.nlm.nih.gov/23835762</v>
      </c>
      <c r="F1927" s="28" t="s">
        <v>511</v>
      </c>
      <c r="G1927" s="28" t="s">
        <v>4592</v>
      </c>
      <c r="J1927" s="346">
        <f t="shared" si="19"/>
        <v>1</v>
      </c>
      <c r="K1927" s="28" t="str">
        <f t="shared" si="24"/>
        <v/>
      </c>
      <c r="L1927" s="45" t="str">
        <f t="shared" si="25"/>
        <v/>
      </c>
      <c r="M1927" s="45" t="str">
        <f t="shared" si="26"/>
        <v/>
      </c>
      <c r="N1927" s="45" t="str">
        <f t="shared" si="27"/>
        <v/>
      </c>
      <c r="O1927" s="45" t="str">
        <f t="shared" si="28"/>
        <v/>
      </c>
      <c r="P1927" s="45" t="str">
        <f t="shared" si="29"/>
        <v/>
      </c>
    </row>
    <row r="1928" spans="1:16" ht="17.25">
      <c r="A1928" s="276" t="s">
        <v>7241</v>
      </c>
      <c r="B1928" s="277">
        <v>2004</v>
      </c>
      <c r="C1928" s="276"/>
      <c r="D1928" s="277">
        <v>14872423</v>
      </c>
      <c r="E1928" s="278" t="str">
        <f t="shared" si="23"/>
        <v>https://pubmed.ncbi.nlm.nih.gov/14872423</v>
      </c>
      <c r="F1928" s="28" t="s">
        <v>511</v>
      </c>
      <c r="G1928" s="28" t="s">
        <v>4592</v>
      </c>
      <c r="J1928" s="346">
        <f t="shared" si="19"/>
        <v>1</v>
      </c>
      <c r="K1928" s="28" t="str">
        <f t="shared" si="24"/>
        <v/>
      </c>
      <c r="L1928" s="45" t="str">
        <f t="shared" si="25"/>
        <v/>
      </c>
      <c r="M1928" s="45" t="str">
        <f t="shared" si="26"/>
        <v/>
      </c>
      <c r="N1928" s="45" t="str">
        <f t="shared" si="27"/>
        <v/>
      </c>
      <c r="O1928" s="45" t="str">
        <f t="shared" si="28"/>
        <v/>
      </c>
      <c r="P1928" s="45" t="str">
        <f t="shared" si="29"/>
        <v/>
      </c>
    </row>
    <row r="1929" spans="1:16" ht="17.25">
      <c r="A1929" s="276" t="s">
        <v>7242</v>
      </c>
      <c r="B1929" s="277">
        <v>2017</v>
      </c>
      <c r="C1929" s="276"/>
      <c r="D1929" s="277">
        <v>28953447</v>
      </c>
      <c r="E1929" s="278" t="str">
        <f t="shared" si="23"/>
        <v>https://pubmed.ncbi.nlm.nih.gov/28953447</v>
      </c>
      <c r="F1929" s="28" t="s">
        <v>511</v>
      </c>
      <c r="G1929" s="28" t="s">
        <v>4744</v>
      </c>
      <c r="J1929" s="346" t="str">
        <f t="shared" si="19"/>
        <v/>
      </c>
      <c r="K1929" s="28" t="str">
        <f t="shared" si="24"/>
        <v/>
      </c>
      <c r="L1929" s="45" t="str">
        <f t="shared" si="25"/>
        <v/>
      </c>
      <c r="M1929" s="45" t="str">
        <f t="shared" si="26"/>
        <v/>
      </c>
      <c r="N1929" s="45">
        <f t="shared" si="27"/>
        <v>1</v>
      </c>
      <c r="O1929" s="45" t="str">
        <f t="shared" si="28"/>
        <v/>
      </c>
      <c r="P1929" s="45" t="str">
        <f t="shared" si="29"/>
        <v/>
      </c>
    </row>
    <row r="1930" spans="1:16" ht="17.25">
      <c r="A1930" s="276" t="s">
        <v>7243</v>
      </c>
      <c r="B1930" s="277">
        <v>2017</v>
      </c>
      <c r="C1930" s="276" t="s">
        <v>7244</v>
      </c>
      <c r="D1930" s="277">
        <v>28752410</v>
      </c>
      <c r="E1930" s="278" t="str">
        <f t="shared" si="23"/>
        <v>https://pubmed.ncbi.nlm.nih.gov/28752410</v>
      </c>
      <c r="F1930" s="28" t="s">
        <v>511</v>
      </c>
      <c r="G1930" s="28" t="s">
        <v>4656</v>
      </c>
      <c r="J1930" s="346">
        <f t="shared" si="19"/>
        <v>1</v>
      </c>
      <c r="K1930" s="28" t="str">
        <f t="shared" si="24"/>
        <v/>
      </c>
      <c r="L1930" s="45" t="str">
        <f t="shared" si="25"/>
        <v/>
      </c>
      <c r="M1930" s="45" t="str">
        <f t="shared" si="26"/>
        <v/>
      </c>
      <c r="N1930" s="45" t="str">
        <f t="shared" si="27"/>
        <v/>
      </c>
      <c r="O1930" s="45" t="str">
        <f t="shared" si="28"/>
        <v/>
      </c>
      <c r="P1930" s="45" t="str">
        <f t="shared" si="29"/>
        <v/>
      </c>
    </row>
    <row r="1931" spans="1:16" ht="17.25">
      <c r="A1931" s="276" t="s">
        <v>7245</v>
      </c>
      <c r="B1931" s="277">
        <v>2010</v>
      </c>
      <c r="C1931" s="276" t="s">
        <v>7246</v>
      </c>
      <c r="D1931" s="277">
        <v>21044300</v>
      </c>
      <c r="E1931" s="278" t="str">
        <f t="shared" si="23"/>
        <v>https://pubmed.ncbi.nlm.nih.gov/21044300</v>
      </c>
      <c r="F1931" s="28" t="s">
        <v>511</v>
      </c>
      <c r="G1931" s="28" t="s">
        <v>7247</v>
      </c>
      <c r="J1931" s="346" t="str">
        <f t="shared" si="19"/>
        <v/>
      </c>
      <c r="K1931" s="28" t="str">
        <f t="shared" si="24"/>
        <v/>
      </c>
      <c r="L1931" s="45" t="str">
        <f t="shared" si="25"/>
        <v/>
      </c>
      <c r="M1931" s="45" t="str">
        <f t="shared" si="26"/>
        <v/>
      </c>
      <c r="N1931" s="45">
        <f t="shared" si="27"/>
        <v>1</v>
      </c>
      <c r="O1931" s="45" t="str">
        <f t="shared" si="28"/>
        <v/>
      </c>
      <c r="P1931" s="45" t="str">
        <f t="shared" si="29"/>
        <v/>
      </c>
    </row>
    <row r="1932" spans="1:16" ht="17.25">
      <c r="A1932" s="276" t="s">
        <v>7248</v>
      </c>
      <c r="B1932" s="277">
        <v>2016</v>
      </c>
      <c r="C1932" s="276" t="s">
        <v>7249</v>
      </c>
      <c r="D1932" s="277">
        <v>26208394</v>
      </c>
      <c r="E1932" s="278" t="str">
        <f t="shared" si="23"/>
        <v>https://pubmed.ncbi.nlm.nih.gov/26208394</v>
      </c>
      <c r="F1932" s="28" t="s">
        <v>511</v>
      </c>
      <c r="G1932" s="28" t="s">
        <v>7250</v>
      </c>
      <c r="J1932" s="346" t="str">
        <f t="shared" si="19"/>
        <v/>
      </c>
      <c r="K1932" s="28" t="str">
        <f t="shared" si="24"/>
        <v/>
      </c>
      <c r="L1932" s="45" t="str">
        <f t="shared" si="25"/>
        <v/>
      </c>
      <c r="M1932" s="45" t="str">
        <f t="shared" si="26"/>
        <v/>
      </c>
      <c r="N1932" s="45">
        <f t="shared" si="27"/>
        <v>1</v>
      </c>
      <c r="O1932" s="45" t="str">
        <f t="shared" si="28"/>
        <v/>
      </c>
      <c r="P1932" s="45" t="str">
        <f t="shared" si="29"/>
        <v/>
      </c>
    </row>
    <row r="1933" spans="1:16" ht="17.25">
      <c r="A1933" s="276" t="s">
        <v>7251</v>
      </c>
      <c r="B1933" s="277">
        <v>2009</v>
      </c>
      <c r="C1933" s="276"/>
      <c r="D1933" s="277">
        <v>19738121</v>
      </c>
      <c r="E1933" s="278" t="str">
        <f t="shared" si="23"/>
        <v>https://pubmed.ncbi.nlm.nih.gov/19738121</v>
      </c>
      <c r="F1933" s="28" t="s">
        <v>511</v>
      </c>
      <c r="G1933" s="28" t="s">
        <v>4592</v>
      </c>
      <c r="J1933" s="346">
        <f t="shared" si="19"/>
        <v>1</v>
      </c>
      <c r="K1933" s="28" t="str">
        <f t="shared" si="24"/>
        <v/>
      </c>
      <c r="L1933" s="45" t="str">
        <f t="shared" si="25"/>
        <v/>
      </c>
      <c r="M1933" s="45" t="str">
        <f t="shared" si="26"/>
        <v/>
      </c>
      <c r="N1933" s="45" t="str">
        <f t="shared" si="27"/>
        <v/>
      </c>
      <c r="O1933" s="45" t="str">
        <f t="shared" si="28"/>
        <v/>
      </c>
      <c r="P1933" s="45" t="str">
        <f t="shared" si="29"/>
        <v/>
      </c>
    </row>
    <row r="1934" spans="1:16" ht="17.25">
      <c r="A1934" s="276" t="s">
        <v>7252</v>
      </c>
      <c r="B1934" s="277">
        <v>2008</v>
      </c>
      <c r="C1934" s="276"/>
      <c r="D1934" s="277">
        <v>18273724</v>
      </c>
      <c r="E1934" s="278" t="str">
        <f t="shared" si="23"/>
        <v>https://pubmed.ncbi.nlm.nih.gov/18273724</v>
      </c>
      <c r="F1934" s="28" t="s">
        <v>511</v>
      </c>
      <c r="G1934" s="28" t="s">
        <v>7253</v>
      </c>
      <c r="J1934" s="346" t="str">
        <f t="shared" si="19"/>
        <v/>
      </c>
      <c r="K1934" s="28" t="str">
        <f t="shared" si="24"/>
        <v/>
      </c>
      <c r="L1934" s="45" t="str">
        <f t="shared" si="25"/>
        <v/>
      </c>
      <c r="M1934" s="45" t="str">
        <f t="shared" si="26"/>
        <v/>
      </c>
      <c r="N1934" s="45" t="str">
        <f t="shared" si="27"/>
        <v/>
      </c>
      <c r="O1934" s="45">
        <f t="shared" si="28"/>
        <v>1</v>
      </c>
      <c r="P1934" s="45" t="str">
        <f t="shared" si="29"/>
        <v/>
      </c>
    </row>
    <row r="1935" spans="1:16" ht="17.25">
      <c r="A1935" s="276" t="s">
        <v>7254</v>
      </c>
      <c r="B1935" s="277">
        <v>2019</v>
      </c>
      <c r="C1935" s="276"/>
      <c r="D1935" s="277">
        <v>30243964</v>
      </c>
      <c r="E1935" s="278" t="str">
        <f t="shared" si="23"/>
        <v>https://pubmed.ncbi.nlm.nih.gov/30243964</v>
      </c>
      <c r="F1935" s="28" t="s">
        <v>511</v>
      </c>
      <c r="G1935" s="28" t="s">
        <v>4867</v>
      </c>
      <c r="J1935" s="346" t="str">
        <f t="shared" si="19"/>
        <v/>
      </c>
      <c r="K1935" s="28" t="str">
        <f t="shared" si="24"/>
        <v/>
      </c>
      <c r="L1935" s="45" t="str">
        <f t="shared" si="25"/>
        <v/>
      </c>
      <c r="M1935" s="45" t="str">
        <f t="shared" si="26"/>
        <v/>
      </c>
      <c r="N1935" s="45">
        <f t="shared" si="27"/>
        <v>1</v>
      </c>
      <c r="O1935" s="45" t="str">
        <f t="shared" si="28"/>
        <v/>
      </c>
      <c r="P1935" s="45" t="str">
        <f t="shared" si="29"/>
        <v/>
      </c>
    </row>
    <row r="1936" spans="1:16" ht="17.25">
      <c r="A1936" s="276" t="s">
        <v>7254</v>
      </c>
      <c r="B1936" s="277">
        <v>2018</v>
      </c>
      <c r="C1936" s="276"/>
      <c r="D1936" s="277">
        <v>29610442</v>
      </c>
      <c r="E1936" s="278" t="str">
        <f t="shared" si="23"/>
        <v>https://pubmed.ncbi.nlm.nih.gov/29610442</v>
      </c>
      <c r="F1936" s="28" t="s">
        <v>511</v>
      </c>
      <c r="G1936" s="28" t="s">
        <v>7255</v>
      </c>
      <c r="J1936" s="346" t="str">
        <f t="shared" si="19"/>
        <v/>
      </c>
      <c r="K1936" s="28" t="str">
        <f t="shared" si="24"/>
        <v/>
      </c>
      <c r="L1936" s="45" t="str">
        <f t="shared" si="25"/>
        <v/>
      </c>
      <c r="M1936" s="45" t="str">
        <f t="shared" si="26"/>
        <v/>
      </c>
      <c r="N1936" s="45">
        <f t="shared" si="27"/>
        <v>1</v>
      </c>
      <c r="O1936" s="45" t="str">
        <f t="shared" si="28"/>
        <v/>
      </c>
      <c r="P1936" s="45" t="str">
        <f t="shared" si="29"/>
        <v/>
      </c>
    </row>
    <row r="1937" spans="1:16" ht="17.25">
      <c r="A1937" s="276" t="s">
        <v>7256</v>
      </c>
      <c r="B1937" s="277">
        <v>2012</v>
      </c>
      <c r="C1937" s="276"/>
      <c r="D1937" s="277">
        <v>22311561</v>
      </c>
      <c r="E1937" s="278" t="str">
        <f t="shared" si="23"/>
        <v>https://pubmed.ncbi.nlm.nih.gov/22311561</v>
      </c>
      <c r="F1937" s="28" t="s">
        <v>511</v>
      </c>
      <c r="G1937" s="28" t="s">
        <v>4592</v>
      </c>
      <c r="J1937" s="346">
        <f t="shared" si="19"/>
        <v>1</v>
      </c>
      <c r="K1937" s="28" t="str">
        <f t="shared" si="24"/>
        <v/>
      </c>
      <c r="L1937" s="45" t="str">
        <f t="shared" si="25"/>
        <v/>
      </c>
      <c r="M1937" s="45" t="str">
        <f t="shared" si="26"/>
        <v/>
      </c>
      <c r="N1937" s="45" t="str">
        <f t="shared" si="27"/>
        <v/>
      </c>
      <c r="O1937" s="45" t="str">
        <f t="shared" si="28"/>
        <v/>
      </c>
      <c r="P1937" s="45" t="str">
        <f t="shared" si="29"/>
        <v/>
      </c>
    </row>
    <row r="1938" spans="1:16" ht="17.25">
      <c r="A1938" s="276" t="s">
        <v>7257</v>
      </c>
      <c r="B1938" s="277">
        <v>2012</v>
      </c>
      <c r="C1938" s="276" t="s">
        <v>7258</v>
      </c>
      <c r="D1938" s="277">
        <v>22825365</v>
      </c>
      <c r="E1938" s="278" t="str">
        <f t="shared" si="23"/>
        <v>https://pubmed.ncbi.nlm.nih.gov/22825365</v>
      </c>
      <c r="F1938" s="28" t="s">
        <v>511</v>
      </c>
      <c r="G1938" s="28" t="s">
        <v>4744</v>
      </c>
      <c r="I1938" s="28" t="s">
        <v>6625</v>
      </c>
      <c r="J1938" s="346" t="str">
        <f t="shared" si="19"/>
        <v/>
      </c>
      <c r="K1938" s="28" t="str">
        <f t="shared" si="24"/>
        <v/>
      </c>
      <c r="L1938" s="45" t="str">
        <f t="shared" si="25"/>
        <v/>
      </c>
      <c r="M1938" s="45" t="str">
        <f t="shared" si="26"/>
        <v/>
      </c>
      <c r="N1938" s="45">
        <f t="shared" si="27"/>
        <v>1</v>
      </c>
      <c r="O1938" s="45" t="str">
        <f t="shared" si="28"/>
        <v/>
      </c>
      <c r="P1938" s="45" t="str">
        <f t="shared" si="29"/>
        <v/>
      </c>
    </row>
    <row r="1939" spans="1:16" ht="17.25">
      <c r="A1939" s="276" t="s">
        <v>7259</v>
      </c>
      <c r="B1939" s="277">
        <v>2011</v>
      </c>
      <c r="C1939" s="276"/>
      <c r="D1939" s="277">
        <v>21715512</v>
      </c>
      <c r="E1939" s="278" t="str">
        <f t="shared" si="23"/>
        <v>https://pubmed.ncbi.nlm.nih.gov/21715512</v>
      </c>
      <c r="F1939" s="28" t="s">
        <v>511</v>
      </c>
      <c r="G1939" s="28" t="s">
        <v>7260</v>
      </c>
      <c r="J1939" s="346" t="str">
        <f t="shared" si="19"/>
        <v/>
      </c>
      <c r="K1939" s="28" t="str">
        <f t="shared" si="24"/>
        <v/>
      </c>
      <c r="L1939" s="45" t="str">
        <f t="shared" si="25"/>
        <v/>
      </c>
      <c r="M1939" s="45" t="str">
        <f t="shared" si="26"/>
        <v/>
      </c>
      <c r="N1939" s="45" t="str">
        <f t="shared" si="27"/>
        <v/>
      </c>
      <c r="O1939" s="45">
        <f t="shared" si="28"/>
        <v>1</v>
      </c>
      <c r="P1939" s="45" t="str">
        <f t="shared" si="29"/>
        <v/>
      </c>
    </row>
    <row r="1940" spans="1:16" ht="17.25">
      <c r="A1940" s="276" t="s">
        <v>7261</v>
      </c>
      <c r="B1940" s="277">
        <v>2014</v>
      </c>
      <c r="C1940" s="276"/>
      <c r="D1940" s="277">
        <v>24838139</v>
      </c>
      <c r="E1940" s="278" t="str">
        <f t="shared" si="23"/>
        <v>https://pubmed.ncbi.nlm.nih.gov/24838139</v>
      </c>
      <c r="F1940" s="28" t="s">
        <v>511</v>
      </c>
      <c r="G1940" s="28" t="s">
        <v>4592</v>
      </c>
      <c r="J1940" s="346">
        <f t="shared" si="19"/>
        <v>1</v>
      </c>
      <c r="K1940" s="28" t="str">
        <f t="shared" si="24"/>
        <v/>
      </c>
      <c r="L1940" s="45" t="str">
        <f t="shared" si="25"/>
        <v/>
      </c>
      <c r="M1940" s="45" t="str">
        <f t="shared" si="26"/>
        <v/>
      </c>
      <c r="N1940" s="45" t="str">
        <f t="shared" si="27"/>
        <v/>
      </c>
      <c r="O1940" s="45" t="str">
        <f t="shared" si="28"/>
        <v/>
      </c>
      <c r="P1940" s="45" t="str">
        <f t="shared" si="29"/>
        <v/>
      </c>
    </row>
    <row r="1941" spans="1:16" ht="17.25">
      <c r="A1941" s="276" t="s">
        <v>7262</v>
      </c>
      <c r="B1941" s="277">
        <v>2007</v>
      </c>
      <c r="C1941" s="276"/>
      <c r="D1941" s="277">
        <v>17692427</v>
      </c>
      <c r="E1941" s="278" t="str">
        <f t="shared" si="23"/>
        <v>https://pubmed.ncbi.nlm.nih.gov/17692427</v>
      </c>
      <c r="F1941" s="28" t="s">
        <v>511</v>
      </c>
      <c r="G1941" s="28" t="s">
        <v>4592</v>
      </c>
      <c r="J1941" s="346">
        <f t="shared" si="19"/>
        <v>1</v>
      </c>
      <c r="K1941" s="28" t="str">
        <f t="shared" si="24"/>
        <v/>
      </c>
      <c r="L1941" s="45" t="str">
        <f t="shared" si="25"/>
        <v/>
      </c>
      <c r="M1941" s="45" t="str">
        <f t="shared" si="26"/>
        <v/>
      </c>
      <c r="N1941" s="45" t="str">
        <f t="shared" si="27"/>
        <v/>
      </c>
      <c r="O1941" s="45" t="str">
        <f t="shared" si="28"/>
        <v/>
      </c>
      <c r="P1941" s="45" t="str">
        <f t="shared" si="29"/>
        <v/>
      </c>
    </row>
    <row r="1942" spans="1:16" ht="17.25">
      <c r="A1942" s="276" t="s">
        <v>7263</v>
      </c>
      <c r="B1942" s="277">
        <v>2002</v>
      </c>
      <c r="C1942" s="276"/>
      <c r="D1942" s="277">
        <v>11923699</v>
      </c>
      <c r="E1942" s="278" t="str">
        <f t="shared" si="23"/>
        <v>https://pubmed.ncbi.nlm.nih.gov/11923699</v>
      </c>
      <c r="F1942" s="28" t="s">
        <v>511</v>
      </c>
      <c r="G1942" s="28" t="s">
        <v>4744</v>
      </c>
      <c r="J1942" s="346" t="str">
        <f t="shared" si="19"/>
        <v/>
      </c>
      <c r="K1942" s="28" t="str">
        <f t="shared" si="24"/>
        <v/>
      </c>
      <c r="L1942" s="45" t="str">
        <f t="shared" si="25"/>
        <v/>
      </c>
      <c r="M1942" s="45" t="str">
        <f t="shared" si="26"/>
        <v/>
      </c>
      <c r="N1942" s="45">
        <f t="shared" si="27"/>
        <v>1</v>
      </c>
      <c r="O1942" s="45" t="str">
        <f t="shared" si="28"/>
        <v/>
      </c>
      <c r="P1942" s="45" t="str">
        <f t="shared" si="29"/>
        <v/>
      </c>
    </row>
    <row r="1943" spans="1:16" ht="17.25">
      <c r="A1943" s="276" t="s">
        <v>7264</v>
      </c>
      <c r="B1943" s="277">
        <v>2021</v>
      </c>
      <c r="C1943" s="276" t="s">
        <v>7265</v>
      </c>
      <c r="D1943" s="277">
        <v>33406138</v>
      </c>
      <c r="E1943" s="278" t="str">
        <f t="shared" si="23"/>
        <v>https://pubmed.ncbi.nlm.nih.gov/33406138</v>
      </c>
      <c r="F1943" s="28" t="s">
        <v>511</v>
      </c>
      <c r="G1943" s="28" t="s">
        <v>6220</v>
      </c>
      <c r="J1943" s="346">
        <f t="shared" si="19"/>
        <v>1</v>
      </c>
      <c r="K1943" s="28" t="str">
        <f t="shared" si="24"/>
        <v/>
      </c>
      <c r="L1943" s="45" t="str">
        <f t="shared" si="25"/>
        <v/>
      </c>
      <c r="M1943" s="45" t="str">
        <f t="shared" si="26"/>
        <v/>
      </c>
      <c r="N1943" s="45" t="str">
        <f t="shared" si="27"/>
        <v/>
      </c>
      <c r="O1943" s="45" t="str">
        <f t="shared" si="28"/>
        <v/>
      </c>
      <c r="P1943" s="45" t="str">
        <f t="shared" si="29"/>
        <v/>
      </c>
    </row>
    <row r="1944" spans="1:16" ht="17.25">
      <c r="A1944" s="276" t="s">
        <v>7266</v>
      </c>
      <c r="B1944" s="277">
        <v>2017</v>
      </c>
      <c r="C1944" s="276" t="s">
        <v>7267</v>
      </c>
      <c r="D1944" s="277">
        <v>28494777</v>
      </c>
      <c r="E1944" s="278" t="str">
        <f t="shared" si="23"/>
        <v>https://pubmed.ncbi.nlm.nih.gov/28494777</v>
      </c>
      <c r="F1944" s="28" t="s">
        <v>511</v>
      </c>
      <c r="G1944" s="28" t="s">
        <v>5157</v>
      </c>
      <c r="J1944" s="346" t="str">
        <f t="shared" si="19"/>
        <v/>
      </c>
      <c r="K1944" s="28" t="str">
        <f t="shared" si="24"/>
        <v/>
      </c>
      <c r="L1944" s="45" t="str">
        <f t="shared" si="25"/>
        <v/>
      </c>
      <c r="M1944" s="45" t="str">
        <f t="shared" si="26"/>
        <v/>
      </c>
      <c r="N1944" s="45">
        <f t="shared" si="27"/>
        <v>1</v>
      </c>
      <c r="O1944" s="45" t="str">
        <f t="shared" si="28"/>
        <v/>
      </c>
      <c r="P1944" s="45" t="str">
        <f t="shared" si="29"/>
        <v/>
      </c>
    </row>
    <row r="1945" spans="1:16" ht="17.25">
      <c r="A1945" s="276" t="s">
        <v>7268</v>
      </c>
      <c r="B1945" s="277">
        <v>2012</v>
      </c>
      <c r="C1945" s="276"/>
      <c r="D1945" s="277">
        <v>23044202</v>
      </c>
      <c r="E1945" s="278" t="str">
        <f t="shared" si="23"/>
        <v>https://pubmed.ncbi.nlm.nih.gov/23044202</v>
      </c>
      <c r="F1945" s="28" t="s">
        <v>511</v>
      </c>
      <c r="G1945" s="28" t="s">
        <v>7269</v>
      </c>
      <c r="J1945" s="346">
        <f t="shared" si="19"/>
        <v>1</v>
      </c>
      <c r="K1945" s="28" t="str">
        <f t="shared" si="24"/>
        <v/>
      </c>
      <c r="L1945" s="45" t="str">
        <f t="shared" si="25"/>
        <v/>
      </c>
      <c r="M1945" s="45" t="str">
        <f t="shared" si="26"/>
        <v/>
      </c>
      <c r="N1945" s="45" t="str">
        <f t="shared" si="27"/>
        <v/>
      </c>
      <c r="O1945" s="45" t="str">
        <f t="shared" si="28"/>
        <v/>
      </c>
      <c r="P1945" s="45" t="str">
        <f t="shared" si="29"/>
        <v/>
      </c>
    </row>
    <row r="1946" spans="1:16" ht="17.25">
      <c r="A1946" s="276" t="s">
        <v>7270</v>
      </c>
      <c r="B1946" s="277">
        <v>2019</v>
      </c>
      <c r="C1946" s="276"/>
      <c r="D1946" s="277">
        <v>31499732</v>
      </c>
      <c r="E1946" s="278" t="str">
        <f t="shared" si="23"/>
        <v>https://pubmed.ncbi.nlm.nih.gov/31499732</v>
      </c>
      <c r="F1946" s="28" t="s">
        <v>511</v>
      </c>
      <c r="G1946" s="28" t="s">
        <v>6220</v>
      </c>
      <c r="J1946" s="346">
        <f t="shared" si="19"/>
        <v>1</v>
      </c>
      <c r="K1946" s="28" t="str">
        <f t="shared" si="24"/>
        <v/>
      </c>
      <c r="L1946" s="45" t="str">
        <f t="shared" si="25"/>
        <v/>
      </c>
      <c r="M1946" s="45" t="str">
        <f t="shared" si="26"/>
        <v/>
      </c>
      <c r="N1946" s="45" t="str">
        <f t="shared" si="27"/>
        <v/>
      </c>
      <c r="O1946" s="45" t="str">
        <f t="shared" si="28"/>
        <v/>
      </c>
      <c r="P1946" s="45" t="str">
        <f t="shared" si="29"/>
        <v/>
      </c>
    </row>
    <row r="1947" spans="1:16" ht="17.25">
      <c r="A1947" s="276" t="s">
        <v>7271</v>
      </c>
      <c r="B1947" s="277">
        <v>2008</v>
      </c>
      <c r="C1947" s="276"/>
      <c r="D1947" s="277">
        <v>18691983</v>
      </c>
      <c r="E1947" s="278" t="str">
        <f t="shared" si="23"/>
        <v>https://pubmed.ncbi.nlm.nih.gov/18691983</v>
      </c>
      <c r="F1947" s="28" t="s">
        <v>511</v>
      </c>
      <c r="G1947" s="28" t="s">
        <v>4592</v>
      </c>
      <c r="J1947" s="346">
        <f t="shared" si="19"/>
        <v>1</v>
      </c>
      <c r="K1947" s="28" t="str">
        <f t="shared" si="24"/>
        <v/>
      </c>
      <c r="L1947" s="45" t="str">
        <f t="shared" si="25"/>
        <v/>
      </c>
      <c r="M1947" s="45" t="str">
        <f t="shared" si="26"/>
        <v/>
      </c>
      <c r="N1947" s="45" t="str">
        <f t="shared" si="27"/>
        <v/>
      </c>
      <c r="O1947" s="45" t="str">
        <f t="shared" si="28"/>
        <v/>
      </c>
      <c r="P1947" s="45" t="str">
        <f t="shared" si="29"/>
        <v/>
      </c>
    </row>
    <row r="1948" spans="1:16" ht="17.25">
      <c r="A1948" s="276" t="s">
        <v>7272</v>
      </c>
      <c r="B1948" s="277">
        <v>2020</v>
      </c>
      <c r="C1948" s="276" t="s">
        <v>6291</v>
      </c>
      <c r="D1948" s="277">
        <v>32393496</v>
      </c>
      <c r="E1948" s="278" t="str">
        <f t="shared" si="23"/>
        <v>https://pubmed.ncbi.nlm.nih.gov/32393496</v>
      </c>
      <c r="F1948" s="28" t="s">
        <v>511</v>
      </c>
      <c r="G1948" s="28" t="s">
        <v>4867</v>
      </c>
      <c r="J1948" s="346" t="str">
        <f t="shared" si="19"/>
        <v/>
      </c>
      <c r="K1948" s="28" t="str">
        <f t="shared" si="24"/>
        <v/>
      </c>
      <c r="L1948" s="45" t="str">
        <f t="shared" si="25"/>
        <v/>
      </c>
      <c r="M1948" s="45" t="str">
        <f t="shared" si="26"/>
        <v/>
      </c>
      <c r="N1948" s="45">
        <f t="shared" si="27"/>
        <v>1</v>
      </c>
      <c r="O1948" s="45" t="str">
        <f t="shared" si="28"/>
        <v/>
      </c>
      <c r="P1948" s="45" t="str">
        <f t="shared" si="29"/>
        <v/>
      </c>
    </row>
    <row r="1949" spans="1:16" ht="17.25">
      <c r="A1949" s="276" t="s">
        <v>7273</v>
      </c>
      <c r="B1949" s="277">
        <v>2008</v>
      </c>
      <c r="C1949" s="276"/>
      <c r="D1949" s="277">
        <v>18363895</v>
      </c>
      <c r="E1949" s="278" t="str">
        <f t="shared" si="23"/>
        <v>https://pubmed.ncbi.nlm.nih.gov/18363895</v>
      </c>
      <c r="F1949" s="28" t="s">
        <v>511</v>
      </c>
      <c r="G1949" s="28" t="s">
        <v>4744</v>
      </c>
      <c r="J1949" s="346" t="str">
        <f t="shared" si="19"/>
        <v/>
      </c>
      <c r="K1949" s="28" t="str">
        <f t="shared" si="24"/>
        <v/>
      </c>
      <c r="L1949" s="45" t="str">
        <f t="shared" si="25"/>
        <v/>
      </c>
      <c r="M1949" s="45" t="str">
        <f t="shared" si="26"/>
        <v/>
      </c>
      <c r="N1949" s="45">
        <f t="shared" si="27"/>
        <v>1</v>
      </c>
      <c r="O1949" s="45" t="str">
        <f t="shared" si="28"/>
        <v/>
      </c>
      <c r="P1949" s="45" t="str">
        <f t="shared" si="29"/>
        <v/>
      </c>
    </row>
    <row r="1950" spans="1:16" ht="17.25">
      <c r="A1950" s="276" t="s">
        <v>7274</v>
      </c>
      <c r="B1950" s="277">
        <v>2011</v>
      </c>
      <c r="C1950" s="276"/>
      <c r="D1950" s="277">
        <v>21874744</v>
      </c>
      <c r="E1950" s="278" t="str">
        <f t="shared" si="23"/>
        <v>https://pubmed.ncbi.nlm.nih.gov/21874744</v>
      </c>
      <c r="F1950" s="28" t="s">
        <v>511</v>
      </c>
      <c r="G1950" s="28" t="s">
        <v>4592</v>
      </c>
      <c r="J1950" s="346">
        <f t="shared" si="19"/>
        <v>1</v>
      </c>
      <c r="K1950" s="28" t="str">
        <f t="shared" si="24"/>
        <v/>
      </c>
      <c r="L1950" s="45" t="str">
        <f t="shared" si="25"/>
        <v/>
      </c>
      <c r="M1950" s="45" t="str">
        <f t="shared" si="26"/>
        <v/>
      </c>
      <c r="N1950" s="45" t="str">
        <f t="shared" si="27"/>
        <v/>
      </c>
      <c r="O1950" s="45" t="str">
        <f t="shared" si="28"/>
        <v/>
      </c>
      <c r="P1950" s="45" t="str">
        <f t="shared" si="29"/>
        <v/>
      </c>
    </row>
    <row r="1951" spans="1:16" ht="17.25">
      <c r="A1951" s="276" t="s">
        <v>7275</v>
      </c>
      <c r="B1951" s="277">
        <v>2020</v>
      </c>
      <c r="C1951" s="276" t="s">
        <v>7276</v>
      </c>
      <c r="D1951" s="277">
        <v>32229520</v>
      </c>
      <c r="E1951" s="278" t="str">
        <f t="shared" si="23"/>
        <v>https://pubmed.ncbi.nlm.nih.gov/32229520</v>
      </c>
      <c r="F1951" s="28" t="s">
        <v>511</v>
      </c>
      <c r="G1951" s="28" t="s">
        <v>5299</v>
      </c>
      <c r="J1951" s="346" t="str">
        <f t="shared" si="19"/>
        <v/>
      </c>
      <c r="K1951" s="28" t="str">
        <f t="shared" si="24"/>
        <v/>
      </c>
      <c r="L1951" s="45" t="str">
        <f t="shared" si="25"/>
        <v/>
      </c>
      <c r="M1951" s="45" t="str">
        <f t="shared" si="26"/>
        <v/>
      </c>
      <c r="N1951" s="45">
        <f t="shared" si="27"/>
        <v>1</v>
      </c>
      <c r="O1951" s="45" t="str">
        <f t="shared" si="28"/>
        <v/>
      </c>
      <c r="P1951" s="45" t="str">
        <f t="shared" si="29"/>
        <v/>
      </c>
    </row>
    <row r="1952" spans="1:16" ht="17.25">
      <c r="A1952" s="276" t="s">
        <v>7277</v>
      </c>
      <c r="B1952" s="277">
        <v>2019</v>
      </c>
      <c r="C1952" s="276" t="s">
        <v>7278</v>
      </c>
      <c r="D1952" s="277">
        <v>30844887</v>
      </c>
      <c r="E1952" s="278" t="str">
        <f t="shared" si="23"/>
        <v>https://pubmed.ncbi.nlm.nih.gov/30844887</v>
      </c>
      <c r="F1952" s="28" t="s">
        <v>511</v>
      </c>
      <c r="G1952" s="28" t="s">
        <v>4592</v>
      </c>
      <c r="J1952" s="346">
        <f t="shared" si="19"/>
        <v>1</v>
      </c>
      <c r="K1952" s="28" t="str">
        <f t="shared" si="24"/>
        <v/>
      </c>
      <c r="L1952" s="45" t="str">
        <f t="shared" si="25"/>
        <v/>
      </c>
      <c r="M1952" s="45" t="str">
        <f t="shared" si="26"/>
        <v/>
      </c>
      <c r="N1952" s="45" t="str">
        <f t="shared" si="27"/>
        <v/>
      </c>
      <c r="O1952" s="45" t="str">
        <f t="shared" si="28"/>
        <v/>
      </c>
      <c r="P1952" s="45" t="str">
        <f t="shared" si="29"/>
        <v/>
      </c>
    </row>
    <row r="1953" spans="1:16" ht="17.25">
      <c r="A1953" s="276" t="s">
        <v>7279</v>
      </c>
      <c r="B1953" s="277">
        <v>2015</v>
      </c>
      <c r="C1953" s="276"/>
      <c r="D1953" s="277">
        <v>25773054</v>
      </c>
      <c r="E1953" s="278" t="str">
        <f t="shared" si="23"/>
        <v>https://pubmed.ncbi.nlm.nih.gov/25773054</v>
      </c>
      <c r="F1953" s="28" t="s">
        <v>511</v>
      </c>
      <c r="G1953" s="28" t="s">
        <v>4592</v>
      </c>
      <c r="J1953" s="346">
        <f t="shared" si="19"/>
        <v>1</v>
      </c>
      <c r="K1953" s="28" t="str">
        <f t="shared" si="24"/>
        <v/>
      </c>
      <c r="L1953" s="45" t="str">
        <f t="shared" si="25"/>
        <v/>
      </c>
      <c r="M1953" s="45" t="str">
        <f t="shared" si="26"/>
        <v/>
      </c>
      <c r="N1953" s="45" t="str">
        <f t="shared" si="27"/>
        <v/>
      </c>
      <c r="O1953" s="45" t="str">
        <f t="shared" si="28"/>
        <v/>
      </c>
      <c r="P1953" s="45" t="str">
        <f t="shared" si="29"/>
        <v/>
      </c>
    </row>
    <row r="1954" spans="1:16" ht="17.25">
      <c r="A1954" s="276" t="s">
        <v>7280</v>
      </c>
      <c r="B1954" s="277">
        <v>2019</v>
      </c>
      <c r="C1954" s="276"/>
      <c r="D1954" s="277">
        <v>31631355</v>
      </c>
      <c r="E1954" s="278" t="str">
        <f t="shared" si="23"/>
        <v>https://pubmed.ncbi.nlm.nih.gov/31631355</v>
      </c>
      <c r="F1954" s="28" t="s">
        <v>511</v>
      </c>
      <c r="G1954" s="28" t="s">
        <v>7281</v>
      </c>
      <c r="J1954" s="346" t="str">
        <f t="shared" si="19"/>
        <v/>
      </c>
      <c r="K1954" s="28" t="str">
        <f t="shared" si="24"/>
        <v/>
      </c>
      <c r="L1954" s="45" t="str">
        <f t="shared" si="25"/>
        <v/>
      </c>
      <c r="M1954" s="45" t="str">
        <f t="shared" si="26"/>
        <v/>
      </c>
      <c r="N1954" s="45" t="str">
        <f t="shared" si="27"/>
        <v/>
      </c>
      <c r="O1954" s="45">
        <f t="shared" si="28"/>
        <v>1</v>
      </c>
      <c r="P1954" s="45" t="str">
        <f t="shared" si="29"/>
        <v/>
      </c>
    </row>
    <row r="1955" spans="1:16" ht="17.25">
      <c r="A1955" s="276" t="s">
        <v>7282</v>
      </c>
      <c r="B1955" s="277">
        <v>2012</v>
      </c>
      <c r="C1955" s="276"/>
      <c r="D1955" s="277">
        <v>22398670</v>
      </c>
      <c r="E1955" s="278" t="str">
        <f t="shared" si="23"/>
        <v>https://pubmed.ncbi.nlm.nih.gov/22398670</v>
      </c>
      <c r="F1955" s="28" t="s">
        <v>511</v>
      </c>
      <c r="G1955" s="28" t="s">
        <v>4744</v>
      </c>
      <c r="J1955" s="346" t="str">
        <f t="shared" si="19"/>
        <v/>
      </c>
      <c r="K1955" s="28" t="str">
        <f t="shared" si="24"/>
        <v/>
      </c>
      <c r="L1955" s="45" t="str">
        <f t="shared" si="25"/>
        <v/>
      </c>
      <c r="M1955" s="45" t="str">
        <f t="shared" si="26"/>
        <v/>
      </c>
      <c r="N1955" s="45">
        <f t="shared" si="27"/>
        <v>1</v>
      </c>
      <c r="O1955" s="45" t="str">
        <f t="shared" si="28"/>
        <v/>
      </c>
      <c r="P1955" s="45" t="str">
        <f t="shared" si="29"/>
        <v/>
      </c>
    </row>
    <row r="1956" spans="1:16" ht="17.25">
      <c r="A1956" s="276" t="s">
        <v>7283</v>
      </c>
      <c r="B1956" s="277">
        <v>2013</v>
      </c>
      <c r="C1956" s="276"/>
      <c r="D1956" s="277">
        <v>24092568</v>
      </c>
      <c r="E1956" s="278" t="str">
        <f t="shared" si="23"/>
        <v>https://pubmed.ncbi.nlm.nih.gov/24092568</v>
      </c>
      <c r="F1956" s="28" t="s">
        <v>511</v>
      </c>
      <c r="G1956" s="28" t="s">
        <v>5157</v>
      </c>
      <c r="J1956" s="346" t="str">
        <f t="shared" si="19"/>
        <v/>
      </c>
      <c r="K1956" s="28" t="str">
        <f t="shared" si="24"/>
        <v/>
      </c>
      <c r="L1956" s="45" t="str">
        <f t="shared" si="25"/>
        <v/>
      </c>
      <c r="M1956" s="45" t="str">
        <f t="shared" si="26"/>
        <v/>
      </c>
      <c r="N1956" s="45">
        <f t="shared" si="27"/>
        <v>1</v>
      </c>
      <c r="O1956" s="45" t="str">
        <f t="shared" si="28"/>
        <v/>
      </c>
      <c r="P1956" s="45" t="str">
        <f t="shared" si="29"/>
        <v/>
      </c>
    </row>
    <row r="1957" spans="1:16" ht="17.25">
      <c r="A1957" s="276" t="s">
        <v>7284</v>
      </c>
      <c r="B1957" s="277">
        <v>2020</v>
      </c>
      <c r="C1957" s="276" t="s">
        <v>7285</v>
      </c>
      <c r="D1957" s="277">
        <v>31900271</v>
      </c>
      <c r="E1957" s="278" t="str">
        <f t="shared" si="23"/>
        <v>https://pubmed.ncbi.nlm.nih.gov/31900271</v>
      </c>
      <c r="F1957" s="28" t="s">
        <v>511</v>
      </c>
      <c r="G1957" s="28" t="s">
        <v>6220</v>
      </c>
      <c r="J1957" s="346">
        <f t="shared" si="19"/>
        <v>1</v>
      </c>
      <c r="K1957" s="28" t="str">
        <f t="shared" si="24"/>
        <v/>
      </c>
      <c r="L1957" s="45" t="str">
        <f t="shared" si="25"/>
        <v/>
      </c>
      <c r="M1957" s="45" t="str">
        <f t="shared" si="26"/>
        <v/>
      </c>
      <c r="N1957" s="45" t="str">
        <f t="shared" si="27"/>
        <v/>
      </c>
      <c r="O1957" s="45" t="str">
        <f t="shared" si="28"/>
        <v/>
      </c>
      <c r="P1957" s="45" t="str">
        <f t="shared" si="29"/>
        <v/>
      </c>
    </row>
    <row r="1958" spans="1:16" ht="17.25">
      <c r="A1958" s="276" t="s">
        <v>7286</v>
      </c>
      <c r="B1958" s="277">
        <v>2012</v>
      </c>
      <c r="C1958" s="276" t="s">
        <v>7287</v>
      </c>
      <c r="D1958" s="277">
        <v>23076910</v>
      </c>
      <c r="E1958" s="278" t="str">
        <f t="shared" si="23"/>
        <v>https://pubmed.ncbi.nlm.nih.gov/23076910</v>
      </c>
      <c r="F1958" s="28" t="s">
        <v>511</v>
      </c>
      <c r="G1958" s="28" t="s">
        <v>4592</v>
      </c>
      <c r="J1958" s="346">
        <f t="shared" si="19"/>
        <v>1</v>
      </c>
      <c r="K1958" s="28" t="str">
        <f t="shared" si="24"/>
        <v/>
      </c>
      <c r="L1958" s="45" t="str">
        <f t="shared" si="25"/>
        <v/>
      </c>
      <c r="M1958" s="45" t="str">
        <f t="shared" si="26"/>
        <v/>
      </c>
      <c r="N1958" s="45" t="str">
        <f t="shared" si="27"/>
        <v/>
      </c>
      <c r="O1958" s="45" t="str">
        <f t="shared" si="28"/>
        <v/>
      </c>
      <c r="P1958" s="45" t="str">
        <f t="shared" si="29"/>
        <v/>
      </c>
    </row>
    <row r="1959" spans="1:16" ht="17.25">
      <c r="A1959" s="276" t="s">
        <v>7286</v>
      </c>
      <c r="B1959" s="277">
        <v>2006</v>
      </c>
      <c r="C1959" s="276"/>
      <c r="D1959" s="277">
        <v>16437501</v>
      </c>
      <c r="E1959" s="278" t="str">
        <f t="shared" si="23"/>
        <v>https://pubmed.ncbi.nlm.nih.gov/16437501</v>
      </c>
      <c r="F1959" s="28" t="s">
        <v>511</v>
      </c>
      <c r="G1959" s="28" t="s">
        <v>4592</v>
      </c>
      <c r="J1959" s="346">
        <f t="shared" si="19"/>
        <v>1</v>
      </c>
      <c r="K1959" s="28" t="str">
        <f t="shared" si="24"/>
        <v/>
      </c>
      <c r="L1959" s="45" t="str">
        <f t="shared" si="25"/>
        <v/>
      </c>
      <c r="M1959" s="45" t="str">
        <f t="shared" si="26"/>
        <v/>
      </c>
      <c r="N1959" s="45" t="str">
        <f t="shared" si="27"/>
        <v/>
      </c>
      <c r="O1959" s="45" t="str">
        <f t="shared" si="28"/>
        <v/>
      </c>
      <c r="P1959" s="45" t="str">
        <f t="shared" si="29"/>
        <v/>
      </c>
    </row>
    <row r="1960" spans="1:16" ht="17.25">
      <c r="A1960" s="276" t="s">
        <v>7288</v>
      </c>
      <c r="B1960" s="277">
        <v>2014</v>
      </c>
      <c r="C1960" s="276" t="s">
        <v>7289</v>
      </c>
      <c r="D1960" s="277">
        <v>24963105</v>
      </c>
      <c r="E1960" s="278" t="str">
        <f t="shared" si="23"/>
        <v>https://pubmed.ncbi.nlm.nih.gov/24963105</v>
      </c>
      <c r="F1960" s="28" t="s">
        <v>511</v>
      </c>
      <c r="G1960" s="28" t="s">
        <v>7290</v>
      </c>
      <c r="J1960" s="346" t="str">
        <f t="shared" si="19"/>
        <v/>
      </c>
      <c r="K1960" s="28" t="str">
        <f t="shared" si="24"/>
        <v/>
      </c>
      <c r="L1960" s="45" t="str">
        <f t="shared" si="25"/>
        <v/>
      </c>
      <c r="M1960" s="45" t="str">
        <f t="shared" si="26"/>
        <v/>
      </c>
      <c r="N1960" s="45">
        <f t="shared" si="27"/>
        <v>1</v>
      </c>
      <c r="O1960" s="45" t="str">
        <f t="shared" si="28"/>
        <v/>
      </c>
      <c r="P1960" s="45" t="str">
        <f t="shared" si="29"/>
        <v/>
      </c>
    </row>
    <row r="1961" spans="1:16" ht="17.25">
      <c r="A1961" s="276" t="s">
        <v>7291</v>
      </c>
      <c r="B1961" s="277">
        <v>2015</v>
      </c>
      <c r="C1961" s="276"/>
      <c r="D1961" s="277">
        <v>26606533</v>
      </c>
      <c r="E1961" s="278" t="str">
        <f t="shared" si="23"/>
        <v>https://pubmed.ncbi.nlm.nih.gov/26606533</v>
      </c>
      <c r="F1961" s="28" t="s">
        <v>511</v>
      </c>
      <c r="G1961" s="28" t="s">
        <v>4592</v>
      </c>
      <c r="J1961" s="346">
        <f t="shared" si="19"/>
        <v>1</v>
      </c>
      <c r="K1961" s="28" t="str">
        <f t="shared" si="24"/>
        <v/>
      </c>
      <c r="L1961" s="45" t="str">
        <f t="shared" si="25"/>
        <v/>
      </c>
      <c r="M1961" s="45" t="str">
        <f t="shared" si="26"/>
        <v/>
      </c>
      <c r="N1961" s="45" t="str">
        <f t="shared" si="27"/>
        <v/>
      </c>
      <c r="O1961" s="45" t="str">
        <f t="shared" si="28"/>
        <v/>
      </c>
      <c r="P1961" s="45" t="str">
        <f t="shared" si="29"/>
        <v/>
      </c>
    </row>
    <row r="1962" spans="1:16" ht="17.25">
      <c r="A1962" s="276" t="s">
        <v>1071</v>
      </c>
      <c r="B1962" s="277">
        <v>2020</v>
      </c>
      <c r="C1962" s="276" t="s">
        <v>4174</v>
      </c>
      <c r="D1962" s="277">
        <v>32938444</v>
      </c>
      <c r="E1962" s="278" t="str">
        <f t="shared" si="23"/>
        <v>https://pubmed.ncbi.nlm.nih.gov/32938444</v>
      </c>
      <c r="H1962" s="28" t="s">
        <v>511</v>
      </c>
      <c r="J1962" s="346" t="str">
        <f t="shared" si="19"/>
        <v/>
      </c>
      <c r="K1962" s="28" t="str">
        <f t="shared" si="24"/>
        <v/>
      </c>
      <c r="L1962" s="45" t="str">
        <f t="shared" si="25"/>
        <v/>
      </c>
      <c r="M1962" s="45" t="str">
        <f t="shared" si="26"/>
        <v/>
      </c>
      <c r="N1962" s="45" t="str">
        <f t="shared" si="27"/>
        <v/>
      </c>
      <c r="O1962" s="45" t="str">
        <f t="shared" si="28"/>
        <v/>
      </c>
      <c r="P1962" s="45" t="str">
        <f t="shared" si="29"/>
        <v/>
      </c>
    </row>
    <row r="1963" spans="1:16" ht="17.25">
      <c r="A1963" s="276" t="s">
        <v>7292</v>
      </c>
      <c r="B1963" s="277">
        <v>2017</v>
      </c>
      <c r="C1963" s="276" t="s">
        <v>7293</v>
      </c>
      <c r="D1963" s="277">
        <v>28592581</v>
      </c>
      <c r="E1963" s="278" t="str">
        <f t="shared" si="23"/>
        <v>https://pubmed.ncbi.nlm.nih.gov/28592581</v>
      </c>
      <c r="F1963" s="28" t="s">
        <v>511</v>
      </c>
      <c r="G1963" s="28" t="s">
        <v>4867</v>
      </c>
      <c r="J1963" s="346" t="str">
        <f t="shared" si="19"/>
        <v/>
      </c>
      <c r="K1963" s="28" t="str">
        <f t="shared" si="24"/>
        <v/>
      </c>
      <c r="L1963" s="45" t="str">
        <f t="shared" si="25"/>
        <v/>
      </c>
      <c r="M1963" s="45" t="str">
        <f t="shared" si="26"/>
        <v/>
      </c>
      <c r="N1963" s="45">
        <f t="shared" si="27"/>
        <v>1</v>
      </c>
      <c r="O1963" s="45" t="str">
        <f t="shared" si="28"/>
        <v/>
      </c>
      <c r="P1963" s="45" t="str">
        <f t="shared" si="29"/>
        <v/>
      </c>
    </row>
    <row r="1964" spans="1:16" ht="17.25">
      <c r="A1964" s="276" t="s">
        <v>7294</v>
      </c>
      <c r="B1964" s="277">
        <v>2010</v>
      </c>
      <c r="C1964" s="276"/>
      <c r="D1964" s="277">
        <v>20670049</v>
      </c>
      <c r="E1964" s="278" t="str">
        <f t="shared" si="23"/>
        <v>https://pubmed.ncbi.nlm.nih.gov/20670049</v>
      </c>
      <c r="F1964" s="28" t="s">
        <v>511</v>
      </c>
      <c r="G1964" s="28" t="s">
        <v>4744</v>
      </c>
      <c r="J1964" s="346" t="str">
        <f t="shared" si="19"/>
        <v/>
      </c>
      <c r="K1964" s="28" t="str">
        <f t="shared" si="24"/>
        <v/>
      </c>
      <c r="L1964" s="45" t="str">
        <f t="shared" si="25"/>
        <v/>
      </c>
      <c r="M1964" s="45" t="str">
        <f t="shared" si="26"/>
        <v/>
      </c>
      <c r="N1964" s="45">
        <f t="shared" si="27"/>
        <v>1</v>
      </c>
      <c r="O1964" s="45" t="str">
        <f t="shared" si="28"/>
        <v/>
      </c>
      <c r="P1964" s="45" t="str">
        <f t="shared" si="29"/>
        <v/>
      </c>
    </row>
    <row r="1965" spans="1:16" ht="17.25">
      <c r="A1965" s="276" t="s">
        <v>7295</v>
      </c>
      <c r="B1965" s="277">
        <v>2016</v>
      </c>
      <c r="C1965" s="276"/>
      <c r="D1965" s="277">
        <v>26687281</v>
      </c>
      <c r="E1965" s="278" t="str">
        <f t="shared" si="23"/>
        <v>https://pubmed.ncbi.nlm.nih.gov/26687281</v>
      </c>
      <c r="F1965" s="28" t="s">
        <v>511</v>
      </c>
      <c r="G1965" s="28" t="s">
        <v>4592</v>
      </c>
      <c r="J1965" s="346">
        <f t="shared" si="19"/>
        <v>1</v>
      </c>
      <c r="K1965" s="28" t="str">
        <f t="shared" si="24"/>
        <v/>
      </c>
      <c r="L1965" s="45" t="str">
        <f t="shared" si="25"/>
        <v/>
      </c>
      <c r="M1965" s="45" t="str">
        <f t="shared" si="26"/>
        <v/>
      </c>
      <c r="N1965" s="45" t="str">
        <f t="shared" si="27"/>
        <v/>
      </c>
      <c r="O1965" s="45" t="str">
        <f t="shared" si="28"/>
        <v/>
      </c>
      <c r="P1965" s="45" t="str">
        <f t="shared" si="29"/>
        <v/>
      </c>
    </row>
    <row r="1966" spans="1:16" ht="17.25">
      <c r="A1966" s="276" t="s">
        <v>7296</v>
      </c>
      <c r="B1966" s="277">
        <v>2018</v>
      </c>
      <c r="C1966" s="276"/>
      <c r="D1966" s="277">
        <v>30290902</v>
      </c>
      <c r="E1966" s="278" t="str">
        <f t="shared" si="23"/>
        <v>https://pubmed.ncbi.nlm.nih.gov/30290902</v>
      </c>
      <c r="F1966" s="28" t="s">
        <v>511</v>
      </c>
      <c r="G1966" s="28" t="s">
        <v>4867</v>
      </c>
      <c r="J1966" s="346" t="str">
        <f t="shared" si="19"/>
        <v/>
      </c>
      <c r="K1966" s="28" t="str">
        <f t="shared" si="24"/>
        <v/>
      </c>
      <c r="L1966" s="45" t="str">
        <f t="shared" si="25"/>
        <v/>
      </c>
      <c r="M1966" s="45" t="str">
        <f t="shared" si="26"/>
        <v/>
      </c>
      <c r="N1966" s="45">
        <f t="shared" si="27"/>
        <v>1</v>
      </c>
      <c r="O1966" s="45" t="str">
        <f t="shared" si="28"/>
        <v/>
      </c>
      <c r="P1966" s="45" t="str">
        <f t="shared" si="29"/>
        <v/>
      </c>
    </row>
    <row r="1967" spans="1:16" ht="17.25">
      <c r="A1967" s="276" t="s">
        <v>7297</v>
      </c>
      <c r="B1967" s="277">
        <v>2017</v>
      </c>
      <c r="C1967" s="276" t="s">
        <v>7298</v>
      </c>
      <c r="D1967" s="277">
        <v>28358815</v>
      </c>
      <c r="E1967" s="278" t="str">
        <f t="shared" si="23"/>
        <v>https://pubmed.ncbi.nlm.nih.gov/28358815</v>
      </c>
      <c r="F1967" s="28" t="s">
        <v>511</v>
      </c>
      <c r="G1967" s="28" t="s">
        <v>5299</v>
      </c>
      <c r="J1967" s="346" t="str">
        <f t="shared" si="19"/>
        <v/>
      </c>
      <c r="K1967" s="28" t="str">
        <f t="shared" si="24"/>
        <v/>
      </c>
      <c r="L1967" s="45" t="str">
        <f t="shared" si="25"/>
        <v/>
      </c>
      <c r="M1967" s="45" t="str">
        <f t="shared" si="26"/>
        <v/>
      </c>
      <c r="N1967" s="45">
        <f t="shared" si="27"/>
        <v>1</v>
      </c>
      <c r="O1967" s="45" t="str">
        <f t="shared" si="28"/>
        <v/>
      </c>
      <c r="P1967" s="45" t="str">
        <f t="shared" si="29"/>
        <v/>
      </c>
    </row>
    <row r="1968" spans="1:16" ht="17.25">
      <c r="A1968" s="276" t="s">
        <v>7299</v>
      </c>
      <c r="B1968" s="277">
        <v>2011</v>
      </c>
      <c r="C1968" s="276"/>
      <c r="D1968" s="277">
        <v>21158706</v>
      </c>
      <c r="E1968" s="278" t="str">
        <f t="shared" si="23"/>
        <v>https://pubmed.ncbi.nlm.nih.gov/21158706</v>
      </c>
      <c r="F1968" s="28" t="s">
        <v>511</v>
      </c>
      <c r="G1968" s="28" t="s">
        <v>4592</v>
      </c>
      <c r="J1968" s="346">
        <f t="shared" si="19"/>
        <v>1</v>
      </c>
      <c r="K1968" s="28" t="str">
        <f t="shared" si="24"/>
        <v/>
      </c>
      <c r="L1968" s="45" t="str">
        <f t="shared" si="25"/>
        <v/>
      </c>
      <c r="M1968" s="45" t="str">
        <f t="shared" si="26"/>
        <v/>
      </c>
      <c r="N1968" s="45" t="str">
        <f t="shared" si="27"/>
        <v/>
      </c>
      <c r="O1968" s="45" t="str">
        <f t="shared" si="28"/>
        <v/>
      </c>
      <c r="P1968" s="45" t="str">
        <f t="shared" si="29"/>
        <v/>
      </c>
    </row>
    <row r="1969" spans="1:16" ht="17.25">
      <c r="A1969" s="276" t="s">
        <v>7300</v>
      </c>
      <c r="B1969" s="277">
        <v>2006</v>
      </c>
      <c r="C1969" s="276"/>
      <c r="D1969" s="277">
        <v>16855998</v>
      </c>
      <c r="E1969" s="278" t="str">
        <f t="shared" si="23"/>
        <v>https://pubmed.ncbi.nlm.nih.gov/16855998</v>
      </c>
      <c r="F1969" s="28" t="s">
        <v>511</v>
      </c>
      <c r="G1969" s="28" t="s">
        <v>5273</v>
      </c>
      <c r="J1969" s="346">
        <f t="shared" si="19"/>
        <v>1</v>
      </c>
      <c r="K1969" s="28" t="str">
        <f t="shared" si="24"/>
        <v/>
      </c>
      <c r="L1969" s="45" t="str">
        <f t="shared" si="25"/>
        <v/>
      </c>
      <c r="M1969" s="45" t="str">
        <f t="shared" si="26"/>
        <v/>
      </c>
      <c r="N1969" s="45" t="str">
        <f t="shared" si="27"/>
        <v/>
      </c>
      <c r="O1969" s="45" t="str">
        <f t="shared" si="28"/>
        <v/>
      </c>
      <c r="P1969" s="45" t="str">
        <f t="shared" si="29"/>
        <v/>
      </c>
    </row>
    <row r="1970" spans="1:16" ht="17.25">
      <c r="A1970" s="276" t="s">
        <v>7301</v>
      </c>
      <c r="B1970" s="277">
        <v>2009</v>
      </c>
      <c r="C1970" s="276" t="s">
        <v>7302</v>
      </c>
      <c r="D1970" s="277">
        <v>27789983</v>
      </c>
      <c r="E1970" s="278" t="str">
        <f t="shared" si="23"/>
        <v>https://pubmed.ncbi.nlm.nih.gov/27789983</v>
      </c>
      <c r="F1970" s="28" t="s">
        <v>511</v>
      </c>
      <c r="G1970" s="28" t="s">
        <v>4592</v>
      </c>
      <c r="J1970" s="346">
        <f t="shared" si="19"/>
        <v>1</v>
      </c>
      <c r="K1970" s="28" t="str">
        <f t="shared" si="24"/>
        <v/>
      </c>
      <c r="L1970" s="45" t="str">
        <f t="shared" si="25"/>
        <v/>
      </c>
      <c r="M1970" s="45" t="str">
        <f t="shared" si="26"/>
        <v/>
      </c>
      <c r="N1970" s="45" t="str">
        <f t="shared" si="27"/>
        <v/>
      </c>
      <c r="O1970" s="45" t="str">
        <f t="shared" si="28"/>
        <v/>
      </c>
      <c r="P1970" s="45" t="str">
        <f t="shared" si="29"/>
        <v/>
      </c>
    </row>
    <row r="1971" spans="1:16" ht="17.25">
      <c r="A1971" s="276" t="s">
        <v>7303</v>
      </c>
      <c r="B1971" s="277">
        <v>2003</v>
      </c>
      <c r="C1971" s="276"/>
      <c r="D1971" s="277">
        <v>14688494</v>
      </c>
      <c r="E1971" s="278" t="str">
        <f t="shared" si="23"/>
        <v>https://pubmed.ncbi.nlm.nih.gov/14688494</v>
      </c>
      <c r="F1971" s="28" t="s">
        <v>511</v>
      </c>
      <c r="G1971" s="28" t="s">
        <v>4592</v>
      </c>
      <c r="J1971" s="346">
        <f t="shared" si="19"/>
        <v>1</v>
      </c>
      <c r="K1971" s="28" t="str">
        <f t="shared" si="24"/>
        <v/>
      </c>
      <c r="L1971" s="45" t="str">
        <f t="shared" si="25"/>
        <v/>
      </c>
      <c r="M1971" s="45" t="str">
        <f t="shared" si="26"/>
        <v/>
      </c>
      <c r="N1971" s="45" t="str">
        <f t="shared" si="27"/>
        <v/>
      </c>
      <c r="O1971" s="45" t="str">
        <f t="shared" si="28"/>
        <v/>
      </c>
      <c r="P1971" s="45" t="str">
        <f t="shared" si="29"/>
        <v/>
      </c>
    </row>
    <row r="1972" spans="1:16" ht="17.25">
      <c r="A1972" s="276" t="s">
        <v>7304</v>
      </c>
      <c r="B1972" s="277">
        <v>2020</v>
      </c>
      <c r="C1972" s="276"/>
      <c r="D1972" s="277">
        <v>31786491</v>
      </c>
      <c r="E1972" s="278" t="str">
        <f t="shared" si="23"/>
        <v>https://pubmed.ncbi.nlm.nih.gov/31786491</v>
      </c>
      <c r="F1972" s="28" t="s">
        <v>511</v>
      </c>
      <c r="G1972" s="28" t="s">
        <v>6220</v>
      </c>
      <c r="J1972" s="346">
        <f t="shared" si="19"/>
        <v>1</v>
      </c>
      <c r="K1972" s="28" t="str">
        <f t="shared" si="24"/>
        <v/>
      </c>
      <c r="L1972" s="45" t="str">
        <f t="shared" si="25"/>
        <v/>
      </c>
      <c r="M1972" s="45" t="str">
        <f t="shared" si="26"/>
        <v/>
      </c>
      <c r="N1972" s="45" t="str">
        <f t="shared" si="27"/>
        <v/>
      </c>
      <c r="O1972" s="45" t="str">
        <f t="shared" si="28"/>
        <v/>
      </c>
      <c r="P1972" s="45" t="str">
        <f t="shared" si="29"/>
        <v/>
      </c>
    </row>
    <row r="1973" spans="1:16" ht="17.25">
      <c r="A1973" s="276" t="s">
        <v>7305</v>
      </c>
      <c r="B1973" s="277">
        <v>2017</v>
      </c>
      <c r="C1973" s="276" t="s">
        <v>7306</v>
      </c>
      <c r="D1973" s="277">
        <v>28069279</v>
      </c>
      <c r="E1973" s="278" t="str">
        <f t="shared" si="23"/>
        <v>https://pubmed.ncbi.nlm.nih.gov/28069279</v>
      </c>
      <c r="F1973" s="28" t="s">
        <v>511</v>
      </c>
      <c r="G1973" s="28" t="s">
        <v>4744</v>
      </c>
      <c r="J1973" s="346" t="str">
        <f t="shared" si="19"/>
        <v/>
      </c>
      <c r="K1973" s="28" t="str">
        <f t="shared" si="24"/>
        <v/>
      </c>
      <c r="L1973" s="45" t="str">
        <f t="shared" si="25"/>
        <v/>
      </c>
      <c r="M1973" s="45" t="str">
        <f t="shared" si="26"/>
        <v/>
      </c>
      <c r="N1973" s="45">
        <f t="shared" si="27"/>
        <v>1</v>
      </c>
      <c r="O1973" s="45" t="str">
        <f t="shared" si="28"/>
        <v/>
      </c>
      <c r="P1973" s="45" t="str">
        <f t="shared" si="29"/>
        <v/>
      </c>
    </row>
    <row r="1974" spans="1:16" ht="17.25">
      <c r="A1974" s="276" t="s">
        <v>7307</v>
      </c>
      <c r="B1974" s="277">
        <v>2005</v>
      </c>
      <c r="C1974" s="276"/>
      <c r="D1974" s="277">
        <v>16414334</v>
      </c>
      <c r="E1974" s="278" t="str">
        <f t="shared" si="23"/>
        <v>https://pubmed.ncbi.nlm.nih.gov/16414334</v>
      </c>
      <c r="F1974" s="28" t="s">
        <v>511</v>
      </c>
      <c r="G1974" s="28" t="s">
        <v>4592</v>
      </c>
      <c r="J1974" s="346">
        <f t="shared" si="19"/>
        <v>1</v>
      </c>
      <c r="K1974" s="28" t="str">
        <f t="shared" si="24"/>
        <v/>
      </c>
      <c r="L1974" s="45" t="str">
        <f t="shared" si="25"/>
        <v/>
      </c>
      <c r="M1974" s="45" t="str">
        <f t="shared" si="26"/>
        <v/>
      </c>
      <c r="N1974" s="45" t="str">
        <f t="shared" si="27"/>
        <v/>
      </c>
      <c r="O1974" s="45" t="str">
        <f t="shared" si="28"/>
        <v/>
      </c>
      <c r="P1974" s="45" t="str">
        <f t="shared" si="29"/>
        <v/>
      </c>
    </row>
    <row r="1975" spans="1:16" ht="17.25">
      <c r="A1975" s="276" t="s">
        <v>7308</v>
      </c>
      <c r="B1975" s="277">
        <v>2016</v>
      </c>
      <c r="C1975" s="276"/>
      <c r="D1975" s="277">
        <v>27912955</v>
      </c>
      <c r="E1975" s="278" t="str">
        <f t="shared" si="23"/>
        <v>https://pubmed.ncbi.nlm.nih.gov/27912955</v>
      </c>
      <c r="F1975" s="28" t="s">
        <v>511</v>
      </c>
      <c r="G1975" s="28" t="s">
        <v>5157</v>
      </c>
      <c r="J1975" s="346" t="str">
        <f t="shared" si="19"/>
        <v/>
      </c>
      <c r="K1975" s="28" t="str">
        <f t="shared" si="24"/>
        <v/>
      </c>
      <c r="L1975" s="45" t="str">
        <f t="shared" si="25"/>
        <v/>
      </c>
      <c r="M1975" s="45" t="str">
        <f t="shared" si="26"/>
        <v/>
      </c>
      <c r="N1975" s="45">
        <f t="shared" si="27"/>
        <v>1</v>
      </c>
      <c r="O1975" s="45" t="str">
        <f t="shared" si="28"/>
        <v/>
      </c>
      <c r="P1975" s="45" t="str">
        <f t="shared" si="29"/>
        <v/>
      </c>
    </row>
    <row r="1976" spans="1:16" ht="17.25">
      <c r="A1976" s="276" t="s">
        <v>7309</v>
      </c>
      <c r="B1976" s="277">
        <v>2015</v>
      </c>
      <c r="C1976" s="276"/>
      <c r="D1976" s="277">
        <v>26023999</v>
      </c>
      <c r="E1976" s="278" t="str">
        <f t="shared" si="23"/>
        <v>https://pubmed.ncbi.nlm.nih.gov/26023999</v>
      </c>
      <c r="F1976" s="28" t="s">
        <v>511</v>
      </c>
      <c r="G1976" s="28" t="s">
        <v>7310</v>
      </c>
      <c r="J1976" s="346" t="str">
        <f t="shared" si="19"/>
        <v/>
      </c>
      <c r="K1976" s="28" t="str">
        <f t="shared" si="24"/>
        <v/>
      </c>
      <c r="L1976" s="45" t="str">
        <f t="shared" si="25"/>
        <v/>
      </c>
      <c r="M1976" s="45" t="str">
        <f t="shared" si="26"/>
        <v/>
      </c>
      <c r="N1976" s="45" t="str">
        <f t="shared" si="27"/>
        <v/>
      </c>
      <c r="O1976" s="45">
        <f t="shared" si="28"/>
        <v>1</v>
      </c>
      <c r="P1976" s="45" t="str">
        <f t="shared" si="29"/>
        <v/>
      </c>
    </row>
    <row r="1977" spans="1:16" ht="17.25">
      <c r="A1977" s="276" t="s">
        <v>7311</v>
      </c>
      <c r="B1977" s="277">
        <v>2017</v>
      </c>
      <c r="C1977" s="276"/>
      <c r="D1977" s="277">
        <v>27796637</v>
      </c>
      <c r="E1977" s="278" t="str">
        <f t="shared" si="23"/>
        <v>https://pubmed.ncbi.nlm.nih.gov/27796637</v>
      </c>
      <c r="F1977" s="28" t="s">
        <v>511</v>
      </c>
      <c r="G1977" s="28" t="s">
        <v>4592</v>
      </c>
      <c r="J1977" s="346">
        <f t="shared" si="19"/>
        <v>1</v>
      </c>
      <c r="K1977" s="28" t="str">
        <f t="shared" si="24"/>
        <v/>
      </c>
      <c r="L1977" s="45" t="str">
        <f t="shared" si="25"/>
        <v/>
      </c>
      <c r="M1977" s="45" t="str">
        <f t="shared" si="26"/>
        <v/>
      </c>
      <c r="N1977" s="45" t="str">
        <f t="shared" si="27"/>
        <v/>
      </c>
      <c r="O1977" s="45" t="str">
        <f t="shared" si="28"/>
        <v/>
      </c>
      <c r="P1977" s="45" t="str">
        <f t="shared" si="29"/>
        <v/>
      </c>
    </row>
    <row r="1978" spans="1:16" ht="17.25">
      <c r="A1978" s="276" t="s">
        <v>7312</v>
      </c>
      <c r="B1978" s="277">
        <v>1998</v>
      </c>
      <c r="C1978" s="276"/>
      <c r="D1978" s="277">
        <v>9660258</v>
      </c>
      <c r="E1978" s="278" t="str">
        <f t="shared" si="23"/>
        <v>https://pubmed.ncbi.nlm.nih.gov/9660258</v>
      </c>
      <c r="F1978" s="28" t="s">
        <v>511</v>
      </c>
      <c r="G1978" s="28" t="s">
        <v>7313</v>
      </c>
      <c r="J1978" s="346" t="str">
        <f t="shared" si="19"/>
        <v/>
      </c>
      <c r="K1978" s="28" t="str">
        <f t="shared" si="24"/>
        <v/>
      </c>
      <c r="L1978" s="45" t="str">
        <f t="shared" si="25"/>
        <v/>
      </c>
      <c r="M1978" s="45" t="str">
        <f t="shared" si="26"/>
        <v/>
      </c>
      <c r="N1978" s="45" t="str">
        <f t="shared" si="27"/>
        <v/>
      </c>
      <c r="O1978" s="45">
        <f t="shared" si="28"/>
        <v>1</v>
      </c>
      <c r="P1978" s="45" t="str">
        <f t="shared" si="29"/>
        <v/>
      </c>
    </row>
    <row r="1979" spans="1:16" ht="17.25">
      <c r="A1979" s="276" t="s">
        <v>7314</v>
      </c>
      <c r="B1979" s="277">
        <v>2015</v>
      </c>
      <c r="C1979" s="276"/>
      <c r="D1979" s="277">
        <v>26252852</v>
      </c>
      <c r="E1979" s="278" t="str">
        <f t="shared" si="23"/>
        <v>https://pubmed.ncbi.nlm.nih.gov/26252852</v>
      </c>
      <c r="F1979" s="28" t="s">
        <v>511</v>
      </c>
      <c r="G1979" s="28" t="s">
        <v>7315</v>
      </c>
      <c r="J1979" s="346" t="str">
        <f t="shared" si="19"/>
        <v/>
      </c>
      <c r="K1979" s="28" t="str">
        <f t="shared" si="24"/>
        <v/>
      </c>
      <c r="L1979" s="45" t="str">
        <f t="shared" si="25"/>
        <v/>
      </c>
      <c r="M1979" s="45" t="str">
        <f t="shared" si="26"/>
        <v/>
      </c>
      <c r="N1979" s="45" t="str">
        <f t="shared" si="27"/>
        <v/>
      </c>
      <c r="O1979" s="45">
        <f t="shared" si="28"/>
        <v>1</v>
      </c>
      <c r="P1979" s="45" t="str">
        <f t="shared" si="29"/>
        <v/>
      </c>
    </row>
    <row r="1980" spans="1:16" ht="17.25">
      <c r="A1980" s="276" t="s">
        <v>7316</v>
      </c>
      <c r="B1980" s="277">
        <v>2013</v>
      </c>
      <c r="C1980" s="276" t="s">
        <v>7317</v>
      </c>
      <c r="D1980" s="277">
        <v>23378769</v>
      </c>
      <c r="E1980" s="278" t="str">
        <f t="shared" si="23"/>
        <v>https://pubmed.ncbi.nlm.nih.gov/23378769</v>
      </c>
      <c r="F1980" s="28" t="s">
        <v>511</v>
      </c>
      <c r="G1980" s="28" t="s">
        <v>5299</v>
      </c>
      <c r="J1980" s="346" t="str">
        <f t="shared" si="19"/>
        <v/>
      </c>
      <c r="K1980" s="28" t="str">
        <f t="shared" si="24"/>
        <v/>
      </c>
      <c r="L1980" s="45" t="str">
        <f t="shared" si="25"/>
        <v/>
      </c>
      <c r="M1980" s="45" t="str">
        <f t="shared" si="26"/>
        <v/>
      </c>
      <c r="N1980" s="45">
        <f t="shared" si="27"/>
        <v>1</v>
      </c>
      <c r="O1980" s="45" t="str">
        <f t="shared" si="28"/>
        <v/>
      </c>
      <c r="P1980" s="45" t="str">
        <f t="shared" si="29"/>
        <v/>
      </c>
    </row>
    <row r="1981" spans="1:16" ht="17.25">
      <c r="A1981" s="276" t="s">
        <v>7318</v>
      </c>
      <c r="B1981" s="277">
        <v>2016</v>
      </c>
      <c r="C1981" s="276"/>
      <c r="D1981" s="277">
        <v>26809103</v>
      </c>
      <c r="E1981" s="278" t="str">
        <f t="shared" si="23"/>
        <v>https://pubmed.ncbi.nlm.nih.gov/26809103</v>
      </c>
      <c r="F1981" s="28" t="s">
        <v>511</v>
      </c>
      <c r="G1981" s="28" t="s">
        <v>4592</v>
      </c>
      <c r="J1981" s="346">
        <f t="shared" si="19"/>
        <v>1</v>
      </c>
      <c r="K1981" s="28" t="str">
        <f t="shared" si="24"/>
        <v/>
      </c>
      <c r="L1981" s="45" t="str">
        <f t="shared" si="25"/>
        <v/>
      </c>
      <c r="M1981" s="45" t="str">
        <f t="shared" si="26"/>
        <v/>
      </c>
      <c r="N1981" s="45" t="str">
        <f t="shared" si="27"/>
        <v/>
      </c>
      <c r="O1981" s="45" t="str">
        <f t="shared" si="28"/>
        <v/>
      </c>
      <c r="P1981" s="45" t="str">
        <f t="shared" si="29"/>
        <v/>
      </c>
    </row>
    <row r="1982" spans="1:16" ht="17.25">
      <c r="A1982" s="276" t="s">
        <v>7319</v>
      </c>
      <c r="B1982" s="277">
        <v>2021</v>
      </c>
      <c r="C1982" s="276" t="s">
        <v>7320</v>
      </c>
      <c r="D1982" s="277">
        <v>33612824</v>
      </c>
      <c r="E1982" s="278" t="str">
        <f t="shared" si="23"/>
        <v>https://pubmed.ncbi.nlm.nih.gov/33612824</v>
      </c>
      <c r="F1982" s="28" t="s">
        <v>511</v>
      </c>
      <c r="G1982" s="28" t="s">
        <v>6220</v>
      </c>
      <c r="J1982" s="346">
        <f t="shared" si="19"/>
        <v>1</v>
      </c>
      <c r="K1982" s="28" t="str">
        <f t="shared" si="24"/>
        <v/>
      </c>
      <c r="L1982" s="45" t="str">
        <f t="shared" si="25"/>
        <v/>
      </c>
      <c r="M1982" s="45" t="str">
        <f t="shared" si="26"/>
        <v/>
      </c>
      <c r="N1982" s="45" t="str">
        <f t="shared" si="27"/>
        <v/>
      </c>
      <c r="O1982" s="45" t="str">
        <f t="shared" si="28"/>
        <v/>
      </c>
      <c r="P1982" s="45" t="str">
        <f t="shared" si="29"/>
        <v/>
      </c>
    </row>
    <row r="1983" spans="1:16" ht="17.25">
      <c r="A1983" s="276" t="s">
        <v>7321</v>
      </c>
      <c r="B1983" s="277">
        <v>2017</v>
      </c>
      <c r="C1983" s="276"/>
      <c r="D1983" s="277">
        <v>28938394</v>
      </c>
      <c r="E1983" s="278" t="str">
        <f t="shared" si="23"/>
        <v>https://pubmed.ncbi.nlm.nih.gov/28938394</v>
      </c>
      <c r="F1983" s="28" t="s">
        <v>511</v>
      </c>
      <c r="G1983" s="28" t="s">
        <v>7322</v>
      </c>
      <c r="J1983" s="346" t="str">
        <f t="shared" si="19"/>
        <v/>
      </c>
      <c r="K1983" s="28" t="str">
        <f t="shared" si="24"/>
        <v/>
      </c>
      <c r="L1983" s="45" t="str">
        <f t="shared" si="25"/>
        <v/>
      </c>
      <c r="M1983" s="45" t="str">
        <f t="shared" si="26"/>
        <v/>
      </c>
      <c r="N1983" s="45">
        <f t="shared" si="27"/>
        <v>1</v>
      </c>
      <c r="O1983" s="45" t="str">
        <f t="shared" si="28"/>
        <v/>
      </c>
      <c r="P1983" s="45" t="str">
        <f t="shared" si="29"/>
        <v/>
      </c>
    </row>
    <row r="1984" spans="1:16" ht="17.25">
      <c r="A1984" s="276" t="s">
        <v>7323</v>
      </c>
      <c r="B1984" s="277">
        <v>2005</v>
      </c>
      <c r="C1984" s="276" t="s">
        <v>7324</v>
      </c>
      <c r="D1984" s="277">
        <v>16235370</v>
      </c>
      <c r="E1984" s="278" t="str">
        <f t="shared" si="23"/>
        <v>https://pubmed.ncbi.nlm.nih.gov/16235370</v>
      </c>
      <c r="F1984" s="28" t="s">
        <v>511</v>
      </c>
      <c r="G1984" s="28" t="s">
        <v>5273</v>
      </c>
      <c r="J1984" s="346">
        <f t="shared" si="19"/>
        <v>1</v>
      </c>
      <c r="K1984" s="28" t="str">
        <f t="shared" si="24"/>
        <v/>
      </c>
      <c r="L1984" s="45" t="str">
        <f t="shared" si="25"/>
        <v/>
      </c>
      <c r="M1984" s="45" t="str">
        <f t="shared" si="26"/>
        <v/>
      </c>
      <c r="N1984" s="45" t="str">
        <f t="shared" si="27"/>
        <v/>
      </c>
      <c r="O1984" s="45" t="str">
        <f t="shared" si="28"/>
        <v/>
      </c>
      <c r="P1984" s="45" t="str">
        <f t="shared" si="29"/>
        <v/>
      </c>
    </row>
    <row r="1985" spans="1:16" ht="17.25">
      <c r="A1985" s="276" t="s">
        <v>7325</v>
      </c>
      <c r="B1985" s="277">
        <v>2017</v>
      </c>
      <c r="C1985" s="276"/>
      <c r="D1985" s="277">
        <v>28187952</v>
      </c>
      <c r="E1985" s="278" t="str">
        <f t="shared" si="23"/>
        <v>https://pubmed.ncbi.nlm.nih.gov/28187952</v>
      </c>
      <c r="F1985" s="28" t="s">
        <v>511</v>
      </c>
      <c r="G1985" s="28" t="s">
        <v>4628</v>
      </c>
      <c r="J1985" s="346" t="str">
        <f t="shared" si="19"/>
        <v/>
      </c>
      <c r="K1985" s="28" t="str">
        <f t="shared" si="24"/>
        <v/>
      </c>
      <c r="L1985" s="45" t="str">
        <f t="shared" si="25"/>
        <v/>
      </c>
      <c r="M1985" s="45" t="str">
        <f t="shared" si="26"/>
        <v/>
      </c>
      <c r="N1985" s="45" t="str">
        <f t="shared" si="27"/>
        <v/>
      </c>
      <c r="O1985" s="45">
        <f t="shared" si="28"/>
        <v>1</v>
      </c>
      <c r="P1985" s="45" t="str">
        <f t="shared" si="29"/>
        <v/>
      </c>
    </row>
    <row r="1986" spans="1:16" ht="17.25">
      <c r="A1986" s="276" t="s">
        <v>7325</v>
      </c>
      <c r="B1986" s="277">
        <v>2017</v>
      </c>
      <c r="C1986" s="276"/>
      <c r="D1986" s="277">
        <v>28302407</v>
      </c>
      <c r="E1986" s="278" t="str">
        <f t="shared" si="23"/>
        <v>https://pubmed.ncbi.nlm.nih.gov/28302407</v>
      </c>
      <c r="F1986" s="28" t="s">
        <v>511</v>
      </c>
      <c r="G1986" s="28" t="s">
        <v>4744</v>
      </c>
      <c r="I1986" s="28" t="s">
        <v>7326</v>
      </c>
      <c r="J1986" s="346" t="str">
        <f t="shared" si="19"/>
        <v/>
      </c>
      <c r="K1986" s="28" t="str">
        <f t="shared" si="24"/>
        <v/>
      </c>
      <c r="L1986" s="45" t="str">
        <f t="shared" si="25"/>
        <v/>
      </c>
      <c r="M1986" s="45" t="str">
        <f t="shared" si="26"/>
        <v/>
      </c>
      <c r="N1986" s="45">
        <f t="shared" si="27"/>
        <v>1</v>
      </c>
      <c r="O1986" s="45" t="str">
        <f t="shared" si="28"/>
        <v/>
      </c>
      <c r="P1986" s="45" t="str">
        <f t="shared" si="29"/>
        <v/>
      </c>
    </row>
    <row r="1987" spans="1:16" ht="17.25">
      <c r="A1987" s="276" t="s">
        <v>7327</v>
      </c>
      <c r="B1987" s="277">
        <v>2015</v>
      </c>
      <c r="C1987" s="276"/>
      <c r="D1987" s="277">
        <v>25982651</v>
      </c>
      <c r="E1987" s="278" t="str">
        <f t="shared" si="23"/>
        <v>https://pubmed.ncbi.nlm.nih.gov/25982651</v>
      </c>
      <c r="F1987" s="28" t="s">
        <v>511</v>
      </c>
      <c r="G1987" s="28" t="s">
        <v>4744</v>
      </c>
      <c r="J1987" s="346" t="str">
        <f t="shared" si="19"/>
        <v/>
      </c>
      <c r="K1987" s="28" t="str">
        <f t="shared" si="24"/>
        <v/>
      </c>
      <c r="L1987" s="45" t="str">
        <f t="shared" si="25"/>
        <v/>
      </c>
      <c r="M1987" s="45" t="str">
        <f t="shared" si="26"/>
        <v/>
      </c>
      <c r="N1987" s="45">
        <f t="shared" si="27"/>
        <v>1</v>
      </c>
      <c r="O1987" s="45" t="str">
        <f t="shared" si="28"/>
        <v/>
      </c>
      <c r="P1987" s="45" t="str">
        <f t="shared" si="29"/>
        <v/>
      </c>
    </row>
    <row r="1988" spans="1:16" ht="17.25">
      <c r="A1988" s="276" t="s">
        <v>7328</v>
      </c>
      <c r="B1988" s="277">
        <v>2014</v>
      </c>
      <c r="C1988" s="276"/>
      <c r="D1988" s="277">
        <v>30257278</v>
      </c>
      <c r="E1988" s="278" t="str">
        <f t="shared" si="23"/>
        <v>https://pubmed.ncbi.nlm.nih.gov/30257278</v>
      </c>
      <c r="F1988" s="28" t="s">
        <v>511</v>
      </c>
      <c r="G1988" s="28" t="s">
        <v>4592</v>
      </c>
      <c r="J1988" s="346">
        <f t="shared" si="19"/>
        <v>1</v>
      </c>
      <c r="K1988" s="28" t="str">
        <f t="shared" si="24"/>
        <v/>
      </c>
      <c r="L1988" s="45" t="str">
        <f t="shared" si="25"/>
        <v/>
      </c>
      <c r="M1988" s="45" t="str">
        <f t="shared" si="26"/>
        <v/>
      </c>
      <c r="N1988" s="45" t="str">
        <f t="shared" si="27"/>
        <v/>
      </c>
      <c r="O1988" s="45" t="str">
        <f t="shared" si="28"/>
        <v/>
      </c>
      <c r="P1988" s="45" t="str">
        <f t="shared" si="29"/>
        <v/>
      </c>
    </row>
    <row r="1989" spans="1:16" ht="17.25">
      <c r="A1989" s="276" t="s">
        <v>7329</v>
      </c>
      <c r="B1989" s="277">
        <v>2015</v>
      </c>
      <c r="C1989" s="276" t="s">
        <v>7330</v>
      </c>
      <c r="D1989" s="277">
        <v>26597174</v>
      </c>
      <c r="E1989" s="278" t="str">
        <f t="shared" si="23"/>
        <v>https://pubmed.ncbi.nlm.nih.gov/26597174</v>
      </c>
      <c r="F1989" s="28" t="s">
        <v>511</v>
      </c>
      <c r="G1989" s="28" t="s">
        <v>5273</v>
      </c>
      <c r="J1989" s="346">
        <f t="shared" si="19"/>
        <v>1</v>
      </c>
      <c r="K1989" s="28" t="str">
        <f t="shared" si="24"/>
        <v/>
      </c>
      <c r="L1989" s="45" t="str">
        <f t="shared" si="25"/>
        <v/>
      </c>
      <c r="M1989" s="45" t="str">
        <f t="shared" si="26"/>
        <v/>
      </c>
      <c r="N1989" s="45" t="str">
        <f t="shared" si="27"/>
        <v/>
      </c>
      <c r="O1989" s="45" t="str">
        <f t="shared" si="28"/>
        <v/>
      </c>
      <c r="P1989" s="45" t="str">
        <f t="shared" si="29"/>
        <v/>
      </c>
    </row>
    <row r="1990" spans="1:16" ht="17.25">
      <c r="A1990" s="276" t="s">
        <v>7331</v>
      </c>
      <c r="B1990" s="277">
        <v>2007</v>
      </c>
      <c r="C1990" s="276"/>
      <c r="D1990" s="277">
        <v>17559743</v>
      </c>
      <c r="E1990" s="278" t="str">
        <f t="shared" si="23"/>
        <v>https://pubmed.ncbi.nlm.nih.gov/17559743</v>
      </c>
      <c r="F1990" s="28" t="s">
        <v>511</v>
      </c>
      <c r="G1990" s="28" t="s">
        <v>4744</v>
      </c>
      <c r="I1990" s="28" t="s">
        <v>6460</v>
      </c>
      <c r="J1990" s="346" t="str">
        <f t="shared" si="19"/>
        <v/>
      </c>
      <c r="K1990" s="28" t="str">
        <f t="shared" si="24"/>
        <v/>
      </c>
      <c r="L1990" s="45" t="str">
        <f t="shared" si="25"/>
        <v/>
      </c>
      <c r="M1990" s="45" t="str">
        <f t="shared" si="26"/>
        <v/>
      </c>
      <c r="N1990" s="45">
        <f t="shared" si="27"/>
        <v>1</v>
      </c>
      <c r="O1990" s="45" t="str">
        <f t="shared" si="28"/>
        <v/>
      </c>
      <c r="P1990" s="45" t="str">
        <f t="shared" si="29"/>
        <v/>
      </c>
    </row>
    <row r="1991" spans="1:16" ht="17.25">
      <c r="A1991" s="276" t="s">
        <v>7332</v>
      </c>
      <c r="B1991" s="277">
        <v>2002</v>
      </c>
      <c r="C1991" s="276"/>
      <c r="D1991" s="277">
        <v>12198006</v>
      </c>
      <c r="E1991" s="278" t="str">
        <f t="shared" si="23"/>
        <v>https://pubmed.ncbi.nlm.nih.gov/12198006</v>
      </c>
      <c r="F1991" s="28" t="s">
        <v>511</v>
      </c>
      <c r="G1991" s="28" t="s">
        <v>4744</v>
      </c>
      <c r="J1991" s="346" t="str">
        <f t="shared" si="19"/>
        <v/>
      </c>
      <c r="K1991" s="28" t="str">
        <f t="shared" si="24"/>
        <v/>
      </c>
      <c r="L1991" s="45" t="str">
        <f t="shared" si="25"/>
        <v/>
      </c>
      <c r="M1991" s="45" t="str">
        <f t="shared" si="26"/>
        <v/>
      </c>
      <c r="N1991" s="45">
        <f t="shared" si="27"/>
        <v>1</v>
      </c>
      <c r="O1991" s="45" t="str">
        <f t="shared" si="28"/>
        <v/>
      </c>
      <c r="P1991" s="45" t="str">
        <f t="shared" si="29"/>
        <v/>
      </c>
    </row>
    <row r="1992" spans="1:16" ht="17.25">
      <c r="A1992" s="276" t="s">
        <v>7333</v>
      </c>
      <c r="B1992" s="277">
        <v>2001</v>
      </c>
      <c r="C1992" s="276"/>
      <c r="D1992" s="277">
        <v>11782035</v>
      </c>
      <c r="E1992" s="278" t="str">
        <f t="shared" si="23"/>
        <v>https://pubmed.ncbi.nlm.nih.gov/11782035</v>
      </c>
      <c r="F1992" s="28" t="s">
        <v>511</v>
      </c>
      <c r="G1992" s="28" t="s">
        <v>5210</v>
      </c>
      <c r="J1992" s="346" t="str">
        <f t="shared" si="19"/>
        <v/>
      </c>
      <c r="K1992" s="28" t="str">
        <f t="shared" si="24"/>
        <v/>
      </c>
      <c r="L1992" s="45" t="str">
        <f t="shared" si="25"/>
        <v/>
      </c>
      <c r="M1992" s="45" t="str">
        <f t="shared" si="26"/>
        <v/>
      </c>
      <c r="N1992" s="45">
        <f t="shared" si="27"/>
        <v>1</v>
      </c>
      <c r="O1992" s="45" t="str">
        <f t="shared" si="28"/>
        <v/>
      </c>
      <c r="P1992" s="45" t="str">
        <f t="shared" si="29"/>
        <v/>
      </c>
    </row>
    <row r="1993" spans="1:16" ht="17.25">
      <c r="A1993" s="276" t="s">
        <v>7334</v>
      </c>
      <c r="B1993" s="277">
        <v>2016</v>
      </c>
      <c r="C1993" s="276"/>
      <c r="D1993" s="277">
        <v>27501279</v>
      </c>
      <c r="E1993" s="278" t="str">
        <f t="shared" si="23"/>
        <v>https://pubmed.ncbi.nlm.nih.gov/27501279</v>
      </c>
      <c r="F1993" s="28" t="s">
        <v>511</v>
      </c>
      <c r="G1993" s="28" t="s">
        <v>4867</v>
      </c>
      <c r="J1993" s="346" t="str">
        <f t="shared" si="19"/>
        <v/>
      </c>
      <c r="K1993" s="28" t="str">
        <f t="shared" si="24"/>
        <v/>
      </c>
      <c r="L1993" s="45" t="str">
        <f t="shared" si="25"/>
        <v/>
      </c>
      <c r="M1993" s="45" t="str">
        <f t="shared" si="26"/>
        <v/>
      </c>
      <c r="N1993" s="45">
        <f t="shared" si="27"/>
        <v>1</v>
      </c>
      <c r="O1993" s="45" t="str">
        <f t="shared" si="28"/>
        <v/>
      </c>
      <c r="P1993" s="45" t="str">
        <f t="shared" si="29"/>
        <v/>
      </c>
    </row>
    <row r="1994" spans="1:16" ht="17.25">
      <c r="A1994" s="276" t="s">
        <v>7335</v>
      </c>
      <c r="B1994" s="277">
        <v>2015</v>
      </c>
      <c r="C1994" s="276"/>
      <c r="D1994" s="277">
        <v>25454683</v>
      </c>
      <c r="E1994" s="278" t="str">
        <f t="shared" si="23"/>
        <v>https://pubmed.ncbi.nlm.nih.gov/25454683</v>
      </c>
      <c r="F1994" s="28" t="s">
        <v>511</v>
      </c>
      <c r="G1994" s="28" t="s">
        <v>7336</v>
      </c>
      <c r="J1994" s="346" t="str">
        <f t="shared" si="19"/>
        <v/>
      </c>
      <c r="K1994" s="28" t="str">
        <f t="shared" si="24"/>
        <v/>
      </c>
      <c r="L1994" s="45" t="str">
        <f t="shared" si="25"/>
        <v/>
      </c>
      <c r="M1994" s="45" t="str">
        <f t="shared" si="26"/>
        <v/>
      </c>
      <c r="N1994" s="45" t="str">
        <f t="shared" si="27"/>
        <v/>
      </c>
      <c r="O1994" s="45">
        <f t="shared" si="28"/>
        <v>1</v>
      </c>
      <c r="P1994" s="45" t="str">
        <f t="shared" si="29"/>
        <v/>
      </c>
    </row>
    <row r="1995" spans="1:16" ht="17.25">
      <c r="A1995" s="276" t="s">
        <v>7337</v>
      </c>
      <c r="B1995" s="277">
        <v>2016</v>
      </c>
      <c r="C1995" s="276"/>
      <c r="D1995" s="277">
        <v>27426929</v>
      </c>
      <c r="E1995" s="278" t="str">
        <f t="shared" si="23"/>
        <v>https://pubmed.ncbi.nlm.nih.gov/27426929</v>
      </c>
      <c r="F1995" s="28" t="s">
        <v>511</v>
      </c>
      <c r="G1995" s="28" t="s">
        <v>7338</v>
      </c>
      <c r="J1995" s="346" t="str">
        <f t="shared" si="19"/>
        <v/>
      </c>
      <c r="K1995" s="28" t="str">
        <f t="shared" si="24"/>
        <v/>
      </c>
      <c r="L1995" s="45">
        <f t="shared" si="25"/>
        <v>1</v>
      </c>
      <c r="M1995" s="45" t="str">
        <f t="shared" si="26"/>
        <v/>
      </c>
      <c r="N1995" s="45" t="str">
        <f t="shared" si="27"/>
        <v/>
      </c>
      <c r="O1995" s="45" t="str">
        <f t="shared" si="28"/>
        <v/>
      </c>
      <c r="P1995" s="45" t="str">
        <f t="shared" si="29"/>
        <v/>
      </c>
    </row>
    <row r="1996" spans="1:16" ht="17.25">
      <c r="A1996" s="276" t="s">
        <v>7339</v>
      </c>
      <c r="B1996" s="277">
        <v>2018</v>
      </c>
      <c r="C1996" s="276" t="s">
        <v>7340</v>
      </c>
      <c r="D1996" s="277">
        <v>30156436</v>
      </c>
      <c r="E1996" s="278" t="str">
        <f t="shared" si="23"/>
        <v>https://pubmed.ncbi.nlm.nih.gov/30156436</v>
      </c>
      <c r="F1996" s="28" t="s">
        <v>511</v>
      </c>
      <c r="G1996" s="28" t="s">
        <v>5299</v>
      </c>
      <c r="J1996" s="346" t="str">
        <f t="shared" si="19"/>
        <v/>
      </c>
      <c r="K1996" s="28" t="str">
        <f t="shared" si="24"/>
        <v/>
      </c>
      <c r="L1996" s="45" t="str">
        <f t="shared" si="25"/>
        <v/>
      </c>
      <c r="M1996" s="45" t="str">
        <f t="shared" si="26"/>
        <v/>
      </c>
      <c r="N1996" s="45">
        <f t="shared" si="27"/>
        <v>1</v>
      </c>
      <c r="O1996" s="45" t="str">
        <f t="shared" si="28"/>
        <v/>
      </c>
      <c r="P1996" s="45" t="str">
        <f t="shared" si="29"/>
        <v/>
      </c>
    </row>
    <row r="1997" spans="1:16" ht="17.25">
      <c r="A1997" s="276" t="s">
        <v>440</v>
      </c>
      <c r="B1997" s="277">
        <v>2018</v>
      </c>
      <c r="C1997" s="276" t="s">
        <v>7341</v>
      </c>
      <c r="D1997" s="277">
        <v>29567461</v>
      </c>
      <c r="E1997" s="278" t="str">
        <f t="shared" si="23"/>
        <v>https://pubmed.ncbi.nlm.nih.gov/29567461</v>
      </c>
      <c r="H1997" s="28" t="s">
        <v>511</v>
      </c>
      <c r="J1997" s="346" t="str">
        <f t="shared" si="19"/>
        <v/>
      </c>
      <c r="K1997" s="28" t="str">
        <f t="shared" si="24"/>
        <v/>
      </c>
      <c r="L1997" s="45" t="str">
        <f t="shared" si="25"/>
        <v/>
      </c>
      <c r="M1997" s="45" t="str">
        <f t="shared" si="26"/>
        <v/>
      </c>
      <c r="N1997" s="45" t="str">
        <f t="shared" si="27"/>
        <v/>
      </c>
      <c r="O1997" s="45" t="str">
        <f t="shared" si="28"/>
        <v/>
      </c>
      <c r="P1997" s="45" t="str">
        <f t="shared" si="29"/>
        <v/>
      </c>
    </row>
    <row r="1998" spans="1:16" ht="17.25">
      <c r="A1998" s="276" t="s">
        <v>7342</v>
      </c>
      <c r="B1998" s="277">
        <v>2017</v>
      </c>
      <c r="C1998" s="276"/>
      <c r="D1998" s="277">
        <v>28844541</v>
      </c>
      <c r="E1998" s="278" t="str">
        <f t="shared" si="23"/>
        <v>https://pubmed.ncbi.nlm.nih.gov/28844541</v>
      </c>
      <c r="F1998" s="28" t="s">
        <v>511</v>
      </c>
      <c r="G1998" s="28" t="s">
        <v>4744</v>
      </c>
      <c r="J1998" s="346" t="str">
        <f t="shared" si="19"/>
        <v/>
      </c>
      <c r="K1998" s="28" t="str">
        <f t="shared" si="24"/>
        <v/>
      </c>
      <c r="L1998" s="45" t="str">
        <f t="shared" si="25"/>
        <v/>
      </c>
      <c r="M1998" s="45" t="str">
        <f t="shared" si="26"/>
        <v/>
      </c>
      <c r="N1998" s="45">
        <f t="shared" si="27"/>
        <v>1</v>
      </c>
      <c r="O1998" s="45" t="str">
        <f t="shared" si="28"/>
        <v/>
      </c>
      <c r="P1998" s="45" t="str">
        <f t="shared" si="29"/>
        <v/>
      </c>
    </row>
    <row r="1999" spans="1:16" ht="17.25">
      <c r="A1999" s="276" t="s">
        <v>7343</v>
      </c>
      <c r="B1999" s="277">
        <v>2019</v>
      </c>
      <c r="C1999" s="276" t="s">
        <v>7344</v>
      </c>
      <c r="D1999" s="277">
        <v>30113733</v>
      </c>
      <c r="E1999" s="278" t="str">
        <f t="shared" si="23"/>
        <v>https://pubmed.ncbi.nlm.nih.gov/30113733</v>
      </c>
      <c r="F1999" s="28" t="s">
        <v>511</v>
      </c>
      <c r="G1999" s="28" t="s">
        <v>4744</v>
      </c>
      <c r="J1999" s="346" t="str">
        <f t="shared" si="19"/>
        <v/>
      </c>
      <c r="K1999" s="28" t="str">
        <f t="shared" si="24"/>
        <v/>
      </c>
      <c r="L1999" s="45" t="str">
        <f t="shared" si="25"/>
        <v/>
      </c>
      <c r="M1999" s="45" t="str">
        <f t="shared" si="26"/>
        <v/>
      </c>
      <c r="N1999" s="45">
        <f t="shared" si="27"/>
        <v>1</v>
      </c>
      <c r="O1999" s="45" t="str">
        <f t="shared" si="28"/>
        <v/>
      </c>
      <c r="P1999" s="45" t="str">
        <f t="shared" si="29"/>
        <v/>
      </c>
    </row>
    <row r="2000" spans="1:16" ht="17.25">
      <c r="A2000" s="276" t="s">
        <v>7345</v>
      </c>
      <c r="B2000" s="277">
        <v>2010</v>
      </c>
      <c r="C2000" s="276"/>
      <c r="D2000" s="277">
        <v>20655330</v>
      </c>
      <c r="E2000" s="278" t="str">
        <f t="shared" si="23"/>
        <v>https://pubmed.ncbi.nlm.nih.gov/20655330</v>
      </c>
      <c r="F2000" s="28" t="s">
        <v>511</v>
      </c>
      <c r="G2000" s="28" t="s">
        <v>7346</v>
      </c>
      <c r="J2000" s="346" t="str">
        <f t="shared" si="19"/>
        <v/>
      </c>
      <c r="K2000" s="28" t="str">
        <f t="shared" si="24"/>
        <v/>
      </c>
      <c r="L2000" s="45" t="str">
        <f t="shared" si="25"/>
        <v/>
      </c>
      <c r="M2000" s="45" t="str">
        <f t="shared" si="26"/>
        <v/>
      </c>
      <c r="N2000" s="45" t="str">
        <f t="shared" si="27"/>
        <v/>
      </c>
      <c r="O2000" s="45">
        <f t="shared" si="28"/>
        <v>1</v>
      </c>
      <c r="P2000" s="45" t="str">
        <f t="shared" si="29"/>
        <v/>
      </c>
    </row>
    <row r="2001" spans="1:16" ht="17.25">
      <c r="A2001" s="276" t="s">
        <v>7347</v>
      </c>
      <c r="B2001" s="277">
        <v>2019</v>
      </c>
      <c r="C2001" s="276"/>
      <c r="D2001" s="277">
        <v>30826397</v>
      </c>
      <c r="E2001" s="278" t="str">
        <f t="shared" si="23"/>
        <v>https://pubmed.ncbi.nlm.nih.gov/30826397</v>
      </c>
      <c r="F2001" s="28" t="s">
        <v>511</v>
      </c>
      <c r="G2001" s="28" t="s">
        <v>4592</v>
      </c>
      <c r="J2001" s="346">
        <f t="shared" si="19"/>
        <v>1</v>
      </c>
      <c r="K2001" s="28" t="str">
        <f t="shared" si="24"/>
        <v/>
      </c>
      <c r="L2001" s="45" t="str">
        <f t="shared" si="25"/>
        <v/>
      </c>
      <c r="M2001" s="45" t="str">
        <f t="shared" si="26"/>
        <v/>
      </c>
      <c r="N2001" s="45" t="str">
        <f t="shared" si="27"/>
        <v/>
      </c>
      <c r="O2001" s="45" t="str">
        <f t="shared" si="28"/>
        <v/>
      </c>
      <c r="P2001" s="45" t="str">
        <f t="shared" si="29"/>
        <v/>
      </c>
    </row>
    <row r="2002" spans="1:16" ht="17.25">
      <c r="A2002" s="276" t="s">
        <v>7348</v>
      </c>
      <c r="B2002" s="277">
        <v>2017</v>
      </c>
      <c r="C2002" s="276" t="s">
        <v>7349</v>
      </c>
      <c r="D2002" s="277">
        <v>28321877</v>
      </c>
      <c r="E2002" s="278" t="str">
        <f t="shared" si="23"/>
        <v>https://pubmed.ncbi.nlm.nih.gov/28321877</v>
      </c>
      <c r="F2002" s="28" t="s">
        <v>511</v>
      </c>
      <c r="G2002" s="28" t="s">
        <v>7350</v>
      </c>
      <c r="J2002" s="346">
        <f t="shared" si="19"/>
        <v>1</v>
      </c>
      <c r="K2002" s="28" t="str">
        <f t="shared" si="24"/>
        <v/>
      </c>
      <c r="L2002" s="45" t="str">
        <f t="shared" si="25"/>
        <v/>
      </c>
      <c r="M2002" s="45" t="str">
        <f t="shared" si="26"/>
        <v/>
      </c>
      <c r="N2002" s="45" t="str">
        <f t="shared" si="27"/>
        <v/>
      </c>
      <c r="O2002" s="45" t="str">
        <f t="shared" si="28"/>
        <v/>
      </c>
      <c r="P2002" s="45" t="str">
        <f t="shared" si="29"/>
        <v/>
      </c>
    </row>
    <row r="2003" spans="1:16" ht="17.25">
      <c r="A2003" s="276" t="s">
        <v>7351</v>
      </c>
      <c r="B2003" s="277">
        <v>2021</v>
      </c>
      <c r="C2003" s="276" t="s">
        <v>7352</v>
      </c>
      <c r="D2003" s="277">
        <v>33477334</v>
      </c>
      <c r="E2003" s="278" t="str">
        <f t="shared" si="23"/>
        <v>https://pubmed.ncbi.nlm.nih.gov/33477334</v>
      </c>
      <c r="F2003" s="28" t="s">
        <v>511</v>
      </c>
      <c r="G2003" s="28" t="s">
        <v>4592</v>
      </c>
      <c r="J2003" s="346">
        <f t="shared" si="19"/>
        <v>1</v>
      </c>
      <c r="K2003" s="28" t="str">
        <f t="shared" si="24"/>
        <v/>
      </c>
      <c r="L2003" s="45" t="str">
        <f t="shared" si="25"/>
        <v/>
      </c>
      <c r="M2003" s="45" t="str">
        <f t="shared" si="26"/>
        <v/>
      </c>
      <c r="N2003" s="45" t="str">
        <f t="shared" si="27"/>
        <v/>
      </c>
      <c r="O2003" s="45" t="str">
        <f t="shared" si="28"/>
        <v/>
      </c>
      <c r="P2003" s="45" t="str">
        <f t="shared" si="29"/>
        <v/>
      </c>
    </row>
    <row r="2004" spans="1:16" ht="17.25">
      <c r="A2004" s="276" t="s">
        <v>7353</v>
      </c>
      <c r="B2004" s="277">
        <v>2007</v>
      </c>
      <c r="C2004" s="276"/>
      <c r="D2004" s="277">
        <v>17503974</v>
      </c>
      <c r="E2004" s="278" t="str">
        <f t="shared" si="23"/>
        <v>https://pubmed.ncbi.nlm.nih.gov/17503974</v>
      </c>
      <c r="F2004" s="28" t="s">
        <v>511</v>
      </c>
      <c r="G2004" s="28" t="s">
        <v>5157</v>
      </c>
      <c r="J2004" s="346" t="str">
        <f t="shared" si="19"/>
        <v/>
      </c>
      <c r="K2004" s="28" t="str">
        <f t="shared" si="24"/>
        <v/>
      </c>
      <c r="L2004" s="45" t="str">
        <f t="shared" si="25"/>
        <v/>
      </c>
      <c r="M2004" s="45" t="str">
        <f t="shared" si="26"/>
        <v/>
      </c>
      <c r="N2004" s="45">
        <f t="shared" si="27"/>
        <v>1</v>
      </c>
      <c r="O2004" s="45" t="str">
        <f t="shared" si="28"/>
        <v/>
      </c>
      <c r="P2004" s="45" t="str">
        <f t="shared" si="29"/>
        <v/>
      </c>
    </row>
    <row r="2005" spans="1:16" ht="17.25">
      <c r="A2005" s="276" t="s">
        <v>7354</v>
      </c>
      <c r="B2005" s="277">
        <v>2007</v>
      </c>
      <c r="C2005" s="276"/>
      <c r="D2005" s="277">
        <v>17300401</v>
      </c>
      <c r="E2005" s="278" t="str">
        <f t="shared" si="23"/>
        <v>https://pubmed.ncbi.nlm.nih.gov/17300401</v>
      </c>
      <c r="F2005" s="28" t="s">
        <v>511</v>
      </c>
      <c r="G2005" s="28" t="s">
        <v>5157</v>
      </c>
      <c r="J2005" s="346" t="str">
        <f t="shared" si="19"/>
        <v/>
      </c>
      <c r="K2005" s="28" t="str">
        <f t="shared" si="24"/>
        <v/>
      </c>
      <c r="L2005" s="45" t="str">
        <f t="shared" si="25"/>
        <v/>
      </c>
      <c r="M2005" s="45" t="str">
        <f t="shared" si="26"/>
        <v/>
      </c>
      <c r="N2005" s="45">
        <f t="shared" si="27"/>
        <v>1</v>
      </c>
      <c r="O2005" s="45" t="str">
        <f t="shared" si="28"/>
        <v/>
      </c>
      <c r="P2005" s="45" t="str">
        <f t="shared" si="29"/>
        <v/>
      </c>
    </row>
    <row r="2006" spans="1:16" ht="17.25">
      <c r="A2006" s="276" t="s">
        <v>7355</v>
      </c>
      <c r="B2006" s="277">
        <v>2019</v>
      </c>
      <c r="C2006" s="276" t="s">
        <v>7356</v>
      </c>
      <c r="D2006" s="277">
        <v>30420158</v>
      </c>
      <c r="E2006" s="278" t="str">
        <f t="shared" si="23"/>
        <v>https://pubmed.ncbi.nlm.nih.gov/30420158</v>
      </c>
      <c r="F2006" s="28" t="s">
        <v>511</v>
      </c>
      <c r="G2006" s="28" t="s">
        <v>7357</v>
      </c>
      <c r="J2006" s="346" t="str">
        <f t="shared" si="19"/>
        <v/>
      </c>
      <c r="K2006" s="28" t="str">
        <f t="shared" si="24"/>
        <v/>
      </c>
      <c r="L2006" s="45" t="str">
        <f t="shared" si="25"/>
        <v/>
      </c>
      <c r="M2006" s="45" t="str">
        <f t="shared" si="26"/>
        <v/>
      </c>
      <c r="N2006" s="45">
        <f t="shared" si="27"/>
        <v>1</v>
      </c>
      <c r="O2006" s="45" t="str">
        <f t="shared" si="28"/>
        <v/>
      </c>
      <c r="P2006" s="45" t="str">
        <f t="shared" si="29"/>
        <v/>
      </c>
    </row>
    <row r="2007" spans="1:16" ht="17.25">
      <c r="A2007" s="276" t="s">
        <v>7358</v>
      </c>
      <c r="B2007" s="277">
        <v>2009</v>
      </c>
      <c r="C2007" s="276"/>
      <c r="D2007" s="277">
        <v>19675533</v>
      </c>
      <c r="E2007" s="278" t="str">
        <f t="shared" si="23"/>
        <v>https://pubmed.ncbi.nlm.nih.gov/19675533</v>
      </c>
      <c r="F2007" s="28" t="s">
        <v>511</v>
      </c>
      <c r="G2007" s="28" t="s">
        <v>4744</v>
      </c>
      <c r="J2007" s="346" t="str">
        <f t="shared" si="19"/>
        <v/>
      </c>
      <c r="K2007" s="28" t="str">
        <f t="shared" si="24"/>
        <v/>
      </c>
      <c r="L2007" s="45" t="str">
        <f t="shared" si="25"/>
        <v/>
      </c>
      <c r="M2007" s="45" t="str">
        <f t="shared" si="26"/>
        <v/>
      </c>
      <c r="N2007" s="45">
        <f t="shared" si="27"/>
        <v>1</v>
      </c>
      <c r="O2007" s="45" t="str">
        <f t="shared" si="28"/>
        <v/>
      </c>
      <c r="P2007" s="45" t="str">
        <f t="shared" si="29"/>
        <v/>
      </c>
    </row>
    <row r="2008" spans="1:16" ht="17.25">
      <c r="A2008" s="276" t="s">
        <v>7359</v>
      </c>
      <c r="B2008" s="277">
        <v>2005</v>
      </c>
      <c r="C2008" s="276"/>
      <c r="D2008" s="277">
        <v>16379582</v>
      </c>
      <c r="E2008" s="278" t="str">
        <f t="shared" si="23"/>
        <v>https://pubmed.ncbi.nlm.nih.gov/16379582</v>
      </c>
      <c r="F2008" s="28" t="s">
        <v>511</v>
      </c>
      <c r="G2008" s="28" t="s">
        <v>4867</v>
      </c>
      <c r="J2008" s="346" t="str">
        <f t="shared" si="19"/>
        <v/>
      </c>
      <c r="K2008" s="28" t="str">
        <f t="shared" si="24"/>
        <v/>
      </c>
      <c r="L2008" s="45" t="str">
        <f t="shared" si="25"/>
        <v/>
      </c>
      <c r="M2008" s="45" t="str">
        <f t="shared" si="26"/>
        <v/>
      </c>
      <c r="N2008" s="45">
        <f t="shared" si="27"/>
        <v>1</v>
      </c>
      <c r="O2008" s="45" t="str">
        <f t="shared" si="28"/>
        <v/>
      </c>
      <c r="P2008" s="45" t="str">
        <f t="shared" si="29"/>
        <v/>
      </c>
    </row>
    <row r="2009" spans="1:16" ht="17.25">
      <c r="A2009" s="276" t="s">
        <v>7360</v>
      </c>
      <c r="B2009" s="277">
        <v>2012</v>
      </c>
      <c r="C2009" s="276" t="s">
        <v>7361</v>
      </c>
      <c r="D2009" s="277">
        <v>23235609</v>
      </c>
      <c r="E2009" s="278" t="str">
        <f t="shared" si="23"/>
        <v>https://pubmed.ncbi.nlm.nih.gov/23235609</v>
      </c>
      <c r="F2009" s="28" t="s">
        <v>511</v>
      </c>
      <c r="G2009" s="28" t="s">
        <v>4592</v>
      </c>
      <c r="J2009" s="346">
        <f t="shared" si="19"/>
        <v>1</v>
      </c>
      <c r="K2009" s="28" t="str">
        <f t="shared" si="24"/>
        <v/>
      </c>
      <c r="L2009" s="45" t="str">
        <f t="shared" si="25"/>
        <v/>
      </c>
      <c r="M2009" s="45" t="str">
        <f t="shared" si="26"/>
        <v/>
      </c>
      <c r="N2009" s="45" t="str">
        <f t="shared" si="27"/>
        <v/>
      </c>
      <c r="O2009" s="45" t="str">
        <f t="shared" si="28"/>
        <v/>
      </c>
      <c r="P2009" s="45" t="str">
        <f t="shared" si="29"/>
        <v/>
      </c>
    </row>
    <row r="2010" spans="1:16" ht="17.25">
      <c r="A2010" s="276" t="s">
        <v>7362</v>
      </c>
      <c r="B2010" s="277">
        <v>2006</v>
      </c>
      <c r="C2010" s="276" t="s">
        <v>7363</v>
      </c>
      <c r="D2010" s="277">
        <v>16988008</v>
      </c>
      <c r="E2010" s="278" t="str">
        <f t="shared" si="23"/>
        <v>https://pubmed.ncbi.nlm.nih.gov/16988008</v>
      </c>
      <c r="F2010" s="28" t="s">
        <v>511</v>
      </c>
      <c r="G2010" s="28" t="s">
        <v>7364</v>
      </c>
      <c r="J2010" s="346" t="str">
        <f t="shared" si="19"/>
        <v/>
      </c>
      <c r="K2010" s="28" t="str">
        <f t="shared" si="24"/>
        <v/>
      </c>
      <c r="L2010" s="45" t="str">
        <f t="shared" si="25"/>
        <v/>
      </c>
      <c r="M2010" s="45" t="str">
        <f t="shared" si="26"/>
        <v/>
      </c>
      <c r="N2010" s="45" t="str">
        <f t="shared" si="27"/>
        <v/>
      </c>
      <c r="O2010" s="45">
        <f t="shared" si="28"/>
        <v>1</v>
      </c>
      <c r="P2010" s="45" t="str">
        <f t="shared" si="29"/>
        <v/>
      </c>
    </row>
    <row r="2011" spans="1:16" ht="17.25">
      <c r="A2011" s="276" t="s">
        <v>7365</v>
      </c>
      <c r="B2011" s="277">
        <v>2013</v>
      </c>
      <c r="C2011" s="276"/>
      <c r="D2011" s="277">
        <v>23728638</v>
      </c>
      <c r="E2011" s="278" t="str">
        <f t="shared" si="23"/>
        <v>https://pubmed.ncbi.nlm.nih.gov/23728638</v>
      </c>
      <c r="F2011" s="28" t="s">
        <v>511</v>
      </c>
      <c r="G2011" s="28" t="s">
        <v>7366</v>
      </c>
      <c r="J2011" s="346">
        <f t="shared" si="19"/>
        <v>1</v>
      </c>
      <c r="K2011" s="28" t="str">
        <f t="shared" si="24"/>
        <v/>
      </c>
      <c r="L2011" s="45" t="str">
        <f t="shared" si="25"/>
        <v/>
      </c>
      <c r="M2011" s="45" t="str">
        <f t="shared" si="26"/>
        <v/>
      </c>
      <c r="N2011" s="45" t="str">
        <f t="shared" si="27"/>
        <v/>
      </c>
      <c r="O2011" s="45" t="str">
        <f t="shared" si="28"/>
        <v/>
      </c>
      <c r="P2011" s="45" t="str">
        <f t="shared" si="29"/>
        <v/>
      </c>
    </row>
    <row r="2012" spans="1:16" ht="17.25">
      <c r="A2012" s="276" t="s">
        <v>7367</v>
      </c>
      <c r="B2012" s="277">
        <v>2016</v>
      </c>
      <c r="C2012" s="276" t="s">
        <v>7368</v>
      </c>
      <c r="D2012" s="277">
        <v>27366182</v>
      </c>
      <c r="E2012" s="278" t="str">
        <f t="shared" si="23"/>
        <v>https://pubmed.ncbi.nlm.nih.gov/27366182</v>
      </c>
      <c r="F2012" s="28" t="s">
        <v>511</v>
      </c>
      <c r="G2012" s="28" t="s">
        <v>4536</v>
      </c>
      <c r="J2012" s="346" t="str">
        <f t="shared" si="19"/>
        <v/>
      </c>
      <c r="K2012" s="28">
        <f t="shared" si="24"/>
        <v>1</v>
      </c>
      <c r="L2012" s="45" t="str">
        <f t="shared" si="25"/>
        <v/>
      </c>
      <c r="M2012" s="45" t="str">
        <f t="shared" si="26"/>
        <v/>
      </c>
      <c r="N2012" s="45" t="str">
        <f t="shared" si="27"/>
        <v/>
      </c>
      <c r="O2012" s="45" t="str">
        <f t="shared" si="28"/>
        <v/>
      </c>
      <c r="P2012" s="45" t="str">
        <f t="shared" si="29"/>
        <v/>
      </c>
    </row>
    <row r="2013" spans="1:16" ht="17.25">
      <c r="A2013" s="276" t="s">
        <v>7369</v>
      </c>
      <c r="B2013" s="277">
        <v>2019</v>
      </c>
      <c r="C2013" s="276"/>
      <c r="D2013" s="277">
        <v>31050912</v>
      </c>
      <c r="E2013" s="278" t="str">
        <f t="shared" si="23"/>
        <v>https://pubmed.ncbi.nlm.nih.gov/31050912</v>
      </c>
      <c r="F2013" s="28" t="s">
        <v>511</v>
      </c>
      <c r="G2013" s="28" t="s">
        <v>4592</v>
      </c>
      <c r="J2013" s="346">
        <f t="shared" si="19"/>
        <v>1</v>
      </c>
      <c r="K2013" s="28" t="str">
        <f t="shared" si="24"/>
        <v/>
      </c>
      <c r="L2013" s="45" t="str">
        <f t="shared" si="25"/>
        <v/>
      </c>
      <c r="M2013" s="45" t="str">
        <f t="shared" si="26"/>
        <v/>
      </c>
      <c r="N2013" s="45" t="str">
        <f t="shared" si="27"/>
        <v/>
      </c>
      <c r="O2013" s="45" t="str">
        <f t="shared" si="28"/>
        <v/>
      </c>
      <c r="P2013" s="45" t="str">
        <f t="shared" si="29"/>
        <v/>
      </c>
    </row>
    <row r="2014" spans="1:16" ht="17.25">
      <c r="A2014" s="276" t="s">
        <v>7370</v>
      </c>
      <c r="B2014" s="277">
        <v>2012</v>
      </c>
      <c r="C2014" s="276"/>
      <c r="D2014" s="277">
        <v>22838300</v>
      </c>
      <c r="E2014" s="278" t="str">
        <f t="shared" si="23"/>
        <v>https://pubmed.ncbi.nlm.nih.gov/22838300</v>
      </c>
      <c r="F2014" s="28" t="s">
        <v>511</v>
      </c>
      <c r="G2014" s="28" t="s">
        <v>7371</v>
      </c>
      <c r="J2014" s="346" t="str">
        <f t="shared" si="19"/>
        <v/>
      </c>
      <c r="K2014" s="28" t="str">
        <f t="shared" si="24"/>
        <v/>
      </c>
      <c r="L2014" s="45" t="str">
        <f t="shared" si="25"/>
        <v/>
      </c>
      <c r="M2014" s="45" t="str">
        <f t="shared" si="26"/>
        <v/>
      </c>
      <c r="N2014" s="45" t="str">
        <f t="shared" si="27"/>
        <v/>
      </c>
      <c r="O2014" s="45">
        <f t="shared" si="28"/>
        <v>1</v>
      </c>
      <c r="P2014" s="45" t="str">
        <f t="shared" si="29"/>
        <v/>
      </c>
    </row>
    <row r="2015" spans="1:16" ht="17.25">
      <c r="A2015" s="276" t="s">
        <v>7372</v>
      </c>
      <c r="B2015" s="277">
        <v>2009</v>
      </c>
      <c r="C2015" s="276"/>
      <c r="D2015" s="277">
        <v>19160254</v>
      </c>
      <c r="E2015" s="278" t="str">
        <f t="shared" si="23"/>
        <v>https://pubmed.ncbi.nlm.nih.gov/19160254</v>
      </c>
      <c r="F2015" s="28" t="s">
        <v>511</v>
      </c>
      <c r="G2015" s="28" t="s">
        <v>5273</v>
      </c>
      <c r="J2015" s="346">
        <f t="shared" si="19"/>
        <v>1</v>
      </c>
      <c r="K2015" s="28" t="str">
        <f t="shared" si="24"/>
        <v/>
      </c>
      <c r="L2015" s="45" t="str">
        <f t="shared" si="25"/>
        <v/>
      </c>
      <c r="M2015" s="45" t="str">
        <f t="shared" si="26"/>
        <v/>
      </c>
      <c r="N2015" s="45" t="str">
        <f t="shared" si="27"/>
        <v/>
      </c>
      <c r="O2015" s="45" t="str">
        <f t="shared" si="28"/>
        <v/>
      </c>
      <c r="P2015" s="45" t="str">
        <f t="shared" si="29"/>
        <v/>
      </c>
    </row>
    <row r="2016" spans="1:16" ht="17.25">
      <c r="A2016" s="276" t="s">
        <v>7373</v>
      </c>
      <c r="B2016" s="277">
        <v>2015</v>
      </c>
      <c r="C2016" s="276"/>
      <c r="D2016" s="277">
        <v>25319385</v>
      </c>
      <c r="E2016" s="278" t="str">
        <f t="shared" si="23"/>
        <v>https://pubmed.ncbi.nlm.nih.gov/25319385</v>
      </c>
      <c r="F2016" s="28" t="s">
        <v>511</v>
      </c>
      <c r="G2016" s="28" t="s">
        <v>7374</v>
      </c>
      <c r="J2016" s="346" t="str">
        <f t="shared" si="19"/>
        <v/>
      </c>
      <c r="K2016" s="28" t="str">
        <f t="shared" si="24"/>
        <v/>
      </c>
      <c r="L2016" s="45" t="str">
        <f t="shared" si="25"/>
        <v/>
      </c>
      <c r="M2016" s="45" t="str">
        <f t="shared" si="26"/>
        <v/>
      </c>
      <c r="N2016" s="45" t="str">
        <f t="shared" si="27"/>
        <v/>
      </c>
      <c r="O2016" s="45">
        <f t="shared" si="28"/>
        <v>1</v>
      </c>
      <c r="P2016" s="45" t="str">
        <f t="shared" si="29"/>
        <v/>
      </c>
    </row>
    <row r="2017" spans="1:16" ht="17.25">
      <c r="A2017" s="276" t="s">
        <v>7375</v>
      </c>
      <c r="B2017" s="277">
        <v>2016</v>
      </c>
      <c r="C2017" s="276" t="s">
        <v>7376</v>
      </c>
      <c r="D2017" s="277">
        <v>27193488</v>
      </c>
      <c r="E2017" s="278" t="str">
        <f t="shared" si="23"/>
        <v>https://pubmed.ncbi.nlm.nih.gov/27193488</v>
      </c>
      <c r="F2017" s="28" t="s">
        <v>511</v>
      </c>
      <c r="G2017" s="28" t="s">
        <v>4592</v>
      </c>
      <c r="J2017" s="346">
        <f t="shared" si="19"/>
        <v>1</v>
      </c>
      <c r="K2017" s="28" t="str">
        <f t="shared" si="24"/>
        <v/>
      </c>
      <c r="L2017" s="45" t="str">
        <f t="shared" si="25"/>
        <v/>
      </c>
      <c r="M2017" s="45" t="str">
        <f t="shared" si="26"/>
        <v/>
      </c>
      <c r="N2017" s="45" t="str">
        <f t="shared" si="27"/>
        <v/>
      </c>
      <c r="O2017" s="45" t="str">
        <f t="shared" si="28"/>
        <v/>
      </c>
      <c r="P2017" s="45" t="str">
        <f t="shared" si="29"/>
        <v/>
      </c>
    </row>
    <row r="2018" spans="1:16" ht="17.25">
      <c r="A2018" s="276" t="s">
        <v>7377</v>
      </c>
      <c r="B2018" s="277">
        <v>2005</v>
      </c>
      <c r="C2018" s="276"/>
      <c r="D2018" s="277">
        <v>16104945</v>
      </c>
      <c r="E2018" s="278" t="str">
        <f t="shared" si="23"/>
        <v>https://pubmed.ncbi.nlm.nih.gov/16104945</v>
      </c>
      <c r="F2018" s="28" t="s">
        <v>511</v>
      </c>
      <c r="G2018" s="28" t="s">
        <v>4592</v>
      </c>
      <c r="J2018" s="346">
        <f t="shared" si="19"/>
        <v>1</v>
      </c>
      <c r="K2018" s="28" t="str">
        <f t="shared" si="24"/>
        <v/>
      </c>
      <c r="L2018" s="45" t="str">
        <f t="shared" si="25"/>
        <v/>
      </c>
      <c r="M2018" s="45" t="str">
        <f t="shared" si="26"/>
        <v/>
      </c>
      <c r="N2018" s="45" t="str">
        <f t="shared" si="27"/>
        <v/>
      </c>
      <c r="O2018" s="45" t="str">
        <f t="shared" si="28"/>
        <v/>
      </c>
      <c r="P2018" s="45" t="str">
        <f t="shared" si="29"/>
        <v/>
      </c>
    </row>
    <row r="2019" spans="1:16" ht="17.25">
      <c r="A2019" s="276" t="s">
        <v>7378</v>
      </c>
      <c r="B2019" s="277">
        <v>2020</v>
      </c>
      <c r="C2019" s="276"/>
      <c r="D2019" s="277">
        <v>31924539</v>
      </c>
      <c r="E2019" s="278" t="str">
        <f t="shared" si="23"/>
        <v>https://pubmed.ncbi.nlm.nih.gov/31924539</v>
      </c>
      <c r="F2019" s="28" t="s">
        <v>511</v>
      </c>
      <c r="G2019" s="28" t="s">
        <v>7379</v>
      </c>
      <c r="J2019" s="346" t="str">
        <f t="shared" si="19"/>
        <v/>
      </c>
      <c r="K2019" s="28" t="str">
        <f t="shared" si="24"/>
        <v/>
      </c>
      <c r="L2019" s="45" t="str">
        <f t="shared" si="25"/>
        <v/>
      </c>
      <c r="M2019" s="45" t="str">
        <f t="shared" si="26"/>
        <v/>
      </c>
      <c r="N2019" s="45" t="str">
        <f t="shared" si="27"/>
        <v/>
      </c>
      <c r="O2019" s="45">
        <f t="shared" si="28"/>
        <v>1</v>
      </c>
      <c r="P2019" s="45" t="str">
        <f t="shared" si="29"/>
        <v/>
      </c>
    </row>
    <row r="2020" spans="1:16" ht="17.25">
      <c r="A2020" s="276" t="s">
        <v>7380</v>
      </c>
      <c r="B2020" s="277">
        <v>2014</v>
      </c>
      <c r="C2020" s="276" t="s">
        <v>7381</v>
      </c>
      <c r="D2020" s="277">
        <v>23461895</v>
      </c>
      <c r="E2020" s="278" t="str">
        <f t="shared" si="23"/>
        <v>https://pubmed.ncbi.nlm.nih.gov/23461895</v>
      </c>
      <c r="F2020" s="28" t="s">
        <v>511</v>
      </c>
      <c r="G2020" s="28" t="s">
        <v>4744</v>
      </c>
      <c r="J2020" s="346" t="str">
        <f t="shared" si="19"/>
        <v/>
      </c>
      <c r="K2020" s="28" t="str">
        <f t="shared" si="24"/>
        <v/>
      </c>
      <c r="L2020" s="45" t="str">
        <f t="shared" si="25"/>
        <v/>
      </c>
      <c r="M2020" s="45" t="str">
        <f t="shared" si="26"/>
        <v/>
      </c>
      <c r="N2020" s="45">
        <f t="shared" si="27"/>
        <v>1</v>
      </c>
      <c r="O2020" s="45" t="str">
        <f t="shared" si="28"/>
        <v/>
      </c>
      <c r="P2020" s="45" t="str">
        <f t="shared" si="29"/>
        <v/>
      </c>
    </row>
    <row r="2021" spans="1:16" ht="17.25">
      <c r="A2021" s="276" t="s">
        <v>7382</v>
      </c>
      <c r="B2021" s="277">
        <v>2017</v>
      </c>
      <c r="C2021" s="276"/>
      <c r="D2021" s="277">
        <v>28526233</v>
      </c>
      <c r="E2021" s="278" t="str">
        <f t="shared" si="23"/>
        <v>https://pubmed.ncbi.nlm.nih.gov/28526233</v>
      </c>
      <c r="F2021" s="28" t="s">
        <v>511</v>
      </c>
      <c r="G2021" s="28" t="s">
        <v>4744</v>
      </c>
      <c r="J2021" s="346" t="str">
        <f t="shared" si="19"/>
        <v/>
      </c>
      <c r="K2021" s="28" t="str">
        <f t="shared" si="24"/>
        <v/>
      </c>
      <c r="L2021" s="45" t="str">
        <f t="shared" si="25"/>
        <v/>
      </c>
      <c r="M2021" s="45" t="str">
        <f t="shared" si="26"/>
        <v/>
      </c>
      <c r="N2021" s="45">
        <f t="shared" si="27"/>
        <v>1</v>
      </c>
      <c r="O2021" s="45" t="str">
        <f t="shared" si="28"/>
        <v/>
      </c>
      <c r="P2021" s="45" t="str">
        <f t="shared" si="29"/>
        <v/>
      </c>
    </row>
    <row r="2022" spans="1:16" ht="17.25">
      <c r="A2022" s="276" t="s">
        <v>7383</v>
      </c>
      <c r="B2022" s="277">
        <v>2016</v>
      </c>
      <c r="C2022" s="276"/>
      <c r="D2022" s="277">
        <v>27120555</v>
      </c>
      <c r="E2022" s="278" t="str">
        <f t="shared" si="23"/>
        <v>https://pubmed.ncbi.nlm.nih.gov/27120555</v>
      </c>
      <c r="F2022" s="28" t="s">
        <v>511</v>
      </c>
      <c r="G2022" s="28" t="s">
        <v>5273</v>
      </c>
      <c r="J2022" s="346">
        <f t="shared" si="19"/>
        <v>1</v>
      </c>
      <c r="K2022" s="28" t="str">
        <f t="shared" si="24"/>
        <v/>
      </c>
      <c r="L2022" s="45" t="str">
        <f t="shared" si="25"/>
        <v/>
      </c>
      <c r="M2022" s="45" t="str">
        <f t="shared" si="26"/>
        <v/>
      </c>
      <c r="N2022" s="45" t="str">
        <f t="shared" si="27"/>
        <v/>
      </c>
      <c r="O2022" s="45" t="str">
        <f t="shared" si="28"/>
        <v/>
      </c>
      <c r="P2022" s="45" t="str">
        <f t="shared" si="29"/>
        <v/>
      </c>
    </row>
    <row r="2023" spans="1:16" ht="17.25">
      <c r="A2023" s="276" t="s">
        <v>7384</v>
      </c>
      <c r="B2023" s="277">
        <v>2017</v>
      </c>
      <c r="C2023" s="276" t="s">
        <v>7385</v>
      </c>
      <c r="D2023" s="277">
        <v>28828759</v>
      </c>
      <c r="E2023" s="278" t="str">
        <f t="shared" si="23"/>
        <v>https://pubmed.ncbi.nlm.nih.gov/28828759</v>
      </c>
      <c r="F2023" s="28" t="s">
        <v>511</v>
      </c>
      <c r="G2023" s="28" t="s">
        <v>4592</v>
      </c>
      <c r="J2023" s="346">
        <f t="shared" si="19"/>
        <v>1</v>
      </c>
      <c r="K2023" s="28" t="str">
        <f t="shared" si="24"/>
        <v/>
      </c>
      <c r="L2023" s="45" t="str">
        <f t="shared" si="25"/>
        <v/>
      </c>
      <c r="M2023" s="45" t="str">
        <f t="shared" si="26"/>
        <v/>
      </c>
      <c r="N2023" s="45" t="str">
        <f t="shared" si="27"/>
        <v/>
      </c>
      <c r="O2023" s="45" t="str">
        <f t="shared" si="28"/>
        <v/>
      </c>
      <c r="P2023" s="45" t="str">
        <f t="shared" si="29"/>
        <v/>
      </c>
    </row>
    <row r="2024" spans="1:16" ht="17.25">
      <c r="A2024" s="276" t="s">
        <v>7386</v>
      </c>
      <c r="B2024" s="277">
        <v>2017</v>
      </c>
      <c r="C2024" s="276" t="s">
        <v>7387</v>
      </c>
      <c r="D2024" s="277">
        <v>28984368</v>
      </c>
      <c r="E2024" s="278" t="str">
        <f t="shared" si="23"/>
        <v>https://pubmed.ncbi.nlm.nih.gov/28984368</v>
      </c>
      <c r="F2024" s="28" t="s">
        <v>511</v>
      </c>
      <c r="G2024" s="28" t="s">
        <v>4592</v>
      </c>
      <c r="J2024" s="346">
        <f t="shared" si="19"/>
        <v>1</v>
      </c>
      <c r="K2024" s="28" t="str">
        <f t="shared" si="24"/>
        <v/>
      </c>
      <c r="L2024" s="45" t="str">
        <f t="shared" si="25"/>
        <v/>
      </c>
      <c r="M2024" s="45" t="str">
        <f t="shared" si="26"/>
        <v/>
      </c>
      <c r="N2024" s="45" t="str">
        <f t="shared" si="27"/>
        <v/>
      </c>
      <c r="O2024" s="45" t="str">
        <f t="shared" si="28"/>
        <v/>
      </c>
      <c r="P2024" s="45" t="str">
        <f t="shared" si="29"/>
        <v/>
      </c>
    </row>
    <row r="2025" spans="1:16" ht="17.25">
      <c r="A2025" s="276" t="s">
        <v>7388</v>
      </c>
      <c r="B2025" s="277">
        <v>2012</v>
      </c>
      <c r="C2025" s="276" t="s">
        <v>7389</v>
      </c>
      <c r="D2025" s="277">
        <v>23074420</v>
      </c>
      <c r="E2025" s="278" t="str">
        <f t="shared" si="23"/>
        <v>https://pubmed.ncbi.nlm.nih.gov/23074420</v>
      </c>
      <c r="F2025" s="28" t="s">
        <v>511</v>
      </c>
      <c r="G2025" s="28" t="s">
        <v>4592</v>
      </c>
      <c r="J2025" s="346">
        <f t="shared" si="19"/>
        <v>1</v>
      </c>
      <c r="K2025" s="28" t="str">
        <f t="shared" si="24"/>
        <v/>
      </c>
      <c r="L2025" s="45" t="str">
        <f t="shared" si="25"/>
        <v/>
      </c>
      <c r="M2025" s="45" t="str">
        <f t="shared" si="26"/>
        <v/>
      </c>
      <c r="N2025" s="45" t="str">
        <f t="shared" si="27"/>
        <v/>
      </c>
      <c r="O2025" s="45" t="str">
        <f t="shared" si="28"/>
        <v/>
      </c>
      <c r="P2025" s="45" t="str">
        <f t="shared" si="29"/>
        <v/>
      </c>
    </row>
    <row r="2026" spans="1:16" ht="17.25">
      <c r="A2026" s="276" t="s">
        <v>7390</v>
      </c>
      <c r="B2026" s="277">
        <v>2016</v>
      </c>
      <c r="C2026" s="276"/>
      <c r="D2026" s="277">
        <v>27238057</v>
      </c>
      <c r="E2026" s="278" t="str">
        <f t="shared" si="23"/>
        <v>https://pubmed.ncbi.nlm.nih.gov/27238057</v>
      </c>
      <c r="F2026" s="28" t="s">
        <v>511</v>
      </c>
      <c r="G2026" s="28" t="s">
        <v>4998</v>
      </c>
      <c r="J2026" s="346" t="str">
        <f t="shared" si="19"/>
        <v/>
      </c>
      <c r="K2026" s="28" t="str">
        <f t="shared" si="24"/>
        <v/>
      </c>
      <c r="L2026" s="45" t="str">
        <f t="shared" si="25"/>
        <v/>
      </c>
      <c r="M2026" s="45" t="str">
        <f t="shared" si="26"/>
        <v/>
      </c>
      <c r="N2026" s="45" t="str">
        <f t="shared" si="27"/>
        <v/>
      </c>
      <c r="O2026" s="45">
        <f t="shared" si="28"/>
        <v>1</v>
      </c>
      <c r="P2026" s="45" t="str">
        <f t="shared" si="29"/>
        <v/>
      </c>
    </row>
    <row r="2027" spans="1:16" ht="17.25">
      <c r="A2027" s="276" t="s">
        <v>7391</v>
      </c>
      <c r="B2027" s="277">
        <v>1986</v>
      </c>
      <c r="C2027" s="276" t="s">
        <v>7392</v>
      </c>
      <c r="D2027" s="277">
        <v>3722374</v>
      </c>
      <c r="E2027" s="278" t="str">
        <f t="shared" si="23"/>
        <v>https://pubmed.ncbi.nlm.nih.gov/3722374</v>
      </c>
      <c r="F2027" s="28" t="s">
        <v>511</v>
      </c>
      <c r="G2027" s="28" t="s">
        <v>7393</v>
      </c>
      <c r="J2027" s="346" t="str">
        <f t="shared" si="19"/>
        <v/>
      </c>
      <c r="K2027" s="28" t="str">
        <f t="shared" si="24"/>
        <v/>
      </c>
      <c r="L2027" s="45" t="str">
        <f t="shared" si="25"/>
        <v/>
      </c>
      <c r="M2027" s="45" t="str">
        <f t="shared" si="26"/>
        <v/>
      </c>
      <c r="N2027" s="45" t="str">
        <f t="shared" si="27"/>
        <v/>
      </c>
      <c r="O2027" s="45">
        <f t="shared" si="28"/>
        <v>1</v>
      </c>
      <c r="P2027" s="45" t="str">
        <f t="shared" si="29"/>
        <v/>
      </c>
    </row>
    <row r="2028" spans="1:16" ht="17.25">
      <c r="A2028" s="276" t="s">
        <v>7394</v>
      </c>
      <c r="B2028" s="277">
        <v>2013</v>
      </c>
      <c r="C2028" s="276"/>
      <c r="D2028" s="277">
        <v>23642325</v>
      </c>
      <c r="E2028" s="278" t="str">
        <f t="shared" si="23"/>
        <v>https://pubmed.ncbi.nlm.nih.gov/23642325</v>
      </c>
      <c r="F2028" s="28" t="s">
        <v>511</v>
      </c>
      <c r="G2028" s="28" t="s">
        <v>7002</v>
      </c>
      <c r="J2028" s="346" t="str">
        <f t="shared" si="19"/>
        <v/>
      </c>
      <c r="K2028" s="28" t="str">
        <f t="shared" si="24"/>
        <v/>
      </c>
      <c r="L2028" s="45" t="str">
        <f t="shared" si="25"/>
        <v/>
      </c>
      <c r="M2028" s="45" t="str">
        <f t="shared" si="26"/>
        <v/>
      </c>
      <c r="N2028" s="45">
        <f t="shared" si="27"/>
        <v>1</v>
      </c>
      <c r="O2028" s="45" t="str">
        <f t="shared" si="28"/>
        <v/>
      </c>
      <c r="P2028" s="45" t="str">
        <f t="shared" si="29"/>
        <v/>
      </c>
    </row>
    <row r="2029" spans="1:16" ht="17.25">
      <c r="A2029" s="276" t="s">
        <v>7395</v>
      </c>
      <c r="B2029" s="277">
        <v>2017</v>
      </c>
      <c r="C2029" s="276" t="s">
        <v>7396</v>
      </c>
      <c r="D2029" s="277">
        <v>28968735</v>
      </c>
      <c r="E2029" s="278" t="str">
        <f t="shared" si="23"/>
        <v>https://pubmed.ncbi.nlm.nih.gov/28968735</v>
      </c>
      <c r="F2029" s="28" t="s">
        <v>511</v>
      </c>
      <c r="G2029" s="28" t="s">
        <v>4744</v>
      </c>
      <c r="J2029" s="346" t="str">
        <f t="shared" si="19"/>
        <v/>
      </c>
      <c r="K2029" s="28" t="str">
        <f t="shared" si="24"/>
        <v/>
      </c>
      <c r="L2029" s="45" t="str">
        <f t="shared" si="25"/>
        <v/>
      </c>
      <c r="M2029" s="45" t="str">
        <f t="shared" si="26"/>
        <v/>
      </c>
      <c r="N2029" s="45">
        <f t="shared" si="27"/>
        <v>1</v>
      </c>
      <c r="O2029" s="45" t="str">
        <f t="shared" si="28"/>
        <v/>
      </c>
      <c r="P2029" s="45" t="str">
        <f t="shared" si="29"/>
        <v/>
      </c>
    </row>
    <row r="2030" spans="1:16" ht="17.25">
      <c r="A2030" s="276" t="s">
        <v>7397</v>
      </c>
      <c r="B2030" s="277">
        <v>2019</v>
      </c>
      <c r="C2030" s="276"/>
      <c r="D2030" s="277">
        <v>31131994</v>
      </c>
      <c r="E2030" s="278" t="str">
        <f t="shared" si="23"/>
        <v>https://pubmed.ncbi.nlm.nih.gov/31131994</v>
      </c>
      <c r="F2030" s="28" t="s">
        <v>511</v>
      </c>
      <c r="G2030" s="28" t="s">
        <v>6712</v>
      </c>
      <c r="J2030" s="346" t="str">
        <f t="shared" si="19"/>
        <v/>
      </c>
      <c r="K2030" s="28" t="str">
        <f t="shared" si="24"/>
        <v/>
      </c>
      <c r="L2030" s="45" t="str">
        <f t="shared" si="25"/>
        <v/>
      </c>
      <c r="M2030" s="45" t="str">
        <f t="shared" si="26"/>
        <v/>
      </c>
      <c r="N2030" s="45">
        <f t="shared" si="27"/>
        <v>1</v>
      </c>
      <c r="O2030" s="45" t="str">
        <f t="shared" si="28"/>
        <v/>
      </c>
      <c r="P2030" s="45" t="str">
        <f t="shared" si="29"/>
        <v/>
      </c>
    </row>
    <row r="2031" spans="1:16" ht="17.25">
      <c r="A2031" s="276" t="s">
        <v>7398</v>
      </c>
      <c r="B2031" s="277">
        <v>2018</v>
      </c>
      <c r="C2031" s="276"/>
      <c r="D2031" s="277">
        <v>29093159</v>
      </c>
      <c r="E2031" s="278" t="str">
        <f t="shared" si="23"/>
        <v>https://pubmed.ncbi.nlm.nih.gov/29093159</v>
      </c>
      <c r="F2031" s="28" t="s">
        <v>511</v>
      </c>
      <c r="G2031" s="28" t="s">
        <v>4744</v>
      </c>
      <c r="J2031" s="346" t="str">
        <f t="shared" si="19"/>
        <v/>
      </c>
      <c r="K2031" s="28" t="str">
        <f t="shared" si="24"/>
        <v/>
      </c>
      <c r="L2031" s="45" t="str">
        <f t="shared" si="25"/>
        <v/>
      </c>
      <c r="M2031" s="45" t="str">
        <f t="shared" si="26"/>
        <v/>
      </c>
      <c r="N2031" s="45">
        <f t="shared" si="27"/>
        <v>1</v>
      </c>
      <c r="O2031" s="45" t="str">
        <f t="shared" si="28"/>
        <v/>
      </c>
      <c r="P2031" s="45" t="str">
        <f t="shared" si="29"/>
        <v/>
      </c>
    </row>
    <row r="2032" spans="1:16" ht="17.25">
      <c r="A2032" s="276" t="s">
        <v>5552</v>
      </c>
      <c r="B2032" s="277">
        <v>2009</v>
      </c>
      <c r="C2032" s="276" t="s">
        <v>7399</v>
      </c>
      <c r="D2032" s="277">
        <v>23074532</v>
      </c>
      <c r="E2032" s="278" t="str">
        <f t="shared" si="23"/>
        <v>https://pubmed.ncbi.nlm.nih.gov/23074532</v>
      </c>
      <c r="F2032" s="28" t="s">
        <v>511</v>
      </c>
      <c r="G2032" s="28" t="s">
        <v>7400</v>
      </c>
      <c r="J2032" s="346" t="str">
        <f t="shared" si="19"/>
        <v/>
      </c>
      <c r="K2032" s="28" t="str">
        <f t="shared" si="24"/>
        <v/>
      </c>
      <c r="L2032" s="45" t="str">
        <f t="shared" si="25"/>
        <v/>
      </c>
      <c r="M2032" s="45" t="str">
        <f t="shared" si="26"/>
        <v/>
      </c>
      <c r="N2032" s="45" t="str">
        <f t="shared" si="27"/>
        <v/>
      </c>
      <c r="O2032" s="45">
        <f t="shared" si="28"/>
        <v>1</v>
      </c>
      <c r="P2032" s="45" t="str">
        <f t="shared" si="29"/>
        <v/>
      </c>
    </row>
    <row r="2033" spans="1:16" ht="17.25">
      <c r="A2033" s="276" t="s">
        <v>7401</v>
      </c>
      <c r="B2033" s="277">
        <v>2013</v>
      </c>
      <c r="C2033" s="276"/>
      <c r="D2033" s="277">
        <v>22882430</v>
      </c>
      <c r="E2033" s="278" t="str">
        <f t="shared" si="23"/>
        <v>https://pubmed.ncbi.nlm.nih.gov/22882430</v>
      </c>
      <c r="F2033" s="28" t="s">
        <v>511</v>
      </c>
      <c r="G2033" s="28" t="s">
        <v>5157</v>
      </c>
      <c r="I2033" s="28" t="s">
        <v>6460</v>
      </c>
      <c r="J2033" s="346" t="str">
        <f t="shared" si="19"/>
        <v/>
      </c>
      <c r="K2033" s="28" t="str">
        <f t="shared" si="24"/>
        <v/>
      </c>
      <c r="L2033" s="45" t="str">
        <f t="shared" si="25"/>
        <v/>
      </c>
      <c r="M2033" s="45" t="str">
        <f t="shared" si="26"/>
        <v/>
      </c>
      <c r="N2033" s="45">
        <f t="shared" si="27"/>
        <v>1</v>
      </c>
      <c r="O2033" s="45" t="str">
        <f t="shared" si="28"/>
        <v/>
      </c>
      <c r="P2033" s="45" t="str">
        <f t="shared" si="29"/>
        <v/>
      </c>
    </row>
    <row r="2034" spans="1:16" ht="17.25">
      <c r="A2034" s="276" t="s">
        <v>7402</v>
      </c>
      <c r="B2034" s="277">
        <v>2020</v>
      </c>
      <c r="C2034" s="276"/>
      <c r="D2034" s="277">
        <v>32773440</v>
      </c>
      <c r="E2034" s="278" t="str">
        <f t="shared" si="23"/>
        <v>https://pubmed.ncbi.nlm.nih.gov/32773440</v>
      </c>
      <c r="F2034" s="28" t="s">
        <v>511</v>
      </c>
      <c r="G2034" s="28" t="s">
        <v>4592</v>
      </c>
      <c r="J2034" s="346">
        <f t="shared" si="19"/>
        <v>1</v>
      </c>
      <c r="K2034" s="28" t="str">
        <f t="shared" si="24"/>
        <v/>
      </c>
      <c r="L2034" s="45" t="str">
        <f t="shared" si="25"/>
        <v/>
      </c>
      <c r="M2034" s="45" t="str">
        <f t="shared" si="26"/>
        <v/>
      </c>
      <c r="N2034" s="45" t="str">
        <f t="shared" si="27"/>
        <v/>
      </c>
      <c r="O2034" s="45" t="str">
        <f t="shared" si="28"/>
        <v/>
      </c>
      <c r="P2034" s="45" t="str">
        <f t="shared" si="29"/>
        <v/>
      </c>
    </row>
    <row r="2035" spans="1:16" ht="17.25">
      <c r="A2035" s="276" t="s">
        <v>7403</v>
      </c>
      <c r="B2035" s="277">
        <v>2012</v>
      </c>
      <c r="C2035" s="276"/>
      <c r="D2035" s="277">
        <v>22991696</v>
      </c>
      <c r="E2035" s="278" t="str">
        <f t="shared" si="23"/>
        <v>https://pubmed.ncbi.nlm.nih.gov/22991696</v>
      </c>
      <c r="F2035" s="28" t="s">
        <v>511</v>
      </c>
      <c r="G2035" s="28" t="s">
        <v>4744</v>
      </c>
      <c r="I2035" s="28" t="s">
        <v>6460</v>
      </c>
      <c r="J2035" s="346" t="str">
        <f t="shared" si="19"/>
        <v/>
      </c>
      <c r="K2035" s="28" t="str">
        <f t="shared" si="24"/>
        <v/>
      </c>
      <c r="L2035" s="45" t="str">
        <f t="shared" si="25"/>
        <v/>
      </c>
      <c r="M2035" s="45" t="str">
        <f t="shared" si="26"/>
        <v/>
      </c>
      <c r="N2035" s="45">
        <f t="shared" si="27"/>
        <v>1</v>
      </c>
      <c r="O2035" s="45" t="str">
        <f t="shared" si="28"/>
        <v/>
      </c>
      <c r="P2035" s="45" t="str">
        <f t="shared" si="29"/>
        <v/>
      </c>
    </row>
    <row r="2036" spans="1:16" ht="17.25">
      <c r="A2036" s="276" t="s">
        <v>7404</v>
      </c>
      <c r="B2036" s="277">
        <v>2009</v>
      </c>
      <c r="C2036" s="276"/>
      <c r="D2036" s="277">
        <v>19647405</v>
      </c>
      <c r="E2036" s="278" t="str">
        <f t="shared" si="23"/>
        <v>https://pubmed.ncbi.nlm.nih.gov/19647405</v>
      </c>
      <c r="F2036" s="28" t="s">
        <v>511</v>
      </c>
      <c r="G2036" s="28" t="s">
        <v>4867</v>
      </c>
      <c r="J2036" s="346" t="str">
        <f t="shared" si="19"/>
        <v/>
      </c>
      <c r="K2036" s="28" t="str">
        <f t="shared" si="24"/>
        <v/>
      </c>
      <c r="L2036" s="45" t="str">
        <f t="shared" si="25"/>
        <v/>
      </c>
      <c r="M2036" s="45" t="str">
        <f t="shared" si="26"/>
        <v/>
      </c>
      <c r="N2036" s="45">
        <f t="shared" si="27"/>
        <v>1</v>
      </c>
      <c r="O2036" s="45" t="str">
        <f t="shared" si="28"/>
        <v/>
      </c>
      <c r="P2036" s="45" t="str">
        <f t="shared" si="29"/>
        <v/>
      </c>
    </row>
    <row r="2037" spans="1:16" ht="17.25">
      <c r="A2037" s="276" t="s">
        <v>7405</v>
      </c>
      <c r="B2037" s="277">
        <v>1999</v>
      </c>
      <c r="C2037" s="276" t="s">
        <v>7406</v>
      </c>
      <c r="D2037" s="277">
        <v>10223933</v>
      </c>
      <c r="E2037" s="278" t="str">
        <f t="shared" si="23"/>
        <v>https://pubmed.ncbi.nlm.nih.gov/10223933</v>
      </c>
      <c r="F2037" s="28" t="s">
        <v>511</v>
      </c>
      <c r="G2037" s="28" t="s">
        <v>4744</v>
      </c>
      <c r="J2037" s="346" t="str">
        <f t="shared" si="19"/>
        <v/>
      </c>
      <c r="K2037" s="28" t="str">
        <f t="shared" si="24"/>
        <v/>
      </c>
      <c r="L2037" s="45" t="str">
        <f t="shared" si="25"/>
        <v/>
      </c>
      <c r="M2037" s="45" t="str">
        <f t="shared" si="26"/>
        <v/>
      </c>
      <c r="N2037" s="45">
        <f t="shared" si="27"/>
        <v>1</v>
      </c>
      <c r="O2037" s="45" t="str">
        <f t="shared" si="28"/>
        <v/>
      </c>
      <c r="P2037" s="45" t="str">
        <f t="shared" si="29"/>
        <v/>
      </c>
    </row>
    <row r="2038" spans="1:16" ht="17.25">
      <c r="A2038" s="276" t="s">
        <v>7407</v>
      </c>
      <c r="B2038" s="277">
        <v>2018</v>
      </c>
      <c r="C2038" s="276" t="s">
        <v>7408</v>
      </c>
      <c r="D2038" s="277">
        <v>30418980</v>
      </c>
      <c r="E2038" s="278" t="str">
        <f t="shared" si="23"/>
        <v>https://pubmed.ncbi.nlm.nih.gov/30418980</v>
      </c>
      <c r="F2038" s="28" t="s">
        <v>511</v>
      </c>
      <c r="G2038" s="28" t="s">
        <v>7409</v>
      </c>
      <c r="J2038" s="346" t="str">
        <f t="shared" si="19"/>
        <v/>
      </c>
      <c r="K2038" s="28" t="str">
        <f t="shared" si="24"/>
        <v/>
      </c>
      <c r="L2038" s="45" t="str">
        <f t="shared" si="25"/>
        <v/>
      </c>
      <c r="M2038" s="45" t="str">
        <f t="shared" si="26"/>
        <v/>
      </c>
      <c r="N2038" s="45" t="str">
        <f t="shared" si="27"/>
        <v/>
      </c>
      <c r="O2038" s="45">
        <f t="shared" si="28"/>
        <v>1</v>
      </c>
      <c r="P2038" s="45" t="str">
        <f t="shared" si="29"/>
        <v/>
      </c>
    </row>
    <row r="2039" spans="1:16" ht="17.25">
      <c r="A2039" s="276" t="s">
        <v>7410</v>
      </c>
      <c r="B2039" s="277">
        <v>2016</v>
      </c>
      <c r="C2039" s="276"/>
      <c r="D2039" s="277">
        <v>27604498</v>
      </c>
      <c r="E2039" s="278" t="str">
        <f t="shared" si="23"/>
        <v>https://pubmed.ncbi.nlm.nih.gov/27604498</v>
      </c>
      <c r="F2039" s="28" t="s">
        <v>511</v>
      </c>
      <c r="G2039" s="28" t="s">
        <v>4744</v>
      </c>
      <c r="J2039" s="346" t="str">
        <f t="shared" si="19"/>
        <v/>
      </c>
      <c r="K2039" s="28" t="str">
        <f t="shared" si="24"/>
        <v/>
      </c>
      <c r="L2039" s="45" t="str">
        <f t="shared" si="25"/>
        <v/>
      </c>
      <c r="M2039" s="45" t="str">
        <f t="shared" si="26"/>
        <v/>
      </c>
      <c r="N2039" s="45">
        <f t="shared" si="27"/>
        <v>1</v>
      </c>
      <c r="O2039" s="45" t="str">
        <f t="shared" si="28"/>
        <v/>
      </c>
      <c r="P2039" s="45" t="str">
        <f t="shared" si="29"/>
        <v/>
      </c>
    </row>
    <row r="2040" spans="1:16" ht="17.25">
      <c r="A2040" s="276" t="s">
        <v>7411</v>
      </c>
      <c r="B2040" s="277">
        <v>2010</v>
      </c>
      <c r="C2040" s="276"/>
      <c r="D2040" s="277">
        <v>19646777</v>
      </c>
      <c r="E2040" s="278" t="str">
        <f t="shared" si="23"/>
        <v>https://pubmed.ncbi.nlm.nih.gov/19646777</v>
      </c>
      <c r="F2040" s="28" t="s">
        <v>511</v>
      </c>
      <c r="G2040" s="28" t="s">
        <v>4592</v>
      </c>
      <c r="J2040" s="346">
        <f t="shared" si="19"/>
        <v>1</v>
      </c>
      <c r="K2040" s="28" t="str">
        <f t="shared" si="24"/>
        <v/>
      </c>
      <c r="L2040" s="45" t="str">
        <f t="shared" si="25"/>
        <v/>
      </c>
      <c r="M2040" s="45" t="str">
        <f t="shared" si="26"/>
        <v/>
      </c>
      <c r="N2040" s="45" t="str">
        <f t="shared" si="27"/>
        <v/>
      </c>
      <c r="O2040" s="45" t="str">
        <f t="shared" si="28"/>
        <v/>
      </c>
      <c r="P2040" s="45" t="str">
        <f t="shared" si="29"/>
        <v/>
      </c>
    </row>
    <row r="2041" spans="1:16" ht="17.25">
      <c r="A2041" s="276" t="s">
        <v>7412</v>
      </c>
      <c r="B2041" s="277">
        <v>2002</v>
      </c>
      <c r="C2041" s="276" t="s">
        <v>7413</v>
      </c>
      <c r="D2041" s="277">
        <v>12076499</v>
      </c>
      <c r="E2041" s="278" t="str">
        <f t="shared" si="23"/>
        <v>https://pubmed.ncbi.nlm.nih.gov/12076499</v>
      </c>
      <c r="F2041" s="28" t="s">
        <v>511</v>
      </c>
      <c r="G2041" s="28" t="s">
        <v>4592</v>
      </c>
      <c r="J2041" s="346">
        <f t="shared" si="19"/>
        <v>1</v>
      </c>
      <c r="K2041" s="28" t="str">
        <f t="shared" si="24"/>
        <v/>
      </c>
      <c r="L2041" s="45" t="str">
        <f t="shared" si="25"/>
        <v/>
      </c>
      <c r="M2041" s="45" t="str">
        <f t="shared" si="26"/>
        <v/>
      </c>
      <c r="N2041" s="45" t="str">
        <f t="shared" si="27"/>
        <v/>
      </c>
      <c r="O2041" s="45" t="str">
        <f t="shared" si="28"/>
        <v/>
      </c>
      <c r="P2041" s="45" t="str">
        <f t="shared" si="29"/>
        <v/>
      </c>
    </row>
    <row r="2042" spans="1:16" ht="17.25">
      <c r="A2042" s="276" t="s">
        <v>7414</v>
      </c>
      <c r="B2042" s="277">
        <v>2005</v>
      </c>
      <c r="C2042" s="276"/>
      <c r="D2042" s="277">
        <v>16235340</v>
      </c>
      <c r="E2042" s="278" t="str">
        <f t="shared" si="23"/>
        <v>https://pubmed.ncbi.nlm.nih.gov/16235340</v>
      </c>
      <c r="F2042" s="28" t="s">
        <v>511</v>
      </c>
      <c r="G2042" s="28" t="s">
        <v>4592</v>
      </c>
      <c r="J2042" s="346">
        <f t="shared" si="19"/>
        <v>1</v>
      </c>
      <c r="K2042" s="28" t="str">
        <f t="shared" si="24"/>
        <v/>
      </c>
      <c r="L2042" s="45" t="str">
        <f t="shared" si="25"/>
        <v/>
      </c>
      <c r="M2042" s="45" t="str">
        <f t="shared" si="26"/>
        <v/>
      </c>
      <c r="N2042" s="45" t="str">
        <f t="shared" si="27"/>
        <v/>
      </c>
      <c r="O2042" s="45" t="str">
        <f t="shared" si="28"/>
        <v/>
      </c>
      <c r="P2042" s="45" t="str">
        <f t="shared" si="29"/>
        <v/>
      </c>
    </row>
    <row r="2043" spans="1:16" ht="17.25">
      <c r="A2043" s="276" t="s">
        <v>7414</v>
      </c>
      <c r="B2043" s="277">
        <v>2008</v>
      </c>
      <c r="C2043" s="276"/>
      <c r="D2043" s="277">
        <v>18425893</v>
      </c>
      <c r="E2043" s="278" t="str">
        <f t="shared" si="23"/>
        <v>https://pubmed.ncbi.nlm.nih.gov/18425893</v>
      </c>
      <c r="F2043" s="28" t="s">
        <v>511</v>
      </c>
      <c r="G2043" s="28" t="s">
        <v>4592</v>
      </c>
      <c r="J2043" s="346">
        <f t="shared" si="19"/>
        <v>1</v>
      </c>
      <c r="K2043" s="28" t="str">
        <f t="shared" si="24"/>
        <v/>
      </c>
      <c r="L2043" s="45" t="str">
        <f t="shared" si="25"/>
        <v/>
      </c>
      <c r="M2043" s="45" t="str">
        <f t="shared" si="26"/>
        <v/>
      </c>
      <c r="N2043" s="45" t="str">
        <f t="shared" si="27"/>
        <v/>
      </c>
      <c r="O2043" s="45" t="str">
        <f t="shared" si="28"/>
        <v/>
      </c>
      <c r="P2043" s="45" t="str">
        <f t="shared" si="29"/>
        <v/>
      </c>
    </row>
    <row r="2044" spans="1:16" ht="17.25">
      <c r="A2044" s="276" t="s">
        <v>7415</v>
      </c>
      <c r="B2044" s="277">
        <v>2015</v>
      </c>
      <c r="C2044" s="276" t="s">
        <v>7416</v>
      </c>
      <c r="D2044" s="277">
        <v>25925398</v>
      </c>
      <c r="E2044" s="278" t="str">
        <f t="shared" si="23"/>
        <v>https://pubmed.ncbi.nlm.nih.gov/25925398</v>
      </c>
      <c r="F2044" s="28" t="s">
        <v>511</v>
      </c>
      <c r="G2044" s="28" t="s">
        <v>5157</v>
      </c>
      <c r="I2044" s="28" t="s">
        <v>6429</v>
      </c>
      <c r="J2044" s="346" t="str">
        <f t="shared" si="19"/>
        <v/>
      </c>
      <c r="K2044" s="28" t="str">
        <f t="shared" si="24"/>
        <v/>
      </c>
      <c r="L2044" s="45" t="str">
        <f t="shared" si="25"/>
        <v/>
      </c>
      <c r="M2044" s="45" t="str">
        <f t="shared" si="26"/>
        <v/>
      </c>
      <c r="N2044" s="45">
        <f t="shared" si="27"/>
        <v>1</v>
      </c>
      <c r="O2044" s="45" t="str">
        <f t="shared" si="28"/>
        <v/>
      </c>
      <c r="P2044" s="45" t="str">
        <f t="shared" si="29"/>
        <v/>
      </c>
    </row>
    <row r="2045" spans="1:16" ht="17.25">
      <c r="A2045" s="276" t="s">
        <v>7417</v>
      </c>
      <c r="B2045" s="277">
        <v>2020</v>
      </c>
      <c r="C2045" s="276"/>
      <c r="D2045" s="277">
        <v>32814348</v>
      </c>
      <c r="E2045" s="278" t="str">
        <f t="shared" si="23"/>
        <v>https://pubmed.ncbi.nlm.nih.gov/32814348</v>
      </c>
      <c r="F2045" s="28" t="s">
        <v>511</v>
      </c>
      <c r="G2045" s="28" t="s">
        <v>4744</v>
      </c>
      <c r="J2045" s="346" t="str">
        <f t="shared" si="19"/>
        <v/>
      </c>
      <c r="K2045" s="28" t="str">
        <f t="shared" si="24"/>
        <v/>
      </c>
      <c r="L2045" s="45" t="str">
        <f t="shared" si="25"/>
        <v/>
      </c>
      <c r="M2045" s="45" t="str">
        <f t="shared" si="26"/>
        <v/>
      </c>
      <c r="N2045" s="45">
        <f t="shared" si="27"/>
        <v>1</v>
      </c>
      <c r="O2045" s="45" t="str">
        <f t="shared" si="28"/>
        <v/>
      </c>
      <c r="P2045" s="45" t="str">
        <f t="shared" si="29"/>
        <v/>
      </c>
    </row>
    <row r="2046" spans="1:16" ht="17.25">
      <c r="A2046" s="276" t="s">
        <v>7418</v>
      </c>
      <c r="B2046" s="277">
        <v>1999</v>
      </c>
      <c r="C2046" s="276"/>
      <c r="D2046" s="277">
        <v>10212013</v>
      </c>
      <c r="E2046" s="278" t="str">
        <f t="shared" si="23"/>
        <v>https://pubmed.ncbi.nlm.nih.gov/10212013</v>
      </c>
      <c r="F2046" s="28" t="s">
        <v>511</v>
      </c>
      <c r="G2046" s="28" t="s">
        <v>4592</v>
      </c>
      <c r="J2046" s="346">
        <f t="shared" si="19"/>
        <v>1</v>
      </c>
      <c r="K2046" s="28" t="str">
        <f t="shared" si="24"/>
        <v/>
      </c>
      <c r="L2046" s="45" t="str">
        <f t="shared" si="25"/>
        <v/>
      </c>
      <c r="M2046" s="45" t="str">
        <f t="shared" si="26"/>
        <v/>
      </c>
      <c r="N2046" s="45" t="str">
        <f t="shared" si="27"/>
        <v/>
      </c>
      <c r="O2046" s="45" t="str">
        <f t="shared" si="28"/>
        <v/>
      </c>
      <c r="P2046" s="45" t="str">
        <f t="shared" si="29"/>
        <v/>
      </c>
    </row>
    <row r="2047" spans="1:16" ht="17.25">
      <c r="A2047" s="276" t="s">
        <v>7419</v>
      </c>
      <c r="B2047" s="277">
        <v>2009</v>
      </c>
      <c r="C2047" s="276" t="s">
        <v>7420</v>
      </c>
      <c r="D2047" s="277">
        <v>19457991</v>
      </c>
      <c r="E2047" s="278" t="str">
        <f t="shared" si="23"/>
        <v>https://pubmed.ncbi.nlm.nih.gov/19457991</v>
      </c>
      <c r="F2047" s="28" t="s">
        <v>511</v>
      </c>
      <c r="G2047" s="28" t="s">
        <v>4346</v>
      </c>
      <c r="J2047" s="346" t="str">
        <f t="shared" si="19"/>
        <v/>
      </c>
      <c r="K2047" s="28" t="str">
        <f t="shared" si="24"/>
        <v/>
      </c>
      <c r="L2047" s="45">
        <f t="shared" si="25"/>
        <v>1</v>
      </c>
      <c r="M2047" s="45" t="str">
        <f t="shared" si="26"/>
        <v/>
      </c>
      <c r="N2047" s="45" t="str">
        <f t="shared" si="27"/>
        <v/>
      </c>
      <c r="O2047" s="45" t="str">
        <f t="shared" si="28"/>
        <v/>
      </c>
      <c r="P2047" s="45" t="str">
        <f t="shared" si="29"/>
        <v/>
      </c>
    </row>
    <row r="2048" spans="1:16" ht="17.25">
      <c r="A2048" s="276" t="s">
        <v>7421</v>
      </c>
      <c r="B2048" s="277">
        <v>2012</v>
      </c>
      <c r="C2048" s="276"/>
      <c r="D2048" s="277">
        <v>23169967</v>
      </c>
      <c r="E2048" s="278" t="str">
        <f t="shared" si="23"/>
        <v>https://pubmed.ncbi.nlm.nih.gov/23169967</v>
      </c>
      <c r="F2048" s="28" t="s">
        <v>511</v>
      </c>
      <c r="G2048" s="28" t="s">
        <v>7422</v>
      </c>
      <c r="J2048" s="346" t="str">
        <f t="shared" si="19"/>
        <v/>
      </c>
      <c r="K2048" s="28" t="str">
        <f t="shared" si="24"/>
        <v/>
      </c>
      <c r="L2048" s="45" t="str">
        <f t="shared" si="25"/>
        <v/>
      </c>
      <c r="M2048" s="45" t="str">
        <f t="shared" si="26"/>
        <v/>
      </c>
      <c r="N2048" s="45">
        <f t="shared" si="27"/>
        <v>1</v>
      </c>
      <c r="O2048" s="45" t="str">
        <f t="shared" si="28"/>
        <v/>
      </c>
      <c r="P2048" s="45" t="str">
        <f t="shared" si="29"/>
        <v/>
      </c>
    </row>
    <row r="2049" spans="1:16" ht="17.25">
      <c r="A2049" s="276" t="s">
        <v>7423</v>
      </c>
      <c r="B2049" s="277">
        <v>2013</v>
      </c>
      <c r="C2049" s="276" t="s">
        <v>7424</v>
      </c>
      <c r="D2049" s="277">
        <v>24154977</v>
      </c>
      <c r="E2049" s="278" t="str">
        <f t="shared" si="23"/>
        <v>https://pubmed.ncbi.nlm.nih.gov/24154977</v>
      </c>
      <c r="F2049" s="28" t="s">
        <v>511</v>
      </c>
      <c r="G2049" s="28" t="s">
        <v>4592</v>
      </c>
      <c r="J2049" s="346">
        <f t="shared" si="19"/>
        <v>1</v>
      </c>
      <c r="K2049" s="28" t="str">
        <f t="shared" si="24"/>
        <v/>
      </c>
      <c r="L2049" s="45" t="str">
        <f t="shared" si="25"/>
        <v/>
      </c>
      <c r="M2049" s="45" t="str">
        <f t="shared" si="26"/>
        <v/>
      </c>
      <c r="N2049" s="45" t="str">
        <f t="shared" si="27"/>
        <v/>
      </c>
      <c r="O2049" s="45" t="str">
        <f t="shared" si="28"/>
        <v/>
      </c>
      <c r="P2049" s="45" t="str">
        <f t="shared" si="29"/>
        <v/>
      </c>
    </row>
    <row r="2050" spans="1:16" ht="17.25">
      <c r="A2050" s="276" t="s">
        <v>7425</v>
      </c>
      <c r="B2050" s="277">
        <v>1998</v>
      </c>
      <c r="C2050" s="276"/>
      <c r="D2050" s="277">
        <v>9658250</v>
      </c>
      <c r="E2050" s="278" t="str">
        <f t="shared" si="23"/>
        <v>https://pubmed.ncbi.nlm.nih.gov/9658250</v>
      </c>
      <c r="F2050" s="28" t="s">
        <v>511</v>
      </c>
      <c r="G2050" s="28" t="s">
        <v>4592</v>
      </c>
      <c r="J2050" s="346">
        <f t="shared" si="19"/>
        <v>1</v>
      </c>
      <c r="K2050" s="28" t="str">
        <f t="shared" si="24"/>
        <v/>
      </c>
      <c r="L2050" s="45" t="str">
        <f t="shared" si="25"/>
        <v/>
      </c>
      <c r="M2050" s="45" t="str">
        <f t="shared" si="26"/>
        <v/>
      </c>
      <c r="N2050" s="45" t="str">
        <f t="shared" si="27"/>
        <v/>
      </c>
      <c r="O2050" s="45" t="str">
        <f t="shared" si="28"/>
        <v/>
      </c>
      <c r="P2050" s="45" t="str">
        <f t="shared" si="29"/>
        <v/>
      </c>
    </row>
    <row r="2051" spans="1:16" ht="17.25">
      <c r="A2051" s="276" t="s">
        <v>7426</v>
      </c>
      <c r="B2051" s="277">
        <v>2019</v>
      </c>
      <c r="C2051" s="276" t="s">
        <v>7427</v>
      </c>
      <c r="D2051" s="277">
        <v>31860749</v>
      </c>
      <c r="E2051" s="278" t="str">
        <f t="shared" si="23"/>
        <v>https://pubmed.ncbi.nlm.nih.gov/31860749</v>
      </c>
      <c r="F2051" s="28" t="s">
        <v>511</v>
      </c>
      <c r="G2051" s="28" t="s">
        <v>7350</v>
      </c>
      <c r="J2051" s="346">
        <f t="shared" si="19"/>
        <v>1</v>
      </c>
      <c r="K2051" s="28" t="str">
        <f t="shared" si="24"/>
        <v/>
      </c>
      <c r="L2051" s="45" t="str">
        <f t="shared" si="25"/>
        <v/>
      </c>
      <c r="M2051" s="45" t="str">
        <f t="shared" si="26"/>
        <v/>
      </c>
      <c r="N2051" s="45" t="str">
        <f t="shared" si="27"/>
        <v/>
      </c>
      <c r="O2051" s="45" t="str">
        <f t="shared" si="28"/>
        <v/>
      </c>
      <c r="P2051" s="45" t="str">
        <f t="shared" si="29"/>
        <v/>
      </c>
    </row>
    <row r="2052" spans="1:16" ht="17.25">
      <c r="A2052" s="276" t="s">
        <v>7428</v>
      </c>
      <c r="B2052" s="277">
        <v>2018</v>
      </c>
      <c r="C2052" s="276" t="s">
        <v>7429</v>
      </c>
      <c r="D2052" s="277">
        <v>30191830</v>
      </c>
      <c r="E2052" s="278" t="str">
        <f t="shared" si="23"/>
        <v>https://pubmed.ncbi.nlm.nih.gov/30191830</v>
      </c>
      <c r="F2052" s="28" t="s">
        <v>511</v>
      </c>
      <c r="G2052" s="28" t="s">
        <v>7430</v>
      </c>
      <c r="J2052" s="346" t="str">
        <f t="shared" si="19"/>
        <v/>
      </c>
      <c r="K2052" s="28" t="str">
        <f t="shared" si="24"/>
        <v/>
      </c>
      <c r="L2052" s="45" t="str">
        <f t="shared" si="25"/>
        <v/>
      </c>
      <c r="M2052" s="45" t="str">
        <f t="shared" si="26"/>
        <v/>
      </c>
      <c r="N2052" s="45" t="str">
        <f t="shared" si="27"/>
        <v/>
      </c>
      <c r="O2052" s="45">
        <f t="shared" si="28"/>
        <v>1</v>
      </c>
      <c r="P2052" s="45" t="str">
        <f t="shared" si="29"/>
        <v/>
      </c>
    </row>
    <row r="2053" spans="1:16" ht="17.25">
      <c r="A2053" s="276" t="s">
        <v>7431</v>
      </c>
      <c r="B2053" s="277">
        <v>2020</v>
      </c>
      <c r="C2053" s="276"/>
      <c r="D2053" s="277">
        <v>32166390</v>
      </c>
      <c r="E2053" s="278" t="str">
        <f t="shared" si="23"/>
        <v>https://pubmed.ncbi.nlm.nih.gov/32166390</v>
      </c>
      <c r="F2053" s="28" t="s">
        <v>511</v>
      </c>
      <c r="G2053" s="28" t="s">
        <v>7350</v>
      </c>
      <c r="J2053" s="346">
        <f t="shared" si="19"/>
        <v>1</v>
      </c>
      <c r="K2053" s="28" t="str">
        <f t="shared" si="24"/>
        <v/>
      </c>
      <c r="L2053" s="45" t="str">
        <f t="shared" si="25"/>
        <v/>
      </c>
      <c r="M2053" s="45" t="str">
        <f t="shared" si="26"/>
        <v/>
      </c>
      <c r="N2053" s="45" t="str">
        <f t="shared" si="27"/>
        <v/>
      </c>
      <c r="O2053" s="45" t="str">
        <f t="shared" si="28"/>
        <v/>
      </c>
      <c r="P2053" s="45" t="str">
        <f t="shared" si="29"/>
        <v/>
      </c>
    </row>
    <row r="2054" spans="1:16" ht="17.25">
      <c r="A2054" s="276" t="s">
        <v>7432</v>
      </c>
      <c r="B2054" s="277">
        <v>2011</v>
      </c>
      <c r="C2054" s="276"/>
      <c r="D2054" s="277">
        <v>21716073</v>
      </c>
      <c r="E2054" s="278" t="str">
        <f t="shared" si="23"/>
        <v>https://pubmed.ncbi.nlm.nih.gov/21716073</v>
      </c>
      <c r="F2054" s="28" t="s">
        <v>511</v>
      </c>
      <c r="G2054" s="28" t="s">
        <v>4744</v>
      </c>
      <c r="J2054" s="346" t="str">
        <f t="shared" si="19"/>
        <v/>
      </c>
      <c r="K2054" s="28" t="str">
        <f t="shared" si="24"/>
        <v/>
      </c>
      <c r="L2054" s="45" t="str">
        <f t="shared" si="25"/>
        <v/>
      </c>
      <c r="M2054" s="45" t="str">
        <f t="shared" si="26"/>
        <v/>
      </c>
      <c r="N2054" s="45">
        <f t="shared" si="27"/>
        <v>1</v>
      </c>
      <c r="O2054" s="45" t="str">
        <f t="shared" si="28"/>
        <v/>
      </c>
      <c r="P2054" s="45" t="str">
        <f t="shared" si="29"/>
        <v/>
      </c>
    </row>
    <row r="2055" spans="1:16" ht="17.25">
      <c r="A2055" s="276" t="s">
        <v>7433</v>
      </c>
      <c r="B2055" s="277">
        <v>2020</v>
      </c>
      <c r="C2055" s="276"/>
      <c r="D2055" s="277">
        <v>31996895</v>
      </c>
      <c r="E2055" s="278" t="str">
        <f t="shared" si="23"/>
        <v>https://pubmed.ncbi.nlm.nih.gov/31996895</v>
      </c>
      <c r="F2055" s="28" t="s">
        <v>511</v>
      </c>
      <c r="G2055" s="28" t="s">
        <v>4592</v>
      </c>
      <c r="J2055" s="346">
        <f t="shared" si="19"/>
        <v>1</v>
      </c>
      <c r="K2055" s="28" t="str">
        <f t="shared" si="24"/>
        <v/>
      </c>
      <c r="L2055" s="45" t="str">
        <f t="shared" si="25"/>
        <v/>
      </c>
      <c r="M2055" s="45" t="str">
        <f t="shared" si="26"/>
        <v/>
      </c>
      <c r="N2055" s="45" t="str">
        <f t="shared" si="27"/>
        <v/>
      </c>
      <c r="O2055" s="45" t="str">
        <f t="shared" si="28"/>
        <v/>
      </c>
      <c r="P2055" s="45" t="str">
        <f t="shared" si="29"/>
        <v/>
      </c>
    </row>
    <row r="2056" spans="1:16" ht="17.25">
      <c r="A2056" s="276" t="s">
        <v>7434</v>
      </c>
      <c r="B2056" s="277">
        <v>2016</v>
      </c>
      <c r="C2056" s="276"/>
      <c r="D2056" s="277">
        <v>25755185</v>
      </c>
      <c r="E2056" s="278" t="str">
        <f t="shared" si="23"/>
        <v>https://pubmed.ncbi.nlm.nih.gov/25755185</v>
      </c>
      <c r="F2056" s="28" t="s">
        <v>511</v>
      </c>
      <c r="G2056" s="28" t="s">
        <v>4744</v>
      </c>
      <c r="J2056" s="346" t="str">
        <f t="shared" si="19"/>
        <v/>
      </c>
      <c r="K2056" s="28" t="str">
        <f t="shared" si="24"/>
        <v/>
      </c>
      <c r="L2056" s="45" t="str">
        <f t="shared" si="25"/>
        <v/>
      </c>
      <c r="M2056" s="45" t="str">
        <f t="shared" si="26"/>
        <v/>
      </c>
      <c r="N2056" s="45">
        <f t="shared" si="27"/>
        <v>1</v>
      </c>
      <c r="O2056" s="45" t="str">
        <f t="shared" si="28"/>
        <v/>
      </c>
      <c r="P2056" s="45" t="str">
        <f t="shared" si="29"/>
        <v/>
      </c>
    </row>
    <row r="2057" spans="1:16" ht="17.25">
      <c r="A2057" s="276" t="s">
        <v>7435</v>
      </c>
      <c r="B2057" s="277">
        <v>2009</v>
      </c>
      <c r="C2057" s="276"/>
      <c r="D2057" s="277">
        <v>19638966</v>
      </c>
      <c r="E2057" s="278" t="str">
        <f t="shared" si="23"/>
        <v>https://pubmed.ncbi.nlm.nih.gov/19638966</v>
      </c>
      <c r="F2057" s="28" t="s">
        <v>511</v>
      </c>
      <c r="G2057" s="28" t="s">
        <v>5157</v>
      </c>
      <c r="J2057" s="346" t="str">
        <f t="shared" si="19"/>
        <v/>
      </c>
      <c r="K2057" s="28" t="str">
        <f t="shared" si="24"/>
        <v/>
      </c>
      <c r="L2057" s="45" t="str">
        <f t="shared" si="25"/>
        <v/>
      </c>
      <c r="M2057" s="45" t="str">
        <f t="shared" si="26"/>
        <v/>
      </c>
      <c r="N2057" s="45">
        <f t="shared" si="27"/>
        <v>1</v>
      </c>
      <c r="O2057" s="45" t="str">
        <f t="shared" si="28"/>
        <v/>
      </c>
      <c r="P2057" s="45" t="str">
        <f t="shared" si="29"/>
        <v/>
      </c>
    </row>
    <row r="2058" spans="1:16" ht="17.25">
      <c r="A2058" s="276" t="s">
        <v>7436</v>
      </c>
      <c r="B2058" s="277">
        <v>2002</v>
      </c>
      <c r="C2058" s="276"/>
      <c r="D2058" s="277">
        <v>12047793</v>
      </c>
      <c r="E2058" s="278" t="str">
        <f t="shared" si="23"/>
        <v>https://pubmed.ncbi.nlm.nih.gov/12047793</v>
      </c>
      <c r="F2058" s="28" t="s">
        <v>511</v>
      </c>
      <c r="G2058" s="28" t="s">
        <v>4592</v>
      </c>
      <c r="J2058" s="346">
        <f t="shared" si="19"/>
        <v>1</v>
      </c>
      <c r="K2058" s="28" t="str">
        <f t="shared" si="24"/>
        <v/>
      </c>
      <c r="L2058" s="45" t="str">
        <f t="shared" si="25"/>
        <v/>
      </c>
      <c r="M2058" s="45" t="str">
        <f t="shared" si="26"/>
        <v/>
      </c>
      <c r="N2058" s="45" t="str">
        <f t="shared" si="27"/>
        <v/>
      </c>
      <c r="O2058" s="45" t="str">
        <f t="shared" si="28"/>
        <v/>
      </c>
      <c r="P2058" s="45" t="str">
        <f t="shared" si="29"/>
        <v/>
      </c>
    </row>
    <row r="2059" spans="1:16" ht="17.25">
      <c r="A2059" s="276" t="s">
        <v>7437</v>
      </c>
      <c r="B2059" s="277">
        <v>2009</v>
      </c>
      <c r="C2059" s="276"/>
      <c r="D2059" s="277">
        <v>19275278</v>
      </c>
      <c r="E2059" s="278" t="str">
        <f t="shared" si="23"/>
        <v>https://pubmed.ncbi.nlm.nih.gov/19275278</v>
      </c>
      <c r="F2059" s="28" t="s">
        <v>511</v>
      </c>
      <c r="G2059" s="28" t="s">
        <v>4592</v>
      </c>
      <c r="J2059" s="346">
        <f t="shared" si="19"/>
        <v>1</v>
      </c>
      <c r="K2059" s="28" t="str">
        <f t="shared" si="24"/>
        <v/>
      </c>
      <c r="L2059" s="45" t="str">
        <f t="shared" si="25"/>
        <v/>
      </c>
      <c r="M2059" s="45" t="str">
        <f t="shared" si="26"/>
        <v/>
      </c>
      <c r="N2059" s="45" t="str">
        <f t="shared" si="27"/>
        <v/>
      </c>
      <c r="O2059" s="45" t="str">
        <f t="shared" si="28"/>
        <v/>
      </c>
      <c r="P2059" s="45" t="str">
        <f t="shared" si="29"/>
        <v/>
      </c>
    </row>
    <row r="2060" spans="1:16" ht="17.25">
      <c r="A2060" s="276" t="s">
        <v>7438</v>
      </c>
      <c r="B2060" s="277">
        <v>2017</v>
      </c>
      <c r="C2060" s="276" t="s">
        <v>7439</v>
      </c>
      <c r="D2060" s="277">
        <v>28431202</v>
      </c>
      <c r="E2060" s="278" t="str">
        <f t="shared" si="23"/>
        <v>https://pubmed.ncbi.nlm.nih.gov/28431202</v>
      </c>
      <c r="F2060" s="28" t="s">
        <v>511</v>
      </c>
      <c r="G2060" s="28" t="s">
        <v>4592</v>
      </c>
      <c r="J2060" s="346">
        <f t="shared" si="19"/>
        <v>1</v>
      </c>
      <c r="K2060" s="28" t="str">
        <f t="shared" si="24"/>
        <v/>
      </c>
      <c r="L2060" s="45" t="str">
        <f t="shared" si="25"/>
        <v/>
      </c>
      <c r="M2060" s="45" t="str">
        <f t="shared" si="26"/>
        <v/>
      </c>
      <c r="N2060" s="45" t="str">
        <f t="shared" si="27"/>
        <v/>
      </c>
      <c r="O2060" s="45" t="str">
        <f t="shared" si="28"/>
        <v/>
      </c>
      <c r="P2060" s="45" t="str">
        <f t="shared" si="29"/>
        <v/>
      </c>
    </row>
    <row r="2061" spans="1:16" ht="17.25">
      <c r="A2061" s="276" t="s">
        <v>7440</v>
      </c>
      <c r="B2061" s="277">
        <v>2018</v>
      </c>
      <c r="C2061" s="276"/>
      <c r="D2061" s="277">
        <v>29654069</v>
      </c>
      <c r="E2061" s="278" t="str">
        <f t="shared" si="23"/>
        <v>https://pubmed.ncbi.nlm.nih.gov/29654069</v>
      </c>
      <c r="F2061" s="28" t="s">
        <v>511</v>
      </c>
      <c r="G2061" s="28" t="s">
        <v>4744</v>
      </c>
      <c r="J2061" s="346" t="str">
        <f t="shared" si="19"/>
        <v/>
      </c>
      <c r="K2061" s="28" t="str">
        <f t="shared" si="24"/>
        <v/>
      </c>
      <c r="L2061" s="45" t="str">
        <f t="shared" si="25"/>
        <v/>
      </c>
      <c r="M2061" s="45" t="str">
        <f t="shared" si="26"/>
        <v/>
      </c>
      <c r="N2061" s="45">
        <f t="shared" si="27"/>
        <v>1</v>
      </c>
      <c r="O2061" s="45" t="str">
        <f t="shared" si="28"/>
        <v/>
      </c>
      <c r="P2061" s="45" t="str">
        <f t="shared" si="29"/>
        <v/>
      </c>
    </row>
    <row r="2062" spans="1:16" ht="17.25">
      <c r="A2062" s="276" t="s">
        <v>7441</v>
      </c>
      <c r="B2062" s="277">
        <v>2021</v>
      </c>
      <c r="C2062" s="276" t="s">
        <v>7442</v>
      </c>
      <c r="D2062" s="277">
        <v>33429331</v>
      </c>
      <c r="E2062" s="278" t="str">
        <f t="shared" si="23"/>
        <v>https://pubmed.ncbi.nlm.nih.gov/33429331</v>
      </c>
      <c r="F2062" s="28" t="s">
        <v>511</v>
      </c>
      <c r="G2062" s="28" t="s">
        <v>4592</v>
      </c>
      <c r="J2062" s="346">
        <f t="shared" si="19"/>
        <v>1</v>
      </c>
      <c r="K2062" s="28" t="str">
        <f t="shared" si="24"/>
        <v/>
      </c>
      <c r="L2062" s="45" t="str">
        <f t="shared" si="25"/>
        <v/>
      </c>
      <c r="M2062" s="45" t="str">
        <f t="shared" si="26"/>
        <v/>
      </c>
      <c r="N2062" s="45" t="str">
        <f t="shared" si="27"/>
        <v/>
      </c>
      <c r="O2062" s="45" t="str">
        <f t="shared" si="28"/>
        <v/>
      </c>
      <c r="P2062" s="45" t="str">
        <f t="shared" si="29"/>
        <v/>
      </c>
    </row>
    <row r="2063" spans="1:16" ht="17.25">
      <c r="A2063" s="276" t="s">
        <v>7443</v>
      </c>
      <c r="B2063" s="277">
        <v>2018</v>
      </c>
      <c r="C2063" s="276" t="s">
        <v>7444</v>
      </c>
      <c r="D2063" s="277">
        <v>29293893</v>
      </c>
      <c r="E2063" s="278" t="str">
        <f t="shared" si="23"/>
        <v>https://pubmed.ncbi.nlm.nih.gov/29293893</v>
      </c>
      <c r="F2063" s="28" t="s">
        <v>511</v>
      </c>
      <c r="G2063" s="28" t="s">
        <v>7445</v>
      </c>
      <c r="J2063" s="346" t="str">
        <f t="shared" si="19"/>
        <v/>
      </c>
      <c r="K2063" s="28" t="str">
        <f t="shared" si="24"/>
        <v/>
      </c>
      <c r="L2063" s="45" t="str">
        <f t="shared" si="25"/>
        <v/>
      </c>
      <c r="M2063" s="45" t="str">
        <f t="shared" si="26"/>
        <v/>
      </c>
      <c r="N2063" s="45" t="str">
        <f t="shared" si="27"/>
        <v/>
      </c>
      <c r="O2063" s="45">
        <f t="shared" si="28"/>
        <v>1</v>
      </c>
      <c r="P2063" s="45" t="str">
        <f t="shared" si="29"/>
        <v/>
      </c>
    </row>
    <row r="2064" spans="1:16" ht="17.25">
      <c r="A2064" s="276" t="s">
        <v>7446</v>
      </c>
      <c r="B2064" s="277">
        <v>2017</v>
      </c>
      <c r="C2064" s="276" t="s">
        <v>7447</v>
      </c>
      <c r="D2064" s="277">
        <v>28182700</v>
      </c>
      <c r="E2064" s="278" t="str">
        <f t="shared" si="23"/>
        <v>https://pubmed.ncbi.nlm.nih.gov/28182700</v>
      </c>
      <c r="F2064" s="28" t="s">
        <v>511</v>
      </c>
      <c r="G2064" s="28" t="s">
        <v>4867</v>
      </c>
      <c r="J2064" s="346" t="str">
        <f t="shared" si="19"/>
        <v/>
      </c>
      <c r="K2064" s="28" t="str">
        <f t="shared" si="24"/>
        <v/>
      </c>
      <c r="L2064" s="45" t="str">
        <f t="shared" si="25"/>
        <v/>
      </c>
      <c r="M2064" s="45" t="str">
        <f t="shared" si="26"/>
        <v/>
      </c>
      <c r="N2064" s="45">
        <f t="shared" si="27"/>
        <v>1</v>
      </c>
      <c r="O2064" s="45" t="str">
        <f t="shared" si="28"/>
        <v/>
      </c>
      <c r="P2064" s="45" t="str">
        <f t="shared" si="29"/>
        <v/>
      </c>
    </row>
    <row r="2065" spans="1:16" ht="17.25">
      <c r="A2065" s="276" t="s">
        <v>7448</v>
      </c>
      <c r="B2065" s="277">
        <v>2020</v>
      </c>
      <c r="C2065" s="276" t="s">
        <v>7449</v>
      </c>
      <c r="D2065" s="277">
        <v>32721580</v>
      </c>
      <c r="E2065" s="278" t="str">
        <f t="shared" si="23"/>
        <v>https://pubmed.ncbi.nlm.nih.gov/32721580</v>
      </c>
      <c r="F2065" s="28" t="s">
        <v>511</v>
      </c>
      <c r="G2065" s="28" t="s">
        <v>4744</v>
      </c>
      <c r="J2065" s="346" t="str">
        <f t="shared" si="19"/>
        <v/>
      </c>
      <c r="K2065" s="28" t="str">
        <f t="shared" si="24"/>
        <v/>
      </c>
      <c r="L2065" s="45" t="str">
        <f t="shared" si="25"/>
        <v/>
      </c>
      <c r="M2065" s="45" t="str">
        <f t="shared" si="26"/>
        <v/>
      </c>
      <c r="N2065" s="45">
        <f t="shared" si="27"/>
        <v>1</v>
      </c>
      <c r="O2065" s="45" t="str">
        <f t="shared" si="28"/>
        <v/>
      </c>
      <c r="P2065" s="45" t="str">
        <f t="shared" si="29"/>
        <v/>
      </c>
    </row>
    <row r="2066" spans="1:16" ht="17.25">
      <c r="A2066" s="276" t="s">
        <v>7450</v>
      </c>
      <c r="B2066" s="277">
        <v>1999</v>
      </c>
      <c r="C2066" s="276"/>
      <c r="D2066" s="277">
        <v>10468325</v>
      </c>
      <c r="E2066" s="278" t="str">
        <f t="shared" si="23"/>
        <v>https://pubmed.ncbi.nlm.nih.gov/10468325</v>
      </c>
      <c r="F2066" s="28" t="s">
        <v>511</v>
      </c>
      <c r="G2066" s="28" t="s">
        <v>4592</v>
      </c>
      <c r="J2066" s="346">
        <f t="shared" si="19"/>
        <v>1</v>
      </c>
      <c r="K2066" s="28" t="str">
        <f t="shared" si="24"/>
        <v/>
      </c>
      <c r="L2066" s="45" t="str">
        <f t="shared" si="25"/>
        <v/>
      </c>
      <c r="M2066" s="45" t="str">
        <f t="shared" si="26"/>
        <v/>
      </c>
      <c r="N2066" s="45" t="str">
        <f t="shared" si="27"/>
        <v/>
      </c>
      <c r="O2066" s="45" t="str">
        <f t="shared" si="28"/>
        <v/>
      </c>
      <c r="P2066" s="45" t="str">
        <f t="shared" si="29"/>
        <v/>
      </c>
    </row>
    <row r="2067" spans="1:16" ht="17.25">
      <c r="A2067" s="276" t="s">
        <v>7451</v>
      </c>
      <c r="B2067" s="277">
        <v>2001</v>
      </c>
      <c r="C2067" s="276"/>
      <c r="D2067" s="277">
        <v>11520724</v>
      </c>
      <c r="E2067" s="278" t="str">
        <f t="shared" si="23"/>
        <v>https://pubmed.ncbi.nlm.nih.gov/11520724</v>
      </c>
      <c r="F2067" s="28" t="s">
        <v>511</v>
      </c>
      <c r="G2067" s="28" t="s">
        <v>4744</v>
      </c>
      <c r="J2067" s="346" t="str">
        <f t="shared" si="19"/>
        <v/>
      </c>
      <c r="K2067" s="28" t="str">
        <f t="shared" si="24"/>
        <v/>
      </c>
      <c r="L2067" s="45" t="str">
        <f t="shared" si="25"/>
        <v/>
      </c>
      <c r="M2067" s="45" t="str">
        <f t="shared" si="26"/>
        <v/>
      </c>
      <c r="N2067" s="45">
        <f t="shared" si="27"/>
        <v>1</v>
      </c>
      <c r="O2067" s="45" t="str">
        <f t="shared" si="28"/>
        <v/>
      </c>
      <c r="P2067" s="45" t="str">
        <f t="shared" si="29"/>
        <v/>
      </c>
    </row>
    <row r="2068" spans="1:16" ht="17.25">
      <c r="A2068" s="276" t="s">
        <v>7452</v>
      </c>
      <c r="B2068" s="277">
        <v>2015</v>
      </c>
      <c r="C2068" s="276" t="s">
        <v>7453</v>
      </c>
      <c r="D2068" s="277">
        <v>26002266</v>
      </c>
      <c r="E2068" s="278" t="str">
        <f t="shared" si="23"/>
        <v>https://pubmed.ncbi.nlm.nih.gov/26002266</v>
      </c>
      <c r="F2068" s="28" t="s">
        <v>511</v>
      </c>
      <c r="G2068" s="28" t="s">
        <v>4592</v>
      </c>
      <c r="J2068" s="346">
        <f t="shared" si="19"/>
        <v>1</v>
      </c>
      <c r="K2068" s="28" t="str">
        <f t="shared" si="24"/>
        <v/>
      </c>
      <c r="L2068" s="45" t="str">
        <f t="shared" si="25"/>
        <v/>
      </c>
      <c r="M2068" s="45" t="str">
        <f t="shared" si="26"/>
        <v/>
      </c>
      <c r="N2068" s="45" t="str">
        <f t="shared" si="27"/>
        <v/>
      </c>
      <c r="O2068" s="45" t="str">
        <f t="shared" si="28"/>
        <v/>
      </c>
      <c r="P2068" s="45" t="str">
        <f t="shared" si="29"/>
        <v/>
      </c>
    </row>
    <row r="2069" spans="1:16" ht="17.25">
      <c r="A2069" s="276" t="s">
        <v>7454</v>
      </c>
      <c r="B2069" s="277">
        <v>2020</v>
      </c>
      <c r="C2069" s="276" t="s">
        <v>5633</v>
      </c>
      <c r="D2069" s="277">
        <v>32591466</v>
      </c>
      <c r="E2069" s="278" t="str">
        <f t="shared" si="23"/>
        <v>https://pubmed.ncbi.nlm.nih.gov/32591466</v>
      </c>
      <c r="F2069" s="28" t="s">
        <v>511</v>
      </c>
      <c r="G2069" s="28" t="s">
        <v>4592</v>
      </c>
      <c r="J2069" s="346">
        <f t="shared" si="19"/>
        <v>1</v>
      </c>
      <c r="K2069" s="28" t="str">
        <f t="shared" si="24"/>
        <v/>
      </c>
      <c r="L2069" s="45" t="str">
        <f t="shared" si="25"/>
        <v/>
      </c>
      <c r="M2069" s="45" t="str">
        <f t="shared" si="26"/>
        <v/>
      </c>
      <c r="N2069" s="45" t="str">
        <f t="shared" si="27"/>
        <v/>
      </c>
      <c r="O2069" s="45" t="str">
        <f t="shared" si="28"/>
        <v/>
      </c>
      <c r="P2069" s="45" t="str">
        <f t="shared" si="29"/>
        <v/>
      </c>
    </row>
    <row r="2070" spans="1:16" ht="17.25">
      <c r="A2070" s="276" t="s">
        <v>4199</v>
      </c>
      <c r="B2070" s="277">
        <v>2009</v>
      </c>
      <c r="C2070" s="276"/>
      <c r="D2070" s="277">
        <v>19061928</v>
      </c>
      <c r="E2070" s="278" t="str">
        <f t="shared" si="23"/>
        <v>https://pubmed.ncbi.nlm.nih.gov/19061928</v>
      </c>
      <c r="F2070" s="28" t="s">
        <v>511</v>
      </c>
      <c r="G2070" s="28" t="s">
        <v>7455</v>
      </c>
      <c r="J2070" s="346" t="str">
        <f t="shared" si="19"/>
        <v/>
      </c>
      <c r="K2070" s="28" t="str">
        <f t="shared" si="24"/>
        <v/>
      </c>
      <c r="L2070" s="45" t="str">
        <f t="shared" si="25"/>
        <v/>
      </c>
      <c r="M2070" s="45" t="str">
        <f t="shared" si="26"/>
        <v/>
      </c>
      <c r="N2070" s="45">
        <f t="shared" si="27"/>
        <v>1</v>
      </c>
      <c r="O2070" s="45" t="str">
        <f t="shared" si="28"/>
        <v/>
      </c>
      <c r="P2070" s="45" t="str">
        <f t="shared" si="29"/>
        <v/>
      </c>
    </row>
    <row r="2071" spans="1:16" ht="17.25">
      <c r="A2071" s="276" t="s">
        <v>7456</v>
      </c>
      <c r="B2071" s="277">
        <v>2012</v>
      </c>
      <c r="C2071" s="276"/>
      <c r="D2071" s="277">
        <v>22658702</v>
      </c>
      <c r="E2071" s="278" t="str">
        <f t="shared" si="23"/>
        <v>https://pubmed.ncbi.nlm.nih.gov/22658702</v>
      </c>
      <c r="F2071" s="28" t="s">
        <v>511</v>
      </c>
      <c r="G2071" s="28" t="s">
        <v>5157</v>
      </c>
      <c r="J2071" s="346" t="str">
        <f t="shared" si="19"/>
        <v/>
      </c>
      <c r="K2071" s="28" t="str">
        <f t="shared" si="24"/>
        <v/>
      </c>
      <c r="L2071" s="45" t="str">
        <f t="shared" si="25"/>
        <v/>
      </c>
      <c r="M2071" s="45" t="str">
        <f t="shared" si="26"/>
        <v/>
      </c>
      <c r="N2071" s="45">
        <f t="shared" si="27"/>
        <v>1</v>
      </c>
      <c r="O2071" s="45" t="str">
        <f t="shared" si="28"/>
        <v/>
      </c>
      <c r="P2071" s="45" t="str">
        <f t="shared" si="29"/>
        <v/>
      </c>
    </row>
    <row r="2072" spans="1:16" ht="17.25">
      <c r="A2072" s="276" t="s">
        <v>7457</v>
      </c>
      <c r="B2072" s="277">
        <v>2011</v>
      </c>
      <c r="C2072" s="276"/>
      <c r="D2072" s="277">
        <v>20383205</v>
      </c>
      <c r="E2072" s="278" t="str">
        <f t="shared" si="23"/>
        <v>https://pubmed.ncbi.nlm.nih.gov/20383205</v>
      </c>
      <c r="F2072" s="28" t="s">
        <v>511</v>
      </c>
      <c r="G2072" s="28" t="s">
        <v>6712</v>
      </c>
      <c r="J2072" s="346" t="str">
        <f t="shared" si="19"/>
        <v/>
      </c>
      <c r="K2072" s="28" t="str">
        <f t="shared" si="24"/>
        <v/>
      </c>
      <c r="L2072" s="45" t="str">
        <f t="shared" si="25"/>
        <v/>
      </c>
      <c r="M2072" s="45" t="str">
        <f t="shared" si="26"/>
        <v/>
      </c>
      <c r="N2072" s="45">
        <f t="shared" si="27"/>
        <v>1</v>
      </c>
      <c r="O2072" s="45" t="str">
        <f t="shared" si="28"/>
        <v/>
      </c>
      <c r="P2072" s="45" t="str">
        <f t="shared" si="29"/>
        <v/>
      </c>
    </row>
    <row r="2073" spans="1:16" ht="17.25">
      <c r="A2073" s="276" t="s">
        <v>7458</v>
      </c>
      <c r="B2073" s="277">
        <v>2018</v>
      </c>
      <c r="C2073" s="276" t="s">
        <v>7459</v>
      </c>
      <c r="D2073" s="277">
        <v>30252528</v>
      </c>
      <c r="E2073" s="278" t="str">
        <f t="shared" si="23"/>
        <v>https://pubmed.ncbi.nlm.nih.gov/30252528</v>
      </c>
      <c r="F2073" s="28" t="s">
        <v>511</v>
      </c>
      <c r="G2073" s="28" t="s">
        <v>4592</v>
      </c>
      <c r="J2073" s="346">
        <f t="shared" si="19"/>
        <v>1</v>
      </c>
      <c r="K2073" s="28" t="str">
        <f t="shared" si="24"/>
        <v/>
      </c>
      <c r="L2073" s="45" t="str">
        <f t="shared" si="25"/>
        <v/>
      </c>
      <c r="M2073" s="45" t="str">
        <f t="shared" si="26"/>
        <v/>
      </c>
      <c r="N2073" s="45" t="str">
        <f t="shared" si="27"/>
        <v/>
      </c>
      <c r="O2073" s="45" t="str">
        <f t="shared" si="28"/>
        <v/>
      </c>
      <c r="P2073" s="45" t="str">
        <f t="shared" si="29"/>
        <v/>
      </c>
    </row>
    <row r="2074" spans="1:16" ht="17.25">
      <c r="A2074" s="276" t="s">
        <v>7460</v>
      </c>
      <c r="B2074" s="277">
        <v>2015</v>
      </c>
      <c r="C2074" s="276"/>
      <c r="D2074" s="277">
        <v>25196155</v>
      </c>
      <c r="E2074" s="278" t="str">
        <f t="shared" si="23"/>
        <v>https://pubmed.ncbi.nlm.nih.gov/25196155</v>
      </c>
      <c r="F2074" s="28" t="s">
        <v>511</v>
      </c>
      <c r="G2074" s="28" t="s">
        <v>4592</v>
      </c>
      <c r="J2074" s="346">
        <f t="shared" si="19"/>
        <v>1</v>
      </c>
      <c r="K2074" s="28" t="str">
        <f t="shared" si="24"/>
        <v/>
      </c>
      <c r="L2074" s="45" t="str">
        <f t="shared" si="25"/>
        <v/>
      </c>
      <c r="M2074" s="45" t="str">
        <f t="shared" si="26"/>
        <v/>
      </c>
      <c r="N2074" s="45" t="str">
        <f t="shared" si="27"/>
        <v/>
      </c>
      <c r="O2074" s="45" t="str">
        <f t="shared" si="28"/>
        <v/>
      </c>
      <c r="P2074" s="45" t="str">
        <f t="shared" si="29"/>
        <v/>
      </c>
    </row>
    <row r="2075" spans="1:16" ht="17.25">
      <c r="A2075" s="276" t="s">
        <v>7461</v>
      </c>
      <c r="B2075" s="277">
        <v>2019</v>
      </c>
      <c r="C2075" s="276"/>
      <c r="D2075" s="277">
        <v>31023843</v>
      </c>
      <c r="E2075" s="278" t="str">
        <f t="shared" si="23"/>
        <v>https://pubmed.ncbi.nlm.nih.gov/31023843</v>
      </c>
      <c r="F2075" s="28" t="s">
        <v>511</v>
      </c>
      <c r="G2075" s="28" t="s">
        <v>4744</v>
      </c>
      <c r="J2075" s="346" t="str">
        <f t="shared" si="19"/>
        <v/>
      </c>
      <c r="K2075" s="28" t="str">
        <f t="shared" si="24"/>
        <v/>
      </c>
      <c r="L2075" s="45" t="str">
        <f t="shared" si="25"/>
        <v/>
      </c>
      <c r="M2075" s="45" t="str">
        <f t="shared" si="26"/>
        <v/>
      </c>
      <c r="N2075" s="45">
        <f t="shared" si="27"/>
        <v>1</v>
      </c>
      <c r="O2075" s="45" t="str">
        <f t="shared" si="28"/>
        <v/>
      </c>
      <c r="P2075" s="45" t="str">
        <f t="shared" si="29"/>
        <v/>
      </c>
    </row>
    <row r="2076" spans="1:16" ht="17.25">
      <c r="A2076" s="276" t="s">
        <v>7462</v>
      </c>
      <c r="B2076" s="277">
        <v>2009</v>
      </c>
      <c r="C2076" s="276" t="s">
        <v>7463</v>
      </c>
      <c r="D2076" s="277">
        <v>19930566</v>
      </c>
      <c r="E2076" s="278" t="str">
        <f t="shared" si="23"/>
        <v>https://pubmed.ncbi.nlm.nih.gov/19930566</v>
      </c>
      <c r="F2076" s="28" t="s">
        <v>511</v>
      </c>
      <c r="G2076" s="28" t="s">
        <v>6469</v>
      </c>
      <c r="J2076" s="346" t="str">
        <f t="shared" si="19"/>
        <v/>
      </c>
      <c r="K2076" s="28" t="str">
        <f t="shared" si="24"/>
        <v/>
      </c>
      <c r="L2076" s="45" t="str">
        <f t="shared" si="25"/>
        <v/>
      </c>
      <c r="M2076" s="45" t="str">
        <f t="shared" si="26"/>
        <v/>
      </c>
      <c r="N2076" s="45">
        <f t="shared" si="27"/>
        <v>1</v>
      </c>
      <c r="O2076" s="45" t="str">
        <f t="shared" si="28"/>
        <v/>
      </c>
      <c r="P2076" s="45" t="str">
        <f t="shared" si="29"/>
        <v/>
      </c>
    </row>
    <row r="2077" spans="1:16" ht="17.25">
      <c r="A2077" s="276" t="s">
        <v>7464</v>
      </c>
      <c r="B2077" s="277">
        <v>2019</v>
      </c>
      <c r="C2077" s="276" t="s">
        <v>7465</v>
      </c>
      <c r="D2077" s="277">
        <v>30670044</v>
      </c>
      <c r="E2077" s="278" t="str">
        <f t="shared" si="23"/>
        <v>https://pubmed.ncbi.nlm.nih.gov/30670044</v>
      </c>
      <c r="F2077" s="28" t="s">
        <v>511</v>
      </c>
      <c r="G2077" s="28" t="s">
        <v>5299</v>
      </c>
      <c r="J2077" s="346" t="str">
        <f t="shared" si="19"/>
        <v/>
      </c>
      <c r="K2077" s="28" t="str">
        <f t="shared" si="24"/>
        <v/>
      </c>
      <c r="L2077" s="45" t="str">
        <f t="shared" si="25"/>
        <v/>
      </c>
      <c r="M2077" s="45" t="str">
        <f t="shared" si="26"/>
        <v/>
      </c>
      <c r="N2077" s="45">
        <f t="shared" si="27"/>
        <v>1</v>
      </c>
      <c r="O2077" s="45" t="str">
        <f t="shared" si="28"/>
        <v/>
      </c>
      <c r="P2077" s="45" t="str">
        <f t="shared" si="29"/>
        <v/>
      </c>
    </row>
    <row r="2078" spans="1:16" ht="17.25">
      <c r="A2078" s="276" t="s">
        <v>7466</v>
      </c>
      <c r="B2078" s="277">
        <v>2006</v>
      </c>
      <c r="C2078" s="276"/>
      <c r="D2078" s="277">
        <v>17034536</v>
      </c>
      <c r="E2078" s="278" t="str">
        <f t="shared" si="23"/>
        <v>https://pubmed.ncbi.nlm.nih.gov/17034536</v>
      </c>
      <c r="F2078" s="28" t="s">
        <v>511</v>
      </c>
      <c r="G2078" s="28" t="s">
        <v>5157</v>
      </c>
      <c r="J2078" s="346" t="str">
        <f t="shared" si="19"/>
        <v/>
      </c>
      <c r="K2078" s="28" t="str">
        <f t="shared" si="24"/>
        <v/>
      </c>
      <c r="L2078" s="45" t="str">
        <f t="shared" si="25"/>
        <v/>
      </c>
      <c r="M2078" s="45" t="str">
        <f t="shared" si="26"/>
        <v/>
      </c>
      <c r="N2078" s="45">
        <f t="shared" si="27"/>
        <v>1</v>
      </c>
      <c r="O2078" s="45" t="str">
        <f t="shared" si="28"/>
        <v/>
      </c>
      <c r="P2078" s="45" t="str">
        <f t="shared" si="29"/>
        <v/>
      </c>
    </row>
    <row r="2079" spans="1:16" ht="17.25">
      <c r="A2079" s="276" t="s">
        <v>7467</v>
      </c>
      <c r="B2079" s="277">
        <v>2006</v>
      </c>
      <c r="C2079" s="276"/>
      <c r="D2079" s="277">
        <v>16750680</v>
      </c>
      <c r="E2079" s="278" t="str">
        <f t="shared" si="23"/>
        <v>https://pubmed.ncbi.nlm.nih.gov/16750680</v>
      </c>
      <c r="F2079" s="28" t="s">
        <v>511</v>
      </c>
      <c r="G2079" s="28" t="s">
        <v>7350</v>
      </c>
      <c r="J2079" s="346">
        <f t="shared" si="19"/>
        <v>1</v>
      </c>
      <c r="K2079" s="28" t="str">
        <f t="shared" si="24"/>
        <v/>
      </c>
      <c r="L2079" s="45" t="str">
        <f t="shared" si="25"/>
        <v/>
      </c>
      <c r="M2079" s="45" t="str">
        <f t="shared" si="26"/>
        <v/>
      </c>
      <c r="N2079" s="45" t="str">
        <f t="shared" si="27"/>
        <v/>
      </c>
      <c r="O2079" s="45" t="str">
        <f t="shared" si="28"/>
        <v/>
      </c>
      <c r="P2079" s="45" t="str">
        <f t="shared" si="29"/>
        <v/>
      </c>
    </row>
    <row r="2080" spans="1:16" ht="17.25">
      <c r="A2080" s="276" t="s">
        <v>7468</v>
      </c>
      <c r="B2080" s="277">
        <v>2004</v>
      </c>
      <c r="C2080" s="276"/>
      <c r="D2080" s="277">
        <v>15123391</v>
      </c>
      <c r="E2080" s="278" t="str">
        <f t="shared" si="23"/>
        <v>https://pubmed.ncbi.nlm.nih.gov/15123391</v>
      </c>
      <c r="F2080" s="28" t="s">
        <v>511</v>
      </c>
      <c r="G2080" s="28" t="s">
        <v>4867</v>
      </c>
      <c r="J2080" s="346" t="str">
        <f t="shared" si="19"/>
        <v/>
      </c>
      <c r="K2080" s="28" t="str">
        <f t="shared" si="24"/>
        <v/>
      </c>
      <c r="L2080" s="45" t="str">
        <f t="shared" si="25"/>
        <v/>
      </c>
      <c r="M2080" s="45" t="str">
        <f t="shared" si="26"/>
        <v/>
      </c>
      <c r="N2080" s="45">
        <f t="shared" si="27"/>
        <v>1</v>
      </c>
      <c r="O2080" s="45" t="str">
        <f t="shared" si="28"/>
        <v/>
      </c>
      <c r="P2080" s="45" t="str">
        <f t="shared" si="29"/>
        <v/>
      </c>
    </row>
    <row r="2081" spans="1:16" ht="17.25">
      <c r="A2081" s="276" t="s">
        <v>7469</v>
      </c>
      <c r="B2081" s="277">
        <v>2020</v>
      </c>
      <c r="C2081" s="276" t="s">
        <v>7470</v>
      </c>
      <c r="D2081" s="277">
        <v>32641148</v>
      </c>
      <c r="E2081" s="278" t="str">
        <f t="shared" si="23"/>
        <v>https://pubmed.ncbi.nlm.nih.gov/32641148</v>
      </c>
      <c r="F2081" s="28" t="s">
        <v>511</v>
      </c>
      <c r="G2081" s="28" t="s">
        <v>5273</v>
      </c>
      <c r="J2081" s="346">
        <f t="shared" si="19"/>
        <v>1</v>
      </c>
      <c r="K2081" s="28" t="str">
        <f t="shared" si="24"/>
        <v/>
      </c>
      <c r="L2081" s="45" t="str">
        <f t="shared" si="25"/>
        <v/>
      </c>
      <c r="M2081" s="45" t="str">
        <f t="shared" si="26"/>
        <v/>
      </c>
      <c r="N2081" s="45" t="str">
        <f t="shared" si="27"/>
        <v/>
      </c>
      <c r="O2081" s="45" t="str">
        <f t="shared" si="28"/>
        <v/>
      </c>
      <c r="P2081" s="45" t="str">
        <f t="shared" si="29"/>
        <v/>
      </c>
    </row>
    <row r="2082" spans="1:16" ht="17.25">
      <c r="A2082" s="276" t="s">
        <v>7471</v>
      </c>
      <c r="B2082" s="277">
        <v>2001</v>
      </c>
      <c r="C2082" s="276"/>
      <c r="D2082" s="277">
        <v>11555564</v>
      </c>
      <c r="E2082" s="278" t="str">
        <f t="shared" si="23"/>
        <v>https://pubmed.ncbi.nlm.nih.gov/11555564</v>
      </c>
      <c r="F2082" s="28" t="s">
        <v>511</v>
      </c>
      <c r="G2082" s="28" t="s">
        <v>4744</v>
      </c>
      <c r="J2082" s="346" t="str">
        <f t="shared" si="19"/>
        <v/>
      </c>
      <c r="K2082" s="28" t="str">
        <f t="shared" si="24"/>
        <v/>
      </c>
      <c r="L2082" s="45" t="str">
        <f t="shared" si="25"/>
        <v/>
      </c>
      <c r="M2082" s="45" t="str">
        <f t="shared" si="26"/>
        <v/>
      </c>
      <c r="N2082" s="45">
        <f t="shared" si="27"/>
        <v>1</v>
      </c>
      <c r="O2082" s="45" t="str">
        <f t="shared" si="28"/>
        <v/>
      </c>
      <c r="P2082" s="45" t="str">
        <f t="shared" si="29"/>
        <v/>
      </c>
    </row>
    <row r="2083" spans="1:16" ht="17.25">
      <c r="A2083" s="276" t="s">
        <v>7472</v>
      </c>
      <c r="B2083" s="277">
        <v>2016</v>
      </c>
      <c r="C2083" s="276" t="s">
        <v>7473</v>
      </c>
      <c r="D2083" s="277">
        <v>27347292</v>
      </c>
      <c r="E2083" s="278" t="str">
        <f t="shared" si="23"/>
        <v>https://pubmed.ncbi.nlm.nih.gov/27347292</v>
      </c>
      <c r="F2083" s="28" t="s">
        <v>511</v>
      </c>
      <c r="G2083" s="28" t="s">
        <v>7474</v>
      </c>
      <c r="J2083" s="346" t="str">
        <f t="shared" si="19"/>
        <v/>
      </c>
      <c r="K2083" s="28" t="str">
        <f t="shared" si="24"/>
        <v/>
      </c>
      <c r="L2083" s="45" t="str">
        <f t="shared" si="25"/>
        <v/>
      </c>
      <c r="M2083" s="45" t="str">
        <f t="shared" si="26"/>
        <v/>
      </c>
      <c r="N2083" s="45" t="str">
        <f t="shared" si="27"/>
        <v/>
      </c>
      <c r="O2083" s="45">
        <f t="shared" si="28"/>
        <v>1</v>
      </c>
      <c r="P2083" s="45" t="str">
        <f t="shared" si="29"/>
        <v/>
      </c>
    </row>
    <row r="2084" spans="1:16" ht="17.25">
      <c r="A2084" s="276" t="s">
        <v>7475</v>
      </c>
      <c r="B2084" s="277">
        <v>2012</v>
      </c>
      <c r="C2084" s="276"/>
      <c r="D2084" s="277">
        <v>23235633</v>
      </c>
      <c r="E2084" s="278" t="str">
        <f t="shared" si="23"/>
        <v>https://pubmed.ncbi.nlm.nih.gov/23235633</v>
      </c>
      <c r="F2084" s="28" t="s">
        <v>511</v>
      </c>
      <c r="G2084" s="28" t="s">
        <v>4592</v>
      </c>
      <c r="J2084" s="346">
        <f t="shared" si="19"/>
        <v>1</v>
      </c>
      <c r="K2084" s="28" t="str">
        <f t="shared" si="24"/>
        <v/>
      </c>
      <c r="L2084" s="45" t="str">
        <f t="shared" si="25"/>
        <v/>
      </c>
      <c r="M2084" s="45" t="str">
        <f t="shared" si="26"/>
        <v/>
      </c>
      <c r="N2084" s="45" t="str">
        <f t="shared" si="27"/>
        <v/>
      </c>
      <c r="O2084" s="45" t="str">
        <f t="shared" si="28"/>
        <v/>
      </c>
      <c r="P2084" s="45" t="str">
        <f t="shared" si="29"/>
        <v/>
      </c>
    </row>
    <row r="2085" spans="1:16" ht="17.25">
      <c r="A2085" s="276" t="s">
        <v>7476</v>
      </c>
      <c r="B2085" s="277">
        <v>2017</v>
      </c>
      <c r="C2085" s="276"/>
      <c r="D2085" s="277">
        <v>28281499</v>
      </c>
      <c r="E2085" s="278" t="str">
        <f t="shared" si="23"/>
        <v>https://pubmed.ncbi.nlm.nih.gov/28281499</v>
      </c>
      <c r="F2085" s="28" t="s">
        <v>511</v>
      </c>
      <c r="G2085" s="28" t="s">
        <v>7477</v>
      </c>
      <c r="J2085" s="346" t="str">
        <f t="shared" si="19"/>
        <v/>
      </c>
      <c r="K2085" s="28" t="str">
        <f t="shared" si="24"/>
        <v/>
      </c>
      <c r="L2085" s="45" t="str">
        <f t="shared" si="25"/>
        <v/>
      </c>
      <c r="M2085" s="45" t="str">
        <f t="shared" si="26"/>
        <v/>
      </c>
      <c r="N2085" s="45">
        <f t="shared" si="27"/>
        <v>1</v>
      </c>
      <c r="O2085" s="45" t="str">
        <f t="shared" si="28"/>
        <v/>
      </c>
      <c r="P2085" s="45" t="str">
        <f t="shared" si="29"/>
        <v/>
      </c>
    </row>
    <row r="2086" spans="1:16" ht="17.25">
      <c r="A2086" s="276" t="s">
        <v>7478</v>
      </c>
      <c r="B2086" s="277">
        <v>2016</v>
      </c>
      <c r="C2086" s="276" t="s">
        <v>7479</v>
      </c>
      <c r="D2086" s="277">
        <v>26787721</v>
      </c>
      <c r="E2086" s="278" t="str">
        <f t="shared" si="23"/>
        <v>https://pubmed.ncbi.nlm.nih.gov/26787721</v>
      </c>
      <c r="F2086" s="28" t="s">
        <v>511</v>
      </c>
      <c r="G2086" s="28" t="s">
        <v>7480</v>
      </c>
      <c r="J2086" s="346" t="str">
        <f t="shared" si="19"/>
        <v/>
      </c>
      <c r="K2086" s="28" t="str">
        <f t="shared" si="24"/>
        <v/>
      </c>
      <c r="L2086" s="45" t="str">
        <f t="shared" si="25"/>
        <v/>
      </c>
      <c r="M2086" s="45" t="str">
        <f t="shared" si="26"/>
        <v/>
      </c>
      <c r="N2086" s="45">
        <f t="shared" si="27"/>
        <v>1</v>
      </c>
      <c r="O2086" s="45" t="str">
        <f t="shared" si="28"/>
        <v/>
      </c>
      <c r="P2086" s="45" t="str">
        <f t="shared" si="29"/>
        <v/>
      </c>
    </row>
    <row r="2087" spans="1:16" ht="17.25">
      <c r="A2087" s="276" t="s">
        <v>7481</v>
      </c>
      <c r="B2087" s="277">
        <v>2020</v>
      </c>
      <c r="C2087" s="276" t="s">
        <v>7482</v>
      </c>
      <c r="D2087" s="277">
        <v>32916565</v>
      </c>
      <c r="E2087" s="278" t="str">
        <f t="shared" si="23"/>
        <v>https://pubmed.ncbi.nlm.nih.gov/32916565</v>
      </c>
      <c r="F2087" s="28" t="s">
        <v>511</v>
      </c>
      <c r="G2087" s="28" t="s">
        <v>7483</v>
      </c>
      <c r="J2087" s="346">
        <f t="shared" si="19"/>
        <v>1</v>
      </c>
      <c r="K2087" s="28" t="str">
        <f t="shared" si="24"/>
        <v/>
      </c>
      <c r="L2087" s="45" t="str">
        <f t="shared" si="25"/>
        <v/>
      </c>
      <c r="M2087" s="45" t="str">
        <f t="shared" si="26"/>
        <v/>
      </c>
      <c r="N2087" s="45" t="str">
        <f t="shared" si="27"/>
        <v/>
      </c>
      <c r="O2087" s="45" t="str">
        <f t="shared" si="28"/>
        <v/>
      </c>
      <c r="P2087" s="45" t="str">
        <f t="shared" si="29"/>
        <v/>
      </c>
    </row>
    <row r="2088" spans="1:16" ht="17.25">
      <c r="A2088" s="276" t="s">
        <v>7484</v>
      </c>
      <c r="B2088" s="277">
        <v>2019</v>
      </c>
      <c r="C2088" s="276" t="s">
        <v>7485</v>
      </c>
      <c r="D2088" s="277">
        <v>30967375</v>
      </c>
      <c r="E2088" s="278" t="str">
        <f t="shared" si="23"/>
        <v>https://pubmed.ncbi.nlm.nih.gov/30967375</v>
      </c>
      <c r="F2088" s="28" t="s">
        <v>511</v>
      </c>
      <c r="G2088" s="28" t="s">
        <v>7350</v>
      </c>
      <c r="J2088" s="346">
        <f t="shared" si="19"/>
        <v>1</v>
      </c>
      <c r="K2088" s="28" t="str">
        <f t="shared" si="24"/>
        <v/>
      </c>
      <c r="L2088" s="45" t="str">
        <f t="shared" si="25"/>
        <v/>
      </c>
      <c r="M2088" s="45" t="str">
        <f t="shared" si="26"/>
        <v/>
      </c>
      <c r="N2088" s="45" t="str">
        <f t="shared" si="27"/>
        <v/>
      </c>
      <c r="O2088" s="45" t="str">
        <f t="shared" si="28"/>
        <v/>
      </c>
      <c r="P2088" s="45" t="str">
        <f t="shared" si="29"/>
        <v/>
      </c>
    </row>
    <row r="2089" spans="1:16" ht="17.25">
      <c r="A2089" s="276" t="s">
        <v>7486</v>
      </c>
      <c r="B2089" s="277">
        <v>2020</v>
      </c>
      <c r="C2089" s="276" t="s">
        <v>7487</v>
      </c>
      <c r="D2089" s="277">
        <v>32961361</v>
      </c>
      <c r="E2089" s="278" t="str">
        <f t="shared" si="23"/>
        <v>https://pubmed.ncbi.nlm.nih.gov/32961361</v>
      </c>
      <c r="F2089" s="28" t="s">
        <v>511</v>
      </c>
      <c r="G2089" s="28" t="s">
        <v>7488</v>
      </c>
      <c r="J2089" s="346" t="str">
        <f t="shared" si="19"/>
        <v/>
      </c>
      <c r="K2089" s="28" t="str">
        <f t="shared" si="24"/>
        <v/>
      </c>
      <c r="L2089" s="45" t="str">
        <f t="shared" si="25"/>
        <v/>
      </c>
      <c r="M2089" s="45" t="str">
        <f t="shared" si="26"/>
        <v/>
      </c>
      <c r="N2089" s="45">
        <f t="shared" si="27"/>
        <v>1</v>
      </c>
      <c r="O2089" s="45" t="str">
        <f t="shared" si="28"/>
        <v/>
      </c>
      <c r="P2089" s="45" t="str">
        <f t="shared" si="29"/>
        <v/>
      </c>
    </row>
    <row r="2090" spans="1:16" ht="17.25">
      <c r="A2090" s="276" t="s">
        <v>7489</v>
      </c>
      <c r="B2090" s="277">
        <v>2018</v>
      </c>
      <c r="C2090" s="276" t="s">
        <v>7490</v>
      </c>
      <c r="D2090" s="277">
        <v>29720571</v>
      </c>
      <c r="E2090" s="278" t="str">
        <f t="shared" si="23"/>
        <v>https://pubmed.ncbi.nlm.nih.gov/29720571</v>
      </c>
      <c r="F2090" s="28" t="s">
        <v>511</v>
      </c>
      <c r="G2090" s="28" t="s">
        <v>4744</v>
      </c>
      <c r="J2090" s="346" t="str">
        <f t="shared" si="19"/>
        <v/>
      </c>
      <c r="K2090" s="28" t="str">
        <f t="shared" si="24"/>
        <v/>
      </c>
      <c r="L2090" s="45" t="str">
        <f t="shared" si="25"/>
        <v/>
      </c>
      <c r="M2090" s="45" t="str">
        <f t="shared" si="26"/>
        <v/>
      </c>
      <c r="N2090" s="45">
        <f t="shared" si="27"/>
        <v>1</v>
      </c>
      <c r="O2090" s="45" t="str">
        <f t="shared" si="28"/>
        <v/>
      </c>
      <c r="P2090" s="45" t="str">
        <f t="shared" si="29"/>
        <v/>
      </c>
    </row>
    <row r="2091" spans="1:16" ht="17.25">
      <c r="A2091" s="276" t="s">
        <v>7491</v>
      </c>
      <c r="B2091" s="277">
        <v>2007</v>
      </c>
      <c r="C2091" s="276"/>
      <c r="D2091" s="277">
        <v>17350452</v>
      </c>
      <c r="E2091" s="278" t="str">
        <f t="shared" si="23"/>
        <v>https://pubmed.ncbi.nlm.nih.gov/17350452</v>
      </c>
      <c r="F2091" s="28" t="s">
        <v>511</v>
      </c>
      <c r="G2091" s="28" t="s">
        <v>7492</v>
      </c>
      <c r="J2091" s="346" t="str">
        <f t="shared" si="19"/>
        <v/>
      </c>
      <c r="K2091" s="28" t="str">
        <f t="shared" si="24"/>
        <v/>
      </c>
      <c r="L2091" s="45" t="str">
        <f t="shared" si="25"/>
        <v/>
      </c>
      <c r="M2091" s="45" t="str">
        <f t="shared" si="26"/>
        <v/>
      </c>
      <c r="N2091" s="45" t="str">
        <f t="shared" si="27"/>
        <v/>
      </c>
      <c r="O2091" s="45">
        <f t="shared" si="28"/>
        <v>1</v>
      </c>
      <c r="P2091" s="45" t="str">
        <f t="shared" si="29"/>
        <v/>
      </c>
    </row>
    <row r="2092" spans="1:16" ht="17.25">
      <c r="A2092" s="276" t="s">
        <v>7493</v>
      </c>
      <c r="B2092" s="277">
        <v>2019</v>
      </c>
      <c r="C2092" s="276"/>
      <c r="D2092" s="277">
        <v>31062052</v>
      </c>
      <c r="E2092" s="278" t="str">
        <f t="shared" si="23"/>
        <v>https://pubmed.ncbi.nlm.nih.gov/31062052</v>
      </c>
      <c r="F2092" s="28" t="s">
        <v>511</v>
      </c>
      <c r="G2092" s="28" t="s">
        <v>7350</v>
      </c>
      <c r="J2092" s="346">
        <f t="shared" si="19"/>
        <v>1</v>
      </c>
      <c r="K2092" s="28" t="str">
        <f t="shared" si="24"/>
        <v/>
      </c>
      <c r="L2092" s="45" t="str">
        <f t="shared" si="25"/>
        <v/>
      </c>
      <c r="M2092" s="45" t="str">
        <f t="shared" si="26"/>
        <v/>
      </c>
      <c r="N2092" s="45" t="str">
        <f t="shared" si="27"/>
        <v/>
      </c>
      <c r="O2092" s="45" t="str">
        <f t="shared" si="28"/>
        <v/>
      </c>
      <c r="P2092" s="45" t="str">
        <f t="shared" si="29"/>
        <v/>
      </c>
    </row>
    <row r="2093" spans="1:16" ht="17.25">
      <c r="A2093" s="276" t="s">
        <v>7494</v>
      </c>
      <c r="B2093" s="277">
        <v>2013</v>
      </c>
      <c r="C2093" s="276" t="s">
        <v>7495</v>
      </c>
      <c r="D2093" s="277">
        <v>23188213</v>
      </c>
      <c r="E2093" s="278" t="str">
        <f t="shared" si="23"/>
        <v>https://pubmed.ncbi.nlm.nih.gov/23188213</v>
      </c>
      <c r="F2093" s="28" t="s">
        <v>511</v>
      </c>
      <c r="G2093" s="28" t="s">
        <v>4592</v>
      </c>
      <c r="J2093" s="346">
        <f t="shared" si="19"/>
        <v>1</v>
      </c>
      <c r="K2093" s="28" t="str">
        <f t="shared" si="24"/>
        <v/>
      </c>
      <c r="L2093" s="45" t="str">
        <f t="shared" si="25"/>
        <v/>
      </c>
      <c r="M2093" s="45" t="str">
        <f t="shared" si="26"/>
        <v/>
      </c>
      <c r="N2093" s="45" t="str">
        <f t="shared" si="27"/>
        <v/>
      </c>
      <c r="O2093" s="45" t="str">
        <f t="shared" si="28"/>
        <v/>
      </c>
      <c r="P2093" s="45" t="str">
        <f t="shared" si="29"/>
        <v/>
      </c>
    </row>
    <row r="2094" spans="1:16" ht="17.25">
      <c r="A2094" s="276" t="s">
        <v>7496</v>
      </c>
      <c r="B2094" s="277">
        <v>2017</v>
      </c>
      <c r="C2094" s="276" t="s">
        <v>7497</v>
      </c>
      <c r="D2094" s="277">
        <v>29110140</v>
      </c>
      <c r="E2094" s="278" t="str">
        <f t="shared" si="23"/>
        <v>https://pubmed.ncbi.nlm.nih.gov/29110140</v>
      </c>
      <c r="F2094" s="28" t="s">
        <v>511</v>
      </c>
      <c r="G2094" s="28" t="s">
        <v>7498</v>
      </c>
      <c r="J2094" s="346" t="str">
        <f t="shared" si="19"/>
        <v/>
      </c>
      <c r="K2094" s="28" t="str">
        <f t="shared" si="24"/>
        <v/>
      </c>
      <c r="L2094" s="45" t="str">
        <f t="shared" si="25"/>
        <v/>
      </c>
      <c r="M2094" s="45" t="str">
        <f t="shared" si="26"/>
        <v/>
      </c>
      <c r="N2094" s="45" t="str">
        <f t="shared" si="27"/>
        <v/>
      </c>
      <c r="O2094" s="45">
        <f t="shared" si="28"/>
        <v>1</v>
      </c>
      <c r="P2094" s="45" t="str">
        <f t="shared" si="29"/>
        <v/>
      </c>
    </row>
    <row r="2095" spans="1:16" ht="17.25">
      <c r="A2095" s="276" t="s">
        <v>7499</v>
      </c>
      <c r="B2095" s="277">
        <v>2017</v>
      </c>
      <c r="C2095" s="276" t="s">
        <v>7500</v>
      </c>
      <c r="D2095" s="277">
        <v>29025064</v>
      </c>
      <c r="E2095" s="278" t="str">
        <f t="shared" si="23"/>
        <v>https://pubmed.ncbi.nlm.nih.gov/29025064</v>
      </c>
      <c r="F2095" s="28" t="s">
        <v>511</v>
      </c>
      <c r="G2095" s="28" t="s">
        <v>4744</v>
      </c>
      <c r="J2095" s="346" t="str">
        <f t="shared" si="19"/>
        <v/>
      </c>
      <c r="K2095" s="28" t="str">
        <f t="shared" si="24"/>
        <v/>
      </c>
      <c r="L2095" s="45" t="str">
        <f t="shared" si="25"/>
        <v/>
      </c>
      <c r="M2095" s="45" t="str">
        <f t="shared" si="26"/>
        <v/>
      </c>
      <c r="N2095" s="45">
        <f t="shared" si="27"/>
        <v>1</v>
      </c>
      <c r="O2095" s="45" t="str">
        <f t="shared" si="28"/>
        <v/>
      </c>
      <c r="P2095" s="45" t="str">
        <f t="shared" si="29"/>
        <v/>
      </c>
    </row>
    <row r="2096" spans="1:16" ht="17.25">
      <c r="A2096" s="276" t="s">
        <v>7501</v>
      </c>
      <c r="B2096" s="277">
        <v>2005</v>
      </c>
      <c r="C2096" s="276"/>
      <c r="D2096" s="277">
        <v>16049907</v>
      </c>
      <c r="E2096" s="278" t="str">
        <f t="shared" si="23"/>
        <v>https://pubmed.ncbi.nlm.nih.gov/16049907</v>
      </c>
      <c r="F2096" s="28" t="s">
        <v>511</v>
      </c>
      <c r="G2096" s="28" t="s">
        <v>4592</v>
      </c>
      <c r="J2096" s="346">
        <f t="shared" si="19"/>
        <v>1</v>
      </c>
      <c r="K2096" s="28" t="str">
        <f t="shared" si="24"/>
        <v/>
      </c>
      <c r="L2096" s="45" t="str">
        <f t="shared" si="25"/>
        <v/>
      </c>
      <c r="M2096" s="45" t="str">
        <f t="shared" si="26"/>
        <v/>
      </c>
      <c r="N2096" s="45" t="str">
        <f t="shared" si="27"/>
        <v/>
      </c>
      <c r="O2096" s="45" t="str">
        <f t="shared" si="28"/>
        <v/>
      </c>
      <c r="P2096" s="45" t="str">
        <f t="shared" si="29"/>
        <v/>
      </c>
    </row>
    <row r="2097" spans="1:16" ht="17.25">
      <c r="A2097" s="276" t="s">
        <v>7502</v>
      </c>
      <c r="B2097" s="277">
        <v>2007</v>
      </c>
      <c r="C2097" s="276"/>
      <c r="D2097" s="277">
        <v>17943918</v>
      </c>
      <c r="E2097" s="278" t="str">
        <f t="shared" si="23"/>
        <v>https://pubmed.ncbi.nlm.nih.gov/17943918</v>
      </c>
      <c r="F2097" s="28" t="s">
        <v>511</v>
      </c>
      <c r="G2097" s="28" t="s">
        <v>4592</v>
      </c>
      <c r="J2097" s="346">
        <f t="shared" si="19"/>
        <v>1</v>
      </c>
      <c r="K2097" s="28" t="str">
        <f t="shared" si="24"/>
        <v/>
      </c>
      <c r="L2097" s="45" t="str">
        <f t="shared" si="25"/>
        <v/>
      </c>
      <c r="M2097" s="45" t="str">
        <f t="shared" si="26"/>
        <v/>
      </c>
      <c r="N2097" s="45" t="str">
        <f t="shared" si="27"/>
        <v/>
      </c>
      <c r="O2097" s="45" t="str">
        <f t="shared" si="28"/>
        <v/>
      </c>
      <c r="P2097" s="45" t="str">
        <f t="shared" si="29"/>
        <v/>
      </c>
    </row>
    <row r="2098" spans="1:16" ht="17.25">
      <c r="A2098" s="276" t="s">
        <v>7502</v>
      </c>
      <c r="B2098" s="277">
        <v>2012</v>
      </c>
      <c r="C2098" s="276" t="s">
        <v>7503</v>
      </c>
      <c r="D2098" s="277">
        <v>22972099</v>
      </c>
      <c r="E2098" s="278" t="str">
        <f t="shared" si="23"/>
        <v>https://pubmed.ncbi.nlm.nih.gov/22972099</v>
      </c>
      <c r="F2098" s="28" t="s">
        <v>511</v>
      </c>
      <c r="G2098" s="28" t="s">
        <v>4592</v>
      </c>
      <c r="J2098" s="346">
        <f t="shared" si="19"/>
        <v>1</v>
      </c>
      <c r="K2098" s="28" t="str">
        <f t="shared" si="24"/>
        <v/>
      </c>
      <c r="L2098" s="45" t="str">
        <f t="shared" si="25"/>
        <v/>
      </c>
      <c r="M2098" s="45" t="str">
        <f t="shared" si="26"/>
        <v/>
      </c>
      <c r="N2098" s="45" t="str">
        <f t="shared" si="27"/>
        <v/>
      </c>
      <c r="O2098" s="45" t="str">
        <f t="shared" si="28"/>
        <v/>
      </c>
      <c r="P2098" s="45" t="str">
        <f t="shared" si="29"/>
        <v/>
      </c>
    </row>
    <row r="2099" spans="1:16" ht="17.25">
      <c r="A2099" s="276" t="s">
        <v>7504</v>
      </c>
      <c r="B2099" s="277">
        <v>2015</v>
      </c>
      <c r="C2099" s="276" t="s">
        <v>7505</v>
      </c>
      <c r="D2099" s="277">
        <v>25873064</v>
      </c>
      <c r="E2099" s="278" t="str">
        <f t="shared" si="23"/>
        <v>https://pubmed.ncbi.nlm.nih.gov/25873064</v>
      </c>
      <c r="F2099" s="28" t="s">
        <v>511</v>
      </c>
      <c r="G2099" s="28" t="s">
        <v>7506</v>
      </c>
      <c r="J2099" s="346" t="str">
        <f t="shared" si="19"/>
        <v/>
      </c>
      <c r="K2099" s="28" t="str">
        <f t="shared" si="24"/>
        <v/>
      </c>
      <c r="L2099" s="45" t="str">
        <f t="shared" si="25"/>
        <v/>
      </c>
      <c r="M2099" s="45" t="str">
        <f t="shared" si="26"/>
        <v/>
      </c>
      <c r="N2099" s="45">
        <f t="shared" si="27"/>
        <v>1</v>
      </c>
      <c r="O2099" s="45" t="str">
        <f t="shared" si="28"/>
        <v/>
      </c>
      <c r="P2099" s="45" t="str">
        <f t="shared" si="29"/>
        <v/>
      </c>
    </row>
    <row r="2100" spans="1:16" ht="17.25">
      <c r="A2100" s="276" t="s">
        <v>7507</v>
      </c>
      <c r="B2100" s="277">
        <v>2012</v>
      </c>
      <c r="C2100" s="276" t="s">
        <v>7508</v>
      </c>
      <c r="D2100" s="277">
        <v>23137020</v>
      </c>
      <c r="E2100" s="278" t="str">
        <f t="shared" si="23"/>
        <v>https://pubmed.ncbi.nlm.nih.gov/23137020</v>
      </c>
      <c r="F2100" s="28" t="s">
        <v>511</v>
      </c>
      <c r="G2100" s="28" t="s">
        <v>4744</v>
      </c>
      <c r="J2100" s="346" t="str">
        <f t="shared" si="19"/>
        <v/>
      </c>
      <c r="K2100" s="28" t="str">
        <f t="shared" si="24"/>
        <v/>
      </c>
      <c r="L2100" s="45" t="str">
        <f t="shared" si="25"/>
        <v/>
      </c>
      <c r="M2100" s="45" t="str">
        <f t="shared" si="26"/>
        <v/>
      </c>
      <c r="N2100" s="45">
        <f t="shared" si="27"/>
        <v>1</v>
      </c>
      <c r="O2100" s="45" t="str">
        <f t="shared" si="28"/>
        <v/>
      </c>
      <c r="P2100" s="45" t="str">
        <f t="shared" si="29"/>
        <v/>
      </c>
    </row>
    <row r="2101" spans="1:16" ht="17.25">
      <c r="A2101" s="276" t="s">
        <v>7509</v>
      </c>
      <c r="B2101" s="277">
        <v>2017</v>
      </c>
      <c r="C2101" s="276"/>
      <c r="D2101" s="277">
        <v>27939035</v>
      </c>
      <c r="E2101" s="278" t="str">
        <f t="shared" si="23"/>
        <v>https://pubmed.ncbi.nlm.nih.gov/27939035</v>
      </c>
      <c r="F2101" s="28" t="s">
        <v>511</v>
      </c>
      <c r="G2101" s="28" t="s">
        <v>5299</v>
      </c>
      <c r="J2101" s="346" t="str">
        <f t="shared" si="19"/>
        <v/>
      </c>
      <c r="K2101" s="28" t="str">
        <f t="shared" si="24"/>
        <v/>
      </c>
      <c r="L2101" s="45" t="str">
        <f t="shared" si="25"/>
        <v/>
      </c>
      <c r="M2101" s="45" t="str">
        <f t="shared" si="26"/>
        <v/>
      </c>
      <c r="N2101" s="45">
        <f t="shared" si="27"/>
        <v>1</v>
      </c>
      <c r="O2101" s="45" t="str">
        <f t="shared" si="28"/>
        <v/>
      </c>
      <c r="P2101" s="45" t="str">
        <f t="shared" si="29"/>
        <v/>
      </c>
    </row>
    <row r="2102" spans="1:16" ht="17.25">
      <c r="A2102" s="276" t="s">
        <v>7510</v>
      </c>
      <c r="B2102" s="277">
        <v>2011</v>
      </c>
      <c r="C2102" s="276"/>
      <c r="D2102" s="277">
        <v>21296403</v>
      </c>
      <c r="E2102" s="278" t="str">
        <f t="shared" si="23"/>
        <v>https://pubmed.ncbi.nlm.nih.gov/21296403</v>
      </c>
      <c r="F2102" s="28" t="s">
        <v>511</v>
      </c>
      <c r="G2102" s="28" t="s">
        <v>4744</v>
      </c>
      <c r="J2102" s="346" t="str">
        <f t="shared" si="19"/>
        <v/>
      </c>
      <c r="K2102" s="28" t="str">
        <f t="shared" si="24"/>
        <v/>
      </c>
      <c r="L2102" s="45" t="str">
        <f t="shared" si="25"/>
        <v/>
      </c>
      <c r="M2102" s="45" t="str">
        <f t="shared" si="26"/>
        <v/>
      </c>
      <c r="N2102" s="45">
        <f t="shared" si="27"/>
        <v>1</v>
      </c>
      <c r="O2102" s="45" t="str">
        <f t="shared" si="28"/>
        <v/>
      </c>
      <c r="P2102" s="45" t="str">
        <f t="shared" si="29"/>
        <v/>
      </c>
    </row>
    <row r="2103" spans="1:16" ht="17.25">
      <c r="A2103" s="276" t="s">
        <v>7511</v>
      </c>
      <c r="B2103" s="277">
        <v>2014</v>
      </c>
      <c r="C2103" s="276"/>
      <c r="D2103" s="277">
        <v>24262929</v>
      </c>
      <c r="E2103" s="278" t="str">
        <f t="shared" si="23"/>
        <v>https://pubmed.ncbi.nlm.nih.gov/24262929</v>
      </c>
      <c r="F2103" s="28" t="s">
        <v>511</v>
      </c>
      <c r="G2103" s="28" t="s">
        <v>7350</v>
      </c>
      <c r="J2103" s="346">
        <f t="shared" si="19"/>
        <v>1</v>
      </c>
      <c r="K2103" s="28" t="str">
        <f t="shared" si="24"/>
        <v/>
      </c>
      <c r="L2103" s="45" t="str">
        <f t="shared" si="25"/>
        <v/>
      </c>
      <c r="M2103" s="45" t="str">
        <f t="shared" si="26"/>
        <v/>
      </c>
      <c r="N2103" s="45" t="str">
        <f t="shared" si="27"/>
        <v/>
      </c>
      <c r="O2103" s="45" t="str">
        <f t="shared" si="28"/>
        <v/>
      </c>
      <c r="P2103" s="45" t="str">
        <f t="shared" si="29"/>
        <v/>
      </c>
    </row>
    <row r="2104" spans="1:16" ht="17.25">
      <c r="A2104" s="276" t="s">
        <v>7512</v>
      </c>
      <c r="B2104" s="277">
        <v>2012</v>
      </c>
      <c r="C2104" s="276"/>
      <c r="D2104" s="277">
        <v>22262594</v>
      </c>
      <c r="E2104" s="278" t="str">
        <f t="shared" si="23"/>
        <v>https://pubmed.ncbi.nlm.nih.gov/22262594</v>
      </c>
      <c r="F2104" s="28" t="s">
        <v>511</v>
      </c>
      <c r="G2104" s="28" t="s">
        <v>7513</v>
      </c>
      <c r="J2104" s="346" t="str">
        <f t="shared" si="19"/>
        <v/>
      </c>
      <c r="K2104" s="28" t="str">
        <f t="shared" si="24"/>
        <v/>
      </c>
      <c r="L2104" s="45" t="str">
        <f t="shared" si="25"/>
        <v/>
      </c>
      <c r="M2104" s="45" t="str">
        <f t="shared" si="26"/>
        <v/>
      </c>
      <c r="N2104" s="45">
        <f t="shared" si="27"/>
        <v>1</v>
      </c>
      <c r="O2104" s="45" t="str">
        <f t="shared" si="28"/>
        <v/>
      </c>
      <c r="P2104" s="45" t="str">
        <f t="shared" si="29"/>
        <v/>
      </c>
    </row>
    <row r="2105" spans="1:16" ht="17.25">
      <c r="A2105" s="276" t="s">
        <v>7514</v>
      </c>
      <c r="B2105" s="277">
        <v>2017</v>
      </c>
      <c r="C2105" s="276" t="s">
        <v>7515</v>
      </c>
      <c r="D2105" s="277">
        <v>28257555</v>
      </c>
      <c r="E2105" s="278" t="str">
        <f t="shared" si="23"/>
        <v>https://pubmed.ncbi.nlm.nih.gov/28257555</v>
      </c>
      <c r="F2105" s="28" t="s">
        <v>511</v>
      </c>
      <c r="G2105" s="28" t="s">
        <v>4592</v>
      </c>
      <c r="J2105" s="346">
        <f t="shared" si="19"/>
        <v>1</v>
      </c>
      <c r="K2105" s="28" t="str">
        <f t="shared" si="24"/>
        <v/>
      </c>
      <c r="L2105" s="45" t="str">
        <f t="shared" si="25"/>
        <v/>
      </c>
      <c r="M2105" s="45" t="str">
        <f t="shared" si="26"/>
        <v/>
      </c>
      <c r="N2105" s="45" t="str">
        <f t="shared" si="27"/>
        <v/>
      </c>
      <c r="O2105" s="45" t="str">
        <f t="shared" si="28"/>
        <v/>
      </c>
      <c r="P2105" s="45" t="str">
        <f t="shared" si="29"/>
        <v/>
      </c>
    </row>
    <row r="2106" spans="1:16" ht="17.25">
      <c r="A2106" s="276" t="s">
        <v>7514</v>
      </c>
      <c r="B2106" s="277">
        <v>2011</v>
      </c>
      <c r="C2106" s="276"/>
      <c r="D2106" s="277">
        <v>21901692</v>
      </c>
      <c r="E2106" s="278" t="str">
        <f t="shared" si="23"/>
        <v>https://pubmed.ncbi.nlm.nih.gov/21901692</v>
      </c>
      <c r="F2106" s="28" t="s">
        <v>511</v>
      </c>
      <c r="G2106" s="28" t="s">
        <v>4592</v>
      </c>
      <c r="J2106" s="346">
        <f t="shared" si="19"/>
        <v>1</v>
      </c>
      <c r="K2106" s="28" t="str">
        <f t="shared" si="24"/>
        <v/>
      </c>
      <c r="L2106" s="45" t="str">
        <f t="shared" si="25"/>
        <v/>
      </c>
      <c r="M2106" s="45" t="str">
        <f t="shared" si="26"/>
        <v/>
      </c>
      <c r="N2106" s="45" t="str">
        <f t="shared" si="27"/>
        <v/>
      </c>
      <c r="O2106" s="45" t="str">
        <f t="shared" si="28"/>
        <v/>
      </c>
      <c r="P2106" s="45" t="str">
        <f t="shared" si="29"/>
        <v/>
      </c>
    </row>
    <row r="2107" spans="1:16" ht="17.25">
      <c r="A2107" s="276" t="s">
        <v>7516</v>
      </c>
      <c r="B2107" s="277">
        <v>2016</v>
      </c>
      <c r="C2107" s="276" t="s">
        <v>7517</v>
      </c>
      <c r="D2107" s="277">
        <v>26916697</v>
      </c>
      <c r="E2107" s="278" t="str">
        <f t="shared" si="23"/>
        <v>https://pubmed.ncbi.nlm.nih.gov/26916697</v>
      </c>
      <c r="F2107" s="28" t="s">
        <v>511</v>
      </c>
      <c r="G2107" s="28" t="s">
        <v>5157</v>
      </c>
      <c r="J2107" s="346" t="str">
        <f t="shared" si="19"/>
        <v/>
      </c>
      <c r="K2107" s="28" t="str">
        <f t="shared" si="24"/>
        <v/>
      </c>
      <c r="L2107" s="45" t="str">
        <f t="shared" si="25"/>
        <v/>
      </c>
      <c r="M2107" s="45" t="str">
        <f t="shared" si="26"/>
        <v/>
      </c>
      <c r="N2107" s="45">
        <f t="shared" si="27"/>
        <v>1</v>
      </c>
      <c r="O2107" s="45" t="str">
        <f t="shared" si="28"/>
        <v/>
      </c>
      <c r="P2107" s="45" t="str">
        <f t="shared" si="29"/>
        <v/>
      </c>
    </row>
    <row r="2108" spans="1:16" ht="17.25">
      <c r="A2108" s="276" t="s">
        <v>7518</v>
      </c>
      <c r="B2108" s="277">
        <v>2006</v>
      </c>
      <c r="C2108" s="276" t="s">
        <v>7519</v>
      </c>
      <c r="D2108" s="277">
        <v>16429250</v>
      </c>
      <c r="E2108" s="278" t="str">
        <f t="shared" si="23"/>
        <v>https://pubmed.ncbi.nlm.nih.gov/16429250</v>
      </c>
      <c r="F2108" s="28" t="s">
        <v>511</v>
      </c>
      <c r="G2108" s="28" t="s">
        <v>7520</v>
      </c>
      <c r="J2108" s="346" t="str">
        <f t="shared" si="19"/>
        <v/>
      </c>
      <c r="K2108" s="28" t="str">
        <f t="shared" si="24"/>
        <v/>
      </c>
      <c r="L2108" s="45" t="str">
        <f t="shared" si="25"/>
        <v/>
      </c>
      <c r="M2108" s="45" t="str">
        <f t="shared" si="26"/>
        <v/>
      </c>
      <c r="N2108" s="45">
        <f t="shared" si="27"/>
        <v>1</v>
      </c>
      <c r="O2108" s="45" t="str">
        <f t="shared" si="28"/>
        <v/>
      </c>
      <c r="P2108" s="45" t="str">
        <f t="shared" si="29"/>
        <v/>
      </c>
    </row>
    <row r="2109" spans="1:16" ht="17.25">
      <c r="A2109" s="276" t="s">
        <v>7521</v>
      </c>
      <c r="B2109" s="277">
        <v>2010</v>
      </c>
      <c r="C2109" s="276"/>
      <c r="D2109" s="277">
        <v>20171407</v>
      </c>
      <c r="E2109" s="278" t="str">
        <f t="shared" si="23"/>
        <v>https://pubmed.ncbi.nlm.nih.gov/20171407</v>
      </c>
      <c r="F2109" s="28" t="s">
        <v>511</v>
      </c>
      <c r="G2109" s="28" t="s">
        <v>5273</v>
      </c>
      <c r="J2109" s="346">
        <f t="shared" si="19"/>
        <v>1</v>
      </c>
      <c r="K2109" s="28" t="str">
        <f t="shared" si="24"/>
        <v/>
      </c>
      <c r="L2109" s="45" t="str">
        <f t="shared" si="25"/>
        <v/>
      </c>
      <c r="M2109" s="45" t="str">
        <f t="shared" si="26"/>
        <v/>
      </c>
      <c r="N2109" s="45" t="str">
        <f t="shared" si="27"/>
        <v/>
      </c>
      <c r="O2109" s="45" t="str">
        <f t="shared" si="28"/>
        <v/>
      </c>
      <c r="P2109" s="45" t="str">
        <f t="shared" si="29"/>
        <v/>
      </c>
    </row>
    <row r="2110" spans="1:16" ht="17.25">
      <c r="A2110" s="276" t="s">
        <v>7522</v>
      </c>
      <c r="B2110" s="277">
        <v>2017</v>
      </c>
      <c r="C2110" s="276"/>
      <c r="D2110" s="277">
        <v>28265861</v>
      </c>
      <c r="E2110" s="278" t="str">
        <f t="shared" si="23"/>
        <v>https://pubmed.ncbi.nlm.nih.gov/28265861</v>
      </c>
      <c r="F2110" s="28" t="s">
        <v>511</v>
      </c>
      <c r="G2110" s="28" t="s">
        <v>7523</v>
      </c>
      <c r="J2110" s="346" t="str">
        <f t="shared" si="19"/>
        <v/>
      </c>
      <c r="K2110" s="28" t="str">
        <f t="shared" si="24"/>
        <v/>
      </c>
      <c r="L2110" s="45" t="str">
        <f t="shared" si="25"/>
        <v/>
      </c>
      <c r="M2110" s="45" t="str">
        <f t="shared" si="26"/>
        <v/>
      </c>
      <c r="N2110" s="45">
        <f t="shared" si="27"/>
        <v>1</v>
      </c>
      <c r="O2110" s="45" t="str">
        <f t="shared" si="28"/>
        <v/>
      </c>
      <c r="P2110" s="45" t="str">
        <f t="shared" si="29"/>
        <v/>
      </c>
    </row>
    <row r="2111" spans="1:16" ht="17.25">
      <c r="A2111" s="276" t="s">
        <v>7524</v>
      </c>
      <c r="B2111" s="277">
        <v>2015</v>
      </c>
      <c r="C2111" s="276"/>
      <c r="D2111" s="277">
        <v>26017126</v>
      </c>
      <c r="E2111" s="278" t="str">
        <f t="shared" si="23"/>
        <v>https://pubmed.ncbi.nlm.nih.gov/26017126</v>
      </c>
      <c r="F2111" s="28" t="s">
        <v>511</v>
      </c>
      <c r="G2111" s="28" t="s">
        <v>5299</v>
      </c>
      <c r="J2111" s="346" t="str">
        <f t="shared" si="19"/>
        <v/>
      </c>
      <c r="K2111" s="28" t="str">
        <f t="shared" si="24"/>
        <v/>
      </c>
      <c r="L2111" s="45" t="str">
        <f t="shared" si="25"/>
        <v/>
      </c>
      <c r="M2111" s="45" t="str">
        <f t="shared" si="26"/>
        <v/>
      </c>
      <c r="N2111" s="45">
        <f t="shared" si="27"/>
        <v>1</v>
      </c>
      <c r="O2111" s="45" t="str">
        <f t="shared" si="28"/>
        <v/>
      </c>
      <c r="P2111" s="45" t="str">
        <f t="shared" si="29"/>
        <v/>
      </c>
    </row>
    <row r="2112" spans="1:16" ht="17.25">
      <c r="A2112" s="276" t="s">
        <v>4050</v>
      </c>
      <c r="B2112" s="277">
        <v>1999</v>
      </c>
      <c r="C2112" s="276"/>
      <c r="D2112" s="277">
        <v>10411194</v>
      </c>
      <c r="E2112" s="278" t="str">
        <f t="shared" si="23"/>
        <v>https://pubmed.ncbi.nlm.nih.gov/10411194</v>
      </c>
      <c r="H2112" s="28" t="s">
        <v>7525</v>
      </c>
      <c r="I2112" s="28" t="s">
        <v>7526</v>
      </c>
      <c r="J2112" s="346" t="str">
        <f t="shared" si="19"/>
        <v/>
      </c>
      <c r="K2112" s="28" t="str">
        <f t="shared" si="24"/>
        <v/>
      </c>
      <c r="L2112" s="45" t="str">
        <f t="shared" si="25"/>
        <v/>
      </c>
      <c r="M2112" s="45" t="str">
        <f t="shared" si="26"/>
        <v/>
      </c>
      <c r="N2112" s="45" t="str">
        <f t="shared" si="27"/>
        <v/>
      </c>
      <c r="O2112" s="45" t="str">
        <f t="shared" si="28"/>
        <v/>
      </c>
      <c r="P2112" s="45" t="str">
        <f t="shared" si="29"/>
        <v/>
      </c>
    </row>
    <row r="2113" spans="1:16" ht="17.25">
      <c r="A2113" s="276" t="s">
        <v>7527</v>
      </c>
      <c r="B2113" s="277">
        <v>2010</v>
      </c>
      <c r="C2113" s="276"/>
      <c r="D2113" s="277">
        <v>21208550</v>
      </c>
      <c r="E2113" s="278" t="str">
        <f t="shared" si="23"/>
        <v>https://pubmed.ncbi.nlm.nih.gov/21208550</v>
      </c>
      <c r="F2113" s="28" t="s">
        <v>511</v>
      </c>
      <c r="G2113" s="28" t="s">
        <v>4744</v>
      </c>
      <c r="J2113" s="346" t="str">
        <f t="shared" si="19"/>
        <v/>
      </c>
      <c r="K2113" s="28" t="str">
        <f t="shared" si="24"/>
        <v/>
      </c>
      <c r="L2113" s="45" t="str">
        <f t="shared" si="25"/>
        <v/>
      </c>
      <c r="M2113" s="45" t="str">
        <f t="shared" si="26"/>
        <v/>
      </c>
      <c r="N2113" s="45">
        <f t="shared" si="27"/>
        <v>1</v>
      </c>
      <c r="O2113" s="45" t="str">
        <f t="shared" si="28"/>
        <v/>
      </c>
      <c r="P2113" s="45" t="str">
        <f t="shared" si="29"/>
        <v/>
      </c>
    </row>
    <row r="2114" spans="1:16" ht="17.25">
      <c r="A2114" s="276" t="s">
        <v>7528</v>
      </c>
      <c r="B2114" s="277">
        <v>2014</v>
      </c>
      <c r="C2114" s="276"/>
      <c r="D2114" s="277">
        <v>25066668</v>
      </c>
      <c r="E2114" s="278" t="str">
        <f t="shared" si="23"/>
        <v>https://pubmed.ncbi.nlm.nih.gov/25066668</v>
      </c>
      <c r="F2114" s="28" t="s">
        <v>511</v>
      </c>
      <c r="G2114" s="28" t="s">
        <v>6412</v>
      </c>
      <c r="J2114" s="346" t="str">
        <f t="shared" si="19"/>
        <v/>
      </c>
      <c r="K2114" s="28" t="str">
        <f t="shared" si="24"/>
        <v/>
      </c>
      <c r="L2114" s="45" t="str">
        <f t="shared" si="25"/>
        <v/>
      </c>
      <c r="M2114" s="45" t="str">
        <f t="shared" si="26"/>
        <v/>
      </c>
      <c r="N2114" s="45">
        <f t="shared" si="27"/>
        <v>1</v>
      </c>
      <c r="O2114" s="45" t="str">
        <f t="shared" si="28"/>
        <v/>
      </c>
      <c r="P2114" s="45" t="str">
        <f t="shared" si="29"/>
        <v/>
      </c>
    </row>
    <row r="2115" spans="1:16" ht="17.25">
      <c r="A2115" s="276" t="s">
        <v>7529</v>
      </c>
      <c r="B2115" s="277">
        <v>2014</v>
      </c>
      <c r="C2115" s="276"/>
      <c r="D2115" s="277">
        <v>24814741</v>
      </c>
      <c r="E2115" s="278" t="str">
        <f t="shared" si="23"/>
        <v>https://pubmed.ncbi.nlm.nih.gov/24814741</v>
      </c>
      <c r="F2115" s="28" t="s">
        <v>511</v>
      </c>
      <c r="G2115" s="28" t="s">
        <v>7357</v>
      </c>
      <c r="J2115" s="346" t="str">
        <f t="shared" si="19"/>
        <v/>
      </c>
      <c r="K2115" s="28" t="str">
        <f t="shared" si="24"/>
        <v/>
      </c>
      <c r="L2115" s="45" t="str">
        <f t="shared" si="25"/>
        <v/>
      </c>
      <c r="M2115" s="45" t="str">
        <f t="shared" si="26"/>
        <v/>
      </c>
      <c r="N2115" s="45">
        <f t="shared" si="27"/>
        <v>1</v>
      </c>
      <c r="O2115" s="45" t="str">
        <f t="shared" si="28"/>
        <v/>
      </c>
      <c r="P2115" s="45" t="str">
        <f t="shared" si="29"/>
        <v/>
      </c>
    </row>
    <row r="2116" spans="1:16" ht="17.25">
      <c r="A2116" s="276" t="s">
        <v>7530</v>
      </c>
      <c r="B2116" s="277">
        <v>2014</v>
      </c>
      <c r="C2116" s="276" t="s">
        <v>7531</v>
      </c>
      <c r="D2116" s="277">
        <v>24890413</v>
      </c>
      <c r="E2116" s="278" t="str">
        <f t="shared" si="23"/>
        <v>https://pubmed.ncbi.nlm.nih.gov/24890413</v>
      </c>
      <c r="F2116" s="28" t="s">
        <v>511</v>
      </c>
      <c r="G2116" s="28" t="s">
        <v>4744</v>
      </c>
      <c r="J2116" s="346" t="str">
        <f t="shared" si="19"/>
        <v/>
      </c>
      <c r="K2116" s="28" t="str">
        <f t="shared" si="24"/>
        <v/>
      </c>
      <c r="L2116" s="45" t="str">
        <f t="shared" si="25"/>
        <v/>
      </c>
      <c r="M2116" s="45" t="str">
        <f t="shared" si="26"/>
        <v/>
      </c>
      <c r="N2116" s="45">
        <f t="shared" si="27"/>
        <v>1</v>
      </c>
      <c r="O2116" s="45" t="str">
        <f t="shared" si="28"/>
        <v/>
      </c>
      <c r="P2116" s="45" t="str">
        <f t="shared" si="29"/>
        <v/>
      </c>
    </row>
    <row r="2117" spans="1:16" ht="17.25">
      <c r="A2117" s="276" t="s">
        <v>7532</v>
      </c>
      <c r="B2117" s="277">
        <v>2017</v>
      </c>
      <c r="C2117" s="276"/>
      <c r="D2117" s="277">
        <v>28486004</v>
      </c>
      <c r="E2117" s="278" t="str">
        <f t="shared" si="23"/>
        <v>https://pubmed.ncbi.nlm.nih.gov/28486004</v>
      </c>
      <c r="F2117" s="28" t="s">
        <v>511</v>
      </c>
      <c r="G2117" s="28" t="s">
        <v>5157</v>
      </c>
      <c r="J2117" s="346" t="str">
        <f t="shared" si="19"/>
        <v/>
      </c>
      <c r="K2117" s="28" t="str">
        <f t="shared" si="24"/>
        <v/>
      </c>
      <c r="L2117" s="45" t="str">
        <f t="shared" si="25"/>
        <v/>
      </c>
      <c r="M2117" s="45" t="str">
        <f t="shared" si="26"/>
        <v/>
      </c>
      <c r="N2117" s="45">
        <f t="shared" si="27"/>
        <v>1</v>
      </c>
      <c r="O2117" s="45" t="str">
        <f t="shared" si="28"/>
        <v/>
      </c>
      <c r="P2117" s="45" t="str">
        <f t="shared" si="29"/>
        <v/>
      </c>
    </row>
    <row r="2118" spans="1:16" ht="17.25">
      <c r="A2118" s="276" t="s">
        <v>7533</v>
      </c>
      <c r="B2118" s="277">
        <v>2019</v>
      </c>
      <c r="C2118" s="276" t="s">
        <v>7534</v>
      </c>
      <c r="D2118" s="277">
        <v>31559948</v>
      </c>
      <c r="E2118" s="278" t="str">
        <f t="shared" si="23"/>
        <v>https://pubmed.ncbi.nlm.nih.gov/31559948</v>
      </c>
      <c r="F2118" s="28" t="s">
        <v>511</v>
      </c>
      <c r="G2118" s="28" t="s">
        <v>4744</v>
      </c>
      <c r="J2118" s="346" t="str">
        <f t="shared" si="19"/>
        <v/>
      </c>
      <c r="K2118" s="28" t="str">
        <f t="shared" si="24"/>
        <v/>
      </c>
      <c r="L2118" s="45" t="str">
        <f t="shared" si="25"/>
        <v/>
      </c>
      <c r="M2118" s="45" t="str">
        <f t="shared" si="26"/>
        <v/>
      </c>
      <c r="N2118" s="45">
        <f t="shared" si="27"/>
        <v>1</v>
      </c>
      <c r="O2118" s="45" t="str">
        <f t="shared" si="28"/>
        <v/>
      </c>
      <c r="P2118" s="45" t="str">
        <f t="shared" si="29"/>
        <v/>
      </c>
    </row>
    <row r="2119" spans="1:16" ht="17.25">
      <c r="A2119" s="276" t="s">
        <v>7535</v>
      </c>
      <c r="B2119" s="277">
        <v>2006</v>
      </c>
      <c r="C2119" s="276"/>
      <c r="D2119" s="277">
        <v>16443000</v>
      </c>
      <c r="E2119" s="278" t="str">
        <f t="shared" si="23"/>
        <v>https://pubmed.ncbi.nlm.nih.gov/16443000</v>
      </c>
      <c r="F2119" s="28" t="s">
        <v>511</v>
      </c>
      <c r="G2119" s="28" t="s">
        <v>6220</v>
      </c>
      <c r="J2119" s="346">
        <f t="shared" si="19"/>
        <v>1</v>
      </c>
      <c r="K2119" s="28" t="str">
        <f t="shared" si="24"/>
        <v/>
      </c>
      <c r="L2119" s="45" t="str">
        <f t="shared" si="25"/>
        <v/>
      </c>
      <c r="M2119" s="45" t="str">
        <f t="shared" si="26"/>
        <v/>
      </c>
      <c r="N2119" s="45" t="str">
        <f t="shared" si="27"/>
        <v/>
      </c>
      <c r="O2119" s="45" t="str">
        <f t="shared" si="28"/>
        <v/>
      </c>
      <c r="P2119" s="45" t="str">
        <f t="shared" si="29"/>
        <v/>
      </c>
    </row>
    <row r="2120" spans="1:16" ht="17.25">
      <c r="A2120" s="276" t="s">
        <v>7536</v>
      </c>
      <c r="B2120" s="277">
        <v>2016</v>
      </c>
      <c r="C2120" s="276"/>
      <c r="D2120" s="277">
        <v>27384849</v>
      </c>
      <c r="E2120" s="278" t="str">
        <f t="shared" si="23"/>
        <v>https://pubmed.ncbi.nlm.nih.gov/27384849</v>
      </c>
      <c r="F2120" s="28" t="s">
        <v>511</v>
      </c>
      <c r="G2120" s="28" t="s">
        <v>4587</v>
      </c>
      <c r="J2120" s="346" t="str">
        <f t="shared" si="19"/>
        <v/>
      </c>
      <c r="K2120" s="28" t="str">
        <f t="shared" si="24"/>
        <v/>
      </c>
      <c r="L2120" s="45" t="str">
        <f t="shared" si="25"/>
        <v/>
      </c>
      <c r="M2120" s="45">
        <f t="shared" si="26"/>
        <v>1</v>
      </c>
      <c r="N2120" s="45" t="str">
        <f t="shared" si="27"/>
        <v/>
      </c>
      <c r="O2120" s="45" t="str">
        <f t="shared" si="28"/>
        <v/>
      </c>
      <c r="P2120" s="45" t="str">
        <f t="shared" si="29"/>
        <v/>
      </c>
    </row>
    <row r="2121" spans="1:16" ht="17.25">
      <c r="A2121" s="276" t="s">
        <v>7537</v>
      </c>
      <c r="B2121" s="277">
        <v>2018</v>
      </c>
      <c r="C2121" s="276" t="s">
        <v>7538</v>
      </c>
      <c r="D2121" s="277">
        <v>29580220</v>
      </c>
      <c r="E2121" s="278" t="str">
        <f t="shared" si="23"/>
        <v>https://pubmed.ncbi.nlm.nih.gov/29580220</v>
      </c>
      <c r="F2121" s="28" t="s">
        <v>511</v>
      </c>
      <c r="G2121" s="28" t="s">
        <v>6469</v>
      </c>
      <c r="J2121" s="346" t="str">
        <f t="shared" si="19"/>
        <v/>
      </c>
      <c r="K2121" s="28" t="str">
        <f t="shared" si="24"/>
        <v/>
      </c>
      <c r="L2121" s="45" t="str">
        <f t="shared" si="25"/>
        <v/>
      </c>
      <c r="M2121" s="45" t="str">
        <f t="shared" si="26"/>
        <v/>
      </c>
      <c r="N2121" s="45">
        <f t="shared" si="27"/>
        <v>1</v>
      </c>
      <c r="O2121" s="45" t="str">
        <f t="shared" si="28"/>
        <v/>
      </c>
      <c r="P2121" s="45" t="str">
        <f t="shared" si="29"/>
        <v/>
      </c>
    </row>
    <row r="2122" spans="1:16" ht="17.25">
      <c r="A2122" s="276" t="s">
        <v>7539</v>
      </c>
      <c r="B2122" s="277">
        <v>2017</v>
      </c>
      <c r="C2122" s="276"/>
      <c r="D2122" s="277">
        <v>28554398</v>
      </c>
      <c r="E2122" s="278" t="str">
        <f t="shared" si="23"/>
        <v>https://pubmed.ncbi.nlm.nih.gov/28554398</v>
      </c>
      <c r="F2122" s="28" t="s">
        <v>511</v>
      </c>
      <c r="G2122" s="28" t="s">
        <v>4592</v>
      </c>
      <c r="J2122" s="346">
        <f t="shared" si="19"/>
        <v>1</v>
      </c>
      <c r="K2122" s="28" t="str">
        <f t="shared" si="24"/>
        <v/>
      </c>
      <c r="L2122" s="45" t="str">
        <f t="shared" si="25"/>
        <v/>
      </c>
      <c r="M2122" s="45" t="str">
        <f t="shared" si="26"/>
        <v/>
      </c>
      <c r="N2122" s="45" t="str">
        <f t="shared" si="27"/>
        <v/>
      </c>
      <c r="O2122" s="45" t="str">
        <f t="shared" si="28"/>
        <v/>
      </c>
      <c r="P2122" s="45" t="str">
        <f t="shared" si="29"/>
        <v/>
      </c>
    </row>
    <row r="2123" spans="1:16" ht="17.25">
      <c r="A2123" s="276" t="s">
        <v>7540</v>
      </c>
      <c r="B2123" s="277">
        <v>2018</v>
      </c>
      <c r="C2123" s="276" t="s">
        <v>7541</v>
      </c>
      <c r="D2123" s="277">
        <v>29667726</v>
      </c>
      <c r="E2123" s="278" t="str">
        <f t="shared" si="23"/>
        <v>https://pubmed.ncbi.nlm.nih.gov/29667726</v>
      </c>
      <c r="F2123" s="28" t="s">
        <v>511</v>
      </c>
      <c r="G2123" s="28" t="s">
        <v>4592</v>
      </c>
      <c r="J2123" s="346">
        <f t="shared" si="19"/>
        <v>1</v>
      </c>
      <c r="K2123" s="28" t="str">
        <f t="shared" si="24"/>
        <v/>
      </c>
      <c r="L2123" s="45" t="str">
        <f t="shared" si="25"/>
        <v/>
      </c>
      <c r="M2123" s="45" t="str">
        <f t="shared" si="26"/>
        <v/>
      </c>
      <c r="N2123" s="45" t="str">
        <f t="shared" si="27"/>
        <v/>
      </c>
      <c r="O2123" s="45" t="str">
        <f t="shared" si="28"/>
        <v/>
      </c>
      <c r="P2123" s="45" t="str">
        <f t="shared" si="29"/>
        <v/>
      </c>
    </row>
    <row r="2124" spans="1:16" ht="17.25">
      <c r="A2124" s="276" t="s">
        <v>7542</v>
      </c>
      <c r="B2124" s="277">
        <v>2014</v>
      </c>
      <c r="C2124" s="276"/>
      <c r="D2124" s="277">
        <v>24953293</v>
      </c>
      <c r="E2124" s="278" t="str">
        <f t="shared" si="23"/>
        <v>https://pubmed.ncbi.nlm.nih.gov/24953293</v>
      </c>
      <c r="F2124" s="28" t="s">
        <v>511</v>
      </c>
      <c r="G2124" s="28" t="s">
        <v>4744</v>
      </c>
      <c r="I2124" s="28" t="s">
        <v>6429</v>
      </c>
      <c r="J2124" s="346" t="str">
        <f t="shared" si="19"/>
        <v/>
      </c>
      <c r="K2124" s="28" t="str">
        <f t="shared" si="24"/>
        <v/>
      </c>
      <c r="L2124" s="45" t="str">
        <f t="shared" si="25"/>
        <v/>
      </c>
      <c r="M2124" s="45" t="str">
        <f t="shared" si="26"/>
        <v/>
      </c>
      <c r="N2124" s="45">
        <f t="shared" si="27"/>
        <v>1</v>
      </c>
      <c r="O2124" s="45" t="str">
        <f t="shared" si="28"/>
        <v/>
      </c>
      <c r="P2124" s="45" t="str">
        <f t="shared" si="29"/>
        <v/>
      </c>
    </row>
    <row r="2125" spans="1:16" ht="17.25">
      <c r="A2125" s="276" t="s">
        <v>7543</v>
      </c>
      <c r="B2125" s="277">
        <v>2019</v>
      </c>
      <c r="C2125" s="276"/>
      <c r="D2125" s="277">
        <v>30678501</v>
      </c>
      <c r="E2125" s="278" t="str">
        <f t="shared" si="23"/>
        <v>https://pubmed.ncbi.nlm.nih.gov/30678501</v>
      </c>
      <c r="F2125" s="28" t="s">
        <v>511</v>
      </c>
      <c r="G2125" s="28" t="s">
        <v>4592</v>
      </c>
      <c r="J2125" s="346">
        <f t="shared" si="19"/>
        <v>1</v>
      </c>
      <c r="K2125" s="28" t="str">
        <f t="shared" si="24"/>
        <v/>
      </c>
      <c r="L2125" s="45" t="str">
        <f t="shared" si="25"/>
        <v/>
      </c>
      <c r="M2125" s="45" t="str">
        <f t="shared" si="26"/>
        <v/>
      </c>
      <c r="N2125" s="45" t="str">
        <f t="shared" si="27"/>
        <v/>
      </c>
      <c r="O2125" s="45" t="str">
        <f t="shared" si="28"/>
        <v/>
      </c>
      <c r="P2125" s="45" t="str">
        <f t="shared" si="29"/>
        <v/>
      </c>
    </row>
    <row r="2126" spans="1:16" ht="17.25">
      <c r="A2126" s="276" t="s">
        <v>7544</v>
      </c>
      <c r="B2126" s="277">
        <v>2008</v>
      </c>
      <c r="C2126" s="276"/>
      <c r="D2126" s="277">
        <v>18334054</v>
      </c>
      <c r="E2126" s="278" t="str">
        <f t="shared" si="23"/>
        <v>https://pubmed.ncbi.nlm.nih.gov/18334054</v>
      </c>
      <c r="F2126" s="28" t="s">
        <v>511</v>
      </c>
      <c r="G2126" s="28" t="s">
        <v>4867</v>
      </c>
      <c r="I2126" s="28" t="s">
        <v>6460</v>
      </c>
      <c r="J2126" s="346" t="str">
        <f t="shared" si="19"/>
        <v/>
      </c>
      <c r="K2126" s="28" t="str">
        <f t="shared" si="24"/>
        <v/>
      </c>
      <c r="L2126" s="45" t="str">
        <f t="shared" si="25"/>
        <v/>
      </c>
      <c r="M2126" s="45" t="str">
        <f t="shared" si="26"/>
        <v/>
      </c>
      <c r="N2126" s="45">
        <f t="shared" si="27"/>
        <v>1</v>
      </c>
      <c r="O2126" s="45" t="str">
        <f t="shared" si="28"/>
        <v/>
      </c>
      <c r="P2126" s="45" t="str">
        <f t="shared" si="29"/>
        <v/>
      </c>
    </row>
    <row r="2127" spans="1:16" ht="17.25">
      <c r="A2127" s="276" t="s">
        <v>7545</v>
      </c>
      <c r="B2127" s="277">
        <v>2012</v>
      </c>
      <c r="C2127" s="276"/>
      <c r="D2127" s="277">
        <v>22972130</v>
      </c>
      <c r="E2127" s="278" t="str">
        <f t="shared" si="23"/>
        <v>https://pubmed.ncbi.nlm.nih.gov/22972130</v>
      </c>
      <c r="F2127" s="28" t="s">
        <v>511</v>
      </c>
      <c r="G2127" s="28" t="s">
        <v>4592</v>
      </c>
      <c r="J2127" s="346">
        <f t="shared" si="19"/>
        <v>1</v>
      </c>
      <c r="K2127" s="28" t="str">
        <f t="shared" si="24"/>
        <v/>
      </c>
      <c r="L2127" s="45" t="str">
        <f t="shared" si="25"/>
        <v/>
      </c>
      <c r="M2127" s="45" t="str">
        <f t="shared" si="26"/>
        <v/>
      </c>
      <c r="N2127" s="45" t="str">
        <f t="shared" si="27"/>
        <v/>
      </c>
      <c r="O2127" s="45" t="str">
        <f t="shared" si="28"/>
        <v/>
      </c>
      <c r="P2127" s="45" t="str">
        <f t="shared" si="29"/>
        <v/>
      </c>
    </row>
    <row r="2128" spans="1:16" ht="17.25">
      <c r="A2128" s="276" t="s">
        <v>7546</v>
      </c>
      <c r="B2128" s="277">
        <v>2014</v>
      </c>
      <c r="C2128" s="276" t="s">
        <v>7547</v>
      </c>
      <c r="D2128" s="277">
        <v>24410774</v>
      </c>
      <c r="E2128" s="278" t="str">
        <f t="shared" si="23"/>
        <v>https://pubmed.ncbi.nlm.nih.gov/24410774</v>
      </c>
      <c r="F2128" s="28" t="s">
        <v>511</v>
      </c>
      <c r="G2128" s="28" t="s">
        <v>7357</v>
      </c>
      <c r="J2128" s="346" t="str">
        <f t="shared" si="19"/>
        <v/>
      </c>
      <c r="K2128" s="28" t="str">
        <f t="shared" si="24"/>
        <v/>
      </c>
      <c r="L2128" s="45" t="str">
        <f t="shared" si="25"/>
        <v/>
      </c>
      <c r="M2128" s="45" t="str">
        <f t="shared" si="26"/>
        <v/>
      </c>
      <c r="N2128" s="45">
        <f t="shared" si="27"/>
        <v>1</v>
      </c>
      <c r="O2128" s="45" t="str">
        <f t="shared" si="28"/>
        <v/>
      </c>
      <c r="P2128" s="45" t="str">
        <f t="shared" si="29"/>
        <v/>
      </c>
    </row>
    <row r="2129" spans="1:16" ht="17.25">
      <c r="A2129" s="276" t="s">
        <v>7548</v>
      </c>
      <c r="B2129" s="277">
        <v>2020</v>
      </c>
      <c r="C2129" s="276"/>
      <c r="D2129" s="277">
        <v>32702315</v>
      </c>
      <c r="E2129" s="278" t="str">
        <f t="shared" si="23"/>
        <v>https://pubmed.ncbi.nlm.nih.gov/32702315</v>
      </c>
      <c r="F2129" s="28" t="s">
        <v>511</v>
      </c>
      <c r="G2129" s="28" t="s">
        <v>4744</v>
      </c>
      <c r="I2129" s="28" t="s">
        <v>6460</v>
      </c>
      <c r="J2129" s="346" t="str">
        <f t="shared" si="19"/>
        <v/>
      </c>
      <c r="K2129" s="28" t="str">
        <f t="shared" si="24"/>
        <v/>
      </c>
      <c r="L2129" s="45" t="str">
        <f t="shared" si="25"/>
        <v/>
      </c>
      <c r="M2129" s="45" t="str">
        <f t="shared" si="26"/>
        <v/>
      </c>
      <c r="N2129" s="45">
        <f t="shared" si="27"/>
        <v>1</v>
      </c>
      <c r="O2129" s="45" t="str">
        <f t="shared" si="28"/>
        <v/>
      </c>
      <c r="P2129" s="45" t="str">
        <f t="shared" si="29"/>
        <v/>
      </c>
    </row>
    <row r="2130" spans="1:16" ht="17.25">
      <c r="A2130" s="276" t="s">
        <v>7549</v>
      </c>
      <c r="B2130" s="277">
        <v>2004</v>
      </c>
      <c r="C2130" s="276"/>
      <c r="D2130" s="277">
        <v>15622577</v>
      </c>
      <c r="E2130" s="278" t="str">
        <f t="shared" si="23"/>
        <v>https://pubmed.ncbi.nlm.nih.gov/15622577</v>
      </c>
      <c r="F2130" s="28" t="s">
        <v>511</v>
      </c>
      <c r="G2130" s="28" t="s">
        <v>4744</v>
      </c>
      <c r="J2130" s="346" t="str">
        <f t="shared" si="19"/>
        <v/>
      </c>
      <c r="K2130" s="28" t="str">
        <f t="shared" si="24"/>
        <v/>
      </c>
      <c r="L2130" s="45" t="str">
        <f t="shared" si="25"/>
        <v/>
      </c>
      <c r="M2130" s="45" t="str">
        <f t="shared" si="26"/>
        <v/>
      </c>
      <c r="N2130" s="45">
        <f t="shared" si="27"/>
        <v>1</v>
      </c>
      <c r="O2130" s="45" t="str">
        <f t="shared" si="28"/>
        <v/>
      </c>
      <c r="P2130" s="45" t="str">
        <f t="shared" si="29"/>
        <v/>
      </c>
    </row>
    <row r="2131" spans="1:16" ht="17.25">
      <c r="A2131" s="276" t="s">
        <v>7550</v>
      </c>
      <c r="B2131" s="277">
        <v>1999</v>
      </c>
      <c r="C2131" s="276"/>
      <c r="D2131" s="277">
        <v>10385768</v>
      </c>
      <c r="E2131" s="278" t="str">
        <f t="shared" si="23"/>
        <v>https://pubmed.ncbi.nlm.nih.gov/10385768</v>
      </c>
      <c r="F2131" s="28" t="s">
        <v>511</v>
      </c>
      <c r="G2131" s="28" t="s">
        <v>4867</v>
      </c>
      <c r="J2131" s="346" t="str">
        <f t="shared" si="19"/>
        <v/>
      </c>
      <c r="K2131" s="28" t="str">
        <f t="shared" si="24"/>
        <v/>
      </c>
      <c r="L2131" s="45" t="str">
        <f t="shared" si="25"/>
        <v/>
      </c>
      <c r="M2131" s="45" t="str">
        <f t="shared" si="26"/>
        <v/>
      </c>
      <c r="N2131" s="45">
        <f t="shared" si="27"/>
        <v>1</v>
      </c>
      <c r="O2131" s="45" t="str">
        <f t="shared" si="28"/>
        <v/>
      </c>
      <c r="P2131" s="45" t="str">
        <f t="shared" si="29"/>
        <v/>
      </c>
    </row>
    <row r="2132" spans="1:16" ht="17.25">
      <c r="A2132" s="276" t="s">
        <v>7551</v>
      </c>
      <c r="B2132" s="277">
        <v>2016</v>
      </c>
      <c r="C2132" s="276" t="s">
        <v>7552</v>
      </c>
      <c r="D2132" s="277">
        <v>26544615</v>
      </c>
      <c r="E2132" s="278" t="str">
        <f t="shared" si="23"/>
        <v>https://pubmed.ncbi.nlm.nih.gov/26544615</v>
      </c>
      <c r="F2132" s="28" t="s">
        <v>511</v>
      </c>
      <c r="G2132" s="28" t="s">
        <v>4867</v>
      </c>
      <c r="J2132" s="346" t="str">
        <f t="shared" si="19"/>
        <v/>
      </c>
      <c r="K2132" s="28" t="str">
        <f t="shared" si="24"/>
        <v/>
      </c>
      <c r="L2132" s="45" t="str">
        <f t="shared" si="25"/>
        <v/>
      </c>
      <c r="M2132" s="45" t="str">
        <f t="shared" si="26"/>
        <v/>
      </c>
      <c r="N2132" s="45">
        <f t="shared" si="27"/>
        <v>1</v>
      </c>
      <c r="O2132" s="45" t="str">
        <f t="shared" si="28"/>
        <v/>
      </c>
      <c r="P2132" s="45" t="str">
        <f t="shared" si="29"/>
        <v/>
      </c>
    </row>
    <row r="2133" spans="1:16" ht="17.25">
      <c r="A2133" s="276" t="s">
        <v>7553</v>
      </c>
      <c r="B2133" s="277">
        <v>2018</v>
      </c>
      <c r="C2133" s="276" t="s">
        <v>7554</v>
      </c>
      <c r="D2133" s="277">
        <v>30521694</v>
      </c>
      <c r="E2133" s="278" t="str">
        <f t="shared" si="23"/>
        <v>https://pubmed.ncbi.nlm.nih.gov/30521694</v>
      </c>
      <c r="F2133" s="28" t="s">
        <v>511</v>
      </c>
      <c r="G2133" s="28" t="s">
        <v>6220</v>
      </c>
      <c r="J2133" s="346">
        <f t="shared" si="19"/>
        <v>1</v>
      </c>
      <c r="K2133" s="28" t="str">
        <f t="shared" si="24"/>
        <v/>
      </c>
      <c r="L2133" s="45" t="str">
        <f t="shared" si="25"/>
        <v/>
      </c>
      <c r="M2133" s="45" t="str">
        <f t="shared" si="26"/>
        <v/>
      </c>
      <c r="N2133" s="45" t="str">
        <f t="shared" si="27"/>
        <v/>
      </c>
      <c r="O2133" s="45" t="str">
        <f t="shared" si="28"/>
        <v/>
      </c>
      <c r="P2133" s="45" t="str">
        <f t="shared" si="29"/>
        <v/>
      </c>
    </row>
    <row r="2134" spans="1:16" ht="17.25">
      <c r="A2134" s="276" t="s">
        <v>7555</v>
      </c>
      <c r="B2134" s="277">
        <v>2015</v>
      </c>
      <c r="C2134" s="276"/>
      <c r="D2134" s="277">
        <v>25917376</v>
      </c>
      <c r="E2134" s="278" t="str">
        <f t="shared" si="23"/>
        <v>https://pubmed.ncbi.nlm.nih.gov/25917376</v>
      </c>
      <c r="F2134" s="28" t="s">
        <v>511</v>
      </c>
      <c r="G2134" s="28" t="s">
        <v>5299</v>
      </c>
      <c r="J2134" s="346" t="str">
        <f t="shared" si="19"/>
        <v/>
      </c>
      <c r="K2134" s="28" t="str">
        <f t="shared" si="24"/>
        <v/>
      </c>
      <c r="L2134" s="45" t="str">
        <f t="shared" si="25"/>
        <v/>
      </c>
      <c r="M2134" s="45" t="str">
        <f t="shared" si="26"/>
        <v/>
      </c>
      <c r="N2134" s="45">
        <f t="shared" si="27"/>
        <v>1</v>
      </c>
      <c r="O2134" s="45" t="str">
        <f t="shared" si="28"/>
        <v/>
      </c>
      <c r="P2134" s="45" t="str">
        <f t="shared" si="29"/>
        <v/>
      </c>
    </row>
    <row r="2135" spans="1:16" ht="17.25">
      <c r="A2135" s="276" t="s">
        <v>7556</v>
      </c>
      <c r="B2135" s="277">
        <v>2020</v>
      </c>
      <c r="C2135" s="276" t="s">
        <v>7557</v>
      </c>
      <c r="D2135" s="277">
        <v>32350571</v>
      </c>
      <c r="E2135" s="278" t="str">
        <f t="shared" si="23"/>
        <v>https://pubmed.ncbi.nlm.nih.gov/32350571</v>
      </c>
      <c r="F2135" s="28" t="s">
        <v>511</v>
      </c>
      <c r="G2135" s="28" t="s">
        <v>5188</v>
      </c>
      <c r="J2135" s="346">
        <f t="shared" si="19"/>
        <v>1</v>
      </c>
      <c r="K2135" s="28" t="str">
        <f t="shared" si="24"/>
        <v/>
      </c>
      <c r="L2135" s="45" t="str">
        <f t="shared" si="25"/>
        <v/>
      </c>
      <c r="M2135" s="45" t="str">
        <f t="shared" si="26"/>
        <v/>
      </c>
      <c r="N2135" s="45" t="str">
        <f t="shared" si="27"/>
        <v/>
      </c>
      <c r="O2135" s="45" t="str">
        <f t="shared" si="28"/>
        <v/>
      </c>
      <c r="P2135" s="45" t="str">
        <f t="shared" si="29"/>
        <v/>
      </c>
    </row>
    <row r="2136" spans="1:16" ht="17.25">
      <c r="A2136" s="276" t="s">
        <v>7558</v>
      </c>
      <c r="B2136" s="277">
        <v>2003</v>
      </c>
      <c r="C2136" s="276"/>
      <c r="D2136" s="277">
        <v>14529922</v>
      </c>
      <c r="E2136" s="278" t="str">
        <f t="shared" si="23"/>
        <v>https://pubmed.ncbi.nlm.nih.gov/14529922</v>
      </c>
      <c r="F2136" s="28" t="s">
        <v>511</v>
      </c>
      <c r="G2136" s="28" t="s">
        <v>7559</v>
      </c>
      <c r="J2136" s="346">
        <f t="shared" si="19"/>
        <v>1</v>
      </c>
      <c r="K2136" s="28" t="str">
        <f t="shared" si="24"/>
        <v/>
      </c>
      <c r="L2136" s="45" t="str">
        <f t="shared" si="25"/>
        <v/>
      </c>
      <c r="M2136" s="45" t="str">
        <f t="shared" si="26"/>
        <v/>
      </c>
      <c r="N2136" s="45" t="str">
        <f t="shared" si="27"/>
        <v/>
      </c>
      <c r="O2136" s="45" t="str">
        <f t="shared" si="28"/>
        <v/>
      </c>
      <c r="P2136" s="45" t="str">
        <f t="shared" si="29"/>
        <v/>
      </c>
    </row>
    <row r="2137" spans="1:16" ht="17.25">
      <c r="A2137" s="276" t="s">
        <v>7560</v>
      </c>
      <c r="B2137" s="277">
        <v>2014</v>
      </c>
      <c r="C2137" s="276" t="s">
        <v>7561</v>
      </c>
      <c r="D2137" s="277">
        <v>25515698</v>
      </c>
      <c r="E2137" s="278" t="str">
        <f t="shared" si="23"/>
        <v>https://pubmed.ncbi.nlm.nih.gov/25515698</v>
      </c>
      <c r="F2137" s="28" t="s">
        <v>511</v>
      </c>
      <c r="G2137" s="28" t="s">
        <v>4744</v>
      </c>
      <c r="J2137" s="346" t="str">
        <f t="shared" si="19"/>
        <v/>
      </c>
      <c r="K2137" s="28" t="str">
        <f t="shared" si="24"/>
        <v/>
      </c>
      <c r="L2137" s="45" t="str">
        <f t="shared" si="25"/>
        <v/>
      </c>
      <c r="M2137" s="45" t="str">
        <f t="shared" si="26"/>
        <v/>
      </c>
      <c r="N2137" s="45">
        <f t="shared" si="27"/>
        <v>1</v>
      </c>
      <c r="O2137" s="45" t="str">
        <f t="shared" si="28"/>
        <v/>
      </c>
      <c r="P2137" s="45" t="str">
        <f t="shared" si="29"/>
        <v/>
      </c>
    </row>
    <row r="2138" spans="1:16" ht="17.25">
      <c r="A2138" s="276" t="s">
        <v>7562</v>
      </c>
      <c r="B2138" s="277">
        <v>2014</v>
      </c>
      <c r="C2138" s="276"/>
      <c r="D2138" s="277">
        <v>24576824</v>
      </c>
      <c r="E2138" s="278" t="str">
        <f t="shared" si="23"/>
        <v>https://pubmed.ncbi.nlm.nih.gov/24576824</v>
      </c>
      <c r="F2138" s="28" t="s">
        <v>511</v>
      </c>
      <c r="G2138" s="28" t="s">
        <v>4592</v>
      </c>
      <c r="J2138" s="346">
        <f t="shared" si="19"/>
        <v>1</v>
      </c>
      <c r="K2138" s="28" t="str">
        <f t="shared" si="24"/>
        <v/>
      </c>
      <c r="L2138" s="45" t="str">
        <f t="shared" si="25"/>
        <v/>
      </c>
      <c r="M2138" s="45" t="str">
        <f t="shared" si="26"/>
        <v/>
      </c>
      <c r="N2138" s="45" t="str">
        <f t="shared" si="27"/>
        <v/>
      </c>
      <c r="O2138" s="45" t="str">
        <f t="shared" si="28"/>
        <v/>
      </c>
      <c r="P2138" s="45" t="str">
        <f t="shared" si="29"/>
        <v/>
      </c>
    </row>
    <row r="2139" spans="1:16" ht="17.25">
      <c r="A2139" s="276" t="s">
        <v>7563</v>
      </c>
      <c r="B2139" s="277">
        <v>2014</v>
      </c>
      <c r="C2139" s="276"/>
      <c r="D2139" s="277">
        <v>25037054</v>
      </c>
      <c r="E2139" s="278" t="str">
        <f t="shared" si="23"/>
        <v>https://pubmed.ncbi.nlm.nih.gov/25037054</v>
      </c>
      <c r="F2139" s="28" t="s">
        <v>511</v>
      </c>
      <c r="G2139" s="28" t="s">
        <v>5299</v>
      </c>
      <c r="J2139" s="346" t="str">
        <f t="shared" si="19"/>
        <v/>
      </c>
      <c r="K2139" s="28" t="str">
        <f t="shared" si="24"/>
        <v/>
      </c>
      <c r="L2139" s="45" t="str">
        <f t="shared" si="25"/>
        <v/>
      </c>
      <c r="M2139" s="45" t="str">
        <f t="shared" si="26"/>
        <v/>
      </c>
      <c r="N2139" s="45">
        <f t="shared" si="27"/>
        <v>1</v>
      </c>
      <c r="O2139" s="45" t="str">
        <f t="shared" si="28"/>
        <v/>
      </c>
      <c r="P2139" s="45" t="str">
        <f t="shared" si="29"/>
        <v/>
      </c>
    </row>
    <row r="2140" spans="1:16" ht="17.25">
      <c r="A2140" s="276" t="s">
        <v>7564</v>
      </c>
      <c r="B2140" s="277">
        <v>2020</v>
      </c>
      <c r="C2140" s="276" t="s">
        <v>7565</v>
      </c>
      <c r="D2140" s="277">
        <v>32569275</v>
      </c>
      <c r="E2140" s="278" t="str">
        <f t="shared" si="23"/>
        <v>https://pubmed.ncbi.nlm.nih.gov/32569275</v>
      </c>
      <c r="F2140" s="28" t="s">
        <v>511</v>
      </c>
      <c r="G2140" s="28" t="s">
        <v>6220</v>
      </c>
      <c r="J2140" s="346">
        <f t="shared" si="19"/>
        <v>1</v>
      </c>
      <c r="K2140" s="28" t="str">
        <f t="shared" si="24"/>
        <v/>
      </c>
      <c r="L2140" s="45" t="str">
        <f t="shared" si="25"/>
        <v/>
      </c>
      <c r="M2140" s="45" t="str">
        <f t="shared" si="26"/>
        <v/>
      </c>
      <c r="N2140" s="45" t="str">
        <f t="shared" si="27"/>
        <v/>
      </c>
      <c r="O2140" s="45" t="str">
        <f t="shared" si="28"/>
        <v/>
      </c>
      <c r="P2140" s="45" t="str">
        <f t="shared" si="29"/>
        <v/>
      </c>
    </row>
    <row r="2141" spans="1:16" ht="17.25">
      <c r="A2141" s="276" t="s">
        <v>7566</v>
      </c>
      <c r="B2141" s="277">
        <v>2016</v>
      </c>
      <c r="C2141" s="276" t="s">
        <v>7567</v>
      </c>
      <c r="D2141" s="277">
        <v>26511959</v>
      </c>
      <c r="E2141" s="278" t="str">
        <f t="shared" si="23"/>
        <v>https://pubmed.ncbi.nlm.nih.gov/26511959</v>
      </c>
      <c r="F2141" s="28" t="s">
        <v>511</v>
      </c>
      <c r="G2141" s="28" t="s">
        <v>4867</v>
      </c>
      <c r="J2141" s="346" t="str">
        <f t="shared" si="19"/>
        <v/>
      </c>
      <c r="K2141" s="28" t="str">
        <f t="shared" si="24"/>
        <v/>
      </c>
      <c r="L2141" s="45" t="str">
        <f t="shared" si="25"/>
        <v/>
      </c>
      <c r="M2141" s="45" t="str">
        <f t="shared" si="26"/>
        <v/>
      </c>
      <c r="N2141" s="45">
        <f t="shared" si="27"/>
        <v>1</v>
      </c>
      <c r="O2141" s="45" t="str">
        <f t="shared" si="28"/>
        <v/>
      </c>
      <c r="P2141" s="45" t="str">
        <f t="shared" si="29"/>
        <v/>
      </c>
    </row>
    <row r="2142" spans="1:16" ht="17.25">
      <c r="A2142" s="276" t="s">
        <v>7568</v>
      </c>
      <c r="B2142" s="277">
        <v>2016</v>
      </c>
      <c r="C2142" s="276"/>
      <c r="D2142" s="277">
        <v>26565008</v>
      </c>
      <c r="E2142" s="278" t="str">
        <f t="shared" si="23"/>
        <v>https://pubmed.ncbi.nlm.nih.gov/26565008</v>
      </c>
      <c r="F2142" s="28" t="s">
        <v>511</v>
      </c>
      <c r="G2142" s="28" t="s">
        <v>4744</v>
      </c>
      <c r="J2142" s="346" t="str">
        <f t="shared" si="19"/>
        <v/>
      </c>
      <c r="K2142" s="28" t="str">
        <f t="shared" si="24"/>
        <v/>
      </c>
      <c r="L2142" s="45" t="str">
        <f t="shared" si="25"/>
        <v/>
      </c>
      <c r="M2142" s="45" t="str">
        <f t="shared" si="26"/>
        <v/>
      </c>
      <c r="N2142" s="45">
        <f t="shared" si="27"/>
        <v>1</v>
      </c>
      <c r="O2142" s="45" t="str">
        <f t="shared" si="28"/>
        <v/>
      </c>
      <c r="P2142" s="45" t="str">
        <f t="shared" si="29"/>
        <v/>
      </c>
    </row>
    <row r="2143" spans="1:16" ht="17.25">
      <c r="A2143" s="276" t="s">
        <v>7569</v>
      </c>
      <c r="B2143" s="277">
        <v>2020</v>
      </c>
      <c r="C2143" s="276" t="s">
        <v>7570</v>
      </c>
      <c r="D2143" s="277">
        <v>32755231</v>
      </c>
      <c r="E2143" s="278" t="str">
        <f t="shared" si="23"/>
        <v>https://pubmed.ncbi.nlm.nih.gov/32755231</v>
      </c>
      <c r="F2143" s="28" t="s">
        <v>511</v>
      </c>
      <c r="G2143" s="28" t="s">
        <v>4592</v>
      </c>
      <c r="J2143" s="346">
        <f t="shared" si="19"/>
        <v>1</v>
      </c>
      <c r="K2143" s="28" t="str">
        <f t="shared" si="24"/>
        <v/>
      </c>
      <c r="L2143" s="45" t="str">
        <f t="shared" si="25"/>
        <v/>
      </c>
      <c r="M2143" s="45" t="str">
        <f t="shared" si="26"/>
        <v/>
      </c>
      <c r="N2143" s="45" t="str">
        <f t="shared" si="27"/>
        <v/>
      </c>
      <c r="O2143" s="45" t="str">
        <f t="shared" si="28"/>
        <v/>
      </c>
      <c r="P2143" s="45" t="str">
        <f t="shared" si="29"/>
        <v/>
      </c>
    </row>
    <row r="2144" spans="1:16" ht="17.25">
      <c r="A2144" s="276" t="s">
        <v>7571</v>
      </c>
      <c r="B2144" s="277">
        <v>2013</v>
      </c>
      <c r="C2144" s="276" t="s">
        <v>5880</v>
      </c>
      <c r="D2144" s="277">
        <v>24244339</v>
      </c>
      <c r="E2144" s="278" t="str">
        <f t="shared" si="23"/>
        <v>https://pubmed.ncbi.nlm.nih.gov/24244339</v>
      </c>
      <c r="F2144" s="28" t="s">
        <v>511</v>
      </c>
      <c r="G2144" s="28" t="s">
        <v>4867</v>
      </c>
      <c r="J2144" s="346" t="str">
        <f t="shared" si="19"/>
        <v/>
      </c>
      <c r="K2144" s="28" t="str">
        <f t="shared" si="24"/>
        <v/>
      </c>
      <c r="L2144" s="45" t="str">
        <f t="shared" si="25"/>
        <v/>
      </c>
      <c r="M2144" s="45" t="str">
        <f t="shared" si="26"/>
        <v/>
      </c>
      <c r="N2144" s="45">
        <f t="shared" si="27"/>
        <v>1</v>
      </c>
      <c r="O2144" s="45" t="str">
        <f t="shared" si="28"/>
        <v/>
      </c>
      <c r="P2144" s="45" t="str">
        <f t="shared" si="29"/>
        <v/>
      </c>
    </row>
    <row r="2145" spans="1:16" ht="17.25">
      <c r="A2145" s="276" t="s">
        <v>7572</v>
      </c>
      <c r="B2145" s="277">
        <v>2015</v>
      </c>
      <c r="C2145" s="276"/>
      <c r="D2145" s="277">
        <v>25430686</v>
      </c>
      <c r="E2145" s="278" t="str">
        <f t="shared" si="23"/>
        <v>https://pubmed.ncbi.nlm.nih.gov/25430686</v>
      </c>
      <c r="F2145" s="28" t="s">
        <v>511</v>
      </c>
      <c r="G2145" s="28" t="s">
        <v>5273</v>
      </c>
      <c r="J2145" s="346">
        <f t="shared" si="19"/>
        <v>1</v>
      </c>
      <c r="K2145" s="28" t="str">
        <f t="shared" si="24"/>
        <v/>
      </c>
      <c r="L2145" s="45" t="str">
        <f t="shared" si="25"/>
        <v/>
      </c>
      <c r="M2145" s="45" t="str">
        <f t="shared" si="26"/>
        <v/>
      </c>
      <c r="N2145" s="45" t="str">
        <f t="shared" si="27"/>
        <v/>
      </c>
      <c r="O2145" s="45" t="str">
        <f t="shared" si="28"/>
        <v/>
      </c>
      <c r="P2145" s="45" t="str">
        <f t="shared" si="29"/>
        <v/>
      </c>
    </row>
    <row r="2146" spans="1:16" ht="17.25">
      <c r="A2146" s="276" t="s">
        <v>7573</v>
      </c>
      <c r="B2146" s="277">
        <v>2011</v>
      </c>
      <c r="C2146" s="276" t="s">
        <v>7574</v>
      </c>
      <c r="D2146" s="277">
        <v>21792180</v>
      </c>
      <c r="E2146" s="278" t="str">
        <f t="shared" si="23"/>
        <v>https://pubmed.ncbi.nlm.nih.gov/21792180</v>
      </c>
      <c r="F2146" s="28" t="s">
        <v>511</v>
      </c>
      <c r="G2146" s="28" t="s">
        <v>4592</v>
      </c>
      <c r="J2146" s="346">
        <f t="shared" si="19"/>
        <v>1</v>
      </c>
      <c r="K2146" s="28" t="str">
        <f t="shared" si="24"/>
        <v/>
      </c>
      <c r="L2146" s="45" t="str">
        <f t="shared" si="25"/>
        <v/>
      </c>
      <c r="M2146" s="45" t="str">
        <f t="shared" si="26"/>
        <v/>
      </c>
      <c r="N2146" s="45" t="str">
        <f t="shared" si="27"/>
        <v/>
      </c>
      <c r="O2146" s="45" t="str">
        <f t="shared" si="28"/>
        <v/>
      </c>
      <c r="P2146" s="45" t="str">
        <f t="shared" si="29"/>
        <v/>
      </c>
    </row>
    <row r="2147" spans="1:16" ht="17.25">
      <c r="A2147" s="276" t="s">
        <v>7575</v>
      </c>
      <c r="B2147" s="277">
        <v>2009</v>
      </c>
      <c r="C2147" s="276"/>
      <c r="D2147" s="277">
        <v>19249449</v>
      </c>
      <c r="E2147" s="278" t="str">
        <f t="shared" si="23"/>
        <v>https://pubmed.ncbi.nlm.nih.gov/19249449</v>
      </c>
      <c r="F2147" s="28" t="s">
        <v>511</v>
      </c>
      <c r="G2147" s="28" t="s">
        <v>4592</v>
      </c>
      <c r="J2147" s="346">
        <f t="shared" si="19"/>
        <v>1</v>
      </c>
      <c r="K2147" s="28" t="str">
        <f t="shared" si="24"/>
        <v/>
      </c>
      <c r="L2147" s="45" t="str">
        <f t="shared" si="25"/>
        <v/>
      </c>
      <c r="M2147" s="45" t="str">
        <f t="shared" si="26"/>
        <v/>
      </c>
      <c r="N2147" s="45" t="str">
        <f t="shared" si="27"/>
        <v/>
      </c>
      <c r="O2147" s="45" t="str">
        <f t="shared" si="28"/>
        <v/>
      </c>
      <c r="P2147" s="45" t="str">
        <f t="shared" si="29"/>
        <v/>
      </c>
    </row>
    <row r="2148" spans="1:16" ht="17.25">
      <c r="A2148" s="276" t="s">
        <v>7576</v>
      </c>
      <c r="B2148" s="277">
        <v>2018</v>
      </c>
      <c r="C2148" s="276"/>
      <c r="D2148" s="277">
        <v>30449234</v>
      </c>
      <c r="E2148" s="278" t="str">
        <f t="shared" si="23"/>
        <v>https://pubmed.ncbi.nlm.nih.gov/30449234</v>
      </c>
      <c r="F2148" s="28" t="s">
        <v>511</v>
      </c>
      <c r="G2148" s="28" t="s">
        <v>4744</v>
      </c>
      <c r="I2148" s="28" t="s">
        <v>6460</v>
      </c>
      <c r="J2148" s="346" t="str">
        <f t="shared" si="19"/>
        <v/>
      </c>
      <c r="K2148" s="28" t="str">
        <f t="shared" si="24"/>
        <v/>
      </c>
      <c r="L2148" s="45" t="str">
        <f t="shared" si="25"/>
        <v/>
      </c>
      <c r="M2148" s="45" t="str">
        <f t="shared" si="26"/>
        <v/>
      </c>
      <c r="N2148" s="45">
        <f t="shared" si="27"/>
        <v>1</v>
      </c>
      <c r="O2148" s="45" t="str">
        <f t="shared" si="28"/>
        <v/>
      </c>
      <c r="P2148" s="45" t="str">
        <f t="shared" si="29"/>
        <v/>
      </c>
    </row>
    <row r="2149" spans="1:16" ht="17.25">
      <c r="A2149" s="276" t="s">
        <v>7577</v>
      </c>
      <c r="B2149" s="277">
        <v>2010</v>
      </c>
      <c r="C2149" s="276"/>
      <c r="D2149" s="277">
        <v>19825906</v>
      </c>
      <c r="E2149" s="278" t="str">
        <f t="shared" si="23"/>
        <v>https://pubmed.ncbi.nlm.nih.gov/19825906</v>
      </c>
      <c r="F2149" s="28" t="s">
        <v>511</v>
      </c>
      <c r="G2149" s="28" t="s">
        <v>5299</v>
      </c>
      <c r="J2149" s="346" t="str">
        <f t="shared" si="19"/>
        <v/>
      </c>
      <c r="K2149" s="28" t="str">
        <f t="shared" si="24"/>
        <v/>
      </c>
      <c r="L2149" s="45" t="str">
        <f t="shared" si="25"/>
        <v/>
      </c>
      <c r="M2149" s="45" t="str">
        <f t="shared" si="26"/>
        <v/>
      </c>
      <c r="N2149" s="45">
        <f t="shared" si="27"/>
        <v>1</v>
      </c>
      <c r="O2149" s="45" t="str">
        <f t="shared" si="28"/>
        <v/>
      </c>
      <c r="P2149" s="45" t="str">
        <f t="shared" si="29"/>
        <v/>
      </c>
    </row>
    <row r="2150" spans="1:16" ht="17.25">
      <c r="A2150" s="276" t="s">
        <v>7578</v>
      </c>
      <c r="B2150" s="277">
        <v>2012</v>
      </c>
      <c r="C2150" s="276" t="s">
        <v>7579</v>
      </c>
      <c r="D2150" s="277">
        <v>22508161</v>
      </c>
      <c r="E2150" s="278" t="str">
        <f t="shared" si="23"/>
        <v>https://pubmed.ncbi.nlm.nih.gov/22508161</v>
      </c>
      <c r="F2150" s="28" t="s">
        <v>511</v>
      </c>
      <c r="G2150" s="28" t="s">
        <v>4592</v>
      </c>
      <c r="J2150" s="346">
        <f t="shared" si="19"/>
        <v>1</v>
      </c>
      <c r="K2150" s="28" t="str">
        <f t="shared" si="24"/>
        <v/>
      </c>
      <c r="L2150" s="45" t="str">
        <f t="shared" si="25"/>
        <v/>
      </c>
      <c r="M2150" s="45" t="str">
        <f t="shared" si="26"/>
        <v/>
      </c>
      <c r="N2150" s="45" t="str">
        <f t="shared" si="27"/>
        <v/>
      </c>
      <c r="O2150" s="45" t="str">
        <f t="shared" si="28"/>
        <v/>
      </c>
      <c r="P2150" s="45" t="str">
        <f t="shared" si="29"/>
        <v/>
      </c>
    </row>
    <row r="2151" spans="1:16" ht="17.25">
      <c r="A2151" s="276" t="s">
        <v>7580</v>
      </c>
      <c r="B2151" s="277">
        <v>2000</v>
      </c>
      <c r="C2151" s="276"/>
      <c r="D2151" s="277">
        <v>10958210</v>
      </c>
      <c r="E2151" s="278" t="str">
        <f t="shared" si="23"/>
        <v>https://pubmed.ncbi.nlm.nih.gov/10958210</v>
      </c>
      <c r="F2151" s="28" t="s">
        <v>511</v>
      </c>
      <c r="G2151" s="28" t="s">
        <v>4592</v>
      </c>
      <c r="J2151" s="346">
        <f t="shared" si="19"/>
        <v>1</v>
      </c>
      <c r="K2151" s="28" t="str">
        <f t="shared" si="24"/>
        <v/>
      </c>
      <c r="L2151" s="45" t="str">
        <f t="shared" si="25"/>
        <v/>
      </c>
      <c r="M2151" s="45" t="str">
        <f t="shared" si="26"/>
        <v/>
      </c>
      <c r="N2151" s="45" t="str">
        <f t="shared" si="27"/>
        <v/>
      </c>
      <c r="O2151" s="45" t="str">
        <f t="shared" si="28"/>
        <v/>
      </c>
      <c r="P2151" s="45" t="str">
        <f t="shared" si="29"/>
        <v/>
      </c>
    </row>
    <row r="2152" spans="1:16" ht="17.25">
      <c r="A2152" s="276" t="s">
        <v>7581</v>
      </c>
      <c r="B2152" s="277">
        <v>2011</v>
      </c>
      <c r="C2152" s="276"/>
      <c r="D2152" s="277">
        <v>20424934</v>
      </c>
      <c r="E2152" s="278" t="str">
        <f t="shared" si="23"/>
        <v>https://pubmed.ncbi.nlm.nih.gov/20424934</v>
      </c>
      <c r="F2152" s="28" t="s">
        <v>511</v>
      </c>
      <c r="G2152" s="28" t="s">
        <v>4744</v>
      </c>
      <c r="J2152" s="346" t="str">
        <f t="shared" si="19"/>
        <v/>
      </c>
      <c r="K2152" s="28" t="str">
        <f t="shared" si="24"/>
        <v/>
      </c>
      <c r="L2152" s="45" t="str">
        <f t="shared" si="25"/>
        <v/>
      </c>
      <c r="M2152" s="45" t="str">
        <f t="shared" si="26"/>
        <v/>
      </c>
      <c r="N2152" s="45">
        <f t="shared" si="27"/>
        <v>1</v>
      </c>
      <c r="O2152" s="45" t="str">
        <f t="shared" si="28"/>
        <v/>
      </c>
      <c r="P2152" s="45" t="str">
        <f t="shared" si="29"/>
        <v/>
      </c>
    </row>
    <row r="2153" spans="1:16" ht="17.25">
      <c r="A2153" s="276" t="s">
        <v>7582</v>
      </c>
      <c r="B2153" s="277">
        <v>2011</v>
      </c>
      <c r="C2153" s="276" t="s">
        <v>7583</v>
      </c>
      <c r="D2153" s="277">
        <v>21873194</v>
      </c>
      <c r="E2153" s="278" t="str">
        <f t="shared" si="23"/>
        <v>https://pubmed.ncbi.nlm.nih.gov/21873194</v>
      </c>
      <c r="F2153" s="28" t="s">
        <v>511</v>
      </c>
      <c r="G2153" s="28" t="s">
        <v>4346</v>
      </c>
      <c r="J2153" s="346" t="str">
        <f t="shared" si="19"/>
        <v/>
      </c>
      <c r="K2153" s="28" t="str">
        <f t="shared" si="24"/>
        <v/>
      </c>
      <c r="L2153" s="45">
        <f t="shared" si="25"/>
        <v>1</v>
      </c>
      <c r="M2153" s="45" t="str">
        <f t="shared" si="26"/>
        <v/>
      </c>
      <c r="N2153" s="45" t="str">
        <f t="shared" si="27"/>
        <v/>
      </c>
      <c r="O2153" s="45" t="str">
        <f t="shared" si="28"/>
        <v/>
      </c>
      <c r="P2153" s="45" t="str">
        <f t="shared" si="29"/>
        <v/>
      </c>
    </row>
    <row r="2154" spans="1:16" ht="17.25">
      <c r="A2154" s="276" t="s">
        <v>7584</v>
      </c>
      <c r="B2154" s="277">
        <v>2010</v>
      </c>
      <c r="C2154" s="276"/>
      <c r="D2154" s="277">
        <v>20921092</v>
      </c>
      <c r="E2154" s="278" t="str">
        <f t="shared" si="23"/>
        <v>https://pubmed.ncbi.nlm.nih.gov/20921092</v>
      </c>
      <c r="F2154" s="28" t="s">
        <v>511</v>
      </c>
      <c r="G2154" s="28" t="s">
        <v>4592</v>
      </c>
      <c r="J2154" s="346">
        <f t="shared" si="19"/>
        <v>1</v>
      </c>
      <c r="K2154" s="28" t="str">
        <f t="shared" si="24"/>
        <v/>
      </c>
      <c r="L2154" s="45" t="str">
        <f t="shared" si="25"/>
        <v/>
      </c>
      <c r="M2154" s="45" t="str">
        <f t="shared" si="26"/>
        <v/>
      </c>
      <c r="N2154" s="45" t="str">
        <f t="shared" si="27"/>
        <v/>
      </c>
      <c r="O2154" s="45" t="str">
        <f t="shared" si="28"/>
        <v/>
      </c>
      <c r="P2154" s="45" t="str">
        <f t="shared" si="29"/>
        <v/>
      </c>
    </row>
    <row r="2155" spans="1:16" ht="17.25">
      <c r="A2155" s="276" t="s">
        <v>7585</v>
      </c>
      <c r="B2155" s="277">
        <v>2013</v>
      </c>
      <c r="C2155" s="276"/>
      <c r="D2155" s="277">
        <v>23460596</v>
      </c>
      <c r="E2155" s="278" t="str">
        <f t="shared" si="23"/>
        <v>https://pubmed.ncbi.nlm.nih.gov/23460596</v>
      </c>
      <c r="F2155" s="28" t="s">
        <v>511</v>
      </c>
      <c r="G2155" s="28" t="s">
        <v>4744</v>
      </c>
      <c r="J2155" s="346" t="str">
        <f t="shared" si="19"/>
        <v/>
      </c>
      <c r="K2155" s="28" t="str">
        <f t="shared" si="24"/>
        <v/>
      </c>
      <c r="L2155" s="45" t="str">
        <f t="shared" si="25"/>
        <v/>
      </c>
      <c r="M2155" s="45" t="str">
        <f t="shared" si="26"/>
        <v/>
      </c>
      <c r="N2155" s="45">
        <f t="shared" si="27"/>
        <v>1</v>
      </c>
      <c r="O2155" s="45" t="str">
        <f t="shared" si="28"/>
        <v/>
      </c>
      <c r="P2155" s="45" t="str">
        <f t="shared" si="29"/>
        <v/>
      </c>
    </row>
    <row r="2156" spans="1:16" ht="17.25">
      <c r="A2156" s="276" t="s">
        <v>7586</v>
      </c>
      <c r="B2156" s="277">
        <v>2012</v>
      </c>
      <c r="C2156" s="276"/>
      <c r="D2156" s="277">
        <v>23113480</v>
      </c>
      <c r="E2156" s="278" t="str">
        <f t="shared" si="23"/>
        <v>https://pubmed.ncbi.nlm.nih.gov/23113480</v>
      </c>
      <c r="F2156" s="28" t="s">
        <v>511</v>
      </c>
      <c r="G2156" s="28" t="s">
        <v>4744</v>
      </c>
      <c r="J2156" s="346" t="str">
        <f t="shared" si="19"/>
        <v/>
      </c>
      <c r="K2156" s="28" t="str">
        <f t="shared" si="24"/>
        <v/>
      </c>
      <c r="L2156" s="45" t="str">
        <f t="shared" si="25"/>
        <v/>
      </c>
      <c r="M2156" s="45" t="str">
        <f t="shared" si="26"/>
        <v/>
      </c>
      <c r="N2156" s="45">
        <f t="shared" si="27"/>
        <v>1</v>
      </c>
      <c r="O2156" s="45" t="str">
        <f t="shared" si="28"/>
        <v/>
      </c>
      <c r="P2156" s="45" t="str">
        <f t="shared" si="29"/>
        <v/>
      </c>
    </row>
    <row r="2157" spans="1:16" ht="17.25">
      <c r="A2157" s="276" t="s">
        <v>7587</v>
      </c>
      <c r="B2157" s="277">
        <v>2011</v>
      </c>
      <c r="C2157" s="276"/>
      <c r="D2157" s="277">
        <v>21973194</v>
      </c>
      <c r="E2157" s="278" t="str">
        <f t="shared" si="23"/>
        <v>https://pubmed.ncbi.nlm.nih.gov/21973194</v>
      </c>
      <c r="F2157" s="28" t="s">
        <v>511</v>
      </c>
      <c r="G2157" s="28" t="s">
        <v>5299</v>
      </c>
      <c r="J2157" s="346" t="str">
        <f t="shared" si="19"/>
        <v/>
      </c>
      <c r="K2157" s="28" t="str">
        <f t="shared" si="24"/>
        <v/>
      </c>
      <c r="L2157" s="45" t="str">
        <f t="shared" si="25"/>
        <v/>
      </c>
      <c r="M2157" s="45" t="str">
        <f t="shared" si="26"/>
        <v/>
      </c>
      <c r="N2157" s="45">
        <f t="shared" si="27"/>
        <v>1</v>
      </c>
      <c r="O2157" s="45" t="str">
        <f t="shared" si="28"/>
        <v/>
      </c>
      <c r="P2157" s="45" t="str">
        <f t="shared" si="29"/>
        <v/>
      </c>
    </row>
    <row r="2158" spans="1:16" ht="17.25">
      <c r="A2158" s="276" t="s">
        <v>7588</v>
      </c>
      <c r="B2158" s="277">
        <v>2014</v>
      </c>
      <c r="C2158" s="276"/>
      <c r="D2158" s="277">
        <v>25128688</v>
      </c>
      <c r="E2158" s="278" t="str">
        <f t="shared" si="23"/>
        <v>https://pubmed.ncbi.nlm.nih.gov/25128688</v>
      </c>
      <c r="F2158" s="28" t="s">
        <v>511</v>
      </c>
      <c r="G2158" s="28" t="s">
        <v>4346</v>
      </c>
      <c r="J2158" s="346" t="str">
        <f t="shared" si="19"/>
        <v/>
      </c>
      <c r="K2158" s="28" t="str">
        <f t="shared" si="24"/>
        <v/>
      </c>
      <c r="L2158" s="45">
        <f t="shared" si="25"/>
        <v>1</v>
      </c>
      <c r="M2158" s="45" t="str">
        <f t="shared" si="26"/>
        <v/>
      </c>
      <c r="N2158" s="45" t="str">
        <f t="shared" si="27"/>
        <v/>
      </c>
      <c r="O2158" s="45" t="str">
        <f t="shared" si="28"/>
        <v/>
      </c>
      <c r="P2158" s="45" t="str">
        <f t="shared" si="29"/>
        <v/>
      </c>
    </row>
    <row r="2159" spans="1:16" ht="17.25">
      <c r="A2159" s="276" t="s">
        <v>7589</v>
      </c>
      <c r="B2159" s="277">
        <v>2013</v>
      </c>
      <c r="C2159" s="276" t="s">
        <v>7590</v>
      </c>
      <c r="D2159" s="277">
        <v>24368464</v>
      </c>
      <c r="E2159" s="278" t="str">
        <f t="shared" si="23"/>
        <v>https://pubmed.ncbi.nlm.nih.gov/24368464</v>
      </c>
      <c r="F2159" s="28" t="s">
        <v>511</v>
      </c>
      <c r="G2159" s="28" t="s">
        <v>5157</v>
      </c>
      <c r="J2159" s="346" t="str">
        <f t="shared" si="19"/>
        <v/>
      </c>
      <c r="K2159" s="28" t="str">
        <f t="shared" si="24"/>
        <v/>
      </c>
      <c r="L2159" s="45" t="str">
        <f t="shared" si="25"/>
        <v/>
      </c>
      <c r="M2159" s="45" t="str">
        <f t="shared" si="26"/>
        <v/>
      </c>
      <c r="N2159" s="45">
        <f t="shared" si="27"/>
        <v>1</v>
      </c>
      <c r="O2159" s="45" t="str">
        <f t="shared" si="28"/>
        <v/>
      </c>
      <c r="P2159" s="45" t="str">
        <f t="shared" si="29"/>
        <v/>
      </c>
    </row>
    <row r="2160" spans="1:16" ht="17.25">
      <c r="A2160" s="276" t="s">
        <v>7591</v>
      </c>
      <c r="B2160" s="277">
        <v>2016</v>
      </c>
      <c r="C2160" s="276" t="s">
        <v>7592</v>
      </c>
      <c r="D2160" s="277">
        <v>27306628</v>
      </c>
      <c r="E2160" s="278" t="str">
        <f t="shared" si="23"/>
        <v>https://pubmed.ncbi.nlm.nih.gov/27306628</v>
      </c>
      <c r="F2160" s="28" t="s">
        <v>511</v>
      </c>
      <c r="G2160" s="28" t="s">
        <v>5157</v>
      </c>
      <c r="J2160" s="346" t="str">
        <f t="shared" si="19"/>
        <v/>
      </c>
      <c r="K2160" s="28" t="str">
        <f t="shared" si="24"/>
        <v/>
      </c>
      <c r="L2160" s="45" t="str">
        <f t="shared" si="25"/>
        <v/>
      </c>
      <c r="M2160" s="45" t="str">
        <f t="shared" si="26"/>
        <v/>
      </c>
      <c r="N2160" s="45">
        <f t="shared" si="27"/>
        <v>1</v>
      </c>
      <c r="O2160" s="45" t="str">
        <f t="shared" si="28"/>
        <v/>
      </c>
      <c r="P2160" s="45" t="str">
        <f t="shared" si="29"/>
        <v/>
      </c>
    </row>
    <row r="2161" spans="1:16" ht="17.25">
      <c r="A2161" s="276" t="s">
        <v>7593</v>
      </c>
      <c r="B2161" s="277">
        <v>2021</v>
      </c>
      <c r="C2161" s="276" t="s">
        <v>7594</v>
      </c>
      <c r="D2161" s="277">
        <v>33737345</v>
      </c>
      <c r="E2161" s="278" t="str">
        <f t="shared" si="23"/>
        <v>https://pubmed.ncbi.nlm.nih.gov/33737345</v>
      </c>
      <c r="F2161" s="28" t="s">
        <v>511</v>
      </c>
      <c r="G2161" s="28" t="s">
        <v>4592</v>
      </c>
      <c r="J2161" s="346">
        <f t="shared" si="19"/>
        <v>1</v>
      </c>
      <c r="K2161" s="28" t="str">
        <f t="shared" si="24"/>
        <v/>
      </c>
      <c r="L2161" s="45" t="str">
        <f t="shared" si="25"/>
        <v/>
      </c>
      <c r="M2161" s="45" t="str">
        <f t="shared" si="26"/>
        <v/>
      </c>
      <c r="N2161" s="45" t="str">
        <f t="shared" si="27"/>
        <v/>
      </c>
      <c r="O2161" s="45" t="str">
        <f t="shared" si="28"/>
        <v/>
      </c>
      <c r="P2161" s="45" t="str">
        <f t="shared" si="29"/>
        <v/>
      </c>
    </row>
    <row r="2162" spans="1:16" ht="17.25">
      <c r="A2162" s="276" t="s">
        <v>7595</v>
      </c>
      <c r="B2162" s="277">
        <v>1998</v>
      </c>
      <c r="C2162" s="276"/>
      <c r="D2162" s="277">
        <v>9829449</v>
      </c>
      <c r="E2162" s="278" t="str">
        <f t="shared" si="23"/>
        <v>https://pubmed.ncbi.nlm.nih.gov/9829449</v>
      </c>
      <c r="F2162" s="28" t="s">
        <v>511</v>
      </c>
      <c r="G2162" s="28" t="s">
        <v>4867</v>
      </c>
      <c r="I2162" s="28" t="s">
        <v>7596</v>
      </c>
      <c r="J2162" s="346" t="str">
        <f t="shared" si="19"/>
        <v/>
      </c>
      <c r="K2162" s="28" t="str">
        <f t="shared" si="24"/>
        <v/>
      </c>
      <c r="L2162" s="45" t="str">
        <f t="shared" si="25"/>
        <v/>
      </c>
      <c r="M2162" s="45" t="str">
        <f t="shared" si="26"/>
        <v/>
      </c>
      <c r="N2162" s="45">
        <f t="shared" si="27"/>
        <v>1</v>
      </c>
      <c r="O2162" s="45" t="str">
        <f t="shared" si="28"/>
        <v/>
      </c>
      <c r="P2162" s="45" t="str">
        <f t="shared" si="29"/>
        <v/>
      </c>
    </row>
    <row r="2163" spans="1:16" ht="17.25">
      <c r="A2163" s="276" t="s">
        <v>7597</v>
      </c>
      <c r="B2163" s="277">
        <v>2016</v>
      </c>
      <c r="C2163" s="276"/>
      <c r="D2163" s="277">
        <v>26993881</v>
      </c>
      <c r="E2163" s="278" t="str">
        <f t="shared" si="23"/>
        <v>https://pubmed.ncbi.nlm.nih.gov/26993881</v>
      </c>
      <c r="F2163" s="28" t="s">
        <v>511</v>
      </c>
      <c r="G2163" s="28" t="s">
        <v>5157</v>
      </c>
      <c r="J2163" s="346" t="str">
        <f t="shared" si="19"/>
        <v/>
      </c>
      <c r="K2163" s="28" t="str">
        <f t="shared" si="24"/>
        <v/>
      </c>
      <c r="L2163" s="45" t="str">
        <f t="shared" si="25"/>
        <v/>
      </c>
      <c r="M2163" s="45" t="str">
        <f t="shared" si="26"/>
        <v/>
      </c>
      <c r="N2163" s="45">
        <f t="shared" si="27"/>
        <v>1</v>
      </c>
      <c r="O2163" s="45" t="str">
        <f t="shared" si="28"/>
        <v/>
      </c>
      <c r="P2163" s="45" t="str">
        <f t="shared" si="29"/>
        <v/>
      </c>
    </row>
    <row r="2164" spans="1:16" ht="17.25">
      <c r="A2164" s="276" t="s">
        <v>7598</v>
      </c>
      <c r="B2164" s="277">
        <v>2004</v>
      </c>
      <c r="C2164" s="276" t="s">
        <v>7599</v>
      </c>
      <c r="D2164" s="277">
        <v>14996699</v>
      </c>
      <c r="E2164" s="278" t="str">
        <f t="shared" si="23"/>
        <v>https://pubmed.ncbi.nlm.nih.gov/14996699</v>
      </c>
      <c r="F2164" s="28" t="s">
        <v>511</v>
      </c>
      <c r="G2164" s="28" t="s">
        <v>4592</v>
      </c>
      <c r="J2164" s="346">
        <f t="shared" si="19"/>
        <v>1</v>
      </c>
      <c r="K2164" s="28" t="str">
        <f t="shared" si="24"/>
        <v/>
      </c>
      <c r="L2164" s="45" t="str">
        <f t="shared" si="25"/>
        <v/>
      </c>
      <c r="M2164" s="45" t="str">
        <f t="shared" si="26"/>
        <v/>
      </c>
      <c r="N2164" s="45" t="str">
        <f t="shared" si="27"/>
        <v/>
      </c>
      <c r="O2164" s="45" t="str">
        <f t="shared" si="28"/>
        <v/>
      </c>
      <c r="P2164" s="45" t="str">
        <f t="shared" si="29"/>
        <v/>
      </c>
    </row>
    <row r="2165" spans="1:16" ht="17.25">
      <c r="A2165" s="276" t="s">
        <v>7598</v>
      </c>
      <c r="B2165" s="277">
        <v>2003</v>
      </c>
      <c r="C2165" s="276" t="s">
        <v>7600</v>
      </c>
      <c r="D2165" s="277">
        <v>12763980</v>
      </c>
      <c r="E2165" s="278" t="str">
        <f t="shared" si="23"/>
        <v>https://pubmed.ncbi.nlm.nih.gov/12763980</v>
      </c>
      <c r="F2165" s="28" t="s">
        <v>511</v>
      </c>
      <c r="G2165" s="28" t="s">
        <v>4592</v>
      </c>
      <c r="J2165" s="346">
        <f t="shared" si="19"/>
        <v>1</v>
      </c>
      <c r="K2165" s="28" t="str">
        <f t="shared" si="24"/>
        <v/>
      </c>
      <c r="L2165" s="45" t="str">
        <f t="shared" si="25"/>
        <v/>
      </c>
      <c r="M2165" s="45" t="str">
        <f t="shared" si="26"/>
        <v/>
      </c>
      <c r="N2165" s="45" t="str">
        <f t="shared" si="27"/>
        <v/>
      </c>
      <c r="O2165" s="45" t="str">
        <f t="shared" si="28"/>
        <v/>
      </c>
      <c r="P2165" s="45" t="str">
        <f t="shared" si="29"/>
        <v/>
      </c>
    </row>
    <row r="2166" spans="1:16" ht="17.25">
      <c r="A2166" s="276" t="s">
        <v>7601</v>
      </c>
      <c r="B2166" s="277">
        <v>2014</v>
      </c>
      <c r="C2166" s="276"/>
      <c r="D2166" s="277">
        <v>24852077</v>
      </c>
      <c r="E2166" s="278" t="str">
        <f t="shared" si="23"/>
        <v>https://pubmed.ncbi.nlm.nih.gov/24852077</v>
      </c>
      <c r="F2166" s="28" t="s">
        <v>511</v>
      </c>
      <c r="G2166" s="28" t="s">
        <v>4592</v>
      </c>
      <c r="J2166" s="346">
        <f t="shared" si="19"/>
        <v>1</v>
      </c>
      <c r="K2166" s="28" t="str">
        <f t="shared" si="24"/>
        <v/>
      </c>
      <c r="L2166" s="45" t="str">
        <f t="shared" si="25"/>
        <v/>
      </c>
      <c r="M2166" s="45" t="str">
        <f t="shared" si="26"/>
        <v/>
      </c>
      <c r="N2166" s="45" t="str">
        <f t="shared" si="27"/>
        <v/>
      </c>
      <c r="O2166" s="45" t="str">
        <f t="shared" si="28"/>
        <v/>
      </c>
      <c r="P2166" s="45" t="str">
        <f t="shared" si="29"/>
        <v/>
      </c>
    </row>
    <row r="2167" spans="1:16" ht="17.25">
      <c r="A2167" s="276" t="s">
        <v>7602</v>
      </c>
      <c r="B2167" s="277">
        <v>2019</v>
      </c>
      <c r="C2167" s="276" t="s">
        <v>7603</v>
      </c>
      <c r="D2167" s="277">
        <v>30690866</v>
      </c>
      <c r="E2167" s="278" t="str">
        <f t="shared" si="23"/>
        <v>https://pubmed.ncbi.nlm.nih.gov/30690866</v>
      </c>
      <c r="F2167" s="28" t="s">
        <v>511</v>
      </c>
      <c r="G2167" s="28" t="s">
        <v>5157</v>
      </c>
      <c r="J2167" s="346" t="str">
        <f t="shared" si="19"/>
        <v/>
      </c>
      <c r="K2167" s="28" t="str">
        <f t="shared" si="24"/>
        <v/>
      </c>
      <c r="L2167" s="45" t="str">
        <f t="shared" si="25"/>
        <v/>
      </c>
      <c r="M2167" s="45" t="str">
        <f t="shared" si="26"/>
        <v/>
      </c>
      <c r="N2167" s="45">
        <f t="shared" si="27"/>
        <v>1</v>
      </c>
      <c r="O2167" s="45" t="str">
        <f t="shared" si="28"/>
        <v/>
      </c>
      <c r="P2167" s="45" t="str">
        <f t="shared" si="29"/>
        <v/>
      </c>
    </row>
    <row r="2168" spans="1:16" ht="17.25">
      <c r="A2168" s="276" t="s">
        <v>7604</v>
      </c>
      <c r="B2168" s="277">
        <v>2003</v>
      </c>
      <c r="C2168" s="276"/>
      <c r="D2168" s="277">
        <v>12700452</v>
      </c>
      <c r="E2168" s="278" t="str">
        <f t="shared" si="23"/>
        <v>https://pubmed.ncbi.nlm.nih.gov/12700452</v>
      </c>
      <c r="F2168" s="28" t="s">
        <v>511</v>
      </c>
      <c r="G2168" s="28" t="s">
        <v>4744</v>
      </c>
      <c r="J2168" s="346" t="str">
        <f t="shared" si="19"/>
        <v/>
      </c>
      <c r="K2168" s="28" t="str">
        <f t="shared" si="24"/>
        <v/>
      </c>
      <c r="L2168" s="45" t="str">
        <f t="shared" si="25"/>
        <v/>
      </c>
      <c r="M2168" s="45" t="str">
        <f t="shared" si="26"/>
        <v/>
      </c>
      <c r="N2168" s="45">
        <f t="shared" si="27"/>
        <v>1</v>
      </c>
      <c r="O2168" s="45" t="str">
        <f t="shared" si="28"/>
        <v/>
      </c>
      <c r="P2168" s="45" t="str">
        <f t="shared" si="29"/>
        <v/>
      </c>
    </row>
    <row r="2169" spans="1:16" ht="17.25">
      <c r="A2169" s="276" t="s">
        <v>7605</v>
      </c>
      <c r="B2169" s="277">
        <v>2017</v>
      </c>
      <c r="C2169" s="276"/>
      <c r="D2169" s="277">
        <v>28087382</v>
      </c>
      <c r="E2169" s="278" t="str">
        <f t="shared" si="23"/>
        <v>https://pubmed.ncbi.nlm.nih.gov/28087382</v>
      </c>
      <c r="F2169" s="28" t="s">
        <v>511</v>
      </c>
      <c r="G2169" s="28" t="s">
        <v>4744</v>
      </c>
      <c r="I2169" s="28" t="s">
        <v>6429</v>
      </c>
      <c r="J2169" s="346" t="str">
        <f t="shared" si="19"/>
        <v/>
      </c>
      <c r="K2169" s="28" t="str">
        <f t="shared" si="24"/>
        <v/>
      </c>
      <c r="L2169" s="45" t="str">
        <f t="shared" si="25"/>
        <v/>
      </c>
      <c r="M2169" s="45" t="str">
        <f t="shared" si="26"/>
        <v/>
      </c>
      <c r="N2169" s="45">
        <f t="shared" si="27"/>
        <v>1</v>
      </c>
      <c r="O2169" s="45" t="str">
        <f t="shared" si="28"/>
        <v/>
      </c>
      <c r="P2169" s="45" t="str">
        <f t="shared" si="29"/>
        <v/>
      </c>
    </row>
    <row r="2170" spans="1:16" ht="17.25">
      <c r="A2170" s="276" t="s">
        <v>7606</v>
      </c>
      <c r="B2170" s="277">
        <v>2016</v>
      </c>
      <c r="C2170" s="276" t="s">
        <v>7607</v>
      </c>
      <c r="D2170" s="277">
        <v>27486731</v>
      </c>
      <c r="E2170" s="278" t="str">
        <f t="shared" si="23"/>
        <v>https://pubmed.ncbi.nlm.nih.gov/27486731</v>
      </c>
      <c r="F2170" s="28" t="s">
        <v>511</v>
      </c>
      <c r="G2170" s="28" t="s">
        <v>4592</v>
      </c>
      <c r="J2170" s="346">
        <f t="shared" si="19"/>
        <v>1</v>
      </c>
      <c r="K2170" s="28" t="str">
        <f t="shared" si="24"/>
        <v/>
      </c>
      <c r="L2170" s="45" t="str">
        <f t="shared" si="25"/>
        <v/>
      </c>
      <c r="M2170" s="45" t="str">
        <f t="shared" si="26"/>
        <v/>
      </c>
      <c r="N2170" s="45" t="str">
        <f t="shared" si="27"/>
        <v/>
      </c>
      <c r="O2170" s="45" t="str">
        <f t="shared" si="28"/>
        <v/>
      </c>
      <c r="P2170" s="45" t="str">
        <f t="shared" si="29"/>
        <v/>
      </c>
    </row>
    <row r="2171" spans="1:16" ht="17.25">
      <c r="A2171" s="276" t="s">
        <v>7608</v>
      </c>
      <c r="B2171" s="277">
        <v>2018</v>
      </c>
      <c r="C2171" s="276"/>
      <c r="D2171" s="277">
        <v>29393044</v>
      </c>
      <c r="E2171" s="278" t="str">
        <f t="shared" si="23"/>
        <v>https://pubmed.ncbi.nlm.nih.gov/29393044</v>
      </c>
      <c r="F2171" s="28" t="s">
        <v>511</v>
      </c>
      <c r="G2171" s="28" t="s">
        <v>4592</v>
      </c>
      <c r="J2171" s="346">
        <f t="shared" si="19"/>
        <v>1</v>
      </c>
      <c r="K2171" s="28" t="str">
        <f t="shared" si="24"/>
        <v/>
      </c>
      <c r="L2171" s="45" t="str">
        <f t="shared" si="25"/>
        <v/>
      </c>
      <c r="M2171" s="45" t="str">
        <f t="shared" si="26"/>
        <v/>
      </c>
      <c r="N2171" s="45" t="str">
        <f t="shared" si="27"/>
        <v/>
      </c>
      <c r="O2171" s="45" t="str">
        <f t="shared" si="28"/>
        <v/>
      </c>
      <c r="P2171" s="45" t="str">
        <f t="shared" si="29"/>
        <v/>
      </c>
    </row>
    <row r="2172" spans="1:16" ht="17.25">
      <c r="A2172" s="276" t="s">
        <v>7609</v>
      </c>
      <c r="B2172" s="277">
        <v>2007</v>
      </c>
      <c r="C2172" s="276"/>
      <c r="D2172" s="277">
        <v>17154160</v>
      </c>
      <c r="E2172" s="278" t="str">
        <f t="shared" si="23"/>
        <v>https://pubmed.ncbi.nlm.nih.gov/17154160</v>
      </c>
      <c r="F2172" s="28" t="s">
        <v>511</v>
      </c>
      <c r="G2172" s="28" t="s">
        <v>4744</v>
      </c>
      <c r="J2172" s="346" t="str">
        <f t="shared" si="19"/>
        <v/>
      </c>
      <c r="K2172" s="28" t="str">
        <f t="shared" si="24"/>
        <v/>
      </c>
      <c r="L2172" s="45" t="str">
        <f t="shared" si="25"/>
        <v/>
      </c>
      <c r="M2172" s="45" t="str">
        <f t="shared" si="26"/>
        <v/>
      </c>
      <c r="N2172" s="45">
        <f t="shared" si="27"/>
        <v>1</v>
      </c>
      <c r="O2172" s="45" t="str">
        <f t="shared" si="28"/>
        <v/>
      </c>
      <c r="P2172" s="45" t="str">
        <f t="shared" si="29"/>
        <v/>
      </c>
    </row>
    <row r="2173" spans="1:16" ht="17.25">
      <c r="A2173" s="276" t="s">
        <v>7610</v>
      </c>
      <c r="B2173" s="277">
        <v>2011</v>
      </c>
      <c r="C2173" s="276"/>
      <c r="D2173" s="277">
        <v>21597465</v>
      </c>
      <c r="E2173" s="278" t="str">
        <f t="shared" si="23"/>
        <v>https://pubmed.ncbi.nlm.nih.gov/21597465</v>
      </c>
      <c r="F2173" s="28" t="s">
        <v>511</v>
      </c>
      <c r="G2173" s="28" t="s">
        <v>7611</v>
      </c>
      <c r="J2173" s="346" t="str">
        <f t="shared" si="19"/>
        <v/>
      </c>
      <c r="K2173" s="28" t="str">
        <f t="shared" si="24"/>
        <v/>
      </c>
      <c r="L2173" s="45" t="str">
        <f t="shared" si="25"/>
        <v/>
      </c>
      <c r="M2173" s="45" t="str">
        <f t="shared" si="26"/>
        <v/>
      </c>
      <c r="N2173" s="45">
        <f t="shared" si="27"/>
        <v>1</v>
      </c>
      <c r="O2173" s="45" t="str">
        <f t="shared" si="28"/>
        <v/>
      </c>
      <c r="P2173" s="45" t="str">
        <f t="shared" si="29"/>
        <v/>
      </c>
    </row>
    <row r="2174" spans="1:16" ht="17.25">
      <c r="A2174" s="276" t="s">
        <v>7612</v>
      </c>
      <c r="B2174" s="277">
        <v>2017</v>
      </c>
      <c r="C2174" s="276"/>
      <c r="D2174" s="277">
        <v>28606813</v>
      </c>
      <c r="E2174" s="278" t="str">
        <f t="shared" si="23"/>
        <v>https://pubmed.ncbi.nlm.nih.gov/28606813</v>
      </c>
      <c r="F2174" s="28" t="s">
        <v>511</v>
      </c>
      <c r="G2174" s="28" t="s">
        <v>7613</v>
      </c>
      <c r="J2174" s="346" t="str">
        <f t="shared" si="19"/>
        <v/>
      </c>
      <c r="K2174" s="28" t="str">
        <f t="shared" si="24"/>
        <v/>
      </c>
      <c r="L2174" s="45">
        <f t="shared" si="25"/>
        <v>1</v>
      </c>
      <c r="M2174" s="45" t="str">
        <f t="shared" si="26"/>
        <v/>
      </c>
      <c r="N2174" s="45" t="str">
        <f t="shared" si="27"/>
        <v/>
      </c>
      <c r="O2174" s="45" t="str">
        <f t="shared" si="28"/>
        <v/>
      </c>
      <c r="P2174" s="45" t="str">
        <f t="shared" si="29"/>
        <v/>
      </c>
    </row>
    <row r="2175" spans="1:16" ht="17.25">
      <c r="A2175" s="276" t="s">
        <v>7614</v>
      </c>
      <c r="B2175" s="277">
        <v>2018</v>
      </c>
      <c r="C2175" s="276" t="s">
        <v>7615</v>
      </c>
      <c r="D2175" s="277">
        <v>29321063</v>
      </c>
      <c r="E2175" s="278" t="str">
        <f t="shared" si="23"/>
        <v>https://pubmed.ncbi.nlm.nih.gov/29321063</v>
      </c>
      <c r="F2175" s="28" t="s">
        <v>511</v>
      </c>
      <c r="G2175" s="28" t="s">
        <v>4536</v>
      </c>
      <c r="J2175" s="346" t="str">
        <f t="shared" si="19"/>
        <v/>
      </c>
      <c r="K2175" s="28">
        <f t="shared" si="24"/>
        <v>1</v>
      </c>
      <c r="L2175" s="45" t="str">
        <f t="shared" si="25"/>
        <v/>
      </c>
      <c r="M2175" s="45" t="str">
        <f t="shared" si="26"/>
        <v/>
      </c>
      <c r="N2175" s="45" t="str">
        <f t="shared" si="27"/>
        <v/>
      </c>
      <c r="O2175" s="45" t="str">
        <f t="shared" si="28"/>
        <v/>
      </c>
      <c r="P2175" s="45" t="str">
        <f t="shared" si="29"/>
        <v/>
      </c>
    </row>
    <row r="2176" spans="1:16" ht="17.25">
      <c r="A2176" s="276" t="s">
        <v>7616</v>
      </c>
      <c r="B2176" s="277">
        <v>1998</v>
      </c>
      <c r="C2176" s="276"/>
      <c r="D2176" s="277">
        <v>9669649</v>
      </c>
      <c r="E2176" s="278" t="str">
        <f t="shared" si="23"/>
        <v>https://pubmed.ncbi.nlm.nih.gov/9669649</v>
      </c>
      <c r="F2176" s="28" t="s">
        <v>511</v>
      </c>
      <c r="G2176" s="28" t="s">
        <v>4744</v>
      </c>
      <c r="J2176" s="346" t="str">
        <f t="shared" si="19"/>
        <v/>
      </c>
      <c r="K2176" s="28" t="str">
        <f t="shared" si="24"/>
        <v/>
      </c>
      <c r="L2176" s="45" t="str">
        <f t="shared" si="25"/>
        <v/>
      </c>
      <c r="M2176" s="45" t="str">
        <f t="shared" si="26"/>
        <v/>
      </c>
      <c r="N2176" s="45">
        <f t="shared" si="27"/>
        <v>1</v>
      </c>
      <c r="O2176" s="45" t="str">
        <f t="shared" si="28"/>
        <v/>
      </c>
      <c r="P2176" s="45" t="str">
        <f t="shared" si="29"/>
        <v/>
      </c>
    </row>
    <row r="2177" spans="1:16" ht="17.25">
      <c r="A2177" s="276" t="s">
        <v>7617</v>
      </c>
      <c r="B2177" s="277">
        <v>2020</v>
      </c>
      <c r="C2177" s="276"/>
      <c r="D2177" s="277">
        <v>31701238</v>
      </c>
      <c r="E2177" s="278" t="str">
        <f t="shared" si="23"/>
        <v>https://pubmed.ncbi.nlm.nih.gov/31701238</v>
      </c>
      <c r="F2177" s="28" t="s">
        <v>511</v>
      </c>
      <c r="G2177" s="28" t="s">
        <v>4587</v>
      </c>
      <c r="J2177" s="346" t="str">
        <f t="shared" si="19"/>
        <v/>
      </c>
      <c r="K2177" s="28" t="str">
        <f t="shared" si="24"/>
        <v/>
      </c>
      <c r="L2177" s="45" t="str">
        <f t="shared" si="25"/>
        <v/>
      </c>
      <c r="M2177" s="45">
        <f t="shared" si="26"/>
        <v>1</v>
      </c>
      <c r="N2177" s="45" t="str">
        <f t="shared" si="27"/>
        <v/>
      </c>
      <c r="O2177" s="45" t="str">
        <f t="shared" si="28"/>
        <v/>
      </c>
      <c r="P2177" s="45" t="str">
        <f t="shared" si="29"/>
        <v/>
      </c>
    </row>
    <row r="2178" spans="1:16" ht="17.25">
      <c r="A2178" s="276" t="s">
        <v>7618</v>
      </c>
      <c r="B2178" s="277">
        <v>2018</v>
      </c>
      <c r="C2178" s="276"/>
      <c r="D2178" s="277">
        <v>30022571</v>
      </c>
      <c r="E2178" s="278" t="str">
        <f t="shared" si="23"/>
        <v>https://pubmed.ncbi.nlm.nih.gov/30022571</v>
      </c>
      <c r="F2178" s="28" t="s">
        <v>511</v>
      </c>
      <c r="G2178" s="28" t="s">
        <v>5157</v>
      </c>
      <c r="J2178" s="346" t="str">
        <f t="shared" si="19"/>
        <v/>
      </c>
      <c r="K2178" s="28" t="str">
        <f t="shared" si="24"/>
        <v/>
      </c>
      <c r="L2178" s="45" t="str">
        <f t="shared" si="25"/>
        <v/>
      </c>
      <c r="M2178" s="45" t="str">
        <f t="shared" si="26"/>
        <v/>
      </c>
      <c r="N2178" s="45">
        <f t="shared" si="27"/>
        <v>1</v>
      </c>
      <c r="O2178" s="45" t="str">
        <f t="shared" si="28"/>
        <v/>
      </c>
      <c r="P2178" s="45" t="str">
        <f t="shared" si="29"/>
        <v/>
      </c>
    </row>
    <row r="2179" spans="1:16" ht="17.25">
      <c r="A2179" s="276" t="s">
        <v>7619</v>
      </c>
      <c r="B2179" s="277">
        <v>2021</v>
      </c>
      <c r="C2179" s="276"/>
      <c r="D2179" s="277">
        <v>33403727</v>
      </c>
      <c r="E2179" s="278" t="str">
        <f t="shared" si="23"/>
        <v>https://pubmed.ncbi.nlm.nih.gov/33403727</v>
      </c>
      <c r="F2179" s="28" t="s">
        <v>511</v>
      </c>
      <c r="G2179" s="28" t="s">
        <v>7183</v>
      </c>
      <c r="J2179" s="346" t="str">
        <f t="shared" si="19"/>
        <v/>
      </c>
      <c r="K2179" s="28" t="str">
        <f t="shared" si="24"/>
        <v/>
      </c>
      <c r="L2179" s="45">
        <f t="shared" si="25"/>
        <v>1</v>
      </c>
      <c r="M2179" s="45" t="str">
        <f t="shared" si="26"/>
        <v/>
      </c>
      <c r="N2179" s="45" t="str">
        <f t="shared" si="27"/>
        <v/>
      </c>
      <c r="O2179" s="45" t="str">
        <f t="shared" si="28"/>
        <v/>
      </c>
      <c r="P2179" s="45" t="str">
        <f t="shared" si="29"/>
        <v/>
      </c>
    </row>
    <row r="2180" spans="1:16" ht="17.25">
      <c r="A2180" s="276" t="s">
        <v>7620</v>
      </c>
      <c r="B2180" s="277">
        <v>2004</v>
      </c>
      <c r="C2180" s="276"/>
      <c r="D2180" s="277">
        <v>15099124</v>
      </c>
      <c r="E2180" s="278" t="str">
        <f t="shared" si="23"/>
        <v>https://pubmed.ncbi.nlm.nih.gov/15099124</v>
      </c>
      <c r="F2180" s="28" t="s">
        <v>511</v>
      </c>
      <c r="G2180" s="28" t="s">
        <v>4592</v>
      </c>
      <c r="J2180" s="346">
        <f t="shared" si="19"/>
        <v>1</v>
      </c>
      <c r="K2180" s="28" t="str">
        <f t="shared" si="24"/>
        <v/>
      </c>
      <c r="L2180" s="45" t="str">
        <f t="shared" si="25"/>
        <v/>
      </c>
      <c r="M2180" s="45" t="str">
        <f t="shared" si="26"/>
        <v/>
      </c>
      <c r="N2180" s="45" t="str">
        <f t="shared" si="27"/>
        <v/>
      </c>
      <c r="O2180" s="45" t="str">
        <f t="shared" si="28"/>
        <v/>
      </c>
      <c r="P2180" s="45" t="str">
        <f t="shared" si="29"/>
        <v/>
      </c>
    </row>
    <row r="2181" spans="1:16" ht="17.25">
      <c r="A2181" s="276" t="s">
        <v>7621</v>
      </c>
      <c r="B2181" s="277">
        <v>2013</v>
      </c>
      <c r="C2181" s="276" t="s">
        <v>7622</v>
      </c>
      <c r="D2181" s="277">
        <v>24119615</v>
      </c>
      <c r="E2181" s="278" t="str">
        <f t="shared" si="23"/>
        <v>https://pubmed.ncbi.nlm.nih.gov/24119615</v>
      </c>
      <c r="F2181" s="28" t="s">
        <v>511</v>
      </c>
      <c r="G2181" s="28" t="s">
        <v>7523</v>
      </c>
      <c r="J2181" s="346" t="str">
        <f t="shared" si="19"/>
        <v/>
      </c>
      <c r="K2181" s="28" t="str">
        <f t="shared" si="24"/>
        <v/>
      </c>
      <c r="L2181" s="45" t="str">
        <f t="shared" si="25"/>
        <v/>
      </c>
      <c r="M2181" s="45" t="str">
        <f t="shared" si="26"/>
        <v/>
      </c>
      <c r="N2181" s="45">
        <f t="shared" si="27"/>
        <v>1</v>
      </c>
      <c r="O2181" s="45" t="str">
        <f t="shared" si="28"/>
        <v/>
      </c>
      <c r="P2181" s="45" t="str">
        <f t="shared" si="29"/>
        <v/>
      </c>
    </row>
    <row r="2182" spans="1:16" ht="17.25">
      <c r="A2182" s="276" t="s">
        <v>7623</v>
      </c>
      <c r="B2182" s="277">
        <v>2016</v>
      </c>
      <c r="C2182" s="276" t="s">
        <v>7624</v>
      </c>
      <c r="D2182" s="277">
        <v>27114849</v>
      </c>
      <c r="E2182" s="278" t="str">
        <f t="shared" si="23"/>
        <v>https://pubmed.ncbi.nlm.nih.gov/27114849</v>
      </c>
      <c r="F2182" s="28" t="s">
        <v>511</v>
      </c>
      <c r="G2182" s="28" t="s">
        <v>4592</v>
      </c>
      <c r="J2182" s="346">
        <f t="shared" si="19"/>
        <v>1</v>
      </c>
      <c r="K2182" s="28" t="str">
        <f t="shared" si="24"/>
        <v/>
      </c>
      <c r="L2182" s="45" t="str">
        <f t="shared" si="25"/>
        <v/>
      </c>
      <c r="M2182" s="45" t="str">
        <f t="shared" si="26"/>
        <v/>
      </c>
      <c r="N2182" s="45" t="str">
        <f t="shared" si="27"/>
        <v/>
      </c>
      <c r="O2182" s="45" t="str">
        <f t="shared" si="28"/>
        <v/>
      </c>
      <c r="P2182" s="45" t="str">
        <f t="shared" si="29"/>
        <v/>
      </c>
    </row>
    <row r="2183" spans="1:16" ht="17.25">
      <c r="A2183" s="276" t="s">
        <v>7625</v>
      </c>
      <c r="B2183" s="277">
        <v>2014</v>
      </c>
      <c r="C2183" s="276" t="s">
        <v>7626</v>
      </c>
      <c r="D2183" s="277">
        <v>24768633</v>
      </c>
      <c r="E2183" s="278" t="str">
        <f t="shared" si="23"/>
        <v>https://pubmed.ncbi.nlm.nih.gov/24768633</v>
      </c>
      <c r="F2183" s="28" t="s">
        <v>511</v>
      </c>
      <c r="G2183" s="28" t="s">
        <v>4744</v>
      </c>
      <c r="J2183" s="346" t="str">
        <f t="shared" si="19"/>
        <v/>
      </c>
      <c r="K2183" s="28" t="str">
        <f t="shared" si="24"/>
        <v/>
      </c>
      <c r="L2183" s="45" t="str">
        <f t="shared" si="25"/>
        <v/>
      </c>
      <c r="M2183" s="45" t="str">
        <f t="shared" si="26"/>
        <v/>
      </c>
      <c r="N2183" s="45">
        <f t="shared" si="27"/>
        <v>1</v>
      </c>
      <c r="O2183" s="45" t="str">
        <f t="shared" si="28"/>
        <v/>
      </c>
      <c r="P2183" s="45" t="str">
        <f t="shared" si="29"/>
        <v/>
      </c>
    </row>
    <row r="2184" spans="1:16" ht="17.25">
      <c r="A2184" s="276" t="s">
        <v>7627</v>
      </c>
      <c r="B2184" s="277">
        <v>2019</v>
      </c>
      <c r="C2184" s="276" t="s">
        <v>7628</v>
      </c>
      <c r="D2184" s="277">
        <v>31107966</v>
      </c>
      <c r="E2184" s="278" t="str">
        <f t="shared" si="23"/>
        <v>https://pubmed.ncbi.nlm.nih.gov/31107966</v>
      </c>
      <c r="F2184" s="28" t="s">
        <v>511</v>
      </c>
      <c r="G2184" s="28" t="s">
        <v>6220</v>
      </c>
      <c r="J2184" s="346">
        <f t="shared" si="19"/>
        <v>1</v>
      </c>
      <c r="K2184" s="28" t="str">
        <f t="shared" si="24"/>
        <v/>
      </c>
      <c r="L2184" s="45" t="str">
        <f t="shared" si="25"/>
        <v/>
      </c>
      <c r="M2184" s="45" t="str">
        <f t="shared" si="26"/>
        <v/>
      </c>
      <c r="N2184" s="45" t="str">
        <f t="shared" si="27"/>
        <v/>
      </c>
      <c r="O2184" s="45" t="str">
        <f t="shared" si="28"/>
        <v/>
      </c>
      <c r="P2184" s="45" t="str">
        <f t="shared" si="29"/>
        <v/>
      </c>
    </row>
    <row r="2185" spans="1:16" ht="17.25">
      <c r="A2185" s="276" t="s">
        <v>4053</v>
      </c>
      <c r="B2185" s="277">
        <v>2018</v>
      </c>
      <c r="C2185" s="276" t="s">
        <v>7629</v>
      </c>
      <c r="D2185" s="277">
        <v>29590182</v>
      </c>
      <c r="E2185" s="278" t="str">
        <f t="shared" si="23"/>
        <v>https://pubmed.ncbi.nlm.nih.gov/29590182</v>
      </c>
      <c r="H2185" s="28" t="s">
        <v>511</v>
      </c>
      <c r="J2185" s="346" t="str">
        <f t="shared" si="19"/>
        <v/>
      </c>
      <c r="K2185" s="28" t="str">
        <f t="shared" si="24"/>
        <v/>
      </c>
      <c r="L2185" s="45" t="str">
        <f t="shared" si="25"/>
        <v/>
      </c>
      <c r="M2185" s="45" t="str">
        <f t="shared" si="26"/>
        <v/>
      </c>
      <c r="N2185" s="45" t="str">
        <f t="shared" si="27"/>
        <v/>
      </c>
      <c r="O2185" s="45" t="str">
        <f t="shared" si="28"/>
        <v/>
      </c>
      <c r="P2185" s="45" t="str">
        <f t="shared" si="29"/>
        <v/>
      </c>
    </row>
    <row r="2186" spans="1:16" ht="17.25">
      <c r="A2186" s="276" t="s">
        <v>7630</v>
      </c>
      <c r="B2186" s="277">
        <v>2012</v>
      </c>
      <c r="C2186" s="276" t="s">
        <v>7631</v>
      </c>
      <c r="D2186" s="277">
        <v>22123685</v>
      </c>
      <c r="E2186" s="278" t="str">
        <f t="shared" si="23"/>
        <v>https://pubmed.ncbi.nlm.nih.gov/22123685</v>
      </c>
      <c r="F2186" s="28" t="s">
        <v>511</v>
      </c>
      <c r="G2186" s="28" t="s">
        <v>6412</v>
      </c>
      <c r="J2186" s="346" t="str">
        <f t="shared" si="19"/>
        <v/>
      </c>
      <c r="K2186" s="28" t="str">
        <f t="shared" si="24"/>
        <v/>
      </c>
      <c r="L2186" s="45" t="str">
        <f t="shared" si="25"/>
        <v/>
      </c>
      <c r="M2186" s="45" t="str">
        <f t="shared" si="26"/>
        <v/>
      </c>
      <c r="N2186" s="45">
        <f t="shared" si="27"/>
        <v>1</v>
      </c>
      <c r="O2186" s="45" t="str">
        <f t="shared" si="28"/>
        <v/>
      </c>
      <c r="P2186" s="45" t="str">
        <f t="shared" si="29"/>
        <v/>
      </c>
    </row>
    <row r="2187" spans="1:16" ht="17.25">
      <c r="A2187" s="276" t="s">
        <v>7632</v>
      </c>
      <c r="B2187" s="277">
        <v>2020</v>
      </c>
      <c r="C2187" s="276"/>
      <c r="D2187" s="277">
        <v>31502239</v>
      </c>
      <c r="E2187" s="278" t="str">
        <f t="shared" si="23"/>
        <v>https://pubmed.ncbi.nlm.nih.gov/31502239</v>
      </c>
      <c r="F2187" s="28" t="s">
        <v>511</v>
      </c>
      <c r="G2187" s="28" t="s">
        <v>5273</v>
      </c>
      <c r="J2187" s="346">
        <f t="shared" si="19"/>
        <v>1</v>
      </c>
      <c r="K2187" s="28" t="str">
        <f t="shared" si="24"/>
        <v/>
      </c>
      <c r="L2187" s="45" t="str">
        <f t="shared" si="25"/>
        <v/>
      </c>
      <c r="M2187" s="45" t="str">
        <f t="shared" si="26"/>
        <v/>
      </c>
      <c r="N2187" s="45" t="str">
        <f t="shared" si="27"/>
        <v/>
      </c>
      <c r="O2187" s="45" t="str">
        <f t="shared" si="28"/>
        <v/>
      </c>
      <c r="P2187" s="45" t="str">
        <f t="shared" si="29"/>
        <v/>
      </c>
    </row>
    <row r="2188" spans="1:16" ht="17.25">
      <c r="A2188" s="276" t="s">
        <v>7633</v>
      </c>
      <c r="B2188" s="277">
        <v>2019</v>
      </c>
      <c r="C2188" s="276"/>
      <c r="D2188" s="277">
        <v>30765242</v>
      </c>
      <c r="E2188" s="278" t="str">
        <f t="shared" si="23"/>
        <v>https://pubmed.ncbi.nlm.nih.gov/30765242</v>
      </c>
      <c r="F2188" s="28" t="s">
        <v>511</v>
      </c>
      <c r="G2188" s="28" t="s">
        <v>4744</v>
      </c>
      <c r="J2188" s="346" t="str">
        <f t="shared" si="19"/>
        <v/>
      </c>
      <c r="K2188" s="28" t="str">
        <f t="shared" si="24"/>
        <v/>
      </c>
      <c r="L2188" s="45" t="str">
        <f t="shared" si="25"/>
        <v/>
      </c>
      <c r="M2188" s="45" t="str">
        <f t="shared" si="26"/>
        <v/>
      </c>
      <c r="N2188" s="45">
        <f t="shared" si="27"/>
        <v>1</v>
      </c>
      <c r="O2188" s="45" t="str">
        <f t="shared" si="28"/>
        <v/>
      </c>
      <c r="P2188" s="45" t="str">
        <f t="shared" si="29"/>
        <v/>
      </c>
    </row>
    <row r="2189" spans="1:16" ht="17.25">
      <c r="A2189" s="276" t="s">
        <v>7634</v>
      </c>
      <c r="B2189" s="277">
        <v>2016</v>
      </c>
      <c r="C2189" s="276" t="s">
        <v>7635</v>
      </c>
      <c r="D2189" s="277">
        <v>27121755</v>
      </c>
      <c r="E2189" s="278" t="str">
        <f t="shared" si="23"/>
        <v>https://pubmed.ncbi.nlm.nih.gov/27121755</v>
      </c>
      <c r="F2189" s="28" t="s">
        <v>511</v>
      </c>
      <c r="G2189" s="28" t="s">
        <v>4592</v>
      </c>
      <c r="J2189" s="346">
        <f t="shared" si="19"/>
        <v>1</v>
      </c>
      <c r="K2189" s="28" t="str">
        <f t="shared" si="24"/>
        <v/>
      </c>
      <c r="L2189" s="45" t="str">
        <f t="shared" si="25"/>
        <v/>
      </c>
      <c r="M2189" s="45" t="str">
        <f t="shared" si="26"/>
        <v/>
      </c>
      <c r="N2189" s="45" t="str">
        <f t="shared" si="27"/>
        <v/>
      </c>
      <c r="O2189" s="45" t="str">
        <f t="shared" si="28"/>
        <v/>
      </c>
      <c r="P2189" s="45" t="str">
        <f t="shared" si="29"/>
        <v/>
      </c>
    </row>
    <row r="2190" spans="1:16" ht="17.25">
      <c r="A2190" s="276" t="s">
        <v>7634</v>
      </c>
      <c r="B2190" s="277">
        <v>2008</v>
      </c>
      <c r="C2190" s="276"/>
      <c r="D2190" s="277">
        <v>18254003</v>
      </c>
      <c r="E2190" s="278" t="str">
        <f t="shared" si="23"/>
        <v>https://pubmed.ncbi.nlm.nih.gov/18254003</v>
      </c>
      <c r="F2190" s="28" t="s">
        <v>511</v>
      </c>
      <c r="G2190" s="28" t="s">
        <v>4592</v>
      </c>
      <c r="J2190" s="346">
        <f t="shared" si="19"/>
        <v>1</v>
      </c>
      <c r="K2190" s="28" t="str">
        <f t="shared" si="24"/>
        <v/>
      </c>
      <c r="L2190" s="45" t="str">
        <f t="shared" si="25"/>
        <v/>
      </c>
      <c r="M2190" s="45" t="str">
        <f t="shared" si="26"/>
        <v/>
      </c>
      <c r="N2190" s="45" t="str">
        <f t="shared" si="27"/>
        <v/>
      </c>
      <c r="O2190" s="45" t="str">
        <f t="shared" si="28"/>
        <v/>
      </c>
      <c r="P2190" s="45" t="str">
        <f t="shared" si="29"/>
        <v/>
      </c>
    </row>
    <row r="2191" spans="1:16" ht="17.25">
      <c r="A2191" s="276" t="s">
        <v>7636</v>
      </c>
      <c r="B2191" s="277">
        <v>2017</v>
      </c>
      <c r="C2191" s="276"/>
      <c r="D2191" s="277">
        <v>28831993</v>
      </c>
      <c r="E2191" s="278" t="str">
        <f t="shared" si="23"/>
        <v>https://pubmed.ncbi.nlm.nih.gov/28831993</v>
      </c>
      <c r="F2191" s="28" t="s">
        <v>511</v>
      </c>
      <c r="G2191" s="28" t="s">
        <v>7637</v>
      </c>
      <c r="J2191" s="346" t="str">
        <f t="shared" si="19"/>
        <v/>
      </c>
      <c r="K2191" s="28" t="str">
        <f t="shared" si="24"/>
        <v/>
      </c>
      <c r="L2191" s="45" t="str">
        <f t="shared" si="25"/>
        <v/>
      </c>
      <c r="M2191" s="45" t="str">
        <f t="shared" si="26"/>
        <v/>
      </c>
      <c r="N2191" s="45">
        <f t="shared" si="27"/>
        <v>1</v>
      </c>
      <c r="O2191" s="45" t="str">
        <f t="shared" si="28"/>
        <v/>
      </c>
      <c r="P2191" s="45" t="str">
        <f t="shared" si="29"/>
        <v/>
      </c>
    </row>
    <row r="2192" spans="1:16" ht="17.25">
      <c r="A2192" s="276" t="s">
        <v>7638</v>
      </c>
      <c r="B2192" s="277">
        <v>2018</v>
      </c>
      <c r="C2192" s="276" t="s">
        <v>7639</v>
      </c>
      <c r="D2192" s="277">
        <v>30298065</v>
      </c>
      <c r="E2192" s="278" t="str">
        <f t="shared" si="23"/>
        <v>https://pubmed.ncbi.nlm.nih.gov/30298065</v>
      </c>
      <c r="F2192" s="28" t="s">
        <v>511</v>
      </c>
      <c r="G2192" s="28" t="s">
        <v>7640</v>
      </c>
      <c r="J2192" s="346">
        <f t="shared" si="19"/>
        <v>1</v>
      </c>
      <c r="K2192" s="28" t="str">
        <f t="shared" si="24"/>
        <v/>
      </c>
      <c r="L2192" s="45" t="str">
        <f t="shared" si="25"/>
        <v/>
      </c>
      <c r="M2192" s="45" t="str">
        <f t="shared" si="26"/>
        <v/>
      </c>
      <c r="N2192" s="45" t="str">
        <f t="shared" si="27"/>
        <v/>
      </c>
      <c r="O2192" s="45" t="str">
        <f t="shared" si="28"/>
        <v/>
      </c>
      <c r="P2192" s="45" t="str">
        <f t="shared" si="29"/>
        <v/>
      </c>
    </row>
    <row r="2193" spans="1:16" ht="17.25">
      <c r="A2193" s="276" t="s">
        <v>7641</v>
      </c>
      <c r="B2193" s="277">
        <v>2017</v>
      </c>
      <c r="C2193" s="276" t="s">
        <v>7642</v>
      </c>
      <c r="D2193" s="277">
        <v>27889401</v>
      </c>
      <c r="E2193" s="278" t="str">
        <f t="shared" si="23"/>
        <v>https://pubmed.ncbi.nlm.nih.gov/27889401</v>
      </c>
      <c r="F2193" s="28" t="s">
        <v>511</v>
      </c>
      <c r="G2193" s="28" t="s">
        <v>7643</v>
      </c>
      <c r="J2193" s="346" t="str">
        <f t="shared" si="19"/>
        <v/>
      </c>
      <c r="K2193" s="28" t="str">
        <f t="shared" si="24"/>
        <v/>
      </c>
      <c r="L2193" s="45" t="str">
        <f t="shared" si="25"/>
        <v/>
      </c>
      <c r="M2193" s="45" t="str">
        <f t="shared" si="26"/>
        <v/>
      </c>
      <c r="N2193" s="45" t="str">
        <f t="shared" si="27"/>
        <v/>
      </c>
      <c r="O2193" s="45">
        <f t="shared" si="28"/>
        <v>1</v>
      </c>
      <c r="P2193" s="45" t="str">
        <f t="shared" si="29"/>
        <v/>
      </c>
    </row>
    <row r="2194" spans="1:16" ht="17.25">
      <c r="A2194" s="276" t="s">
        <v>7644</v>
      </c>
      <c r="B2194" s="277">
        <v>2014</v>
      </c>
      <c r="C2194" s="276" t="s">
        <v>7645</v>
      </c>
      <c r="D2194" s="277">
        <v>25369798</v>
      </c>
      <c r="E2194" s="278" t="str">
        <f t="shared" si="23"/>
        <v>https://pubmed.ncbi.nlm.nih.gov/25369798</v>
      </c>
      <c r="F2194" s="28" t="s">
        <v>511</v>
      </c>
      <c r="G2194" s="28" t="s">
        <v>6220</v>
      </c>
      <c r="J2194" s="346">
        <f t="shared" si="19"/>
        <v>1</v>
      </c>
      <c r="K2194" s="28" t="str">
        <f t="shared" si="24"/>
        <v/>
      </c>
      <c r="L2194" s="45" t="str">
        <f t="shared" si="25"/>
        <v/>
      </c>
      <c r="M2194" s="45" t="str">
        <f t="shared" si="26"/>
        <v/>
      </c>
      <c r="N2194" s="45" t="str">
        <f t="shared" si="27"/>
        <v/>
      </c>
      <c r="O2194" s="45" t="str">
        <f t="shared" si="28"/>
        <v/>
      </c>
      <c r="P2194" s="45" t="str">
        <f t="shared" si="29"/>
        <v/>
      </c>
    </row>
    <row r="2195" spans="1:16" ht="17.25">
      <c r="A2195" s="276" t="s">
        <v>7644</v>
      </c>
      <c r="B2195" s="277">
        <v>2015</v>
      </c>
      <c r="C2195" s="276"/>
      <c r="D2195" s="277">
        <v>25749417</v>
      </c>
      <c r="E2195" s="278" t="str">
        <f t="shared" si="23"/>
        <v>https://pubmed.ncbi.nlm.nih.gov/25749417</v>
      </c>
      <c r="F2195" s="28" t="s">
        <v>511</v>
      </c>
      <c r="G2195" s="28" t="s">
        <v>4592</v>
      </c>
      <c r="J2195" s="346">
        <f t="shared" si="19"/>
        <v>1</v>
      </c>
      <c r="K2195" s="28" t="str">
        <f t="shared" si="24"/>
        <v/>
      </c>
      <c r="L2195" s="45" t="str">
        <f t="shared" si="25"/>
        <v/>
      </c>
      <c r="M2195" s="45" t="str">
        <f t="shared" si="26"/>
        <v/>
      </c>
      <c r="N2195" s="45" t="str">
        <f t="shared" si="27"/>
        <v/>
      </c>
      <c r="O2195" s="45" t="str">
        <f t="shared" si="28"/>
        <v/>
      </c>
      <c r="P2195" s="45" t="str">
        <f t="shared" si="29"/>
        <v/>
      </c>
    </row>
    <row r="2196" spans="1:16" ht="17.25">
      <c r="A2196" s="276" t="s">
        <v>7646</v>
      </c>
      <c r="B2196" s="277">
        <v>2008</v>
      </c>
      <c r="C2196" s="276"/>
      <c r="D2196" s="277">
        <v>18580803</v>
      </c>
      <c r="E2196" s="278" t="str">
        <f t="shared" si="23"/>
        <v>https://pubmed.ncbi.nlm.nih.gov/18580803</v>
      </c>
      <c r="F2196" s="28" t="s">
        <v>511</v>
      </c>
      <c r="G2196" s="28" t="s">
        <v>6585</v>
      </c>
      <c r="J2196" s="346" t="str">
        <f t="shared" si="19"/>
        <v/>
      </c>
      <c r="K2196" s="28" t="str">
        <f t="shared" si="24"/>
        <v/>
      </c>
      <c r="L2196" s="45" t="str">
        <f t="shared" si="25"/>
        <v/>
      </c>
      <c r="M2196" s="45" t="str">
        <f t="shared" si="26"/>
        <v/>
      </c>
      <c r="N2196" s="45">
        <f t="shared" si="27"/>
        <v>1</v>
      </c>
      <c r="O2196" s="45" t="str">
        <f t="shared" si="28"/>
        <v/>
      </c>
      <c r="P2196" s="45" t="str">
        <f t="shared" si="29"/>
        <v/>
      </c>
    </row>
    <row r="2197" spans="1:16" ht="17.25">
      <c r="A2197" s="276" t="s">
        <v>7647</v>
      </c>
      <c r="B2197" s="277">
        <v>2011</v>
      </c>
      <c r="C2197" s="276"/>
      <c r="D2197" s="277">
        <v>21355969</v>
      </c>
      <c r="E2197" s="278" t="str">
        <f t="shared" si="23"/>
        <v>https://pubmed.ncbi.nlm.nih.gov/21355969</v>
      </c>
      <c r="F2197" s="28" t="s">
        <v>511</v>
      </c>
      <c r="G2197" s="28" t="s">
        <v>4744</v>
      </c>
      <c r="J2197" s="346" t="str">
        <f t="shared" si="19"/>
        <v/>
      </c>
      <c r="K2197" s="28" t="str">
        <f t="shared" si="24"/>
        <v/>
      </c>
      <c r="L2197" s="45" t="str">
        <f t="shared" si="25"/>
        <v/>
      </c>
      <c r="M2197" s="45" t="str">
        <f t="shared" si="26"/>
        <v/>
      </c>
      <c r="N2197" s="45">
        <f t="shared" si="27"/>
        <v>1</v>
      </c>
      <c r="O2197" s="45" t="str">
        <f t="shared" si="28"/>
        <v/>
      </c>
      <c r="P2197" s="45" t="str">
        <f t="shared" si="29"/>
        <v/>
      </c>
    </row>
    <row r="2198" spans="1:16" ht="17.25">
      <c r="A2198" s="276" t="s">
        <v>7648</v>
      </c>
      <c r="B2198" s="277">
        <v>2017</v>
      </c>
      <c r="C2198" s="276"/>
      <c r="D2198" s="277">
        <v>28728060</v>
      </c>
      <c r="E2198" s="278" t="str">
        <f t="shared" si="23"/>
        <v>https://pubmed.ncbi.nlm.nih.gov/28728060</v>
      </c>
      <c r="F2198" s="28" t="s">
        <v>511</v>
      </c>
      <c r="G2198" s="28" t="s">
        <v>4592</v>
      </c>
      <c r="J2198" s="346">
        <f t="shared" si="19"/>
        <v>1</v>
      </c>
      <c r="K2198" s="28" t="str">
        <f t="shared" si="24"/>
        <v/>
      </c>
      <c r="L2198" s="45" t="str">
        <f t="shared" si="25"/>
        <v/>
      </c>
      <c r="M2198" s="45" t="str">
        <f t="shared" si="26"/>
        <v/>
      </c>
      <c r="N2198" s="45" t="str">
        <f t="shared" si="27"/>
        <v/>
      </c>
      <c r="O2198" s="45" t="str">
        <f t="shared" si="28"/>
        <v/>
      </c>
      <c r="P2198" s="45" t="str">
        <f t="shared" si="29"/>
        <v/>
      </c>
    </row>
    <row r="2199" spans="1:16" ht="17.25">
      <c r="A2199" s="276" t="s">
        <v>7649</v>
      </c>
      <c r="B2199" s="277">
        <v>2018</v>
      </c>
      <c r="C2199" s="276" t="s">
        <v>7650</v>
      </c>
      <c r="D2199" s="277">
        <v>29480455</v>
      </c>
      <c r="E2199" s="278" t="str">
        <f t="shared" si="23"/>
        <v>https://pubmed.ncbi.nlm.nih.gov/29480455</v>
      </c>
      <c r="F2199" s="28" t="s">
        <v>511</v>
      </c>
      <c r="G2199" s="28" t="s">
        <v>4592</v>
      </c>
      <c r="J2199" s="346">
        <f t="shared" si="19"/>
        <v>1</v>
      </c>
      <c r="K2199" s="28" t="str">
        <f t="shared" si="24"/>
        <v/>
      </c>
      <c r="L2199" s="45" t="str">
        <f t="shared" si="25"/>
        <v/>
      </c>
      <c r="M2199" s="45" t="str">
        <f t="shared" si="26"/>
        <v/>
      </c>
      <c r="N2199" s="45" t="str">
        <f t="shared" si="27"/>
        <v/>
      </c>
      <c r="O2199" s="45" t="str">
        <f t="shared" si="28"/>
        <v/>
      </c>
      <c r="P2199" s="45" t="str">
        <f t="shared" si="29"/>
        <v/>
      </c>
    </row>
    <row r="2200" spans="1:16" ht="17.25">
      <c r="A2200" s="276" t="s">
        <v>7651</v>
      </c>
      <c r="B2200" s="277">
        <v>2017</v>
      </c>
      <c r="C2200" s="276"/>
      <c r="D2200" s="277">
        <v>28640708</v>
      </c>
      <c r="E2200" s="278" t="str">
        <f t="shared" si="23"/>
        <v>https://pubmed.ncbi.nlm.nih.gov/28640708</v>
      </c>
      <c r="F2200" s="28" t="s">
        <v>511</v>
      </c>
      <c r="G2200" s="28" t="s">
        <v>4592</v>
      </c>
      <c r="J2200" s="346">
        <f t="shared" si="19"/>
        <v>1</v>
      </c>
      <c r="K2200" s="28" t="str">
        <f t="shared" si="24"/>
        <v/>
      </c>
      <c r="L2200" s="45" t="str">
        <f t="shared" si="25"/>
        <v/>
      </c>
      <c r="M2200" s="45" t="str">
        <f t="shared" si="26"/>
        <v/>
      </c>
      <c r="N2200" s="45" t="str">
        <f t="shared" si="27"/>
        <v/>
      </c>
      <c r="O2200" s="45" t="str">
        <f t="shared" si="28"/>
        <v/>
      </c>
      <c r="P2200" s="45" t="str">
        <f t="shared" si="29"/>
        <v/>
      </c>
    </row>
    <row r="2201" spans="1:16" ht="17.25">
      <c r="A2201" s="276" t="s">
        <v>7652</v>
      </c>
      <c r="B2201" s="277">
        <v>1994</v>
      </c>
      <c r="C2201" s="276"/>
      <c r="D2201" s="277">
        <v>8022537</v>
      </c>
      <c r="E2201" s="278" t="str">
        <f t="shared" si="23"/>
        <v>https://pubmed.ncbi.nlm.nih.gov/8022537</v>
      </c>
      <c r="F2201" s="28" t="s">
        <v>511</v>
      </c>
      <c r="G2201" s="28" t="s">
        <v>4592</v>
      </c>
      <c r="J2201" s="346">
        <f t="shared" si="19"/>
        <v>1</v>
      </c>
      <c r="K2201" s="28" t="str">
        <f t="shared" si="24"/>
        <v/>
      </c>
      <c r="L2201" s="45" t="str">
        <f t="shared" si="25"/>
        <v/>
      </c>
      <c r="M2201" s="45" t="str">
        <f t="shared" si="26"/>
        <v/>
      </c>
      <c r="N2201" s="45" t="str">
        <f t="shared" si="27"/>
        <v/>
      </c>
      <c r="O2201" s="45" t="str">
        <f t="shared" si="28"/>
        <v/>
      </c>
      <c r="P2201" s="45" t="str">
        <f t="shared" si="29"/>
        <v/>
      </c>
    </row>
    <row r="2202" spans="1:16" ht="17.25">
      <c r="A2202" s="276" t="s">
        <v>7653</v>
      </c>
      <c r="B2202" s="277">
        <v>2013</v>
      </c>
      <c r="C2202" s="276"/>
      <c r="D2202" s="277">
        <v>23633366</v>
      </c>
      <c r="E2202" s="278" t="str">
        <f t="shared" si="23"/>
        <v>https://pubmed.ncbi.nlm.nih.gov/23633366</v>
      </c>
      <c r="F2202" s="28" t="s">
        <v>511</v>
      </c>
      <c r="G2202" s="28" t="s">
        <v>5273</v>
      </c>
      <c r="J2202" s="346">
        <f t="shared" si="19"/>
        <v>1</v>
      </c>
      <c r="K2202" s="28" t="str">
        <f t="shared" si="24"/>
        <v/>
      </c>
      <c r="L2202" s="45" t="str">
        <f t="shared" si="25"/>
        <v/>
      </c>
      <c r="M2202" s="45" t="str">
        <f t="shared" si="26"/>
        <v/>
      </c>
      <c r="N2202" s="45" t="str">
        <f t="shared" si="27"/>
        <v/>
      </c>
      <c r="O2202" s="45" t="str">
        <f t="shared" si="28"/>
        <v/>
      </c>
      <c r="P2202" s="45" t="str">
        <f t="shared" si="29"/>
        <v/>
      </c>
    </row>
    <row r="2203" spans="1:16" ht="17.25">
      <c r="A2203" s="276" t="s">
        <v>7654</v>
      </c>
      <c r="B2203" s="277">
        <v>2009</v>
      </c>
      <c r="C2203" s="276"/>
      <c r="D2203" s="277">
        <v>19492655</v>
      </c>
      <c r="E2203" s="278" t="str">
        <f t="shared" si="23"/>
        <v>https://pubmed.ncbi.nlm.nih.gov/19492655</v>
      </c>
      <c r="F2203" s="28" t="s">
        <v>511</v>
      </c>
      <c r="G2203" s="28" t="s">
        <v>4592</v>
      </c>
      <c r="J2203" s="346">
        <f t="shared" si="19"/>
        <v>1</v>
      </c>
      <c r="K2203" s="28" t="str">
        <f t="shared" si="24"/>
        <v/>
      </c>
      <c r="L2203" s="45" t="str">
        <f t="shared" si="25"/>
        <v/>
      </c>
      <c r="M2203" s="45" t="str">
        <f t="shared" si="26"/>
        <v/>
      </c>
      <c r="N2203" s="45" t="str">
        <f t="shared" si="27"/>
        <v/>
      </c>
      <c r="O2203" s="45" t="str">
        <f t="shared" si="28"/>
        <v/>
      </c>
      <c r="P2203" s="45" t="str">
        <f t="shared" si="29"/>
        <v/>
      </c>
    </row>
    <row r="2204" spans="1:16" ht="17.25">
      <c r="A2204" s="276" t="s">
        <v>7655</v>
      </c>
      <c r="B2204" s="277">
        <v>2011</v>
      </c>
      <c r="C2204" s="276" t="s">
        <v>7656</v>
      </c>
      <c r="D2204" s="277">
        <v>21346038</v>
      </c>
      <c r="E2204" s="278" t="str">
        <f t="shared" si="23"/>
        <v>https://pubmed.ncbi.nlm.nih.gov/21346038</v>
      </c>
      <c r="F2204" s="28" t="s">
        <v>511</v>
      </c>
      <c r="G2204" s="28" t="s">
        <v>4592</v>
      </c>
      <c r="J2204" s="346">
        <f t="shared" si="19"/>
        <v>1</v>
      </c>
      <c r="K2204" s="28" t="str">
        <f t="shared" si="24"/>
        <v/>
      </c>
      <c r="L2204" s="45" t="str">
        <f t="shared" si="25"/>
        <v/>
      </c>
      <c r="M2204" s="45" t="str">
        <f t="shared" si="26"/>
        <v/>
      </c>
      <c r="N2204" s="45" t="str">
        <f t="shared" si="27"/>
        <v/>
      </c>
      <c r="O2204" s="45" t="str">
        <f t="shared" si="28"/>
        <v/>
      </c>
      <c r="P2204" s="45" t="str">
        <f t="shared" si="29"/>
        <v/>
      </c>
    </row>
    <row r="2205" spans="1:16" ht="17.25">
      <c r="A2205" s="276" t="s">
        <v>7657</v>
      </c>
      <c r="B2205" s="277">
        <v>2010</v>
      </c>
      <c r="C2205" s="276"/>
      <c r="D2205" s="277">
        <v>19919295</v>
      </c>
      <c r="E2205" s="278" t="str">
        <f t="shared" si="23"/>
        <v>https://pubmed.ncbi.nlm.nih.gov/19919295</v>
      </c>
      <c r="F2205" s="28" t="s">
        <v>511</v>
      </c>
      <c r="G2205" s="28" t="s">
        <v>4592</v>
      </c>
      <c r="J2205" s="346">
        <f t="shared" si="19"/>
        <v>1</v>
      </c>
      <c r="K2205" s="28" t="str">
        <f t="shared" si="24"/>
        <v/>
      </c>
      <c r="L2205" s="45" t="str">
        <f t="shared" si="25"/>
        <v/>
      </c>
      <c r="M2205" s="45" t="str">
        <f t="shared" si="26"/>
        <v/>
      </c>
      <c r="N2205" s="45" t="str">
        <f t="shared" si="27"/>
        <v/>
      </c>
      <c r="O2205" s="45" t="str">
        <f t="shared" si="28"/>
        <v/>
      </c>
      <c r="P2205" s="45" t="str">
        <f t="shared" si="29"/>
        <v/>
      </c>
    </row>
    <row r="2206" spans="1:16" ht="17.25">
      <c r="A2206" s="276" t="s">
        <v>7658</v>
      </c>
      <c r="B2206" s="277">
        <v>2014</v>
      </c>
      <c r="C2206" s="276"/>
      <c r="D2206" s="277">
        <v>24618152</v>
      </c>
      <c r="E2206" s="278" t="str">
        <f t="shared" si="23"/>
        <v>https://pubmed.ncbi.nlm.nih.gov/24618152</v>
      </c>
      <c r="F2206" s="28" t="s">
        <v>511</v>
      </c>
      <c r="G2206" s="28" t="s">
        <v>4592</v>
      </c>
      <c r="J2206" s="346">
        <f t="shared" si="19"/>
        <v>1</v>
      </c>
      <c r="K2206" s="28" t="str">
        <f t="shared" si="24"/>
        <v/>
      </c>
      <c r="L2206" s="45" t="str">
        <f t="shared" si="25"/>
        <v/>
      </c>
      <c r="M2206" s="45" t="str">
        <f t="shared" si="26"/>
        <v/>
      </c>
      <c r="N2206" s="45" t="str">
        <f t="shared" si="27"/>
        <v/>
      </c>
      <c r="O2206" s="45" t="str">
        <f t="shared" si="28"/>
        <v/>
      </c>
      <c r="P2206" s="45" t="str">
        <f t="shared" si="29"/>
        <v/>
      </c>
    </row>
    <row r="2207" spans="1:16" ht="17.25">
      <c r="A2207" s="276" t="s">
        <v>7659</v>
      </c>
      <c r="B2207" s="277">
        <v>2017</v>
      </c>
      <c r="C2207" s="276" t="s">
        <v>7660</v>
      </c>
      <c r="D2207" s="277">
        <v>27650708</v>
      </c>
      <c r="E2207" s="278" t="str">
        <f t="shared" si="23"/>
        <v>https://pubmed.ncbi.nlm.nih.gov/27650708</v>
      </c>
      <c r="F2207" s="28" t="s">
        <v>511</v>
      </c>
      <c r="G2207" s="28" t="s">
        <v>6809</v>
      </c>
      <c r="J2207" s="346" t="str">
        <f t="shared" si="19"/>
        <v/>
      </c>
      <c r="K2207" s="28" t="str">
        <f t="shared" si="24"/>
        <v/>
      </c>
      <c r="L2207" s="45" t="str">
        <f t="shared" si="25"/>
        <v/>
      </c>
      <c r="M2207" s="45" t="str">
        <f t="shared" si="26"/>
        <v/>
      </c>
      <c r="N2207" s="45">
        <f t="shared" si="27"/>
        <v>1</v>
      </c>
      <c r="O2207" s="45" t="str">
        <f t="shared" si="28"/>
        <v/>
      </c>
      <c r="P2207" s="45" t="str">
        <f t="shared" si="29"/>
        <v/>
      </c>
    </row>
    <row r="2208" spans="1:16" ht="17.25">
      <c r="A2208" s="276" t="s">
        <v>7659</v>
      </c>
      <c r="B2208" s="277">
        <v>2017</v>
      </c>
      <c r="C2208" s="276" t="s">
        <v>7661</v>
      </c>
      <c r="D2208" s="277">
        <v>28062347</v>
      </c>
      <c r="E2208" s="278" t="str">
        <f t="shared" si="23"/>
        <v>https://pubmed.ncbi.nlm.nih.gov/28062347</v>
      </c>
      <c r="F2208" s="28" t="s">
        <v>511</v>
      </c>
      <c r="G2208" s="28" t="s">
        <v>7662</v>
      </c>
      <c r="J2208" s="346" t="str">
        <f t="shared" si="19"/>
        <v/>
      </c>
      <c r="K2208" s="28" t="str">
        <f t="shared" si="24"/>
        <v/>
      </c>
      <c r="L2208" s="45" t="str">
        <f t="shared" si="25"/>
        <v/>
      </c>
      <c r="M2208" s="45" t="str">
        <f t="shared" si="26"/>
        <v/>
      </c>
      <c r="N2208" s="45">
        <f t="shared" si="27"/>
        <v>1</v>
      </c>
      <c r="O2208" s="45" t="str">
        <f t="shared" si="28"/>
        <v/>
      </c>
      <c r="P2208" s="45" t="str">
        <f t="shared" si="29"/>
        <v/>
      </c>
    </row>
    <row r="2209" spans="1:16" ht="17.25">
      <c r="A2209" s="276" t="s">
        <v>7663</v>
      </c>
      <c r="B2209" s="277">
        <v>2017</v>
      </c>
      <c r="C2209" s="276"/>
      <c r="D2209" s="277">
        <v>27188794</v>
      </c>
      <c r="E2209" s="278" t="str">
        <f t="shared" si="23"/>
        <v>https://pubmed.ncbi.nlm.nih.gov/27188794</v>
      </c>
      <c r="F2209" s="28" t="s">
        <v>511</v>
      </c>
      <c r="G2209" s="28" t="s">
        <v>7664</v>
      </c>
      <c r="J2209" s="346" t="str">
        <f t="shared" si="19"/>
        <v/>
      </c>
      <c r="K2209" s="28" t="str">
        <f t="shared" si="24"/>
        <v/>
      </c>
      <c r="L2209" s="45" t="str">
        <f t="shared" si="25"/>
        <v/>
      </c>
      <c r="M2209" s="45" t="str">
        <f t="shared" si="26"/>
        <v/>
      </c>
      <c r="N2209" s="45">
        <f t="shared" si="27"/>
        <v>1</v>
      </c>
      <c r="O2209" s="45" t="str">
        <f t="shared" si="28"/>
        <v/>
      </c>
      <c r="P2209" s="45" t="str">
        <f t="shared" si="29"/>
        <v/>
      </c>
    </row>
    <row r="2210" spans="1:16" ht="17.25">
      <c r="A2210" s="276" t="s">
        <v>7665</v>
      </c>
      <c r="B2210" s="277">
        <v>2010</v>
      </c>
      <c r="C2210" s="276"/>
      <c r="D2210" s="277">
        <v>20849195</v>
      </c>
      <c r="E2210" s="278" t="str">
        <f t="shared" si="23"/>
        <v>https://pubmed.ncbi.nlm.nih.gov/20849195</v>
      </c>
      <c r="F2210" s="28" t="s">
        <v>511</v>
      </c>
      <c r="G2210" s="28" t="s">
        <v>4592</v>
      </c>
      <c r="J2210" s="346">
        <f t="shared" si="19"/>
        <v>1</v>
      </c>
      <c r="K2210" s="28" t="str">
        <f t="shared" si="24"/>
        <v/>
      </c>
      <c r="L2210" s="45" t="str">
        <f t="shared" si="25"/>
        <v/>
      </c>
      <c r="M2210" s="45" t="str">
        <f t="shared" si="26"/>
        <v/>
      </c>
      <c r="N2210" s="45" t="str">
        <f t="shared" si="27"/>
        <v/>
      </c>
      <c r="O2210" s="45" t="str">
        <f t="shared" si="28"/>
        <v/>
      </c>
      <c r="P2210" s="45" t="str">
        <f t="shared" si="29"/>
        <v/>
      </c>
    </row>
    <row r="2211" spans="1:16" ht="17.25">
      <c r="A2211" s="276" t="s">
        <v>7666</v>
      </c>
      <c r="B2211" s="277">
        <v>2018</v>
      </c>
      <c r="C2211" s="276"/>
      <c r="D2211" s="277">
        <v>29284183</v>
      </c>
      <c r="E2211" s="278" t="str">
        <f t="shared" si="23"/>
        <v>https://pubmed.ncbi.nlm.nih.gov/29284183</v>
      </c>
      <c r="F2211" s="28" t="s">
        <v>511</v>
      </c>
      <c r="G2211" s="28" t="s">
        <v>5157</v>
      </c>
      <c r="I2211" s="28" t="s">
        <v>6429</v>
      </c>
      <c r="J2211" s="346" t="str">
        <f t="shared" si="19"/>
        <v/>
      </c>
      <c r="K2211" s="28" t="str">
        <f t="shared" si="24"/>
        <v/>
      </c>
      <c r="L2211" s="45" t="str">
        <f t="shared" si="25"/>
        <v/>
      </c>
      <c r="M2211" s="45" t="str">
        <f t="shared" si="26"/>
        <v/>
      </c>
      <c r="N2211" s="45">
        <f t="shared" si="27"/>
        <v>1</v>
      </c>
      <c r="O2211" s="45" t="str">
        <f t="shared" si="28"/>
        <v/>
      </c>
      <c r="P2211" s="45" t="str">
        <f t="shared" si="29"/>
        <v/>
      </c>
    </row>
    <row r="2212" spans="1:16" ht="17.25">
      <c r="A2212" s="276" t="s">
        <v>7667</v>
      </c>
      <c r="B2212" s="277">
        <v>2004</v>
      </c>
      <c r="C2212" s="276"/>
      <c r="D2212" s="277">
        <v>15190957</v>
      </c>
      <c r="E2212" s="278" t="str">
        <f t="shared" si="23"/>
        <v>https://pubmed.ncbi.nlm.nih.gov/15190957</v>
      </c>
      <c r="F2212" s="28" t="s">
        <v>511</v>
      </c>
      <c r="G2212" s="28" t="s">
        <v>4867</v>
      </c>
      <c r="J2212" s="346" t="str">
        <f t="shared" si="19"/>
        <v/>
      </c>
      <c r="K2212" s="28" t="str">
        <f t="shared" si="24"/>
        <v/>
      </c>
      <c r="L2212" s="45" t="str">
        <f t="shared" si="25"/>
        <v/>
      </c>
      <c r="M2212" s="45" t="str">
        <f t="shared" si="26"/>
        <v/>
      </c>
      <c r="N2212" s="45">
        <f t="shared" si="27"/>
        <v>1</v>
      </c>
      <c r="O2212" s="45" t="str">
        <f t="shared" si="28"/>
        <v/>
      </c>
      <c r="P2212" s="45" t="str">
        <f t="shared" si="29"/>
        <v/>
      </c>
    </row>
    <row r="2213" spans="1:16" ht="17.25">
      <c r="A2213" s="276" t="s">
        <v>7668</v>
      </c>
      <c r="B2213" s="277">
        <v>2017</v>
      </c>
      <c r="C2213" s="276"/>
      <c r="D2213" s="277">
        <v>26976354</v>
      </c>
      <c r="E2213" s="278" t="str">
        <f t="shared" si="23"/>
        <v>https://pubmed.ncbi.nlm.nih.gov/26976354</v>
      </c>
      <c r="F2213" s="28" t="s">
        <v>511</v>
      </c>
      <c r="G2213" s="28" t="s">
        <v>5157</v>
      </c>
      <c r="J2213" s="346" t="str">
        <f t="shared" si="19"/>
        <v/>
      </c>
      <c r="K2213" s="28" t="str">
        <f t="shared" si="24"/>
        <v/>
      </c>
      <c r="L2213" s="45" t="str">
        <f t="shared" si="25"/>
        <v/>
      </c>
      <c r="M2213" s="45" t="str">
        <f t="shared" si="26"/>
        <v/>
      </c>
      <c r="N2213" s="45">
        <f t="shared" si="27"/>
        <v>1</v>
      </c>
      <c r="O2213" s="45" t="str">
        <f t="shared" si="28"/>
        <v/>
      </c>
      <c r="P2213" s="45" t="str">
        <f t="shared" si="29"/>
        <v/>
      </c>
    </row>
    <row r="2214" spans="1:16" ht="17.25">
      <c r="A2214" s="276" t="s">
        <v>7669</v>
      </c>
      <c r="B2214" s="277">
        <v>2020</v>
      </c>
      <c r="C2214" s="276" t="s">
        <v>7670</v>
      </c>
      <c r="D2214" s="277">
        <v>32481322</v>
      </c>
      <c r="E2214" s="278" t="str">
        <f t="shared" si="23"/>
        <v>https://pubmed.ncbi.nlm.nih.gov/32481322</v>
      </c>
      <c r="F2214" s="28" t="s">
        <v>511</v>
      </c>
      <c r="G2214" s="28" t="s">
        <v>6220</v>
      </c>
      <c r="J2214" s="346">
        <f t="shared" si="19"/>
        <v>1</v>
      </c>
      <c r="K2214" s="28" t="str">
        <f t="shared" si="24"/>
        <v/>
      </c>
      <c r="L2214" s="45" t="str">
        <f t="shared" si="25"/>
        <v/>
      </c>
      <c r="M2214" s="45" t="str">
        <f t="shared" si="26"/>
        <v/>
      </c>
      <c r="N2214" s="45" t="str">
        <f t="shared" si="27"/>
        <v/>
      </c>
      <c r="O2214" s="45" t="str">
        <f t="shared" si="28"/>
        <v/>
      </c>
      <c r="P2214" s="45" t="str">
        <f t="shared" si="29"/>
        <v/>
      </c>
    </row>
    <row r="2215" spans="1:16" ht="17.25">
      <c r="A2215" s="276" t="s">
        <v>7671</v>
      </c>
      <c r="B2215" s="277">
        <v>2007</v>
      </c>
      <c r="C2215" s="276"/>
      <c r="D2215" s="277">
        <v>18073386</v>
      </c>
      <c r="E2215" s="278" t="str">
        <f t="shared" si="23"/>
        <v>https://pubmed.ncbi.nlm.nih.gov/18073386</v>
      </c>
      <c r="F2215" s="28" t="s">
        <v>511</v>
      </c>
      <c r="G2215" s="28" t="s">
        <v>7672</v>
      </c>
      <c r="J2215" s="346" t="str">
        <f t="shared" si="19"/>
        <v/>
      </c>
      <c r="K2215" s="28" t="str">
        <f t="shared" si="24"/>
        <v/>
      </c>
      <c r="L2215" s="45" t="str">
        <f t="shared" si="25"/>
        <v/>
      </c>
      <c r="M2215" s="45" t="str">
        <f t="shared" si="26"/>
        <v/>
      </c>
      <c r="N2215" s="45">
        <f t="shared" si="27"/>
        <v>1</v>
      </c>
      <c r="O2215" s="45" t="str">
        <f t="shared" si="28"/>
        <v/>
      </c>
      <c r="P2215" s="45" t="str">
        <f t="shared" si="29"/>
        <v/>
      </c>
    </row>
    <row r="2216" spans="1:16" ht="17.25">
      <c r="A2216" s="276" t="s">
        <v>7673</v>
      </c>
      <c r="B2216" s="277">
        <v>2007</v>
      </c>
      <c r="C2216" s="276" t="s">
        <v>7674</v>
      </c>
      <c r="D2216" s="277">
        <v>17509128</v>
      </c>
      <c r="E2216" s="278" t="str">
        <f t="shared" si="23"/>
        <v>https://pubmed.ncbi.nlm.nih.gov/17509128</v>
      </c>
      <c r="F2216" s="28" t="s">
        <v>511</v>
      </c>
      <c r="G2216" s="28" t="s">
        <v>4346</v>
      </c>
      <c r="J2216" s="346" t="str">
        <f t="shared" si="19"/>
        <v/>
      </c>
      <c r="K2216" s="28" t="str">
        <f t="shared" si="24"/>
        <v/>
      </c>
      <c r="L2216" s="45">
        <f t="shared" si="25"/>
        <v>1</v>
      </c>
      <c r="M2216" s="45" t="str">
        <f t="shared" si="26"/>
        <v/>
      </c>
      <c r="N2216" s="45" t="str">
        <f t="shared" si="27"/>
        <v/>
      </c>
      <c r="O2216" s="45" t="str">
        <f t="shared" si="28"/>
        <v/>
      </c>
      <c r="P2216" s="45" t="str">
        <f t="shared" si="29"/>
        <v/>
      </c>
    </row>
    <row r="2217" spans="1:16" ht="17.25">
      <c r="A2217" s="276" t="s">
        <v>7675</v>
      </c>
      <c r="B2217" s="277">
        <v>2016</v>
      </c>
      <c r="C2217" s="276" t="s">
        <v>7676</v>
      </c>
      <c r="D2217" s="277">
        <v>27163222</v>
      </c>
      <c r="E2217" s="278" t="str">
        <f t="shared" si="23"/>
        <v>https://pubmed.ncbi.nlm.nih.gov/27163222</v>
      </c>
      <c r="F2217" s="28" t="s">
        <v>511</v>
      </c>
      <c r="G2217" s="28" t="s">
        <v>5157</v>
      </c>
      <c r="J2217" s="346" t="str">
        <f t="shared" si="19"/>
        <v/>
      </c>
      <c r="K2217" s="28" t="str">
        <f t="shared" si="24"/>
        <v/>
      </c>
      <c r="L2217" s="45" t="str">
        <f t="shared" si="25"/>
        <v/>
      </c>
      <c r="M2217" s="45" t="str">
        <f t="shared" si="26"/>
        <v/>
      </c>
      <c r="N2217" s="45">
        <f t="shared" si="27"/>
        <v>1</v>
      </c>
      <c r="O2217" s="45" t="str">
        <f t="shared" si="28"/>
        <v/>
      </c>
      <c r="P2217" s="45" t="str">
        <f t="shared" si="29"/>
        <v/>
      </c>
    </row>
    <row r="2218" spans="1:16" ht="17.25">
      <c r="A2218" s="276" t="s">
        <v>1255</v>
      </c>
      <c r="B2218" s="277">
        <v>2018</v>
      </c>
      <c r="C2218" s="276" t="s">
        <v>4215</v>
      </c>
      <c r="D2218" s="277">
        <v>29482720</v>
      </c>
      <c r="E2218" s="278" t="str">
        <f t="shared" si="23"/>
        <v>https://pubmed.ncbi.nlm.nih.gov/29482720</v>
      </c>
      <c r="H2218" s="28" t="s">
        <v>511</v>
      </c>
      <c r="J2218" s="346" t="str">
        <f t="shared" si="19"/>
        <v/>
      </c>
      <c r="K2218" s="28" t="str">
        <f t="shared" si="24"/>
        <v/>
      </c>
      <c r="L2218" s="45" t="str">
        <f t="shared" si="25"/>
        <v/>
      </c>
      <c r="M2218" s="45" t="str">
        <f t="shared" si="26"/>
        <v/>
      </c>
      <c r="N2218" s="45" t="str">
        <f t="shared" si="27"/>
        <v/>
      </c>
      <c r="O2218" s="45" t="str">
        <f t="shared" si="28"/>
        <v/>
      </c>
      <c r="P2218" s="45" t="str">
        <f t="shared" si="29"/>
        <v/>
      </c>
    </row>
    <row r="2219" spans="1:16" ht="17.25">
      <c r="A2219" s="276" t="s">
        <v>7677</v>
      </c>
      <c r="B2219" s="277">
        <v>1997</v>
      </c>
      <c r="C2219" s="276"/>
      <c r="D2219" s="277">
        <v>9237318</v>
      </c>
      <c r="E2219" s="278" t="str">
        <f t="shared" si="23"/>
        <v>https://pubmed.ncbi.nlm.nih.gov/9237318</v>
      </c>
      <c r="F2219" s="28" t="s">
        <v>511</v>
      </c>
      <c r="G2219" s="28" t="s">
        <v>4592</v>
      </c>
      <c r="J2219" s="346">
        <f t="shared" si="19"/>
        <v>1</v>
      </c>
      <c r="K2219" s="28" t="str">
        <f t="shared" si="24"/>
        <v/>
      </c>
      <c r="L2219" s="45" t="str">
        <f t="shared" si="25"/>
        <v/>
      </c>
      <c r="M2219" s="45" t="str">
        <f t="shared" si="26"/>
        <v/>
      </c>
      <c r="N2219" s="45" t="str">
        <f t="shared" si="27"/>
        <v/>
      </c>
      <c r="O2219" s="45" t="str">
        <f t="shared" si="28"/>
        <v/>
      </c>
      <c r="P2219" s="45" t="str">
        <f t="shared" si="29"/>
        <v/>
      </c>
    </row>
    <row r="2220" spans="1:16" ht="17.25">
      <c r="A2220" s="276" t="s">
        <v>7678</v>
      </c>
      <c r="B2220" s="277">
        <v>2010</v>
      </c>
      <c r="C2220" s="276"/>
      <c r="D2220" s="277">
        <v>20659185</v>
      </c>
      <c r="E2220" s="278" t="str">
        <f t="shared" si="23"/>
        <v>https://pubmed.ncbi.nlm.nih.gov/20659185</v>
      </c>
      <c r="F2220" s="28" t="s">
        <v>511</v>
      </c>
      <c r="G2220" s="28" t="s">
        <v>4744</v>
      </c>
      <c r="J2220" s="346" t="str">
        <f t="shared" si="19"/>
        <v/>
      </c>
      <c r="K2220" s="28" t="str">
        <f t="shared" si="24"/>
        <v/>
      </c>
      <c r="L2220" s="45" t="str">
        <f t="shared" si="25"/>
        <v/>
      </c>
      <c r="M2220" s="45" t="str">
        <f t="shared" si="26"/>
        <v/>
      </c>
      <c r="N2220" s="45">
        <f t="shared" si="27"/>
        <v>1</v>
      </c>
      <c r="O2220" s="45" t="str">
        <f t="shared" si="28"/>
        <v/>
      </c>
      <c r="P2220" s="45" t="str">
        <f t="shared" si="29"/>
        <v/>
      </c>
    </row>
    <row r="2221" spans="1:16" ht="17.25">
      <c r="A2221" s="276" t="s">
        <v>7679</v>
      </c>
      <c r="B2221" s="277">
        <v>2013</v>
      </c>
      <c r="C2221" s="276"/>
      <c r="D2221" s="277">
        <v>24002003</v>
      </c>
      <c r="E2221" s="278" t="str">
        <f t="shared" si="23"/>
        <v>https://pubmed.ncbi.nlm.nih.gov/24002003</v>
      </c>
      <c r="F2221" s="28" t="s">
        <v>511</v>
      </c>
      <c r="G2221" s="28" t="s">
        <v>4744</v>
      </c>
      <c r="J2221" s="346" t="str">
        <f t="shared" si="19"/>
        <v/>
      </c>
      <c r="K2221" s="28" t="str">
        <f t="shared" si="24"/>
        <v/>
      </c>
      <c r="L2221" s="45" t="str">
        <f t="shared" si="25"/>
        <v/>
      </c>
      <c r="M2221" s="45" t="str">
        <f t="shared" si="26"/>
        <v/>
      </c>
      <c r="N2221" s="45">
        <f t="shared" si="27"/>
        <v>1</v>
      </c>
      <c r="O2221" s="45" t="str">
        <f t="shared" si="28"/>
        <v/>
      </c>
      <c r="P2221" s="45" t="str">
        <f t="shared" si="29"/>
        <v/>
      </c>
    </row>
    <row r="2222" spans="1:16" ht="17.25">
      <c r="A2222" s="276" t="s">
        <v>7680</v>
      </c>
      <c r="B2222" s="277">
        <v>2009</v>
      </c>
      <c r="C2222" s="276"/>
      <c r="D2222" s="277">
        <v>19894368</v>
      </c>
      <c r="E2222" s="278" t="str">
        <f t="shared" si="23"/>
        <v>https://pubmed.ncbi.nlm.nih.gov/19894368</v>
      </c>
      <c r="F2222" s="28" t="s">
        <v>511</v>
      </c>
      <c r="G2222" s="28" t="s">
        <v>4592</v>
      </c>
      <c r="J2222" s="346">
        <f t="shared" si="19"/>
        <v>1</v>
      </c>
      <c r="K2222" s="28" t="str">
        <f t="shared" si="24"/>
        <v/>
      </c>
      <c r="L2222" s="45" t="str">
        <f t="shared" si="25"/>
        <v/>
      </c>
      <c r="M2222" s="45" t="str">
        <f t="shared" si="26"/>
        <v/>
      </c>
      <c r="N2222" s="45" t="str">
        <f t="shared" si="27"/>
        <v/>
      </c>
      <c r="O2222" s="45" t="str">
        <f t="shared" si="28"/>
        <v/>
      </c>
      <c r="P2222" s="45" t="str">
        <f t="shared" si="29"/>
        <v/>
      </c>
    </row>
    <row r="2223" spans="1:16" ht="17.25">
      <c r="A2223" s="276" t="s">
        <v>7681</v>
      </c>
      <c r="B2223" s="277">
        <v>2008</v>
      </c>
      <c r="C2223" s="276"/>
      <c r="D2223" s="277">
        <v>18565184</v>
      </c>
      <c r="E2223" s="278" t="str">
        <f t="shared" si="23"/>
        <v>https://pubmed.ncbi.nlm.nih.gov/18565184</v>
      </c>
      <c r="F2223" s="28" t="s">
        <v>511</v>
      </c>
      <c r="G2223" s="28" t="s">
        <v>4744</v>
      </c>
      <c r="J2223" s="346" t="str">
        <f t="shared" si="19"/>
        <v/>
      </c>
      <c r="K2223" s="28" t="str">
        <f t="shared" si="24"/>
        <v/>
      </c>
      <c r="L2223" s="45" t="str">
        <f t="shared" si="25"/>
        <v/>
      </c>
      <c r="M2223" s="45" t="str">
        <f t="shared" si="26"/>
        <v/>
      </c>
      <c r="N2223" s="45">
        <f t="shared" si="27"/>
        <v>1</v>
      </c>
      <c r="O2223" s="45" t="str">
        <f t="shared" si="28"/>
        <v/>
      </c>
      <c r="P2223" s="45" t="str">
        <f t="shared" si="29"/>
        <v/>
      </c>
    </row>
    <row r="2224" spans="1:16" ht="17.25">
      <c r="A2224" s="276" t="s">
        <v>7682</v>
      </c>
      <c r="B2224" s="277">
        <v>2010</v>
      </c>
      <c r="C2224" s="276"/>
      <c r="D2224" s="277">
        <v>19845547</v>
      </c>
      <c r="E2224" s="278" t="str">
        <f t="shared" si="23"/>
        <v>https://pubmed.ncbi.nlm.nih.gov/19845547</v>
      </c>
      <c r="F2224" s="28" t="s">
        <v>511</v>
      </c>
      <c r="G2224" s="28" t="s">
        <v>5157</v>
      </c>
      <c r="J2224" s="346" t="str">
        <f t="shared" si="19"/>
        <v/>
      </c>
      <c r="K2224" s="28" t="str">
        <f t="shared" si="24"/>
        <v/>
      </c>
      <c r="L2224" s="45" t="str">
        <f t="shared" si="25"/>
        <v/>
      </c>
      <c r="M2224" s="45" t="str">
        <f t="shared" si="26"/>
        <v/>
      </c>
      <c r="N2224" s="45">
        <f t="shared" si="27"/>
        <v>1</v>
      </c>
      <c r="O2224" s="45" t="str">
        <f t="shared" si="28"/>
        <v/>
      </c>
      <c r="P2224" s="45" t="str">
        <f t="shared" si="29"/>
        <v/>
      </c>
    </row>
    <row r="2225" spans="1:16" ht="17.25">
      <c r="A2225" s="276" t="s">
        <v>7683</v>
      </c>
      <c r="B2225" s="277">
        <v>2011</v>
      </c>
      <c r="C2225" s="276"/>
      <c r="D2225" s="277">
        <v>21874971</v>
      </c>
      <c r="E2225" s="278" t="str">
        <f t="shared" si="23"/>
        <v>https://pubmed.ncbi.nlm.nih.gov/21874971</v>
      </c>
      <c r="F2225" s="28" t="s">
        <v>511</v>
      </c>
      <c r="G2225" s="28" t="s">
        <v>7684</v>
      </c>
      <c r="J2225" s="346" t="str">
        <f t="shared" si="19"/>
        <v/>
      </c>
      <c r="K2225" s="28" t="str">
        <f t="shared" si="24"/>
        <v/>
      </c>
      <c r="L2225" s="45" t="str">
        <f t="shared" si="25"/>
        <v/>
      </c>
      <c r="M2225" s="45" t="str">
        <f t="shared" si="26"/>
        <v/>
      </c>
      <c r="N2225" s="45">
        <f t="shared" si="27"/>
        <v>1</v>
      </c>
      <c r="O2225" s="45" t="str">
        <f t="shared" si="28"/>
        <v/>
      </c>
      <c r="P2225" s="45" t="str">
        <f t="shared" si="29"/>
        <v/>
      </c>
    </row>
    <row r="2226" spans="1:16" ht="17.25">
      <c r="A2226" s="276" t="s">
        <v>7685</v>
      </c>
      <c r="B2226" s="277">
        <v>2012</v>
      </c>
      <c r="C2226" s="276"/>
      <c r="D2226" s="277">
        <v>22932397</v>
      </c>
      <c r="E2226" s="278" t="str">
        <f t="shared" si="23"/>
        <v>https://pubmed.ncbi.nlm.nih.gov/22932397</v>
      </c>
      <c r="F2226" s="28" t="s">
        <v>511</v>
      </c>
      <c r="G2226" s="28" t="s">
        <v>7686</v>
      </c>
      <c r="J2226" s="346" t="str">
        <f t="shared" si="19"/>
        <v/>
      </c>
      <c r="K2226" s="28" t="str">
        <f t="shared" si="24"/>
        <v/>
      </c>
      <c r="L2226" s="45" t="str">
        <f t="shared" si="25"/>
        <v/>
      </c>
      <c r="M2226" s="45" t="str">
        <f t="shared" si="26"/>
        <v/>
      </c>
      <c r="N2226" s="45" t="str">
        <f t="shared" si="27"/>
        <v/>
      </c>
      <c r="O2226" s="45">
        <f t="shared" si="28"/>
        <v>1</v>
      </c>
      <c r="P2226" s="45" t="str">
        <f t="shared" si="29"/>
        <v/>
      </c>
    </row>
    <row r="2227" spans="1:16" ht="17.25">
      <c r="A2227" s="276" t="s">
        <v>7687</v>
      </c>
      <c r="B2227" s="277">
        <v>2018</v>
      </c>
      <c r="C2227" s="276"/>
      <c r="D2227" s="277">
        <v>30037523</v>
      </c>
      <c r="E2227" s="278" t="str">
        <f t="shared" si="23"/>
        <v>https://pubmed.ncbi.nlm.nih.gov/30037523</v>
      </c>
      <c r="F2227" s="28" t="s">
        <v>511</v>
      </c>
      <c r="G2227" s="28" t="s">
        <v>4592</v>
      </c>
      <c r="J2227" s="346">
        <f t="shared" si="19"/>
        <v>1</v>
      </c>
      <c r="K2227" s="28" t="str">
        <f t="shared" si="24"/>
        <v/>
      </c>
      <c r="L2227" s="45" t="str">
        <f t="shared" si="25"/>
        <v/>
      </c>
      <c r="M2227" s="45" t="str">
        <f t="shared" si="26"/>
        <v/>
      </c>
      <c r="N2227" s="45" t="str">
        <f t="shared" si="27"/>
        <v/>
      </c>
      <c r="O2227" s="45" t="str">
        <f t="shared" si="28"/>
        <v/>
      </c>
      <c r="P2227" s="45" t="str">
        <f t="shared" si="29"/>
        <v/>
      </c>
    </row>
    <row r="2228" spans="1:16" ht="17.25">
      <c r="A2228" s="276" t="s">
        <v>7688</v>
      </c>
      <c r="B2228" s="277">
        <v>2018</v>
      </c>
      <c r="C2228" s="276" t="s">
        <v>7689</v>
      </c>
      <c r="D2228" s="277">
        <v>29135651</v>
      </c>
      <c r="E2228" s="278" t="str">
        <f t="shared" si="23"/>
        <v>https://pubmed.ncbi.nlm.nih.gov/29135651</v>
      </c>
      <c r="F2228" s="28" t="s">
        <v>511</v>
      </c>
      <c r="G2228" s="28" t="s">
        <v>5157</v>
      </c>
      <c r="J2228" s="346" t="str">
        <f t="shared" si="19"/>
        <v/>
      </c>
      <c r="K2228" s="28" t="str">
        <f t="shared" si="24"/>
        <v/>
      </c>
      <c r="L2228" s="45" t="str">
        <f t="shared" si="25"/>
        <v/>
      </c>
      <c r="M2228" s="45" t="str">
        <f t="shared" si="26"/>
        <v/>
      </c>
      <c r="N2228" s="45">
        <f t="shared" si="27"/>
        <v>1</v>
      </c>
      <c r="O2228" s="45" t="str">
        <f t="shared" si="28"/>
        <v/>
      </c>
      <c r="P2228" s="45" t="str">
        <f t="shared" si="29"/>
        <v/>
      </c>
    </row>
    <row r="2229" spans="1:16" ht="17.25">
      <c r="A2229" s="276" t="s">
        <v>7690</v>
      </c>
      <c r="B2229" s="277">
        <v>2017</v>
      </c>
      <c r="C2229" s="276"/>
      <c r="D2229" s="277">
        <v>29469799</v>
      </c>
      <c r="E2229" s="278" t="str">
        <f t="shared" si="23"/>
        <v>https://pubmed.ncbi.nlm.nih.gov/29469799</v>
      </c>
      <c r="F2229" s="28" t="s">
        <v>511</v>
      </c>
      <c r="G2229" s="28" t="s">
        <v>4536</v>
      </c>
      <c r="J2229" s="346" t="str">
        <f t="shared" si="19"/>
        <v/>
      </c>
      <c r="K2229" s="28">
        <f t="shared" si="24"/>
        <v>1</v>
      </c>
      <c r="L2229" s="45" t="str">
        <f t="shared" si="25"/>
        <v/>
      </c>
      <c r="M2229" s="45" t="str">
        <f t="shared" si="26"/>
        <v/>
      </c>
      <c r="N2229" s="45" t="str">
        <f t="shared" si="27"/>
        <v/>
      </c>
      <c r="O2229" s="45" t="str">
        <f t="shared" si="28"/>
        <v/>
      </c>
      <c r="P2229" s="45" t="str">
        <f t="shared" si="29"/>
        <v/>
      </c>
    </row>
    <row r="2230" spans="1:16" ht="17.25">
      <c r="A2230" s="276" t="s">
        <v>7691</v>
      </c>
      <c r="B2230" s="277">
        <v>2018</v>
      </c>
      <c r="C2230" s="276" t="s">
        <v>7692</v>
      </c>
      <c r="D2230" s="277">
        <v>29514306</v>
      </c>
      <c r="E2230" s="278" t="str">
        <f t="shared" si="23"/>
        <v>https://pubmed.ncbi.nlm.nih.gov/29514306</v>
      </c>
      <c r="F2230" s="28" t="s">
        <v>511</v>
      </c>
      <c r="G2230" s="28" t="s">
        <v>4867</v>
      </c>
      <c r="J2230" s="346" t="str">
        <f t="shared" si="19"/>
        <v/>
      </c>
      <c r="K2230" s="28" t="str">
        <f t="shared" si="24"/>
        <v/>
      </c>
      <c r="L2230" s="45" t="str">
        <f t="shared" si="25"/>
        <v/>
      </c>
      <c r="M2230" s="45" t="str">
        <f t="shared" si="26"/>
        <v/>
      </c>
      <c r="N2230" s="45">
        <f t="shared" si="27"/>
        <v>1</v>
      </c>
      <c r="O2230" s="45" t="str">
        <f t="shared" si="28"/>
        <v/>
      </c>
      <c r="P2230" s="45" t="str">
        <f t="shared" si="29"/>
        <v/>
      </c>
    </row>
    <row r="2231" spans="1:16" ht="17.25">
      <c r="A2231" s="276" t="s">
        <v>7693</v>
      </c>
      <c r="B2231" s="277">
        <v>1997</v>
      </c>
      <c r="C2231" s="276"/>
      <c r="D2231" s="277">
        <v>9317200</v>
      </c>
      <c r="E2231" s="278" t="str">
        <f t="shared" si="23"/>
        <v>https://pubmed.ncbi.nlm.nih.gov/9317200</v>
      </c>
      <c r="F2231" s="28" t="s">
        <v>511</v>
      </c>
      <c r="G2231" s="28" t="s">
        <v>4744</v>
      </c>
      <c r="J2231" s="346" t="str">
        <f t="shared" si="19"/>
        <v/>
      </c>
      <c r="K2231" s="28" t="str">
        <f t="shared" si="24"/>
        <v/>
      </c>
      <c r="L2231" s="45" t="str">
        <f t="shared" si="25"/>
        <v/>
      </c>
      <c r="M2231" s="45" t="str">
        <f t="shared" si="26"/>
        <v/>
      </c>
      <c r="N2231" s="45">
        <f t="shared" si="27"/>
        <v>1</v>
      </c>
      <c r="O2231" s="45" t="str">
        <f t="shared" si="28"/>
        <v/>
      </c>
      <c r="P2231" s="45" t="str">
        <f t="shared" si="29"/>
        <v/>
      </c>
    </row>
    <row r="2232" spans="1:16" ht="17.25">
      <c r="A2232" s="276" t="s">
        <v>7694</v>
      </c>
      <c r="B2232" s="277">
        <v>2016</v>
      </c>
      <c r="C2232" s="276"/>
      <c r="D2232" s="277">
        <v>26857244</v>
      </c>
      <c r="E2232" s="278" t="str">
        <f t="shared" si="23"/>
        <v>https://pubmed.ncbi.nlm.nih.gov/26857244</v>
      </c>
      <c r="F2232" s="28" t="s">
        <v>511</v>
      </c>
      <c r="G2232" s="28" t="s">
        <v>7662</v>
      </c>
      <c r="J2232" s="346" t="str">
        <f t="shared" si="19"/>
        <v/>
      </c>
      <c r="K2232" s="28" t="str">
        <f t="shared" si="24"/>
        <v/>
      </c>
      <c r="L2232" s="45" t="str">
        <f t="shared" si="25"/>
        <v/>
      </c>
      <c r="M2232" s="45" t="str">
        <f t="shared" si="26"/>
        <v/>
      </c>
      <c r="N2232" s="45">
        <f t="shared" si="27"/>
        <v>1</v>
      </c>
      <c r="O2232" s="45" t="str">
        <f t="shared" si="28"/>
        <v/>
      </c>
      <c r="P2232" s="45" t="str">
        <f t="shared" si="29"/>
        <v/>
      </c>
    </row>
    <row r="2233" spans="1:16" ht="17.25">
      <c r="A2233" s="276" t="s">
        <v>7695</v>
      </c>
      <c r="B2233" s="277">
        <v>2017</v>
      </c>
      <c r="C2233" s="276" t="s">
        <v>7696</v>
      </c>
      <c r="D2233" s="277">
        <v>28905498</v>
      </c>
      <c r="E2233" s="278" t="str">
        <f t="shared" si="23"/>
        <v>https://pubmed.ncbi.nlm.nih.gov/28905498</v>
      </c>
      <c r="F2233" s="28" t="s">
        <v>511</v>
      </c>
      <c r="G2233" s="28" t="s">
        <v>4744</v>
      </c>
      <c r="J2233" s="346" t="str">
        <f t="shared" si="19"/>
        <v/>
      </c>
      <c r="K2233" s="28" t="str">
        <f t="shared" si="24"/>
        <v/>
      </c>
      <c r="L2233" s="45" t="str">
        <f t="shared" si="25"/>
        <v/>
      </c>
      <c r="M2233" s="45" t="str">
        <f t="shared" si="26"/>
        <v/>
      </c>
      <c r="N2233" s="45">
        <f t="shared" si="27"/>
        <v>1</v>
      </c>
      <c r="O2233" s="45" t="str">
        <f t="shared" si="28"/>
        <v/>
      </c>
      <c r="P2233" s="45" t="str">
        <f t="shared" si="29"/>
        <v/>
      </c>
    </row>
    <row r="2234" spans="1:16" ht="17.25">
      <c r="A2234" s="276" t="s">
        <v>7697</v>
      </c>
      <c r="B2234" s="277">
        <v>2012</v>
      </c>
      <c r="C2234" s="276"/>
      <c r="D2234" s="277">
        <v>22155136</v>
      </c>
      <c r="E2234" s="278" t="str">
        <f t="shared" si="23"/>
        <v>https://pubmed.ncbi.nlm.nih.gov/22155136</v>
      </c>
      <c r="F2234" s="28" t="s">
        <v>511</v>
      </c>
      <c r="G2234" s="28" t="s">
        <v>6210</v>
      </c>
      <c r="J2234" s="346">
        <f t="shared" si="19"/>
        <v>1</v>
      </c>
      <c r="K2234" s="28" t="str">
        <f t="shared" si="24"/>
        <v/>
      </c>
      <c r="L2234" s="45" t="str">
        <f t="shared" si="25"/>
        <v/>
      </c>
      <c r="M2234" s="45" t="str">
        <f t="shared" si="26"/>
        <v/>
      </c>
      <c r="N2234" s="45" t="str">
        <f t="shared" si="27"/>
        <v/>
      </c>
      <c r="O2234" s="45" t="str">
        <f t="shared" si="28"/>
        <v/>
      </c>
      <c r="P2234" s="45" t="str">
        <f t="shared" si="29"/>
        <v/>
      </c>
    </row>
    <row r="2235" spans="1:16" ht="17.25">
      <c r="A2235" s="276" t="s">
        <v>4073</v>
      </c>
      <c r="B2235" s="277">
        <v>2011</v>
      </c>
      <c r="C2235" s="276" t="s">
        <v>7698</v>
      </c>
      <c r="D2235" s="277">
        <v>21639872</v>
      </c>
      <c r="E2235" s="278" t="str">
        <f t="shared" si="23"/>
        <v>https://pubmed.ncbi.nlm.nih.gov/21639872</v>
      </c>
      <c r="H2235" s="28" t="s">
        <v>7525</v>
      </c>
      <c r="I2235" s="28" t="s">
        <v>7699</v>
      </c>
      <c r="J2235" s="346" t="str">
        <f t="shared" si="19"/>
        <v/>
      </c>
      <c r="K2235" s="28" t="str">
        <f t="shared" si="24"/>
        <v/>
      </c>
      <c r="L2235" s="45" t="str">
        <f t="shared" si="25"/>
        <v/>
      </c>
      <c r="M2235" s="45" t="str">
        <f t="shared" si="26"/>
        <v/>
      </c>
      <c r="N2235" s="45" t="str">
        <f t="shared" si="27"/>
        <v/>
      </c>
      <c r="O2235" s="45" t="str">
        <f t="shared" si="28"/>
        <v/>
      </c>
      <c r="P2235" s="45" t="str">
        <f t="shared" si="29"/>
        <v/>
      </c>
    </row>
    <row r="2236" spans="1:16" ht="17.25">
      <c r="A2236" s="276" t="s">
        <v>7700</v>
      </c>
      <c r="B2236" s="277">
        <v>1999</v>
      </c>
      <c r="C2236" s="276"/>
      <c r="D2236" s="277">
        <v>10492259</v>
      </c>
      <c r="E2236" s="278" t="str">
        <f t="shared" si="23"/>
        <v>https://pubmed.ncbi.nlm.nih.gov/10492259</v>
      </c>
      <c r="F2236" s="28" t="s">
        <v>511</v>
      </c>
      <c r="G2236" s="28" t="s">
        <v>4867</v>
      </c>
      <c r="J2236" s="346" t="str">
        <f t="shared" si="19"/>
        <v/>
      </c>
      <c r="K2236" s="28" t="str">
        <f t="shared" si="24"/>
        <v/>
      </c>
      <c r="L2236" s="45" t="str">
        <f t="shared" si="25"/>
        <v/>
      </c>
      <c r="M2236" s="45" t="str">
        <f t="shared" si="26"/>
        <v/>
      </c>
      <c r="N2236" s="45">
        <f t="shared" si="27"/>
        <v>1</v>
      </c>
      <c r="O2236" s="45" t="str">
        <f t="shared" si="28"/>
        <v/>
      </c>
      <c r="P2236" s="45" t="str">
        <f t="shared" si="29"/>
        <v/>
      </c>
    </row>
    <row r="2237" spans="1:16" ht="17.25">
      <c r="A2237" s="276" t="s">
        <v>7701</v>
      </c>
      <c r="B2237" s="277">
        <v>2020</v>
      </c>
      <c r="C2237" s="276" t="s">
        <v>7702</v>
      </c>
      <c r="D2237" s="277">
        <v>31978221</v>
      </c>
      <c r="E2237" s="278" t="str">
        <f t="shared" si="23"/>
        <v>https://pubmed.ncbi.nlm.nih.gov/31978221</v>
      </c>
      <c r="F2237" s="28" t="s">
        <v>511</v>
      </c>
      <c r="G2237" s="28" t="s">
        <v>4744</v>
      </c>
      <c r="J2237" s="346" t="str">
        <f t="shared" si="19"/>
        <v/>
      </c>
      <c r="K2237" s="28" t="str">
        <f t="shared" si="24"/>
        <v/>
      </c>
      <c r="L2237" s="45" t="str">
        <f t="shared" si="25"/>
        <v/>
      </c>
      <c r="M2237" s="45" t="str">
        <f t="shared" si="26"/>
        <v/>
      </c>
      <c r="N2237" s="45">
        <f t="shared" si="27"/>
        <v>1</v>
      </c>
      <c r="O2237" s="45" t="str">
        <f t="shared" si="28"/>
        <v/>
      </c>
      <c r="P2237" s="45" t="str">
        <f t="shared" si="29"/>
        <v/>
      </c>
    </row>
    <row r="2238" spans="1:16" ht="17.25">
      <c r="A2238" s="276" t="s">
        <v>7703</v>
      </c>
      <c r="B2238" s="277">
        <v>2016</v>
      </c>
      <c r="C2238" s="276"/>
      <c r="D2238" s="277">
        <v>27289490</v>
      </c>
      <c r="E2238" s="278" t="str">
        <f t="shared" si="23"/>
        <v>https://pubmed.ncbi.nlm.nih.gov/27289490</v>
      </c>
      <c r="F2238" s="28" t="s">
        <v>511</v>
      </c>
      <c r="G2238" s="28" t="s">
        <v>4744</v>
      </c>
      <c r="J2238" s="346" t="str">
        <f t="shared" si="19"/>
        <v/>
      </c>
      <c r="K2238" s="28" t="str">
        <f t="shared" si="24"/>
        <v/>
      </c>
      <c r="L2238" s="45" t="str">
        <f t="shared" si="25"/>
        <v/>
      </c>
      <c r="M2238" s="45" t="str">
        <f t="shared" si="26"/>
        <v/>
      </c>
      <c r="N2238" s="45">
        <f t="shared" si="27"/>
        <v>1</v>
      </c>
      <c r="O2238" s="45" t="str">
        <f t="shared" si="28"/>
        <v/>
      </c>
      <c r="P2238" s="45" t="str">
        <f t="shared" si="29"/>
        <v/>
      </c>
    </row>
    <row r="2239" spans="1:16" ht="17.25">
      <c r="A2239" s="276" t="s">
        <v>7704</v>
      </c>
      <c r="B2239" s="277">
        <v>2012</v>
      </c>
      <c r="C2239" s="276"/>
      <c r="D2239" s="277">
        <v>23136909</v>
      </c>
      <c r="E2239" s="278" t="str">
        <f t="shared" si="23"/>
        <v>https://pubmed.ncbi.nlm.nih.gov/23136909</v>
      </c>
      <c r="F2239" s="28" t="s">
        <v>511</v>
      </c>
      <c r="G2239" s="28" t="s">
        <v>7705</v>
      </c>
      <c r="J2239" s="346" t="str">
        <f t="shared" si="19"/>
        <v/>
      </c>
      <c r="K2239" s="28" t="str">
        <f t="shared" si="24"/>
        <v/>
      </c>
      <c r="L2239" s="45" t="str">
        <f t="shared" si="25"/>
        <v/>
      </c>
      <c r="M2239" s="45" t="str">
        <f t="shared" si="26"/>
        <v/>
      </c>
      <c r="N2239" s="45" t="str">
        <f t="shared" si="27"/>
        <v/>
      </c>
      <c r="O2239" s="45">
        <f t="shared" si="28"/>
        <v>1</v>
      </c>
      <c r="P2239" s="45" t="str">
        <f t="shared" si="29"/>
        <v/>
      </c>
    </row>
    <row r="2240" spans="1:16" ht="17.25">
      <c r="A2240" s="276" t="s">
        <v>7706</v>
      </c>
      <c r="B2240" s="277">
        <v>2019</v>
      </c>
      <c r="C2240" s="276" t="s">
        <v>7707</v>
      </c>
      <c r="D2240" s="277">
        <v>31513665</v>
      </c>
      <c r="E2240" s="278" t="str">
        <f t="shared" si="23"/>
        <v>https://pubmed.ncbi.nlm.nih.gov/31513665</v>
      </c>
      <c r="F2240" s="28" t="s">
        <v>511</v>
      </c>
      <c r="G2240" s="28" t="s">
        <v>5157</v>
      </c>
      <c r="J2240" s="346" t="str">
        <f t="shared" si="19"/>
        <v/>
      </c>
      <c r="K2240" s="28" t="str">
        <f t="shared" si="24"/>
        <v/>
      </c>
      <c r="L2240" s="45" t="str">
        <f t="shared" si="25"/>
        <v/>
      </c>
      <c r="M2240" s="45" t="str">
        <f t="shared" si="26"/>
        <v/>
      </c>
      <c r="N2240" s="45">
        <f t="shared" si="27"/>
        <v>1</v>
      </c>
      <c r="O2240" s="45" t="str">
        <f t="shared" si="28"/>
        <v/>
      </c>
      <c r="P2240" s="45" t="str">
        <f t="shared" si="29"/>
        <v/>
      </c>
    </row>
    <row r="2241" spans="1:16" ht="17.25">
      <c r="A2241" s="276" t="s">
        <v>7708</v>
      </c>
      <c r="B2241" s="277">
        <v>2018</v>
      </c>
      <c r="C2241" s="276" t="s">
        <v>7709</v>
      </c>
      <c r="D2241" s="277">
        <v>29982575</v>
      </c>
      <c r="E2241" s="278" t="str">
        <f t="shared" si="23"/>
        <v>https://pubmed.ncbi.nlm.nih.gov/29982575</v>
      </c>
      <c r="F2241" s="28" t="s">
        <v>511</v>
      </c>
      <c r="G2241" s="28" t="s">
        <v>4346</v>
      </c>
      <c r="J2241" s="346" t="str">
        <f t="shared" si="19"/>
        <v/>
      </c>
      <c r="K2241" s="28" t="str">
        <f t="shared" si="24"/>
        <v/>
      </c>
      <c r="L2241" s="45">
        <f t="shared" si="25"/>
        <v>1</v>
      </c>
      <c r="M2241" s="45" t="str">
        <f t="shared" si="26"/>
        <v/>
      </c>
      <c r="N2241" s="45" t="str">
        <f t="shared" si="27"/>
        <v/>
      </c>
      <c r="O2241" s="45" t="str">
        <f t="shared" si="28"/>
        <v/>
      </c>
      <c r="P2241" s="45" t="str">
        <f t="shared" si="29"/>
        <v/>
      </c>
    </row>
    <row r="2242" spans="1:16" ht="17.25">
      <c r="A2242" s="276" t="s">
        <v>7710</v>
      </c>
      <c r="B2242" s="277">
        <v>2012</v>
      </c>
      <c r="C2242" s="276"/>
      <c r="D2242" s="277">
        <v>22497041</v>
      </c>
      <c r="E2242" s="278" t="str">
        <f t="shared" si="23"/>
        <v>https://pubmed.ncbi.nlm.nih.gov/22497041</v>
      </c>
      <c r="F2242" s="28" t="s">
        <v>511</v>
      </c>
      <c r="G2242" s="28" t="s">
        <v>4744</v>
      </c>
      <c r="J2242" s="346" t="str">
        <f t="shared" si="19"/>
        <v/>
      </c>
      <c r="K2242" s="28" t="str">
        <f t="shared" si="24"/>
        <v/>
      </c>
      <c r="L2242" s="45" t="str">
        <f t="shared" si="25"/>
        <v/>
      </c>
      <c r="M2242" s="45" t="str">
        <f t="shared" si="26"/>
        <v/>
      </c>
      <c r="N2242" s="45">
        <f t="shared" si="27"/>
        <v>1</v>
      </c>
      <c r="O2242" s="45" t="str">
        <f t="shared" si="28"/>
        <v/>
      </c>
      <c r="P2242" s="45" t="str">
        <f t="shared" si="29"/>
        <v/>
      </c>
    </row>
    <row r="2243" spans="1:16" ht="17.25">
      <c r="A2243" s="276" t="s">
        <v>7711</v>
      </c>
      <c r="B2243" s="277">
        <v>2016</v>
      </c>
      <c r="C2243" s="276"/>
      <c r="D2243" s="277">
        <v>27780629</v>
      </c>
      <c r="E2243" s="278" t="str">
        <f t="shared" si="23"/>
        <v>https://pubmed.ncbi.nlm.nih.gov/27780629</v>
      </c>
      <c r="F2243" s="28" t="s">
        <v>511</v>
      </c>
      <c r="G2243" s="28" t="s">
        <v>5742</v>
      </c>
      <c r="J2243" s="346">
        <f t="shared" si="19"/>
        <v>1</v>
      </c>
      <c r="K2243" s="28" t="str">
        <f t="shared" si="24"/>
        <v/>
      </c>
      <c r="L2243" s="45" t="str">
        <f t="shared" si="25"/>
        <v/>
      </c>
      <c r="M2243" s="45" t="str">
        <f t="shared" si="26"/>
        <v/>
      </c>
      <c r="N2243" s="45" t="str">
        <f t="shared" si="27"/>
        <v/>
      </c>
      <c r="O2243" s="45" t="str">
        <f t="shared" si="28"/>
        <v/>
      </c>
      <c r="P2243" s="45" t="str">
        <f t="shared" si="29"/>
        <v/>
      </c>
    </row>
    <row r="2244" spans="1:16" ht="17.25">
      <c r="A2244" s="276" t="s">
        <v>7712</v>
      </c>
      <c r="B2244" s="277">
        <v>1998</v>
      </c>
      <c r="C2244" s="276"/>
      <c r="D2244" s="277">
        <v>9715823</v>
      </c>
      <c r="E2244" s="278" t="str">
        <f t="shared" si="23"/>
        <v>https://pubmed.ncbi.nlm.nih.gov/9715823</v>
      </c>
      <c r="F2244" s="28" t="s">
        <v>511</v>
      </c>
      <c r="G2244" s="28" t="s">
        <v>4592</v>
      </c>
      <c r="J2244" s="346">
        <f t="shared" si="19"/>
        <v>1</v>
      </c>
      <c r="K2244" s="28" t="str">
        <f t="shared" si="24"/>
        <v/>
      </c>
      <c r="L2244" s="45" t="str">
        <f t="shared" si="25"/>
        <v/>
      </c>
      <c r="M2244" s="45" t="str">
        <f t="shared" si="26"/>
        <v/>
      </c>
      <c r="N2244" s="45" t="str">
        <f t="shared" si="27"/>
        <v/>
      </c>
      <c r="O2244" s="45" t="str">
        <f t="shared" si="28"/>
        <v/>
      </c>
      <c r="P2244" s="45" t="str">
        <f t="shared" si="29"/>
        <v/>
      </c>
    </row>
    <row r="2245" spans="1:16" ht="17.25">
      <c r="A2245" s="276" t="s">
        <v>7713</v>
      </c>
      <c r="B2245" s="277">
        <v>2017</v>
      </c>
      <c r="C2245" s="276"/>
      <c r="D2245" s="277">
        <v>27465539</v>
      </c>
      <c r="E2245" s="278" t="str">
        <f t="shared" si="23"/>
        <v>https://pubmed.ncbi.nlm.nih.gov/27465539</v>
      </c>
      <c r="F2245" s="28" t="s">
        <v>511</v>
      </c>
      <c r="G2245" s="28" t="s">
        <v>4592</v>
      </c>
      <c r="J2245" s="346">
        <f t="shared" si="19"/>
        <v>1</v>
      </c>
      <c r="K2245" s="28" t="str">
        <f t="shared" si="24"/>
        <v/>
      </c>
      <c r="L2245" s="45" t="str">
        <f t="shared" si="25"/>
        <v/>
      </c>
      <c r="M2245" s="45" t="str">
        <f t="shared" si="26"/>
        <v/>
      </c>
      <c r="N2245" s="45" t="str">
        <f t="shared" si="27"/>
        <v/>
      </c>
      <c r="O2245" s="45" t="str">
        <f t="shared" si="28"/>
        <v/>
      </c>
      <c r="P2245" s="45" t="str">
        <f t="shared" si="29"/>
        <v/>
      </c>
    </row>
    <row r="2246" spans="1:16" ht="17.25">
      <c r="A2246" s="276" t="s">
        <v>7714</v>
      </c>
      <c r="B2246" s="277">
        <v>2012</v>
      </c>
      <c r="C2246" s="276"/>
      <c r="D2246" s="277">
        <v>22633423</v>
      </c>
      <c r="E2246" s="278" t="str">
        <f t="shared" si="23"/>
        <v>https://pubmed.ncbi.nlm.nih.gov/22633423</v>
      </c>
      <c r="F2246" s="28" t="s">
        <v>511</v>
      </c>
      <c r="G2246" s="28" t="s">
        <v>4744</v>
      </c>
      <c r="J2246" s="346" t="str">
        <f t="shared" si="19"/>
        <v/>
      </c>
      <c r="K2246" s="28" t="str">
        <f t="shared" si="24"/>
        <v/>
      </c>
      <c r="L2246" s="45" t="str">
        <f t="shared" si="25"/>
        <v/>
      </c>
      <c r="M2246" s="45" t="str">
        <f t="shared" si="26"/>
        <v/>
      </c>
      <c r="N2246" s="45">
        <f t="shared" si="27"/>
        <v>1</v>
      </c>
      <c r="O2246" s="45" t="str">
        <f t="shared" si="28"/>
        <v/>
      </c>
      <c r="P2246" s="45" t="str">
        <f t="shared" si="29"/>
        <v/>
      </c>
    </row>
    <row r="2247" spans="1:16" ht="17.25">
      <c r="A2247" s="276" t="s">
        <v>7715</v>
      </c>
      <c r="B2247" s="277">
        <v>2013</v>
      </c>
      <c r="C2247" s="276"/>
      <c r="D2247" s="277">
        <v>23562185</v>
      </c>
      <c r="E2247" s="278" t="str">
        <f t="shared" si="23"/>
        <v>https://pubmed.ncbi.nlm.nih.gov/23562185</v>
      </c>
      <c r="F2247" s="28" t="s">
        <v>511</v>
      </c>
      <c r="G2247" s="28" t="s">
        <v>6623</v>
      </c>
      <c r="J2247" s="346">
        <f t="shared" si="19"/>
        <v>1</v>
      </c>
      <c r="K2247" s="28" t="str">
        <f t="shared" si="24"/>
        <v/>
      </c>
      <c r="L2247" s="45" t="str">
        <f t="shared" si="25"/>
        <v/>
      </c>
      <c r="M2247" s="45" t="str">
        <f t="shared" si="26"/>
        <v/>
      </c>
      <c r="N2247" s="45" t="str">
        <f t="shared" si="27"/>
        <v/>
      </c>
      <c r="O2247" s="45" t="str">
        <f t="shared" si="28"/>
        <v/>
      </c>
      <c r="P2247" s="45" t="str">
        <f t="shared" si="29"/>
        <v/>
      </c>
    </row>
    <row r="2248" spans="1:16" ht="17.25">
      <c r="A2248" s="276" t="s">
        <v>7716</v>
      </c>
      <c r="B2248" s="277">
        <v>2002</v>
      </c>
      <c r="C2248" s="276"/>
      <c r="D2248" s="277">
        <v>12523876</v>
      </c>
      <c r="E2248" s="278" t="str">
        <f t="shared" si="23"/>
        <v>https://pubmed.ncbi.nlm.nih.gov/12523876</v>
      </c>
      <c r="F2248" s="28" t="s">
        <v>511</v>
      </c>
      <c r="G2248" s="28" t="s">
        <v>4867</v>
      </c>
      <c r="J2248" s="346" t="str">
        <f t="shared" si="19"/>
        <v/>
      </c>
      <c r="K2248" s="28" t="str">
        <f t="shared" si="24"/>
        <v/>
      </c>
      <c r="L2248" s="45" t="str">
        <f t="shared" si="25"/>
        <v/>
      </c>
      <c r="M2248" s="45" t="str">
        <f t="shared" si="26"/>
        <v/>
      </c>
      <c r="N2248" s="45">
        <f t="shared" si="27"/>
        <v>1</v>
      </c>
      <c r="O2248" s="45" t="str">
        <f t="shared" si="28"/>
        <v/>
      </c>
      <c r="P2248" s="45" t="str">
        <f t="shared" si="29"/>
        <v/>
      </c>
    </row>
    <row r="2249" spans="1:16" ht="17.25">
      <c r="A2249" s="276" t="s">
        <v>7717</v>
      </c>
      <c r="B2249" s="277">
        <v>2006</v>
      </c>
      <c r="C2249" s="276"/>
      <c r="D2249" s="277">
        <v>16532130</v>
      </c>
      <c r="E2249" s="278" t="str">
        <f t="shared" si="23"/>
        <v>https://pubmed.ncbi.nlm.nih.gov/16532130</v>
      </c>
      <c r="F2249" s="28" t="s">
        <v>511</v>
      </c>
      <c r="G2249" s="28" t="s">
        <v>4592</v>
      </c>
      <c r="J2249" s="346">
        <f t="shared" si="19"/>
        <v>1</v>
      </c>
      <c r="K2249" s="28" t="str">
        <f t="shared" si="24"/>
        <v/>
      </c>
      <c r="L2249" s="45" t="str">
        <f t="shared" si="25"/>
        <v/>
      </c>
      <c r="M2249" s="45" t="str">
        <f t="shared" si="26"/>
        <v/>
      </c>
      <c r="N2249" s="45" t="str">
        <f t="shared" si="27"/>
        <v/>
      </c>
      <c r="O2249" s="45" t="str">
        <f t="shared" si="28"/>
        <v/>
      </c>
      <c r="P2249" s="45" t="str">
        <f t="shared" si="29"/>
        <v/>
      </c>
    </row>
    <row r="2250" spans="1:16" ht="17.25">
      <c r="A2250" s="276" t="s">
        <v>7718</v>
      </c>
      <c r="B2250" s="277">
        <v>2003</v>
      </c>
      <c r="C2250" s="276"/>
      <c r="D2250" s="277">
        <v>12653747</v>
      </c>
      <c r="E2250" s="278" t="str">
        <f t="shared" si="23"/>
        <v>https://pubmed.ncbi.nlm.nih.gov/12653747</v>
      </c>
      <c r="F2250" s="28" t="s">
        <v>511</v>
      </c>
      <c r="G2250" s="28" t="s">
        <v>4867</v>
      </c>
      <c r="J2250" s="346" t="str">
        <f t="shared" si="19"/>
        <v/>
      </c>
      <c r="K2250" s="28" t="str">
        <f t="shared" si="24"/>
        <v/>
      </c>
      <c r="L2250" s="45" t="str">
        <f t="shared" si="25"/>
        <v/>
      </c>
      <c r="M2250" s="45" t="str">
        <f t="shared" si="26"/>
        <v/>
      </c>
      <c r="N2250" s="45">
        <f t="shared" si="27"/>
        <v>1</v>
      </c>
      <c r="O2250" s="45" t="str">
        <f t="shared" si="28"/>
        <v/>
      </c>
      <c r="P2250" s="45" t="str">
        <f t="shared" si="29"/>
        <v/>
      </c>
    </row>
    <row r="2251" spans="1:16" ht="17.25">
      <c r="A2251" s="276" t="s">
        <v>7719</v>
      </c>
      <c r="B2251" s="277">
        <v>2009</v>
      </c>
      <c r="C2251" s="276"/>
      <c r="D2251" s="277">
        <v>19442936</v>
      </c>
      <c r="E2251" s="278" t="str">
        <f t="shared" si="23"/>
        <v>https://pubmed.ncbi.nlm.nih.gov/19442936</v>
      </c>
      <c r="F2251" s="28" t="s">
        <v>511</v>
      </c>
      <c r="G2251" s="28" t="s">
        <v>7720</v>
      </c>
      <c r="J2251" s="346" t="str">
        <f t="shared" si="19"/>
        <v/>
      </c>
      <c r="K2251" s="28" t="str">
        <f t="shared" si="24"/>
        <v/>
      </c>
      <c r="L2251" s="45" t="str">
        <f t="shared" si="25"/>
        <v/>
      </c>
      <c r="M2251" s="45" t="str">
        <f t="shared" si="26"/>
        <v/>
      </c>
      <c r="N2251" s="45" t="str">
        <f t="shared" si="27"/>
        <v/>
      </c>
      <c r="O2251" s="45">
        <f t="shared" si="28"/>
        <v>1</v>
      </c>
      <c r="P2251" s="45" t="str">
        <f t="shared" si="29"/>
        <v/>
      </c>
    </row>
    <row r="2252" spans="1:16" ht="17.25">
      <c r="A2252" s="276" t="s">
        <v>7721</v>
      </c>
      <c r="B2252" s="277">
        <v>2015</v>
      </c>
      <c r="C2252" s="276" t="s">
        <v>7722</v>
      </c>
      <c r="D2252" s="277">
        <v>25801552</v>
      </c>
      <c r="E2252" s="278" t="str">
        <f t="shared" si="23"/>
        <v>https://pubmed.ncbi.nlm.nih.gov/25801552</v>
      </c>
      <c r="F2252" s="28" t="s">
        <v>511</v>
      </c>
      <c r="G2252" s="28" t="s">
        <v>7723</v>
      </c>
      <c r="J2252" s="346" t="str">
        <f t="shared" si="19"/>
        <v/>
      </c>
      <c r="K2252" s="28" t="str">
        <f t="shared" si="24"/>
        <v/>
      </c>
      <c r="L2252" s="45" t="str">
        <f t="shared" si="25"/>
        <v/>
      </c>
      <c r="M2252" s="45" t="str">
        <f t="shared" si="26"/>
        <v/>
      </c>
      <c r="N2252" s="45" t="str">
        <f t="shared" si="27"/>
        <v/>
      </c>
      <c r="O2252" s="45">
        <f t="shared" si="28"/>
        <v>1</v>
      </c>
      <c r="P2252" s="45" t="str">
        <f t="shared" si="29"/>
        <v/>
      </c>
    </row>
    <row r="2253" spans="1:16" ht="17.25">
      <c r="A2253" s="276" t="s">
        <v>7724</v>
      </c>
      <c r="B2253" s="277">
        <v>2011</v>
      </c>
      <c r="C2253" s="276"/>
      <c r="D2253" s="277">
        <v>21492926</v>
      </c>
      <c r="E2253" s="278" t="str">
        <f t="shared" si="23"/>
        <v>https://pubmed.ncbi.nlm.nih.gov/21492926</v>
      </c>
      <c r="F2253" s="28" t="s">
        <v>511</v>
      </c>
      <c r="G2253" s="28" t="s">
        <v>4867</v>
      </c>
      <c r="J2253" s="346" t="str">
        <f t="shared" si="19"/>
        <v/>
      </c>
      <c r="K2253" s="28" t="str">
        <f t="shared" si="24"/>
        <v/>
      </c>
      <c r="L2253" s="45" t="str">
        <f t="shared" si="25"/>
        <v/>
      </c>
      <c r="M2253" s="45" t="str">
        <f t="shared" si="26"/>
        <v/>
      </c>
      <c r="N2253" s="45">
        <f t="shared" si="27"/>
        <v>1</v>
      </c>
      <c r="O2253" s="45" t="str">
        <f t="shared" si="28"/>
        <v/>
      </c>
      <c r="P2253" s="45" t="str">
        <f t="shared" si="29"/>
        <v/>
      </c>
    </row>
    <row r="2254" spans="1:16" ht="17.25">
      <c r="A2254" s="276" t="s">
        <v>7725</v>
      </c>
      <c r="B2254" s="277">
        <v>2008</v>
      </c>
      <c r="C2254" s="276"/>
      <c r="D2254" s="277">
        <v>18664153</v>
      </c>
      <c r="E2254" s="278" t="str">
        <f t="shared" si="23"/>
        <v>https://pubmed.ncbi.nlm.nih.gov/18664153</v>
      </c>
      <c r="F2254" s="28" t="s">
        <v>511</v>
      </c>
      <c r="G2254" s="28" t="s">
        <v>5299</v>
      </c>
      <c r="J2254" s="346" t="str">
        <f t="shared" si="19"/>
        <v/>
      </c>
      <c r="K2254" s="28" t="str">
        <f t="shared" si="24"/>
        <v/>
      </c>
      <c r="L2254" s="45" t="str">
        <f t="shared" si="25"/>
        <v/>
      </c>
      <c r="M2254" s="45" t="str">
        <f t="shared" si="26"/>
        <v/>
      </c>
      <c r="N2254" s="45">
        <f t="shared" si="27"/>
        <v>1</v>
      </c>
      <c r="O2254" s="45" t="str">
        <f t="shared" si="28"/>
        <v/>
      </c>
      <c r="P2254" s="45" t="str">
        <f t="shared" si="29"/>
        <v/>
      </c>
    </row>
    <row r="2255" spans="1:16" ht="17.25">
      <c r="A2255" s="276" t="s">
        <v>7726</v>
      </c>
      <c r="B2255" s="277">
        <v>2019</v>
      </c>
      <c r="C2255" s="276"/>
      <c r="D2255" s="277">
        <v>31378318</v>
      </c>
      <c r="E2255" s="278" t="str">
        <f t="shared" si="23"/>
        <v>https://pubmed.ncbi.nlm.nih.gov/31378318</v>
      </c>
      <c r="F2255" s="28" t="s">
        <v>511</v>
      </c>
      <c r="G2255" s="28" t="s">
        <v>5157</v>
      </c>
      <c r="J2255" s="346" t="str">
        <f t="shared" si="19"/>
        <v/>
      </c>
      <c r="K2255" s="28" t="str">
        <f t="shared" si="24"/>
        <v/>
      </c>
      <c r="L2255" s="45" t="str">
        <f t="shared" si="25"/>
        <v/>
      </c>
      <c r="M2255" s="45" t="str">
        <f t="shared" si="26"/>
        <v/>
      </c>
      <c r="N2255" s="45">
        <f t="shared" si="27"/>
        <v>1</v>
      </c>
      <c r="O2255" s="45" t="str">
        <f t="shared" si="28"/>
        <v/>
      </c>
      <c r="P2255" s="45" t="str">
        <f t="shared" si="29"/>
        <v/>
      </c>
    </row>
    <row r="2256" spans="1:16" ht="17.25">
      <c r="A2256" s="276" t="s">
        <v>7727</v>
      </c>
      <c r="B2256" s="277">
        <v>2009</v>
      </c>
      <c r="C2256" s="276"/>
      <c r="D2256" s="277">
        <v>19596014</v>
      </c>
      <c r="E2256" s="278" t="str">
        <f t="shared" si="23"/>
        <v>https://pubmed.ncbi.nlm.nih.gov/19596014</v>
      </c>
      <c r="F2256" s="28" t="s">
        <v>511</v>
      </c>
      <c r="G2256" s="28" t="s">
        <v>5157</v>
      </c>
      <c r="J2256" s="346" t="str">
        <f t="shared" si="19"/>
        <v/>
      </c>
      <c r="K2256" s="28" t="str">
        <f t="shared" si="24"/>
        <v/>
      </c>
      <c r="L2256" s="45" t="str">
        <f t="shared" si="25"/>
        <v/>
      </c>
      <c r="M2256" s="45" t="str">
        <f t="shared" si="26"/>
        <v/>
      </c>
      <c r="N2256" s="45">
        <f t="shared" si="27"/>
        <v>1</v>
      </c>
      <c r="O2256" s="45" t="str">
        <f t="shared" si="28"/>
        <v/>
      </c>
      <c r="P2256" s="45" t="str">
        <f t="shared" si="29"/>
        <v/>
      </c>
    </row>
    <row r="2257" spans="1:16" ht="17.25">
      <c r="A2257" s="276" t="s">
        <v>7728</v>
      </c>
      <c r="B2257" s="277">
        <v>2020</v>
      </c>
      <c r="C2257" s="276"/>
      <c r="D2257" s="277">
        <v>31950853</v>
      </c>
      <c r="E2257" s="278" t="str">
        <f t="shared" si="23"/>
        <v>https://pubmed.ncbi.nlm.nih.gov/31950853</v>
      </c>
      <c r="F2257" s="28" t="s">
        <v>511</v>
      </c>
      <c r="G2257" s="28" t="s">
        <v>5273</v>
      </c>
      <c r="J2257" s="346">
        <f t="shared" si="19"/>
        <v>1</v>
      </c>
      <c r="K2257" s="28" t="str">
        <f t="shared" si="24"/>
        <v/>
      </c>
      <c r="L2257" s="45" t="str">
        <f t="shared" si="25"/>
        <v/>
      </c>
      <c r="M2257" s="45" t="str">
        <f t="shared" si="26"/>
        <v/>
      </c>
      <c r="N2257" s="45" t="str">
        <f t="shared" si="27"/>
        <v/>
      </c>
      <c r="O2257" s="45" t="str">
        <f t="shared" si="28"/>
        <v/>
      </c>
      <c r="P2257" s="45" t="str">
        <f t="shared" si="29"/>
        <v/>
      </c>
    </row>
    <row r="2258" spans="1:16" ht="17.25">
      <c r="A2258" s="276" t="s">
        <v>7729</v>
      </c>
      <c r="B2258" s="277">
        <v>2019</v>
      </c>
      <c r="C2258" s="276" t="s">
        <v>7730</v>
      </c>
      <c r="D2258" s="277">
        <v>30990961</v>
      </c>
      <c r="E2258" s="278" t="str">
        <f t="shared" si="23"/>
        <v>https://pubmed.ncbi.nlm.nih.gov/30990961</v>
      </c>
      <c r="F2258" s="28" t="s">
        <v>511</v>
      </c>
      <c r="G2258" s="28" t="s">
        <v>6210</v>
      </c>
      <c r="J2258" s="346">
        <f t="shared" si="19"/>
        <v>1</v>
      </c>
      <c r="K2258" s="28" t="str">
        <f t="shared" si="24"/>
        <v/>
      </c>
      <c r="L2258" s="45" t="str">
        <f t="shared" si="25"/>
        <v/>
      </c>
      <c r="M2258" s="45" t="str">
        <f t="shared" si="26"/>
        <v/>
      </c>
      <c r="N2258" s="45" t="str">
        <f t="shared" si="27"/>
        <v/>
      </c>
      <c r="O2258" s="45" t="str">
        <f t="shared" si="28"/>
        <v/>
      </c>
      <c r="P2258" s="45" t="str">
        <f t="shared" si="29"/>
        <v/>
      </c>
    </row>
    <row r="2259" spans="1:16" ht="17.25">
      <c r="A2259" s="276" t="s">
        <v>7731</v>
      </c>
      <c r="B2259" s="277">
        <v>2015</v>
      </c>
      <c r="C2259" s="276"/>
      <c r="D2259" s="277">
        <v>26221044</v>
      </c>
      <c r="E2259" s="278" t="str">
        <f t="shared" si="23"/>
        <v>https://pubmed.ncbi.nlm.nih.gov/26221044</v>
      </c>
      <c r="F2259" s="28" t="s">
        <v>511</v>
      </c>
      <c r="G2259" s="28" t="s">
        <v>5157</v>
      </c>
      <c r="J2259" s="346" t="str">
        <f t="shared" si="19"/>
        <v/>
      </c>
      <c r="K2259" s="28" t="str">
        <f t="shared" si="24"/>
        <v/>
      </c>
      <c r="L2259" s="45" t="str">
        <f t="shared" si="25"/>
        <v/>
      </c>
      <c r="M2259" s="45" t="str">
        <f t="shared" si="26"/>
        <v/>
      </c>
      <c r="N2259" s="45">
        <f t="shared" si="27"/>
        <v>1</v>
      </c>
      <c r="O2259" s="45" t="str">
        <f t="shared" si="28"/>
        <v/>
      </c>
      <c r="P2259" s="45" t="str">
        <f t="shared" si="29"/>
        <v/>
      </c>
    </row>
    <row r="2260" spans="1:16" ht="17.25">
      <c r="A2260" s="276" t="s">
        <v>7732</v>
      </c>
      <c r="B2260" s="277">
        <v>2010</v>
      </c>
      <c r="C2260" s="276"/>
      <c r="D2260" s="277">
        <v>21316545</v>
      </c>
      <c r="E2260" s="278" t="str">
        <f t="shared" si="23"/>
        <v>https://pubmed.ncbi.nlm.nih.gov/21316545</v>
      </c>
      <c r="F2260" s="28" t="s">
        <v>511</v>
      </c>
      <c r="G2260" s="28" t="s">
        <v>4587</v>
      </c>
      <c r="J2260" s="346" t="str">
        <f t="shared" si="19"/>
        <v/>
      </c>
      <c r="K2260" s="28" t="str">
        <f t="shared" si="24"/>
        <v/>
      </c>
      <c r="L2260" s="45" t="str">
        <f t="shared" si="25"/>
        <v/>
      </c>
      <c r="M2260" s="45">
        <f t="shared" si="26"/>
        <v>1</v>
      </c>
      <c r="N2260" s="45" t="str">
        <f t="shared" si="27"/>
        <v/>
      </c>
      <c r="O2260" s="45" t="str">
        <f t="shared" si="28"/>
        <v/>
      </c>
      <c r="P2260" s="45" t="str">
        <f t="shared" si="29"/>
        <v/>
      </c>
    </row>
    <row r="2261" spans="1:16" ht="17.25">
      <c r="A2261" s="276" t="s">
        <v>7733</v>
      </c>
      <c r="B2261" s="277">
        <v>2017</v>
      </c>
      <c r="C2261" s="276"/>
      <c r="D2261" s="277">
        <v>28477689</v>
      </c>
      <c r="E2261" s="278" t="str">
        <f t="shared" si="23"/>
        <v>https://pubmed.ncbi.nlm.nih.gov/28477689</v>
      </c>
      <c r="F2261" s="28" t="s">
        <v>511</v>
      </c>
      <c r="G2261" s="28" t="s">
        <v>4592</v>
      </c>
      <c r="J2261" s="346">
        <f t="shared" si="19"/>
        <v>1</v>
      </c>
      <c r="K2261" s="28" t="str">
        <f t="shared" si="24"/>
        <v/>
      </c>
      <c r="L2261" s="45" t="str">
        <f t="shared" si="25"/>
        <v/>
      </c>
      <c r="M2261" s="45" t="str">
        <f t="shared" si="26"/>
        <v/>
      </c>
      <c r="N2261" s="45" t="str">
        <f t="shared" si="27"/>
        <v/>
      </c>
      <c r="O2261" s="45" t="str">
        <f t="shared" si="28"/>
        <v/>
      </c>
      <c r="P2261" s="45" t="str">
        <f t="shared" si="29"/>
        <v/>
      </c>
    </row>
    <row r="2262" spans="1:16" ht="17.25">
      <c r="A2262" s="276" t="s">
        <v>7734</v>
      </c>
      <c r="B2262" s="277">
        <v>2012</v>
      </c>
      <c r="C2262" s="276" t="s">
        <v>7735</v>
      </c>
      <c r="D2262" s="277">
        <v>22479361</v>
      </c>
      <c r="E2262" s="278" t="str">
        <f t="shared" si="23"/>
        <v>https://pubmed.ncbi.nlm.nih.gov/22479361</v>
      </c>
      <c r="F2262" s="28" t="s">
        <v>511</v>
      </c>
      <c r="G2262" s="28" t="s">
        <v>4744</v>
      </c>
      <c r="J2262" s="346" t="str">
        <f t="shared" si="19"/>
        <v/>
      </c>
      <c r="K2262" s="28" t="str">
        <f t="shared" si="24"/>
        <v/>
      </c>
      <c r="L2262" s="45" t="str">
        <f t="shared" si="25"/>
        <v/>
      </c>
      <c r="M2262" s="45" t="str">
        <f t="shared" si="26"/>
        <v/>
      </c>
      <c r="N2262" s="45">
        <f t="shared" si="27"/>
        <v>1</v>
      </c>
      <c r="O2262" s="45" t="str">
        <f t="shared" si="28"/>
        <v/>
      </c>
      <c r="P2262" s="45" t="str">
        <f t="shared" si="29"/>
        <v/>
      </c>
    </row>
    <row r="2263" spans="1:16" ht="17.25">
      <c r="A2263" s="276" t="s">
        <v>7736</v>
      </c>
      <c r="B2263" s="277">
        <v>2020</v>
      </c>
      <c r="C2263" s="276" t="s">
        <v>7737</v>
      </c>
      <c r="D2263" s="277">
        <v>32334570</v>
      </c>
      <c r="E2263" s="278" t="str">
        <f t="shared" si="23"/>
        <v>https://pubmed.ncbi.nlm.nih.gov/32334570</v>
      </c>
      <c r="F2263" s="28" t="s">
        <v>511</v>
      </c>
      <c r="G2263" s="28" t="s">
        <v>6712</v>
      </c>
      <c r="J2263" s="346" t="str">
        <f t="shared" si="19"/>
        <v/>
      </c>
      <c r="K2263" s="28" t="str">
        <f t="shared" si="24"/>
        <v/>
      </c>
      <c r="L2263" s="45" t="str">
        <f t="shared" si="25"/>
        <v/>
      </c>
      <c r="M2263" s="45" t="str">
        <f t="shared" si="26"/>
        <v/>
      </c>
      <c r="N2263" s="45">
        <f t="shared" si="27"/>
        <v>1</v>
      </c>
      <c r="O2263" s="45" t="str">
        <f t="shared" si="28"/>
        <v/>
      </c>
      <c r="P2263" s="45" t="str">
        <f t="shared" si="29"/>
        <v/>
      </c>
    </row>
    <row r="2264" spans="1:16" ht="17.25">
      <c r="A2264" s="276" t="s">
        <v>7738</v>
      </c>
      <c r="B2264" s="277">
        <v>2021</v>
      </c>
      <c r="C2264" s="276" t="s">
        <v>7739</v>
      </c>
      <c r="D2264" s="277">
        <v>32750273</v>
      </c>
      <c r="E2264" s="278" t="str">
        <f t="shared" si="23"/>
        <v>https://pubmed.ncbi.nlm.nih.gov/32750273</v>
      </c>
      <c r="F2264" s="28" t="s">
        <v>511</v>
      </c>
      <c r="G2264" s="28" t="s">
        <v>7740</v>
      </c>
      <c r="J2264" s="346" t="str">
        <f t="shared" si="19"/>
        <v/>
      </c>
      <c r="K2264" s="28" t="str">
        <f t="shared" si="24"/>
        <v/>
      </c>
      <c r="L2264" s="45" t="str">
        <f t="shared" si="25"/>
        <v/>
      </c>
      <c r="M2264" s="45" t="str">
        <f t="shared" si="26"/>
        <v/>
      </c>
      <c r="N2264" s="45" t="str">
        <f t="shared" si="27"/>
        <v/>
      </c>
      <c r="O2264" s="45">
        <f t="shared" si="28"/>
        <v>1</v>
      </c>
      <c r="P2264" s="45" t="str">
        <f t="shared" si="29"/>
        <v/>
      </c>
    </row>
    <row r="2265" spans="1:16" ht="17.25">
      <c r="A2265" s="276" t="s">
        <v>7741</v>
      </c>
      <c r="B2265" s="277">
        <v>2004</v>
      </c>
      <c r="C2265" s="276"/>
      <c r="D2265" s="277">
        <v>15568608</v>
      </c>
      <c r="E2265" s="278" t="str">
        <f t="shared" si="23"/>
        <v>https://pubmed.ncbi.nlm.nih.gov/15568608</v>
      </c>
      <c r="F2265" s="28" t="s">
        <v>511</v>
      </c>
      <c r="G2265" s="28" t="s">
        <v>6623</v>
      </c>
      <c r="J2265" s="346">
        <f t="shared" si="19"/>
        <v>1</v>
      </c>
      <c r="K2265" s="28" t="str">
        <f t="shared" si="24"/>
        <v/>
      </c>
      <c r="L2265" s="45" t="str">
        <f t="shared" si="25"/>
        <v/>
      </c>
      <c r="M2265" s="45" t="str">
        <f t="shared" si="26"/>
        <v/>
      </c>
      <c r="N2265" s="45" t="str">
        <f t="shared" si="27"/>
        <v/>
      </c>
      <c r="O2265" s="45" t="str">
        <f t="shared" si="28"/>
        <v/>
      </c>
      <c r="P2265" s="45" t="str">
        <f t="shared" si="29"/>
        <v/>
      </c>
    </row>
    <row r="2266" spans="1:16" ht="17.25">
      <c r="A2266" s="276" t="s">
        <v>7742</v>
      </c>
      <c r="B2266" s="277">
        <v>2011</v>
      </c>
      <c r="C2266" s="276" t="s">
        <v>7743</v>
      </c>
      <c r="D2266" s="277">
        <v>21360007</v>
      </c>
      <c r="E2266" s="278" t="str">
        <f t="shared" si="23"/>
        <v>https://pubmed.ncbi.nlm.nih.gov/21360007</v>
      </c>
      <c r="F2266" s="28" t="s">
        <v>511</v>
      </c>
      <c r="G2266" s="28" t="s">
        <v>4867</v>
      </c>
      <c r="J2266" s="346" t="str">
        <f t="shared" si="19"/>
        <v/>
      </c>
      <c r="K2266" s="28" t="str">
        <f t="shared" si="24"/>
        <v/>
      </c>
      <c r="L2266" s="45" t="str">
        <f t="shared" si="25"/>
        <v/>
      </c>
      <c r="M2266" s="45" t="str">
        <f t="shared" si="26"/>
        <v/>
      </c>
      <c r="N2266" s="45">
        <f t="shared" si="27"/>
        <v>1</v>
      </c>
      <c r="O2266" s="45" t="str">
        <f t="shared" si="28"/>
        <v/>
      </c>
      <c r="P2266" s="45" t="str">
        <f t="shared" si="29"/>
        <v/>
      </c>
    </row>
    <row r="2267" spans="1:16" ht="17.25">
      <c r="A2267" s="276" t="s">
        <v>5098</v>
      </c>
      <c r="B2267" s="277">
        <v>2017</v>
      </c>
      <c r="C2267" s="276"/>
      <c r="D2267" s="277">
        <v>28007576</v>
      </c>
      <c r="E2267" s="278" t="str">
        <f t="shared" si="23"/>
        <v>https://pubmed.ncbi.nlm.nih.gov/28007576</v>
      </c>
      <c r="F2267" s="28" t="s">
        <v>511</v>
      </c>
      <c r="G2267" s="28" t="s">
        <v>5157</v>
      </c>
      <c r="J2267" s="346" t="str">
        <f t="shared" si="19"/>
        <v/>
      </c>
      <c r="K2267" s="28" t="str">
        <f t="shared" si="24"/>
        <v/>
      </c>
      <c r="L2267" s="45" t="str">
        <f t="shared" si="25"/>
        <v/>
      </c>
      <c r="M2267" s="45" t="str">
        <f t="shared" si="26"/>
        <v/>
      </c>
      <c r="N2267" s="45">
        <f t="shared" si="27"/>
        <v>1</v>
      </c>
      <c r="O2267" s="45" t="str">
        <f t="shared" si="28"/>
        <v/>
      </c>
      <c r="P2267" s="45" t="str">
        <f t="shared" si="29"/>
        <v/>
      </c>
    </row>
    <row r="2268" spans="1:16" ht="17.25">
      <c r="A2268" s="276" t="s">
        <v>7744</v>
      </c>
      <c r="B2268" s="277">
        <v>2014</v>
      </c>
      <c r="C2268" s="276" t="s">
        <v>7745</v>
      </c>
      <c r="D2268" s="277">
        <v>24988909</v>
      </c>
      <c r="E2268" s="278" t="str">
        <f t="shared" si="23"/>
        <v>https://pubmed.ncbi.nlm.nih.gov/24988909</v>
      </c>
      <c r="F2268" s="28" t="s">
        <v>511</v>
      </c>
      <c r="G2268" s="28" t="s">
        <v>4744</v>
      </c>
      <c r="J2268" s="346" t="str">
        <f t="shared" si="19"/>
        <v/>
      </c>
      <c r="K2268" s="28" t="str">
        <f t="shared" si="24"/>
        <v/>
      </c>
      <c r="L2268" s="45" t="str">
        <f t="shared" si="25"/>
        <v/>
      </c>
      <c r="M2268" s="45" t="str">
        <f t="shared" si="26"/>
        <v/>
      </c>
      <c r="N2268" s="45">
        <f t="shared" si="27"/>
        <v>1</v>
      </c>
      <c r="O2268" s="45" t="str">
        <f t="shared" si="28"/>
        <v/>
      </c>
      <c r="P2268" s="45" t="str">
        <f t="shared" si="29"/>
        <v/>
      </c>
    </row>
    <row r="2269" spans="1:16" ht="17.25">
      <c r="A2269" s="276" t="s">
        <v>7746</v>
      </c>
      <c r="B2269" s="277">
        <v>2011</v>
      </c>
      <c r="C2269" s="276"/>
      <c r="D2269" s="277">
        <v>21459680</v>
      </c>
      <c r="E2269" s="278" t="str">
        <f t="shared" si="23"/>
        <v>https://pubmed.ncbi.nlm.nih.gov/21459680</v>
      </c>
      <c r="F2269" s="28" t="s">
        <v>511</v>
      </c>
      <c r="G2269" s="28" t="s">
        <v>7747</v>
      </c>
      <c r="J2269" s="346" t="str">
        <f t="shared" si="19"/>
        <v/>
      </c>
      <c r="K2269" s="28" t="str">
        <f t="shared" si="24"/>
        <v/>
      </c>
      <c r="L2269" s="45" t="str">
        <f t="shared" si="25"/>
        <v/>
      </c>
      <c r="M2269" s="45" t="str">
        <f t="shared" si="26"/>
        <v/>
      </c>
      <c r="N2269" s="45" t="str">
        <f t="shared" si="27"/>
        <v/>
      </c>
      <c r="O2269" s="45">
        <f t="shared" si="28"/>
        <v>1</v>
      </c>
      <c r="P2269" s="45" t="str">
        <f t="shared" si="29"/>
        <v/>
      </c>
    </row>
    <row r="2270" spans="1:16" ht="17.25">
      <c r="A2270" s="276" t="s">
        <v>7746</v>
      </c>
      <c r="B2270" s="277">
        <v>2010</v>
      </c>
      <c r="C2270" s="276"/>
      <c r="D2270" s="277">
        <v>20350952</v>
      </c>
      <c r="E2270" s="278" t="str">
        <f t="shared" si="23"/>
        <v>https://pubmed.ncbi.nlm.nih.gov/20350952</v>
      </c>
      <c r="F2270" s="28" t="s">
        <v>511</v>
      </c>
      <c r="G2270" s="28" t="s">
        <v>7747</v>
      </c>
      <c r="J2270" s="346" t="str">
        <f t="shared" si="19"/>
        <v/>
      </c>
      <c r="K2270" s="28" t="str">
        <f t="shared" si="24"/>
        <v/>
      </c>
      <c r="L2270" s="45" t="str">
        <f t="shared" si="25"/>
        <v/>
      </c>
      <c r="M2270" s="45" t="str">
        <f t="shared" si="26"/>
        <v/>
      </c>
      <c r="N2270" s="45" t="str">
        <f t="shared" si="27"/>
        <v/>
      </c>
      <c r="O2270" s="45">
        <f t="shared" si="28"/>
        <v>1</v>
      </c>
      <c r="P2270" s="45" t="str">
        <f t="shared" si="29"/>
        <v/>
      </c>
    </row>
    <row r="2271" spans="1:16" ht="17.25">
      <c r="A2271" s="276" t="s">
        <v>7748</v>
      </c>
      <c r="B2271" s="277">
        <v>2017</v>
      </c>
      <c r="C2271" s="276"/>
      <c r="D2271" s="277">
        <v>27942720</v>
      </c>
      <c r="E2271" s="278" t="str">
        <f t="shared" si="23"/>
        <v>https://pubmed.ncbi.nlm.nih.gov/27942720</v>
      </c>
      <c r="F2271" s="28" t="s">
        <v>511</v>
      </c>
      <c r="G2271" s="28" t="s">
        <v>5157</v>
      </c>
      <c r="J2271" s="346" t="str">
        <f t="shared" si="19"/>
        <v/>
      </c>
      <c r="K2271" s="28" t="str">
        <f t="shared" si="24"/>
        <v/>
      </c>
      <c r="L2271" s="45" t="str">
        <f t="shared" si="25"/>
        <v/>
      </c>
      <c r="M2271" s="45" t="str">
        <f t="shared" si="26"/>
        <v/>
      </c>
      <c r="N2271" s="45">
        <f t="shared" si="27"/>
        <v>1</v>
      </c>
      <c r="O2271" s="45" t="str">
        <f t="shared" si="28"/>
        <v/>
      </c>
      <c r="P2271" s="45" t="str">
        <f t="shared" si="29"/>
        <v/>
      </c>
    </row>
    <row r="2272" spans="1:16" ht="17.25">
      <c r="A2272" s="276" t="s">
        <v>7749</v>
      </c>
      <c r="B2272" s="277">
        <v>1999</v>
      </c>
      <c r="C2272" s="276"/>
      <c r="D2272" s="277">
        <v>10469179</v>
      </c>
      <c r="E2272" s="278" t="str">
        <f t="shared" si="23"/>
        <v>https://pubmed.ncbi.nlm.nih.gov/10469179</v>
      </c>
      <c r="F2272" s="28" t="s">
        <v>511</v>
      </c>
      <c r="G2272" s="28" t="s">
        <v>4867</v>
      </c>
      <c r="J2272" s="346" t="str">
        <f t="shared" si="19"/>
        <v/>
      </c>
      <c r="K2272" s="28" t="str">
        <f t="shared" si="24"/>
        <v/>
      </c>
      <c r="L2272" s="45" t="str">
        <f t="shared" si="25"/>
        <v/>
      </c>
      <c r="M2272" s="45" t="str">
        <f t="shared" si="26"/>
        <v/>
      </c>
      <c r="N2272" s="45">
        <f t="shared" si="27"/>
        <v>1</v>
      </c>
      <c r="O2272" s="45" t="str">
        <f t="shared" si="28"/>
        <v/>
      </c>
      <c r="P2272" s="45" t="str">
        <f t="shared" si="29"/>
        <v/>
      </c>
    </row>
    <row r="2273" spans="1:16" ht="17.25">
      <c r="A2273" s="276" t="s">
        <v>7750</v>
      </c>
      <c r="B2273" s="277">
        <v>2020</v>
      </c>
      <c r="C2273" s="276" t="s">
        <v>7751</v>
      </c>
      <c r="D2273" s="277">
        <v>32758889</v>
      </c>
      <c r="E2273" s="278" t="str">
        <f t="shared" si="23"/>
        <v>https://pubmed.ncbi.nlm.nih.gov/32758889</v>
      </c>
      <c r="F2273" s="28" t="s">
        <v>511</v>
      </c>
      <c r="G2273" s="28" t="s">
        <v>7752</v>
      </c>
      <c r="J2273" s="346" t="str">
        <f t="shared" si="19"/>
        <v/>
      </c>
      <c r="K2273" s="28" t="str">
        <f t="shared" si="24"/>
        <v/>
      </c>
      <c r="L2273" s="45" t="str">
        <f t="shared" si="25"/>
        <v/>
      </c>
      <c r="M2273" s="45" t="str">
        <f t="shared" si="26"/>
        <v/>
      </c>
      <c r="N2273" s="45">
        <f t="shared" si="27"/>
        <v>1</v>
      </c>
      <c r="O2273" s="45" t="str">
        <f t="shared" si="28"/>
        <v/>
      </c>
      <c r="P2273" s="45" t="str">
        <f t="shared" si="29"/>
        <v/>
      </c>
    </row>
    <row r="2274" spans="1:16" ht="17.25">
      <c r="A2274" s="276" t="s">
        <v>7753</v>
      </c>
      <c r="B2274" s="277">
        <v>2017</v>
      </c>
      <c r="C2274" s="276"/>
      <c r="D2274" s="277">
        <v>28420008</v>
      </c>
      <c r="E2274" s="278" t="str">
        <f t="shared" si="23"/>
        <v>https://pubmed.ncbi.nlm.nih.gov/28420008</v>
      </c>
      <c r="F2274" s="28" t="s">
        <v>511</v>
      </c>
      <c r="G2274" s="28" t="s">
        <v>6412</v>
      </c>
      <c r="J2274" s="346" t="str">
        <f t="shared" si="19"/>
        <v/>
      </c>
      <c r="K2274" s="28" t="str">
        <f t="shared" si="24"/>
        <v/>
      </c>
      <c r="L2274" s="45" t="str">
        <f t="shared" si="25"/>
        <v/>
      </c>
      <c r="M2274" s="45" t="str">
        <f t="shared" si="26"/>
        <v/>
      </c>
      <c r="N2274" s="45">
        <f t="shared" si="27"/>
        <v>1</v>
      </c>
      <c r="O2274" s="45" t="str">
        <f t="shared" si="28"/>
        <v/>
      </c>
      <c r="P2274" s="45" t="str">
        <f t="shared" si="29"/>
        <v/>
      </c>
    </row>
    <row r="2275" spans="1:16" ht="17.25">
      <c r="A2275" s="276" t="s">
        <v>7754</v>
      </c>
      <c r="B2275" s="277">
        <v>2020</v>
      </c>
      <c r="C2275" s="276" t="s">
        <v>7755</v>
      </c>
      <c r="D2275" s="277">
        <v>32378196</v>
      </c>
      <c r="E2275" s="278" t="str">
        <f t="shared" si="23"/>
        <v>https://pubmed.ncbi.nlm.nih.gov/32378196</v>
      </c>
      <c r="F2275" s="28" t="s">
        <v>511</v>
      </c>
      <c r="G2275" s="28" t="s">
        <v>5273</v>
      </c>
      <c r="J2275" s="346">
        <f t="shared" si="19"/>
        <v>1</v>
      </c>
      <c r="K2275" s="28" t="str">
        <f t="shared" si="24"/>
        <v/>
      </c>
      <c r="L2275" s="45" t="str">
        <f t="shared" si="25"/>
        <v/>
      </c>
      <c r="M2275" s="45" t="str">
        <f t="shared" si="26"/>
        <v/>
      </c>
      <c r="N2275" s="45" t="str">
        <f t="shared" si="27"/>
        <v/>
      </c>
      <c r="O2275" s="45" t="str">
        <f t="shared" si="28"/>
        <v/>
      </c>
      <c r="P2275" s="45" t="str">
        <f t="shared" si="29"/>
        <v/>
      </c>
    </row>
    <row r="2276" spans="1:16" ht="17.25">
      <c r="A2276" s="276" t="s">
        <v>7756</v>
      </c>
      <c r="B2276" s="277">
        <v>2013</v>
      </c>
      <c r="C2276" s="276"/>
      <c r="D2276" s="277">
        <v>23121200</v>
      </c>
      <c r="E2276" s="278" t="str">
        <f t="shared" si="23"/>
        <v>https://pubmed.ncbi.nlm.nih.gov/23121200</v>
      </c>
      <c r="F2276" s="28" t="s">
        <v>511</v>
      </c>
      <c r="G2276" s="28" t="s">
        <v>4744</v>
      </c>
      <c r="J2276" s="346" t="str">
        <f t="shared" si="19"/>
        <v/>
      </c>
      <c r="K2276" s="28" t="str">
        <f t="shared" si="24"/>
        <v/>
      </c>
      <c r="L2276" s="45" t="str">
        <f t="shared" si="25"/>
        <v/>
      </c>
      <c r="M2276" s="45" t="str">
        <f t="shared" si="26"/>
        <v/>
      </c>
      <c r="N2276" s="45">
        <f t="shared" si="27"/>
        <v>1</v>
      </c>
      <c r="O2276" s="45" t="str">
        <f t="shared" si="28"/>
        <v/>
      </c>
      <c r="P2276" s="45" t="str">
        <f t="shared" si="29"/>
        <v/>
      </c>
    </row>
    <row r="2277" spans="1:16" ht="17.25">
      <c r="A2277" s="276" t="s">
        <v>7757</v>
      </c>
      <c r="B2277" s="277">
        <v>2019</v>
      </c>
      <c r="C2277" s="276" t="s">
        <v>7758</v>
      </c>
      <c r="D2277" s="277">
        <v>30755164</v>
      </c>
      <c r="E2277" s="278" t="str">
        <f t="shared" si="23"/>
        <v>https://pubmed.ncbi.nlm.nih.gov/30755164</v>
      </c>
      <c r="F2277" s="28" t="s">
        <v>511</v>
      </c>
      <c r="G2277" s="28" t="s">
        <v>4867</v>
      </c>
      <c r="J2277" s="346" t="str">
        <f t="shared" si="19"/>
        <v/>
      </c>
      <c r="K2277" s="28" t="str">
        <f t="shared" si="24"/>
        <v/>
      </c>
      <c r="L2277" s="45" t="str">
        <f t="shared" si="25"/>
        <v/>
      </c>
      <c r="M2277" s="45" t="str">
        <f t="shared" si="26"/>
        <v/>
      </c>
      <c r="N2277" s="45">
        <f t="shared" si="27"/>
        <v>1</v>
      </c>
      <c r="O2277" s="45" t="str">
        <f t="shared" si="28"/>
        <v/>
      </c>
      <c r="P2277" s="45" t="str">
        <f t="shared" si="29"/>
        <v/>
      </c>
    </row>
    <row r="2278" spans="1:16" ht="17.25">
      <c r="A2278" s="276" t="s">
        <v>7759</v>
      </c>
      <c r="B2278" s="277">
        <v>2013</v>
      </c>
      <c r="C2278" s="276"/>
      <c r="D2278" s="277">
        <v>23602535</v>
      </c>
      <c r="E2278" s="278" t="str">
        <f t="shared" si="23"/>
        <v>https://pubmed.ncbi.nlm.nih.gov/23602535</v>
      </c>
      <c r="F2278" s="28" t="s">
        <v>511</v>
      </c>
      <c r="G2278" s="28" t="s">
        <v>7760</v>
      </c>
      <c r="J2278" s="346" t="str">
        <f t="shared" si="19"/>
        <v/>
      </c>
      <c r="K2278" s="28" t="str">
        <f t="shared" si="24"/>
        <v/>
      </c>
      <c r="L2278" s="45" t="str">
        <f t="shared" si="25"/>
        <v/>
      </c>
      <c r="M2278" s="45" t="str">
        <f t="shared" si="26"/>
        <v/>
      </c>
      <c r="N2278" s="45">
        <f t="shared" si="27"/>
        <v>1</v>
      </c>
      <c r="O2278" s="45" t="str">
        <f t="shared" si="28"/>
        <v/>
      </c>
      <c r="P2278" s="45" t="str">
        <f t="shared" si="29"/>
        <v/>
      </c>
    </row>
    <row r="2279" spans="1:16" ht="17.25">
      <c r="A2279" s="276" t="s">
        <v>7761</v>
      </c>
      <c r="B2279" s="277">
        <v>2009</v>
      </c>
      <c r="C2279" s="276"/>
      <c r="D2279" s="277">
        <v>19644773</v>
      </c>
      <c r="E2279" s="278" t="str">
        <f t="shared" si="23"/>
        <v>https://pubmed.ncbi.nlm.nih.gov/19644773</v>
      </c>
      <c r="F2279" s="28" t="s">
        <v>511</v>
      </c>
      <c r="G2279" s="28" t="s">
        <v>4592</v>
      </c>
      <c r="J2279" s="346">
        <f t="shared" si="19"/>
        <v>1</v>
      </c>
      <c r="K2279" s="28" t="str">
        <f t="shared" si="24"/>
        <v/>
      </c>
      <c r="L2279" s="45" t="str">
        <f t="shared" si="25"/>
        <v/>
      </c>
      <c r="M2279" s="45" t="str">
        <f t="shared" si="26"/>
        <v/>
      </c>
      <c r="N2279" s="45" t="str">
        <f t="shared" si="27"/>
        <v/>
      </c>
      <c r="O2279" s="45" t="str">
        <f t="shared" si="28"/>
        <v/>
      </c>
      <c r="P2279" s="45" t="str">
        <f t="shared" si="29"/>
        <v/>
      </c>
    </row>
    <row r="2280" spans="1:16" ht="17.25">
      <c r="A2280" s="276" t="s">
        <v>7762</v>
      </c>
      <c r="B2280" s="277">
        <v>2014</v>
      </c>
      <c r="C2280" s="276" t="s">
        <v>7763</v>
      </c>
      <c r="D2280" s="277">
        <v>25168927</v>
      </c>
      <c r="E2280" s="278" t="str">
        <f t="shared" si="23"/>
        <v>https://pubmed.ncbi.nlm.nih.gov/25168927</v>
      </c>
      <c r="F2280" s="28" t="s">
        <v>511</v>
      </c>
      <c r="G2280" s="28" t="s">
        <v>5157</v>
      </c>
      <c r="J2280" s="346" t="str">
        <f t="shared" si="19"/>
        <v/>
      </c>
      <c r="K2280" s="28" t="str">
        <f t="shared" si="24"/>
        <v/>
      </c>
      <c r="L2280" s="45" t="str">
        <f t="shared" si="25"/>
        <v/>
      </c>
      <c r="M2280" s="45" t="str">
        <f t="shared" si="26"/>
        <v/>
      </c>
      <c r="N2280" s="45">
        <f t="shared" si="27"/>
        <v>1</v>
      </c>
      <c r="O2280" s="45" t="str">
        <f t="shared" si="28"/>
        <v/>
      </c>
      <c r="P2280" s="45" t="str">
        <f t="shared" si="29"/>
        <v/>
      </c>
    </row>
    <row r="2281" spans="1:16" ht="17.25">
      <c r="A2281" s="276" t="s">
        <v>7764</v>
      </c>
      <c r="B2281" s="277">
        <v>2006</v>
      </c>
      <c r="C2281" s="276"/>
      <c r="D2281" s="277">
        <v>16357613</v>
      </c>
      <c r="E2281" s="278" t="str">
        <f t="shared" si="23"/>
        <v>https://pubmed.ncbi.nlm.nih.gov/16357613</v>
      </c>
      <c r="F2281" s="28" t="s">
        <v>511</v>
      </c>
      <c r="G2281" s="28" t="s">
        <v>5299</v>
      </c>
      <c r="J2281" s="346" t="str">
        <f t="shared" si="19"/>
        <v/>
      </c>
      <c r="K2281" s="28" t="str">
        <f t="shared" si="24"/>
        <v/>
      </c>
      <c r="L2281" s="45" t="str">
        <f t="shared" si="25"/>
        <v/>
      </c>
      <c r="M2281" s="45" t="str">
        <f t="shared" si="26"/>
        <v/>
      </c>
      <c r="N2281" s="45">
        <f t="shared" si="27"/>
        <v>1</v>
      </c>
      <c r="O2281" s="45" t="str">
        <f t="shared" si="28"/>
        <v/>
      </c>
      <c r="P2281" s="45" t="str">
        <f t="shared" si="29"/>
        <v/>
      </c>
    </row>
    <row r="2282" spans="1:16" ht="17.25">
      <c r="A2282" s="276" t="s">
        <v>7765</v>
      </c>
      <c r="B2282" s="277">
        <v>2012</v>
      </c>
      <c r="C2282" s="276" t="s">
        <v>7766</v>
      </c>
      <c r="D2282" s="277">
        <v>22989372</v>
      </c>
      <c r="E2282" s="278" t="str">
        <f t="shared" si="23"/>
        <v>https://pubmed.ncbi.nlm.nih.gov/22989372</v>
      </c>
      <c r="F2282" s="28" t="s">
        <v>511</v>
      </c>
      <c r="G2282" s="28" t="s">
        <v>4744</v>
      </c>
      <c r="I2282" s="28" t="s">
        <v>7767</v>
      </c>
      <c r="J2282" s="346" t="str">
        <f t="shared" si="19"/>
        <v/>
      </c>
      <c r="K2282" s="28" t="str">
        <f t="shared" si="24"/>
        <v/>
      </c>
      <c r="L2282" s="45" t="str">
        <f t="shared" si="25"/>
        <v/>
      </c>
      <c r="M2282" s="45" t="str">
        <f t="shared" si="26"/>
        <v/>
      </c>
      <c r="N2282" s="45">
        <f t="shared" si="27"/>
        <v>1</v>
      </c>
      <c r="O2282" s="45" t="str">
        <f t="shared" si="28"/>
        <v/>
      </c>
      <c r="P2282" s="45" t="str">
        <f t="shared" si="29"/>
        <v/>
      </c>
    </row>
    <row r="2283" spans="1:16" ht="17.25">
      <c r="A2283" s="276" t="s">
        <v>7768</v>
      </c>
      <c r="B2283" s="277">
        <v>2003</v>
      </c>
      <c r="C2283" s="276"/>
      <c r="D2283" s="277">
        <v>12794395</v>
      </c>
      <c r="E2283" s="278" t="str">
        <f t="shared" si="23"/>
        <v>https://pubmed.ncbi.nlm.nih.gov/12794395</v>
      </c>
      <c r="F2283" s="28" t="s">
        <v>511</v>
      </c>
      <c r="G2283" s="28" t="s">
        <v>4867</v>
      </c>
      <c r="J2283" s="346" t="str">
        <f t="shared" si="19"/>
        <v/>
      </c>
      <c r="K2283" s="28" t="str">
        <f t="shared" si="24"/>
        <v/>
      </c>
      <c r="L2283" s="45" t="str">
        <f t="shared" si="25"/>
        <v/>
      </c>
      <c r="M2283" s="45" t="str">
        <f t="shared" si="26"/>
        <v/>
      </c>
      <c r="N2283" s="45">
        <f t="shared" si="27"/>
        <v>1</v>
      </c>
      <c r="O2283" s="45" t="str">
        <f t="shared" si="28"/>
        <v/>
      </c>
      <c r="P2283" s="45" t="str">
        <f t="shared" si="29"/>
        <v/>
      </c>
    </row>
    <row r="2284" spans="1:16" ht="17.25">
      <c r="A2284" s="276" t="s">
        <v>7769</v>
      </c>
      <c r="B2284" s="277">
        <v>2016</v>
      </c>
      <c r="C2284" s="276"/>
      <c r="D2284" s="277">
        <v>27296693</v>
      </c>
      <c r="E2284" s="278" t="str">
        <f t="shared" si="23"/>
        <v>https://pubmed.ncbi.nlm.nih.gov/27296693</v>
      </c>
      <c r="F2284" s="28" t="s">
        <v>511</v>
      </c>
      <c r="G2284" s="28" t="s">
        <v>4867</v>
      </c>
      <c r="J2284" s="346" t="str">
        <f t="shared" si="19"/>
        <v/>
      </c>
      <c r="K2284" s="28" t="str">
        <f t="shared" si="24"/>
        <v/>
      </c>
      <c r="L2284" s="45" t="str">
        <f t="shared" si="25"/>
        <v/>
      </c>
      <c r="M2284" s="45" t="str">
        <f t="shared" si="26"/>
        <v/>
      </c>
      <c r="N2284" s="45">
        <f t="shared" si="27"/>
        <v>1</v>
      </c>
      <c r="O2284" s="45" t="str">
        <f t="shared" si="28"/>
        <v/>
      </c>
      <c r="P2284" s="45" t="str">
        <f t="shared" si="29"/>
        <v/>
      </c>
    </row>
    <row r="2285" spans="1:16" ht="17.25">
      <c r="A2285" s="276" t="s">
        <v>7770</v>
      </c>
      <c r="B2285" s="277">
        <v>2012</v>
      </c>
      <c r="C2285" s="276"/>
      <c r="D2285" s="277">
        <v>22496082</v>
      </c>
      <c r="E2285" s="278" t="str">
        <f t="shared" si="23"/>
        <v>https://pubmed.ncbi.nlm.nih.gov/22496082</v>
      </c>
      <c r="F2285" s="28" t="s">
        <v>511</v>
      </c>
      <c r="G2285" s="28" t="s">
        <v>7100</v>
      </c>
      <c r="J2285" s="346" t="str">
        <f t="shared" si="19"/>
        <v/>
      </c>
      <c r="K2285" s="28" t="str">
        <f t="shared" si="24"/>
        <v/>
      </c>
      <c r="L2285" s="45" t="str">
        <f t="shared" si="25"/>
        <v/>
      </c>
      <c r="M2285" s="45" t="str">
        <f t="shared" si="26"/>
        <v/>
      </c>
      <c r="N2285" s="45">
        <f t="shared" si="27"/>
        <v>1</v>
      </c>
      <c r="O2285" s="45" t="str">
        <f t="shared" si="28"/>
        <v/>
      </c>
      <c r="P2285" s="45" t="str">
        <f t="shared" si="29"/>
        <v/>
      </c>
    </row>
    <row r="2286" spans="1:16" ht="17.25">
      <c r="A2286" s="276" t="s">
        <v>7771</v>
      </c>
      <c r="B2286" s="277">
        <v>2011</v>
      </c>
      <c r="C2286" s="276"/>
      <c r="D2286" s="277">
        <v>21666158</v>
      </c>
      <c r="E2286" s="278" t="str">
        <f t="shared" si="23"/>
        <v>https://pubmed.ncbi.nlm.nih.gov/21666158</v>
      </c>
      <c r="F2286" s="28" t="s">
        <v>511</v>
      </c>
      <c r="G2286" s="28" t="s">
        <v>6220</v>
      </c>
      <c r="J2286" s="346">
        <f t="shared" si="19"/>
        <v>1</v>
      </c>
      <c r="K2286" s="28" t="str">
        <f t="shared" si="24"/>
        <v/>
      </c>
      <c r="L2286" s="45" t="str">
        <f t="shared" si="25"/>
        <v/>
      </c>
      <c r="M2286" s="45" t="str">
        <f t="shared" si="26"/>
        <v/>
      </c>
      <c r="N2286" s="45" t="str">
        <f t="shared" si="27"/>
        <v/>
      </c>
      <c r="O2286" s="45" t="str">
        <f t="shared" si="28"/>
        <v/>
      </c>
      <c r="P2286" s="45" t="str">
        <f t="shared" si="29"/>
        <v/>
      </c>
    </row>
    <row r="2287" spans="1:16" ht="17.25">
      <c r="A2287" s="276" t="s">
        <v>7772</v>
      </c>
      <c r="B2287" s="277">
        <v>2006</v>
      </c>
      <c r="C2287" s="276"/>
      <c r="D2287" s="277">
        <v>17319161</v>
      </c>
      <c r="E2287" s="278" t="str">
        <f t="shared" si="23"/>
        <v>https://pubmed.ncbi.nlm.nih.gov/17319161</v>
      </c>
      <c r="F2287" s="28" t="s">
        <v>511</v>
      </c>
      <c r="G2287" s="28" t="s">
        <v>4592</v>
      </c>
      <c r="J2287" s="346">
        <f t="shared" si="19"/>
        <v>1</v>
      </c>
      <c r="K2287" s="28" t="str">
        <f t="shared" si="24"/>
        <v/>
      </c>
      <c r="L2287" s="45" t="str">
        <f t="shared" si="25"/>
        <v/>
      </c>
      <c r="M2287" s="45" t="str">
        <f t="shared" si="26"/>
        <v/>
      </c>
      <c r="N2287" s="45" t="str">
        <f t="shared" si="27"/>
        <v/>
      </c>
      <c r="O2287" s="45" t="str">
        <f t="shared" si="28"/>
        <v/>
      </c>
      <c r="P2287" s="45" t="str">
        <f t="shared" si="29"/>
        <v/>
      </c>
    </row>
    <row r="2288" spans="1:16" ht="17.25">
      <c r="A2288" s="276" t="s">
        <v>7773</v>
      </c>
      <c r="B2288" s="277">
        <v>2012</v>
      </c>
      <c r="C2288" s="276" t="s">
        <v>7774</v>
      </c>
      <c r="D2288" s="277">
        <v>23074431</v>
      </c>
      <c r="E2288" s="278" t="str">
        <f t="shared" si="23"/>
        <v>https://pubmed.ncbi.nlm.nih.gov/23074431</v>
      </c>
      <c r="F2288" s="28" t="s">
        <v>511</v>
      </c>
      <c r="G2288" s="28" t="s">
        <v>4592</v>
      </c>
      <c r="J2288" s="346">
        <f t="shared" si="19"/>
        <v>1</v>
      </c>
      <c r="K2288" s="28" t="str">
        <f t="shared" si="24"/>
        <v/>
      </c>
      <c r="L2288" s="45" t="str">
        <f t="shared" si="25"/>
        <v/>
      </c>
      <c r="M2288" s="45" t="str">
        <f t="shared" si="26"/>
        <v/>
      </c>
      <c r="N2288" s="45" t="str">
        <f t="shared" si="27"/>
        <v/>
      </c>
      <c r="O2288" s="45" t="str">
        <f t="shared" si="28"/>
        <v/>
      </c>
      <c r="P2288" s="45" t="str">
        <f t="shared" si="29"/>
        <v/>
      </c>
    </row>
    <row r="2289" spans="1:16" ht="17.25">
      <c r="A2289" s="276" t="s">
        <v>7775</v>
      </c>
      <c r="B2289" s="277">
        <v>2011</v>
      </c>
      <c r="C2289" s="276"/>
      <c r="D2289" s="277">
        <v>21328305</v>
      </c>
      <c r="E2289" s="278" t="str">
        <f t="shared" si="23"/>
        <v>https://pubmed.ncbi.nlm.nih.gov/21328305</v>
      </c>
      <c r="F2289" s="28" t="s">
        <v>511</v>
      </c>
      <c r="G2289" s="28" t="s">
        <v>4744</v>
      </c>
      <c r="J2289" s="346" t="str">
        <f t="shared" si="19"/>
        <v/>
      </c>
      <c r="K2289" s="28" t="str">
        <f t="shared" si="24"/>
        <v/>
      </c>
      <c r="L2289" s="45" t="str">
        <f t="shared" si="25"/>
        <v/>
      </c>
      <c r="M2289" s="45" t="str">
        <f t="shared" si="26"/>
        <v/>
      </c>
      <c r="N2289" s="45">
        <f t="shared" si="27"/>
        <v>1</v>
      </c>
      <c r="O2289" s="45" t="str">
        <f t="shared" si="28"/>
        <v/>
      </c>
      <c r="P2289" s="45" t="str">
        <f t="shared" si="29"/>
        <v/>
      </c>
    </row>
    <row r="2290" spans="1:16" ht="17.25">
      <c r="A2290" s="276" t="s">
        <v>7776</v>
      </c>
      <c r="B2290" s="277">
        <v>2010</v>
      </c>
      <c r="C2290" s="276"/>
      <c r="D2290" s="277">
        <v>19854728</v>
      </c>
      <c r="E2290" s="278" t="str">
        <f t="shared" si="23"/>
        <v>https://pubmed.ncbi.nlm.nih.gov/19854728</v>
      </c>
      <c r="F2290" s="28" t="s">
        <v>511</v>
      </c>
      <c r="G2290" s="28" t="s">
        <v>7777</v>
      </c>
      <c r="J2290" s="346" t="str">
        <f t="shared" si="19"/>
        <v/>
      </c>
      <c r="K2290" s="28" t="str">
        <f t="shared" si="24"/>
        <v/>
      </c>
      <c r="L2290" s="45" t="str">
        <f t="shared" si="25"/>
        <v/>
      </c>
      <c r="M2290" s="45" t="str">
        <f t="shared" si="26"/>
        <v/>
      </c>
      <c r="N2290" s="45">
        <f t="shared" si="27"/>
        <v>1</v>
      </c>
      <c r="O2290" s="45" t="str">
        <f t="shared" si="28"/>
        <v/>
      </c>
      <c r="P2290" s="45" t="str">
        <f t="shared" si="29"/>
        <v/>
      </c>
    </row>
    <row r="2291" spans="1:16" ht="17.25">
      <c r="A2291" s="276" t="s">
        <v>7778</v>
      </c>
      <c r="B2291" s="277">
        <v>2012</v>
      </c>
      <c r="C2291" s="276"/>
      <c r="D2291" s="277">
        <v>23070029</v>
      </c>
      <c r="E2291" s="278" t="str">
        <f t="shared" si="23"/>
        <v>https://pubmed.ncbi.nlm.nih.gov/23070029</v>
      </c>
      <c r="F2291" s="28" t="s">
        <v>511</v>
      </c>
      <c r="G2291" s="28" t="s">
        <v>7779</v>
      </c>
      <c r="J2291" s="346" t="str">
        <f t="shared" si="19"/>
        <v/>
      </c>
      <c r="K2291" s="28" t="str">
        <f t="shared" si="24"/>
        <v/>
      </c>
      <c r="L2291" s="45" t="str">
        <f t="shared" si="25"/>
        <v/>
      </c>
      <c r="M2291" s="45" t="str">
        <f t="shared" si="26"/>
        <v/>
      </c>
      <c r="N2291" s="45">
        <f t="shared" si="27"/>
        <v>1</v>
      </c>
      <c r="O2291" s="45" t="str">
        <f t="shared" si="28"/>
        <v/>
      </c>
      <c r="P2291" s="45" t="str">
        <f t="shared" si="29"/>
        <v/>
      </c>
    </row>
    <row r="2292" spans="1:16" ht="17.25">
      <c r="A2292" s="276" t="s">
        <v>7778</v>
      </c>
      <c r="B2292" s="277">
        <v>2002</v>
      </c>
      <c r="C2292" s="276"/>
      <c r="D2292" s="277">
        <v>12214158</v>
      </c>
      <c r="E2292" s="278" t="str">
        <f t="shared" si="23"/>
        <v>https://pubmed.ncbi.nlm.nih.gov/12214158</v>
      </c>
      <c r="F2292" s="28" t="s">
        <v>511</v>
      </c>
      <c r="G2292" s="28" t="s">
        <v>4867</v>
      </c>
      <c r="J2292" s="346" t="str">
        <f t="shared" si="19"/>
        <v/>
      </c>
      <c r="K2292" s="28" t="str">
        <f t="shared" si="24"/>
        <v/>
      </c>
      <c r="L2292" s="45" t="str">
        <f t="shared" si="25"/>
        <v/>
      </c>
      <c r="M2292" s="45" t="str">
        <f t="shared" si="26"/>
        <v/>
      </c>
      <c r="N2292" s="45">
        <f t="shared" si="27"/>
        <v>1</v>
      </c>
      <c r="O2292" s="45" t="str">
        <f t="shared" si="28"/>
        <v/>
      </c>
      <c r="P2292" s="45" t="str">
        <f t="shared" si="29"/>
        <v/>
      </c>
    </row>
    <row r="2293" spans="1:16" ht="17.25">
      <c r="A2293" s="276" t="s">
        <v>7778</v>
      </c>
      <c r="B2293" s="277">
        <v>2001</v>
      </c>
      <c r="C2293" s="276"/>
      <c r="D2293" s="277">
        <v>11322999</v>
      </c>
      <c r="E2293" s="278" t="str">
        <f t="shared" si="23"/>
        <v>https://pubmed.ncbi.nlm.nih.gov/11322999</v>
      </c>
      <c r="F2293" s="28" t="s">
        <v>511</v>
      </c>
      <c r="G2293" s="28" t="s">
        <v>4867</v>
      </c>
      <c r="J2293" s="346" t="str">
        <f t="shared" si="19"/>
        <v/>
      </c>
      <c r="K2293" s="28" t="str">
        <f t="shared" si="24"/>
        <v/>
      </c>
      <c r="L2293" s="45" t="str">
        <f t="shared" si="25"/>
        <v/>
      </c>
      <c r="M2293" s="45" t="str">
        <f t="shared" si="26"/>
        <v/>
      </c>
      <c r="N2293" s="45">
        <f t="shared" si="27"/>
        <v>1</v>
      </c>
      <c r="O2293" s="45" t="str">
        <f t="shared" si="28"/>
        <v/>
      </c>
      <c r="P2293" s="45" t="str">
        <f t="shared" si="29"/>
        <v/>
      </c>
    </row>
    <row r="2294" spans="1:16" ht="17.25">
      <c r="A2294" s="276" t="s">
        <v>7780</v>
      </c>
      <c r="B2294" s="277">
        <v>2020</v>
      </c>
      <c r="C2294" s="276"/>
      <c r="D2294" s="277">
        <v>32234572</v>
      </c>
      <c r="E2294" s="278" t="str">
        <f t="shared" si="23"/>
        <v>https://pubmed.ncbi.nlm.nih.gov/32234572</v>
      </c>
      <c r="F2294" s="28" t="s">
        <v>511</v>
      </c>
      <c r="G2294" s="28" t="s">
        <v>4592</v>
      </c>
      <c r="J2294" s="346">
        <f t="shared" si="19"/>
        <v>1</v>
      </c>
      <c r="K2294" s="28" t="str">
        <f t="shared" si="24"/>
        <v/>
      </c>
      <c r="L2294" s="45" t="str">
        <f t="shared" si="25"/>
        <v/>
      </c>
      <c r="M2294" s="45" t="str">
        <f t="shared" si="26"/>
        <v/>
      </c>
      <c r="N2294" s="45" t="str">
        <f t="shared" si="27"/>
        <v/>
      </c>
      <c r="O2294" s="45" t="str">
        <f t="shared" si="28"/>
        <v/>
      </c>
      <c r="P2294" s="45" t="str">
        <f t="shared" si="29"/>
        <v/>
      </c>
    </row>
    <row r="2295" spans="1:16" ht="17.25">
      <c r="A2295" s="276" t="s">
        <v>7781</v>
      </c>
      <c r="B2295" s="277">
        <v>1994</v>
      </c>
      <c r="C2295" s="276"/>
      <c r="D2295" s="277">
        <v>8124803</v>
      </c>
      <c r="E2295" s="278" t="str">
        <f t="shared" si="23"/>
        <v>https://pubmed.ncbi.nlm.nih.gov/8124803</v>
      </c>
      <c r="F2295" s="28" t="s">
        <v>511</v>
      </c>
      <c r="G2295" s="28" t="s">
        <v>4744</v>
      </c>
      <c r="J2295" s="346" t="str">
        <f t="shared" si="19"/>
        <v/>
      </c>
      <c r="K2295" s="28" t="str">
        <f t="shared" si="24"/>
        <v/>
      </c>
      <c r="L2295" s="45" t="str">
        <f t="shared" si="25"/>
        <v/>
      </c>
      <c r="M2295" s="45" t="str">
        <f t="shared" si="26"/>
        <v/>
      </c>
      <c r="N2295" s="45">
        <f t="shared" si="27"/>
        <v>1</v>
      </c>
      <c r="O2295" s="45" t="str">
        <f t="shared" si="28"/>
        <v/>
      </c>
      <c r="P2295" s="45" t="str">
        <f t="shared" si="29"/>
        <v/>
      </c>
    </row>
    <row r="2296" spans="1:16" ht="17.25">
      <c r="A2296" s="276" t="s">
        <v>7782</v>
      </c>
      <c r="B2296" s="277">
        <v>2020</v>
      </c>
      <c r="C2296" s="276"/>
      <c r="D2296" s="277">
        <v>32533666</v>
      </c>
      <c r="E2296" s="278" t="str">
        <f t="shared" si="23"/>
        <v>https://pubmed.ncbi.nlm.nih.gov/32533666</v>
      </c>
      <c r="F2296" s="28" t="s">
        <v>511</v>
      </c>
      <c r="G2296" s="28" t="s">
        <v>7783</v>
      </c>
      <c r="J2296" s="346" t="str">
        <f t="shared" si="19"/>
        <v/>
      </c>
      <c r="K2296" s="28" t="str">
        <f t="shared" si="24"/>
        <v/>
      </c>
      <c r="L2296" s="45" t="str">
        <f t="shared" si="25"/>
        <v/>
      </c>
      <c r="M2296" s="45" t="str">
        <f t="shared" si="26"/>
        <v/>
      </c>
      <c r="N2296" s="45">
        <f t="shared" si="27"/>
        <v>1</v>
      </c>
      <c r="O2296" s="45" t="str">
        <f t="shared" si="28"/>
        <v/>
      </c>
      <c r="P2296" s="45" t="str">
        <f t="shared" si="29"/>
        <v/>
      </c>
    </row>
    <row r="2297" spans="1:16" ht="17.25">
      <c r="A2297" s="276" t="s">
        <v>7784</v>
      </c>
      <c r="B2297" s="277">
        <v>2018</v>
      </c>
      <c r="C2297" s="276"/>
      <c r="D2297" s="277">
        <v>28539069</v>
      </c>
      <c r="E2297" s="278" t="str">
        <f t="shared" si="23"/>
        <v>https://pubmed.ncbi.nlm.nih.gov/28539069</v>
      </c>
      <c r="F2297" s="28" t="s">
        <v>511</v>
      </c>
      <c r="G2297" s="28" t="s">
        <v>4592</v>
      </c>
      <c r="J2297" s="346">
        <f t="shared" si="19"/>
        <v>1</v>
      </c>
      <c r="K2297" s="28" t="str">
        <f t="shared" si="24"/>
        <v/>
      </c>
      <c r="L2297" s="45" t="str">
        <f t="shared" si="25"/>
        <v/>
      </c>
      <c r="M2297" s="45" t="str">
        <f t="shared" si="26"/>
        <v/>
      </c>
      <c r="N2297" s="45" t="str">
        <f t="shared" si="27"/>
        <v/>
      </c>
      <c r="O2297" s="45" t="str">
        <f t="shared" si="28"/>
        <v/>
      </c>
      <c r="P2297" s="45" t="str">
        <f t="shared" si="29"/>
        <v/>
      </c>
    </row>
    <row r="2298" spans="1:16" ht="17.25">
      <c r="A2298" s="276" t="s">
        <v>7785</v>
      </c>
      <c r="B2298" s="277">
        <v>2021</v>
      </c>
      <c r="C2298" s="276" t="s">
        <v>7786</v>
      </c>
      <c r="D2298" s="277">
        <v>33002611</v>
      </c>
      <c r="E2298" s="278" t="str">
        <f t="shared" si="23"/>
        <v>https://pubmed.ncbi.nlm.nih.gov/33002611</v>
      </c>
      <c r="F2298" s="28" t="s">
        <v>511</v>
      </c>
      <c r="G2298" s="28" t="s">
        <v>6220</v>
      </c>
      <c r="J2298" s="346">
        <f t="shared" si="19"/>
        <v>1</v>
      </c>
      <c r="K2298" s="28" t="str">
        <f t="shared" si="24"/>
        <v/>
      </c>
      <c r="L2298" s="45" t="str">
        <f t="shared" si="25"/>
        <v/>
      </c>
      <c r="M2298" s="45" t="str">
        <f t="shared" si="26"/>
        <v/>
      </c>
      <c r="N2298" s="45" t="str">
        <f t="shared" si="27"/>
        <v/>
      </c>
      <c r="O2298" s="45" t="str">
        <f t="shared" si="28"/>
        <v/>
      </c>
      <c r="P2298" s="45" t="str">
        <f t="shared" si="29"/>
        <v/>
      </c>
    </row>
    <row r="2299" spans="1:16" ht="17.25">
      <c r="A2299" s="276" t="s">
        <v>7787</v>
      </c>
      <c r="B2299" s="277">
        <v>2009</v>
      </c>
      <c r="C2299" s="276" t="s">
        <v>7788</v>
      </c>
      <c r="D2299" s="277">
        <v>19320979</v>
      </c>
      <c r="E2299" s="278" t="str">
        <f t="shared" si="23"/>
        <v>https://pubmed.ncbi.nlm.nih.gov/19320979</v>
      </c>
      <c r="F2299" s="28" t="s">
        <v>511</v>
      </c>
      <c r="G2299" s="28" t="s">
        <v>7789</v>
      </c>
      <c r="J2299" s="346" t="str">
        <f t="shared" si="19"/>
        <v/>
      </c>
      <c r="K2299" s="28" t="str">
        <f t="shared" si="24"/>
        <v/>
      </c>
      <c r="L2299" s="45" t="str">
        <f t="shared" si="25"/>
        <v/>
      </c>
      <c r="M2299" s="45" t="str">
        <f t="shared" si="26"/>
        <v/>
      </c>
      <c r="N2299" s="45">
        <f t="shared" si="27"/>
        <v>1</v>
      </c>
      <c r="O2299" s="45" t="str">
        <f t="shared" si="28"/>
        <v/>
      </c>
      <c r="P2299" s="45" t="str">
        <f t="shared" si="29"/>
        <v/>
      </c>
    </row>
    <row r="2300" spans="1:16" ht="17.25">
      <c r="A2300" s="276" t="s">
        <v>7790</v>
      </c>
      <c r="B2300" s="277">
        <v>2020</v>
      </c>
      <c r="C2300" s="276" t="s">
        <v>7791</v>
      </c>
      <c r="D2300" s="277">
        <v>33270629</v>
      </c>
      <c r="E2300" s="278" t="str">
        <f t="shared" si="23"/>
        <v>https://pubmed.ncbi.nlm.nih.gov/33270629</v>
      </c>
      <c r="F2300" s="28" t="s">
        <v>511</v>
      </c>
      <c r="G2300" s="28" t="s">
        <v>7792</v>
      </c>
      <c r="J2300" s="346" t="str">
        <f t="shared" si="19"/>
        <v/>
      </c>
      <c r="K2300" s="28" t="str">
        <f t="shared" si="24"/>
        <v/>
      </c>
      <c r="L2300" s="45" t="str">
        <f t="shared" si="25"/>
        <v/>
      </c>
      <c r="M2300" s="45" t="str">
        <f t="shared" si="26"/>
        <v/>
      </c>
      <c r="N2300" s="45">
        <f t="shared" si="27"/>
        <v>1</v>
      </c>
      <c r="O2300" s="45" t="str">
        <f t="shared" si="28"/>
        <v/>
      </c>
      <c r="P2300" s="45" t="str">
        <f t="shared" si="29"/>
        <v/>
      </c>
    </row>
    <row r="2301" spans="1:16" ht="17.25">
      <c r="A2301" s="276" t="s">
        <v>7793</v>
      </c>
      <c r="B2301" s="277">
        <v>2019</v>
      </c>
      <c r="C2301" s="276"/>
      <c r="D2301" s="277">
        <v>30664267</v>
      </c>
      <c r="E2301" s="278" t="str">
        <f t="shared" si="23"/>
        <v>https://pubmed.ncbi.nlm.nih.gov/30664267</v>
      </c>
      <c r="F2301" s="28" t="s">
        <v>511</v>
      </c>
      <c r="G2301" s="28" t="s">
        <v>5157</v>
      </c>
      <c r="J2301" s="346" t="str">
        <f t="shared" si="19"/>
        <v/>
      </c>
      <c r="K2301" s="28" t="str">
        <f t="shared" si="24"/>
        <v/>
      </c>
      <c r="L2301" s="45" t="str">
        <f t="shared" si="25"/>
        <v/>
      </c>
      <c r="M2301" s="45" t="str">
        <f t="shared" si="26"/>
        <v/>
      </c>
      <c r="N2301" s="45">
        <f t="shared" si="27"/>
        <v>1</v>
      </c>
      <c r="O2301" s="45" t="str">
        <f t="shared" si="28"/>
        <v/>
      </c>
      <c r="P2301" s="45" t="str">
        <f t="shared" si="29"/>
        <v/>
      </c>
    </row>
    <row r="2302" spans="1:16" ht="17.25">
      <c r="A2302" s="276" t="s">
        <v>7794</v>
      </c>
      <c r="B2302" s="277">
        <v>2018</v>
      </c>
      <c r="C2302" s="276"/>
      <c r="D2302" s="277">
        <v>30021496</v>
      </c>
      <c r="E2302" s="278" t="str">
        <f t="shared" si="23"/>
        <v>https://pubmed.ncbi.nlm.nih.gov/30021496</v>
      </c>
      <c r="F2302" s="28" t="s">
        <v>511</v>
      </c>
      <c r="G2302" s="28" t="s">
        <v>4592</v>
      </c>
      <c r="J2302" s="346">
        <f t="shared" si="19"/>
        <v>1</v>
      </c>
      <c r="K2302" s="28" t="str">
        <f t="shared" si="24"/>
        <v/>
      </c>
      <c r="L2302" s="45" t="str">
        <f t="shared" si="25"/>
        <v/>
      </c>
      <c r="M2302" s="45" t="str">
        <f t="shared" si="26"/>
        <v/>
      </c>
      <c r="N2302" s="45" t="str">
        <f t="shared" si="27"/>
        <v/>
      </c>
      <c r="O2302" s="45" t="str">
        <f t="shared" si="28"/>
        <v/>
      </c>
      <c r="P2302" s="45" t="str">
        <f t="shared" si="29"/>
        <v/>
      </c>
    </row>
    <row r="2303" spans="1:16" ht="17.25">
      <c r="A2303" s="276" t="s">
        <v>7795</v>
      </c>
      <c r="B2303" s="277">
        <v>2018</v>
      </c>
      <c r="C2303" s="276" t="s">
        <v>7796</v>
      </c>
      <c r="D2303" s="277">
        <v>29108526</v>
      </c>
      <c r="E2303" s="278" t="str">
        <f t="shared" si="23"/>
        <v>https://pubmed.ncbi.nlm.nih.gov/29108526</v>
      </c>
      <c r="F2303" s="28" t="s">
        <v>511</v>
      </c>
      <c r="G2303" s="28" t="s">
        <v>5299</v>
      </c>
      <c r="J2303" s="346" t="str">
        <f t="shared" si="19"/>
        <v/>
      </c>
      <c r="K2303" s="28" t="str">
        <f t="shared" si="24"/>
        <v/>
      </c>
      <c r="L2303" s="45" t="str">
        <f t="shared" si="25"/>
        <v/>
      </c>
      <c r="M2303" s="45" t="str">
        <f t="shared" si="26"/>
        <v/>
      </c>
      <c r="N2303" s="45">
        <f t="shared" si="27"/>
        <v>1</v>
      </c>
      <c r="O2303" s="45" t="str">
        <f t="shared" si="28"/>
        <v/>
      </c>
      <c r="P2303" s="45" t="str">
        <f t="shared" si="29"/>
        <v/>
      </c>
    </row>
    <row r="2304" spans="1:16" ht="17.25">
      <c r="A2304" s="276" t="s">
        <v>7797</v>
      </c>
      <c r="B2304" s="277">
        <v>2015</v>
      </c>
      <c r="C2304" s="276"/>
      <c r="D2304" s="277">
        <v>25296661</v>
      </c>
      <c r="E2304" s="278" t="str">
        <f t="shared" si="23"/>
        <v>https://pubmed.ncbi.nlm.nih.gov/25296661</v>
      </c>
      <c r="F2304" s="28" t="s">
        <v>511</v>
      </c>
      <c r="G2304" s="28" t="s">
        <v>5299</v>
      </c>
      <c r="J2304" s="346" t="str">
        <f t="shared" si="19"/>
        <v/>
      </c>
      <c r="K2304" s="28" t="str">
        <f t="shared" si="24"/>
        <v/>
      </c>
      <c r="L2304" s="45" t="str">
        <f t="shared" si="25"/>
        <v/>
      </c>
      <c r="M2304" s="45" t="str">
        <f t="shared" si="26"/>
        <v/>
      </c>
      <c r="N2304" s="45">
        <f t="shared" si="27"/>
        <v>1</v>
      </c>
      <c r="O2304" s="45" t="str">
        <f t="shared" si="28"/>
        <v/>
      </c>
      <c r="P2304" s="45" t="str">
        <f t="shared" si="29"/>
        <v/>
      </c>
    </row>
    <row r="2305" spans="1:16" ht="17.25">
      <c r="A2305" s="276" t="s">
        <v>7798</v>
      </c>
      <c r="B2305" s="277">
        <v>2002</v>
      </c>
      <c r="C2305" s="276"/>
      <c r="D2305" s="277">
        <v>12222084</v>
      </c>
      <c r="E2305" s="278" t="str">
        <f t="shared" si="23"/>
        <v>https://pubmed.ncbi.nlm.nih.gov/12222084</v>
      </c>
      <c r="F2305" s="28" t="s">
        <v>511</v>
      </c>
      <c r="G2305" s="28" t="s">
        <v>4592</v>
      </c>
      <c r="J2305" s="346">
        <f t="shared" si="19"/>
        <v>1</v>
      </c>
      <c r="K2305" s="28" t="str">
        <f t="shared" si="24"/>
        <v/>
      </c>
      <c r="L2305" s="45" t="str">
        <f t="shared" si="25"/>
        <v/>
      </c>
      <c r="M2305" s="45" t="str">
        <f t="shared" si="26"/>
        <v/>
      </c>
      <c r="N2305" s="45" t="str">
        <f t="shared" si="27"/>
        <v/>
      </c>
      <c r="O2305" s="45" t="str">
        <f t="shared" si="28"/>
        <v/>
      </c>
      <c r="P2305" s="45" t="str">
        <f t="shared" si="29"/>
        <v/>
      </c>
    </row>
    <row r="2306" spans="1:16" ht="17.25">
      <c r="A2306" s="276" t="s">
        <v>7799</v>
      </c>
      <c r="B2306" s="277">
        <v>2014</v>
      </c>
      <c r="C2306" s="276" t="s">
        <v>7800</v>
      </c>
      <c r="D2306" s="277">
        <v>24614165</v>
      </c>
      <c r="E2306" s="278" t="str">
        <f t="shared" si="23"/>
        <v>https://pubmed.ncbi.nlm.nih.gov/24614165</v>
      </c>
      <c r="F2306" s="28" t="s">
        <v>511</v>
      </c>
      <c r="G2306" s="28" t="s">
        <v>7801</v>
      </c>
      <c r="J2306" s="346" t="str">
        <f t="shared" si="19"/>
        <v/>
      </c>
      <c r="K2306" s="28" t="str">
        <f t="shared" si="24"/>
        <v/>
      </c>
      <c r="L2306" s="45" t="str">
        <f t="shared" si="25"/>
        <v/>
      </c>
      <c r="M2306" s="45" t="str">
        <f t="shared" si="26"/>
        <v/>
      </c>
      <c r="N2306" s="45">
        <f t="shared" si="27"/>
        <v>1</v>
      </c>
      <c r="O2306" s="45" t="str">
        <f t="shared" si="28"/>
        <v/>
      </c>
      <c r="P2306" s="45" t="str">
        <f t="shared" si="29"/>
        <v/>
      </c>
    </row>
    <row r="2307" spans="1:16" ht="17.25">
      <c r="A2307" s="276" t="s">
        <v>7802</v>
      </c>
      <c r="B2307" s="277">
        <v>2010</v>
      </c>
      <c r="C2307" s="276" t="s">
        <v>7803</v>
      </c>
      <c r="D2307" s="277">
        <v>20573187</v>
      </c>
      <c r="E2307" s="278" t="str">
        <f t="shared" si="23"/>
        <v>https://pubmed.ncbi.nlm.nih.gov/20573187</v>
      </c>
      <c r="F2307" s="28" t="s">
        <v>511</v>
      </c>
      <c r="G2307" s="28" t="s">
        <v>6220</v>
      </c>
      <c r="J2307" s="346">
        <f t="shared" si="19"/>
        <v>1</v>
      </c>
      <c r="K2307" s="28" t="str">
        <f t="shared" si="24"/>
        <v/>
      </c>
      <c r="L2307" s="45" t="str">
        <f t="shared" si="25"/>
        <v/>
      </c>
      <c r="M2307" s="45" t="str">
        <f t="shared" si="26"/>
        <v/>
      </c>
      <c r="N2307" s="45" t="str">
        <f t="shared" si="27"/>
        <v/>
      </c>
      <c r="O2307" s="45" t="str">
        <f t="shared" si="28"/>
        <v/>
      </c>
      <c r="P2307" s="45" t="str">
        <f t="shared" si="29"/>
        <v/>
      </c>
    </row>
    <row r="2308" spans="1:16" ht="17.25">
      <c r="A2308" s="276" t="s">
        <v>7804</v>
      </c>
      <c r="B2308" s="277">
        <v>2009</v>
      </c>
      <c r="C2308" s="276"/>
      <c r="D2308" s="277">
        <v>19588374</v>
      </c>
      <c r="E2308" s="278" t="str">
        <f t="shared" si="23"/>
        <v>https://pubmed.ncbi.nlm.nih.gov/19588374</v>
      </c>
      <c r="F2308" s="28" t="s">
        <v>511</v>
      </c>
      <c r="G2308" s="28" t="s">
        <v>4592</v>
      </c>
      <c r="J2308" s="346">
        <f t="shared" si="19"/>
        <v>1</v>
      </c>
      <c r="K2308" s="28" t="str">
        <f t="shared" si="24"/>
        <v/>
      </c>
      <c r="L2308" s="45" t="str">
        <f t="shared" si="25"/>
        <v/>
      </c>
      <c r="M2308" s="45" t="str">
        <f t="shared" si="26"/>
        <v/>
      </c>
      <c r="N2308" s="45" t="str">
        <f t="shared" si="27"/>
        <v/>
      </c>
      <c r="O2308" s="45" t="str">
        <f t="shared" si="28"/>
        <v/>
      </c>
      <c r="P2308" s="45" t="str">
        <f t="shared" si="29"/>
        <v/>
      </c>
    </row>
    <row r="2309" spans="1:16" ht="17.25">
      <c r="A2309" s="276" t="s">
        <v>7805</v>
      </c>
      <c r="B2309" s="277">
        <v>2021</v>
      </c>
      <c r="C2309" s="276" t="s">
        <v>7806</v>
      </c>
      <c r="D2309" s="277">
        <v>33568628</v>
      </c>
      <c r="E2309" s="278" t="str">
        <f t="shared" si="23"/>
        <v>https://pubmed.ncbi.nlm.nih.gov/33568628</v>
      </c>
      <c r="F2309" s="28" t="s">
        <v>511</v>
      </c>
      <c r="G2309" s="28" t="s">
        <v>4867</v>
      </c>
      <c r="J2309" s="346" t="str">
        <f t="shared" si="19"/>
        <v/>
      </c>
      <c r="K2309" s="28" t="str">
        <f t="shared" si="24"/>
        <v/>
      </c>
      <c r="L2309" s="45" t="str">
        <f t="shared" si="25"/>
        <v/>
      </c>
      <c r="M2309" s="45" t="str">
        <f t="shared" si="26"/>
        <v/>
      </c>
      <c r="N2309" s="45">
        <f t="shared" si="27"/>
        <v>1</v>
      </c>
      <c r="O2309" s="45" t="str">
        <f t="shared" si="28"/>
        <v/>
      </c>
      <c r="P2309" s="45" t="str">
        <f t="shared" si="29"/>
        <v/>
      </c>
    </row>
    <row r="2310" spans="1:16" ht="17.25">
      <c r="A2310" s="276" t="s">
        <v>7807</v>
      </c>
      <c r="B2310" s="277">
        <v>2012</v>
      </c>
      <c r="C2310" s="276" t="s">
        <v>7808</v>
      </c>
      <c r="D2310" s="277">
        <v>23197664</v>
      </c>
      <c r="E2310" s="278" t="str">
        <f t="shared" si="23"/>
        <v>https://pubmed.ncbi.nlm.nih.gov/23197664</v>
      </c>
      <c r="F2310" s="28" t="s">
        <v>511</v>
      </c>
      <c r="G2310" s="28" t="s">
        <v>4744</v>
      </c>
      <c r="J2310" s="346" t="str">
        <f t="shared" si="19"/>
        <v/>
      </c>
      <c r="K2310" s="28" t="str">
        <f t="shared" si="24"/>
        <v/>
      </c>
      <c r="L2310" s="45" t="str">
        <f t="shared" si="25"/>
        <v/>
      </c>
      <c r="M2310" s="45" t="str">
        <f t="shared" si="26"/>
        <v/>
      </c>
      <c r="N2310" s="45">
        <f t="shared" si="27"/>
        <v>1</v>
      </c>
      <c r="O2310" s="45" t="str">
        <f t="shared" si="28"/>
        <v/>
      </c>
      <c r="P2310" s="45" t="str">
        <f t="shared" si="29"/>
        <v/>
      </c>
    </row>
    <row r="2311" spans="1:16" ht="17.25">
      <c r="A2311" s="276" t="s">
        <v>7809</v>
      </c>
      <c r="B2311" s="277">
        <v>2013</v>
      </c>
      <c r="C2311" s="276"/>
      <c r="D2311" s="277">
        <v>23543565</v>
      </c>
      <c r="E2311" s="278" t="str">
        <f t="shared" si="23"/>
        <v>https://pubmed.ncbi.nlm.nih.gov/23543565</v>
      </c>
      <c r="F2311" s="28" t="s">
        <v>511</v>
      </c>
      <c r="G2311" s="28" t="s">
        <v>4592</v>
      </c>
      <c r="J2311" s="346">
        <f t="shared" si="19"/>
        <v>1</v>
      </c>
      <c r="K2311" s="28" t="str">
        <f t="shared" si="24"/>
        <v/>
      </c>
      <c r="L2311" s="45" t="str">
        <f t="shared" si="25"/>
        <v/>
      </c>
      <c r="M2311" s="45" t="str">
        <f t="shared" si="26"/>
        <v/>
      </c>
      <c r="N2311" s="45" t="str">
        <f t="shared" si="27"/>
        <v/>
      </c>
      <c r="O2311" s="45" t="str">
        <f t="shared" si="28"/>
        <v/>
      </c>
      <c r="P2311" s="45" t="str">
        <f t="shared" si="29"/>
        <v/>
      </c>
    </row>
    <row r="2312" spans="1:16" ht="17.25">
      <c r="A2312" s="276" t="s">
        <v>7810</v>
      </c>
      <c r="B2312" s="277">
        <v>2007</v>
      </c>
      <c r="C2312" s="276" t="s">
        <v>7811</v>
      </c>
      <c r="D2312" s="277">
        <v>17261831</v>
      </c>
      <c r="E2312" s="278" t="str">
        <f t="shared" si="23"/>
        <v>https://pubmed.ncbi.nlm.nih.gov/17261831</v>
      </c>
      <c r="F2312" s="28" t="s">
        <v>511</v>
      </c>
      <c r="G2312" s="28" t="s">
        <v>4536</v>
      </c>
      <c r="J2312" s="346" t="str">
        <f t="shared" si="19"/>
        <v/>
      </c>
      <c r="K2312" s="28">
        <f t="shared" si="24"/>
        <v>1</v>
      </c>
      <c r="L2312" s="45" t="str">
        <f t="shared" si="25"/>
        <v/>
      </c>
      <c r="M2312" s="45" t="str">
        <f t="shared" si="26"/>
        <v/>
      </c>
      <c r="N2312" s="45" t="str">
        <f t="shared" si="27"/>
        <v/>
      </c>
      <c r="O2312" s="45" t="str">
        <f t="shared" si="28"/>
        <v/>
      </c>
      <c r="P2312" s="45" t="str">
        <f t="shared" si="29"/>
        <v/>
      </c>
    </row>
    <row r="2313" spans="1:16" ht="17.25">
      <c r="A2313" s="276" t="s">
        <v>7812</v>
      </c>
      <c r="B2313" s="277">
        <v>2005</v>
      </c>
      <c r="C2313" s="276"/>
      <c r="D2313" s="277">
        <v>15712100</v>
      </c>
      <c r="E2313" s="278" t="str">
        <f t="shared" si="23"/>
        <v>https://pubmed.ncbi.nlm.nih.gov/15712100</v>
      </c>
      <c r="F2313" s="28" t="s">
        <v>511</v>
      </c>
      <c r="G2313" s="28" t="s">
        <v>5299</v>
      </c>
      <c r="J2313" s="346" t="str">
        <f t="shared" si="19"/>
        <v/>
      </c>
      <c r="K2313" s="28" t="str">
        <f t="shared" si="24"/>
        <v/>
      </c>
      <c r="L2313" s="45" t="str">
        <f t="shared" si="25"/>
        <v/>
      </c>
      <c r="M2313" s="45" t="str">
        <f t="shared" si="26"/>
        <v/>
      </c>
      <c r="N2313" s="45">
        <f t="shared" si="27"/>
        <v>1</v>
      </c>
      <c r="O2313" s="45" t="str">
        <f t="shared" si="28"/>
        <v/>
      </c>
      <c r="P2313" s="45" t="str">
        <f t="shared" si="29"/>
        <v/>
      </c>
    </row>
    <row r="2314" spans="1:16" ht="17.25">
      <c r="A2314" s="276" t="s">
        <v>7813</v>
      </c>
      <c r="B2314" s="277">
        <v>2014</v>
      </c>
      <c r="C2314" s="276"/>
      <c r="D2314" s="277">
        <v>24658627</v>
      </c>
      <c r="E2314" s="278" t="str">
        <f t="shared" si="23"/>
        <v>https://pubmed.ncbi.nlm.nih.gov/24658627</v>
      </c>
      <c r="F2314" s="28" t="s">
        <v>511</v>
      </c>
      <c r="G2314" s="28" t="s">
        <v>5299</v>
      </c>
      <c r="J2314" s="346" t="str">
        <f t="shared" si="19"/>
        <v/>
      </c>
      <c r="K2314" s="28" t="str">
        <f t="shared" si="24"/>
        <v/>
      </c>
      <c r="L2314" s="45" t="str">
        <f t="shared" si="25"/>
        <v/>
      </c>
      <c r="M2314" s="45" t="str">
        <f t="shared" si="26"/>
        <v/>
      </c>
      <c r="N2314" s="45">
        <f t="shared" si="27"/>
        <v>1</v>
      </c>
      <c r="O2314" s="45" t="str">
        <f t="shared" si="28"/>
        <v/>
      </c>
      <c r="P2314" s="45" t="str">
        <f t="shared" si="29"/>
        <v/>
      </c>
    </row>
    <row r="2315" spans="1:16" ht="17.25">
      <c r="A2315" s="276" t="s">
        <v>7814</v>
      </c>
      <c r="B2315" s="277">
        <v>2015</v>
      </c>
      <c r="C2315" s="276"/>
      <c r="D2315" s="277">
        <v>25539282</v>
      </c>
      <c r="E2315" s="278" t="str">
        <f t="shared" si="23"/>
        <v>https://pubmed.ncbi.nlm.nih.gov/25539282</v>
      </c>
      <c r="F2315" s="28" t="s">
        <v>511</v>
      </c>
      <c r="G2315" s="28" t="s">
        <v>4592</v>
      </c>
      <c r="J2315" s="346">
        <f t="shared" si="19"/>
        <v>1</v>
      </c>
      <c r="K2315" s="28" t="str">
        <f t="shared" si="24"/>
        <v/>
      </c>
      <c r="L2315" s="45" t="str">
        <f t="shared" si="25"/>
        <v/>
      </c>
      <c r="M2315" s="45" t="str">
        <f t="shared" si="26"/>
        <v/>
      </c>
      <c r="N2315" s="45" t="str">
        <f t="shared" si="27"/>
        <v/>
      </c>
      <c r="O2315" s="45" t="str">
        <f t="shared" si="28"/>
        <v/>
      </c>
      <c r="P2315" s="45" t="str">
        <f t="shared" si="29"/>
        <v/>
      </c>
    </row>
    <row r="2316" spans="1:16" ht="17.25">
      <c r="A2316" s="276" t="s">
        <v>7815</v>
      </c>
      <c r="B2316" s="277">
        <v>2010</v>
      </c>
      <c r="C2316" s="276"/>
      <c r="D2316" s="277">
        <v>20831302</v>
      </c>
      <c r="E2316" s="278" t="str">
        <f t="shared" si="23"/>
        <v>https://pubmed.ncbi.nlm.nih.gov/20831302</v>
      </c>
      <c r="F2316" s="28" t="s">
        <v>511</v>
      </c>
      <c r="G2316" s="28" t="s">
        <v>7816</v>
      </c>
      <c r="J2316" s="346" t="str">
        <f t="shared" si="19"/>
        <v/>
      </c>
      <c r="K2316" s="28" t="str">
        <f t="shared" si="24"/>
        <v/>
      </c>
      <c r="L2316" s="45" t="str">
        <f t="shared" si="25"/>
        <v/>
      </c>
      <c r="M2316" s="45" t="str">
        <f t="shared" si="26"/>
        <v/>
      </c>
      <c r="N2316" s="45" t="str">
        <f t="shared" si="27"/>
        <v/>
      </c>
      <c r="O2316" s="45">
        <f t="shared" si="28"/>
        <v>1</v>
      </c>
      <c r="P2316" s="45" t="str">
        <f t="shared" si="29"/>
        <v/>
      </c>
    </row>
    <row r="2317" spans="1:16" ht="17.25">
      <c r="A2317" s="276" t="s">
        <v>7817</v>
      </c>
      <c r="B2317" s="277">
        <v>1997</v>
      </c>
      <c r="C2317" s="276" t="s">
        <v>7818</v>
      </c>
      <c r="D2317" s="277">
        <v>9176537</v>
      </c>
      <c r="E2317" s="278" t="str">
        <f t="shared" si="23"/>
        <v>https://pubmed.ncbi.nlm.nih.gov/9176537</v>
      </c>
      <c r="F2317" s="28" t="s">
        <v>511</v>
      </c>
      <c r="G2317" s="28" t="s">
        <v>4867</v>
      </c>
      <c r="I2317" s="28" t="s">
        <v>6460</v>
      </c>
      <c r="J2317" s="346" t="str">
        <f t="shared" si="19"/>
        <v/>
      </c>
      <c r="K2317" s="28" t="str">
        <f t="shared" si="24"/>
        <v/>
      </c>
      <c r="L2317" s="45" t="str">
        <f t="shared" si="25"/>
        <v/>
      </c>
      <c r="M2317" s="45" t="str">
        <f t="shared" si="26"/>
        <v/>
      </c>
      <c r="N2317" s="45">
        <f t="shared" si="27"/>
        <v>1</v>
      </c>
      <c r="O2317" s="45" t="str">
        <f t="shared" si="28"/>
        <v/>
      </c>
      <c r="P2317" s="45" t="str">
        <f t="shared" si="29"/>
        <v/>
      </c>
    </row>
    <row r="2318" spans="1:16" ht="17.25">
      <c r="A2318" s="276" t="s">
        <v>7819</v>
      </c>
      <c r="B2318" s="277">
        <v>2012</v>
      </c>
      <c r="C2318" s="276" t="s">
        <v>7820</v>
      </c>
      <c r="D2318" s="277">
        <v>22566017</v>
      </c>
      <c r="E2318" s="278" t="str">
        <f t="shared" si="23"/>
        <v>https://pubmed.ncbi.nlm.nih.gov/22566017</v>
      </c>
      <c r="F2318" s="28" t="s">
        <v>511</v>
      </c>
      <c r="G2318" s="28" t="s">
        <v>7821</v>
      </c>
      <c r="J2318" s="346" t="str">
        <f t="shared" si="19"/>
        <v/>
      </c>
      <c r="K2318" s="28" t="str">
        <f t="shared" si="24"/>
        <v/>
      </c>
      <c r="L2318" s="45" t="str">
        <f t="shared" si="25"/>
        <v/>
      </c>
      <c r="M2318" s="45" t="str">
        <f t="shared" si="26"/>
        <v/>
      </c>
      <c r="N2318" s="45">
        <f t="shared" si="27"/>
        <v>1</v>
      </c>
      <c r="O2318" s="45" t="str">
        <f t="shared" si="28"/>
        <v/>
      </c>
      <c r="P2318" s="45" t="str">
        <f t="shared" si="29"/>
        <v/>
      </c>
    </row>
    <row r="2319" spans="1:16" ht="17.25">
      <c r="A2319" s="276" t="s">
        <v>7822</v>
      </c>
      <c r="B2319" s="277">
        <v>2011</v>
      </c>
      <c r="C2319" s="276" t="s">
        <v>7823</v>
      </c>
      <c r="D2319" s="277">
        <v>21182466</v>
      </c>
      <c r="E2319" s="278" t="str">
        <f t="shared" si="23"/>
        <v>https://pubmed.ncbi.nlm.nih.gov/21182466</v>
      </c>
      <c r="F2319" s="28" t="s">
        <v>511</v>
      </c>
      <c r="G2319" s="28" t="s">
        <v>4592</v>
      </c>
      <c r="J2319" s="346">
        <f t="shared" si="19"/>
        <v>1</v>
      </c>
      <c r="K2319" s="28" t="str">
        <f t="shared" si="24"/>
        <v/>
      </c>
      <c r="L2319" s="45" t="str">
        <f t="shared" si="25"/>
        <v/>
      </c>
      <c r="M2319" s="45" t="str">
        <f t="shared" si="26"/>
        <v/>
      </c>
      <c r="N2319" s="45" t="str">
        <f t="shared" si="27"/>
        <v/>
      </c>
      <c r="O2319" s="45" t="str">
        <f t="shared" si="28"/>
        <v/>
      </c>
      <c r="P2319" s="45" t="str">
        <f t="shared" si="29"/>
        <v/>
      </c>
    </row>
    <row r="2320" spans="1:16" ht="17.25">
      <c r="A2320" s="276" t="s">
        <v>7824</v>
      </c>
      <c r="B2320" s="277">
        <v>2019</v>
      </c>
      <c r="C2320" s="276" t="s">
        <v>7825</v>
      </c>
      <c r="D2320" s="277">
        <v>31553360</v>
      </c>
      <c r="E2320" s="278" t="str">
        <f t="shared" si="23"/>
        <v>https://pubmed.ncbi.nlm.nih.gov/31553360</v>
      </c>
      <c r="F2320" s="28" t="s">
        <v>511</v>
      </c>
      <c r="G2320" s="28" t="s">
        <v>7826</v>
      </c>
      <c r="J2320" s="346">
        <f t="shared" si="19"/>
        <v>1</v>
      </c>
      <c r="K2320" s="28" t="str">
        <f t="shared" si="24"/>
        <v/>
      </c>
      <c r="L2320" s="45" t="str">
        <f t="shared" si="25"/>
        <v/>
      </c>
      <c r="M2320" s="45" t="str">
        <f t="shared" si="26"/>
        <v/>
      </c>
      <c r="N2320" s="45" t="str">
        <f t="shared" si="27"/>
        <v/>
      </c>
      <c r="O2320" s="45" t="str">
        <f t="shared" si="28"/>
        <v/>
      </c>
      <c r="P2320" s="45" t="str">
        <f t="shared" si="29"/>
        <v/>
      </c>
    </row>
    <row r="2321" spans="1:16" ht="17.25">
      <c r="A2321" s="276" t="s">
        <v>7827</v>
      </c>
      <c r="B2321" s="277">
        <v>2007</v>
      </c>
      <c r="C2321" s="276"/>
      <c r="D2321" s="277">
        <v>17666472</v>
      </c>
      <c r="E2321" s="278" t="str">
        <f t="shared" si="23"/>
        <v>https://pubmed.ncbi.nlm.nih.gov/17666472</v>
      </c>
      <c r="F2321" s="28" t="s">
        <v>511</v>
      </c>
      <c r="G2321" s="28" t="s">
        <v>4744</v>
      </c>
      <c r="J2321" s="346" t="str">
        <f t="shared" si="19"/>
        <v/>
      </c>
      <c r="K2321" s="28" t="str">
        <f t="shared" si="24"/>
        <v/>
      </c>
      <c r="L2321" s="45" t="str">
        <f t="shared" si="25"/>
        <v/>
      </c>
      <c r="M2321" s="45" t="str">
        <f t="shared" si="26"/>
        <v/>
      </c>
      <c r="N2321" s="45">
        <f t="shared" si="27"/>
        <v>1</v>
      </c>
      <c r="O2321" s="45" t="str">
        <f t="shared" si="28"/>
        <v/>
      </c>
      <c r="P2321" s="45" t="str">
        <f t="shared" si="29"/>
        <v/>
      </c>
    </row>
    <row r="2322" spans="1:16" ht="17.25">
      <c r="A2322" s="276" t="s">
        <v>7828</v>
      </c>
      <c r="B2322" s="277">
        <v>2011</v>
      </c>
      <c r="C2322" s="276"/>
      <c r="D2322" s="277">
        <v>21397770</v>
      </c>
      <c r="E2322" s="278" t="str">
        <f t="shared" si="23"/>
        <v>https://pubmed.ncbi.nlm.nih.gov/21397770</v>
      </c>
      <c r="F2322" s="28" t="s">
        <v>511</v>
      </c>
      <c r="G2322" s="28" t="s">
        <v>4867</v>
      </c>
      <c r="J2322" s="346" t="str">
        <f t="shared" si="19"/>
        <v/>
      </c>
      <c r="K2322" s="28" t="str">
        <f t="shared" si="24"/>
        <v/>
      </c>
      <c r="L2322" s="45" t="str">
        <f t="shared" si="25"/>
        <v/>
      </c>
      <c r="M2322" s="45" t="str">
        <f t="shared" si="26"/>
        <v/>
      </c>
      <c r="N2322" s="45">
        <f t="shared" si="27"/>
        <v>1</v>
      </c>
      <c r="O2322" s="45" t="str">
        <f t="shared" si="28"/>
        <v/>
      </c>
      <c r="P2322" s="45" t="str">
        <f t="shared" si="29"/>
        <v/>
      </c>
    </row>
    <row r="2323" spans="1:16" ht="17.25">
      <c r="A2323" s="276" t="s">
        <v>7829</v>
      </c>
      <c r="B2323" s="277">
        <v>2020</v>
      </c>
      <c r="C2323" s="276"/>
      <c r="D2323" s="277">
        <v>32614699</v>
      </c>
      <c r="E2323" s="278" t="str">
        <f t="shared" si="23"/>
        <v>https://pubmed.ncbi.nlm.nih.gov/32614699</v>
      </c>
      <c r="F2323" s="28" t="s">
        <v>511</v>
      </c>
      <c r="G2323" s="28" t="s">
        <v>5157</v>
      </c>
      <c r="J2323" s="346" t="str">
        <f t="shared" si="19"/>
        <v/>
      </c>
      <c r="K2323" s="28" t="str">
        <f t="shared" si="24"/>
        <v/>
      </c>
      <c r="L2323" s="45" t="str">
        <f t="shared" si="25"/>
        <v/>
      </c>
      <c r="M2323" s="45" t="str">
        <f t="shared" si="26"/>
        <v/>
      </c>
      <c r="N2323" s="45">
        <f t="shared" si="27"/>
        <v>1</v>
      </c>
      <c r="O2323" s="45" t="str">
        <f t="shared" si="28"/>
        <v/>
      </c>
      <c r="P2323" s="45" t="str">
        <f t="shared" si="29"/>
        <v/>
      </c>
    </row>
    <row r="2324" spans="1:16" ht="17.25">
      <c r="A2324" s="276" t="s">
        <v>7830</v>
      </c>
      <c r="B2324" s="277">
        <v>2001</v>
      </c>
      <c r="C2324" s="276"/>
      <c r="D2324" s="277">
        <v>11577362</v>
      </c>
      <c r="E2324" s="278" t="str">
        <f t="shared" si="23"/>
        <v>https://pubmed.ncbi.nlm.nih.gov/11577362</v>
      </c>
      <c r="F2324" s="28" t="s">
        <v>6251</v>
      </c>
      <c r="G2324" s="28" t="s">
        <v>5147</v>
      </c>
      <c r="J2324" s="353">
        <v>1</v>
      </c>
      <c r="K2324" s="28" t="str">
        <f t="shared" si="24"/>
        <v/>
      </c>
      <c r="L2324" s="45" t="str">
        <f t="shared" si="25"/>
        <v/>
      </c>
      <c r="M2324" s="45" t="str">
        <f t="shared" si="26"/>
        <v/>
      </c>
      <c r="N2324" s="45" t="str">
        <f t="shared" si="27"/>
        <v/>
      </c>
      <c r="O2324" s="45" t="str">
        <f t="shared" si="28"/>
        <v/>
      </c>
      <c r="P2324" s="45" t="str">
        <f t="shared" si="29"/>
        <v/>
      </c>
    </row>
    <row r="2325" spans="1:16" ht="17.25">
      <c r="A2325" s="276" t="s">
        <v>7831</v>
      </c>
      <c r="B2325" s="277">
        <v>2020</v>
      </c>
      <c r="C2325" s="276" t="s">
        <v>7832</v>
      </c>
      <c r="D2325" s="277">
        <v>32565483</v>
      </c>
      <c r="E2325" s="278" t="str">
        <f t="shared" si="23"/>
        <v>https://pubmed.ncbi.nlm.nih.gov/32565483</v>
      </c>
      <c r="F2325" s="28" t="s">
        <v>511</v>
      </c>
      <c r="G2325" s="28" t="s">
        <v>7833</v>
      </c>
      <c r="J2325" s="346" t="str">
        <f t="shared" ref="J2325:J2656" si="30">IF(F2325="yes",IFERROR(IF(FIND("review",G2325)&gt;0,1),""),"")</f>
        <v/>
      </c>
      <c r="K2325" s="28" t="str">
        <f t="shared" si="24"/>
        <v/>
      </c>
      <c r="L2325" s="45" t="str">
        <f t="shared" si="25"/>
        <v/>
      </c>
      <c r="M2325" s="45" t="str">
        <f t="shared" si="26"/>
        <v/>
      </c>
      <c r="N2325" s="45">
        <f t="shared" si="27"/>
        <v>1</v>
      </c>
      <c r="O2325" s="45" t="str">
        <f t="shared" si="28"/>
        <v/>
      </c>
      <c r="P2325" s="45" t="str">
        <f t="shared" si="29"/>
        <v/>
      </c>
    </row>
    <row r="2326" spans="1:16" ht="17.25">
      <c r="A2326" s="276" t="s">
        <v>7834</v>
      </c>
      <c r="B2326" s="277">
        <v>2016</v>
      </c>
      <c r="C2326" s="276"/>
      <c r="D2326" s="277">
        <v>27311495</v>
      </c>
      <c r="E2326" s="278" t="str">
        <f t="shared" si="23"/>
        <v>https://pubmed.ncbi.nlm.nih.gov/27311495</v>
      </c>
      <c r="F2326" s="28" t="s">
        <v>511</v>
      </c>
      <c r="G2326" s="28" t="s">
        <v>4744</v>
      </c>
      <c r="J2326" s="346" t="str">
        <f t="shared" si="30"/>
        <v/>
      </c>
      <c r="K2326" s="28" t="str">
        <f t="shared" si="24"/>
        <v/>
      </c>
      <c r="L2326" s="45" t="str">
        <f t="shared" si="25"/>
        <v/>
      </c>
      <c r="M2326" s="45" t="str">
        <f t="shared" si="26"/>
        <v/>
      </c>
      <c r="N2326" s="45">
        <f t="shared" si="27"/>
        <v>1</v>
      </c>
      <c r="O2326" s="45" t="str">
        <f t="shared" si="28"/>
        <v/>
      </c>
      <c r="P2326" s="45" t="str">
        <f t="shared" si="29"/>
        <v/>
      </c>
    </row>
    <row r="2327" spans="1:16" ht="17.25">
      <c r="A2327" s="276" t="s">
        <v>7835</v>
      </c>
      <c r="B2327" s="277">
        <v>2021</v>
      </c>
      <c r="C2327" s="276"/>
      <c r="D2327" s="277">
        <v>33624299</v>
      </c>
      <c r="E2327" s="278" t="str">
        <f t="shared" si="23"/>
        <v>https://pubmed.ncbi.nlm.nih.gov/33624299</v>
      </c>
      <c r="F2327" s="28" t="s">
        <v>511</v>
      </c>
      <c r="G2327" s="28" t="s">
        <v>6220</v>
      </c>
      <c r="J2327" s="346">
        <f t="shared" si="30"/>
        <v>1</v>
      </c>
      <c r="K2327" s="28" t="str">
        <f t="shared" si="24"/>
        <v/>
      </c>
      <c r="L2327" s="45" t="str">
        <f t="shared" si="25"/>
        <v/>
      </c>
      <c r="M2327" s="45" t="str">
        <f t="shared" si="26"/>
        <v/>
      </c>
      <c r="N2327" s="45" t="str">
        <f t="shared" si="27"/>
        <v/>
      </c>
      <c r="O2327" s="45" t="str">
        <f t="shared" si="28"/>
        <v/>
      </c>
      <c r="P2327" s="45" t="str">
        <f t="shared" si="29"/>
        <v/>
      </c>
    </row>
    <row r="2328" spans="1:16" ht="17.25">
      <c r="A2328" s="276" t="s">
        <v>7836</v>
      </c>
      <c r="B2328" s="277">
        <v>2004</v>
      </c>
      <c r="C2328" s="276"/>
      <c r="D2328" s="277">
        <v>15502061</v>
      </c>
      <c r="E2328" s="278" t="str">
        <f t="shared" si="23"/>
        <v>https://pubmed.ncbi.nlm.nih.gov/15502061</v>
      </c>
      <c r="F2328" s="28" t="s">
        <v>511</v>
      </c>
      <c r="G2328" s="28" t="s">
        <v>4867</v>
      </c>
      <c r="J2328" s="346" t="str">
        <f t="shared" si="30"/>
        <v/>
      </c>
      <c r="K2328" s="28" t="str">
        <f t="shared" si="24"/>
        <v/>
      </c>
      <c r="L2328" s="45" t="str">
        <f t="shared" si="25"/>
        <v/>
      </c>
      <c r="M2328" s="45" t="str">
        <f t="shared" si="26"/>
        <v/>
      </c>
      <c r="N2328" s="45">
        <f t="shared" si="27"/>
        <v>1</v>
      </c>
      <c r="O2328" s="45" t="str">
        <f t="shared" si="28"/>
        <v/>
      </c>
      <c r="P2328" s="45" t="str">
        <f t="shared" si="29"/>
        <v/>
      </c>
    </row>
    <row r="2329" spans="1:16" ht="17.25">
      <c r="A2329" s="276" t="s">
        <v>7837</v>
      </c>
      <c r="B2329" s="277">
        <v>2014</v>
      </c>
      <c r="C2329" s="276"/>
      <c r="D2329" s="277">
        <v>25379846</v>
      </c>
      <c r="E2329" s="278" t="str">
        <f t="shared" si="23"/>
        <v>https://pubmed.ncbi.nlm.nih.gov/25379846</v>
      </c>
      <c r="F2329" s="28" t="s">
        <v>511</v>
      </c>
      <c r="G2329" s="28" t="s">
        <v>4433</v>
      </c>
      <c r="J2329" s="346" t="str">
        <f t="shared" si="30"/>
        <v/>
      </c>
      <c r="K2329" s="28" t="str">
        <f t="shared" si="24"/>
        <v/>
      </c>
      <c r="L2329" s="45" t="str">
        <f t="shared" si="25"/>
        <v/>
      </c>
      <c r="M2329" s="45" t="str">
        <f t="shared" si="26"/>
        <v/>
      </c>
      <c r="N2329" s="45">
        <f t="shared" si="27"/>
        <v>1</v>
      </c>
      <c r="O2329" s="45" t="str">
        <f t="shared" si="28"/>
        <v/>
      </c>
      <c r="P2329" s="45" t="str">
        <f t="shared" si="29"/>
        <v/>
      </c>
    </row>
    <row r="2330" spans="1:16" ht="17.25">
      <c r="A2330" s="276" t="s">
        <v>7838</v>
      </c>
      <c r="B2330" s="277">
        <v>2016</v>
      </c>
      <c r="C2330" s="276"/>
      <c r="D2330" s="277">
        <v>26860641</v>
      </c>
      <c r="E2330" s="278" t="str">
        <f t="shared" si="23"/>
        <v>https://pubmed.ncbi.nlm.nih.gov/26860641</v>
      </c>
      <c r="F2330" s="28" t="s">
        <v>511</v>
      </c>
      <c r="G2330" s="28" t="s">
        <v>5299</v>
      </c>
      <c r="J2330" s="346" t="str">
        <f t="shared" si="30"/>
        <v/>
      </c>
      <c r="K2330" s="28" t="str">
        <f t="shared" si="24"/>
        <v/>
      </c>
      <c r="L2330" s="45" t="str">
        <f t="shared" si="25"/>
        <v/>
      </c>
      <c r="M2330" s="45" t="str">
        <f t="shared" si="26"/>
        <v/>
      </c>
      <c r="N2330" s="45">
        <f t="shared" si="27"/>
        <v>1</v>
      </c>
      <c r="O2330" s="45" t="str">
        <f t="shared" si="28"/>
        <v/>
      </c>
      <c r="P2330" s="45" t="str">
        <f t="shared" si="29"/>
        <v/>
      </c>
    </row>
    <row r="2331" spans="1:16" ht="17.25">
      <c r="A2331" s="276" t="s">
        <v>7839</v>
      </c>
      <c r="B2331" s="277">
        <v>2012</v>
      </c>
      <c r="C2331" s="276"/>
      <c r="D2331" s="277">
        <v>22352764</v>
      </c>
      <c r="E2331" s="278" t="str">
        <f t="shared" si="23"/>
        <v>https://pubmed.ncbi.nlm.nih.gov/22352764</v>
      </c>
      <c r="F2331" s="28" t="s">
        <v>511</v>
      </c>
      <c r="G2331" s="28" t="s">
        <v>4867</v>
      </c>
      <c r="J2331" s="346" t="str">
        <f t="shared" si="30"/>
        <v/>
      </c>
      <c r="K2331" s="28" t="str">
        <f t="shared" si="24"/>
        <v/>
      </c>
      <c r="L2331" s="45" t="str">
        <f t="shared" si="25"/>
        <v/>
      </c>
      <c r="M2331" s="45" t="str">
        <f t="shared" si="26"/>
        <v/>
      </c>
      <c r="N2331" s="45">
        <f t="shared" si="27"/>
        <v>1</v>
      </c>
      <c r="O2331" s="45" t="str">
        <f t="shared" si="28"/>
        <v/>
      </c>
      <c r="P2331" s="45" t="str">
        <f t="shared" si="29"/>
        <v/>
      </c>
    </row>
    <row r="2332" spans="1:16" ht="17.25">
      <c r="A2332" s="276" t="s">
        <v>7840</v>
      </c>
      <c r="B2332" s="277">
        <v>2016</v>
      </c>
      <c r="C2332" s="276"/>
      <c r="D2332" s="277">
        <v>26813845</v>
      </c>
      <c r="E2332" s="278" t="str">
        <f t="shared" si="23"/>
        <v>https://pubmed.ncbi.nlm.nih.gov/26813845</v>
      </c>
      <c r="F2332" s="28" t="s">
        <v>511</v>
      </c>
      <c r="G2332" s="28" t="s">
        <v>5157</v>
      </c>
      <c r="J2332" s="346" t="str">
        <f t="shared" si="30"/>
        <v/>
      </c>
      <c r="K2332" s="28" t="str">
        <f t="shared" si="24"/>
        <v/>
      </c>
      <c r="L2332" s="45" t="str">
        <f t="shared" si="25"/>
        <v/>
      </c>
      <c r="M2332" s="45" t="str">
        <f t="shared" si="26"/>
        <v/>
      </c>
      <c r="N2332" s="45">
        <f t="shared" si="27"/>
        <v>1</v>
      </c>
      <c r="O2332" s="45" t="str">
        <f t="shared" si="28"/>
        <v/>
      </c>
      <c r="P2332" s="45" t="str">
        <f t="shared" si="29"/>
        <v/>
      </c>
    </row>
    <row r="2333" spans="1:16" ht="17.25">
      <c r="A2333" s="276" t="s">
        <v>7841</v>
      </c>
      <c r="B2333" s="277">
        <v>1999</v>
      </c>
      <c r="C2333" s="276"/>
      <c r="D2333" s="277">
        <v>10097242</v>
      </c>
      <c r="E2333" s="278" t="str">
        <f t="shared" si="23"/>
        <v>https://pubmed.ncbi.nlm.nih.gov/10097242</v>
      </c>
      <c r="F2333" s="28" t="s">
        <v>511</v>
      </c>
      <c r="G2333" s="28" t="s">
        <v>4592</v>
      </c>
      <c r="J2333" s="346">
        <f t="shared" si="30"/>
        <v>1</v>
      </c>
      <c r="K2333" s="28" t="str">
        <f t="shared" si="24"/>
        <v/>
      </c>
      <c r="L2333" s="45" t="str">
        <f t="shared" si="25"/>
        <v/>
      </c>
      <c r="M2333" s="45" t="str">
        <f t="shared" si="26"/>
        <v/>
      </c>
      <c r="N2333" s="45" t="str">
        <f t="shared" si="27"/>
        <v/>
      </c>
      <c r="O2333" s="45" t="str">
        <f t="shared" si="28"/>
        <v/>
      </c>
      <c r="P2333" s="45" t="str">
        <f t="shared" si="29"/>
        <v/>
      </c>
    </row>
    <row r="2334" spans="1:16" ht="17.25">
      <c r="A2334" s="276" t="s">
        <v>7842</v>
      </c>
      <c r="B2334" s="277">
        <v>2006</v>
      </c>
      <c r="C2334" s="276"/>
      <c r="D2334" s="277">
        <v>16377473</v>
      </c>
      <c r="E2334" s="278" t="str">
        <f t="shared" si="23"/>
        <v>https://pubmed.ncbi.nlm.nih.gov/16377473</v>
      </c>
      <c r="F2334" s="28" t="s">
        <v>511</v>
      </c>
      <c r="G2334" s="28" t="s">
        <v>4592</v>
      </c>
      <c r="J2334" s="346">
        <f t="shared" si="30"/>
        <v>1</v>
      </c>
      <c r="K2334" s="28" t="str">
        <f t="shared" si="24"/>
        <v/>
      </c>
      <c r="L2334" s="45" t="str">
        <f t="shared" si="25"/>
        <v/>
      </c>
      <c r="M2334" s="45" t="str">
        <f t="shared" si="26"/>
        <v/>
      </c>
      <c r="N2334" s="45" t="str">
        <f t="shared" si="27"/>
        <v/>
      </c>
      <c r="O2334" s="45" t="str">
        <f t="shared" si="28"/>
        <v/>
      </c>
      <c r="P2334" s="45" t="str">
        <f t="shared" si="29"/>
        <v/>
      </c>
    </row>
    <row r="2335" spans="1:16" ht="17.25">
      <c r="A2335" s="276" t="s">
        <v>7843</v>
      </c>
      <c r="B2335" s="277">
        <v>2017</v>
      </c>
      <c r="C2335" s="276" t="s">
        <v>7844</v>
      </c>
      <c r="D2335" s="277">
        <v>29390382</v>
      </c>
      <c r="E2335" s="278" t="str">
        <f t="shared" si="23"/>
        <v>https://pubmed.ncbi.nlm.nih.gov/29390382</v>
      </c>
      <c r="F2335" s="28" t="s">
        <v>511</v>
      </c>
      <c r="G2335" s="28" t="s">
        <v>4592</v>
      </c>
      <c r="J2335" s="346">
        <f t="shared" si="30"/>
        <v>1</v>
      </c>
      <c r="K2335" s="28" t="str">
        <f t="shared" si="24"/>
        <v/>
      </c>
      <c r="L2335" s="45" t="str">
        <f t="shared" si="25"/>
        <v/>
      </c>
      <c r="M2335" s="45" t="str">
        <f t="shared" si="26"/>
        <v/>
      </c>
      <c r="N2335" s="45" t="str">
        <f t="shared" si="27"/>
        <v/>
      </c>
      <c r="O2335" s="45" t="str">
        <f t="shared" si="28"/>
        <v/>
      </c>
      <c r="P2335" s="45" t="str">
        <f t="shared" si="29"/>
        <v/>
      </c>
    </row>
    <row r="2336" spans="1:16" ht="17.25">
      <c r="A2336" s="276" t="s">
        <v>7845</v>
      </c>
      <c r="B2336" s="277">
        <v>2015</v>
      </c>
      <c r="C2336" s="276" t="s">
        <v>7846</v>
      </c>
      <c r="D2336" s="277">
        <v>25645443</v>
      </c>
      <c r="E2336" s="278" t="str">
        <f t="shared" si="23"/>
        <v>https://pubmed.ncbi.nlm.nih.gov/25645443</v>
      </c>
      <c r="F2336" s="28" t="s">
        <v>511</v>
      </c>
      <c r="G2336" s="28" t="s">
        <v>4592</v>
      </c>
      <c r="J2336" s="346">
        <f t="shared" si="30"/>
        <v>1</v>
      </c>
      <c r="K2336" s="28" t="str">
        <f t="shared" si="24"/>
        <v/>
      </c>
      <c r="L2336" s="45" t="str">
        <f t="shared" si="25"/>
        <v/>
      </c>
      <c r="M2336" s="45" t="str">
        <f t="shared" si="26"/>
        <v/>
      </c>
      <c r="N2336" s="45" t="str">
        <f t="shared" si="27"/>
        <v/>
      </c>
      <c r="O2336" s="45" t="str">
        <f t="shared" si="28"/>
        <v/>
      </c>
      <c r="P2336" s="45" t="str">
        <f t="shared" si="29"/>
        <v/>
      </c>
    </row>
    <row r="2337" spans="1:16" ht="17.25">
      <c r="A2337" s="276" t="s">
        <v>7847</v>
      </c>
      <c r="B2337" s="277">
        <v>2016</v>
      </c>
      <c r="C2337" s="276"/>
      <c r="D2337" s="277">
        <v>26595348</v>
      </c>
      <c r="E2337" s="278" t="str">
        <f t="shared" si="23"/>
        <v>https://pubmed.ncbi.nlm.nih.gov/26595348</v>
      </c>
      <c r="F2337" s="28" t="s">
        <v>511</v>
      </c>
      <c r="G2337" s="28" t="s">
        <v>7848</v>
      </c>
      <c r="J2337" s="346" t="str">
        <f t="shared" si="30"/>
        <v/>
      </c>
      <c r="K2337" s="28" t="str">
        <f t="shared" si="24"/>
        <v/>
      </c>
      <c r="L2337" s="45" t="str">
        <f t="shared" si="25"/>
        <v/>
      </c>
      <c r="M2337" s="45" t="str">
        <f t="shared" si="26"/>
        <v/>
      </c>
      <c r="N2337" s="45">
        <f t="shared" si="27"/>
        <v>1</v>
      </c>
      <c r="O2337" s="45" t="str">
        <f t="shared" si="28"/>
        <v/>
      </c>
      <c r="P2337" s="45" t="str">
        <f t="shared" si="29"/>
        <v/>
      </c>
    </row>
    <row r="2338" spans="1:16" ht="17.25">
      <c r="A2338" s="276" t="s">
        <v>7849</v>
      </c>
      <c r="B2338" s="277">
        <v>2017</v>
      </c>
      <c r="C2338" s="276"/>
      <c r="D2338" s="277">
        <v>28110911</v>
      </c>
      <c r="E2338" s="278" t="str">
        <f t="shared" si="23"/>
        <v>https://pubmed.ncbi.nlm.nih.gov/28110911</v>
      </c>
      <c r="F2338" s="28" t="s">
        <v>511</v>
      </c>
      <c r="G2338" s="28" t="s">
        <v>4867</v>
      </c>
      <c r="J2338" s="346" t="str">
        <f t="shared" si="30"/>
        <v/>
      </c>
      <c r="K2338" s="28" t="str">
        <f t="shared" si="24"/>
        <v/>
      </c>
      <c r="L2338" s="45" t="str">
        <f t="shared" si="25"/>
        <v/>
      </c>
      <c r="M2338" s="45" t="str">
        <f t="shared" si="26"/>
        <v/>
      </c>
      <c r="N2338" s="45">
        <f t="shared" si="27"/>
        <v>1</v>
      </c>
      <c r="O2338" s="45" t="str">
        <f t="shared" si="28"/>
        <v/>
      </c>
      <c r="P2338" s="45" t="str">
        <f t="shared" si="29"/>
        <v/>
      </c>
    </row>
    <row r="2339" spans="1:16" ht="17.25">
      <c r="A2339" s="276" t="s">
        <v>7850</v>
      </c>
      <c r="B2339" s="277">
        <v>2016</v>
      </c>
      <c r="C2339" s="276" t="s">
        <v>7851</v>
      </c>
      <c r="D2339" s="277">
        <v>27622299</v>
      </c>
      <c r="E2339" s="278" t="str">
        <f t="shared" si="23"/>
        <v>https://pubmed.ncbi.nlm.nih.gov/27622299</v>
      </c>
      <c r="F2339" s="28" t="s">
        <v>511</v>
      </c>
      <c r="G2339" s="28" t="s">
        <v>4592</v>
      </c>
      <c r="J2339" s="346">
        <f t="shared" si="30"/>
        <v>1</v>
      </c>
      <c r="K2339" s="28" t="str">
        <f t="shared" si="24"/>
        <v/>
      </c>
      <c r="L2339" s="45" t="str">
        <f t="shared" si="25"/>
        <v/>
      </c>
      <c r="M2339" s="45" t="str">
        <f t="shared" si="26"/>
        <v/>
      </c>
      <c r="N2339" s="45" t="str">
        <f t="shared" si="27"/>
        <v/>
      </c>
      <c r="O2339" s="45" t="str">
        <f t="shared" si="28"/>
        <v/>
      </c>
      <c r="P2339" s="45" t="str">
        <f t="shared" si="29"/>
        <v/>
      </c>
    </row>
    <row r="2340" spans="1:16" ht="17.25">
      <c r="A2340" s="276" t="s">
        <v>7852</v>
      </c>
      <c r="B2340" s="277">
        <v>2003</v>
      </c>
      <c r="C2340" s="276"/>
      <c r="D2340" s="277">
        <v>14633783</v>
      </c>
      <c r="E2340" s="278" t="str">
        <f t="shared" si="23"/>
        <v>https://pubmed.ncbi.nlm.nih.gov/14633783</v>
      </c>
      <c r="F2340" s="28" t="s">
        <v>511</v>
      </c>
      <c r="G2340" s="28" t="s">
        <v>4592</v>
      </c>
      <c r="J2340" s="346">
        <f t="shared" si="30"/>
        <v>1</v>
      </c>
      <c r="K2340" s="28" t="str">
        <f t="shared" si="24"/>
        <v/>
      </c>
      <c r="L2340" s="45" t="str">
        <f t="shared" si="25"/>
        <v/>
      </c>
      <c r="M2340" s="45" t="str">
        <f t="shared" si="26"/>
        <v/>
      </c>
      <c r="N2340" s="45" t="str">
        <f t="shared" si="27"/>
        <v/>
      </c>
      <c r="O2340" s="45" t="str">
        <f t="shared" si="28"/>
        <v/>
      </c>
      <c r="P2340" s="45" t="str">
        <f t="shared" si="29"/>
        <v/>
      </c>
    </row>
    <row r="2341" spans="1:16" ht="17.25">
      <c r="A2341" s="276" t="s">
        <v>7853</v>
      </c>
      <c r="B2341" s="277">
        <v>2018</v>
      </c>
      <c r="C2341" s="276" t="s">
        <v>7854</v>
      </c>
      <c r="D2341" s="277">
        <v>30545359</v>
      </c>
      <c r="E2341" s="278" t="str">
        <f t="shared" si="23"/>
        <v>https://pubmed.ncbi.nlm.nih.gov/30545359</v>
      </c>
      <c r="F2341" s="28" t="s">
        <v>511</v>
      </c>
      <c r="G2341" s="28" t="s">
        <v>4592</v>
      </c>
      <c r="J2341" s="346">
        <f t="shared" si="30"/>
        <v>1</v>
      </c>
      <c r="K2341" s="28" t="str">
        <f t="shared" si="24"/>
        <v/>
      </c>
      <c r="L2341" s="45" t="str">
        <f t="shared" si="25"/>
        <v/>
      </c>
      <c r="M2341" s="45" t="str">
        <f t="shared" si="26"/>
        <v/>
      </c>
      <c r="N2341" s="45" t="str">
        <f t="shared" si="27"/>
        <v/>
      </c>
      <c r="O2341" s="45" t="str">
        <f t="shared" si="28"/>
        <v/>
      </c>
      <c r="P2341" s="45" t="str">
        <f t="shared" si="29"/>
        <v/>
      </c>
    </row>
    <row r="2342" spans="1:16" ht="17.25">
      <c r="A2342" s="276" t="s">
        <v>7855</v>
      </c>
      <c r="B2342" s="277">
        <v>2002</v>
      </c>
      <c r="C2342" s="276"/>
      <c r="D2342" s="277">
        <v>12000479</v>
      </c>
      <c r="E2342" s="278" t="str">
        <f t="shared" si="23"/>
        <v>https://pubmed.ncbi.nlm.nih.gov/12000479</v>
      </c>
      <c r="F2342" s="28" t="s">
        <v>511</v>
      </c>
      <c r="G2342" s="28" t="s">
        <v>4744</v>
      </c>
      <c r="J2342" s="346" t="str">
        <f t="shared" si="30"/>
        <v/>
      </c>
      <c r="K2342" s="28" t="str">
        <f t="shared" si="24"/>
        <v/>
      </c>
      <c r="L2342" s="45" t="str">
        <f t="shared" si="25"/>
        <v/>
      </c>
      <c r="M2342" s="45" t="str">
        <f t="shared" si="26"/>
        <v/>
      </c>
      <c r="N2342" s="45">
        <f t="shared" si="27"/>
        <v>1</v>
      </c>
      <c r="O2342" s="45" t="str">
        <f t="shared" si="28"/>
        <v/>
      </c>
      <c r="P2342" s="45" t="str">
        <f t="shared" si="29"/>
        <v/>
      </c>
    </row>
    <row r="2343" spans="1:16" ht="17.25">
      <c r="A2343" s="276" t="s">
        <v>7856</v>
      </c>
      <c r="B2343" s="277">
        <v>2012</v>
      </c>
      <c r="C2343" s="276"/>
      <c r="D2343" s="277">
        <v>22556187</v>
      </c>
      <c r="E2343" s="278" t="str">
        <f t="shared" si="23"/>
        <v>https://pubmed.ncbi.nlm.nih.gov/22556187</v>
      </c>
      <c r="F2343" s="28" t="s">
        <v>511</v>
      </c>
      <c r="G2343" s="28" t="s">
        <v>6412</v>
      </c>
      <c r="J2343" s="346" t="str">
        <f t="shared" si="30"/>
        <v/>
      </c>
      <c r="K2343" s="28" t="str">
        <f t="shared" si="24"/>
        <v/>
      </c>
      <c r="L2343" s="45" t="str">
        <f t="shared" si="25"/>
        <v/>
      </c>
      <c r="M2343" s="45" t="str">
        <f t="shared" si="26"/>
        <v/>
      </c>
      <c r="N2343" s="45">
        <f t="shared" si="27"/>
        <v>1</v>
      </c>
      <c r="O2343" s="45" t="str">
        <f t="shared" si="28"/>
        <v/>
      </c>
      <c r="P2343" s="45" t="str">
        <f t="shared" si="29"/>
        <v/>
      </c>
    </row>
    <row r="2344" spans="1:16" ht="17.25">
      <c r="A2344" s="276" t="s">
        <v>7857</v>
      </c>
      <c r="B2344" s="277">
        <v>2014</v>
      </c>
      <c r="C2344" s="276"/>
      <c r="D2344" s="277">
        <v>25084088</v>
      </c>
      <c r="E2344" s="278" t="str">
        <f t="shared" si="23"/>
        <v>https://pubmed.ncbi.nlm.nih.gov/25084088</v>
      </c>
      <c r="F2344" s="28" t="s">
        <v>511</v>
      </c>
      <c r="G2344" s="28" t="s">
        <v>4744</v>
      </c>
      <c r="J2344" s="346" t="str">
        <f t="shared" si="30"/>
        <v/>
      </c>
      <c r="K2344" s="28" t="str">
        <f t="shared" si="24"/>
        <v/>
      </c>
      <c r="L2344" s="45" t="str">
        <f t="shared" si="25"/>
        <v/>
      </c>
      <c r="M2344" s="45" t="str">
        <f t="shared" si="26"/>
        <v/>
      </c>
      <c r="N2344" s="45">
        <f t="shared" si="27"/>
        <v>1</v>
      </c>
      <c r="O2344" s="45" t="str">
        <f t="shared" si="28"/>
        <v/>
      </c>
      <c r="P2344" s="45" t="str">
        <f t="shared" si="29"/>
        <v/>
      </c>
    </row>
    <row r="2345" spans="1:16" ht="17.25">
      <c r="A2345" s="276" t="s">
        <v>7858</v>
      </c>
      <c r="B2345" s="277">
        <v>2021</v>
      </c>
      <c r="C2345" s="276" t="s">
        <v>7859</v>
      </c>
      <c r="D2345" s="277">
        <v>33187978</v>
      </c>
      <c r="E2345" s="278" t="str">
        <f t="shared" si="23"/>
        <v>https://pubmed.ncbi.nlm.nih.gov/33187978</v>
      </c>
      <c r="F2345" s="28" t="s">
        <v>511</v>
      </c>
      <c r="G2345" s="28" t="s">
        <v>7860</v>
      </c>
      <c r="J2345" s="346" t="str">
        <f t="shared" si="30"/>
        <v/>
      </c>
      <c r="K2345" s="28" t="str">
        <f t="shared" si="24"/>
        <v/>
      </c>
      <c r="L2345" s="45" t="str">
        <f t="shared" si="25"/>
        <v/>
      </c>
      <c r="M2345" s="45" t="str">
        <f t="shared" si="26"/>
        <v/>
      </c>
      <c r="N2345" s="45" t="str">
        <f t="shared" si="27"/>
        <v/>
      </c>
      <c r="O2345" s="45">
        <f t="shared" si="28"/>
        <v>1</v>
      </c>
      <c r="P2345" s="45" t="str">
        <f t="shared" si="29"/>
        <v/>
      </c>
    </row>
    <row r="2346" spans="1:16" ht="17.25">
      <c r="A2346" s="276" t="s">
        <v>7861</v>
      </c>
      <c r="B2346" s="277">
        <v>2008</v>
      </c>
      <c r="C2346" s="276"/>
      <c r="D2346" s="277">
        <v>18698879</v>
      </c>
      <c r="E2346" s="278" t="str">
        <f t="shared" si="23"/>
        <v>https://pubmed.ncbi.nlm.nih.gov/18698879</v>
      </c>
      <c r="F2346" s="28" t="s">
        <v>511</v>
      </c>
      <c r="G2346" s="28" t="s">
        <v>4592</v>
      </c>
      <c r="J2346" s="346">
        <f t="shared" si="30"/>
        <v>1</v>
      </c>
      <c r="K2346" s="28" t="str">
        <f t="shared" si="24"/>
        <v/>
      </c>
      <c r="L2346" s="45" t="str">
        <f t="shared" si="25"/>
        <v/>
      </c>
      <c r="M2346" s="45" t="str">
        <f t="shared" si="26"/>
        <v/>
      </c>
      <c r="N2346" s="45" t="str">
        <f t="shared" si="27"/>
        <v/>
      </c>
      <c r="O2346" s="45" t="str">
        <f t="shared" si="28"/>
        <v/>
      </c>
      <c r="P2346" s="45" t="str">
        <f t="shared" si="29"/>
        <v/>
      </c>
    </row>
    <row r="2347" spans="1:16" ht="17.25">
      <c r="A2347" s="276" t="s">
        <v>7862</v>
      </c>
      <c r="B2347" s="277">
        <v>2020</v>
      </c>
      <c r="C2347" s="276" t="s">
        <v>7863</v>
      </c>
      <c r="D2347" s="277">
        <v>32514626</v>
      </c>
      <c r="E2347" s="278" t="str">
        <f t="shared" si="23"/>
        <v>https://pubmed.ncbi.nlm.nih.gov/32514626</v>
      </c>
      <c r="F2347" s="28" t="s">
        <v>511</v>
      </c>
      <c r="G2347" s="28" t="s">
        <v>4592</v>
      </c>
      <c r="J2347" s="346">
        <f t="shared" si="30"/>
        <v>1</v>
      </c>
      <c r="K2347" s="28" t="str">
        <f t="shared" si="24"/>
        <v/>
      </c>
      <c r="L2347" s="45" t="str">
        <f t="shared" si="25"/>
        <v/>
      </c>
      <c r="M2347" s="45" t="str">
        <f t="shared" si="26"/>
        <v/>
      </c>
      <c r="N2347" s="45" t="str">
        <f t="shared" si="27"/>
        <v/>
      </c>
      <c r="O2347" s="45" t="str">
        <f t="shared" si="28"/>
        <v/>
      </c>
      <c r="P2347" s="45" t="str">
        <f t="shared" si="29"/>
        <v/>
      </c>
    </row>
    <row r="2348" spans="1:16" ht="17.25">
      <c r="A2348" s="276" t="s">
        <v>7864</v>
      </c>
      <c r="B2348" s="277">
        <v>2017</v>
      </c>
      <c r="C2348" s="276" t="s">
        <v>7865</v>
      </c>
      <c r="D2348" s="277">
        <v>29236286</v>
      </c>
      <c r="E2348" s="278" t="str">
        <f t="shared" si="23"/>
        <v>https://pubmed.ncbi.nlm.nih.gov/29236286</v>
      </c>
      <c r="F2348" s="28" t="s">
        <v>511</v>
      </c>
      <c r="G2348" s="28" t="s">
        <v>4592</v>
      </c>
      <c r="J2348" s="346">
        <f t="shared" si="30"/>
        <v>1</v>
      </c>
      <c r="K2348" s="28" t="str">
        <f t="shared" si="24"/>
        <v/>
      </c>
      <c r="L2348" s="45" t="str">
        <f t="shared" si="25"/>
        <v/>
      </c>
      <c r="M2348" s="45" t="str">
        <f t="shared" si="26"/>
        <v/>
      </c>
      <c r="N2348" s="45" t="str">
        <f t="shared" si="27"/>
        <v/>
      </c>
      <c r="O2348" s="45" t="str">
        <f t="shared" si="28"/>
        <v/>
      </c>
      <c r="P2348" s="45" t="str">
        <f t="shared" si="29"/>
        <v/>
      </c>
    </row>
    <row r="2349" spans="1:16" ht="17.25">
      <c r="A2349" s="276" t="s">
        <v>7864</v>
      </c>
      <c r="B2349" s="277">
        <v>2019</v>
      </c>
      <c r="C2349" s="276" t="s">
        <v>7866</v>
      </c>
      <c r="D2349" s="277">
        <v>30605229</v>
      </c>
      <c r="E2349" s="278" t="str">
        <f t="shared" si="23"/>
        <v>https://pubmed.ncbi.nlm.nih.gov/30605229</v>
      </c>
      <c r="F2349" s="28" t="s">
        <v>511</v>
      </c>
      <c r="G2349" s="28" t="s">
        <v>6220</v>
      </c>
      <c r="J2349" s="346">
        <f t="shared" si="30"/>
        <v>1</v>
      </c>
      <c r="K2349" s="28" t="str">
        <f t="shared" si="24"/>
        <v/>
      </c>
      <c r="L2349" s="45" t="str">
        <f t="shared" si="25"/>
        <v/>
      </c>
      <c r="M2349" s="45" t="str">
        <f t="shared" si="26"/>
        <v/>
      </c>
      <c r="N2349" s="45" t="str">
        <f t="shared" si="27"/>
        <v/>
      </c>
      <c r="O2349" s="45" t="str">
        <f t="shared" si="28"/>
        <v/>
      </c>
      <c r="P2349" s="45" t="str">
        <f t="shared" si="29"/>
        <v/>
      </c>
    </row>
    <row r="2350" spans="1:16" ht="17.25">
      <c r="A2350" s="276" t="s">
        <v>464</v>
      </c>
      <c r="B2350" s="277">
        <v>2018</v>
      </c>
      <c r="C2350" s="276"/>
      <c r="D2350" s="277">
        <v>29684148</v>
      </c>
      <c r="E2350" s="278" t="str">
        <f t="shared" si="23"/>
        <v>https://pubmed.ncbi.nlm.nih.gov/29684148</v>
      </c>
      <c r="H2350" s="28" t="s">
        <v>511</v>
      </c>
      <c r="J2350" s="346" t="str">
        <f t="shared" si="30"/>
        <v/>
      </c>
      <c r="K2350" s="28" t="str">
        <f t="shared" si="24"/>
        <v/>
      </c>
      <c r="L2350" s="45" t="str">
        <f t="shared" si="25"/>
        <v/>
      </c>
      <c r="M2350" s="45" t="str">
        <f t="shared" si="26"/>
        <v/>
      </c>
      <c r="N2350" s="45" t="str">
        <f t="shared" si="27"/>
        <v/>
      </c>
      <c r="O2350" s="45" t="str">
        <f t="shared" si="28"/>
        <v/>
      </c>
      <c r="P2350" s="45" t="str">
        <f t="shared" si="29"/>
        <v/>
      </c>
    </row>
    <row r="2351" spans="1:16" ht="17.25">
      <c r="A2351" s="276" t="s">
        <v>7867</v>
      </c>
      <c r="B2351" s="277">
        <v>2010</v>
      </c>
      <c r="C2351" s="276"/>
      <c r="D2351" s="277">
        <v>21149931</v>
      </c>
      <c r="E2351" s="278" t="str">
        <f t="shared" si="23"/>
        <v>https://pubmed.ncbi.nlm.nih.gov/21149931</v>
      </c>
      <c r="F2351" s="28" t="s">
        <v>511</v>
      </c>
      <c r="G2351" s="28" t="s">
        <v>5299</v>
      </c>
      <c r="J2351" s="346" t="str">
        <f t="shared" si="30"/>
        <v/>
      </c>
      <c r="K2351" s="28" t="str">
        <f t="shared" si="24"/>
        <v/>
      </c>
      <c r="L2351" s="45" t="str">
        <f t="shared" si="25"/>
        <v/>
      </c>
      <c r="M2351" s="45" t="str">
        <f t="shared" si="26"/>
        <v/>
      </c>
      <c r="N2351" s="45">
        <f t="shared" si="27"/>
        <v>1</v>
      </c>
      <c r="O2351" s="45" t="str">
        <f t="shared" si="28"/>
        <v/>
      </c>
      <c r="P2351" s="45" t="str">
        <f t="shared" si="29"/>
        <v/>
      </c>
    </row>
    <row r="2352" spans="1:16" ht="17.25">
      <c r="A2352" s="276" t="s">
        <v>7868</v>
      </c>
      <c r="B2352" s="277">
        <v>2015</v>
      </c>
      <c r="C2352" s="276" t="s">
        <v>7869</v>
      </c>
      <c r="D2352" s="277">
        <v>26669566</v>
      </c>
      <c r="E2352" s="278" t="str">
        <f t="shared" si="23"/>
        <v>https://pubmed.ncbi.nlm.nih.gov/26669566</v>
      </c>
      <c r="F2352" s="28" t="s">
        <v>511</v>
      </c>
      <c r="G2352" s="28" t="s">
        <v>4592</v>
      </c>
      <c r="J2352" s="346">
        <f t="shared" si="30"/>
        <v>1</v>
      </c>
      <c r="K2352" s="28" t="str">
        <f t="shared" si="24"/>
        <v/>
      </c>
      <c r="L2352" s="45" t="str">
        <f t="shared" si="25"/>
        <v/>
      </c>
      <c r="M2352" s="45" t="str">
        <f t="shared" si="26"/>
        <v/>
      </c>
      <c r="N2352" s="45" t="str">
        <f t="shared" si="27"/>
        <v/>
      </c>
      <c r="O2352" s="45" t="str">
        <f t="shared" si="28"/>
        <v/>
      </c>
      <c r="P2352" s="45" t="str">
        <f t="shared" si="29"/>
        <v/>
      </c>
    </row>
    <row r="2353" spans="1:16" ht="17.25">
      <c r="A2353" s="276" t="s">
        <v>7870</v>
      </c>
      <c r="B2353" s="277">
        <v>2014</v>
      </c>
      <c r="C2353" s="276"/>
      <c r="D2353" s="277">
        <v>25066627</v>
      </c>
      <c r="E2353" s="278" t="str">
        <f t="shared" si="23"/>
        <v>https://pubmed.ncbi.nlm.nih.gov/25066627</v>
      </c>
      <c r="F2353" s="28" t="s">
        <v>511</v>
      </c>
      <c r="G2353" s="28" t="s">
        <v>4592</v>
      </c>
      <c r="J2353" s="346">
        <f t="shared" si="30"/>
        <v>1</v>
      </c>
      <c r="K2353" s="28" t="str">
        <f t="shared" si="24"/>
        <v/>
      </c>
      <c r="L2353" s="45" t="str">
        <f t="shared" si="25"/>
        <v/>
      </c>
      <c r="M2353" s="45" t="str">
        <f t="shared" si="26"/>
        <v/>
      </c>
      <c r="N2353" s="45" t="str">
        <f t="shared" si="27"/>
        <v/>
      </c>
      <c r="O2353" s="45" t="str">
        <f t="shared" si="28"/>
        <v/>
      </c>
      <c r="P2353" s="45" t="str">
        <f t="shared" si="29"/>
        <v/>
      </c>
    </row>
    <row r="2354" spans="1:16" ht="17.25">
      <c r="A2354" s="276" t="s">
        <v>7871</v>
      </c>
      <c r="B2354" s="277">
        <v>2018</v>
      </c>
      <c r="C2354" s="276" t="s">
        <v>7872</v>
      </c>
      <c r="D2354" s="277">
        <v>29096426</v>
      </c>
      <c r="E2354" s="278" t="str">
        <f t="shared" si="23"/>
        <v>https://pubmed.ncbi.nlm.nih.gov/29096426</v>
      </c>
      <c r="F2354" s="28" t="s">
        <v>511</v>
      </c>
      <c r="G2354" s="28" t="s">
        <v>5299</v>
      </c>
      <c r="J2354" s="346" t="str">
        <f t="shared" si="30"/>
        <v/>
      </c>
      <c r="K2354" s="28" t="str">
        <f t="shared" si="24"/>
        <v/>
      </c>
      <c r="L2354" s="45" t="str">
        <f t="shared" si="25"/>
        <v/>
      </c>
      <c r="M2354" s="45" t="str">
        <f t="shared" si="26"/>
        <v/>
      </c>
      <c r="N2354" s="45">
        <f t="shared" si="27"/>
        <v>1</v>
      </c>
      <c r="O2354" s="45" t="str">
        <f t="shared" si="28"/>
        <v/>
      </c>
      <c r="P2354" s="45" t="str">
        <f t="shared" si="29"/>
        <v/>
      </c>
    </row>
    <row r="2355" spans="1:16" ht="17.25">
      <c r="A2355" s="276" t="s">
        <v>7873</v>
      </c>
      <c r="B2355" s="277">
        <v>2014</v>
      </c>
      <c r="C2355" s="276"/>
      <c r="D2355" s="277">
        <v>24612209</v>
      </c>
      <c r="E2355" s="278" t="str">
        <f t="shared" si="23"/>
        <v>https://pubmed.ncbi.nlm.nih.gov/24612209</v>
      </c>
      <c r="F2355" s="28" t="s">
        <v>511</v>
      </c>
      <c r="G2355" s="28" t="s">
        <v>7874</v>
      </c>
      <c r="J2355" s="346">
        <f t="shared" si="30"/>
        <v>1</v>
      </c>
      <c r="K2355" s="28" t="str">
        <f t="shared" si="24"/>
        <v/>
      </c>
      <c r="L2355" s="45" t="str">
        <f t="shared" si="25"/>
        <v/>
      </c>
      <c r="M2355" s="45" t="str">
        <f t="shared" si="26"/>
        <v/>
      </c>
      <c r="N2355" s="45" t="str">
        <f t="shared" si="27"/>
        <v/>
      </c>
      <c r="O2355" s="45" t="str">
        <f t="shared" si="28"/>
        <v/>
      </c>
      <c r="P2355" s="45" t="str">
        <f t="shared" si="29"/>
        <v/>
      </c>
    </row>
    <row r="2356" spans="1:16" ht="17.25">
      <c r="A2356" s="276" t="s">
        <v>7875</v>
      </c>
      <c r="B2356" s="277">
        <v>2005</v>
      </c>
      <c r="C2356" s="276"/>
      <c r="D2356" s="277">
        <v>15937757</v>
      </c>
      <c r="E2356" s="278" t="str">
        <f t="shared" si="23"/>
        <v>https://pubmed.ncbi.nlm.nih.gov/15937757</v>
      </c>
      <c r="F2356" s="28" t="s">
        <v>511</v>
      </c>
      <c r="G2356" s="28" t="s">
        <v>4744</v>
      </c>
      <c r="J2356" s="346" t="str">
        <f t="shared" si="30"/>
        <v/>
      </c>
      <c r="K2356" s="28" t="str">
        <f t="shared" si="24"/>
        <v/>
      </c>
      <c r="L2356" s="45" t="str">
        <f t="shared" si="25"/>
        <v/>
      </c>
      <c r="M2356" s="45" t="str">
        <f t="shared" si="26"/>
        <v/>
      </c>
      <c r="N2356" s="45">
        <f t="shared" si="27"/>
        <v>1</v>
      </c>
      <c r="O2356" s="45" t="str">
        <f t="shared" si="28"/>
        <v/>
      </c>
      <c r="P2356" s="45" t="str">
        <f t="shared" si="29"/>
        <v/>
      </c>
    </row>
    <row r="2357" spans="1:16" ht="17.25">
      <c r="A2357" s="276" t="s">
        <v>7876</v>
      </c>
      <c r="B2357" s="277">
        <v>2014</v>
      </c>
      <c r="C2357" s="276" t="s">
        <v>7877</v>
      </c>
      <c r="D2357" s="277">
        <v>24127238</v>
      </c>
      <c r="E2357" s="278" t="str">
        <f t="shared" si="23"/>
        <v>https://pubmed.ncbi.nlm.nih.gov/24127238</v>
      </c>
      <c r="F2357" s="28" t="s">
        <v>511</v>
      </c>
      <c r="G2357" s="28" t="s">
        <v>7878</v>
      </c>
      <c r="J2357" s="346" t="str">
        <f t="shared" si="30"/>
        <v/>
      </c>
      <c r="K2357" s="28" t="str">
        <f t="shared" si="24"/>
        <v/>
      </c>
      <c r="L2357" s="45" t="str">
        <f t="shared" si="25"/>
        <v/>
      </c>
      <c r="M2357" s="45" t="str">
        <f t="shared" si="26"/>
        <v/>
      </c>
      <c r="N2357" s="45" t="str">
        <f t="shared" si="27"/>
        <v/>
      </c>
      <c r="O2357" s="45">
        <f t="shared" si="28"/>
        <v>1</v>
      </c>
      <c r="P2357" s="45" t="str">
        <f t="shared" si="29"/>
        <v/>
      </c>
    </row>
    <row r="2358" spans="1:16" ht="17.25">
      <c r="A2358" s="276" t="s">
        <v>7879</v>
      </c>
      <c r="B2358" s="277">
        <v>2015</v>
      </c>
      <c r="C2358" s="276"/>
      <c r="D2358" s="277">
        <v>26545294</v>
      </c>
      <c r="E2358" s="278" t="str">
        <f t="shared" si="23"/>
        <v>https://pubmed.ncbi.nlm.nih.gov/26545294</v>
      </c>
      <c r="F2358" s="28" t="s">
        <v>511</v>
      </c>
      <c r="G2358" s="28" t="s">
        <v>4592</v>
      </c>
      <c r="J2358" s="346">
        <f t="shared" si="30"/>
        <v>1</v>
      </c>
      <c r="K2358" s="28" t="str">
        <f t="shared" si="24"/>
        <v/>
      </c>
      <c r="L2358" s="45" t="str">
        <f t="shared" si="25"/>
        <v/>
      </c>
      <c r="M2358" s="45" t="str">
        <f t="shared" si="26"/>
        <v/>
      </c>
      <c r="N2358" s="45" t="str">
        <f t="shared" si="27"/>
        <v/>
      </c>
      <c r="O2358" s="45" t="str">
        <f t="shared" si="28"/>
        <v/>
      </c>
      <c r="P2358" s="45" t="str">
        <f t="shared" si="29"/>
        <v/>
      </c>
    </row>
    <row r="2359" spans="1:16" ht="17.25">
      <c r="A2359" s="276" t="s">
        <v>7880</v>
      </c>
      <c r="B2359" s="277">
        <v>2009</v>
      </c>
      <c r="C2359" s="276"/>
      <c r="D2359" s="277">
        <v>19819004</v>
      </c>
      <c r="E2359" s="278" t="str">
        <f t="shared" si="23"/>
        <v>https://pubmed.ncbi.nlm.nih.gov/19819004</v>
      </c>
      <c r="F2359" s="28" t="s">
        <v>511</v>
      </c>
      <c r="G2359" s="28" t="s">
        <v>4744</v>
      </c>
      <c r="J2359" s="346" t="str">
        <f t="shared" si="30"/>
        <v/>
      </c>
      <c r="K2359" s="28" t="str">
        <f t="shared" si="24"/>
        <v/>
      </c>
      <c r="L2359" s="45" t="str">
        <f t="shared" si="25"/>
        <v/>
      </c>
      <c r="M2359" s="45" t="str">
        <f t="shared" si="26"/>
        <v/>
      </c>
      <c r="N2359" s="45">
        <f t="shared" si="27"/>
        <v>1</v>
      </c>
      <c r="O2359" s="45" t="str">
        <f t="shared" si="28"/>
        <v/>
      </c>
      <c r="P2359" s="45" t="str">
        <f t="shared" si="29"/>
        <v/>
      </c>
    </row>
    <row r="2360" spans="1:16" ht="17.25">
      <c r="A2360" s="276" t="s">
        <v>7881</v>
      </c>
      <c r="B2360" s="277">
        <v>2015</v>
      </c>
      <c r="C2360" s="276"/>
      <c r="D2360" s="277">
        <v>26424674</v>
      </c>
      <c r="E2360" s="278" t="str">
        <f t="shared" si="23"/>
        <v>https://pubmed.ncbi.nlm.nih.gov/26424674</v>
      </c>
      <c r="F2360" s="28" t="s">
        <v>511</v>
      </c>
      <c r="G2360" s="28" t="s">
        <v>5273</v>
      </c>
      <c r="J2360" s="346">
        <f t="shared" si="30"/>
        <v>1</v>
      </c>
      <c r="K2360" s="28" t="str">
        <f t="shared" si="24"/>
        <v/>
      </c>
      <c r="L2360" s="45" t="str">
        <f t="shared" si="25"/>
        <v/>
      </c>
      <c r="M2360" s="45" t="str">
        <f t="shared" si="26"/>
        <v/>
      </c>
      <c r="N2360" s="45" t="str">
        <f t="shared" si="27"/>
        <v/>
      </c>
      <c r="O2360" s="45" t="str">
        <f t="shared" si="28"/>
        <v/>
      </c>
      <c r="P2360" s="45" t="str">
        <f t="shared" si="29"/>
        <v/>
      </c>
    </row>
    <row r="2361" spans="1:16" ht="17.25">
      <c r="A2361" s="276" t="s">
        <v>7882</v>
      </c>
      <c r="B2361" s="277">
        <v>2017</v>
      </c>
      <c r="C2361" s="276" t="s">
        <v>7883</v>
      </c>
      <c r="D2361" s="277">
        <v>29046448</v>
      </c>
      <c r="E2361" s="278" t="str">
        <f t="shared" si="23"/>
        <v>https://pubmed.ncbi.nlm.nih.gov/29046448</v>
      </c>
      <c r="F2361" s="28" t="s">
        <v>511</v>
      </c>
      <c r="G2361" s="28" t="s">
        <v>4346</v>
      </c>
      <c r="J2361" s="346" t="str">
        <f t="shared" si="30"/>
        <v/>
      </c>
      <c r="K2361" s="28" t="str">
        <f t="shared" si="24"/>
        <v/>
      </c>
      <c r="L2361" s="45">
        <f t="shared" si="25"/>
        <v>1</v>
      </c>
      <c r="M2361" s="45" t="str">
        <f t="shared" si="26"/>
        <v/>
      </c>
      <c r="N2361" s="45" t="str">
        <f t="shared" si="27"/>
        <v/>
      </c>
      <c r="O2361" s="45" t="str">
        <f t="shared" si="28"/>
        <v/>
      </c>
      <c r="P2361" s="45" t="str">
        <f t="shared" si="29"/>
        <v/>
      </c>
    </row>
    <row r="2362" spans="1:16" ht="17.25">
      <c r="A2362" s="276" t="s">
        <v>7884</v>
      </c>
      <c r="B2362" s="277">
        <v>2009</v>
      </c>
      <c r="C2362" s="276" t="s">
        <v>7885</v>
      </c>
      <c r="D2362" s="277">
        <v>19596875</v>
      </c>
      <c r="E2362" s="278" t="str">
        <f t="shared" si="23"/>
        <v>https://pubmed.ncbi.nlm.nih.gov/19596875</v>
      </c>
      <c r="F2362" s="28" t="s">
        <v>511</v>
      </c>
      <c r="G2362" s="28" t="s">
        <v>6220</v>
      </c>
      <c r="J2362" s="346">
        <f t="shared" si="30"/>
        <v>1</v>
      </c>
      <c r="K2362" s="28" t="str">
        <f t="shared" si="24"/>
        <v/>
      </c>
      <c r="L2362" s="45" t="str">
        <f t="shared" si="25"/>
        <v/>
      </c>
      <c r="M2362" s="45" t="str">
        <f t="shared" si="26"/>
        <v/>
      </c>
      <c r="N2362" s="45" t="str">
        <f t="shared" si="27"/>
        <v/>
      </c>
      <c r="O2362" s="45" t="str">
        <f t="shared" si="28"/>
        <v/>
      </c>
      <c r="P2362" s="45" t="str">
        <f t="shared" si="29"/>
        <v/>
      </c>
    </row>
    <row r="2363" spans="1:16" ht="17.25">
      <c r="A2363" s="276" t="s">
        <v>7886</v>
      </c>
      <c r="B2363" s="277">
        <v>1998</v>
      </c>
      <c r="C2363" s="276"/>
      <c r="D2363" s="277">
        <v>9857785</v>
      </c>
      <c r="E2363" s="278" t="str">
        <f t="shared" si="23"/>
        <v>https://pubmed.ncbi.nlm.nih.gov/9857785</v>
      </c>
      <c r="F2363" s="28" t="s">
        <v>511</v>
      </c>
      <c r="G2363" s="28" t="s">
        <v>4744</v>
      </c>
      <c r="J2363" s="346" t="str">
        <f t="shared" si="30"/>
        <v/>
      </c>
      <c r="K2363" s="28" t="str">
        <f t="shared" si="24"/>
        <v/>
      </c>
      <c r="L2363" s="45" t="str">
        <f t="shared" si="25"/>
        <v/>
      </c>
      <c r="M2363" s="45" t="str">
        <f t="shared" si="26"/>
        <v/>
      </c>
      <c r="N2363" s="45">
        <f t="shared" si="27"/>
        <v>1</v>
      </c>
      <c r="O2363" s="45" t="str">
        <f t="shared" si="28"/>
        <v/>
      </c>
      <c r="P2363" s="45" t="str">
        <f t="shared" si="29"/>
        <v/>
      </c>
    </row>
    <row r="2364" spans="1:16" ht="17.25">
      <c r="A2364" s="276" t="s">
        <v>7887</v>
      </c>
      <c r="B2364" s="277">
        <v>2017</v>
      </c>
      <c r="C2364" s="276"/>
      <c r="D2364" s="277">
        <v>28363363</v>
      </c>
      <c r="E2364" s="278" t="str">
        <f t="shared" si="23"/>
        <v>https://pubmed.ncbi.nlm.nih.gov/28363363</v>
      </c>
      <c r="F2364" s="28" t="s">
        <v>511</v>
      </c>
      <c r="G2364" s="28" t="s">
        <v>4744</v>
      </c>
      <c r="J2364" s="346" t="str">
        <f t="shared" si="30"/>
        <v/>
      </c>
      <c r="K2364" s="28" t="str">
        <f t="shared" si="24"/>
        <v/>
      </c>
      <c r="L2364" s="45" t="str">
        <f t="shared" si="25"/>
        <v/>
      </c>
      <c r="M2364" s="45" t="str">
        <f t="shared" si="26"/>
        <v/>
      </c>
      <c r="N2364" s="45">
        <f t="shared" si="27"/>
        <v>1</v>
      </c>
      <c r="O2364" s="45" t="str">
        <f t="shared" si="28"/>
        <v/>
      </c>
      <c r="P2364" s="45" t="str">
        <f t="shared" si="29"/>
        <v/>
      </c>
    </row>
    <row r="2365" spans="1:16" ht="17.25">
      <c r="A2365" s="276" t="s">
        <v>7888</v>
      </c>
      <c r="B2365" s="277">
        <v>2001</v>
      </c>
      <c r="C2365" s="276"/>
      <c r="D2365" s="277">
        <v>11506098</v>
      </c>
      <c r="E2365" s="278" t="str">
        <f t="shared" si="23"/>
        <v>https://pubmed.ncbi.nlm.nih.gov/11506098</v>
      </c>
      <c r="F2365" s="28" t="s">
        <v>511</v>
      </c>
      <c r="G2365" s="28" t="s">
        <v>4744</v>
      </c>
      <c r="J2365" s="346" t="str">
        <f t="shared" si="30"/>
        <v/>
      </c>
      <c r="K2365" s="28" t="str">
        <f t="shared" si="24"/>
        <v/>
      </c>
      <c r="L2365" s="45" t="str">
        <f t="shared" si="25"/>
        <v/>
      </c>
      <c r="M2365" s="45" t="str">
        <f t="shared" si="26"/>
        <v/>
      </c>
      <c r="N2365" s="45">
        <f t="shared" si="27"/>
        <v>1</v>
      </c>
      <c r="O2365" s="45" t="str">
        <f t="shared" si="28"/>
        <v/>
      </c>
      <c r="P2365" s="45" t="str">
        <f t="shared" si="29"/>
        <v/>
      </c>
    </row>
    <row r="2366" spans="1:16" ht="17.25">
      <c r="A2366" s="276" t="s">
        <v>7889</v>
      </c>
      <c r="B2366" s="277">
        <v>2013</v>
      </c>
      <c r="C2366" s="276" t="s">
        <v>7890</v>
      </c>
      <c r="D2366" s="277">
        <v>23829867</v>
      </c>
      <c r="E2366" s="278" t="str">
        <f t="shared" si="23"/>
        <v>https://pubmed.ncbi.nlm.nih.gov/23829867</v>
      </c>
      <c r="F2366" s="28" t="s">
        <v>511</v>
      </c>
      <c r="G2366" s="28" t="s">
        <v>4744</v>
      </c>
      <c r="J2366" s="346" t="str">
        <f t="shared" si="30"/>
        <v/>
      </c>
      <c r="K2366" s="28" t="str">
        <f t="shared" si="24"/>
        <v/>
      </c>
      <c r="L2366" s="45" t="str">
        <f t="shared" si="25"/>
        <v/>
      </c>
      <c r="M2366" s="45" t="str">
        <f t="shared" si="26"/>
        <v/>
      </c>
      <c r="N2366" s="45">
        <f t="shared" si="27"/>
        <v>1</v>
      </c>
      <c r="O2366" s="45" t="str">
        <f t="shared" si="28"/>
        <v/>
      </c>
      <c r="P2366" s="45" t="str">
        <f t="shared" si="29"/>
        <v/>
      </c>
    </row>
    <row r="2367" spans="1:16" ht="17.25">
      <c r="A2367" s="276" t="s">
        <v>7891</v>
      </c>
      <c r="B2367" s="277">
        <v>2020</v>
      </c>
      <c r="C2367" s="276"/>
      <c r="D2367" s="277">
        <v>32570237</v>
      </c>
      <c r="E2367" s="278" t="str">
        <f t="shared" si="23"/>
        <v>https://pubmed.ncbi.nlm.nih.gov/32570237</v>
      </c>
      <c r="F2367" s="28" t="s">
        <v>511</v>
      </c>
      <c r="G2367" s="28" t="s">
        <v>4744</v>
      </c>
      <c r="I2367" s="28" t="s">
        <v>6429</v>
      </c>
      <c r="J2367" s="346" t="str">
        <f t="shared" si="30"/>
        <v/>
      </c>
      <c r="K2367" s="28" t="str">
        <f t="shared" si="24"/>
        <v/>
      </c>
      <c r="L2367" s="45" t="str">
        <f t="shared" si="25"/>
        <v/>
      </c>
      <c r="M2367" s="45" t="str">
        <f t="shared" si="26"/>
        <v/>
      </c>
      <c r="N2367" s="45">
        <f t="shared" si="27"/>
        <v>1</v>
      </c>
      <c r="O2367" s="45" t="str">
        <f t="shared" si="28"/>
        <v/>
      </c>
      <c r="P2367" s="45" t="str">
        <f t="shared" si="29"/>
        <v/>
      </c>
    </row>
    <row r="2368" spans="1:16" ht="17.25">
      <c r="A2368" s="276" t="s">
        <v>7892</v>
      </c>
      <c r="B2368" s="277">
        <v>2014</v>
      </c>
      <c r="C2368" s="276"/>
      <c r="D2368" s="277">
        <v>24569099</v>
      </c>
      <c r="E2368" s="278" t="str">
        <f t="shared" si="23"/>
        <v>https://pubmed.ncbi.nlm.nih.gov/24569099</v>
      </c>
      <c r="F2368" s="28" t="s">
        <v>511</v>
      </c>
      <c r="G2368" s="28" t="s">
        <v>4867</v>
      </c>
      <c r="J2368" s="346" t="str">
        <f t="shared" si="30"/>
        <v/>
      </c>
      <c r="K2368" s="28" t="str">
        <f t="shared" si="24"/>
        <v/>
      </c>
      <c r="L2368" s="45" t="str">
        <f t="shared" si="25"/>
        <v/>
      </c>
      <c r="M2368" s="45" t="str">
        <f t="shared" si="26"/>
        <v/>
      </c>
      <c r="N2368" s="45">
        <f t="shared" si="27"/>
        <v>1</v>
      </c>
      <c r="O2368" s="45" t="str">
        <f t="shared" si="28"/>
        <v/>
      </c>
      <c r="P2368" s="45" t="str">
        <f t="shared" si="29"/>
        <v/>
      </c>
    </row>
    <row r="2369" spans="1:16" ht="17.25">
      <c r="A2369" s="276" t="s">
        <v>7893</v>
      </c>
      <c r="B2369" s="277">
        <v>2002</v>
      </c>
      <c r="C2369" s="276"/>
      <c r="D2369" s="277">
        <v>11931398</v>
      </c>
      <c r="E2369" s="278" t="str">
        <f t="shared" si="23"/>
        <v>https://pubmed.ncbi.nlm.nih.gov/11931398</v>
      </c>
      <c r="F2369" s="28" t="s">
        <v>511</v>
      </c>
      <c r="G2369" s="28" t="s">
        <v>4744</v>
      </c>
      <c r="J2369" s="346" t="str">
        <f t="shared" si="30"/>
        <v/>
      </c>
      <c r="K2369" s="28" t="str">
        <f t="shared" si="24"/>
        <v/>
      </c>
      <c r="L2369" s="45" t="str">
        <f t="shared" si="25"/>
        <v/>
      </c>
      <c r="M2369" s="45" t="str">
        <f t="shared" si="26"/>
        <v/>
      </c>
      <c r="N2369" s="45">
        <f t="shared" si="27"/>
        <v>1</v>
      </c>
      <c r="O2369" s="45" t="str">
        <f t="shared" si="28"/>
        <v/>
      </c>
      <c r="P2369" s="45" t="str">
        <f t="shared" si="29"/>
        <v/>
      </c>
    </row>
    <row r="2370" spans="1:16" ht="17.25">
      <c r="A2370" s="276" t="s">
        <v>7894</v>
      </c>
      <c r="B2370" s="277">
        <v>1997</v>
      </c>
      <c r="C2370" s="276"/>
      <c r="D2370" s="277">
        <v>9130921</v>
      </c>
      <c r="E2370" s="278" t="str">
        <f t="shared" si="23"/>
        <v>https://pubmed.ncbi.nlm.nih.gov/9130921</v>
      </c>
      <c r="F2370" s="28" t="s">
        <v>511</v>
      </c>
      <c r="G2370" s="28" t="s">
        <v>4592</v>
      </c>
      <c r="J2370" s="346">
        <f t="shared" si="30"/>
        <v>1</v>
      </c>
      <c r="K2370" s="28" t="str">
        <f t="shared" si="24"/>
        <v/>
      </c>
      <c r="L2370" s="45" t="str">
        <f t="shared" si="25"/>
        <v/>
      </c>
      <c r="M2370" s="45" t="str">
        <f t="shared" si="26"/>
        <v/>
      </c>
      <c r="N2370" s="45" t="str">
        <f t="shared" si="27"/>
        <v/>
      </c>
      <c r="O2370" s="45" t="str">
        <f t="shared" si="28"/>
        <v/>
      </c>
      <c r="P2370" s="45" t="str">
        <f t="shared" si="29"/>
        <v/>
      </c>
    </row>
    <row r="2371" spans="1:16" ht="17.25">
      <c r="A2371" s="276" t="s">
        <v>7895</v>
      </c>
      <c r="B2371" s="277">
        <v>2021</v>
      </c>
      <c r="C2371" s="276" t="s">
        <v>7896</v>
      </c>
      <c r="D2371" s="277">
        <v>33752741</v>
      </c>
      <c r="E2371" s="278" t="str">
        <f t="shared" si="23"/>
        <v>https://pubmed.ncbi.nlm.nih.gov/33752741</v>
      </c>
      <c r="F2371" s="28" t="s">
        <v>511</v>
      </c>
      <c r="G2371" s="28" t="s">
        <v>4744</v>
      </c>
      <c r="J2371" s="346" t="str">
        <f t="shared" si="30"/>
        <v/>
      </c>
      <c r="K2371" s="28" t="str">
        <f t="shared" si="24"/>
        <v/>
      </c>
      <c r="L2371" s="45" t="str">
        <f t="shared" si="25"/>
        <v/>
      </c>
      <c r="M2371" s="45" t="str">
        <f t="shared" si="26"/>
        <v/>
      </c>
      <c r="N2371" s="45">
        <f t="shared" si="27"/>
        <v>1</v>
      </c>
      <c r="O2371" s="45" t="str">
        <f t="shared" si="28"/>
        <v/>
      </c>
      <c r="P2371" s="45" t="str">
        <f t="shared" si="29"/>
        <v/>
      </c>
    </row>
    <row r="2372" spans="1:16" ht="17.25">
      <c r="A2372" s="276" t="s">
        <v>7897</v>
      </c>
      <c r="B2372" s="277">
        <v>2005</v>
      </c>
      <c r="C2372" s="276"/>
      <c r="D2372" s="277">
        <v>16336426</v>
      </c>
      <c r="E2372" s="278" t="str">
        <f t="shared" si="23"/>
        <v>https://pubmed.ncbi.nlm.nih.gov/16336426</v>
      </c>
      <c r="F2372" s="28" t="s">
        <v>511</v>
      </c>
      <c r="G2372" s="28" t="s">
        <v>4592</v>
      </c>
      <c r="J2372" s="346">
        <f t="shared" si="30"/>
        <v>1</v>
      </c>
      <c r="K2372" s="28" t="str">
        <f t="shared" si="24"/>
        <v/>
      </c>
      <c r="L2372" s="45" t="str">
        <f t="shared" si="25"/>
        <v/>
      </c>
      <c r="M2372" s="45" t="str">
        <f t="shared" si="26"/>
        <v/>
      </c>
      <c r="N2372" s="45" t="str">
        <f t="shared" si="27"/>
        <v/>
      </c>
      <c r="O2372" s="45" t="str">
        <f t="shared" si="28"/>
        <v/>
      </c>
      <c r="P2372" s="45" t="str">
        <f t="shared" si="29"/>
        <v/>
      </c>
    </row>
    <row r="2373" spans="1:16" ht="17.25">
      <c r="A2373" s="276" t="s">
        <v>7898</v>
      </c>
      <c r="B2373" s="277">
        <v>2015</v>
      </c>
      <c r="C2373" s="276" t="s">
        <v>7899</v>
      </c>
      <c r="D2373" s="277">
        <v>26548790</v>
      </c>
      <c r="E2373" s="278" t="str">
        <f t="shared" si="23"/>
        <v>https://pubmed.ncbi.nlm.nih.gov/26548790</v>
      </c>
      <c r="F2373" s="28" t="s">
        <v>511</v>
      </c>
      <c r="G2373" s="28" t="s">
        <v>7900</v>
      </c>
      <c r="J2373" s="346" t="str">
        <f t="shared" si="30"/>
        <v/>
      </c>
      <c r="K2373" s="28" t="str">
        <f t="shared" si="24"/>
        <v/>
      </c>
      <c r="L2373" s="45" t="str">
        <f t="shared" si="25"/>
        <v/>
      </c>
      <c r="M2373" s="45" t="str">
        <f t="shared" si="26"/>
        <v/>
      </c>
      <c r="N2373" s="45" t="str">
        <f t="shared" si="27"/>
        <v/>
      </c>
      <c r="O2373" s="45">
        <f t="shared" si="28"/>
        <v>1</v>
      </c>
      <c r="P2373" s="45" t="str">
        <f t="shared" si="29"/>
        <v/>
      </c>
    </row>
    <row r="2374" spans="1:16" ht="17.25">
      <c r="A2374" s="276" t="s">
        <v>7901</v>
      </c>
      <c r="B2374" s="277">
        <v>2018</v>
      </c>
      <c r="C2374" s="276" t="s">
        <v>7902</v>
      </c>
      <c r="D2374" s="277">
        <v>30425150</v>
      </c>
      <c r="E2374" s="278" t="str">
        <f t="shared" si="23"/>
        <v>https://pubmed.ncbi.nlm.nih.gov/30425150</v>
      </c>
      <c r="F2374" s="28" t="s">
        <v>511</v>
      </c>
      <c r="G2374" s="28" t="s">
        <v>7903</v>
      </c>
      <c r="J2374" s="346" t="str">
        <f t="shared" si="30"/>
        <v/>
      </c>
      <c r="K2374" s="28" t="str">
        <f t="shared" si="24"/>
        <v/>
      </c>
      <c r="L2374" s="45" t="str">
        <f t="shared" si="25"/>
        <v/>
      </c>
      <c r="M2374" s="45" t="str">
        <f t="shared" si="26"/>
        <v/>
      </c>
      <c r="N2374" s="45">
        <f t="shared" si="27"/>
        <v>1</v>
      </c>
      <c r="O2374" s="45" t="str">
        <f t="shared" si="28"/>
        <v/>
      </c>
      <c r="P2374" s="45" t="str">
        <f t="shared" si="29"/>
        <v/>
      </c>
    </row>
    <row r="2375" spans="1:16" ht="17.25">
      <c r="A2375" s="276" t="s">
        <v>7904</v>
      </c>
      <c r="B2375" s="277">
        <v>2020</v>
      </c>
      <c r="C2375" s="276"/>
      <c r="D2375" s="277">
        <v>31988012</v>
      </c>
      <c r="E2375" s="278" t="str">
        <f t="shared" si="23"/>
        <v>https://pubmed.ncbi.nlm.nih.gov/31988012</v>
      </c>
      <c r="F2375" s="28" t="s">
        <v>511</v>
      </c>
      <c r="G2375" s="28" t="s">
        <v>4592</v>
      </c>
      <c r="J2375" s="346">
        <f t="shared" si="30"/>
        <v>1</v>
      </c>
      <c r="K2375" s="28" t="str">
        <f t="shared" si="24"/>
        <v/>
      </c>
      <c r="L2375" s="45" t="str">
        <f t="shared" si="25"/>
        <v/>
      </c>
      <c r="M2375" s="45" t="str">
        <f t="shared" si="26"/>
        <v/>
      </c>
      <c r="N2375" s="45" t="str">
        <f t="shared" si="27"/>
        <v/>
      </c>
      <c r="O2375" s="45" t="str">
        <f t="shared" si="28"/>
        <v/>
      </c>
      <c r="P2375" s="45" t="str">
        <f t="shared" si="29"/>
        <v/>
      </c>
    </row>
    <row r="2376" spans="1:16" ht="17.25">
      <c r="A2376" s="276" t="s">
        <v>7905</v>
      </c>
      <c r="B2376" s="277">
        <v>2018</v>
      </c>
      <c r="C2376" s="276"/>
      <c r="D2376" s="277">
        <v>29499578</v>
      </c>
      <c r="E2376" s="278" t="str">
        <f t="shared" si="23"/>
        <v>https://pubmed.ncbi.nlm.nih.gov/29499578</v>
      </c>
      <c r="F2376" s="28" t="s">
        <v>511</v>
      </c>
      <c r="G2376" s="28" t="s">
        <v>4744</v>
      </c>
      <c r="J2376" s="346" t="str">
        <f t="shared" si="30"/>
        <v/>
      </c>
      <c r="K2376" s="28" t="str">
        <f t="shared" si="24"/>
        <v/>
      </c>
      <c r="L2376" s="45" t="str">
        <f t="shared" si="25"/>
        <v/>
      </c>
      <c r="M2376" s="45" t="str">
        <f t="shared" si="26"/>
        <v/>
      </c>
      <c r="N2376" s="45">
        <f t="shared" si="27"/>
        <v>1</v>
      </c>
      <c r="O2376" s="45" t="str">
        <f t="shared" si="28"/>
        <v/>
      </c>
      <c r="P2376" s="45" t="str">
        <f t="shared" si="29"/>
        <v/>
      </c>
    </row>
    <row r="2377" spans="1:16" ht="17.25">
      <c r="A2377" s="276" t="s">
        <v>7906</v>
      </c>
      <c r="B2377" s="277">
        <v>2011</v>
      </c>
      <c r="C2377" s="276" t="s">
        <v>7907</v>
      </c>
      <c r="D2377" s="277">
        <v>21679267</v>
      </c>
      <c r="E2377" s="278" t="str">
        <f t="shared" si="23"/>
        <v>https://pubmed.ncbi.nlm.nih.gov/21679267</v>
      </c>
      <c r="F2377" s="28" t="s">
        <v>511</v>
      </c>
      <c r="G2377" s="28" t="s">
        <v>7908</v>
      </c>
      <c r="J2377" s="346" t="str">
        <f t="shared" si="30"/>
        <v/>
      </c>
      <c r="K2377" s="28" t="str">
        <f t="shared" si="24"/>
        <v/>
      </c>
      <c r="L2377" s="45" t="str">
        <f t="shared" si="25"/>
        <v/>
      </c>
      <c r="M2377" s="45" t="str">
        <f t="shared" si="26"/>
        <v/>
      </c>
      <c r="N2377" s="45" t="str">
        <f t="shared" si="27"/>
        <v/>
      </c>
      <c r="O2377" s="45">
        <f t="shared" si="28"/>
        <v>1</v>
      </c>
      <c r="P2377" s="45" t="str">
        <f t="shared" si="29"/>
        <v/>
      </c>
    </row>
    <row r="2378" spans="1:16" ht="17.25">
      <c r="A2378" s="276" t="s">
        <v>7909</v>
      </c>
      <c r="B2378" s="277">
        <v>2018</v>
      </c>
      <c r="C2378" s="276" t="s">
        <v>7910</v>
      </c>
      <c r="D2378" s="277">
        <v>30292578</v>
      </c>
      <c r="E2378" s="278" t="str">
        <f t="shared" si="23"/>
        <v>https://pubmed.ncbi.nlm.nih.gov/30292578</v>
      </c>
      <c r="F2378" s="28" t="s">
        <v>511</v>
      </c>
      <c r="G2378" s="28" t="s">
        <v>5157</v>
      </c>
      <c r="J2378" s="346" t="str">
        <f t="shared" si="30"/>
        <v/>
      </c>
      <c r="K2378" s="28" t="str">
        <f t="shared" si="24"/>
        <v/>
      </c>
      <c r="L2378" s="45" t="str">
        <f t="shared" si="25"/>
        <v/>
      </c>
      <c r="M2378" s="45" t="str">
        <f t="shared" si="26"/>
        <v/>
      </c>
      <c r="N2378" s="45">
        <f t="shared" si="27"/>
        <v>1</v>
      </c>
      <c r="O2378" s="45" t="str">
        <f t="shared" si="28"/>
        <v/>
      </c>
      <c r="P2378" s="45" t="str">
        <f t="shared" si="29"/>
        <v/>
      </c>
    </row>
    <row r="2379" spans="1:16" ht="17.25">
      <c r="A2379" s="276" t="s">
        <v>7911</v>
      </c>
      <c r="B2379" s="277">
        <v>2016</v>
      </c>
      <c r="C2379" s="276" t="s">
        <v>7912</v>
      </c>
      <c r="D2379" s="277">
        <v>26865723</v>
      </c>
      <c r="E2379" s="278" t="str">
        <f t="shared" si="23"/>
        <v>https://pubmed.ncbi.nlm.nih.gov/26865723</v>
      </c>
      <c r="F2379" s="28" t="s">
        <v>511</v>
      </c>
      <c r="G2379" s="28" t="s">
        <v>7913</v>
      </c>
      <c r="J2379" s="346" t="str">
        <f t="shared" si="30"/>
        <v/>
      </c>
      <c r="K2379" s="28" t="str">
        <f t="shared" si="24"/>
        <v/>
      </c>
      <c r="L2379" s="45" t="str">
        <f t="shared" si="25"/>
        <v/>
      </c>
      <c r="M2379" s="45" t="str">
        <f t="shared" si="26"/>
        <v/>
      </c>
      <c r="N2379" s="45" t="str">
        <f t="shared" si="27"/>
        <v/>
      </c>
      <c r="O2379" s="45">
        <f t="shared" si="28"/>
        <v>1</v>
      </c>
      <c r="P2379" s="45" t="str">
        <f t="shared" si="29"/>
        <v/>
      </c>
    </row>
    <row r="2380" spans="1:16" ht="17.25">
      <c r="A2380" s="276" t="s">
        <v>7914</v>
      </c>
      <c r="B2380" s="277">
        <v>2013</v>
      </c>
      <c r="C2380" s="276" t="s">
        <v>7915</v>
      </c>
      <c r="D2380" s="277">
        <v>23533318</v>
      </c>
      <c r="E2380" s="278" t="str">
        <f t="shared" si="23"/>
        <v>https://pubmed.ncbi.nlm.nih.gov/23533318</v>
      </c>
      <c r="F2380" s="28" t="s">
        <v>511</v>
      </c>
      <c r="G2380" s="28" t="s">
        <v>4744</v>
      </c>
      <c r="J2380" s="346" t="str">
        <f t="shared" si="30"/>
        <v/>
      </c>
      <c r="K2380" s="28" t="str">
        <f t="shared" si="24"/>
        <v/>
      </c>
      <c r="L2380" s="45" t="str">
        <f t="shared" si="25"/>
        <v/>
      </c>
      <c r="M2380" s="45" t="str">
        <f t="shared" si="26"/>
        <v/>
      </c>
      <c r="N2380" s="45">
        <f t="shared" si="27"/>
        <v>1</v>
      </c>
      <c r="O2380" s="45" t="str">
        <f t="shared" si="28"/>
        <v/>
      </c>
      <c r="P2380" s="45" t="str">
        <f t="shared" si="29"/>
        <v/>
      </c>
    </row>
    <row r="2381" spans="1:16" ht="17.25">
      <c r="A2381" s="276" t="s">
        <v>7916</v>
      </c>
      <c r="B2381" s="277">
        <v>2003</v>
      </c>
      <c r="C2381" s="276"/>
      <c r="D2381" s="277">
        <v>12889718</v>
      </c>
      <c r="E2381" s="278" t="str">
        <f t="shared" si="23"/>
        <v>https://pubmed.ncbi.nlm.nih.gov/12889718</v>
      </c>
      <c r="F2381" s="28" t="s">
        <v>511</v>
      </c>
      <c r="G2381" s="28" t="s">
        <v>4744</v>
      </c>
      <c r="J2381" s="346" t="str">
        <f t="shared" si="30"/>
        <v/>
      </c>
      <c r="K2381" s="28" t="str">
        <f t="shared" si="24"/>
        <v/>
      </c>
      <c r="L2381" s="45" t="str">
        <f t="shared" si="25"/>
        <v/>
      </c>
      <c r="M2381" s="45" t="str">
        <f t="shared" si="26"/>
        <v/>
      </c>
      <c r="N2381" s="45">
        <f t="shared" si="27"/>
        <v>1</v>
      </c>
      <c r="O2381" s="45" t="str">
        <f t="shared" si="28"/>
        <v/>
      </c>
      <c r="P2381" s="45" t="str">
        <f t="shared" si="29"/>
        <v/>
      </c>
    </row>
    <row r="2382" spans="1:16" ht="17.25">
      <c r="A2382" s="276" t="s">
        <v>7917</v>
      </c>
      <c r="B2382" s="277">
        <v>2014</v>
      </c>
      <c r="C2382" s="276" t="s">
        <v>7918</v>
      </c>
      <c r="D2382" s="277">
        <v>24487591</v>
      </c>
      <c r="E2382" s="278" t="str">
        <f t="shared" si="23"/>
        <v>https://pubmed.ncbi.nlm.nih.gov/24487591</v>
      </c>
      <c r="F2382" s="28" t="s">
        <v>511</v>
      </c>
      <c r="G2382" s="28" t="s">
        <v>7919</v>
      </c>
      <c r="J2382" s="346" t="str">
        <f t="shared" si="30"/>
        <v/>
      </c>
      <c r="K2382" s="28" t="str">
        <f t="shared" si="24"/>
        <v/>
      </c>
      <c r="L2382" s="45" t="str">
        <f t="shared" si="25"/>
        <v/>
      </c>
      <c r="M2382" s="45" t="str">
        <f t="shared" si="26"/>
        <v/>
      </c>
      <c r="N2382" s="45">
        <f t="shared" si="27"/>
        <v>1</v>
      </c>
      <c r="O2382" s="45" t="str">
        <f t="shared" si="28"/>
        <v/>
      </c>
      <c r="P2382" s="45" t="str">
        <f t="shared" si="29"/>
        <v/>
      </c>
    </row>
    <row r="2383" spans="1:16" ht="17.25">
      <c r="A2383" s="276" t="s">
        <v>7920</v>
      </c>
      <c r="B2383" s="277">
        <v>2015</v>
      </c>
      <c r="C2383" s="276"/>
      <c r="D2383" s="277">
        <v>26193126</v>
      </c>
      <c r="E2383" s="278" t="str">
        <f t="shared" si="23"/>
        <v>https://pubmed.ncbi.nlm.nih.gov/26193126</v>
      </c>
      <c r="F2383" s="28" t="s">
        <v>511</v>
      </c>
      <c r="G2383" s="28" t="s">
        <v>4744</v>
      </c>
      <c r="J2383" s="346" t="str">
        <f t="shared" si="30"/>
        <v/>
      </c>
      <c r="K2383" s="28" t="str">
        <f t="shared" si="24"/>
        <v/>
      </c>
      <c r="L2383" s="45" t="str">
        <f t="shared" si="25"/>
        <v/>
      </c>
      <c r="M2383" s="45" t="str">
        <f t="shared" si="26"/>
        <v/>
      </c>
      <c r="N2383" s="45">
        <f t="shared" si="27"/>
        <v>1</v>
      </c>
      <c r="O2383" s="45" t="str">
        <f t="shared" si="28"/>
        <v/>
      </c>
      <c r="P2383" s="45" t="str">
        <f t="shared" si="29"/>
        <v/>
      </c>
    </row>
    <row r="2384" spans="1:16" ht="17.25">
      <c r="A2384" s="276" t="s">
        <v>7921</v>
      </c>
      <c r="B2384" s="277">
        <v>2018</v>
      </c>
      <c r="C2384" s="276" t="s">
        <v>7922</v>
      </c>
      <c r="D2384" s="277">
        <v>30045416</v>
      </c>
      <c r="E2384" s="278" t="str">
        <f t="shared" si="23"/>
        <v>https://pubmed.ncbi.nlm.nih.gov/30045416</v>
      </c>
      <c r="F2384" s="28" t="s">
        <v>511</v>
      </c>
      <c r="G2384" s="28" t="s">
        <v>4592</v>
      </c>
      <c r="J2384" s="346">
        <f t="shared" si="30"/>
        <v>1</v>
      </c>
      <c r="K2384" s="28" t="str">
        <f t="shared" si="24"/>
        <v/>
      </c>
      <c r="L2384" s="45" t="str">
        <f t="shared" si="25"/>
        <v/>
      </c>
      <c r="M2384" s="45" t="str">
        <f t="shared" si="26"/>
        <v/>
      </c>
      <c r="N2384" s="45" t="str">
        <f t="shared" si="27"/>
        <v/>
      </c>
      <c r="O2384" s="45" t="str">
        <f t="shared" si="28"/>
        <v/>
      </c>
      <c r="P2384" s="45" t="str">
        <f t="shared" si="29"/>
        <v/>
      </c>
    </row>
    <row r="2385" spans="1:16" ht="17.25">
      <c r="A2385" s="276" t="s">
        <v>7923</v>
      </c>
      <c r="B2385" s="277">
        <v>2016</v>
      </c>
      <c r="C2385" s="276"/>
      <c r="D2385" s="277">
        <v>26675837</v>
      </c>
      <c r="E2385" s="278" t="str">
        <f t="shared" si="23"/>
        <v>https://pubmed.ncbi.nlm.nih.gov/26675837</v>
      </c>
      <c r="F2385" s="28" t="s">
        <v>511</v>
      </c>
      <c r="G2385" s="28" t="s">
        <v>4592</v>
      </c>
      <c r="J2385" s="346">
        <f t="shared" si="30"/>
        <v>1</v>
      </c>
      <c r="K2385" s="28" t="str">
        <f t="shared" si="24"/>
        <v/>
      </c>
      <c r="L2385" s="45" t="str">
        <f t="shared" si="25"/>
        <v/>
      </c>
      <c r="M2385" s="45" t="str">
        <f t="shared" si="26"/>
        <v/>
      </c>
      <c r="N2385" s="45" t="str">
        <f t="shared" si="27"/>
        <v/>
      </c>
      <c r="O2385" s="45" t="str">
        <f t="shared" si="28"/>
        <v/>
      </c>
      <c r="P2385" s="45" t="str">
        <f t="shared" si="29"/>
        <v/>
      </c>
    </row>
    <row r="2386" spans="1:16" ht="17.25">
      <c r="A2386" s="276" t="s">
        <v>7924</v>
      </c>
      <c r="B2386" s="277">
        <v>2012</v>
      </c>
      <c r="C2386" s="276" t="s">
        <v>7925</v>
      </c>
      <c r="D2386" s="277">
        <v>22366350</v>
      </c>
      <c r="E2386" s="278" t="str">
        <f t="shared" si="23"/>
        <v>https://pubmed.ncbi.nlm.nih.gov/22366350</v>
      </c>
      <c r="F2386" s="28" t="s">
        <v>511</v>
      </c>
      <c r="G2386" s="28" t="s">
        <v>7926</v>
      </c>
      <c r="J2386" s="346" t="str">
        <f t="shared" si="30"/>
        <v/>
      </c>
      <c r="K2386" s="28" t="str">
        <f t="shared" si="24"/>
        <v/>
      </c>
      <c r="L2386" s="45" t="str">
        <f t="shared" si="25"/>
        <v/>
      </c>
      <c r="M2386" s="45" t="str">
        <f t="shared" si="26"/>
        <v/>
      </c>
      <c r="N2386" s="45" t="str">
        <f t="shared" si="27"/>
        <v/>
      </c>
      <c r="O2386" s="45">
        <f t="shared" si="28"/>
        <v>1</v>
      </c>
      <c r="P2386" s="45" t="str">
        <f t="shared" si="29"/>
        <v/>
      </c>
    </row>
    <row r="2387" spans="1:16" ht="17.25">
      <c r="A2387" s="276" t="s">
        <v>7927</v>
      </c>
      <c r="B2387" s="277">
        <v>2008</v>
      </c>
      <c r="C2387" s="276"/>
      <c r="D2387" s="277">
        <v>18575220</v>
      </c>
      <c r="E2387" s="278" t="str">
        <f t="shared" si="23"/>
        <v>https://pubmed.ncbi.nlm.nih.gov/18575220</v>
      </c>
      <c r="F2387" s="28" t="s">
        <v>511</v>
      </c>
      <c r="G2387" s="28" t="s">
        <v>4867</v>
      </c>
      <c r="J2387" s="346" t="str">
        <f t="shared" si="30"/>
        <v/>
      </c>
      <c r="K2387" s="28" t="str">
        <f t="shared" si="24"/>
        <v/>
      </c>
      <c r="L2387" s="45" t="str">
        <f t="shared" si="25"/>
        <v/>
      </c>
      <c r="M2387" s="45" t="str">
        <f t="shared" si="26"/>
        <v/>
      </c>
      <c r="N2387" s="45">
        <f t="shared" si="27"/>
        <v>1</v>
      </c>
      <c r="O2387" s="45" t="str">
        <f t="shared" si="28"/>
        <v/>
      </c>
      <c r="P2387" s="45" t="str">
        <f t="shared" si="29"/>
        <v/>
      </c>
    </row>
    <row r="2388" spans="1:16" ht="17.25">
      <c r="A2388" s="276" t="s">
        <v>7928</v>
      </c>
      <c r="B2388" s="277">
        <v>2010</v>
      </c>
      <c r="C2388" s="276" t="s">
        <v>7929</v>
      </c>
      <c r="D2388" s="277">
        <v>19731330</v>
      </c>
      <c r="E2388" s="278" t="str">
        <f t="shared" si="23"/>
        <v>https://pubmed.ncbi.nlm.nih.gov/19731330</v>
      </c>
      <c r="F2388" s="28" t="s">
        <v>511</v>
      </c>
      <c r="G2388" s="28" t="s">
        <v>4744</v>
      </c>
      <c r="J2388" s="346" t="str">
        <f t="shared" si="30"/>
        <v/>
      </c>
      <c r="K2388" s="28" t="str">
        <f t="shared" si="24"/>
        <v/>
      </c>
      <c r="L2388" s="45" t="str">
        <f t="shared" si="25"/>
        <v/>
      </c>
      <c r="M2388" s="45" t="str">
        <f t="shared" si="26"/>
        <v/>
      </c>
      <c r="N2388" s="45">
        <f t="shared" si="27"/>
        <v>1</v>
      </c>
      <c r="O2388" s="45" t="str">
        <f t="shared" si="28"/>
        <v/>
      </c>
      <c r="P2388" s="45" t="str">
        <f t="shared" si="29"/>
        <v/>
      </c>
    </row>
    <row r="2389" spans="1:16" ht="17.25">
      <c r="A2389" s="276" t="s">
        <v>7930</v>
      </c>
      <c r="B2389" s="277">
        <v>2018</v>
      </c>
      <c r="C2389" s="276"/>
      <c r="D2389" s="277">
        <v>30064057</v>
      </c>
      <c r="E2389" s="278" t="str">
        <f t="shared" si="23"/>
        <v>https://pubmed.ncbi.nlm.nih.gov/30064057</v>
      </c>
      <c r="F2389" s="28" t="s">
        <v>511</v>
      </c>
      <c r="G2389" s="28" t="s">
        <v>4592</v>
      </c>
      <c r="J2389" s="346">
        <f t="shared" si="30"/>
        <v>1</v>
      </c>
      <c r="K2389" s="28" t="str">
        <f t="shared" si="24"/>
        <v/>
      </c>
      <c r="L2389" s="45" t="str">
        <f t="shared" si="25"/>
        <v/>
      </c>
      <c r="M2389" s="45" t="str">
        <f t="shared" si="26"/>
        <v/>
      </c>
      <c r="N2389" s="45" t="str">
        <f t="shared" si="27"/>
        <v/>
      </c>
      <c r="O2389" s="45" t="str">
        <f t="shared" si="28"/>
        <v/>
      </c>
      <c r="P2389" s="45" t="str">
        <f t="shared" si="29"/>
        <v/>
      </c>
    </row>
    <row r="2390" spans="1:16" ht="17.25">
      <c r="A2390" s="276" t="s">
        <v>7931</v>
      </c>
      <c r="B2390" s="277">
        <v>2005</v>
      </c>
      <c r="C2390" s="276"/>
      <c r="D2390" s="277">
        <v>16184030</v>
      </c>
      <c r="E2390" s="278" t="str">
        <f t="shared" si="23"/>
        <v>https://pubmed.ncbi.nlm.nih.gov/16184030</v>
      </c>
      <c r="F2390" s="28" t="s">
        <v>511</v>
      </c>
      <c r="G2390" s="28" t="s">
        <v>4867</v>
      </c>
      <c r="J2390" s="346" t="str">
        <f t="shared" si="30"/>
        <v/>
      </c>
      <c r="K2390" s="28" t="str">
        <f t="shared" si="24"/>
        <v/>
      </c>
      <c r="L2390" s="45" t="str">
        <f t="shared" si="25"/>
        <v/>
      </c>
      <c r="M2390" s="45" t="str">
        <f t="shared" si="26"/>
        <v/>
      </c>
      <c r="N2390" s="45">
        <f t="shared" si="27"/>
        <v>1</v>
      </c>
      <c r="O2390" s="45" t="str">
        <f t="shared" si="28"/>
        <v/>
      </c>
      <c r="P2390" s="45" t="str">
        <f t="shared" si="29"/>
        <v/>
      </c>
    </row>
    <row r="2391" spans="1:16" ht="17.25">
      <c r="A2391" s="276" t="s">
        <v>7932</v>
      </c>
      <c r="B2391" s="277">
        <v>2019</v>
      </c>
      <c r="C2391" s="276" t="s">
        <v>7933</v>
      </c>
      <c r="D2391" s="277">
        <v>31038649</v>
      </c>
      <c r="E2391" s="278" t="str">
        <f t="shared" si="23"/>
        <v>https://pubmed.ncbi.nlm.nih.gov/31038649</v>
      </c>
      <c r="F2391" s="28" t="s">
        <v>511</v>
      </c>
      <c r="G2391" s="28" t="s">
        <v>4592</v>
      </c>
      <c r="J2391" s="346">
        <f t="shared" si="30"/>
        <v>1</v>
      </c>
      <c r="K2391" s="28" t="str">
        <f t="shared" si="24"/>
        <v/>
      </c>
      <c r="L2391" s="45" t="str">
        <f t="shared" si="25"/>
        <v/>
      </c>
      <c r="M2391" s="45" t="str">
        <f t="shared" si="26"/>
        <v/>
      </c>
      <c r="N2391" s="45" t="str">
        <f t="shared" si="27"/>
        <v/>
      </c>
      <c r="O2391" s="45" t="str">
        <f t="shared" si="28"/>
        <v/>
      </c>
      <c r="P2391" s="45" t="str">
        <f t="shared" si="29"/>
        <v/>
      </c>
    </row>
    <row r="2392" spans="1:16" ht="17.25">
      <c r="A2392" s="276" t="s">
        <v>7934</v>
      </c>
      <c r="B2392" s="277">
        <v>2016</v>
      </c>
      <c r="C2392" s="276"/>
      <c r="D2392" s="277">
        <v>26811108</v>
      </c>
      <c r="E2392" s="278" t="str">
        <f t="shared" si="23"/>
        <v>https://pubmed.ncbi.nlm.nih.gov/26811108</v>
      </c>
      <c r="F2392" s="28" t="s">
        <v>511</v>
      </c>
      <c r="G2392" s="28" t="s">
        <v>6220</v>
      </c>
      <c r="J2392" s="346">
        <f t="shared" si="30"/>
        <v>1</v>
      </c>
      <c r="K2392" s="28" t="str">
        <f t="shared" si="24"/>
        <v/>
      </c>
      <c r="L2392" s="45" t="str">
        <f t="shared" si="25"/>
        <v/>
      </c>
      <c r="M2392" s="45" t="str">
        <f t="shared" si="26"/>
        <v/>
      </c>
      <c r="N2392" s="45" t="str">
        <f t="shared" si="27"/>
        <v/>
      </c>
      <c r="O2392" s="45" t="str">
        <f t="shared" si="28"/>
        <v/>
      </c>
      <c r="P2392" s="45" t="str">
        <f t="shared" si="29"/>
        <v/>
      </c>
    </row>
    <row r="2393" spans="1:16" ht="17.25">
      <c r="A2393" s="276" t="s">
        <v>7935</v>
      </c>
      <c r="B2393" s="277">
        <v>2017</v>
      </c>
      <c r="C2393" s="276" t="s">
        <v>7936</v>
      </c>
      <c r="D2393" s="277">
        <v>28466147</v>
      </c>
      <c r="E2393" s="278" t="str">
        <f t="shared" si="23"/>
        <v>https://pubmed.ncbi.nlm.nih.gov/28466147</v>
      </c>
      <c r="F2393" s="28" t="s">
        <v>511</v>
      </c>
      <c r="G2393" s="28" t="s">
        <v>7937</v>
      </c>
      <c r="J2393" s="346">
        <f t="shared" si="30"/>
        <v>1</v>
      </c>
      <c r="K2393" s="28" t="str">
        <f t="shared" si="24"/>
        <v/>
      </c>
      <c r="L2393" s="45" t="str">
        <f t="shared" si="25"/>
        <v/>
      </c>
      <c r="M2393" s="45" t="str">
        <f t="shared" si="26"/>
        <v/>
      </c>
      <c r="N2393" s="45" t="str">
        <f t="shared" si="27"/>
        <v/>
      </c>
      <c r="O2393" s="45" t="str">
        <f t="shared" si="28"/>
        <v/>
      </c>
      <c r="P2393" s="45" t="str">
        <f t="shared" si="29"/>
        <v/>
      </c>
    </row>
    <row r="2394" spans="1:16" ht="17.25">
      <c r="A2394" s="276" t="s">
        <v>7938</v>
      </c>
      <c r="B2394" s="277">
        <v>2009</v>
      </c>
      <c r="C2394" s="276"/>
      <c r="D2394" s="277">
        <v>19404150</v>
      </c>
      <c r="E2394" s="278" t="str">
        <f t="shared" si="23"/>
        <v>https://pubmed.ncbi.nlm.nih.gov/19404150</v>
      </c>
      <c r="F2394" s="28" t="s">
        <v>511</v>
      </c>
      <c r="G2394" s="28" t="s">
        <v>5157</v>
      </c>
      <c r="J2394" s="346" t="str">
        <f t="shared" si="30"/>
        <v/>
      </c>
      <c r="K2394" s="28" t="str">
        <f t="shared" si="24"/>
        <v/>
      </c>
      <c r="L2394" s="45" t="str">
        <f t="shared" si="25"/>
        <v/>
      </c>
      <c r="M2394" s="45" t="str">
        <f t="shared" si="26"/>
        <v/>
      </c>
      <c r="N2394" s="45">
        <f t="shared" si="27"/>
        <v>1</v>
      </c>
      <c r="O2394" s="45" t="str">
        <f t="shared" si="28"/>
        <v/>
      </c>
      <c r="P2394" s="45" t="str">
        <f t="shared" si="29"/>
        <v/>
      </c>
    </row>
    <row r="2395" spans="1:16" ht="17.25">
      <c r="A2395" s="276" t="s">
        <v>7939</v>
      </c>
      <c r="B2395" s="277">
        <v>2017</v>
      </c>
      <c r="C2395" s="276"/>
      <c r="D2395" s="277">
        <v>27590399</v>
      </c>
      <c r="E2395" s="278" t="str">
        <f t="shared" si="23"/>
        <v>https://pubmed.ncbi.nlm.nih.gov/27590399</v>
      </c>
      <c r="F2395" s="28" t="s">
        <v>511</v>
      </c>
      <c r="G2395" s="28" t="s">
        <v>6220</v>
      </c>
      <c r="J2395" s="346">
        <f t="shared" si="30"/>
        <v>1</v>
      </c>
      <c r="K2395" s="28" t="str">
        <f t="shared" si="24"/>
        <v/>
      </c>
      <c r="L2395" s="45" t="str">
        <f t="shared" si="25"/>
        <v/>
      </c>
      <c r="M2395" s="45" t="str">
        <f t="shared" si="26"/>
        <v/>
      </c>
      <c r="N2395" s="45" t="str">
        <f t="shared" si="27"/>
        <v/>
      </c>
      <c r="O2395" s="45" t="str">
        <f t="shared" si="28"/>
        <v/>
      </c>
      <c r="P2395" s="45" t="str">
        <f t="shared" si="29"/>
        <v/>
      </c>
    </row>
    <row r="2396" spans="1:16" ht="17.25">
      <c r="A2396" s="276" t="s">
        <v>7940</v>
      </c>
      <c r="B2396" s="277">
        <v>2004</v>
      </c>
      <c r="C2396" s="276"/>
      <c r="D2396" s="277">
        <v>15019871</v>
      </c>
      <c r="E2396" s="278" t="str">
        <f t="shared" si="23"/>
        <v>https://pubmed.ncbi.nlm.nih.gov/15019871</v>
      </c>
      <c r="F2396" s="28" t="s">
        <v>511</v>
      </c>
      <c r="G2396" s="28" t="s">
        <v>7662</v>
      </c>
      <c r="J2396" s="346" t="str">
        <f t="shared" si="30"/>
        <v/>
      </c>
      <c r="K2396" s="28" t="str">
        <f t="shared" si="24"/>
        <v/>
      </c>
      <c r="L2396" s="45" t="str">
        <f t="shared" si="25"/>
        <v/>
      </c>
      <c r="M2396" s="45" t="str">
        <f t="shared" si="26"/>
        <v/>
      </c>
      <c r="N2396" s="45">
        <f t="shared" si="27"/>
        <v>1</v>
      </c>
      <c r="O2396" s="45" t="str">
        <f t="shared" si="28"/>
        <v/>
      </c>
      <c r="P2396" s="45" t="str">
        <f t="shared" si="29"/>
        <v/>
      </c>
    </row>
    <row r="2397" spans="1:16" ht="17.25">
      <c r="A2397" s="276" t="s">
        <v>7941</v>
      </c>
      <c r="B2397" s="277">
        <v>2013</v>
      </c>
      <c r="C2397" s="276"/>
      <c r="D2397" s="277">
        <v>23642326</v>
      </c>
      <c r="E2397" s="278" t="str">
        <f t="shared" si="23"/>
        <v>https://pubmed.ncbi.nlm.nih.gov/23642326</v>
      </c>
      <c r="F2397" s="28" t="s">
        <v>511</v>
      </c>
      <c r="G2397" s="28" t="s">
        <v>7942</v>
      </c>
      <c r="J2397" s="346" t="str">
        <f t="shared" si="30"/>
        <v/>
      </c>
      <c r="K2397" s="28" t="str">
        <f t="shared" si="24"/>
        <v/>
      </c>
      <c r="L2397" s="45" t="str">
        <f t="shared" si="25"/>
        <v/>
      </c>
      <c r="M2397" s="45" t="str">
        <f t="shared" si="26"/>
        <v/>
      </c>
      <c r="N2397" s="45">
        <f t="shared" si="27"/>
        <v>1</v>
      </c>
      <c r="O2397" s="45" t="str">
        <f t="shared" si="28"/>
        <v/>
      </c>
      <c r="P2397" s="45" t="str">
        <f t="shared" si="29"/>
        <v/>
      </c>
    </row>
    <row r="2398" spans="1:16" ht="17.25">
      <c r="A2398" s="276" t="s">
        <v>7943</v>
      </c>
      <c r="B2398" s="277">
        <v>2017</v>
      </c>
      <c r="C2398" s="276"/>
      <c r="D2398" s="277">
        <v>28027521</v>
      </c>
      <c r="E2398" s="278" t="str">
        <f t="shared" si="23"/>
        <v>https://pubmed.ncbi.nlm.nih.gov/28027521</v>
      </c>
      <c r="F2398" s="28" t="s">
        <v>511</v>
      </c>
      <c r="G2398" s="28" t="s">
        <v>4867</v>
      </c>
      <c r="J2398" s="346" t="str">
        <f t="shared" si="30"/>
        <v/>
      </c>
      <c r="K2398" s="28" t="str">
        <f t="shared" si="24"/>
        <v/>
      </c>
      <c r="L2398" s="45" t="str">
        <f t="shared" si="25"/>
        <v/>
      </c>
      <c r="M2398" s="45" t="str">
        <f t="shared" si="26"/>
        <v/>
      </c>
      <c r="N2398" s="45">
        <f t="shared" si="27"/>
        <v>1</v>
      </c>
      <c r="O2398" s="45" t="str">
        <f t="shared" si="28"/>
        <v/>
      </c>
      <c r="P2398" s="45" t="str">
        <f t="shared" si="29"/>
        <v/>
      </c>
    </row>
    <row r="2399" spans="1:16" ht="17.25">
      <c r="A2399" s="276" t="s">
        <v>7944</v>
      </c>
      <c r="B2399" s="277">
        <v>2009</v>
      </c>
      <c r="C2399" s="276"/>
      <c r="D2399" s="277">
        <v>19841406</v>
      </c>
      <c r="E2399" s="278" t="str">
        <f t="shared" si="23"/>
        <v>https://pubmed.ncbi.nlm.nih.gov/19841406</v>
      </c>
      <c r="F2399" s="28" t="s">
        <v>511</v>
      </c>
      <c r="G2399" s="28" t="s">
        <v>4660</v>
      </c>
      <c r="J2399" s="346" t="str">
        <f t="shared" si="30"/>
        <v/>
      </c>
      <c r="K2399" s="28">
        <f t="shared" si="24"/>
        <v>1</v>
      </c>
      <c r="L2399" s="45" t="str">
        <f t="shared" si="25"/>
        <v/>
      </c>
      <c r="M2399" s="45" t="str">
        <f t="shared" si="26"/>
        <v/>
      </c>
      <c r="N2399" s="45" t="str">
        <f t="shared" si="27"/>
        <v/>
      </c>
      <c r="O2399" s="45" t="str">
        <f t="shared" si="28"/>
        <v/>
      </c>
      <c r="P2399" s="45" t="str">
        <f t="shared" si="29"/>
        <v/>
      </c>
    </row>
    <row r="2400" spans="1:16" ht="17.25">
      <c r="A2400" s="276" t="s">
        <v>7945</v>
      </c>
      <c r="B2400" s="277">
        <v>2012</v>
      </c>
      <c r="C2400" s="276" t="s">
        <v>7946</v>
      </c>
      <c r="D2400" s="277">
        <v>22291468</v>
      </c>
      <c r="E2400" s="278" t="str">
        <f t="shared" si="23"/>
        <v>https://pubmed.ncbi.nlm.nih.gov/22291468</v>
      </c>
      <c r="F2400" s="28" t="s">
        <v>511</v>
      </c>
      <c r="G2400" s="28" t="s">
        <v>4592</v>
      </c>
      <c r="J2400" s="346">
        <f t="shared" si="30"/>
        <v>1</v>
      </c>
      <c r="K2400" s="28" t="str">
        <f t="shared" si="24"/>
        <v/>
      </c>
      <c r="L2400" s="45" t="str">
        <f t="shared" si="25"/>
        <v/>
      </c>
      <c r="M2400" s="45" t="str">
        <f t="shared" si="26"/>
        <v/>
      </c>
      <c r="N2400" s="45" t="str">
        <f t="shared" si="27"/>
        <v/>
      </c>
      <c r="O2400" s="45" t="str">
        <f t="shared" si="28"/>
        <v/>
      </c>
      <c r="P2400" s="45" t="str">
        <f t="shared" si="29"/>
        <v/>
      </c>
    </row>
    <row r="2401" spans="1:16" ht="17.25">
      <c r="A2401" s="276" t="s">
        <v>7947</v>
      </c>
      <c r="B2401" s="277">
        <v>1992</v>
      </c>
      <c r="C2401" s="276"/>
      <c r="D2401" s="277">
        <v>1727803</v>
      </c>
      <c r="E2401" s="278" t="str">
        <f t="shared" si="23"/>
        <v>https://pubmed.ncbi.nlm.nih.gov/1727803</v>
      </c>
      <c r="F2401" s="28" t="s">
        <v>511</v>
      </c>
      <c r="G2401" s="28" t="s">
        <v>4744</v>
      </c>
      <c r="J2401" s="346" t="str">
        <f t="shared" si="30"/>
        <v/>
      </c>
      <c r="K2401" s="28" t="str">
        <f t="shared" si="24"/>
        <v/>
      </c>
      <c r="L2401" s="45" t="str">
        <f t="shared" si="25"/>
        <v/>
      </c>
      <c r="M2401" s="45" t="str">
        <f t="shared" si="26"/>
        <v/>
      </c>
      <c r="N2401" s="45">
        <f t="shared" si="27"/>
        <v>1</v>
      </c>
      <c r="O2401" s="45" t="str">
        <f t="shared" si="28"/>
        <v/>
      </c>
      <c r="P2401" s="45" t="str">
        <f t="shared" si="29"/>
        <v/>
      </c>
    </row>
    <row r="2402" spans="1:16" ht="17.25">
      <c r="A2402" s="276" t="s">
        <v>7948</v>
      </c>
      <c r="B2402" s="277">
        <v>2016</v>
      </c>
      <c r="C2402" s="276" t="s">
        <v>7949</v>
      </c>
      <c r="D2402" s="277">
        <v>26966058</v>
      </c>
      <c r="E2402" s="278" t="str">
        <f t="shared" si="23"/>
        <v>https://pubmed.ncbi.nlm.nih.gov/26966058</v>
      </c>
      <c r="F2402" s="28" t="s">
        <v>511</v>
      </c>
      <c r="G2402" s="28" t="s">
        <v>7950</v>
      </c>
      <c r="J2402" s="346" t="str">
        <f t="shared" si="30"/>
        <v/>
      </c>
      <c r="K2402" s="28" t="str">
        <f t="shared" si="24"/>
        <v/>
      </c>
      <c r="L2402" s="45" t="str">
        <f t="shared" si="25"/>
        <v/>
      </c>
      <c r="M2402" s="45" t="str">
        <f t="shared" si="26"/>
        <v/>
      </c>
      <c r="N2402" s="45">
        <f t="shared" si="27"/>
        <v>1</v>
      </c>
      <c r="O2402" s="45" t="str">
        <f t="shared" si="28"/>
        <v/>
      </c>
      <c r="P2402" s="45" t="str">
        <f t="shared" si="29"/>
        <v/>
      </c>
    </row>
    <row r="2403" spans="1:16" ht="17.25">
      <c r="A2403" s="276" t="s">
        <v>7951</v>
      </c>
      <c r="B2403" s="277">
        <v>2018</v>
      </c>
      <c r="C2403" s="276"/>
      <c r="D2403" s="277">
        <v>29399800</v>
      </c>
      <c r="E2403" s="278" t="str">
        <f t="shared" si="23"/>
        <v>https://pubmed.ncbi.nlm.nih.gov/29399800</v>
      </c>
      <c r="F2403" s="28" t="s">
        <v>511</v>
      </c>
      <c r="G2403" s="28" t="s">
        <v>5157</v>
      </c>
      <c r="J2403" s="346" t="str">
        <f t="shared" si="30"/>
        <v/>
      </c>
      <c r="K2403" s="28" t="str">
        <f t="shared" si="24"/>
        <v/>
      </c>
      <c r="L2403" s="45" t="str">
        <f t="shared" si="25"/>
        <v/>
      </c>
      <c r="M2403" s="45" t="str">
        <f t="shared" si="26"/>
        <v/>
      </c>
      <c r="N2403" s="45">
        <f t="shared" si="27"/>
        <v>1</v>
      </c>
      <c r="O2403" s="45" t="str">
        <f t="shared" si="28"/>
        <v/>
      </c>
      <c r="P2403" s="45" t="str">
        <f t="shared" si="29"/>
        <v/>
      </c>
    </row>
    <row r="2404" spans="1:16" ht="17.25">
      <c r="A2404" s="276" t="s">
        <v>7952</v>
      </c>
      <c r="B2404" s="277">
        <v>2012</v>
      </c>
      <c r="C2404" s="276" t="s">
        <v>7953</v>
      </c>
      <c r="D2404" s="277">
        <v>22715866</v>
      </c>
      <c r="E2404" s="278" t="str">
        <f t="shared" si="23"/>
        <v>https://pubmed.ncbi.nlm.nih.gov/22715866</v>
      </c>
      <c r="F2404" s="28" t="s">
        <v>511</v>
      </c>
      <c r="G2404" s="28" t="s">
        <v>7954</v>
      </c>
      <c r="J2404" s="346" t="str">
        <f t="shared" si="30"/>
        <v/>
      </c>
      <c r="K2404" s="28" t="str">
        <f t="shared" si="24"/>
        <v/>
      </c>
      <c r="L2404" s="45" t="str">
        <f t="shared" si="25"/>
        <v/>
      </c>
      <c r="M2404" s="45" t="str">
        <f t="shared" si="26"/>
        <v/>
      </c>
      <c r="N2404" s="45" t="str">
        <f t="shared" si="27"/>
        <v/>
      </c>
      <c r="O2404" s="45">
        <f t="shared" si="28"/>
        <v>1</v>
      </c>
      <c r="P2404" s="45" t="str">
        <f t="shared" si="29"/>
        <v/>
      </c>
    </row>
    <row r="2405" spans="1:16" ht="17.25">
      <c r="A2405" s="276" t="s">
        <v>7955</v>
      </c>
      <c r="B2405" s="277">
        <v>2012</v>
      </c>
      <c r="C2405" s="276" t="s">
        <v>7956</v>
      </c>
      <c r="D2405" s="277">
        <v>22642919</v>
      </c>
      <c r="E2405" s="278" t="str">
        <f t="shared" si="23"/>
        <v>https://pubmed.ncbi.nlm.nih.gov/22642919</v>
      </c>
      <c r="F2405" s="28" t="s">
        <v>511</v>
      </c>
      <c r="G2405" s="28" t="s">
        <v>4592</v>
      </c>
      <c r="J2405" s="346">
        <f t="shared" si="30"/>
        <v>1</v>
      </c>
      <c r="K2405" s="28" t="str">
        <f t="shared" si="24"/>
        <v/>
      </c>
      <c r="L2405" s="45" t="str">
        <f t="shared" si="25"/>
        <v/>
      </c>
      <c r="M2405" s="45" t="str">
        <f t="shared" si="26"/>
        <v/>
      </c>
      <c r="N2405" s="45" t="str">
        <f t="shared" si="27"/>
        <v/>
      </c>
      <c r="O2405" s="45" t="str">
        <f t="shared" si="28"/>
        <v/>
      </c>
      <c r="P2405" s="45" t="str">
        <f t="shared" si="29"/>
        <v/>
      </c>
    </row>
    <row r="2406" spans="1:16" ht="17.25">
      <c r="A2406" s="276" t="s">
        <v>7957</v>
      </c>
      <c r="B2406" s="277">
        <v>2021</v>
      </c>
      <c r="C2406" s="276"/>
      <c r="D2406" s="277">
        <v>33676886</v>
      </c>
      <c r="E2406" s="278" t="str">
        <f t="shared" si="23"/>
        <v>https://pubmed.ncbi.nlm.nih.gov/33676886</v>
      </c>
      <c r="F2406" s="28" t="s">
        <v>511</v>
      </c>
      <c r="G2406" s="28" t="s">
        <v>5157</v>
      </c>
      <c r="J2406" s="346" t="str">
        <f t="shared" si="30"/>
        <v/>
      </c>
      <c r="K2406" s="28" t="str">
        <f t="shared" si="24"/>
        <v/>
      </c>
      <c r="L2406" s="45" t="str">
        <f t="shared" si="25"/>
        <v/>
      </c>
      <c r="M2406" s="45" t="str">
        <f t="shared" si="26"/>
        <v/>
      </c>
      <c r="N2406" s="45">
        <f t="shared" si="27"/>
        <v>1</v>
      </c>
      <c r="O2406" s="45" t="str">
        <f t="shared" si="28"/>
        <v/>
      </c>
      <c r="P2406" s="45" t="str">
        <f t="shared" si="29"/>
        <v/>
      </c>
    </row>
    <row r="2407" spans="1:16" ht="17.25">
      <c r="A2407" s="276" t="s">
        <v>7958</v>
      </c>
      <c r="B2407" s="277">
        <v>2004</v>
      </c>
      <c r="C2407" s="276"/>
      <c r="D2407" s="277">
        <v>15038947</v>
      </c>
      <c r="E2407" s="278" t="str">
        <f t="shared" si="23"/>
        <v>https://pubmed.ncbi.nlm.nih.gov/15038947</v>
      </c>
      <c r="F2407" s="28" t="s">
        <v>511</v>
      </c>
      <c r="G2407" s="28" t="s">
        <v>4867</v>
      </c>
      <c r="J2407" s="346" t="str">
        <f t="shared" si="30"/>
        <v/>
      </c>
      <c r="K2407" s="28" t="str">
        <f t="shared" si="24"/>
        <v/>
      </c>
      <c r="L2407" s="45" t="str">
        <f t="shared" si="25"/>
        <v/>
      </c>
      <c r="M2407" s="45" t="str">
        <f t="shared" si="26"/>
        <v/>
      </c>
      <c r="N2407" s="45">
        <f t="shared" si="27"/>
        <v>1</v>
      </c>
      <c r="O2407" s="45" t="str">
        <f t="shared" si="28"/>
        <v/>
      </c>
      <c r="P2407" s="45" t="str">
        <f t="shared" si="29"/>
        <v/>
      </c>
    </row>
    <row r="2408" spans="1:16" ht="17.25">
      <c r="A2408" s="276" t="s">
        <v>7959</v>
      </c>
      <c r="B2408" s="277">
        <v>2009</v>
      </c>
      <c r="C2408" s="276" t="s">
        <v>7960</v>
      </c>
      <c r="D2408" s="277">
        <v>20030830</v>
      </c>
      <c r="E2408" s="278" t="str">
        <f t="shared" si="23"/>
        <v>https://pubmed.ncbi.nlm.nih.gov/20030830</v>
      </c>
      <c r="F2408" s="28" t="s">
        <v>511</v>
      </c>
      <c r="G2408" s="28" t="s">
        <v>5157</v>
      </c>
      <c r="J2408" s="346" t="str">
        <f t="shared" si="30"/>
        <v/>
      </c>
      <c r="K2408" s="28" t="str">
        <f t="shared" si="24"/>
        <v/>
      </c>
      <c r="L2408" s="45" t="str">
        <f t="shared" si="25"/>
        <v/>
      </c>
      <c r="M2408" s="45" t="str">
        <f t="shared" si="26"/>
        <v/>
      </c>
      <c r="N2408" s="45">
        <f t="shared" si="27"/>
        <v>1</v>
      </c>
      <c r="O2408" s="45" t="str">
        <f t="shared" si="28"/>
        <v/>
      </c>
      <c r="P2408" s="45" t="str">
        <f t="shared" si="29"/>
        <v/>
      </c>
    </row>
    <row r="2409" spans="1:16" ht="17.25">
      <c r="A2409" s="276" t="s">
        <v>7961</v>
      </c>
      <c r="B2409" s="277">
        <v>2020</v>
      </c>
      <c r="C2409" s="276" t="s">
        <v>7962</v>
      </c>
      <c r="D2409" s="277">
        <v>33239013</v>
      </c>
      <c r="E2409" s="278" t="str">
        <f t="shared" si="23"/>
        <v>https://pubmed.ncbi.nlm.nih.gov/33239013</v>
      </c>
      <c r="F2409" s="28" t="s">
        <v>511</v>
      </c>
      <c r="G2409" s="28" t="s">
        <v>4744</v>
      </c>
      <c r="I2409" s="28" t="s">
        <v>6625</v>
      </c>
      <c r="J2409" s="346" t="str">
        <f t="shared" si="30"/>
        <v/>
      </c>
      <c r="K2409" s="28" t="str">
        <f t="shared" si="24"/>
        <v/>
      </c>
      <c r="L2409" s="45" t="str">
        <f t="shared" si="25"/>
        <v/>
      </c>
      <c r="M2409" s="45" t="str">
        <f t="shared" si="26"/>
        <v/>
      </c>
      <c r="N2409" s="45">
        <f t="shared" si="27"/>
        <v>1</v>
      </c>
      <c r="O2409" s="45" t="str">
        <f t="shared" si="28"/>
        <v/>
      </c>
      <c r="P2409" s="45" t="str">
        <f t="shared" si="29"/>
        <v/>
      </c>
    </row>
    <row r="2410" spans="1:16" ht="17.25">
      <c r="A2410" s="276" t="s">
        <v>7961</v>
      </c>
      <c r="B2410" s="277">
        <v>2019</v>
      </c>
      <c r="C2410" s="276"/>
      <c r="D2410" s="277">
        <v>31483515</v>
      </c>
      <c r="E2410" s="278" t="str">
        <f t="shared" si="23"/>
        <v>https://pubmed.ncbi.nlm.nih.gov/31483515</v>
      </c>
      <c r="F2410" s="28" t="s">
        <v>511</v>
      </c>
      <c r="G2410" s="28" t="s">
        <v>7963</v>
      </c>
      <c r="J2410" s="346" t="str">
        <f t="shared" si="30"/>
        <v/>
      </c>
      <c r="K2410" s="28" t="str">
        <f t="shared" si="24"/>
        <v/>
      </c>
      <c r="L2410" s="45" t="str">
        <f t="shared" si="25"/>
        <v/>
      </c>
      <c r="M2410" s="45" t="str">
        <f t="shared" si="26"/>
        <v/>
      </c>
      <c r="N2410" s="45" t="str">
        <f t="shared" si="27"/>
        <v/>
      </c>
      <c r="O2410" s="45">
        <f t="shared" si="28"/>
        <v>1</v>
      </c>
      <c r="P2410" s="45" t="str">
        <f t="shared" si="29"/>
        <v/>
      </c>
    </row>
    <row r="2411" spans="1:16" ht="17.25">
      <c r="A2411" s="276" t="s">
        <v>7964</v>
      </c>
      <c r="B2411" s="277">
        <v>1998</v>
      </c>
      <c r="C2411" s="276"/>
      <c r="D2411" s="277">
        <v>9487210</v>
      </c>
      <c r="E2411" s="278" t="str">
        <f t="shared" si="23"/>
        <v>https://pubmed.ncbi.nlm.nih.gov/9487210</v>
      </c>
      <c r="F2411" s="28" t="s">
        <v>511</v>
      </c>
      <c r="G2411" s="28" t="s">
        <v>4744</v>
      </c>
      <c r="J2411" s="346" t="str">
        <f t="shared" si="30"/>
        <v/>
      </c>
      <c r="K2411" s="28" t="str">
        <f t="shared" si="24"/>
        <v/>
      </c>
      <c r="L2411" s="45" t="str">
        <f t="shared" si="25"/>
        <v/>
      </c>
      <c r="M2411" s="45" t="str">
        <f t="shared" si="26"/>
        <v/>
      </c>
      <c r="N2411" s="45">
        <f t="shared" si="27"/>
        <v>1</v>
      </c>
      <c r="O2411" s="45" t="str">
        <f t="shared" si="28"/>
        <v/>
      </c>
      <c r="P2411" s="45" t="str">
        <f t="shared" si="29"/>
        <v/>
      </c>
    </row>
    <row r="2412" spans="1:16" ht="17.25">
      <c r="A2412" s="276" t="s">
        <v>7965</v>
      </c>
      <c r="B2412" s="277">
        <v>1995</v>
      </c>
      <c r="C2412" s="276"/>
      <c r="D2412" s="277">
        <v>7849309</v>
      </c>
      <c r="E2412" s="278" t="str">
        <f t="shared" si="23"/>
        <v>https://pubmed.ncbi.nlm.nih.gov/7849309</v>
      </c>
      <c r="F2412" s="28" t="s">
        <v>511</v>
      </c>
      <c r="G2412" s="28" t="s">
        <v>4346</v>
      </c>
      <c r="J2412" s="346" t="str">
        <f t="shared" si="30"/>
        <v/>
      </c>
      <c r="K2412" s="28" t="str">
        <f t="shared" si="24"/>
        <v/>
      </c>
      <c r="L2412" s="45">
        <f t="shared" si="25"/>
        <v>1</v>
      </c>
      <c r="M2412" s="45" t="str">
        <f t="shared" si="26"/>
        <v/>
      </c>
      <c r="N2412" s="45" t="str">
        <f t="shared" si="27"/>
        <v/>
      </c>
      <c r="O2412" s="45" t="str">
        <f t="shared" si="28"/>
        <v/>
      </c>
      <c r="P2412" s="45" t="str">
        <f t="shared" si="29"/>
        <v/>
      </c>
    </row>
    <row r="2413" spans="1:16" ht="17.25">
      <c r="A2413" s="276" t="s">
        <v>7965</v>
      </c>
      <c r="B2413" s="277">
        <v>1995</v>
      </c>
      <c r="C2413" s="276"/>
      <c r="D2413" s="277">
        <v>7742543</v>
      </c>
      <c r="E2413" s="278" t="str">
        <f t="shared" si="23"/>
        <v>https://pubmed.ncbi.nlm.nih.gov/7742543</v>
      </c>
      <c r="F2413" s="28" t="s">
        <v>511</v>
      </c>
      <c r="G2413" s="28" t="s">
        <v>4744</v>
      </c>
      <c r="J2413" s="346" t="str">
        <f t="shared" si="30"/>
        <v/>
      </c>
      <c r="K2413" s="28" t="str">
        <f t="shared" si="24"/>
        <v/>
      </c>
      <c r="L2413" s="45" t="str">
        <f t="shared" si="25"/>
        <v/>
      </c>
      <c r="M2413" s="45" t="str">
        <f t="shared" si="26"/>
        <v/>
      </c>
      <c r="N2413" s="45">
        <f t="shared" si="27"/>
        <v>1</v>
      </c>
      <c r="O2413" s="45" t="str">
        <f t="shared" si="28"/>
        <v/>
      </c>
      <c r="P2413" s="45" t="str">
        <f t="shared" si="29"/>
        <v/>
      </c>
    </row>
    <row r="2414" spans="1:16" ht="17.25">
      <c r="A2414" s="276" t="s">
        <v>7966</v>
      </c>
      <c r="B2414" s="277">
        <v>2015</v>
      </c>
      <c r="C2414" s="276"/>
      <c r="D2414" s="277">
        <v>25552421</v>
      </c>
      <c r="E2414" s="278" t="str">
        <f t="shared" si="23"/>
        <v>https://pubmed.ncbi.nlm.nih.gov/25552421</v>
      </c>
      <c r="F2414" s="28" t="s">
        <v>511</v>
      </c>
      <c r="G2414" s="28" t="s">
        <v>5157</v>
      </c>
      <c r="J2414" s="346" t="str">
        <f t="shared" si="30"/>
        <v/>
      </c>
      <c r="K2414" s="28" t="str">
        <f t="shared" si="24"/>
        <v/>
      </c>
      <c r="L2414" s="45" t="str">
        <f t="shared" si="25"/>
        <v/>
      </c>
      <c r="M2414" s="45" t="str">
        <f t="shared" si="26"/>
        <v/>
      </c>
      <c r="N2414" s="45">
        <f t="shared" si="27"/>
        <v>1</v>
      </c>
      <c r="O2414" s="45" t="str">
        <f t="shared" si="28"/>
        <v/>
      </c>
      <c r="P2414" s="45" t="str">
        <f t="shared" si="29"/>
        <v/>
      </c>
    </row>
    <row r="2415" spans="1:16" ht="17.25">
      <c r="A2415" s="276" t="s">
        <v>7967</v>
      </c>
      <c r="B2415" s="277">
        <v>2019</v>
      </c>
      <c r="C2415" s="276"/>
      <c r="D2415" s="277">
        <v>30379749</v>
      </c>
      <c r="E2415" s="278" t="str">
        <f t="shared" si="23"/>
        <v>https://pubmed.ncbi.nlm.nih.gov/30379749</v>
      </c>
      <c r="F2415" s="28" t="s">
        <v>511</v>
      </c>
      <c r="G2415" s="28" t="s">
        <v>4867</v>
      </c>
      <c r="J2415" s="346" t="str">
        <f t="shared" si="30"/>
        <v/>
      </c>
      <c r="K2415" s="28" t="str">
        <f t="shared" si="24"/>
        <v/>
      </c>
      <c r="L2415" s="45" t="str">
        <f t="shared" si="25"/>
        <v/>
      </c>
      <c r="M2415" s="45" t="str">
        <f t="shared" si="26"/>
        <v/>
      </c>
      <c r="N2415" s="45">
        <f t="shared" si="27"/>
        <v>1</v>
      </c>
      <c r="O2415" s="45" t="str">
        <f t="shared" si="28"/>
        <v/>
      </c>
      <c r="P2415" s="45" t="str">
        <f t="shared" si="29"/>
        <v/>
      </c>
    </row>
    <row r="2416" spans="1:16" ht="17.25">
      <c r="A2416" s="276" t="s">
        <v>7968</v>
      </c>
      <c r="B2416" s="277">
        <v>2019</v>
      </c>
      <c r="C2416" s="276"/>
      <c r="D2416" s="277">
        <v>30972546</v>
      </c>
      <c r="E2416" s="278" t="str">
        <f t="shared" si="23"/>
        <v>https://pubmed.ncbi.nlm.nih.gov/30972546</v>
      </c>
      <c r="F2416" s="28" t="s">
        <v>511</v>
      </c>
      <c r="G2416" s="28" t="s">
        <v>6712</v>
      </c>
      <c r="J2416" s="346" t="str">
        <f t="shared" si="30"/>
        <v/>
      </c>
      <c r="K2416" s="28" t="str">
        <f t="shared" si="24"/>
        <v/>
      </c>
      <c r="L2416" s="45" t="str">
        <f t="shared" si="25"/>
        <v/>
      </c>
      <c r="M2416" s="45" t="str">
        <f t="shared" si="26"/>
        <v/>
      </c>
      <c r="N2416" s="45">
        <f t="shared" si="27"/>
        <v>1</v>
      </c>
      <c r="O2416" s="45" t="str">
        <f t="shared" si="28"/>
        <v/>
      </c>
      <c r="P2416" s="45" t="str">
        <f t="shared" si="29"/>
        <v/>
      </c>
    </row>
    <row r="2417" spans="1:16" ht="17.25">
      <c r="A2417" s="276" t="s">
        <v>7969</v>
      </c>
      <c r="B2417" s="277">
        <v>2017</v>
      </c>
      <c r="C2417" s="276" t="s">
        <v>7970</v>
      </c>
      <c r="D2417" s="277">
        <v>28322440</v>
      </c>
      <c r="E2417" s="278" t="str">
        <f t="shared" si="23"/>
        <v>https://pubmed.ncbi.nlm.nih.gov/28322440</v>
      </c>
      <c r="F2417" s="28" t="s">
        <v>511</v>
      </c>
      <c r="G2417" s="28" t="s">
        <v>4592</v>
      </c>
      <c r="J2417" s="346">
        <f t="shared" si="30"/>
        <v>1</v>
      </c>
      <c r="K2417" s="28" t="str">
        <f t="shared" si="24"/>
        <v/>
      </c>
      <c r="L2417" s="45" t="str">
        <f t="shared" si="25"/>
        <v/>
      </c>
      <c r="M2417" s="45" t="str">
        <f t="shared" si="26"/>
        <v/>
      </c>
      <c r="N2417" s="45" t="str">
        <f t="shared" si="27"/>
        <v/>
      </c>
      <c r="O2417" s="45" t="str">
        <f t="shared" si="28"/>
        <v/>
      </c>
      <c r="P2417" s="45" t="str">
        <f t="shared" si="29"/>
        <v/>
      </c>
    </row>
    <row r="2418" spans="1:16" ht="17.25">
      <c r="A2418" s="276" t="s">
        <v>7971</v>
      </c>
      <c r="B2418" s="277">
        <v>2012</v>
      </c>
      <c r="C2418" s="276"/>
      <c r="D2418" s="277">
        <v>22228415</v>
      </c>
      <c r="E2418" s="278" t="str">
        <f t="shared" si="23"/>
        <v>https://pubmed.ncbi.nlm.nih.gov/22228415</v>
      </c>
      <c r="F2418" s="28" t="s">
        <v>511</v>
      </c>
      <c r="G2418" s="28" t="s">
        <v>5157</v>
      </c>
      <c r="J2418" s="346" t="str">
        <f t="shared" si="30"/>
        <v/>
      </c>
      <c r="K2418" s="28" t="str">
        <f t="shared" si="24"/>
        <v/>
      </c>
      <c r="L2418" s="45" t="str">
        <f t="shared" si="25"/>
        <v/>
      </c>
      <c r="M2418" s="45" t="str">
        <f t="shared" si="26"/>
        <v/>
      </c>
      <c r="N2418" s="45">
        <f t="shared" si="27"/>
        <v>1</v>
      </c>
      <c r="O2418" s="45" t="str">
        <f t="shared" si="28"/>
        <v/>
      </c>
      <c r="P2418" s="45" t="str">
        <f t="shared" si="29"/>
        <v/>
      </c>
    </row>
    <row r="2419" spans="1:16" ht="17.25">
      <c r="A2419" s="276" t="s">
        <v>7972</v>
      </c>
      <c r="B2419" s="277">
        <v>2014</v>
      </c>
      <c r="C2419" s="276"/>
      <c r="D2419" s="277">
        <v>24330348</v>
      </c>
      <c r="E2419" s="278" t="str">
        <f t="shared" si="23"/>
        <v>https://pubmed.ncbi.nlm.nih.gov/24330348</v>
      </c>
      <c r="F2419" s="28" t="s">
        <v>511</v>
      </c>
      <c r="G2419" s="28" t="s">
        <v>4592</v>
      </c>
      <c r="J2419" s="346">
        <f t="shared" si="30"/>
        <v>1</v>
      </c>
      <c r="K2419" s="28" t="str">
        <f t="shared" si="24"/>
        <v/>
      </c>
      <c r="L2419" s="45" t="str">
        <f t="shared" si="25"/>
        <v/>
      </c>
      <c r="M2419" s="45" t="str">
        <f t="shared" si="26"/>
        <v/>
      </c>
      <c r="N2419" s="45" t="str">
        <f t="shared" si="27"/>
        <v/>
      </c>
      <c r="O2419" s="45" t="str">
        <f t="shared" si="28"/>
        <v/>
      </c>
      <c r="P2419" s="45" t="str">
        <f t="shared" si="29"/>
        <v/>
      </c>
    </row>
    <row r="2420" spans="1:16" ht="17.25">
      <c r="A2420" s="276" t="s">
        <v>7973</v>
      </c>
      <c r="B2420" s="277">
        <v>2006</v>
      </c>
      <c r="C2420" s="276"/>
      <c r="D2420" s="277">
        <v>16969761</v>
      </c>
      <c r="E2420" s="278" t="str">
        <f t="shared" si="23"/>
        <v>https://pubmed.ncbi.nlm.nih.gov/16969761</v>
      </c>
      <c r="F2420" s="28" t="s">
        <v>511</v>
      </c>
      <c r="G2420" s="28" t="s">
        <v>4592</v>
      </c>
      <c r="J2420" s="346">
        <f t="shared" si="30"/>
        <v>1</v>
      </c>
      <c r="K2420" s="28" t="str">
        <f t="shared" si="24"/>
        <v/>
      </c>
      <c r="L2420" s="45" t="str">
        <f t="shared" si="25"/>
        <v/>
      </c>
      <c r="M2420" s="45" t="str">
        <f t="shared" si="26"/>
        <v/>
      </c>
      <c r="N2420" s="45" t="str">
        <f t="shared" si="27"/>
        <v/>
      </c>
      <c r="O2420" s="45" t="str">
        <f t="shared" si="28"/>
        <v/>
      </c>
      <c r="P2420" s="45" t="str">
        <f t="shared" si="29"/>
        <v/>
      </c>
    </row>
    <row r="2421" spans="1:16" ht="17.25">
      <c r="A2421" s="276" t="s">
        <v>7974</v>
      </c>
      <c r="B2421" s="277">
        <v>2020</v>
      </c>
      <c r="C2421" s="276" t="s">
        <v>7975</v>
      </c>
      <c r="D2421" s="277">
        <v>32632956</v>
      </c>
      <c r="E2421" s="278" t="str">
        <f t="shared" si="23"/>
        <v>https://pubmed.ncbi.nlm.nih.gov/32632956</v>
      </c>
      <c r="F2421" s="28" t="s">
        <v>511</v>
      </c>
      <c r="G2421" s="28" t="s">
        <v>6220</v>
      </c>
      <c r="J2421" s="346">
        <f t="shared" si="30"/>
        <v>1</v>
      </c>
      <c r="K2421" s="28" t="str">
        <f t="shared" si="24"/>
        <v/>
      </c>
      <c r="L2421" s="45" t="str">
        <f t="shared" si="25"/>
        <v/>
      </c>
      <c r="M2421" s="45" t="str">
        <f t="shared" si="26"/>
        <v/>
      </c>
      <c r="N2421" s="45" t="str">
        <f t="shared" si="27"/>
        <v/>
      </c>
      <c r="O2421" s="45" t="str">
        <f t="shared" si="28"/>
        <v/>
      </c>
      <c r="P2421" s="45" t="str">
        <f t="shared" si="29"/>
        <v/>
      </c>
    </row>
    <row r="2422" spans="1:16" ht="17.25">
      <c r="A2422" s="276" t="s">
        <v>7976</v>
      </c>
      <c r="B2422" s="277">
        <v>2019</v>
      </c>
      <c r="C2422" s="276"/>
      <c r="D2422" s="277">
        <v>31521532</v>
      </c>
      <c r="E2422" s="278" t="str">
        <f t="shared" si="23"/>
        <v>https://pubmed.ncbi.nlm.nih.gov/31521532</v>
      </c>
      <c r="F2422" s="28" t="s">
        <v>511</v>
      </c>
      <c r="G2422" s="28" t="s">
        <v>5299</v>
      </c>
      <c r="J2422" s="346" t="str">
        <f t="shared" si="30"/>
        <v/>
      </c>
      <c r="K2422" s="28" t="str">
        <f t="shared" si="24"/>
        <v/>
      </c>
      <c r="L2422" s="45" t="str">
        <f t="shared" si="25"/>
        <v/>
      </c>
      <c r="M2422" s="45" t="str">
        <f t="shared" si="26"/>
        <v/>
      </c>
      <c r="N2422" s="45">
        <f t="shared" si="27"/>
        <v>1</v>
      </c>
      <c r="O2422" s="45" t="str">
        <f t="shared" si="28"/>
        <v/>
      </c>
      <c r="P2422" s="45" t="str">
        <f t="shared" si="29"/>
        <v/>
      </c>
    </row>
    <row r="2423" spans="1:16" ht="17.25">
      <c r="A2423" s="276" t="s">
        <v>7977</v>
      </c>
      <c r="B2423" s="277">
        <v>2020</v>
      </c>
      <c r="C2423" s="276" t="s">
        <v>7978</v>
      </c>
      <c r="D2423" s="277">
        <v>32317559</v>
      </c>
      <c r="E2423" s="278" t="str">
        <f t="shared" si="23"/>
        <v>https://pubmed.ncbi.nlm.nih.gov/32317559</v>
      </c>
      <c r="F2423" s="28" t="s">
        <v>511</v>
      </c>
      <c r="G2423" s="28" t="s">
        <v>7979</v>
      </c>
      <c r="J2423" s="346" t="str">
        <f t="shared" si="30"/>
        <v/>
      </c>
      <c r="K2423" s="28" t="str">
        <f t="shared" si="24"/>
        <v/>
      </c>
      <c r="L2423" s="45" t="str">
        <f t="shared" si="25"/>
        <v/>
      </c>
      <c r="M2423" s="45" t="str">
        <f t="shared" si="26"/>
        <v/>
      </c>
      <c r="N2423" s="45">
        <f t="shared" si="27"/>
        <v>1</v>
      </c>
      <c r="O2423" s="45" t="str">
        <f t="shared" si="28"/>
        <v/>
      </c>
      <c r="P2423" s="45" t="str">
        <f t="shared" si="29"/>
        <v/>
      </c>
    </row>
    <row r="2424" spans="1:16" ht="17.25">
      <c r="A2424" s="276" t="s">
        <v>7980</v>
      </c>
      <c r="B2424" s="277">
        <v>1999</v>
      </c>
      <c r="C2424" s="276"/>
      <c r="D2424" s="277">
        <v>10440399</v>
      </c>
      <c r="E2424" s="278" t="str">
        <f t="shared" si="23"/>
        <v>https://pubmed.ncbi.nlm.nih.gov/10440399</v>
      </c>
      <c r="F2424" s="28" t="s">
        <v>511</v>
      </c>
      <c r="G2424" s="28" t="s">
        <v>4744</v>
      </c>
      <c r="J2424" s="346" t="str">
        <f t="shared" si="30"/>
        <v/>
      </c>
      <c r="K2424" s="28" t="str">
        <f t="shared" si="24"/>
        <v/>
      </c>
      <c r="L2424" s="45" t="str">
        <f t="shared" si="25"/>
        <v/>
      </c>
      <c r="M2424" s="45" t="str">
        <f t="shared" si="26"/>
        <v/>
      </c>
      <c r="N2424" s="45">
        <f t="shared" si="27"/>
        <v>1</v>
      </c>
      <c r="O2424" s="45" t="str">
        <f t="shared" si="28"/>
        <v/>
      </c>
      <c r="P2424" s="45" t="str">
        <f t="shared" si="29"/>
        <v/>
      </c>
    </row>
    <row r="2425" spans="1:16" ht="17.25">
      <c r="A2425" s="276" t="s">
        <v>7981</v>
      </c>
      <c r="B2425" s="277">
        <v>2019</v>
      </c>
      <c r="C2425" s="276" t="s">
        <v>7982</v>
      </c>
      <c r="D2425" s="277">
        <v>30759101</v>
      </c>
      <c r="E2425" s="278" t="str">
        <f t="shared" si="23"/>
        <v>https://pubmed.ncbi.nlm.nih.gov/30759101</v>
      </c>
      <c r="F2425" s="28" t="s">
        <v>511</v>
      </c>
      <c r="G2425" s="28" t="s">
        <v>7983</v>
      </c>
      <c r="J2425" s="346" t="str">
        <f t="shared" si="30"/>
        <v/>
      </c>
      <c r="K2425" s="28" t="str">
        <f t="shared" si="24"/>
        <v/>
      </c>
      <c r="L2425" s="45" t="str">
        <f t="shared" si="25"/>
        <v/>
      </c>
      <c r="M2425" s="45" t="str">
        <f t="shared" si="26"/>
        <v/>
      </c>
      <c r="N2425" s="45" t="str">
        <f t="shared" si="27"/>
        <v/>
      </c>
      <c r="O2425" s="45">
        <f t="shared" si="28"/>
        <v>1</v>
      </c>
      <c r="P2425" s="45" t="str">
        <f t="shared" si="29"/>
        <v/>
      </c>
    </row>
    <row r="2426" spans="1:16" ht="17.25">
      <c r="A2426" s="276" t="s">
        <v>7984</v>
      </c>
      <c r="B2426" s="277">
        <v>2020</v>
      </c>
      <c r="C2426" s="276"/>
      <c r="D2426" s="277">
        <v>32822455</v>
      </c>
      <c r="E2426" s="278" t="str">
        <f t="shared" si="23"/>
        <v>https://pubmed.ncbi.nlm.nih.gov/32822455</v>
      </c>
      <c r="F2426" s="28" t="s">
        <v>511</v>
      </c>
      <c r="G2426" s="28" t="s">
        <v>5273</v>
      </c>
      <c r="J2426" s="346">
        <f t="shared" si="30"/>
        <v>1</v>
      </c>
      <c r="K2426" s="28" t="str">
        <f t="shared" si="24"/>
        <v/>
      </c>
      <c r="L2426" s="45" t="str">
        <f t="shared" si="25"/>
        <v/>
      </c>
      <c r="M2426" s="45" t="str">
        <f t="shared" si="26"/>
        <v/>
      </c>
      <c r="N2426" s="45" t="str">
        <f t="shared" si="27"/>
        <v/>
      </c>
      <c r="O2426" s="45" t="str">
        <f t="shared" si="28"/>
        <v/>
      </c>
      <c r="P2426" s="45" t="str">
        <f t="shared" si="29"/>
        <v/>
      </c>
    </row>
    <row r="2427" spans="1:16" ht="17.25">
      <c r="A2427" s="276" t="s">
        <v>7985</v>
      </c>
      <c r="B2427" s="277">
        <v>2014</v>
      </c>
      <c r="C2427" s="276"/>
      <c r="D2427" s="277">
        <v>24957530</v>
      </c>
      <c r="E2427" s="278" t="str">
        <f t="shared" si="23"/>
        <v>https://pubmed.ncbi.nlm.nih.gov/24957530</v>
      </c>
      <c r="F2427" s="28" t="s">
        <v>511</v>
      </c>
      <c r="G2427" s="28" t="s">
        <v>5299</v>
      </c>
      <c r="J2427" s="346" t="str">
        <f t="shared" si="30"/>
        <v/>
      </c>
      <c r="K2427" s="28" t="str">
        <f t="shared" si="24"/>
        <v/>
      </c>
      <c r="L2427" s="45" t="str">
        <f t="shared" si="25"/>
        <v/>
      </c>
      <c r="M2427" s="45" t="str">
        <f t="shared" si="26"/>
        <v/>
      </c>
      <c r="N2427" s="45">
        <f t="shared" si="27"/>
        <v>1</v>
      </c>
      <c r="O2427" s="45" t="str">
        <f t="shared" si="28"/>
        <v/>
      </c>
      <c r="P2427" s="45" t="str">
        <f t="shared" si="29"/>
        <v/>
      </c>
    </row>
    <row r="2428" spans="1:16" ht="17.25">
      <c r="A2428" s="276" t="s">
        <v>7986</v>
      </c>
      <c r="B2428" s="277">
        <v>2020</v>
      </c>
      <c r="C2428" s="276" t="s">
        <v>7987</v>
      </c>
      <c r="D2428" s="277">
        <v>32544159</v>
      </c>
      <c r="E2428" s="278" t="str">
        <f t="shared" si="23"/>
        <v>https://pubmed.ncbi.nlm.nih.gov/32544159</v>
      </c>
      <c r="F2428" s="28" t="s">
        <v>511</v>
      </c>
      <c r="G2428" s="28" t="s">
        <v>4867</v>
      </c>
      <c r="J2428" s="346" t="str">
        <f t="shared" si="30"/>
        <v/>
      </c>
      <c r="K2428" s="28" t="str">
        <f t="shared" si="24"/>
        <v/>
      </c>
      <c r="L2428" s="45" t="str">
        <f t="shared" si="25"/>
        <v/>
      </c>
      <c r="M2428" s="45" t="str">
        <f t="shared" si="26"/>
        <v/>
      </c>
      <c r="N2428" s="45">
        <f t="shared" si="27"/>
        <v>1</v>
      </c>
      <c r="O2428" s="45" t="str">
        <f t="shared" si="28"/>
        <v/>
      </c>
      <c r="P2428" s="45" t="str">
        <f t="shared" si="29"/>
        <v/>
      </c>
    </row>
    <row r="2429" spans="1:16" ht="17.25">
      <c r="A2429" s="276" t="s">
        <v>7988</v>
      </c>
      <c r="B2429" s="277">
        <v>1996</v>
      </c>
      <c r="C2429" s="276"/>
      <c r="D2429" s="277">
        <v>8986972</v>
      </c>
      <c r="E2429" s="278" t="str">
        <f t="shared" si="23"/>
        <v>https://pubmed.ncbi.nlm.nih.gov/8986972</v>
      </c>
      <c r="F2429" s="28" t="s">
        <v>511</v>
      </c>
      <c r="G2429" s="28" t="s">
        <v>4867</v>
      </c>
      <c r="J2429" s="346" t="str">
        <f t="shared" si="30"/>
        <v/>
      </c>
      <c r="K2429" s="28" t="str">
        <f t="shared" si="24"/>
        <v/>
      </c>
      <c r="L2429" s="45" t="str">
        <f t="shared" si="25"/>
        <v/>
      </c>
      <c r="M2429" s="45" t="str">
        <f t="shared" si="26"/>
        <v/>
      </c>
      <c r="N2429" s="45">
        <f t="shared" si="27"/>
        <v>1</v>
      </c>
      <c r="O2429" s="45" t="str">
        <f t="shared" si="28"/>
        <v/>
      </c>
      <c r="P2429" s="45" t="str">
        <f t="shared" si="29"/>
        <v/>
      </c>
    </row>
    <row r="2430" spans="1:16" ht="17.25">
      <c r="A2430" s="276" t="s">
        <v>7989</v>
      </c>
      <c r="B2430" s="277">
        <v>2016</v>
      </c>
      <c r="C2430" s="276"/>
      <c r="D2430" s="277">
        <v>26642773</v>
      </c>
      <c r="E2430" s="278" t="str">
        <f t="shared" si="23"/>
        <v>https://pubmed.ncbi.nlm.nih.gov/26642773</v>
      </c>
      <c r="F2430" s="28" t="s">
        <v>511</v>
      </c>
      <c r="G2430" s="28" t="s">
        <v>4592</v>
      </c>
      <c r="J2430" s="346">
        <f t="shared" si="30"/>
        <v>1</v>
      </c>
      <c r="K2430" s="28" t="str">
        <f t="shared" si="24"/>
        <v/>
      </c>
      <c r="L2430" s="45" t="str">
        <f t="shared" si="25"/>
        <v/>
      </c>
      <c r="M2430" s="45" t="str">
        <f t="shared" si="26"/>
        <v/>
      </c>
      <c r="N2430" s="45" t="str">
        <f t="shared" si="27"/>
        <v/>
      </c>
      <c r="O2430" s="45" t="str">
        <f t="shared" si="28"/>
        <v/>
      </c>
      <c r="P2430" s="45" t="str">
        <f t="shared" si="29"/>
        <v/>
      </c>
    </row>
    <row r="2431" spans="1:16" ht="17.25">
      <c r="A2431" s="276" t="s">
        <v>7990</v>
      </c>
      <c r="B2431" s="277">
        <v>2019</v>
      </c>
      <c r="C2431" s="276" t="s">
        <v>7991</v>
      </c>
      <c r="D2431" s="277">
        <v>31047114</v>
      </c>
      <c r="E2431" s="278" t="str">
        <f t="shared" si="23"/>
        <v>https://pubmed.ncbi.nlm.nih.gov/31047114</v>
      </c>
      <c r="F2431" s="28" t="s">
        <v>511</v>
      </c>
      <c r="G2431" s="28" t="s">
        <v>4744</v>
      </c>
      <c r="J2431" s="346" t="str">
        <f t="shared" si="30"/>
        <v/>
      </c>
      <c r="K2431" s="28" t="str">
        <f t="shared" si="24"/>
        <v/>
      </c>
      <c r="L2431" s="45" t="str">
        <f t="shared" si="25"/>
        <v/>
      </c>
      <c r="M2431" s="45" t="str">
        <f t="shared" si="26"/>
        <v/>
      </c>
      <c r="N2431" s="45">
        <f t="shared" si="27"/>
        <v>1</v>
      </c>
      <c r="O2431" s="45" t="str">
        <f t="shared" si="28"/>
        <v/>
      </c>
      <c r="P2431" s="45" t="str">
        <f t="shared" si="29"/>
        <v/>
      </c>
    </row>
    <row r="2432" spans="1:16" ht="17.25">
      <c r="A2432" s="276" t="s">
        <v>7992</v>
      </c>
      <c r="B2432" s="277">
        <v>2017</v>
      </c>
      <c r="C2432" s="276" t="s">
        <v>7993</v>
      </c>
      <c r="D2432" s="277">
        <v>28086819</v>
      </c>
      <c r="E2432" s="278" t="str">
        <f t="shared" si="23"/>
        <v>https://pubmed.ncbi.nlm.nih.gov/28086819</v>
      </c>
      <c r="F2432" s="28" t="s">
        <v>511</v>
      </c>
      <c r="G2432" s="28" t="s">
        <v>4592</v>
      </c>
      <c r="J2432" s="346">
        <f t="shared" si="30"/>
        <v>1</v>
      </c>
      <c r="K2432" s="28" t="str">
        <f t="shared" si="24"/>
        <v/>
      </c>
      <c r="L2432" s="45" t="str">
        <f t="shared" si="25"/>
        <v/>
      </c>
      <c r="M2432" s="45" t="str">
        <f t="shared" si="26"/>
        <v/>
      </c>
      <c r="N2432" s="45" t="str">
        <f t="shared" si="27"/>
        <v/>
      </c>
      <c r="O2432" s="45" t="str">
        <f t="shared" si="28"/>
        <v/>
      </c>
      <c r="P2432" s="45" t="str">
        <f t="shared" si="29"/>
        <v/>
      </c>
    </row>
    <row r="2433" spans="1:16" ht="17.25">
      <c r="A2433" s="276" t="s">
        <v>7994</v>
      </c>
      <c r="B2433" s="277">
        <v>2006</v>
      </c>
      <c r="C2433" s="276"/>
      <c r="D2433" s="277">
        <v>16433809</v>
      </c>
      <c r="E2433" s="278" t="str">
        <f t="shared" si="23"/>
        <v>https://pubmed.ncbi.nlm.nih.gov/16433809</v>
      </c>
      <c r="F2433" s="28" t="s">
        <v>511</v>
      </c>
      <c r="G2433" s="28" t="s">
        <v>4867</v>
      </c>
      <c r="J2433" s="346" t="str">
        <f t="shared" si="30"/>
        <v/>
      </c>
      <c r="K2433" s="28" t="str">
        <f t="shared" si="24"/>
        <v/>
      </c>
      <c r="L2433" s="45" t="str">
        <f t="shared" si="25"/>
        <v/>
      </c>
      <c r="M2433" s="45" t="str">
        <f t="shared" si="26"/>
        <v/>
      </c>
      <c r="N2433" s="45">
        <f t="shared" si="27"/>
        <v>1</v>
      </c>
      <c r="O2433" s="45" t="str">
        <f t="shared" si="28"/>
        <v/>
      </c>
      <c r="P2433" s="45" t="str">
        <f t="shared" si="29"/>
        <v/>
      </c>
    </row>
    <row r="2434" spans="1:16" ht="17.25">
      <c r="A2434" s="276" t="s">
        <v>7995</v>
      </c>
      <c r="B2434" s="277">
        <v>2018</v>
      </c>
      <c r="C2434" s="276" t="s">
        <v>7996</v>
      </c>
      <c r="D2434" s="277">
        <v>29741289</v>
      </c>
      <c r="E2434" s="278" t="str">
        <f t="shared" si="23"/>
        <v>https://pubmed.ncbi.nlm.nih.gov/29741289</v>
      </c>
      <c r="F2434" s="28" t="s">
        <v>511</v>
      </c>
      <c r="G2434" s="28" t="s">
        <v>4592</v>
      </c>
      <c r="J2434" s="346">
        <f t="shared" si="30"/>
        <v>1</v>
      </c>
      <c r="K2434" s="28" t="str">
        <f t="shared" si="24"/>
        <v/>
      </c>
      <c r="L2434" s="45" t="str">
        <f t="shared" si="25"/>
        <v/>
      </c>
      <c r="M2434" s="45" t="str">
        <f t="shared" si="26"/>
        <v/>
      </c>
      <c r="N2434" s="45" t="str">
        <f t="shared" si="27"/>
        <v/>
      </c>
      <c r="O2434" s="45" t="str">
        <f t="shared" si="28"/>
        <v/>
      </c>
      <c r="P2434" s="45" t="str">
        <f t="shared" si="29"/>
        <v/>
      </c>
    </row>
    <row r="2435" spans="1:16" ht="17.25">
      <c r="A2435" s="276" t="s">
        <v>7997</v>
      </c>
      <c r="B2435" s="277">
        <v>2009</v>
      </c>
      <c r="C2435" s="276"/>
      <c r="D2435" s="277">
        <v>19329911</v>
      </c>
      <c r="E2435" s="278" t="str">
        <f t="shared" si="23"/>
        <v>https://pubmed.ncbi.nlm.nih.gov/19329911</v>
      </c>
      <c r="F2435" s="28" t="s">
        <v>511</v>
      </c>
      <c r="G2435" s="28" t="s">
        <v>4592</v>
      </c>
      <c r="J2435" s="346">
        <f t="shared" si="30"/>
        <v>1</v>
      </c>
      <c r="K2435" s="28" t="str">
        <f t="shared" si="24"/>
        <v/>
      </c>
      <c r="L2435" s="45" t="str">
        <f t="shared" si="25"/>
        <v/>
      </c>
      <c r="M2435" s="45" t="str">
        <f t="shared" si="26"/>
        <v/>
      </c>
      <c r="N2435" s="45" t="str">
        <f t="shared" si="27"/>
        <v/>
      </c>
      <c r="O2435" s="45" t="str">
        <f t="shared" si="28"/>
        <v/>
      </c>
      <c r="P2435" s="45" t="str">
        <f t="shared" si="29"/>
        <v/>
      </c>
    </row>
    <row r="2436" spans="1:16" ht="17.25">
      <c r="A2436" s="276" t="s">
        <v>7998</v>
      </c>
      <c r="B2436" s="277">
        <v>2002</v>
      </c>
      <c r="C2436" s="276"/>
      <c r="D2436" s="277">
        <v>11838623</v>
      </c>
      <c r="E2436" s="278" t="str">
        <f t="shared" si="23"/>
        <v>https://pubmed.ncbi.nlm.nih.gov/11838623</v>
      </c>
      <c r="F2436" s="28" t="s">
        <v>511</v>
      </c>
      <c r="G2436" s="28" t="s">
        <v>4744</v>
      </c>
      <c r="J2436" s="346" t="str">
        <f t="shared" si="30"/>
        <v/>
      </c>
      <c r="K2436" s="28" t="str">
        <f t="shared" si="24"/>
        <v/>
      </c>
      <c r="L2436" s="45" t="str">
        <f t="shared" si="25"/>
        <v/>
      </c>
      <c r="M2436" s="45" t="str">
        <f t="shared" si="26"/>
        <v/>
      </c>
      <c r="N2436" s="45">
        <f t="shared" si="27"/>
        <v>1</v>
      </c>
      <c r="O2436" s="45" t="str">
        <f t="shared" si="28"/>
        <v/>
      </c>
      <c r="P2436" s="45" t="str">
        <f t="shared" si="29"/>
        <v/>
      </c>
    </row>
    <row r="2437" spans="1:16" ht="17.25">
      <c r="A2437" s="276" t="s">
        <v>7999</v>
      </c>
      <c r="B2437" s="277">
        <v>2018</v>
      </c>
      <c r="C2437" s="276"/>
      <c r="D2437" s="277">
        <v>29984534</v>
      </c>
      <c r="E2437" s="278" t="str">
        <f t="shared" si="23"/>
        <v>https://pubmed.ncbi.nlm.nih.gov/29984534</v>
      </c>
      <c r="F2437" s="28" t="s">
        <v>511</v>
      </c>
      <c r="G2437" s="28" t="s">
        <v>8000</v>
      </c>
      <c r="J2437" s="346" t="str">
        <f t="shared" si="30"/>
        <v/>
      </c>
      <c r="K2437" s="28" t="str">
        <f t="shared" si="24"/>
        <v/>
      </c>
      <c r="L2437" s="45" t="str">
        <f t="shared" si="25"/>
        <v/>
      </c>
      <c r="M2437" s="45" t="str">
        <f t="shared" si="26"/>
        <v/>
      </c>
      <c r="N2437" s="45">
        <f t="shared" si="27"/>
        <v>1</v>
      </c>
      <c r="O2437" s="45" t="str">
        <f t="shared" si="28"/>
        <v/>
      </c>
      <c r="P2437" s="45" t="str">
        <f t="shared" si="29"/>
        <v/>
      </c>
    </row>
    <row r="2438" spans="1:16" ht="17.25">
      <c r="A2438" s="276" t="s">
        <v>8001</v>
      </c>
      <c r="B2438" s="277">
        <v>2005</v>
      </c>
      <c r="C2438" s="276"/>
      <c r="D2438" s="277">
        <v>16210717</v>
      </c>
      <c r="E2438" s="278" t="str">
        <f t="shared" si="23"/>
        <v>https://pubmed.ncbi.nlm.nih.gov/16210717</v>
      </c>
      <c r="F2438" s="28" t="s">
        <v>511</v>
      </c>
      <c r="G2438" s="28" t="s">
        <v>4867</v>
      </c>
      <c r="J2438" s="346" t="str">
        <f t="shared" si="30"/>
        <v/>
      </c>
      <c r="K2438" s="28" t="str">
        <f t="shared" si="24"/>
        <v/>
      </c>
      <c r="L2438" s="45" t="str">
        <f t="shared" si="25"/>
        <v/>
      </c>
      <c r="M2438" s="45" t="str">
        <f t="shared" si="26"/>
        <v/>
      </c>
      <c r="N2438" s="45">
        <f t="shared" si="27"/>
        <v>1</v>
      </c>
      <c r="O2438" s="45" t="str">
        <f t="shared" si="28"/>
        <v/>
      </c>
      <c r="P2438" s="45" t="str">
        <f t="shared" si="29"/>
        <v/>
      </c>
    </row>
    <row r="2439" spans="1:16" ht="17.25">
      <c r="A2439" s="276" t="s">
        <v>8002</v>
      </c>
      <c r="B2439" s="277">
        <v>2014</v>
      </c>
      <c r="C2439" s="276" t="s">
        <v>8003</v>
      </c>
      <c r="D2439" s="277">
        <v>24867876</v>
      </c>
      <c r="E2439" s="278" t="str">
        <f t="shared" si="23"/>
        <v>https://pubmed.ncbi.nlm.nih.gov/24867876</v>
      </c>
      <c r="F2439" s="28" t="s">
        <v>511</v>
      </c>
      <c r="G2439" s="28" t="s">
        <v>4592</v>
      </c>
      <c r="J2439" s="346">
        <f t="shared" si="30"/>
        <v>1</v>
      </c>
      <c r="K2439" s="28" t="str">
        <f t="shared" si="24"/>
        <v/>
      </c>
      <c r="L2439" s="45" t="str">
        <f t="shared" si="25"/>
        <v/>
      </c>
      <c r="M2439" s="45" t="str">
        <f t="shared" si="26"/>
        <v/>
      </c>
      <c r="N2439" s="45" t="str">
        <f t="shared" si="27"/>
        <v/>
      </c>
      <c r="O2439" s="45" t="str">
        <f t="shared" si="28"/>
        <v/>
      </c>
      <c r="P2439" s="45" t="str">
        <f t="shared" si="29"/>
        <v/>
      </c>
    </row>
    <row r="2440" spans="1:16" ht="17.25">
      <c r="A2440" s="276" t="s">
        <v>8004</v>
      </c>
      <c r="B2440" s="277">
        <v>2020</v>
      </c>
      <c r="C2440" s="276" t="s">
        <v>8005</v>
      </c>
      <c r="D2440" s="277">
        <v>32034016</v>
      </c>
      <c r="E2440" s="278" t="str">
        <f t="shared" si="23"/>
        <v>https://pubmed.ncbi.nlm.nih.gov/32034016</v>
      </c>
      <c r="F2440" s="28" t="s">
        <v>511</v>
      </c>
      <c r="G2440" s="28" t="s">
        <v>4744</v>
      </c>
      <c r="J2440" s="346" t="str">
        <f t="shared" si="30"/>
        <v/>
      </c>
      <c r="K2440" s="28" t="str">
        <f t="shared" si="24"/>
        <v/>
      </c>
      <c r="L2440" s="45" t="str">
        <f t="shared" si="25"/>
        <v/>
      </c>
      <c r="M2440" s="45" t="str">
        <f t="shared" si="26"/>
        <v/>
      </c>
      <c r="N2440" s="45">
        <f t="shared" si="27"/>
        <v>1</v>
      </c>
      <c r="O2440" s="45" t="str">
        <f t="shared" si="28"/>
        <v/>
      </c>
      <c r="P2440" s="45" t="str">
        <f t="shared" si="29"/>
        <v/>
      </c>
    </row>
    <row r="2441" spans="1:16" ht="17.25">
      <c r="A2441" s="276" t="s">
        <v>8006</v>
      </c>
      <c r="B2441" s="277">
        <v>2016</v>
      </c>
      <c r="C2441" s="276" t="s">
        <v>8007</v>
      </c>
      <c r="D2441" s="277">
        <v>26516810</v>
      </c>
      <c r="E2441" s="278" t="str">
        <f t="shared" si="23"/>
        <v>https://pubmed.ncbi.nlm.nih.gov/26516810</v>
      </c>
      <c r="F2441" s="28" t="s">
        <v>511</v>
      </c>
      <c r="G2441" s="28" t="s">
        <v>5157</v>
      </c>
      <c r="J2441" s="346" t="str">
        <f t="shared" si="30"/>
        <v/>
      </c>
      <c r="K2441" s="28" t="str">
        <f t="shared" si="24"/>
        <v/>
      </c>
      <c r="L2441" s="45" t="str">
        <f t="shared" si="25"/>
        <v/>
      </c>
      <c r="M2441" s="45" t="str">
        <f t="shared" si="26"/>
        <v/>
      </c>
      <c r="N2441" s="45">
        <f t="shared" si="27"/>
        <v>1</v>
      </c>
      <c r="O2441" s="45" t="str">
        <f t="shared" si="28"/>
        <v/>
      </c>
      <c r="P2441" s="45" t="str">
        <f t="shared" si="29"/>
        <v/>
      </c>
    </row>
    <row r="2442" spans="1:16" ht="17.25">
      <c r="A2442" s="276" t="s">
        <v>8008</v>
      </c>
      <c r="B2442" s="277">
        <v>2019</v>
      </c>
      <c r="C2442" s="276"/>
      <c r="D2442" s="277">
        <v>31470092</v>
      </c>
      <c r="E2442" s="278" t="str">
        <f t="shared" si="23"/>
        <v>https://pubmed.ncbi.nlm.nih.gov/31470092</v>
      </c>
      <c r="F2442" s="28" t="s">
        <v>511</v>
      </c>
      <c r="G2442" s="28" t="s">
        <v>4592</v>
      </c>
      <c r="J2442" s="346">
        <f t="shared" si="30"/>
        <v>1</v>
      </c>
      <c r="K2442" s="28" t="str">
        <f t="shared" si="24"/>
        <v/>
      </c>
      <c r="L2442" s="45" t="str">
        <f t="shared" si="25"/>
        <v/>
      </c>
      <c r="M2442" s="45" t="str">
        <f t="shared" si="26"/>
        <v/>
      </c>
      <c r="N2442" s="45" t="str">
        <f t="shared" si="27"/>
        <v/>
      </c>
      <c r="O2442" s="45" t="str">
        <f t="shared" si="28"/>
        <v/>
      </c>
      <c r="P2442" s="45" t="str">
        <f t="shared" si="29"/>
        <v/>
      </c>
    </row>
    <row r="2443" spans="1:16" ht="17.25">
      <c r="A2443" s="276" t="s">
        <v>8009</v>
      </c>
      <c r="B2443" s="277">
        <v>2011</v>
      </c>
      <c r="C2443" s="276"/>
      <c r="D2443" s="277">
        <v>21428765</v>
      </c>
      <c r="E2443" s="278" t="str">
        <f t="shared" si="23"/>
        <v>https://pubmed.ncbi.nlm.nih.gov/21428765</v>
      </c>
      <c r="F2443" s="28" t="s">
        <v>511</v>
      </c>
      <c r="G2443" s="28" t="s">
        <v>5157</v>
      </c>
      <c r="J2443" s="346" t="str">
        <f t="shared" si="30"/>
        <v/>
      </c>
      <c r="K2443" s="28" t="str">
        <f t="shared" si="24"/>
        <v/>
      </c>
      <c r="L2443" s="45" t="str">
        <f t="shared" si="25"/>
        <v/>
      </c>
      <c r="M2443" s="45" t="str">
        <f t="shared" si="26"/>
        <v/>
      </c>
      <c r="N2443" s="45">
        <f t="shared" si="27"/>
        <v>1</v>
      </c>
      <c r="O2443" s="45" t="str">
        <f t="shared" si="28"/>
        <v/>
      </c>
      <c r="P2443" s="45" t="str">
        <f t="shared" si="29"/>
        <v/>
      </c>
    </row>
    <row r="2444" spans="1:16" ht="17.25">
      <c r="A2444" s="276" t="s">
        <v>8010</v>
      </c>
      <c r="B2444" s="277">
        <v>2015</v>
      </c>
      <c r="C2444" s="276" t="s">
        <v>8011</v>
      </c>
      <c r="D2444" s="277">
        <v>26100123</v>
      </c>
      <c r="E2444" s="278" t="str">
        <f t="shared" si="23"/>
        <v>https://pubmed.ncbi.nlm.nih.gov/26100123</v>
      </c>
      <c r="F2444" s="28" t="s">
        <v>511</v>
      </c>
      <c r="G2444" s="28" t="s">
        <v>5273</v>
      </c>
      <c r="J2444" s="346">
        <f t="shared" si="30"/>
        <v>1</v>
      </c>
      <c r="K2444" s="28" t="str">
        <f t="shared" si="24"/>
        <v/>
      </c>
      <c r="L2444" s="45" t="str">
        <f t="shared" si="25"/>
        <v/>
      </c>
      <c r="M2444" s="45" t="str">
        <f t="shared" si="26"/>
        <v/>
      </c>
      <c r="N2444" s="45" t="str">
        <f t="shared" si="27"/>
        <v/>
      </c>
      <c r="O2444" s="45" t="str">
        <f t="shared" si="28"/>
        <v/>
      </c>
      <c r="P2444" s="45" t="str">
        <f t="shared" si="29"/>
        <v/>
      </c>
    </row>
    <row r="2445" spans="1:16" ht="17.25">
      <c r="A2445" s="276" t="s">
        <v>8012</v>
      </c>
      <c r="B2445" s="277">
        <v>2013</v>
      </c>
      <c r="C2445" s="276" t="s">
        <v>8013</v>
      </c>
      <c r="D2445" s="277">
        <v>23731986</v>
      </c>
      <c r="E2445" s="278" t="str">
        <f t="shared" si="23"/>
        <v>https://pubmed.ncbi.nlm.nih.gov/23731986</v>
      </c>
      <c r="F2445" s="28" t="s">
        <v>511</v>
      </c>
      <c r="G2445" s="28" t="s">
        <v>4867</v>
      </c>
      <c r="J2445" s="346" t="str">
        <f t="shared" si="30"/>
        <v/>
      </c>
      <c r="K2445" s="28" t="str">
        <f t="shared" si="24"/>
        <v/>
      </c>
      <c r="L2445" s="45" t="str">
        <f t="shared" si="25"/>
        <v/>
      </c>
      <c r="M2445" s="45" t="str">
        <f t="shared" si="26"/>
        <v/>
      </c>
      <c r="N2445" s="45">
        <f t="shared" si="27"/>
        <v>1</v>
      </c>
      <c r="O2445" s="45" t="str">
        <f t="shared" si="28"/>
        <v/>
      </c>
      <c r="P2445" s="45" t="str">
        <f t="shared" si="29"/>
        <v/>
      </c>
    </row>
    <row r="2446" spans="1:16" ht="17.25">
      <c r="A2446" s="276" t="s">
        <v>8014</v>
      </c>
      <c r="B2446" s="277">
        <v>2011</v>
      </c>
      <c r="C2446" s="276"/>
      <c r="D2446" s="277">
        <v>21562405</v>
      </c>
      <c r="E2446" s="278" t="str">
        <f t="shared" si="23"/>
        <v>https://pubmed.ncbi.nlm.nih.gov/21562405</v>
      </c>
      <c r="F2446" s="28" t="s">
        <v>511</v>
      </c>
      <c r="G2446" s="28" t="s">
        <v>4744</v>
      </c>
      <c r="J2446" s="346" t="str">
        <f t="shared" si="30"/>
        <v/>
      </c>
      <c r="K2446" s="28" t="str">
        <f t="shared" si="24"/>
        <v/>
      </c>
      <c r="L2446" s="45" t="str">
        <f t="shared" si="25"/>
        <v/>
      </c>
      <c r="M2446" s="45" t="str">
        <f t="shared" si="26"/>
        <v/>
      </c>
      <c r="N2446" s="45">
        <f t="shared" si="27"/>
        <v>1</v>
      </c>
      <c r="O2446" s="45" t="str">
        <f t="shared" si="28"/>
        <v/>
      </c>
      <c r="P2446" s="45" t="str">
        <f t="shared" si="29"/>
        <v/>
      </c>
    </row>
    <row r="2447" spans="1:16" ht="17.25">
      <c r="A2447" s="276" t="s">
        <v>8015</v>
      </c>
      <c r="B2447" s="277">
        <v>2019</v>
      </c>
      <c r="C2447" s="276"/>
      <c r="D2447" s="277">
        <v>30482392</v>
      </c>
      <c r="E2447" s="278" t="str">
        <f t="shared" si="23"/>
        <v>https://pubmed.ncbi.nlm.nih.gov/30482392</v>
      </c>
      <c r="F2447" s="28" t="s">
        <v>511</v>
      </c>
      <c r="G2447" s="28" t="s">
        <v>4744</v>
      </c>
      <c r="J2447" s="346" t="str">
        <f t="shared" si="30"/>
        <v/>
      </c>
      <c r="K2447" s="28" t="str">
        <f t="shared" si="24"/>
        <v/>
      </c>
      <c r="L2447" s="45" t="str">
        <f t="shared" si="25"/>
        <v/>
      </c>
      <c r="M2447" s="45" t="str">
        <f t="shared" si="26"/>
        <v/>
      </c>
      <c r="N2447" s="45">
        <f t="shared" si="27"/>
        <v>1</v>
      </c>
      <c r="O2447" s="45" t="str">
        <f t="shared" si="28"/>
        <v/>
      </c>
      <c r="P2447" s="45" t="str">
        <f t="shared" si="29"/>
        <v/>
      </c>
    </row>
    <row r="2448" spans="1:16" ht="17.25">
      <c r="A2448" s="276" t="s">
        <v>8016</v>
      </c>
      <c r="B2448" s="277">
        <v>2021</v>
      </c>
      <c r="C2448" s="276" t="s">
        <v>8017</v>
      </c>
      <c r="D2448" s="277">
        <v>33306989</v>
      </c>
      <c r="E2448" s="278" t="str">
        <f t="shared" si="23"/>
        <v>https://pubmed.ncbi.nlm.nih.gov/33306989</v>
      </c>
      <c r="F2448" s="28" t="s">
        <v>511</v>
      </c>
      <c r="G2448" s="28" t="s">
        <v>6412</v>
      </c>
      <c r="J2448" s="346" t="str">
        <f t="shared" si="30"/>
        <v/>
      </c>
      <c r="K2448" s="28" t="str">
        <f t="shared" si="24"/>
        <v/>
      </c>
      <c r="L2448" s="45" t="str">
        <f t="shared" si="25"/>
        <v/>
      </c>
      <c r="M2448" s="45" t="str">
        <f t="shared" si="26"/>
        <v/>
      </c>
      <c r="N2448" s="45">
        <f t="shared" si="27"/>
        <v>1</v>
      </c>
      <c r="O2448" s="45" t="str">
        <f t="shared" si="28"/>
        <v/>
      </c>
      <c r="P2448" s="45" t="str">
        <f t="shared" si="29"/>
        <v/>
      </c>
    </row>
    <row r="2449" spans="1:16" ht="17.25">
      <c r="A2449" s="276" t="s">
        <v>8018</v>
      </c>
      <c r="B2449" s="277">
        <v>2009</v>
      </c>
      <c r="C2449" s="276"/>
      <c r="D2449" s="277">
        <v>20021340</v>
      </c>
      <c r="E2449" s="278" t="str">
        <f t="shared" si="23"/>
        <v>https://pubmed.ncbi.nlm.nih.gov/20021340</v>
      </c>
      <c r="F2449" s="28" t="s">
        <v>511</v>
      </c>
      <c r="G2449" s="28" t="s">
        <v>8019</v>
      </c>
      <c r="J2449" s="346" t="str">
        <f t="shared" si="30"/>
        <v/>
      </c>
      <c r="K2449" s="28" t="str">
        <f t="shared" si="24"/>
        <v/>
      </c>
      <c r="L2449" s="45" t="str">
        <f t="shared" si="25"/>
        <v/>
      </c>
      <c r="M2449" s="45" t="str">
        <f t="shared" si="26"/>
        <v/>
      </c>
      <c r="N2449" s="45">
        <f t="shared" si="27"/>
        <v>1</v>
      </c>
      <c r="O2449" s="45" t="str">
        <f t="shared" si="28"/>
        <v/>
      </c>
      <c r="P2449" s="45" t="str">
        <f t="shared" si="29"/>
        <v/>
      </c>
    </row>
    <row r="2450" spans="1:16" ht="17.25">
      <c r="A2450" s="276" t="s">
        <v>8020</v>
      </c>
      <c r="B2450" s="277">
        <v>2010</v>
      </c>
      <c r="C2450" s="276" t="s">
        <v>8021</v>
      </c>
      <c r="D2450" s="277">
        <v>20847149</v>
      </c>
      <c r="E2450" s="278" t="str">
        <f t="shared" si="23"/>
        <v>https://pubmed.ncbi.nlm.nih.gov/20847149</v>
      </c>
      <c r="F2450" s="28" t="s">
        <v>511</v>
      </c>
      <c r="G2450" s="28" t="s">
        <v>5157</v>
      </c>
      <c r="J2450" s="346" t="str">
        <f t="shared" si="30"/>
        <v/>
      </c>
      <c r="K2450" s="28" t="str">
        <f t="shared" si="24"/>
        <v/>
      </c>
      <c r="L2450" s="45" t="str">
        <f t="shared" si="25"/>
        <v/>
      </c>
      <c r="M2450" s="45" t="str">
        <f t="shared" si="26"/>
        <v/>
      </c>
      <c r="N2450" s="45">
        <f t="shared" si="27"/>
        <v>1</v>
      </c>
      <c r="O2450" s="45" t="str">
        <f t="shared" si="28"/>
        <v/>
      </c>
      <c r="P2450" s="45" t="str">
        <f t="shared" si="29"/>
        <v/>
      </c>
    </row>
    <row r="2451" spans="1:16" ht="17.25">
      <c r="A2451" s="276" t="s">
        <v>480</v>
      </c>
      <c r="B2451" s="277">
        <v>2019</v>
      </c>
      <c r="C2451" s="276" t="s">
        <v>8022</v>
      </c>
      <c r="D2451" s="277">
        <v>30787276</v>
      </c>
      <c r="E2451" s="278" t="str">
        <f t="shared" si="23"/>
        <v>https://pubmed.ncbi.nlm.nih.gov/30787276</v>
      </c>
      <c r="H2451" s="28" t="s">
        <v>511</v>
      </c>
      <c r="J2451" s="346" t="str">
        <f t="shared" si="30"/>
        <v/>
      </c>
      <c r="K2451" s="28" t="str">
        <f t="shared" si="24"/>
        <v/>
      </c>
      <c r="L2451" s="45" t="str">
        <f t="shared" si="25"/>
        <v/>
      </c>
      <c r="M2451" s="45" t="str">
        <f t="shared" si="26"/>
        <v/>
      </c>
      <c r="N2451" s="45" t="str">
        <f t="shared" si="27"/>
        <v/>
      </c>
      <c r="O2451" s="45" t="str">
        <f t="shared" si="28"/>
        <v/>
      </c>
      <c r="P2451" s="45" t="str">
        <f t="shared" si="29"/>
        <v/>
      </c>
    </row>
    <row r="2452" spans="1:16" ht="17.25">
      <c r="A2452" s="276" t="s">
        <v>8023</v>
      </c>
      <c r="B2452" s="277">
        <v>2010</v>
      </c>
      <c r="C2452" s="276" t="s">
        <v>8024</v>
      </c>
      <c r="D2452" s="277">
        <v>20347483</v>
      </c>
      <c r="E2452" s="278" t="str">
        <f t="shared" si="23"/>
        <v>https://pubmed.ncbi.nlm.nih.gov/20347483</v>
      </c>
      <c r="F2452" s="28" t="s">
        <v>511</v>
      </c>
      <c r="G2452" s="28" t="s">
        <v>4744</v>
      </c>
      <c r="J2452" s="346" t="str">
        <f t="shared" si="30"/>
        <v/>
      </c>
      <c r="K2452" s="28" t="str">
        <f t="shared" si="24"/>
        <v/>
      </c>
      <c r="L2452" s="45" t="str">
        <f t="shared" si="25"/>
        <v/>
      </c>
      <c r="M2452" s="45" t="str">
        <f t="shared" si="26"/>
        <v/>
      </c>
      <c r="N2452" s="45">
        <f t="shared" si="27"/>
        <v>1</v>
      </c>
      <c r="O2452" s="45" t="str">
        <f t="shared" si="28"/>
        <v/>
      </c>
      <c r="P2452" s="45" t="str">
        <f t="shared" si="29"/>
        <v/>
      </c>
    </row>
    <row r="2453" spans="1:16" ht="17.25">
      <c r="A2453" s="276" t="s">
        <v>8025</v>
      </c>
      <c r="B2453" s="277">
        <v>2014</v>
      </c>
      <c r="C2453" s="276"/>
      <c r="D2453" s="277">
        <v>25175097</v>
      </c>
      <c r="E2453" s="278" t="str">
        <f t="shared" si="23"/>
        <v>https://pubmed.ncbi.nlm.nih.gov/25175097</v>
      </c>
      <c r="F2453" s="28" t="s">
        <v>511</v>
      </c>
      <c r="G2453" s="28" t="s">
        <v>5299</v>
      </c>
      <c r="J2453" s="346" t="str">
        <f t="shared" si="30"/>
        <v/>
      </c>
      <c r="K2453" s="28" t="str">
        <f t="shared" si="24"/>
        <v/>
      </c>
      <c r="L2453" s="45" t="str">
        <f t="shared" si="25"/>
        <v/>
      </c>
      <c r="M2453" s="45" t="str">
        <f t="shared" si="26"/>
        <v/>
      </c>
      <c r="N2453" s="45">
        <f t="shared" si="27"/>
        <v>1</v>
      </c>
      <c r="O2453" s="45" t="str">
        <f t="shared" si="28"/>
        <v/>
      </c>
      <c r="P2453" s="45" t="str">
        <f t="shared" si="29"/>
        <v/>
      </c>
    </row>
    <row r="2454" spans="1:16" ht="17.25">
      <c r="A2454" s="276" t="s">
        <v>8026</v>
      </c>
      <c r="B2454" s="277">
        <v>2020</v>
      </c>
      <c r="C2454" s="276" t="s">
        <v>8027</v>
      </c>
      <c r="D2454" s="277">
        <v>31927782</v>
      </c>
      <c r="E2454" s="278" t="str">
        <f t="shared" si="23"/>
        <v>https://pubmed.ncbi.nlm.nih.gov/31927782</v>
      </c>
      <c r="F2454" s="28" t="s">
        <v>511</v>
      </c>
      <c r="G2454" s="28" t="s">
        <v>6220</v>
      </c>
      <c r="J2454" s="346">
        <f t="shared" si="30"/>
        <v>1</v>
      </c>
      <c r="K2454" s="28" t="str">
        <f t="shared" si="24"/>
        <v/>
      </c>
      <c r="L2454" s="45" t="str">
        <f t="shared" si="25"/>
        <v/>
      </c>
      <c r="M2454" s="45" t="str">
        <f t="shared" si="26"/>
        <v/>
      </c>
      <c r="N2454" s="45" t="str">
        <f t="shared" si="27"/>
        <v/>
      </c>
      <c r="O2454" s="45" t="str">
        <f t="shared" si="28"/>
        <v/>
      </c>
      <c r="P2454" s="45" t="str">
        <f t="shared" si="29"/>
        <v/>
      </c>
    </row>
    <row r="2455" spans="1:16" ht="17.25">
      <c r="A2455" s="276" t="s">
        <v>8028</v>
      </c>
      <c r="B2455" s="277">
        <v>2016</v>
      </c>
      <c r="C2455" s="276"/>
      <c r="D2455" s="277">
        <v>26501852</v>
      </c>
      <c r="E2455" s="278" t="str">
        <f t="shared" si="23"/>
        <v>https://pubmed.ncbi.nlm.nih.gov/26501852</v>
      </c>
      <c r="F2455" s="28" t="s">
        <v>511</v>
      </c>
      <c r="G2455" s="28" t="s">
        <v>4592</v>
      </c>
      <c r="J2455" s="346">
        <f t="shared" si="30"/>
        <v>1</v>
      </c>
      <c r="K2455" s="28" t="str">
        <f t="shared" si="24"/>
        <v/>
      </c>
      <c r="L2455" s="45" t="str">
        <f t="shared" si="25"/>
        <v/>
      </c>
      <c r="M2455" s="45" t="str">
        <f t="shared" si="26"/>
        <v/>
      </c>
      <c r="N2455" s="45" t="str">
        <f t="shared" si="27"/>
        <v/>
      </c>
      <c r="O2455" s="45" t="str">
        <f t="shared" si="28"/>
        <v/>
      </c>
      <c r="P2455" s="45" t="str">
        <f t="shared" si="29"/>
        <v/>
      </c>
    </row>
    <row r="2456" spans="1:16" ht="17.25">
      <c r="A2456" s="276" t="s">
        <v>8029</v>
      </c>
      <c r="B2456" s="277">
        <v>2011</v>
      </c>
      <c r="C2456" s="276"/>
      <c r="D2456" s="277">
        <v>21056523</v>
      </c>
      <c r="E2456" s="278" t="str">
        <f t="shared" si="23"/>
        <v>https://pubmed.ncbi.nlm.nih.gov/21056523</v>
      </c>
      <c r="F2456" s="28" t="s">
        <v>511</v>
      </c>
      <c r="G2456" s="28" t="s">
        <v>4592</v>
      </c>
      <c r="J2456" s="346">
        <f t="shared" si="30"/>
        <v>1</v>
      </c>
      <c r="K2456" s="28" t="str">
        <f t="shared" si="24"/>
        <v/>
      </c>
      <c r="L2456" s="45" t="str">
        <f t="shared" si="25"/>
        <v/>
      </c>
      <c r="M2456" s="45" t="str">
        <f t="shared" si="26"/>
        <v/>
      </c>
      <c r="N2456" s="45" t="str">
        <f t="shared" si="27"/>
        <v/>
      </c>
      <c r="O2456" s="45" t="str">
        <f t="shared" si="28"/>
        <v/>
      </c>
      <c r="P2456" s="45" t="str">
        <f t="shared" si="29"/>
        <v/>
      </c>
    </row>
    <row r="2457" spans="1:16" ht="17.25">
      <c r="A2457" s="276" t="s">
        <v>8030</v>
      </c>
      <c r="B2457" s="277">
        <v>2014</v>
      </c>
      <c r="C2457" s="276" t="s">
        <v>8031</v>
      </c>
      <c r="D2457" s="277">
        <v>25318353</v>
      </c>
      <c r="E2457" s="278" t="str">
        <f t="shared" si="23"/>
        <v>https://pubmed.ncbi.nlm.nih.gov/25318353</v>
      </c>
      <c r="F2457" s="28" t="s">
        <v>511</v>
      </c>
      <c r="G2457" s="28" t="s">
        <v>5273</v>
      </c>
      <c r="J2457" s="346">
        <f t="shared" si="30"/>
        <v>1</v>
      </c>
      <c r="K2457" s="28" t="str">
        <f t="shared" si="24"/>
        <v/>
      </c>
      <c r="L2457" s="45" t="str">
        <f t="shared" si="25"/>
        <v/>
      </c>
      <c r="M2457" s="45" t="str">
        <f t="shared" si="26"/>
        <v/>
      </c>
      <c r="N2457" s="45" t="str">
        <f t="shared" si="27"/>
        <v/>
      </c>
      <c r="O2457" s="45" t="str">
        <f t="shared" si="28"/>
        <v/>
      </c>
      <c r="P2457" s="45" t="str">
        <f t="shared" si="29"/>
        <v/>
      </c>
    </row>
    <row r="2458" spans="1:16" ht="17.25">
      <c r="A2458" s="276" t="s">
        <v>8032</v>
      </c>
      <c r="B2458" s="277">
        <v>2016</v>
      </c>
      <c r="C2458" s="276" t="s">
        <v>8033</v>
      </c>
      <c r="D2458" s="277">
        <v>27930518</v>
      </c>
      <c r="E2458" s="278" t="str">
        <f t="shared" si="23"/>
        <v>https://pubmed.ncbi.nlm.nih.gov/27930518</v>
      </c>
      <c r="F2458" s="28" t="s">
        <v>511</v>
      </c>
      <c r="G2458" s="28" t="s">
        <v>5157</v>
      </c>
      <c r="J2458" s="346" t="str">
        <f t="shared" si="30"/>
        <v/>
      </c>
      <c r="K2458" s="28" t="str">
        <f t="shared" si="24"/>
        <v/>
      </c>
      <c r="L2458" s="45" t="str">
        <f t="shared" si="25"/>
        <v/>
      </c>
      <c r="M2458" s="45" t="str">
        <f t="shared" si="26"/>
        <v/>
      </c>
      <c r="N2458" s="45">
        <f t="shared" si="27"/>
        <v>1</v>
      </c>
      <c r="O2458" s="45" t="str">
        <f t="shared" si="28"/>
        <v/>
      </c>
      <c r="P2458" s="45" t="str">
        <f t="shared" si="29"/>
        <v/>
      </c>
    </row>
    <row r="2459" spans="1:16" ht="17.25">
      <c r="A2459" s="276" t="s">
        <v>8034</v>
      </c>
      <c r="B2459" s="277">
        <v>2012</v>
      </c>
      <c r="C2459" s="276"/>
      <c r="D2459" s="277">
        <v>22170311</v>
      </c>
      <c r="E2459" s="278" t="str">
        <f t="shared" si="23"/>
        <v>https://pubmed.ncbi.nlm.nih.gov/22170311</v>
      </c>
      <c r="F2459" s="28" t="s">
        <v>511</v>
      </c>
      <c r="G2459" s="28" t="s">
        <v>8035</v>
      </c>
      <c r="J2459" s="346" t="str">
        <f t="shared" si="30"/>
        <v/>
      </c>
      <c r="K2459" s="28" t="str">
        <f t="shared" si="24"/>
        <v/>
      </c>
      <c r="L2459" s="45" t="str">
        <f t="shared" si="25"/>
        <v/>
      </c>
      <c r="M2459" s="45" t="str">
        <f t="shared" si="26"/>
        <v/>
      </c>
      <c r="N2459" s="45">
        <f t="shared" si="27"/>
        <v>1</v>
      </c>
      <c r="O2459" s="45" t="str">
        <f t="shared" si="28"/>
        <v/>
      </c>
      <c r="P2459" s="45" t="str">
        <f t="shared" si="29"/>
        <v/>
      </c>
    </row>
    <row r="2460" spans="1:16" ht="17.25">
      <c r="A2460" s="276" t="s">
        <v>8036</v>
      </c>
      <c r="B2460" s="277">
        <v>2016</v>
      </c>
      <c r="C2460" s="276" t="s">
        <v>8037</v>
      </c>
      <c r="D2460" s="277">
        <v>27529553</v>
      </c>
      <c r="E2460" s="278" t="str">
        <f t="shared" si="23"/>
        <v>https://pubmed.ncbi.nlm.nih.gov/27529553</v>
      </c>
      <c r="F2460" s="28" t="s">
        <v>511</v>
      </c>
      <c r="G2460" s="28" t="s">
        <v>5273</v>
      </c>
      <c r="J2460" s="346">
        <f t="shared" si="30"/>
        <v>1</v>
      </c>
      <c r="K2460" s="28" t="str">
        <f t="shared" si="24"/>
        <v/>
      </c>
      <c r="L2460" s="45" t="str">
        <f t="shared" si="25"/>
        <v/>
      </c>
      <c r="M2460" s="45" t="str">
        <f t="shared" si="26"/>
        <v/>
      </c>
      <c r="N2460" s="45" t="str">
        <f t="shared" si="27"/>
        <v/>
      </c>
      <c r="O2460" s="45" t="str">
        <f t="shared" si="28"/>
        <v/>
      </c>
      <c r="P2460" s="45" t="str">
        <f t="shared" si="29"/>
        <v/>
      </c>
    </row>
    <row r="2461" spans="1:16" ht="17.25">
      <c r="A2461" s="276" t="s">
        <v>8038</v>
      </c>
      <c r="B2461" s="277">
        <v>2015</v>
      </c>
      <c r="C2461" s="276" t="s">
        <v>8039</v>
      </c>
      <c r="D2461" s="277">
        <v>26355086</v>
      </c>
      <c r="E2461" s="278" t="str">
        <f t="shared" si="23"/>
        <v>https://pubmed.ncbi.nlm.nih.gov/26355086</v>
      </c>
      <c r="F2461" s="28" t="s">
        <v>511</v>
      </c>
      <c r="G2461" s="28" t="s">
        <v>8040</v>
      </c>
      <c r="J2461" s="346" t="str">
        <f t="shared" si="30"/>
        <v/>
      </c>
      <c r="K2461" s="28" t="str">
        <f t="shared" si="24"/>
        <v/>
      </c>
      <c r="L2461" s="45" t="str">
        <f t="shared" si="25"/>
        <v/>
      </c>
      <c r="M2461" s="45" t="str">
        <f t="shared" si="26"/>
        <v/>
      </c>
      <c r="N2461" s="45">
        <f t="shared" si="27"/>
        <v>1</v>
      </c>
      <c r="O2461" s="45" t="str">
        <f t="shared" si="28"/>
        <v/>
      </c>
      <c r="P2461" s="45" t="str">
        <f t="shared" si="29"/>
        <v/>
      </c>
    </row>
    <row r="2462" spans="1:16" ht="17.25">
      <c r="A2462" s="276" t="s">
        <v>8041</v>
      </c>
      <c r="B2462" s="277">
        <v>2020</v>
      </c>
      <c r="C2462" s="276" t="s">
        <v>8042</v>
      </c>
      <c r="D2462" s="277">
        <v>32423584</v>
      </c>
      <c r="E2462" s="278" t="str">
        <f t="shared" si="23"/>
        <v>https://pubmed.ncbi.nlm.nih.gov/32423584</v>
      </c>
      <c r="F2462" s="28" t="s">
        <v>511</v>
      </c>
      <c r="G2462" s="28" t="s">
        <v>4744</v>
      </c>
      <c r="J2462" s="346" t="str">
        <f t="shared" si="30"/>
        <v/>
      </c>
      <c r="K2462" s="28" t="str">
        <f t="shared" si="24"/>
        <v/>
      </c>
      <c r="L2462" s="45" t="str">
        <f t="shared" si="25"/>
        <v/>
      </c>
      <c r="M2462" s="45" t="str">
        <f t="shared" si="26"/>
        <v/>
      </c>
      <c r="N2462" s="45">
        <f t="shared" si="27"/>
        <v>1</v>
      </c>
      <c r="O2462" s="45" t="str">
        <f t="shared" si="28"/>
        <v/>
      </c>
      <c r="P2462" s="45" t="str">
        <f t="shared" si="29"/>
        <v/>
      </c>
    </row>
    <row r="2463" spans="1:16" ht="17.25">
      <c r="A2463" s="276" t="s">
        <v>8041</v>
      </c>
      <c r="B2463" s="277">
        <v>2016</v>
      </c>
      <c r="C2463" s="276" t="s">
        <v>8043</v>
      </c>
      <c r="D2463" s="277">
        <v>27824918</v>
      </c>
      <c r="E2463" s="278" t="str">
        <f t="shared" si="23"/>
        <v>https://pubmed.ncbi.nlm.nih.gov/27824918</v>
      </c>
      <c r="F2463" s="28" t="s">
        <v>511</v>
      </c>
      <c r="G2463" s="28" t="s">
        <v>8044</v>
      </c>
      <c r="J2463" s="346" t="str">
        <f t="shared" si="30"/>
        <v/>
      </c>
      <c r="K2463" s="28" t="str">
        <f t="shared" si="24"/>
        <v/>
      </c>
      <c r="L2463" s="45" t="str">
        <f t="shared" si="25"/>
        <v/>
      </c>
      <c r="M2463" s="45" t="str">
        <f t="shared" si="26"/>
        <v/>
      </c>
      <c r="N2463" s="45">
        <f t="shared" si="27"/>
        <v>1</v>
      </c>
      <c r="O2463" s="45" t="str">
        <f t="shared" si="28"/>
        <v/>
      </c>
      <c r="P2463" s="45" t="str">
        <f t="shared" si="29"/>
        <v/>
      </c>
    </row>
    <row r="2464" spans="1:16" ht="17.25">
      <c r="A2464" s="276" t="s">
        <v>8041</v>
      </c>
      <c r="B2464" s="277">
        <v>2015</v>
      </c>
      <c r="C2464" s="276" t="s">
        <v>8045</v>
      </c>
      <c r="D2464" s="277">
        <v>26263042</v>
      </c>
      <c r="E2464" s="278" t="str">
        <f t="shared" si="23"/>
        <v>https://pubmed.ncbi.nlm.nih.gov/26263042</v>
      </c>
      <c r="F2464" s="28" t="s">
        <v>511</v>
      </c>
      <c r="G2464" s="28" t="s">
        <v>4592</v>
      </c>
      <c r="J2464" s="346">
        <f t="shared" si="30"/>
        <v>1</v>
      </c>
      <c r="K2464" s="28" t="str">
        <f t="shared" si="24"/>
        <v/>
      </c>
      <c r="L2464" s="45" t="str">
        <f t="shared" si="25"/>
        <v/>
      </c>
      <c r="M2464" s="45" t="str">
        <f t="shared" si="26"/>
        <v/>
      </c>
      <c r="N2464" s="45" t="str">
        <f t="shared" si="27"/>
        <v/>
      </c>
      <c r="O2464" s="45" t="str">
        <f t="shared" si="28"/>
        <v/>
      </c>
      <c r="P2464" s="45" t="str">
        <f t="shared" si="29"/>
        <v/>
      </c>
    </row>
    <row r="2465" spans="1:16" ht="17.25">
      <c r="A2465" s="276" t="s">
        <v>8046</v>
      </c>
      <c r="B2465" s="277">
        <v>2019</v>
      </c>
      <c r="C2465" s="276" t="s">
        <v>8047</v>
      </c>
      <c r="D2465" s="277">
        <v>30850411</v>
      </c>
      <c r="E2465" s="278" t="str">
        <f t="shared" si="23"/>
        <v>https://pubmed.ncbi.nlm.nih.gov/30850411</v>
      </c>
      <c r="F2465" s="28" t="s">
        <v>511</v>
      </c>
      <c r="G2465" s="28" t="s">
        <v>4867</v>
      </c>
      <c r="J2465" s="346" t="str">
        <f t="shared" si="30"/>
        <v/>
      </c>
      <c r="K2465" s="28" t="str">
        <f t="shared" si="24"/>
        <v/>
      </c>
      <c r="L2465" s="45" t="str">
        <f t="shared" si="25"/>
        <v/>
      </c>
      <c r="M2465" s="45" t="str">
        <f t="shared" si="26"/>
        <v/>
      </c>
      <c r="N2465" s="45">
        <f t="shared" si="27"/>
        <v>1</v>
      </c>
      <c r="O2465" s="45" t="str">
        <f t="shared" si="28"/>
        <v/>
      </c>
      <c r="P2465" s="45" t="str">
        <f t="shared" si="29"/>
        <v/>
      </c>
    </row>
    <row r="2466" spans="1:16" ht="17.25">
      <c r="A2466" s="276" t="s">
        <v>8048</v>
      </c>
      <c r="B2466" s="277">
        <v>2018</v>
      </c>
      <c r="C2466" s="276" t="s">
        <v>8049</v>
      </c>
      <c r="D2466" s="277">
        <v>29938790</v>
      </c>
      <c r="E2466" s="278" t="str">
        <f t="shared" si="23"/>
        <v>https://pubmed.ncbi.nlm.nih.gov/29938790</v>
      </c>
      <c r="F2466" s="28" t="s">
        <v>511</v>
      </c>
      <c r="G2466" s="28" t="s">
        <v>4592</v>
      </c>
      <c r="J2466" s="346">
        <f t="shared" si="30"/>
        <v>1</v>
      </c>
      <c r="K2466" s="28" t="str">
        <f t="shared" si="24"/>
        <v/>
      </c>
      <c r="L2466" s="45" t="str">
        <f t="shared" si="25"/>
        <v/>
      </c>
      <c r="M2466" s="45" t="str">
        <f t="shared" si="26"/>
        <v/>
      </c>
      <c r="N2466" s="45" t="str">
        <f t="shared" si="27"/>
        <v/>
      </c>
      <c r="O2466" s="45" t="str">
        <f t="shared" si="28"/>
        <v/>
      </c>
      <c r="P2466" s="45" t="str">
        <f t="shared" si="29"/>
        <v/>
      </c>
    </row>
    <row r="2467" spans="1:16" ht="17.25">
      <c r="A2467" s="276" t="s">
        <v>8050</v>
      </c>
      <c r="B2467" s="277">
        <v>2019</v>
      </c>
      <c r="C2467" s="276"/>
      <c r="D2467" s="277">
        <v>31307586</v>
      </c>
      <c r="E2467" s="278" t="str">
        <f t="shared" si="23"/>
        <v>https://pubmed.ncbi.nlm.nih.gov/31307586</v>
      </c>
      <c r="F2467" s="28" t="s">
        <v>511</v>
      </c>
      <c r="G2467" s="28" t="s">
        <v>4592</v>
      </c>
      <c r="J2467" s="346">
        <f t="shared" si="30"/>
        <v>1</v>
      </c>
      <c r="K2467" s="28" t="str">
        <f t="shared" si="24"/>
        <v/>
      </c>
      <c r="L2467" s="45" t="str">
        <f t="shared" si="25"/>
        <v/>
      </c>
      <c r="M2467" s="45" t="str">
        <f t="shared" si="26"/>
        <v/>
      </c>
      <c r="N2467" s="45" t="str">
        <f t="shared" si="27"/>
        <v/>
      </c>
      <c r="O2467" s="45" t="str">
        <f t="shared" si="28"/>
        <v/>
      </c>
      <c r="P2467" s="45" t="str">
        <f t="shared" si="29"/>
        <v/>
      </c>
    </row>
    <row r="2468" spans="1:16" ht="17.25">
      <c r="A2468" s="276" t="s">
        <v>1404</v>
      </c>
      <c r="B2468" s="277">
        <v>2020</v>
      </c>
      <c r="C2468" s="276" t="s">
        <v>4253</v>
      </c>
      <c r="D2468" s="277">
        <v>32822347</v>
      </c>
      <c r="E2468" s="278" t="str">
        <f t="shared" si="23"/>
        <v>https://pubmed.ncbi.nlm.nih.gov/32822347</v>
      </c>
      <c r="H2468" s="28" t="s">
        <v>511</v>
      </c>
      <c r="J2468" s="346" t="str">
        <f t="shared" si="30"/>
        <v/>
      </c>
      <c r="K2468" s="28" t="str">
        <f t="shared" si="24"/>
        <v/>
      </c>
      <c r="L2468" s="45" t="str">
        <f t="shared" si="25"/>
        <v/>
      </c>
      <c r="M2468" s="45" t="str">
        <f t="shared" si="26"/>
        <v/>
      </c>
      <c r="N2468" s="45" t="str">
        <f t="shared" si="27"/>
        <v/>
      </c>
      <c r="O2468" s="45" t="str">
        <f t="shared" si="28"/>
        <v/>
      </c>
      <c r="P2468" s="45" t="str">
        <f t="shared" si="29"/>
        <v/>
      </c>
    </row>
    <row r="2469" spans="1:16" ht="17.25">
      <c r="A2469" s="276" t="s">
        <v>8051</v>
      </c>
      <c r="B2469" s="277">
        <v>1999</v>
      </c>
      <c r="C2469" s="276"/>
      <c r="D2469" s="277">
        <v>10100087</v>
      </c>
      <c r="E2469" s="278" t="str">
        <f t="shared" si="23"/>
        <v>https://pubmed.ncbi.nlm.nih.gov/10100087</v>
      </c>
      <c r="F2469" s="28" t="s">
        <v>511</v>
      </c>
      <c r="G2469" s="28" t="s">
        <v>4592</v>
      </c>
      <c r="J2469" s="346">
        <f t="shared" si="30"/>
        <v>1</v>
      </c>
      <c r="K2469" s="28" t="str">
        <f t="shared" si="24"/>
        <v/>
      </c>
      <c r="L2469" s="45" t="str">
        <f t="shared" si="25"/>
        <v/>
      </c>
      <c r="M2469" s="45" t="str">
        <f t="shared" si="26"/>
        <v/>
      </c>
      <c r="N2469" s="45" t="str">
        <f t="shared" si="27"/>
        <v/>
      </c>
      <c r="O2469" s="45" t="str">
        <f t="shared" si="28"/>
        <v/>
      </c>
      <c r="P2469" s="45" t="str">
        <f t="shared" si="29"/>
        <v/>
      </c>
    </row>
    <row r="2470" spans="1:16" ht="17.25">
      <c r="A2470" s="276" t="s">
        <v>8052</v>
      </c>
      <c r="B2470" s="277">
        <v>2018</v>
      </c>
      <c r="C2470" s="276" t="s">
        <v>8053</v>
      </c>
      <c r="D2470" s="277">
        <v>30168576</v>
      </c>
      <c r="E2470" s="278" t="str">
        <f t="shared" si="23"/>
        <v>https://pubmed.ncbi.nlm.nih.gov/30168576</v>
      </c>
      <c r="F2470" s="28" t="s">
        <v>511</v>
      </c>
      <c r="G2470" s="28" t="s">
        <v>6220</v>
      </c>
      <c r="J2470" s="346">
        <f t="shared" si="30"/>
        <v>1</v>
      </c>
      <c r="K2470" s="28" t="str">
        <f t="shared" si="24"/>
        <v/>
      </c>
      <c r="L2470" s="45" t="str">
        <f t="shared" si="25"/>
        <v/>
      </c>
      <c r="M2470" s="45" t="str">
        <f t="shared" si="26"/>
        <v/>
      </c>
      <c r="N2470" s="45" t="str">
        <f t="shared" si="27"/>
        <v/>
      </c>
      <c r="O2470" s="45" t="str">
        <f t="shared" si="28"/>
        <v/>
      </c>
      <c r="P2470" s="45" t="str">
        <f t="shared" si="29"/>
        <v/>
      </c>
    </row>
    <row r="2471" spans="1:16" ht="17.25">
      <c r="A2471" s="276" t="s">
        <v>8054</v>
      </c>
      <c r="B2471" s="277">
        <v>2018</v>
      </c>
      <c r="C2471" s="276" t="s">
        <v>8055</v>
      </c>
      <c r="D2471" s="277">
        <v>29487219</v>
      </c>
      <c r="E2471" s="278" t="str">
        <f t="shared" si="23"/>
        <v>https://pubmed.ncbi.nlm.nih.gov/29487219</v>
      </c>
      <c r="F2471" s="28" t="s">
        <v>511</v>
      </c>
      <c r="G2471" s="28" t="s">
        <v>4867</v>
      </c>
      <c r="J2471" s="346" t="str">
        <f t="shared" si="30"/>
        <v/>
      </c>
      <c r="K2471" s="28" t="str">
        <f t="shared" si="24"/>
        <v/>
      </c>
      <c r="L2471" s="45" t="str">
        <f t="shared" si="25"/>
        <v/>
      </c>
      <c r="M2471" s="45" t="str">
        <f t="shared" si="26"/>
        <v/>
      </c>
      <c r="N2471" s="45">
        <f t="shared" si="27"/>
        <v>1</v>
      </c>
      <c r="O2471" s="45" t="str">
        <f t="shared" si="28"/>
        <v/>
      </c>
      <c r="P2471" s="45" t="str">
        <f t="shared" si="29"/>
        <v/>
      </c>
    </row>
    <row r="2472" spans="1:16" ht="17.25">
      <c r="A2472" s="276" t="s">
        <v>8056</v>
      </c>
      <c r="B2472" s="277">
        <v>2017</v>
      </c>
      <c r="C2472" s="276"/>
      <c r="D2472" s="277">
        <v>28436969</v>
      </c>
      <c r="E2472" s="278" t="str">
        <f t="shared" si="23"/>
        <v>https://pubmed.ncbi.nlm.nih.gov/28436969</v>
      </c>
      <c r="F2472" s="28" t="s">
        <v>511</v>
      </c>
      <c r="G2472" s="28" t="s">
        <v>4867</v>
      </c>
      <c r="J2472" s="346" t="str">
        <f t="shared" si="30"/>
        <v/>
      </c>
      <c r="K2472" s="28" t="str">
        <f t="shared" si="24"/>
        <v/>
      </c>
      <c r="L2472" s="45" t="str">
        <f t="shared" si="25"/>
        <v/>
      </c>
      <c r="M2472" s="45" t="str">
        <f t="shared" si="26"/>
        <v/>
      </c>
      <c r="N2472" s="45">
        <f t="shared" si="27"/>
        <v>1</v>
      </c>
      <c r="O2472" s="45" t="str">
        <f t="shared" si="28"/>
        <v/>
      </c>
      <c r="P2472" s="45" t="str">
        <f t="shared" si="29"/>
        <v/>
      </c>
    </row>
    <row r="2473" spans="1:16" ht="17.25">
      <c r="A2473" s="276" t="s">
        <v>8057</v>
      </c>
      <c r="B2473" s="277">
        <v>2012</v>
      </c>
      <c r="C2473" s="276"/>
      <c r="D2473" s="277">
        <v>22494019</v>
      </c>
      <c r="E2473" s="278" t="str">
        <f t="shared" si="23"/>
        <v>https://pubmed.ncbi.nlm.nih.gov/22494019</v>
      </c>
      <c r="F2473" s="28" t="s">
        <v>511</v>
      </c>
      <c r="G2473" s="28" t="s">
        <v>4744</v>
      </c>
      <c r="J2473" s="346" t="str">
        <f t="shared" si="30"/>
        <v/>
      </c>
      <c r="K2473" s="28" t="str">
        <f t="shared" si="24"/>
        <v/>
      </c>
      <c r="L2473" s="45" t="str">
        <f t="shared" si="25"/>
        <v/>
      </c>
      <c r="M2473" s="45" t="str">
        <f t="shared" si="26"/>
        <v/>
      </c>
      <c r="N2473" s="45">
        <f t="shared" si="27"/>
        <v>1</v>
      </c>
      <c r="O2473" s="45" t="str">
        <f t="shared" si="28"/>
        <v/>
      </c>
      <c r="P2473" s="45" t="str">
        <f t="shared" si="29"/>
        <v/>
      </c>
    </row>
    <row r="2474" spans="1:16" ht="17.25">
      <c r="A2474" s="276" t="s">
        <v>8058</v>
      </c>
      <c r="B2474" s="277">
        <v>1997</v>
      </c>
      <c r="C2474" s="276"/>
      <c r="D2474" s="277">
        <v>9315790</v>
      </c>
      <c r="E2474" s="278" t="str">
        <f t="shared" si="23"/>
        <v>https://pubmed.ncbi.nlm.nih.gov/9315790</v>
      </c>
      <c r="F2474" s="28" t="s">
        <v>511</v>
      </c>
      <c r="G2474" s="28" t="s">
        <v>4744</v>
      </c>
      <c r="J2474" s="346" t="str">
        <f t="shared" si="30"/>
        <v/>
      </c>
      <c r="K2474" s="28" t="str">
        <f t="shared" si="24"/>
        <v/>
      </c>
      <c r="L2474" s="45" t="str">
        <f t="shared" si="25"/>
        <v/>
      </c>
      <c r="M2474" s="45" t="str">
        <f t="shared" si="26"/>
        <v/>
      </c>
      <c r="N2474" s="45">
        <f t="shared" si="27"/>
        <v>1</v>
      </c>
      <c r="O2474" s="45" t="str">
        <f t="shared" si="28"/>
        <v/>
      </c>
      <c r="P2474" s="45" t="str">
        <f t="shared" si="29"/>
        <v/>
      </c>
    </row>
    <row r="2475" spans="1:16" ht="17.25">
      <c r="A2475" s="276" t="s">
        <v>8059</v>
      </c>
      <c r="B2475" s="277">
        <v>2010</v>
      </c>
      <c r="C2475" s="276"/>
      <c r="D2475" s="277">
        <v>21708057</v>
      </c>
      <c r="E2475" s="278" t="str">
        <f t="shared" si="23"/>
        <v>https://pubmed.ncbi.nlm.nih.gov/21708057</v>
      </c>
      <c r="F2475" s="28" t="s">
        <v>511</v>
      </c>
      <c r="G2475" s="28" t="s">
        <v>4744</v>
      </c>
      <c r="I2475" s="28" t="s">
        <v>8060</v>
      </c>
      <c r="J2475" s="346" t="str">
        <f t="shared" si="30"/>
        <v/>
      </c>
      <c r="K2475" s="28" t="str">
        <f t="shared" si="24"/>
        <v/>
      </c>
      <c r="L2475" s="45" t="str">
        <f t="shared" si="25"/>
        <v/>
      </c>
      <c r="M2475" s="45" t="str">
        <f t="shared" si="26"/>
        <v/>
      </c>
      <c r="N2475" s="45">
        <f t="shared" si="27"/>
        <v>1</v>
      </c>
      <c r="O2475" s="45" t="str">
        <f t="shared" si="28"/>
        <v/>
      </c>
      <c r="P2475" s="45" t="str">
        <f t="shared" si="29"/>
        <v/>
      </c>
    </row>
    <row r="2476" spans="1:16" ht="17.25">
      <c r="A2476" s="276" t="s">
        <v>8061</v>
      </c>
      <c r="B2476" s="277">
        <v>2011</v>
      </c>
      <c r="C2476" s="276" t="s">
        <v>8062</v>
      </c>
      <c r="D2476" s="277">
        <v>21714999</v>
      </c>
      <c r="E2476" s="278" t="str">
        <f t="shared" si="23"/>
        <v>https://pubmed.ncbi.nlm.nih.gov/21714999</v>
      </c>
      <c r="F2476" s="28" t="s">
        <v>511</v>
      </c>
      <c r="G2476" s="28" t="s">
        <v>5157</v>
      </c>
      <c r="J2476" s="346" t="str">
        <f t="shared" si="30"/>
        <v/>
      </c>
      <c r="K2476" s="28" t="str">
        <f t="shared" si="24"/>
        <v/>
      </c>
      <c r="L2476" s="45" t="str">
        <f t="shared" si="25"/>
        <v/>
      </c>
      <c r="M2476" s="45" t="str">
        <f t="shared" si="26"/>
        <v/>
      </c>
      <c r="N2476" s="45">
        <f t="shared" si="27"/>
        <v>1</v>
      </c>
      <c r="O2476" s="45" t="str">
        <f t="shared" si="28"/>
        <v/>
      </c>
      <c r="P2476" s="45" t="str">
        <f t="shared" si="29"/>
        <v/>
      </c>
    </row>
    <row r="2477" spans="1:16" ht="17.25">
      <c r="A2477" s="276" t="s">
        <v>8063</v>
      </c>
      <c r="B2477" s="277">
        <v>2017</v>
      </c>
      <c r="C2477" s="276" t="s">
        <v>8064</v>
      </c>
      <c r="D2477" s="277">
        <v>28557548</v>
      </c>
      <c r="E2477" s="278" t="str">
        <f t="shared" si="23"/>
        <v>https://pubmed.ncbi.nlm.nih.gov/28557548</v>
      </c>
      <c r="F2477" s="28" t="s">
        <v>511</v>
      </c>
      <c r="G2477" s="28" t="s">
        <v>4744</v>
      </c>
      <c r="J2477" s="346" t="str">
        <f t="shared" si="30"/>
        <v/>
      </c>
      <c r="K2477" s="28" t="str">
        <f t="shared" si="24"/>
        <v/>
      </c>
      <c r="L2477" s="45" t="str">
        <f t="shared" si="25"/>
        <v/>
      </c>
      <c r="M2477" s="45" t="str">
        <f t="shared" si="26"/>
        <v/>
      </c>
      <c r="N2477" s="45">
        <f t="shared" si="27"/>
        <v>1</v>
      </c>
      <c r="O2477" s="45" t="str">
        <f t="shared" si="28"/>
        <v/>
      </c>
      <c r="P2477" s="45" t="str">
        <f t="shared" si="29"/>
        <v/>
      </c>
    </row>
    <row r="2478" spans="1:16" ht="17.25">
      <c r="A2478" s="276" t="s">
        <v>8065</v>
      </c>
      <c r="B2478" s="277">
        <v>2011</v>
      </c>
      <c r="C2478" s="276"/>
      <c r="D2478" s="277">
        <v>21474905</v>
      </c>
      <c r="E2478" s="278" t="str">
        <f t="shared" si="23"/>
        <v>https://pubmed.ncbi.nlm.nih.gov/21474905</v>
      </c>
      <c r="F2478" s="28" t="s">
        <v>511</v>
      </c>
      <c r="G2478" s="28" t="s">
        <v>5299</v>
      </c>
      <c r="J2478" s="346" t="str">
        <f t="shared" si="30"/>
        <v/>
      </c>
      <c r="K2478" s="28" t="str">
        <f t="shared" si="24"/>
        <v/>
      </c>
      <c r="L2478" s="45" t="str">
        <f t="shared" si="25"/>
        <v/>
      </c>
      <c r="M2478" s="45" t="str">
        <f t="shared" si="26"/>
        <v/>
      </c>
      <c r="N2478" s="45">
        <f t="shared" si="27"/>
        <v>1</v>
      </c>
      <c r="O2478" s="45" t="str">
        <f t="shared" si="28"/>
        <v/>
      </c>
      <c r="P2478" s="45" t="str">
        <f t="shared" si="29"/>
        <v/>
      </c>
    </row>
    <row r="2479" spans="1:16" ht="17.25">
      <c r="A2479" s="276" t="s">
        <v>8066</v>
      </c>
      <c r="B2479" s="277">
        <v>1987</v>
      </c>
      <c r="C2479" s="276"/>
      <c r="D2479" s="277">
        <v>2952125</v>
      </c>
      <c r="E2479" s="278" t="str">
        <f t="shared" si="23"/>
        <v>https://pubmed.ncbi.nlm.nih.gov/2952125</v>
      </c>
      <c r="F2479" s="28" t="s">
        <v>511</v>
      </c>
      <c r="G2479" s="28" t="s">
        <v>4744</v>
      </c>
      <c r="J2479" s="346" t="str">
        <f t="shared" si="30"/>
        <v/>
      </c>
      <c r="K2479" s="28" t="str">
        <f t="shared" si="24"/>
        <v/>
      </c>
      <c r="L2479" s="45" t="str">
        <f t="shared" si="25"/>
        <v/>
      </c>
      <c r="M2479" s="45" t="str">
        <f t="shared" si="26"/>
        <v/>
      </c>
      <c r="N2479" s="45">
        <f t="shared" si="27"/>
        <v>1</v>
      </c>
      <c r="O2479" s="45" t="str">
        <f t="shared" si="28"/>
        <v/>
      </c>
      <c r="P2479" s="45" t="str">
        <f t="shared" si="29"/>
        <v/>
      </c>
    </row>
    <row r="2480" spans="1:16" ht="17.25">
      <c r="A2480" s="276" t="s">
        <v>8067</v>
      </c>
      <c r="B2480" s="277">
        <v>2021</v>
      </c>
      <c r="C2480" s="276"/>
      <c r="D2480" s="277">
        <v>33567185</v>
      </c>
      <c r="E2480" s="278" t="str">
        <f t="shared" si="23"/>
        <v>https://pubmed.ncbi.nlm.nih.gov/33567185</v>
      </c>
      <c r="F2480" s="28" t="s">
        <v>511</v>
      </c>
      <c r="G2480" s="28" t="s">
        <v>5157</v>
      </c>
      <c r="J2480" s="346" t="str">
        <f t="shared" si="30"/>
        <v/>
      </c>
      <c r="K2480" s="28" t="str">
        <f t="shared" si="24"/>
        <v/>
      </c>
      <c r="L2480" s="45" t="str">
        <f t="shared" si="25"/>
        <v/>
      </c>
      <c r="M2480" s="45" t="str">
        <f t="shared" si="26"/>
        <v/>
      </c>
      <c r="N2480" s="45">
        <f t="shared" si="27"/>
        <v>1</v>
      </c>
      <c r="O2480" s="45" t="str">
        <f t="shared" si="28"/>
        <v/>
      </c>
      <c r="P2480" s="45" t="str">
        <f t="shared" si="29"/>
        <v/>
      </c>
    </row>
    <row r="2481" spans="1:16" ht="17.25">
      <c r="A2481" s="276" t="s">
        <v>8068</v>
      </c>
      <c r="B2481" s="277">
        <v>2018</v>
      </c>
      <c r="C2481" s="276" t="s">
        <v>8069</v>
      </c>
      <c r="D2481" s="277">
        <v>30055608</v>
      </c>
      <c r="E2481" s="278" t="str">
        <f t="shared" si="23"/>
        <v>https://pubmed.ncbi.nlm.nih.gov/30055608</v>
      </c>
      <c r="F2481" s="28" t="s">
        <v>511</v>
      </c>
      <c r="G2481" s="28" t="s">
        <v>4744</v>
      </c>
      <c r="J2481" s="346" t="str">
        <f t="shared" si="30"/>
        <v/>
      </c>
      <c r="K2481" s="28" t="str">
        <f t="shared" si="24"/>
        <v/>
      </c>
      <c r="L2481" s="45" t="str">
        <f t="shared" si="25"/>
        <v/>
      </c>
      <c r="M2481" s="45" t="str">
        <f t="shared" si="26"/>
        <v/>
      </c>
      <c r="N2481" s="45">
        <f t="shared" si="27"/>
        <v>1</v>
      </c>
      <c r="O2481" s="45" t="str">
        <f t="shared" si="28"/>
        <v/>
      </c>
      <c r="P2481" s="45" t="str">
        <f t="shared" si="29"/>
        <v/>
      </c>
    </row>
    <row r="2482" spans="1:16" ht="17.25">
      <c r="A2482" s="276" t="s">
        <v>8070</v>
      </c>
      <c r="B2482" s="277">
        <v>2006</v>
      </c>
      <c r="C2482" s="276" t="s">
        <v>8071</v>
      </c>
      <c r="D2482" s="277">
        <v>16449273</v>
      </c>
      <c r="E2482" s="278" t="str">
        <f t="shared" si="23"/>
        <v>https://pubmed.ncbi.nlm.nih.gov/16449273</v>
      </c>
      <c r="F2482" s="28" t="s">
        <v>511</v>
      </c>
      <c r="G2482" s="28" t="s">
        <v>4867</v>
      </c>
      <c r="J2482" s="346" t="str">
        <f t="shared" si="30"/>
        <v/>
      </c>
      <c r="K2482" s="28" t="str">
        <f t="shared" si="24"/>
        <v/>
      </c>
      <c r="L2482" s="45" t="str">
        <f t="shared" si="25"/>
        <v/>
      </c>
      <c r="M2482" s="45" t="str">
        <f t="shared" si="26"/>
        <v/>
      </c>
      <c r="N2482" s="45">
        <f t="shared" si="27"/>
        <v>1</v>
      </c>
      <c r="O2482" s="45" t="str">
        <f t="shared" si="28"/>
        <v/>
      </c>
      <c r="P2482" s="45" t="str">
        <f t="shared" si="29"/>
        <v/>
      </c>
    </row>
    <row r="2483" spans="1:16" ht="17.25">
      <c r="A2483" s="276" t="s">
        <v>8072</v>
      </c>
      <c r="B2483" s="277">
        <v>1998</v>
      </c>
      <c r="C2483" s="276"/>
      <c r="D2483" s="277">
        <v>9566483</v>
      </c>
      <c r="E2483" s="278" t="str">
        <f t="shared" si="23"/>
        <v>https://pubmed.ncbi.nlm.nih.gov/9566483</v>
      </c>
      <c r="F2483" s="28" t="s">
        <v>511</v>
      </c>
      <c r="G2483" s="28" t="s">
        <v>4592</v>
      </c>
      <c r="J2483" s="346">
        <f t="shared" si="30"/>
        <v>1</v>
      </c>
      <c r="K2483" s="28" t="str">
        <f t="shared" si="24"/>
        <v/>
      </c>
      <c r="L2483" s="45" t="str">
        <f t="shared" si="25"/>
        <v/>
      </c>
      <c r="M2483" s="45" t="str">
        <f t="shared" si="26"/>
        <v/>
      </c>
      <c r="N2483" s="45" t="str">
        <f t="shared" si="27"/>
        <v/>
      </c>
      <c r="O2483" s="45" t="str">
        <f t="shared" si="28"/>
        <v/>
      </c>
      <c r="P2483" s="45" t="str">
        <f t="shared" si="29"/>
        <v/>
      </c>
    </row>
    <row r="2484" spans="1:16" ht="17.25">
      <c r="A2484" s="276" t="s">
        <v>8073</v>
      </c>
      <c r="B2484" s="277">
        <v>2016</v>
      </c>
      <c r="C2484" s="276"/>
      <c r="D2484" s="277">
        <v>27329280</v>
      </c>
      <c r="E2484" s="278" t="str">
        <f t="shared" si="23"/>
        <v>https://pubmed.ncbi.nlm.nih.gov/27329280</v>
      </c>
      <c r="F2484" s="28" t="s">
        <v>511</v>
      </c>
      <c r="G2484" s="28" t="s">
        <v>5157</v>
      </c>
      <c r="J2484" s="346" t="str">
        <f t="shared" si="30"/>
        <v/>
      </c>
      <c r="K2484" s="28" t="str">
        <f t="shared" si="24"/>
        <v/>
      </c>
      <c r="L2484" s="45" t="str">
        <f t="shared" si="25"/>
        <v/>
      </c>
      <c r="M2484" s="45" t="str">
        <f t="shared" si="26"/>
        <v/>
      </c>
      <c r="N2484" s="45">
        <f t="shared" si="27"/>
        <v>1</v>
      </c>
      <c r="O2484" s="45" t="str">
        <f t="shared" si="28"/>
        <v/>
      </c>
      <c r="P2484" s="45" t="str">
        <f t="shared" si="29"/>
        <v/>
      </c>
    </row>
    <row r="2485" spans="1:16" ht="17.25">
      <c r="A2485" s="276" t="s">
        <v>8074</v>
      </c>
      <c r="B2485" s="277">
        <v>2017</v>
      </c>
      <c r="C2485" s="276"/>
      <c r="D2485" s="277">
        <v>28216284</v>
      </c>
      <c r="E2485" s="278" t="str">
        <f t="shared" si="23"/>
        <v>https://pubmed.ncbi.nlm.nih.gov/28216284</v>
      </c>
      <c r="F2485" s="28" t="s">
        <v>511</v>
      </c>
      <c r="G2485" s="28" t="s">
        <v>6712</v>
      </c>
      <c r="J2485" s="346" t="str">
        <f t="shared" si="30"/>
        <v/>
      </c>
      <c r="K2485" s="28" t="str">
        <f t="shared" si="24"/>
        <v/>
      </c>
      <c r="L2485" s="45" t="str">
        <f t="shared" si="25"/>
        <v/>
      </c>
      <c r="M2485" s="45" t="str">
        <f t="shared" si="26"/>
        <v/>
      </c>
      <c r="N2485" s="45">
        <f t="shared" si="27"/>
        <v>1</v>
      </c>
      <c r="O2485" s="45" t="str">
        <f t="shared" si="28"/>
        <v/>
      </c>
      <c r="P2485" s="45" t="str">
        <f t="shared" si="29"/>
        <v/>
      </c>
    </row>
    <row r="2486" spans="1:16" ht="17.25">
      <c r="A2486" s="276" t="s">
        <v>8075</v>
      </c>
      <c r="B2486" s="277">
        <v>2015</v>
      </c>
      <c r="C2486" s="276"/>
      <c r="D2486" s="277">
        <v>26269925</v>
      </c>
      <c r="E2486" s="278" t="str">
        <f t="shared" si="23"/>
        <v>https://pubmed.ncbi.nlm.nih.gov/26269925</v>
      </c>
      <c r="F2486" s="28" t="s">
        <v>511</v>
      </c>
      <c r="G2486" s="28" t="s">
        <v>4592</v>
      </c>
      <c r="J2486" s="346">
        <f t="shared" si="30"/>
        <v>1</v>
      </c>
      <c r="K2486" s="28" t="str">
        <f t="shared" si="24"/>
        <v/>
      </c>
      <c r="L2486" s="45" t="str">
        <f t="shared" si="25"/>
        <v/>
      </c>
      <c r="M2486" s="45" t="str">
        <f t="shared" si="26"/>
        <v/>
      </c>
      <c r="N2486" s="45" t="str">
        <f t="shared" si="27"/>
        <v/>
      </c>
      <c r="O2486" s="45" t="str">
        <f t="shared" si="28"/>
        <v/>
      </c>
      <c r="P2486" s="45" t="str">
        <f t="shared" si="29"/>
        <v/>
      </c>
    </row>
    <row r="2487" spans="1:16" ht="17.25">
      <c r="A2487" s="276" t="s">
        <v>8076</v>
      </c>
      <c r="B2487" s="277">
        <v>2018</v>
      </c>
      <c r="C2487" s="276"/>
      <c r="D2487" s="277">
        <v>29603217</v>
      </c>
      <c r="E2487" s="278" t="str">
        <f t="shared" si="23"/>
        <v>https://pubmed.ncbi.nlm.nih.gov/29603217</v>
      </c>
      <c r="F2487" s="28" t="s">
        <v>511</v>
      </c>
      <c r="G2487" s="28" t="s">
        <v>8077</v>
      </c>
      <c r="J2487" s="346" t="str">
        <f t="shared" si="30"/>
        <v/>
      </c>
      <c r="K2487" s="28" t="str">
        <f t="shared" si="24"/>
        <v/>
      </c>
      <c r="L2487" s="45" t="str">
        <f t="shared" si="25"/>
        <v/>
      </c>
      <c r="M2487" s="45" t="str">
        <f t="shared" si="26"/>
        <v/>
      </c>
      <c r="N2487" s="45">
        <f t="shared" si="27"/>
        <v>1</v>
      </c>
      <c r="O2487" s="45" t="str">
        <f t="shared" si="28"/>
        <v/>
      </c>
      <c r="P2487" s="45" t="str">
        <f t="shared" si="29"/>
        <v/>
      </c>
    </row>
    <row r="2488" spans="1:16" ht="17.25">
      <c r="A2488" s="276" t="s">
        <v>8078</v>
      </c>
      <c r="B2488" s="277">
        <v>2016</v>
      </c>
      <c r="C2488" s="276" t="s">
        <v>8079</v>
      </c>
      <c r="D2488" s="277">
        <v>27077121</v>
      </c>
      <c r="E2488" s="278" t="str">
        <f t="shared" si="23"/>
        <v>https://pubmed.ncbi.nlm.nih.gov/27077121</v>
      </c>
      <c r="F2488" s="28" t="s">
        <v>511</v>
      </c>
      <c r="G2488" s="28" t="s">
        <v>4744</v>
      </c>
      <c r="J2488" s="346" t="str">
        <f t="shared" si="30"/>
        <v/>
      </c>
      <c r="K2488" s="28" t="str">
        <f t="shared" si="24"/>
        <v/>
      </c>
      <c r="L2488" s="45" t="str">
        <f t="shared" si="25"/>
        <v/>
      </c>
      <c r="M2488" s="45" t="str">
        <f t="shared" si="26"/>
        <v/>
      </c>
      <c r="N2488" s="45">
        <f t="shared" si="27"/>
        <v>1</v>
      </c>
      <c r="O2488" s="45" t="str">
        <f t="shared" si="28"/>
        <v/>
      </c>
      <c r="P2488" s="45" t="str">
        <f t="shared" si="29"/>
        <v/>
      </c>
    </row>
    <row r="2489" spans="1:16" ht="17.25">
      <c r="A2489" s="276" t="s">
        <v>8080</v>
      </c>
      <c r="B2489" s="277">
        <v>2010</v>
      </c>
      <c r="C2489" s="276"/>
      <c r="D2489" s="277">
        <v>20803300</v>
      </c>
      <c r="E2489" s="278" t="str">
        <f t="shared" si="23"/>
        <v>https://pubmed.ncbi.nlm.nih.gov/20803300</v>
      </c>
      <c r="F2489" s="28" t="s">
        <v>511</v>
      </c>
      <c r="G2489" s="28" t="s">
        <v>5157</v>
      </c>
      <c r="J2489" s="346" t="str">
        <f t="shared" si="30"/>
        <v/>
      </c>
      <c r="K2489" s="28" t="str">
        <f t="shared" si="24"/>
        <v/>
      </c>
      <c r="L2489" s="45" t="str">
        <f t="shared" si="25"/>
        <v/>
      </c>
      <c r="M2489" s="45" t="str">
        <f t="shared" si="26"/>
        <v/>
      </c>
      <c r="N2489" s="45">
        <f t="shared" si="27"/>
        <v>1</v>
      </c>
      <c r="O2489" s="45" t="str">
        <f t="shared" si="28"/>
        <v/>
      </c>
      <c r="P2489" s="45" t="str">
        <f t="shared" si="29"/>
        <v/>
      </c>
    </row>
    <row r="2490" spans="1:16" ht="17.25">
      <c r="A2490" s="276" t="s">
        <v>8081</v>
      </c>
      <c r="B2490" s="277">
        <v>2015</v>
      </c>
      <c r="C2490" s="276"/>
      <c r="D2490" s="277">
        <v>25583294</v>
      </c>
      <c r="E2490" s="278" t="str">
        <f t="shared" si="23"/>
        <v>https://pubmed.ncbi.nlm.nih.gov/25583294</v>
      </c>
      <c r="F2490" s="28" t="s">
        <v>511</v>
      </c>
      <c r="G2490" s="28" t="s">
        <v>4592</v>
      </c>
      <c r="J2490" s="346">
        <f t="shared" si="30"/>
        <v>1</v>
      </c>
      <c r="K2490" s="28" t="str">
        <f t="shared" si="24"/>
        <v/>
      </c>
      <c r="L2490" s="45" t="str">
        <f t="shared" si="25"/>
        <v/>
      </c>
      <c r="M2490" s="45" t="str">
        <f t="shared" si="26"/>
        <v/>
      </c>
      <c r="N2490" s="45" t="str">
        <f t="shared" si="27"/>
        <v/>
      </c>
      <c r="O2490" s="45" t="str">
        <f t="shared" si="28"/>
        <v/>
      </c>
      <c r="P2490" s="45" t="str">
        <f t="shared" si="29"/>
        <v/>
      </c>
    </row>
    <row r="2491" spans="1:16" ht="17.25">
      <c r="A2491" s="276" t="s">
        <v>8082</v>
      </c>
      <c r="B2491" s="277">
        <v>2002</v>
      </c>
      <c r="C2491" s="276"/>
      <c r="D2491" s="277">
        <v>12581507</v>
      </c>
      <c r="E2491" s="278" t="str">
        <f t="shared" si="23"/>
        <v>https://pubmed.ncbi.nlm.nih.gov/12581507</v>
      </c>
      <c r="F2491" s="28" t="s">
        <v>511</v>
      </c>
      <c r="G2491" s="28" t="s">
        <v>4867</v>
      </c>
      <c r="J2491" s="346" t="str">
        <f t="shared" si="30"/>
        <v/>
      </c>
      <c r="K2491" s="28" t="str">
        <f t="shared" si="24"/>
        <v/>
      </c>
      <c r="L2491" s="45" t="str">
        <f t="shared" si="25"/>
        <v/>
      </c>
      <c r="M2491" s="45" t="str">
        <f t="shared" si="26"/>
        <v/>
      </c>
      <c r="N2491" s="45">
        <f t="shared" si="27"/>
        <v>1</v>
      </c>
      <c r="O2491" s="45" t="str">
        <f t="shared" si="28"/>
        <v/>
      </c>
      <c r="P2491" s="45" t="str">
        <f t="shared" si="29"/>
        <v/>
      </c>
    </row>
    <row r="2492" spans="1:16" ht="17.25">
      <c r="A2492" s="276" t="s">
        <v>8083</v>
      </c>
      <c r="B2492" s="277">
        <v>2020</v>
      </c>
      <c r="C2492" s="276" t="s">
        <v>8084</v>
      </c>
      <c r="D2492" s="277">
        <v>32791241</v>
      </c>
      <c r="E2492" s="278" t="str">
        <f t="shared" si="23"/>
        <v>https://pubmed.ncbi.nlm.nih.gov/32791241</v>
      </c>
      <c r="F2492" s="28" t="s">
        <v>511</v>
      </c>
      <c r="G2492" s="28" t="s">
        <v>4592</v>
      </c>
      <c r="J2492" s="346">
        <f t="shared" si="30"/>
        <v>1</v>
      </c>
      <c r="K2492" s="28" t="str">
        <f t="shared" si="24"/>
        <v/>
      </c>
      <c r="L2492" s="45" t="str">
        <f t="shared" si="25"/>
        <v/>
      </c>
      <c r="M2492" s="45" t="str">
        <f t="shared" si="26"/>
        <v/>
      </c>
      <c r="N2492" s="45" t="str">
        <f t="shared" si="27"/>
        <v/>
      </c>
      <c r="O2492" s="45" t="str">
        <f t="shared" si="28"/>
        <v/>
      </c>
      <c r="P2492" s="45" t="str">
        <f t="shared" si="29"/>
        <v/>
      </c>
    </row>
    <row r="2493" spans="1:16" ht="17.25">
      <c r="A2493" s="276" t="s">
        <v>8085</v>
      </c>
      <c r="B2493" s="277">
        <v>2006</v>
      </c>
      <c r="C2493" s="276"/>
      <c r="D2493" s="277">
        <v>17083854</v>
      </c>
      <c r="E2493" s="278" t="str">
        <f t="shared" si="23"/>
        <v>https://pubmed.ncbi.nlm.nih.gov/17083854</v>
      </c>
      <c r="F2493" s="28" t="s">
        <v>511</v>
      </c>
      <c r="G2493" s="28" t="s">
        <v>4592</v>
      </c>
      <c r="J2493" s="346">
        <f t="shared" si="30"/>
        <v>1</v>
      </c>
      <c r="K2493" s="28" t="str">
        <f t="shared" si="24"/>
        <v/>
      </c>
      <c r="L2493" s="45" t="str">
        <f t="shared" si="25"/>
        <v/>
      </c>
      <c r="M2493" s="45" t="str">
        <f t="shared" si="26"/>
        <v/>
      </c>
      <c r="N2493" s="45" t="str">
        <f t="shared" si="27"/>
        <v/>
      </c>
      <c r="O2493" s="45" t="str">
        <f t="shared" si="28"/>
        <v/>
      </c>
      <c r="P2493" s="45" t="str">
        <f t="shared" si="29"/>
        <v/>
      </c>
    </row>
    <row r="2494" spans="1:16" ht="17.25">
      <c r="A2494" s="276" t="s">
        <v>8086</v>
      </c>
      <c r="B2494" s="277">
        <v>2016</v>
      </c>
      <c r="C2494" s="276"/>
      <c r="D2494" s="277">
        <v>27115264</v>
      </c>
      <c r="E2494" s="278" t="str">
        <f t="shared" si="23"/>
        <v>https://pubmed.ncbi.nlm.nih.gov/27115264</v>
      </c>
      <c r="F2494" s="28" t="s">
        <v>511</v>
      </c>
      <c r="G2494" s="28" t="s">
        <v>5157</v>
      </c>
      <c r="J2494" s="346" t="str">
        <f t="shared" si="30"/>
        <v/>
      </c>
      <c r="K2494" s="28" t="str">
        <f t="shared" si="24"/>
        <v/>
      </c>
      <c r="L2494" s="45" t="str">
        <f t="shared" si="25"/>
        <v/>
      </c>
      <c r="M2494" s="45" t="str">
        <f t="shared" si="26"/>
        <v/>
      </c>
      <c r="N2494" s="45">
        <f t="shared" si="27"/>
        <v>1</v>
      </c>
      <c r="O2494" s="45" t="str">
        <f t="shared" si="28"/>
        <v/>
      </c>
      <c r="P2494" s="45" t="str">
        <f t="shared" si="29"/>
        <v/>
      </c>
    </row>
    <row r="2495" spans="1:16" ht="17.25">
      <c r="A2495" s="276" t="s">
        <v>8087</v>
      </c>
      <c r="B2495" s="277">
        <v>2015</v>
      </c>
      <c r="C2495" s="276" t="s">
        <v>8088</v>
      </c>
      <c r="D2495" s="277">
        <v>25923779</v>
      </c>
      <c r="E2495" s="278" t="str">
        <f t="shared" si="23"/>
        <v>https://pubmed.ncbi.nlm.nih.gov/25923779</v>
      </c>
      <c r="F2495" s="28" t="s">
        <v>511</v>
      </c>
      <c r="G2495" s="28" t="s">
        <v>8089</v>
      </c>
      <c r="J2495" s="346" t="str">
        <f t="shared" si="30"/>
        <v/>
      </c>
      <c r="K2495" s="28" t="str">
        <f t="shared" si="24"/>
        <v/>
      </c>
      <c r="L2495" s="45" t="str">
        <f t="shared" si="25"/>
        <v/>
      </c>
      <c r="M2495" s="45" t="str">
        <f t="shared" si="26"/>
        <v/>
      </c>
      <c r="N2495" s="45" t="str">
        <f t="shared" si="27"/>
        <v/>
      </c>
      <c r="O2495" s="45">
        <f t="shared" si="28"/>
        <v>1</v>
      </c>
      <c r="P2495" s="45" t="str">
        <f t="shared" si="29"/>
        <v/>
      </c>
    </row>
    <row r="2496" spans="1:16" ht="17.25">
      <c r="A2496" s="276" t="s">
        <v>8090</v>
      </c>
      <c r="B2496" s="277">
        <v>2016</v>
      </c>
      <c r="C2496" s="276" t="s">
        <v>8091</v>
      </c>
      <c r="D2496" s="277">
        <v>25894886</v>
      </c>
      <c r="E2496" s="278" t="str">
        <f t="shared" si="23"/>
        <v>https://pubmed.ncbi.nlm.nih.gov/25894886</v>
      </c>
      <c r="F2496" s="28" t="s">
        <v>511</v>
      </c>
      <c r="G2496" s="28" t="s">
        <v>6220</v>
      </c>
      <c r="J2496" s="346">
        <f t="shared" si="30"/>
        <v>1</v>
      </c>
      <c r="K2496" s="28" t="str">
        <f t="shared" si="24"/>
        <v/>
      </c>
      <c r="L2496" s="45" t="str">
        <f t="shared" si="25"/>
        <v/>
      </c>
      <c r="M2496" s="45" t="str">
        <f t="shared" si="26"/>
        <v/>
      </c>
      <c r="N2496" s="45" t="str">
        <f t="shared" si="27"/>
        <v/>
      </c>
      <c r="O2496" s="45" t="str">
        <f t="shared" si="28"/>
        <v/>
      </c>
      <c r="P2496" s="45" t="str">
        <f t="shared" si="29"/>
        <v/>
      </c>
    </row>
    <row r="2497" spans="1:16" ht="17.25">
      <c r="A2497" s="276" t="s">
        <v>8092</v>
      </c>
      <c r="B2497" s="277">
        <v>2015</v>
      </c>
      <c r="C2497" s="276" t="s">
        <v>8093</v>
      </c>
      <c r="D2497" s="277">
        <v>26168834</v>
      </c>
      <c r="E2497" s="278" t="str">
        <f t="shared" si="23"/>
        <v>https://pubmed.ncbi.nlm.nih.gov/26168834</v>
      </c>
      <c r="F2497" s="28" t="s">
        <v>511</v>
      </c>
      <c r="G2497" s="28" t="s">
        <v>5157</v>
      </c>
      <c r="J2497" s="346" t="str">
        <f t="shared" si="30"/>
        <v/>
      </c>
      <c r="K2497" s="28" t="str">
        <f t="shared" si="24"/>
        <v/>
      </c>
      <c r="L2497" s="45" t="str">
        <f t="shared" si="25"/>
        <v/>
      </c>
      <c r="M2497" s="45" t="str">
        <f t="shared" si="26"/>
        <v/>
      </c>
      <c r="N2497" s="45">
        <f t="shared" si="27"/>
        <v>1</v>
      </c>
      <c r="O2497" s="45" t="str">
        <f t="shared" si="28"/>
        <v/>
      </c>
      <c r="P2497" s="45" t="str">
        <f t="shared" si="29"/>
        <v/>
      </c>
    </row>
    <row r="2498" spans="1:16" ht="17.25">
      <c r="A2498" s="276" t="s">
        <v>8094</v>
      </c>
      <c r="B2498" s="277">
        <v>2020</v>
      </c>
      <c r="C2498" s="276" t="s">
        <v>8095</v>
      </c>
      <c r="D2498" s="277">
        <v>31821904</v>
      </c>
      <c r="E2498" s="278" t="str">
        <f t="shared" si="23"/>
        <v>https://pubmed.ncbi.nlm.nih.gov/31821904</v>
      </c>
      <c r="F2498" s="28" t="s">
        <v>511</v>
      </c>
      <c r="G2498" s="28" t="s">
        <v>6220</v>
      </c>
      <c r="J2498" s="346">
        <f t="shared" si="30"/>
        <v>1</v>
      </c>
      <c r="K2498" s="28" t="str">
        <f t="shared" si="24"/>
        <v/>
      </c>
      <c r="L2498" s="45" t="str">
        <f t="shared" si="25"/>
        <v/>
      </c>
      <c r="M2498" s="45" t="str">
        <f t="shared" si="26"/>
        <v/>
      </c>
      <c r="N2498" s="45" t="str">
        <f t="shared" si="27"/>
        <v/>
      </c>
      <c r="O2498" s="45" t="str">
        <f t="shared" si="28"/>
        <v/>
      </c>
      <c r="P2498" s="45" t="str">
        <f t="shared" si="29"/>
        <v/>
      </c>
    </row>
    <row r="2499" spans="1:16" ht="17.25">
      <c r="A2499" s="276" t="s">
        <v>8096</v>
      </c>
      <c r="B2499" s="277">
        <v>2020</v>
      </c>
      <c r="C2499" s="276" t="s">
        <v>8097</v>
      </c>
      <c r="D2499" s="277">
        <v>32925778</v>
      </c>
      <c r="E2499" s="278" t="str">
        <f t="shared" si="23"/>
        <v>https://pubmed.ncbi.nlm.nih.gov/32925778</v>
      </c>
      <c r="F2499" s="28" t="s">
        <v>511</v>
      </c>
      <c r="G2499" s="28" t="s">
        <v>5299</v>
      </c>
      <c r="J2499" s="346" t="str">
        <f t="shared" si="30"/>
        <v/>
      </c>
      <c r="K2499" s="28" t="str">
        <f t="shared" si="24"/>
        <v/>
      </c>
      <c r="L2499" s="45" t="str">
        <f t="shared" si="25"/>
        <v/>
      </c>
      <c r="M2499" s="45" t="str">
        <f t="shared" si="26"/>
        <v/>
      </c>
      <c r="N2499" s="45">
        <f t="shared" si="27"/>
        <v>1</v>
      </c>
      <c r="O2499" s="45" t="str">
        <f t="shared" si="28"/>
        <v/>
      </c>
      <c r="P2499" s="45" t="str">
        <f t="shared" si="29"/>
        <v/>
      </c>
    </row>
    <row r="2500" spans="1:16" ht="17.25">
      <c r="A2500" s="276" t="s">
        <v>8098</v>
      </c>
      <c r="B2500" s="277">
        <v>2019</v>
      </c>
      <c r="C2500" s="276"/>
      <c r="D2500" s="277">
        <v>31235403</v>
      </c>
      <c r="E2500" s="278" t="str">
        <f t="shared" si="23"/>
        <v>https://pubmed.ncbi.nlm.nih.gov/31235403</v>
      </c>
      <c r="F2500" s="28" t="s">
        <v>511</v>
      </c>
      <c r="G2500" s="28" t="s">
        <v>4592</v>
      </c>
      <c r="J2500" s="346">
        <f t="shared" si="30"/>
        <v>1</v>
      </c>
      <c r="K2500" s="28" t="str">
        <f t="shared" si="24"/>
        <v/>
      </c>
      <c r="L2500" s="45" t="str">
        <f t="shared" si="25"/>
        <v/>
      </c>
      <c r="M2500" s="45" t="str">
        <f t="shared" si="26"/>
        <v/>
      </c>
      <c r="N2500" s="45" t="str">
        <f t="shared" si="27"/>
        <v/>
      </c>
      <c r="O2500" s="45" t="str">
        <f t="shared" si="28"/>
        <v/>
      </c>
      <c r="P2500" s="45" t="str">
        <f t="shared" si="29"/>
        <v/>
      </c>
    </row>
    <row r="2501" spans="1:16" ht="17.25">
      <c r="A2501" s="276" t="s">
        <v>8099</v>
      </c>
      <c r="B2501" s="277">
        <v>2016</v>
      </c>
      <c r="C2501" s="276"/>
      <c r="D2501" s="277">
        <v>26718001</v>
      </c>
      <c r="E2501" s="278" t="str">
        <f t="shared" si="23"/>
        <v>https://pubmed.ncbi.nlm.nih.gov/26718001</v>
      </c>
      <c r="F2501" s="28" t="s">
        <v>511</v>
      </c>
      <c r="G2501" s="28" t="s">
        <v>5273</v>
      </c>
      <c r="J2501" s="346">
        <f t="shared" si="30"/>
        <v>1</v>
      </c>
      <c r="K2501" s="28" t="str">
        <f t="shared" si="24"/>
        <v/>
      </c>
      <c r="L2501" s="45" t="str">
        <f t="shared" si="25"/>
        <v/>
      </c>
      <c r="M2501" s="45" t="str">
        <f t="shared" si="26"/>
        <v/>
      </c>
      <c r="N2501" s="45" t="str">
        <f t="shared" si="27"/>
        <v/>
      </c>
      <c r="O2501" s="45" t="str">
        <f t="shared" si="28"/>
        <v/>
      </c>
      <c r="P2501" s="45" t="str">
        <f t="shared" si="29"/>
        <v/>
      </c>
    </row>
    <row r="2502" spans="1:16" ht="17.25">
      <c r="A2502" s="276" t="s">
        <v>8100</v>
      </c>
      <c r="B2502" s="277">
        <v>2014</v>
      </c>
      <c r="C2502" s="276"/>
      <c r="D2502" s="277">
        <v>24276956</v>
      </c>
      <c r="E2502" s="278" t="str">
        <f t="shared" si="23"/>
        <v>https://pubmed.ncbi.nlm.nih.gov/24276956</v>
      </c>
      <c r="F2502" s="28" t="s">
        <v>511</v>
      </c>
      <c r="G2502" s="28" t="s">
        <v>6220</v>
      </c>
      <c r="J2502" s="346">
        <f t="shared" si="30"/>
        <v>1</v>
      </c>
      <c r="K2502" s="28" t="str">
        <f t="shared" si="24"/>
        <v/>
      </c>
      <c r="L2502" s="45" t="str">
        <f t="shared" si="25"/>
        <v/>
      </c>
      <c r="M2502" s="45" t="str">
        <f t="shared" si="26"/>
        <v/>
      </c>
      <c r="N2502" s="45" t="str">
        <f t="shared" si="27"/>
        <v/>
      </c>
      <c r="O2502" s="45" t="str">
        <f t="shared" si="28"/>
        <v/>
      </c>
      <c r="P2502" s="45" t="str">
        <f t="shared" si="29"/>
        <v/>
      </c>
    </row>
    <row r="2503" spans="1:16" ht="17.25">
      <c r="A2503" s="276" t="s">
        <v>8101</v>
      </c>
      <c r="B2503" s="277">
        <v>2011</v>
      </c>
      <c r="C2503" s="276" t="s">
        <v>8102</v>
      </c>
      <c r="D2503" s="277">
        <v>21306238</v>
      </c>
      <c r="E2503" s="278" t="str">
        <f t="shared" si="23"/>
        <v>https://pubmed.ncbi.nlm.nih.gov/21306238</v>
      </c>
      <c r="F2503" s="28" t="s">
        <v>511</v>
      </c>
      <c r="G2503" s="28" t="s">
        <v>4744</v>
      </c>
      <c r="J2503" s="346" t="str">
        <f t="shared" si="30"/>
        <v/>
      </c>
      <c r="K2503" s="28" t="str">
        <f t="shared" si="24"/>
        <v/>
      </c>
      <c r="L2503" s="45" t="str">
        <f t="shared" si="25"/>
        <v/>
      </c>
      <c r="M2503" s="45" t="str">
        <f t="shared" si="26"/>
        <v/>
      </c>
      <c r="N2503" s="45">
        <f t="shared" si="27"/>
        <v>1</v>
      </c>
      <c r="O2503" s="45" t="str">
        <f t="shared" si="28"/>
        <v/>
      </c>
      <c r="P2503" s="45" t="str">
        <f t="shared" si="29"/>
        <v/>
      </c>
    </row>
    <row r="2504" spans="1:16" ht="17.25">
      <c r="A2504" s="276" t="s">
        <v>8103</v>
      </c>
      <c r="B2504" s="277">
        <v>2018</v>
      </c>
      <c r="C2504" s="276"/>
      <c r="D2504" s="277">
        <v>30008076</v>
      </c>
      <c r="E2504" s="278" t="str">
        <f t="shared" si="23"/>
        <v>https://pubmed.ncbi.nlm.nih.gov/30008076</v>
      </c>
      <c r="F2504" s="28" t="s">
        <v>511</v>
      </c>
      <c r="G2504" s="28" t="s">
        <v>7640</v>
      </c>
      <c r="J2504" s="346">
        <f t="shared" si="30"/>
        <v>1</v>
      </c>
      <c r="K2504" s="28" t="str">
        <f t="shared" si="24"/>
        <v/>
      </c>
      <c r="L2504" s="45" t="str">
        <f t="shared" si="25"/>
        <v/>
      </c>
      <c r="M2504" s="45" t="str">
        <f t="shared" si="26"/>
        <v/>
      </c>
      <c r="N2504" s="45" t="str">
        <f t="shared" si="27"/>
        <v/>
      </c>
      <c r="O2504" s="45" t="str">
        <f t="shared" si="28"/>
        <v/>
      </c>
      <c r="P2504" s="45" t="str">
        <f t="shared" si="29"/>
        <v/>
      </c>
    </row>
    <row r="2505" spans="1:16" ht="17.25">
      <c r="A2505" s="276" t="s">
        <v>8104</v>
      </c>
      <c r="B2505" s="277">
        <v>2018</v>
      </c>
      <c r="C2505" s="276"/>
      <c r="D2505" s="277">
        <v>29968171</v>
      </c>
      <c r="E2505" s="278" t="str">
        <f t="shared" si="23"/>
        <v>https://pubmed.ncbi.nlm.nih.gov/29968171</v>
      </c>
      <c r="F2505" s="28" t="s">
        <v>511</v>
      </c>
      <c r="G2505" s="28" t="s">
        <v>4592</v>
      </c>
      <c r="J2505" s="346">
        <f t="shared" si="30"/>
        <v>1</v>
      </c>
      <c r="K2505" s="28" t="str">
        <f t="shared" si="24"/>
        <v/>
      </c>
      <c r="L2505" s="45" t="str">
        <f t="shared" si="25"/>
        <v/>
      </c>
      <c r="M2505" s="45" t="str">
        <f t="shared" si="26"/>
        <v/>
      </c>
      <c r="N2505" s="45" t="str">
        <f t="shared" si="27"/>
        <v/>
      </c>
      <c r="O2505" s="45" t="str">
        <f t="shared" si="28"/>
        <v/>
      </c>
      <c r="P2505" s="45" t="str">
        <f t="shared" si="29"/>
        <v/>
      </c>
    </row>
    <row r="2506" spans="1:16" ht="17.25">
      <c r="A2506" s="276" t="s">
        <v>8105</v>
      </c>
      <c r="B2506" s="277">
        <v>2017</v>
      </c>
      <c r="C2506" s="276"/>
      <c r="D2506" s="277">
        <v>28220330</v>
      </c>
      <c r="E2506" s="278" t="str">
        <f t="shared" si="23"/>
        <v>https://pubmed.ncbi.nlm.nih.gov/28220330</v>
      </c>
      <c r="F2506" s="28" t="s">
        <v>511</v>
      </c>
      <c r="G2506" s="28" t="s">
        <v>4592</v>
      </c>
      <c r="J2506" s="346">
        <f t="shared" si="30"/>
        <v>1</v>
      </c>
      <c r="K2506" s="28" t="str">
        <f t="shared" si="24"/>
        <v/>
      </c>
      <c r="L2506" s="45" t="str">
        <f t="shared" si="25"/>
        <v/>
      </c>
      <c r="M2506" s="45" t="str">
        <f t="shared" si="26"/>
        <v/>
      </c>
      <c r="N2506" s="45" t="str">
        <f t="shared" si="27"/>
        <v/>
      </c>
      <c r="O2506" s="45" t="str">
        <f t="shared" si="28"/>
        <v/>
      </c>
      <c r="P2506" s="45" t="str">
        <f t="shared" si="29"/>
        <v/>
      </c>
    </row>
    <row r="2507" spans="1:16" ht="17.25">
      <c r="A2507" s="276" t="s">
        <v>8106</v>
      </c>
      <c r="B2507" s="277">
        <v>2015</v>
      </c>
      <c r="C2507" s="276" t="s">
        <v>8107</v>
      </c>
      <c r="D2507" s="277">
        <v>26558953</v>
      </c>
      <c r="E2507" s="278" t="str">
        <f t="shared" si="23"/>
        <v>https://pubmed.ncbi.nlm.nih.gov/26558953</v>
      </c>
      <c r="F2507" s="28" t="s">
        <v>511</v>
      </c>
      <c r="G2507" s="28" t="s">
        <v>4592</v>
      </c>
      <c r="J2507" s="346">
        <f t="shared" si="30"/>
        <v>1</v>
      </c>
      <c r="K2507" s="28" t="str">
        <f t="shared" si="24"/>
        <v/>
      </c>
      <c r="L2507" s="45" t="str">
        <f t="shared" si="25"/>
        <v/>
      </c>
      <c r="M2507" s="45" t="str">
        <f t="shared" si="26"/>
        <v/>
      </c>
      <c r="N2507" s="45" t="str">
        <f t="shared" si="27"/>
        <v/>
      </c>
      <c r="O2507" s="45" t="str">
        <f t="shared" si="28"/>
        <v/>
      </c>
      <c r="P2507" s="45" t="str">
        <f t="shared" si="29"/>
        <v/>
      </c>
    </row>
    <row r="2508" spans="1:16" ht="17.25">
      <c r="A2508" s="276" t="s">
        <v>8108</v>
      </c>
      <c r="B2508" s="277">
        <v>2019</v>
      </c>
      <c r="C2508" s="276" t="s">
        <v>8109</v>
      </c>
      <c r="D2508" s="277">
        <v>30822358</v>
      </c>
      <c r="E2508" s="278" t="str">
        <f t="shared" si="23"/>
        <v>https://pubmed.ncbi.nlm.nih.gov/30822358</v>
      </c>
      <c r="F2508" s="28" t="s">
        <v>511</v>
      </c>
      <c r="G2508" s="28" t="s">
        <v>6585</v>
      </c>
      <c r="J2508" s="346" t="str">
        <f t="shared" si="30"/>
        <v/>
      </c>
      <c r="K2508" s="28" t="str">
        <f t="shared" si="24"/>
        <v/>
      </c>
      <c r="L2508" s="45" t="str">
        <f t="shared" si="25"/>
        <v/>
      </c>
      <c r="M2508" s="45" t="str">
        <f t="shared" si="26"/>
        <v/>
      </c>
      <c r="N2508" s="45">
        <f t="shared" si="27"/>
        <v>1</v>
      </c>
      <c r="O2508" s="45" t="str">
        <f t="shared" si="28"/>
        <v/>
      </c>
      <c r="P2508" s="45" t="str">
        <f t="shared" si="29"/>
        <v/>
      </c>
    </row>
    <row r="2509" spans="1:16" ht="17.25">
      <c r="A2509" s="276" t="s">
        <v>8110</v>
      </c>
      <c r="B2509" s="277">
        <v>2019</v>
      </c>
      <c r="C2509" s="276"/>
      <c r="D2509" s="277">
        <v>31314192</v>
      </c>
      <c r="E2509" s="278" t="str">
        <f t="shared" si="23"/>
        <v>https://pubmed.ncbi.nlm.nih.gov/31314192</v>
      </c>
      <c r="F2509" s="28" t="s">
        <v>511</v>
      </c>
      <c r="G2509" s="28" t="s">
        <v>4592</v>
      </c>
      <c r="J2509" s="346">
        <f t="shared" si="30"/>
        <v>1</v>
      </c>
      <c r="K2509" s="28" t="str">
        <f t="shared" si="24"/>
        <v/>
      </c>
      <c r="L2509" s="45" t="str">
        <f t="shared" si="25"/>
        <v/>
      </c>
      <c r="M2509" s="45" t="str">
        <f t="shared" si="26"/>
        <v/>
      </c>
      <c r="N2509" s="45" t="str">
        <f t="shared" si="27"/>
        <v/>
      </c>
      <c r="O2509" s="45" t="str">
        <f t="shared" si="28"/>
        <v/>
      </c>
      <c r="P2509" s="45" t="str">
        <f t="shared" si="29"/>
        <v/>
      </c>
    </row>
    <row r="2510" spans="1:16" ht="17.25">
      <c r="A2510" s="276" t="s">
        <v>8111</v>
      </c>
      <c r="B2510" s="277">
        <v>2017</v>
      </c>
      <c r="C2510" s="276"/>
      <c r="D2510" s="277">
        <v>28847985</v>
      </c>
      <c r="E2510" s="278" t="str">
        <f t="shared" si="23"/>
        <v>https://pubmed.ncbi.nlm.nih.gov/28847985</v>
      </c>
      <c r="F2510" s="28" t="s">
        <v>511</v>
      </c>
      <c r="G2510" s="28" t="s">
        <v>4592</v>
      </c>
      <c r="J2510" s="346">
        <f t="shared" si="30"/>
        <v>1</v>
      </c>
      <c r="K2510" s="28" t="str">
        <f t="shared" si="24"/>
        <v/>
      </c>
      <c r="L2510" s="45" t="str">
        <f t="shared" si="25"/>
        <v/>
      </c>
      <c r="M2510" s="45" t="str">
        <f t="shared" si="26"/>
        <v/>
      </c>
      <c r="N2510" s="45" t="str">
        <f t="shared" si="27"/>
        <v/>
      </c>
      <c r="O2510" s="45" t="str">
        <f t="shared" si="28"/>
        <v/>
      </c>
      <c r="P2510" s="45" t="str">
        <f t="shared" si="29"/>
        <v/>
      </c>
    </row>
    <row r="2511" spans="1:16" ht="17.25">
      <c r="A2511" s="276" t="s">
        <v>8112</v>
      </c>
      <c r="B2511" s="277">
        <v>2019</v>
      </c>
      <c r="C2511" s="276" t="s">
        <v>8113</v>
      </c>
      <c r="D2511" s="277">
        <v>30264146</v>
      </c>
      <c r="E2511" s="278" t="str">
        <f t="shared" si="23"/>
        <v>https://pubmed.ncbi.nlm.nih.gov/30264146</v>
      </c>
      <c r="F2511" s="28" t="s">
        <v>511</v>
      </c>
      <c r="G2511" s="28" t="s">
        <v>8114</v>
      </c>
      <c r="J2511" s="346" t="str">
        <f t="shared" si="30"/>
        <v/>
      </c>
      <c r="K2511" s="28" t="str">
        <f t="shared" si="24"/>
        <v/>
      </c>
      <c r="L2511" s="45" t="str">
        <f t="shared" si="25"/>
        <v/>
      </c>
      <c r="M2511" s="45" t="str">
        <f t="shared" si="26"/>
        <v/>
      </c>
      <c r="N2511" s="45">
        <f t="shared" si="27"/>
        <v>1</v>
      </c>
      <c r="O2511" s="45" t="str">
        <f t="shared" si="28"/>
        <v/>
      </c>
      <c r="P2511" s="45" t="str">
        <f t="shared" si="29"/>
        <v/>
      </c>
    </row>
    <row r="2512" spans="1:16" ht="17.25">
      <c r="A2512" s="276" t="s">
        <v>8115</v>
      </c>
      <c r="B2512" s="277">
        <v>2012</v>
      </c>
      <c r="C2512" s="276"/>
      <c r="D2512" s="277">
        <v>22520143</v>
      </c>
      <c r="E2512" s="278" t="str">
        <f t="shared" si="23"/>
        <v>https://pubmed.ncbi.nlm.nih.gov/22520143</v>
      </c>
      <c r="F2512" s="28" t="s">
        <v>511</v>
      </c>
      <c r="G2512" s="28" t="s">
        <v>4867</v>
      </c>
      <c r="J2512" s="346" t="str">
        <f t="shared" si="30"/>
        <v/>
      </c>
      <c r="K2512" s="28" t="str">
        <f t="shared" si="24"/>
        <v/>
      </c>
      <c r="L2512" s="45" t="str">
        <f t="shared" si="25"/>
        <v/>
      </c>
      <c r="M2512" s="45" t="str">
        <f t="shared" si="26"/>
        <v/>
      </c>
      <c r="N2512" s="45">
        <f t="shared" si="27"/>
        <v>1</v>
      </c>
      <c r="O2512" s="45" t="str">
        <f t="shared" si="28"/>
        <v/>
      </c>
      <c r="P2512" s="45" t="str">
        <f t="shared" si="29"/>
        <v/>
      </c>
    </row>
    <row r="2513" spans="1:16" ht="17.25">
      <c r="A2513" s="276" t="s">
        <v>8116</v>
      </c>
      <c r="B2513" s="277">
        <v>2006</v>
      </c>
      <c r="C2513" s="276"/>
      <c r="D2513" s="277">
        <v>16789795</v>
      </c>
      <c r="E2513" s="278" t="str">
        <f t="shared" si="23"/>
        <v>https://pubmed.ncbi.nlm.nih.gov/16789795</v>
      </c>
      <c r="F2513" s="28" t="s">
        <v>511</v>
      </c>
      <c r="G2513" s="28" t="s">
        <v>4592</v>
      </c>
      <c r="J2513" s="346">
        <f t="shared" si="30"/>
        <v>1</v>
      </c>
      <c r="K2513" s="28" t="str">
        <f t="shared" si="24"/>
        <v/>
      </c>
      <c r="L2513" s="45" t="str">
        <f t="shared" si="25"/>
        <v/>
      </c>
      <c r="M2513" s="45" t="str">
        <f t="shared" si="26"/>
        <v/>
      </c>
      <c r="N2513" s="45" t="str">
        <f t="shared" si="27"/>
        <v/>
      </c>
      <c r="O2513" s="45" t="str">
        <f t="shared" si="28"/>
        <v/>
      </c>
      <c r="P2513" s="45" t="str">
        <f t="shared" si="29"/>
        <v/>
      </c>
    </row>
    <row r="2514" spans="1:16" ht="17.25">
      <c r="A2514" s="276" t="s">
        <v>8116</v>
      </c>
      <c r="B2514" s="277">
        <v>1996</v>
      </c>
      <c r="C2514" s="276"/>
      <c r="D2514" s="277">
        <v>9004827</v>
      </c>
      <c r="E2514" s="278" t="str">
        <f t="shared" si="23"/>
        <v>https://pubmed.ncbi.nlm.nih.gov/9004827</v>
      </c>
      <c r="F2514" s="28" t="s">
        <v>511</v>
      </c>
      <c r="G2514" s="28" t="s">
        <v>6623</v>
      </c>
      <c r="J2514" s="346">
        <f t="shared" si="30"/>
        <v>1</v>
      </c>
      <c r="K2514" s="28" t="str">
        <f t="shared" si="24"/>
        <v/>
      </c>
      <c r="L2514" s="45" t="str">
        <f t="shared" si="25"/>
        <v/>
      </c>
      <c r="M2514" s="45" t="str">
        <f t="shared" si="26"/>
        <v/>
      </c>
      <c r="N2514" s="45" t="str">
        <f t="shared" si="27"/>
        <v/>
      </c>
      <c r="O2514" s="45" t="str">
        <f t="shared" si="28"/>
        <v/>
      </c>
      <c r="P2514" s="45" t="str">
        <f t="shared" si="29"/>
        <v/>
      </c>
    </row>
    <row r="2515" spans="1:16" ht="17.25">
      <c r="A2515" s="276" t="s">
        <v>8117</v>
      </c>
      <c r="B2515" s="277">
        <v>2013</v>
      </c>
      <c r="C2515" s="276" t="s">
        <v>8118</v>
      </c>
      <c r="D2515" s="277">
        <v>23706063</v>
      </c>
      <c r="E2515" s="278" t="str">
        <f t="shared" si="23"/>
        <v>https://pubmed.ncbi.nlm.nih.gov/23706063</v>
      </c>
      <c r="F2515" s="28" t="s">
        <v>511</v>
      </c>
      <c r="G2515" s="28" t="s">
        <v>4744</v>
      </c>
      <c r="I2515" s="28" t="s">
        <v>6625</v>
      </c>
      <c r="J2515" s="346" t="str">
        <f t="shared" si="30"/>
        <v/>
      </c>
      <c r="K2515" s="28" t="str">
        <f t="shared" si="24"/>
        <v/>
      </c>
      <c r="L2515" s="45" t="str">
        <f t="shared" si="25"/>
        <v/>
      </c>
      <c r="M2515" s="45" t="str">
        <f t="shared" si="26"/>
        <v/>
      </c>
      <c r="N2515" s="45">
        <f t="shared" si="27"/>
        <v>1</v>
      </c>
      <c r="O2515" s="45" t="str">
        <f t="shared" si="28"/>
        <v/>
      </c>
      <c r="P2515" s="45" t="str">
        <f t="shared" si="29"/>
        <v/>
      </c>
    </row>
    <row r="2516" spans="1:16" ht="17.25">
      <c r="A2516" s="276" t="s">
        <v>8119</v>
      </c>
      <c r="B2516" s="277">
        <v>2011</v>
      </c>
      <c r="C2516" s="276" t="s">
        <v>8120</v>
      </c>
      <c r="D2516" s="277">
        <v>21820469</v>
      </c>
      <c r="E2516" s="278" t="str">
        <f t="shared" si="23"/>
        <v>https://pubmed.ncbi.nlm.nih.gov/21820469</v>
      </c>
      <c r="F2516" s="28" t="s">
        <v>511</v>
      </c>
      <c r="G2516" s="28" t="s">
        <v>4592</v>
      </c>
      <c r="J2516" s="346">
        <f t="shared" si="30"/>
        <v>1</v>
      </c>
      <c r="K2516" s="28" t="str">
        <f t="shared" si="24"/>
        <v/>
      </c>
      <c r="L2516" s="45" t="str">
        <f t="shared" si="25"/>
        <v/>
      </c>
      <c r="M2516" s="45" t="str">
        <f t="shared" si="26"/>
        <v/>
      </c>
      <c r="N2516" s="45" t="str">
        <f t="shared" si="27"/>
        <v/>
      </c>
      <c r="O2516" s="45" t="str">
        <f t="shared" si="28"/>
        <v/>
      </c>
      <c r="P2516" s="45" t="str">
        <f t="shared" si="29"/>
        <v/>
      </c>
    </row>
    <row r="2517" spans="1:16" ht="17.25">
      <c r="A2517" s="276" t="s">
        <v>8121</v>
      </c>
      <c r="B2517" s="277">
        <v>2014</v>
      </c>
      <c r="C2517" s="276" t="s">
        <v>8122</v>
      </c>
      <c r="D2517" s="277">
        <v>24552184</v>
      </c>
      <c r="E2517" s="278" t="str">
        <f t="shared" si="23"/>
        <v>https://pubmed.ncbi.nlm.nih.gov/24552184</v>
      </c>
      <c r="F2517" s="28" t="s">
        <v>511</v>
      </c>
      <c r="G2517" s="28" t="s">
        <v>4744</v>
      </c>
      <c r="J2517" s="346" t="str">
        <f t="shared" si="30"/>
        <v/>
      </c>
      <c r="K2517" s="28" t="str">
        <f t="shared" si="24"/>
        <v/>
      </c>
      <c r="L2517" s="45" t="str">
        <f t="shared" si="25"/>
        <v/>
      </c>
      <c r="M2517" s="45" t="str">
        <f t="shared" si="26"/>
        <v/>
      </c>
      <c r="N2517" s="45">
        <f t="shared" si="27"/>
        <v>1</v>
      </c>
      <c r="O2517" s="45" t="str">
        <f t="shared" si="28"/>
        <v/>
      </c>
      <c r="P2517" s="45" t="str">
        <f t="shared" si="29"/>
        <v/>
      </c>
    </row>
    <row r="2518" spans="1:16" ht="17.25">
      <c r="A2518" s="276" t="s">
        <v>8121</v>
      </c>
      <c r="B2518" s="277">
        <v>2009</v>
      </c>
      <c r="C2518" s="276"/>
      <c r="D2518" s="277">
        <v>19995118</v>
      </c>
      <c r="E2518" s="278" t="str">
        <f t="shared" si="23"/>
        <v>https://pubmed.ncbi.nlm.nih.gov/19995118</v>
      </c>
      <c r="F2518" s="28" t="s">
        <v>511</v>
      </c>
      <c r="G2518" s="28" t="s">
        <v>4867</v>
      </c>
      <c r="J2518" s="346" t="str">
        <f t="shared" si="30"/>
        <v/>
      </c>
      <c r="K2518" s="28" t="str">
        <f t="shared" si="24"/>
        <v/>
      </c>
      <c r="L2518" s="45" t="str">
        <f t="shared" si="25"/>
        <v/>
      </c>
      <c r="M2518" s="45" t="str">
        <f t="shared" si="26"/>
        <v/>
      </c>
      <c r="N2518" s="45">
        <f t="shared" si="27"/>
        <v>1</v>
      </c>
      <c r="O2518" s="45" t="str">
        <f t="shared" si="28"/>
        <v/>
      </c>
      <c r="P2518" s="45" t="str">
        <f t="shared" si="29"/>
        <v/>
      </c>
    </row>
    <row r="2519" spans="1:16" ht="17.25">
      <c r="A2519" s="276" t="s">
        <v>8121</v>
      </c>
      <c r="B2519" s="277">
        <v>2017</v>
      </c>
      <c r="C2519" s="276" t="s">
        <v>8123</v>
      </c>
      <c r="D2519" s="277">
        <v>28916599</v>
      </c>
      <c r="E2519" s="278" t="str">
        <f t="shared" si="23"/>
        <v>https://pubmed.ncbi.nlm.nih.gov/28916599</v>
      </c>
      <c r="F2519" s="28" t="s">
        <v>511</v>
      </c>
      <c r="G2519" s="28" t="s">
        <v>5157</v>
      </c>
      <c r="J2519" s="346" t="str">
        <f t="shared" si="30"/>
        <v/>
      </c>
      <c r="K2519" s="28" t="str">
        <f t="shared" si="24"/>
        <v/>
      </c>
      <c r="L2519" s="45" t="str">
        <f t="shared" si="25"/>
        <v/>
      </c>
      <c r="M2519" s="45" t="str">
        <f t="shared" si="26"/>
        <v/>
      </c>
      <c r="N2519" s="45">
        <f t="shared" si="27"/>
        <v>1</v>
      </c>
      <c r="O2519" s="45" t="str">
        <f t="shared" si="28"/>
        <v/>
      </c>
      <c r="P2519" s="45" t="str">
        <f t="shared" si="29"/>
        <v/>
      </c>
    </row>
    <row r="2520" spans="1:16" ht="17.25">
      <c r="A2520" s="276" t="s">
        <v>8124</v>
      </c>
      <c r="B2520" s="277">
        <v>2010</v>
      </c>
      <c r="C2520" s="276"/>
      <c r="D2520" s="277">
        <v>20600013</v>
      </c>
      <c r="E2520" s="278" t="str">
        <f t="shared" si="23"/>
        <v>https://pubmed.ncbi.nlm.nih.gov/20600013</v>
      </c>
      <c r="F2520" s="28" t="s">
        <v>511</v>
      </c>
      <c r="G2520" s="28" t="s">
        <v>4744</v>
      </c>
      <c r="J2520" s="346" t="str">
        <f t="shared" si="30"/>
        <v/>
      </c>
      <c r="K2520" s="28" t="str">
        <f t="shared" si="24"/>
        <v/>
      </c>
      <c r="L2520" s="45" t="str">
        <f t="shared" si="25"/>
        <v/>
      </c>
      <c r="M2520" s="45" t="str">
        <f t="shared" si="26"/>
        <v/>
      </c>
      <c r="N2520" s="45">
        <f t="shared" si="27"/>
        <v>1</v>
      </c>
      <c r="O2520" s="45" t="str">
        <f t="shared" si="28"/>
        <v/>
      </c>
      <c r="P2520" s="45" t="str">
        <f t="shared" si="29"/>
        <v/>
      </c>
    </row>
    <row r="2521" spans="1:16" ht="17.25">
      <c r="A2521" s="276" t="s">
        <v>8124</v>
      </c>
      <c r="B2521" s="277">
        <v>2000</v>
      </c>
      <c r="C2521" s="276"/>
      <c r="D2521" s="277">
        <v>11106715</v>
      </c>
      <c r="E2521" s="278" t="str">
        <f t="shared" si="23"/>
        <v>https://pubmed.ncbi.nlm.nih.gov/11106715</v>
      </c>
      <c r="F2521" s="28" t="s">
        <v>511</v>
      </c>
      <c r="G2521" s="28" t="s">
        <v>4744</v>
      </c>
      <c r="J2521" s="346" t="str">
        <f t="shared" si="30"/>
        <v/>
      </c>
      <c r="K2521" s="28" t="str">
        <f t="shared" si="24"/>
        <v/>
      </c>
      <c r="L2521" s="45" t="str">
        <f t="shared" si="25"/>
        <v/>
      </c>
      <c r="M2521" s="45" t="str">
        <f t="shared" si="26"/>
        <v/>
      </c>
      <c r="N2521" s="45">
        <f t="shared" si="27"/>
        <v>1</v>
      </c>
      <c r="O2521" s="45" t="str">
        <f t="shared" si="28"/>
        <v/>
      </c>
      <c r="P2521" s="45" t="str">
        <f t="shared" si="29"/>
        <v/>
      </c>
    </row>
    <row r="2522" spans="1:16" ht="17.25">
      <c r="A2522" s="276" t="s">
        <v>8125</v>
      </c>
      <c r="B2522" s="277">
        <v>2019</v>
      </c>
      <c r="C2522" s="276"/>
      <c r="D2522" s="277">
        <v>30712199</v>
      </c>
      <c r="E2522" s="278" t="str">
        <f t="shared" si="23"/>
        <v>https://pubmed.ncbi.nlm.nih.gov/30712199</v>
      </c>
      <c r="F2522" s="28" t="s">
        <v>511</v>
      </c>
      <c r="G2522" s="28" t="s">
        <v>4592</v>
      </c>
      <c r="J2522" s="346">
        <f t="shared" si="30"/>
        <v>1</v>
      </c>
      <c r="K2522" s="28" t="str">
        <f t="shared" si="24"/>
        <v/>
      </c>
      <c r="L2522" s="45" t="str">
        <f t="shared" si="25"/>
        <v/>
      </c>
      <c r="M2522" s="45" t="str">
        <f t="shared" si="26"/>
        <v/>
      </c>
      <c r="N2522" s="45" t="str">
        <f t="shared" si="27"/>
        <v/>
      </c>
      <c r="O2522" s="45" t="str">
        <f t="shared" si="28"/>
        <v/>
      </c>
      <c r="P2522" s="45" t="str">
        <f t="shared" si="29"/>
        <v/>
      </c>
    </row>
    <row r="2523" spans="1:16" ht="17.25">
      <c r="A2523" s="276" t="s">
        <v>8126</v>
      </c>
      <c r="B2523" s="277">
        <v>2019</v>
      </c>
      <c r="C2523" s="276" t="s">
        <v>8127</v>
      </c>
      <c r="D2523" s="277">
        <v>31835962</v>
      </c>
      <c r="E2523" s="278" t="str">
        <f t="shared" si="23"/>
        <v>https://pubmed.ncbi.nlm.nih.gov/31835962</v>
      </c>
      <c r="F2523" s="28" t="s">
        <v>511</v>
      </c>
      <c r="G2523" s="28" t="s">
        <v>8128</v>
      </c>
      <c r="J2523" s="346" t="str">
        <f t="shared" si="30"/>
        <v/>
      </c>
      <c r="K2523" s="28" t="str">
        <f t="shared" si="24"/>
        <v/>
      </c>
      <c r="L2523" s="45" t="str">
        <f t="shared" si="25"/>
        <v/>
      </c>
      <c r="M2523" s="45" t="str">
        <f t="shared" si="26"/>
        <v/>
      </c>
      <c r="N2523" s="45">
        <f t="shared" si="27"/>
        <v>1</v>
      </c>
      <c r="O2523" s="45" t="str">
        <f t="shared" si="28"/>
        <v/>
      </c>
      <c r="P2523" s="45" t="str">
        <f t="shared" si="29"/>
        <v/>
      </c>
    </row>
    <row r="2524" spans="1:16" ht="17.25">
      <c r="A2524" s="276" t="s">
        <v>8129</v>
      </c>
      <c r="B2524" s="277">
        <v>2009</v>
      </c>
      <c r="C2524" s="276"/>
      <c r="D2524" s="277">
        <v>19856067</v>
      </c>
      <c r="E2524" s="278" t="str">
        <f t="shared" si="23"/>
        <v>https://pubmed.ncbi.nlm.nih.gov/19856067</v>
      </c>
      <c r="F2524" s="28" t="s">
        <v>511</v>
      </c>
      <c r="G2524" s="28" t="s">
        <v>4744</v>
      </c>
      <c r="J2524" s="346" t="str">
        <f t="shared" si="30"/>
        <v/>
      </c>
      <c r="K2524" s="28" t="str">
        <f t="shared" si="24"/>
        <v/>
      </c>
      <c r="L2524" s="45" t="str">
        <f t="shared" si="25"/>
        <v/>
      </c>
      <c r="M2524" s="45" t="str">
        <f t="shared" si="26"/>
        <v/>
      </c>
      <c r="N2524" s="45">
        <f t="shared" si="27"/>
        <v>1</v>
      </c>
      <c r="O2524" s="45" t="str">
        <f t="shared" si="28"/>
        <v/>
      </c>
      <c r="P2524" s="45" t="str">
        <f t="shared" si="29"/>
        <v/>
      </c>
    </row>
    <row r="2525" spans="1:16" ht="17.25">
      <c r="A2525" s="276" t="s">
        <v>8130</v>
      </c>
      <c r="B2525" s="277">
        <v>2017</v>
      </c>
      <c r="C2525" s="276" t="s">
        <v>8131</v>
      </c>
      <c r="D2525" s="277">
        <v>29265171</v>
      </c>
      <c r="E2525" s="278" t="str">
        <f t="shared" si="23"/>
        <v>https://pubmed.ncbi.nlm.nih.gov/29265171</v>
      </c>
      <c r="F2525" s="28" t="s">
        <v>511</v>
      </c>
      <c r="G2525" s="28" t="s">
        <v>4592</v>
      </c>
      <c r="J2525" s="346">
        <f t="shared" si="30"/>
        <v>1</v>
      </c>
      <c r="K2525" s="28" t="str">
        <f t="shared" si="24"/>
        <v/>
      </c>
      <c r="L2525" s="45" t="str">
        <f t="shared" si="25"/>
        <v/>
      </c>
      <c r="M2525" s="45" t="str">
        <f t="shared" si="26"/>
        <v/>
      </c>
      <c r="N2525" s="45" t="str">
        <f t="shared" si="27"/>
        <v/>
      </c>
      <c r="O2525" s="45" t="str">
        <f t="shared" si="28"/>
        <v/>
      </c>
      <c r="P2525" s="45" t="str">
        <f t="shared" si="29"/>
        <v/>
      </c>
    </row>
    <row r="2526" spans="1:16" ht="17.25">
      <c r="A2526" s="276" t="s">
        <v>8130</v>
      </c>
      <c r="B2526" s="277">
        <v>2013</v>
      </c>
      <c r="C2526" s="276"/>
      <c r="D2526" s="277">
        <v>23900970</v>
      </c>
      <c r="E2526" s="278" t="str">
        <f t="shared" si="23"/>
        <v>https://pubmed.ncbi.nlm.nih.gov/23900970</v>
      </c>
      <c r="F2526" s="28" t="s">
        <v>511</v>
      </c>
      <c r="G2526" s="28" t="s">
        <v>4592</v>
      </c>
      <c r="J2526" s="346">
        <f t="shared" si="30"/>
        <v>1</v>
      </c>
      <c r="K2526" s="28" t="str">
        <f t="shared" si="24"/>
        <v/>
      </c>
      <c r="L2526" s="45" t="str">
        <f t="shared" si="25"/>
        <v/>
      </c>
      <c r="M2526" s="45" t="str">
        <f t="shared" si="26"/>
        <v/>
      </c>
      <c r="N2526" s="45" t="str">
        <f t="shared" si="27"/>
        <v/>
      </c>
      <c r="O2526" s="45" t="str">
        <f t="shared" si="28"/>
        <v/>
      </c>
      <c r="P2526" s="45" t="str">
        <f t="shared" si="29"/>
        <v/>
      </c>
    </row>
    <row r="2527" spans="1:16" ht="17.25">
      <c r="A2527" s="276" t="s">
        <v>8132</v>
      </c>
      <c r="B2527" s="277">
        <v>2019</v>
      </c>
      <c r="C2527" s="276"/>
      <c r="D2527" s="277">
        <v>31032524</v>
      </c>
      <c r="E2527" s="278" t="str">
        <f t="shared" si="23"/>
        <v>https://pubmed.ncbi.nlm.nih.gov/31032524</v>
      </c>
      <c r="F2527" s="28" t="s">
        <v>511</v>
      </c>
      <c r="G2527" s="28" t="s">
        <v>6712</v>
      </c>
      <c r="J2527" s="346" t="str">
        <f t="shared" si="30"/>
        <v/>
      </c>
      <c r="K2527" s="28" t="str">
        <f t="shared" si="24"/>
        <v/>
      </c>
      <c r="L2527" s="45" t="str">
        <f t="shared" si="25"/>
        <v/>
      </c>
      <c r="M2527" s="45" t="str">
        <f t="shared" si="26"/>
        <v/>
      </c>
      <c r="N2527" s="45">
        <f t="shared" si="27"/>
        <v>1</v>
      </c>
      <c r="O2527" s="45" t="str">
        <f t="shared" si="28"/>
        <v/>
      </c>
      <c r="P2527" s="45" t="str">
        <f t="shared" si="29"/>
        <v/>
      </c>
    </row>
    <row r="2528" spans="1:16" ht="17.25">
      <c r="A2528" s="276" t="s">
        <v>8133</v>
      </c>
      <c r="B2528" s="277">
        <v>2016</v>
      </c>
      <c r="C2528" s="276" t="s">
        <v>8134</v>
      </c>
      <c r="D2528" s="277">
        <v>26837471</v>
      </c>
      <c r="E2528" s="278" t="str">
        <f t="shared" si="23"/>
        <v>https://pubmed.ncbi.nlm.nih.gov/26837471</v>
      </c>
      <c r="F2528" s="28" t="s">
        <v>511</v>
      </c>
      <c r="G2528" s="28" t="s">
        <v>4867</v>
      </c>
      <c r="J2528" s="346" t="str">
        <f t="shared" si="30"/>
        <v/>
      </c>
      <c r="K2528" s="28" t="str">
        <f t="shared" si="24"/>
        <v/>
      </c>
      <c r="L2528" s="45" t="str">
        <f t="shared" si="25"/>
        <v/>
      </c>
      <c r="M2528" s="45" t="str">
        <f t="shared" si="26"/>
        <v/>
      </c>
      <c r="N2528" s="45">
        <f t="shared" si="27"/>
        <v>1</v>
      </c>
      <c r="O2528" s="45" t="str">
        <f t="shared" si="28"/>
        <v/>
      </c>
      <c r="P2528" s="45" t="str">
        <f t="shared" si="29"/>
        <v/>
      </c>
    </row>
    <row r="2529" spans="1:27" ht="17.25">
      <c r="A2529" s="276" t="s">
        <v>5230</v>
      </c>
      <c r="B2529" s="277">
        <v>2017</v>
      </c>
      <c r="C2529" s="276" t="s">
        <v>8135</v>
      </c>
      <c r="D2529" s="277">
        <v>28424287</v>
      </c>
      <c r="E2529" s="278" t="str">
        <f t="shared" si="23"/>
        <v>https://pubmed.ncbi.nlm.nih.gov/28424287</v>
      </c>
      <c r="F2529" s="28" t="s">
        <v>511</v>
      </c>
      <c r="G2529" s="28" t="s">
        <v>8136</v>
      </c>
      <c r="J2529" s="346" t="str">
        <f t="shared" si="30"/>
        <v/>
      </c>
      <c r="K2529" s="28" t="str">
        <f t="shared" si="24"/>
        <v/>
      </c>
      <c r="L2529" s="45" t="str">
        <f t="shared" si="25"/>
        <v/>
      </c>
      <c r="M2529" s="45" t="str">
        <f t="shared" si="26"/>
        <v/>
      </c>
      <c r="N2529" s="45" t="str">
        <f t="shared" si="27"/>
        <v/>
      </c>
      <c r="O2529" s="45">
        <f t="shared" si="28"/>
        <v>1</v>
      </c>
      <c r="P2529" s="45" t="str">
        <f t="shared" si="29"/>
        <v/>
      </c>
    </row>
    <row r="2530" spans="1:27" ht="17.25">
      <c r="A2530" s="276" t="s">
        <v>8137</v>
      </c>
      <c r="B2530" s="277">
        <v>2020</v>
      </c>
      <c r="C2530" s="276" t="s">
        <v>8138</v>
      </c>
      <c r="D2530" s="277">
        <v>32360583</v>
      </c>
      <c r="E2530" s="278" t="str">
        <f t="shared" si="23"/>
        <v>https://pubmed.ncbi.nlm.nih.gov/32360583</v>
      </c>
      <c r="F2530" s="28" t="s">
        <v>511</v>
      </c>
      <c r="G2530" s="28" t="s">
        <v>6220</v>
      </c>
      <c r="J2530" s="346">
        <f t="shared" si="30"/>
        <v>1</v>
      </c>
      <c r="K2530" s="28" t="str">
        <f t="shared" si="24"/>
        <v/>
      </c>
      <c r="L2530" s="45" t="str">
        <f t="shared" si="25"/>
        <v/>
      </c>
      <c r="M2530" s="45" t="str">
        <f t="shared" si="26"/>
        <v/>
      </c>
      <c r="N2530" s="45" t="str">
        <f t="shared" si="27"/>
        <v/>
      </c>
      <c r="O2530" s="45" t="str">
        <f t="shared" si="28"/>
        <v/>
      </c>
      <c r="P2530" s="45" t="str">
        <f t="shared" si="29"/>
        <v/>
      </c>
    </row>
    <row r="2531" spans="1:27" ht="17.25">
      <c r="A2531" s="276" t="s">
        <v>8139</v>
      </c>
      <c r="B2531" s="277">
        <v>2019</v>
      </c>
      <c r="C2531" s="276" t="s">
        <v>8140</v>
      </c>
      <c r="D2531" s="277">
        <v>31182140</v>
      </c>
      <c r="E2531" s="278" t="str">
        <f t="shared" si="23"/>
        <v>https://pubmed.ncbi.nlm.nih.gov/31182140</v>
      </c>
      <c r="F2531" s="28" t="s">
        <v>511</v>
      </c>
      <c r="G2531" s="28" t="s">
        <v>6469</v>
      </c>
      <c r="J2531" s="346" t="str">
        <f t="shared" si="30"/>
        <v/>
      </c>
      <c r="K2531" s="28" t="str">
        <f t="shared" si="24"/>
        <v/>
      </c>
      <c r="L2531" s="45" t="str">
        <f t="shared" si="25"/>
        <v/>
      </c>
      <c r="M2531" s="45" t="str">
        <f t="shared" si="26"/>
        <v/>
      </c>
      <c r="N2531" s="45">
        <f t="shared" si="27"/>
        <v>1</v>
      </c>
      <c r="O2531" s="45" t="str">
        <f t="shared" si="28"/>
        <v/>
      </c>
      <c r="P2531" s="45" t="str">
        <f t="shared" si="29"/>
        <v/>
      </c>
    </row>
    <row r="2532" spans="1:27" ht="17.25">
      <c r="A2532" s="276" t="s">
        <v>8141</v>
      </c>
      <c r="B2532" s="277">
        <v>2015</v>
      </c>
      <c r="C2532" s="276" t="s">
        <v>8142</v>
      </c>
      <c r="D2532" s="277">
        <v>26378046</v>
      </c>
      <c r="E2532" s="278" t="str">
        <f t="shared" si="23"/>
        <v>https://pubmed.ncbi.nlm.nih.gov/26378046</v>
      </c>
      <c r="F2532" s="28" t="s">
        <v>511</v>
      </c>
      <c r="G2532" s="28" t="s">
        <v>6220</v>
      </c>
      <c r="J2532" s="346">
        <f t="shared" si="30"/>
        <v>1</v>
      </c>
      <c r="K2532" s="28" t="str">
        <f t="shared" si="24"/>
        <v/>
      </c>
      <c r="L2532" s="45" t="str">
        <f t="shared" si="25"/>
        <v/>
      </c>
      <c r="M2532" s="45" t="str">
        <f t="shared" si="26"/>
        <v/>
      </c>
      <c r="N2532" s="45" t="str">
        <f t="shared" si="27"/>
        <v/>
      </c>
      <c r="O2532" s="45" t="str">
        <f t="shared" si="28"/>
        <v/>
      </c>
      <c r="P2532" s="45" t="str">
        <f t="shared" si="29"/>
        <v/>
      </c>
    </row>
    <row r="2533" spans="1:27" ht="17.25">
      <c r="A2533" s="276" t="s">
        <v>8143</v>
      </c>
      <c r="B2533" s="277">
        <v>2018</v>
      </c>
      <c r="C2533" s="276"/>
      <c r="D2533" s="277">
        <v>29884593</v>
      </c>
      <c r="E2533" s="278" t="str">
        <f t="shared" si="23"/>
        <v>https://pubmed.ncbi.nlm.nih.gov/29884593</v>
      </c>
      <c r="F2533" s="28" t="s">
        <v>511</v>
      </c>
      <c r="G2533" s="28" t="s">
        <v>4744</v>
      </c>
      <c r="J2533" s="346" t="str">
        <f t="shared" si="30"/>
        <v/>
      </c>
      <c r="K2533" s="28" t="str">
        <f t="shared" si="24"/>
        <v/>
      </c>
      <c r="L2533" s="45" t="str">
        <f t="shared" si="25"/>
        <v/>
      </c>
      <c r="M2533" s="45" t="str">
        <f t="shared" si="26"/>
        <v/>
      </c>
      <c r="N2533" s="45">
        <f t="shared" si="27"/>
        <v>1</v>
      </c>
      <c r="O2533" s="45" t="str">
        <f t="shared" si="28"/>
        <v/>
      </c>
      <c r="P2533" s="45" t="str">
        <f t="shared" si="29"/>
        <v/>
      </c>
    </row>
    <row r="2534" spans="1:27" ht="17.25">
      <c r="A2534" s="276" t="s">
        <v>8144</v>
      </c>
      <c r="B2534" s="277">
        <v>2003</v>
      </c>
      <c r="C2534" s="276"/>
      <c r="D2534" s="277">
        <v>14768404</v>
      </c>
      <c r="E2534" s="278" t="str">
        <f t="shared" si="23"/>
        <v>https://pubmed.ncbi.nlm.nih.gov/14768404</v>
      </c>
      <c r="F2534" s="28" t="s">
        <v>511</v>
      </c>
      <c r="G2534" s="28" t="s">
        <v>4592</v>
      </c>
      <c r="J2534" s="346">
        <f t="shared" si="30"/>
        <v>1</v>
      </c>
      <c r="K2534" s="28" t="str">
        <f t="shared" si="24"/>
        <v/>
      </c>
      <c r="L2534" s="45" t="str">
        <f t="shared" si="25"/>
        <v/>
      </c>
      <c r="M2534" s="45" t="str">
        <f t="shared" si="26"/>
        <v/>
      </c>
      <c r="N2534" s="45" t="str">
        <f t="shared" si="27"/>
        <v/>
      </c>
      <c r="O2534" s="45" t="str">
        <f t="shared" si="28"/>
        <v/>
      </c>
      <c r="P2534" s="45" t="str">
        <f t="shared" si="29"/>
        <v/>
      </c>
    </row>
    <row r="2535" spans="1:27" ht="17.25">
      <c r="A2535" s="276" t="s">
        <v>8145</v>
      </c>
      <c r="B2535" s="277">
        <v>2020</v>
      </c>
      <c r="C2535" s="276" t="s">
        <v>8146</v>
      </c>
      <c r="D2535" s="277">
        <v>31539538</v>
      </c>
      <c r="E2535" s="278" t="str">
        <f t="shared" si="23"/>
        <v>https://pubmed.ncbi.nlm.nih.gov/31539538</v>
      </c>
      <c r="F2535" s="28" t="s">
        <v>511</v>
      </c>
      <c r="G2535" s="28" t="s">
        <v>4592</v>
      </c>
      <c r="J2535" s="346">
        <f t="shared" si="30"/>
        <v>1</v>
      </c>
      <c r="K2535" s="28" t="str">
        <f t="shared" si="24"/>
        <v/>
      </c>
      <c r="L2535" s="45" t="str">
        <f t="shared" si="25"/>
        <v/>
      </c>
      <c r="M2535" s="45" t="str">
        <f t="shared" si="26"/>
        <v/>
      </c>
      <c r="N2535" s="45" t="str">
        <f t="shared" si="27"/>
        <v/>
      </c>
      <c r="O2535" s="45" t="str">
        <f t="shared" si="28"/>
        <v/>
      </c>
      <c r="P2535" s="45" t="str">
        <f t="shared" si="29"/>
        <v/>
      </c>
    </row>
    <row r="2536" spans="1:27" ht="17.25">
      <c r="A2536" s="276" t="s">
        <v>8147</v>
      </c>
      <c r="B2536" s="277">
        <v>2018</v>
      </c>
      <c r="C2536" s="276"/>
      <c r="D2536" s="277">
        <v>29714519</v>
      </c>
      <c r="E2536" s="278" t="str">
        <f t="shared" si="23"/>
        <v>https://pubmed.ncbi.nlm.nih.gov/29714519</v>
      </c>
      <c r="F2536" s="28" t="s">
        <v>511</v>
      </c>
      <c r="G2536" s="28" t="s">
        <v>4592</v>
      </c>
      <c r="J2536" s="346">
        <f t="shared" si="30"/>
        <v>1</v>
      </c>
      <c r="K2536" s="28" t="str">
        <f t="shared" si="24"/>
        <v/>
      </c>
      <c r="L2536" s="45" t="str">
        <f t="shared" si="25"/>
        <v/>
      </c>
      <c r="M2536" s="45" t="str">
        <f t="shared" si="26"/>
        <v/>
      </c>
      <c r="N2536" s="45" t="str">
        <f t="shared" si="27"/>
        <v/>
      </c>
      <c r="O2536" s="45" t="str">
        <f t="shared" si="28"/>
        <v/>
      </c>
      <c r="P2536" s="45" t="str">
        <f t="shared" si="29"/>
        <v/>
      </c>
    </row>
    <row r="2537" spans="1:27" ht="17.25">
      <c r="A2537" s="276" t="s">
        <v>8148</v>
      </c>
      <c r="B2537" s="277">
        <v>2019</v>
      </c>
      <c r="C2537" s="276" t="s">
        <v>8149</v>
      </c>
      <c r="D2537" s="277">
        <v>31752973</v>
      </c>
      <c r="E2537" s="278" t="str">
        <f t="shared" si="23"/>
        <v>https://pubmed.ncbi.nlm.nih.gov/31752973</v>
      </c>
      <c r="F2537" s="28" t="s">
        <v>511</v>
      </c>
      <c r="G2537" s="28" t="s">
        <v>6220</v>
      </c>
      <c r="J2537" s="346">
        <f t="shared" si="30"/>
        <v>1</v>
      </c>
      <c r="K2537" s="28" t="str">
        <f t="shared" si="24"/>
        <v/>
      </c>
      <c r="L2537" s="45" t="str">
        <f t="shared" si="25"/>
        <v/>
      </c>
      <c r="M2537" s="45" t="str">
        <f t="shared" si="26"/>
        <v/>
      </c>
      <c r="N2537" s="45" t="str">
        <f t="shared" si="27"/>
        <v/>
      </c>
      <c r="O2537" s="45" t="str">
        <f t="shared" si="28"/>
        <v/>
      </c>
      <c r="P2537" s="45" t="str">
        <f t="shared" si="29"/>
        <v/>
      </c>
    </row>
    <row r="2538" spans="1:27" ht="17.25">
      <c r="A2538" s="287"/>
      <c r="B2538" s="288">
        <v>1998</v>
      </c>
      <c r="C2538" s="287"/>
      <c r="D2538" s="288">
        <v>9738173</v>
      </c>
      <c r="E2538" s="289" t="str">
        <f t="shared" si="23"/>
        <v>https://pubmed.ncbi.nlm.nih.gov/9738173</v>
      </c>
      <c r="F2538" s="113" t="s">
        <v>511</v>
      </c>
      <c r="G2538" s="113" t="s">
        <v>4744</v>
      </c>
      <c r="H2538" s="290"/>
      <c r="I2538" s="290"/>
      <c r="J2538" s="356" t="str">
        <f t="shared" si="30"/>
        <v/>
      </c>
      <c r="K2538" s="113" t="str">
        <f t="shared" si="24"/>
        <v/>
      </c>
      <c r="L2538" s="290" t="str">
        <f t="shared" si="25"/>
        <v/>
      </c>
      <c r="M2538" s="290" t="str">
        <f t="shared" si="26"/>
        <v/>
      </c>
      <c r="N2538" s="290">
        <f t="shared" si="27"/>
        <v>1</v>
      </c>
      <c r="O2538" s="290" t="str">
        <f t="shared" si="28"/>
        <v/>
      </c>
      <c r="P2538" s="290" t="str">
        <f t="shared" si="29"/>
        <v/>
      </c>
      <c r="Q2538" s="290"/>
      <c r="R2538" s="290"/>
      <c r="S2538" s="290"/>
      <c r="T2538" s="290"/>
      <c r="U2538" s="290"/>
      <c r="V2538" s="290"/>
      <c r="W2538" s="290"/>
      <c r="X2538" s="290"/>
      <c r="Y2538" s="290"/>
      <c r="Z2538" s="290"/>
      <c r="AA2538" s="290"/>
    </row>
    <row r="2539" spans="1:27" ht="17.25">
      <c r="A2539" s="306" t="s">
        <v>8150</v>
      </c>
      <c r="B2539" s="307">
        <v>2020</v>
      </c>
      <c r="C2539" s="307">
        <v>31658382</v>
      </c>
      <c r="D2539" s="306" t="s">
        <v>8151</v>
      </c>
      <c r="E2539" s="357" t="str">
        <f t="shared" ref="E2539:E2656" si="31">"https://pubmed.ncbi.nlm.nih.gov/"&amp;C2539</f>
        <v>https://pubmed.ncbi.nlm.nih.gov/31658382</v>
      </c>
      <c r="F2539" s="226" t="s">
        <v>308</v>
      </c>
      <c r="G2539" s="226" t="s">
        <v>8152</v>
      </c>
      <c r="H2539" s="97"/>
      <c r="J2539" s="346" t="str">
        <f t="shared" si="30"/>
        <v/>
      </c>
      <c r="K2539" s="28" t="str">
        <f t="shared" si="24"/>
        <v/>
      </c>
      <c r="L2539" s="45" t="str">
        <f t="shared" si="25"/>
        <v/>
      </c>
      <c r="M2539" s="45" t="str">
        <f t="shared" si="26"/>
        <v/>
      </c>
      <c r="N2539" s="45">
        <f t="shared" si="27"/>
        <v>1</v>
      </c>
      <c r="O2539" s="45" t="str">
        <f t="shared" si="28"/>
        <v/>
      </c>
      <c r="P2539" s="45" t="str">
        <f t="shared" si="29"/>
        <v/>
      </c>
    </row>
    <row r="2540" spans="1:27" ht="17.25">
      <c r="A2540" s="306" t="s">
        <v>8153</v>
      </c>
      <c r="B2540" s="307">
        <v>2020</v>
      </c>
      <c r="C2540" s="307">
        <v>31958288</v>
      </c>
      <c r="D2540" s="306" t="s">
        <v>8154</v>
      </c>
      <c r="E2540" s="357" t="str">
        <f t="shared" si="31"/>
        <v>https://pubmed.ncbi.nlm.nih.gov/31958288</v>
      </c>
      <c r="F2540" s="226" t="s">
        <v>308</v>
      </c>
      <c r="G2540" s="226" t="s">
        <v>4592</v>
      </c>
      <c r="H2540" s="97"/>
      <c r="J2540" s="346">
        <f t="shared" si="30"/>
        <v>1</v>
      </c>
      <c r="K2540" s="28" t="str">
        <f t="shared" si="24"/>
        <v/>
      </c>
      <c r="L2540" s="45" t="str">
        <f t="shared" si="25"/>
        <v/>
      </c>
      <c r="M2540" s="45" t="str">
        <f t="shared" si="26"/>
        <v/>
      </c>
      <c r="N2540" s="45" t="str">
        <f t="shared" si="27"/>
        <v/>
      </c>
      <c r="O2540" s="45" t="str">
        <f t="shared" si="28"/>
        <v/>
      </c>
      <c r="P2540" s="45" t="str">
        <f t="shared" si="29"/>
        <v/>
      </c>
    </row>
    <row r="2541" spans="1:27" ht="17.25">
      <c r="A2541" s="306" t="s">
        <v>8155</v>
      </c>
      <c r="B2541" s="307">
        <v>2020</v>
      </c>
      <c r="C2541" s="307">
        <v>31605819</v>
      </c>
      <c r="D2541" s="306" t="s">
        <v>8156</v>
      </c>
      <c r="E2541" s="357" t="str">
        <f t="shared" si="31"/>
        <v>https://pubmed.ncbi.nlm.nih.gov/31605819</v>
      </c>
      <c r="F2541" s="226" t="s">
        <v>308</v>
      </c>
      <c r="G2541" s="226" t="s">
        <v>8152</v>
      </c>
      <c r="H2541" s="97"/>
      <c r="J2541" s="346" t="str">
        <f t="shared" si="30"/>
        <v/>
      </c>
      <c r="K2541" s="28" t="str">
        <f t="shared" si="24"/>
        <v/>
      </c>
      <c r="L2541" s="45" t="str">
        <f t="shared" si="25"/>
        <v/>
      </c>
      <c r="M2541" s="45" t="str">
        <f t="shared" si="26"/>
        <v/>
      </c>
      <c r="N2541" s="45">
        <f t="shared" si="27"/>
        <v>1</v>
      </c>
      <c r="O2541" s="45" t="str">
        <f t="shared" si="28"/>
        <v/>
      </c>
      <c r="P2541" s="45" t="str">
        <f t="shared" si="29"/>
        <v/>
      </c>
    </row>
    <row r="2542" spans="1:27" ht="17.25">
      <c r="A2542" s="306" t="s">
        <v>8157</v>
      </c>
      <c r="B2542" s="307">
        <v>2020</v>
      </c>
      <c r="C2542" s="307">
        <v>31797320</v>
      </c>
      <c r="D2542" s="306" t="s">
        <v>8158</v>
      </c>
      <c r="E2542" s="357" t="str">
        <f t="shared" si="31"/>
        <v>https://pubmed.ncbi.nlm.nih.gov/31797320</v>
      </c>
      <c r="F2542" s="226" t="s">
        <v>308</v>
      </c>
      <c r="G2542" s="226" t="s">
        <v>4660</v>
      </c>
      <c r="H2542" s="97"/>
      <c r="J2542" s="346" t="str">
        <f t="shared" si="30"/>
        <v/>
      </c>
      <c r="K2542" s="28">
        <f t="shared" si="24"/>
        <v>1</v>
      </c>
      <c r="L2542" s="45" t="str">
        <f t="shared" si="25"/>
        <v/>
      </c>
      <c r="M2542" s="45" t="str">
        <f t="shared" si="26"/>
        <v/>
      </c>
      <c r="N2542" s="45" t="str">
        <f t="shared" si="27"/>
        <v/>
      </c>
      <c r="O2542" s="45" t="str">
        <f t="shared" si="28"/>
        <v/>
      </c>
      <c r="P2542" s="45" t="str">
        <f t="shared" si="29"/>
        <v/>
      </c>
    </row>
    <row r="2543" spans="1:27" ht="17.25">
      <c r="A2543" s="306" t="s">
        <v>8159</v>
      </c>
      <c r="B2543" s="307">
        <v>2020</v>
      </c>
      <c r="C2543" s="307">
        <v>32037549</v>
      </c>
      <c r="D2543" s="306" t="s">
        <v>8160</v>
      </c>
      <c r="E2543" s="357" t="str">
        <f t="shared" si="31"/>
        <v>https://pubmed.ncbi.nlm.nih.gov/32037549</v>
      </c>
      <c r="F2543" s="226" t="s">
        <v>308</v>
      </c>
      <c r="G2543" s="226" t="s">
        <v>8161</v>
      </c>
      <c r="H2543" s="97"/>
      <c r="J2543" s="346" t="str">
        <f t="shared" si="30"/>
        <v/>
      </c>
      <c r="K2543" s="28" t="str">
        <f t="shared" si="24"/>
        <v/>
      </c>
      <c r="L2543" s="45" t="str">
        <f t="shared" si="25"/>
        <v/>
      </c>
      <c r="M2543" s="45" t="str">
        <f t="shared" si="26"/>
        <v/>
      </c>
      <c r="N2543" s="45">
        <f t="shared" si="27"/>
        <v>1</v>
      </c>
      <c r="O2543" s="45" t="str">
        <f t="shared" si="28"/>
        <v/>
      </c>
      <c r="P2543" s="45" t="str">
        <f t="shared" si="29"/>
        <v/>
      </c>
    </row>
    <row r="2544" spans="1:27" ht="17.25">
      <c r="A2544" s="306" t="s">
        <v>8162</v>
      </c>
      <c r="B2544" s="307">
        <v>2020</v>
      </c>
      <c r="C2544" s="307">
        <v>32226310</v>
      </c>
      <c r="D2544" s="306" t="s">
        <v>8163</v>
      </c>
      <c r="E2544" s="357" t="str">
        <f t="shared" si="31"/>
        <v>https://pubmed.ncbi.nlm.nih.gov/32226310</v>
      </c>
      <c r="F2544" s="226" t="s">
        <v>308</v>
      </c>
      <c r="G2544" s="226" t="s">
        <v>8164</v>
      </c>
      <c r="H2544" s="97"/>
      <c r="J2544" s="346">
        <f t="shared" si="30"/>
        <v>1</v>
      </c>
      <c r="K2544" s="28" t="str">
        <f t="shared" si="24"/>
        <v/>
      </c>
      <c r="L2544" s="45" t="str">
        <f t="shared" si="25"/>
        <v/>
      </c>
      <c r="M2544" s="45" t="str">
        <f t="shared" si="26"/>
        <v/>
      </c>
      <c r="N2544" s="45" t="str">
        <f t="shared" si="27"/>
        <v/>
      </c>
      <c r="O2544" s="45" t="str">
        <f t="shared" si="28"/>
        <v/>
      </c>
      <c r="P2544" s="45" t="str">
        <f t="shared" si="29"/>
        <v/>
      </c>
    </row>
    <row r="2545" spans="1:16" ht="17.25">
      <c r="A2545" s="306" t="s">
        <v>8165</v>
      </c>
      <c r="B2545" s="307">
        <v>2020</v>
      </c>
      <c r="C2545" s="307">
        <v>31066013</v>
      </c>
      <c r="D2545" s="358"/>
      <c r="E2545" s="357" t="str">
        <f t="shared" si="31"/>
        <v>https://pubmed.ncbi.nlm.nih.gov/31066013</v>
      </c>
      <c r="F2545" s="226" t="s">
        <v>308</v>
      </c>
      <c r="G2545" s="226" t="s">
        <v>8161</v>
      </c>
      <c r="H2545" s="97"/>
      <c r="J2545" s="346" t="str">
        <f t="shared" si="30"/>
        <v/>
      </c>
      <c r="K2545" s="28" t="str">
        <f t="shared" si="24"/>
        <v/>
      </c>
      <c r="L2545" s="45" t="str">
        <f t="shared" si="25"/>
        <v/>
      </c>
      <c r="M2545" s="45" t="str">
        <f t="shared" si="26"/>
        <v/>
      </c>
      <c r="N2545" s="45">
        <f t="shared" si="27"/>
        <v>1</v>
      </c>
      <c r="O2545" s="45" t="str">
        <f t="shared" si="28"/>
        <v/>
      </c>
      <c r="P2545" s="45" t="str">
        <f t="shared" si="29"/>
        <v/>
      </c>
    </row>
    <row r="2546" spans="1:16" ht="17.25">
      <c r="A2546" s="306" t="s">
        <v>8166</v>
      </c>
      <c r="B2546" s="307">
        <v>2020</v>
      </c>
      <c r="C2546" s="307">
        <v>31466119</v>
      </c>
      <c r="D2546" s="358"/>
      <c r="E2546" s="357" t="str">
        <f t="shared" si="31"/>
        <v>https://pubmed.ncbi.nlm.nih.gov/31466119</v>
      </c>
      <c r="F2546" s="226" t="s">
        <v>308</v>
      </c>
      <c r="G2546" s="226" t="s">
        <v>8167</v>
      </c>
      <c r="H2546" s="97"/>
      <c r="J2546" s="346" t="str">
        <f t="shared" si="30"/>
        <v/>
      </c>
      <c r="K2546" s="28" t="str">
        <f t="shared" si="24"/>
        <v/>
      </c>
      <c r="L2546" s="45" t="str">
        <f t="shared" si="25"/>
        <v/>
      </c>
      <c r="M2546" s="45" t="str">
        <f t="shared" si="26"/>
        <v/>
      </c>
      <c r="N2546" s="45">
        <f t="shared" si="27"/>
        <v>1</v>
      </c>
      <c r="O2546" s="45" t="str">
        <f t="shared" si="28"/>
        <v/>
      </c>
      <c r="P2546" s="45" t="str">
        <f t="shared" si="29"/>
        <v/>
      </c>
    </row>
    <row r="2547" spans="1:16" ht="17.25">
      <c r="A2547" s="306" t="s">
        <v>8168</v>
      </c>
      <c r="B2547" s="307">
        <v>2020</v>
      </c>
      <c r="C2547" s="307">
        <v>32916291</v>
      </c>
      <c r="D2547" s="358"/>
      <c r="E2547" s="357" t="str">
        <f t="shared" si="31"/>
        <v>https://pubmed.ncbi.nlm.nih.gov/32916291</v>
      </c>
      <c r="F2547" s="226" t="s">
        <v>308</v>
      </c>
      <c r="G2547" s="226" t="s">
        <v>8169</v>
      </c>
      <c r="H2547" s="97"/>
      <c r="J2547" s="346">
        <f t="shared" si="30"/>
        <v>1</v>
      </c>
      <c r="K2547" s="28" t="str">
        <f t="shared" si="24"/>
        <v/>
      </c>
      <c r="L2547" s="45" t="str">
        <f t="shared" si="25"/>
        <v/>
      </c>
      <c r="M2547" s="45" t="str">
        <f t="shared" si="26"/>
        <v/>
      </c>
      <c r="N2547" s="45" t="str">
        <f t="shared" si="27"/>
        <v/>
      </c>
      <c r="O2547" s="45" t="str">
        <f t="shared" si="28"/>
        <v/>
      </c>
      <c r="P2547" s="45" t="str">
        <f t="shared" si="29"/>
        <v/>
      </c>
    </row>
    <row r="2548" spans="1:16" ht="17.25">
      <c r="A2548" s="306" t="s">
        <v>8170</v>
      </c>
      <c r="B2548" s="307">
        <v>2020</v>
      </c>
      <c r="C2548" s="307">
        <v>31418143</v>
      </c>
      <c r="D2548" s="306" t="s">
        <v>8171</v>
      </c>
      <c r="E2548" s="357" t="str">
        <f t="shared" si="31"/>
        <v>https://pubmed.ncbi.nlm.nih.gov/31418143</v>
      </c>
      <c r="F2548" s="226" t="s">
        <v>308</v>
      </c>
      <c r="G2548" s="226" t="s">
        <v>8172</v>
      </c>
      <c r="H2548" s="97"/>
      <c r="J2548" s="346" t="str">
        <f t="shared" si="30"/>
        <v/>
      </c>
      <c r="K2548" s="28" t="str">
        <f t="shared" si="24"/>
        <v/>
      </c>
      <c r="L2548" s="45" t="str">
        <f t="shared" si="25"/>
        <v/>
      </c>
      <c r="M2548" s="45" t="str">
        <f t="shared" si="26"/>
        <v/>
      </c>
      <c r="N2548" s="45">
        <f t="shared" si="27"/>
        <v>1</v>
      </c>
      <c r="O2548" s="45" t="str">
        <f t="shared" si="28"/>
        <v/>
      </c>
      <c r="P2548" s="45" t="str">
        <f t="shared" si="29"/>
        <v/>
      </c>
    </row>
    <row r="2549" spans="1:16" ht="17.25">
      <c r="A2549" s="306" t="s">
        <v>8173</v>
      </c>
      <c r="B2549" s="307">
        <v>2020</v>
      </c>
      <c r="C2549" s="307">
        <v>31518715</v>
      </c>
      <c r="D2549" s="358"/>
      <c r="E2549" s="357" t="str">
        <f t="shared" si="31"/>
        <v>https://pubmed.ncbi.nlm.nih.gov/31518715</v>
      </c>
      <c r="F2549" s="226" t="s">
        <v>308</v>
      </c>
      <c r="G2549" s="226" t="s">
        <v>8161</v>
      </c>
      <c r="H2549" s="97"/>
      <c r="J2549" s="346" t="str">
        <f t="shared" si="30"/>
        <v/>
      </c>
      <c r="K2549" s="28" t="str">
        <f t="shared" si="24"/>
        <v/>
      </c>
      <c r="L2549" s="45" t="str">
        <f t="shared" si="25"/>
        <v/>
      </c>
      <c r="M2549" s="45" t="str">
        <f t="shared" si="26"/>
        <v/>
      </c>
      <c r="N2549" s="45">
        <f t="shared" si="27"/>
        <v>1</v>
      </c>
      <c r="O2549" s="45" t="str">
        <f t="shared" si="28"/>
        <v/>
      </c>
      <c r="P2549" s="45" t="str">
        <f t="shared" si="29"/>
        <v/>
      </c>
    </row>
    <row r="2550" spans="1:16" ht="17.25">
      <c r="A2550" s="306" t="s">
        <v>8174</v>
      </c>
      <c r="B2550" s="307">
        <v>2020</v>
      </c>
      <c r="C2550" s="307">
        <v>31558670</v>
      </c>
      <c r="D2550" s="306" t="s">
        <v>8175</v>
      </c>
      <c r="E2550" s="357" t="str">
        <f t="shared" si="31"/>
        <v>https://pubmed.ncbi.nlm.nih.gov/31558670</v>
      </c>
      <c r="F2550" s="226" t="s">
        <v>308</v>
      </c>
      <c r="G2550" s="226" t="s">
        <v>8176</v>
      </c>
      <c r="H2550" s="97"/>
      <c r="J2550" s="346" t="str">
        <f t="shared" si="30"/>
        <v/>
      </c>
      <c r="K2550" s="28" t="str">
        <f t="shared" si="24"/>
        <v/>
      </c>
      <c r="L2550" s="45" t="str">
        <f t="shared" si="25"/>
        <v/>
      </c>
      <c r="M2550" s="45" t="str">
        <f t="shared" si="26"/>
        <v/>
      </c>
      <c r="N2550" s="45">
        <f t="shared" si="27"/>
        <v>1</v>
      </c>
      <c r="O2550" s="45" t="str">
        <f t="shared" si="28"/>
        <v/>
      </c>
      <c r="P2550" s="45" t="str">
        <f t="shared" si="29"/>
        <v/>
      </c>
    </row>
    <row r="2551" spans="1:16" ht="17.25">
      <c r="A2551" s="306" t="s">
        <v>8177</v>
      </c>
      <c r="B2551" s="307">
        <v>2020</v>
      </c>
      <c r="C2551" s="307">
        <v>32027072</v>
      </c>
      <c r="D2551" s="306" t="s">
        <v>8178</v>
      </c>
      <c r="E2551" s="357" t="str">
        <f t="shared" si="31"/>
        <v>https://pubmed.ncbi.nlm.nih.gov/32027072</v>
      </c>
      <c r="F2551" s="226" t="s">
        <v>308</v>
      </c>
      <c r="G2551" s="226" t="s">
        <v>8179</v>
      </c>
      <c r="H2551" s="97"/>
      <c r="J2551" s="346">
        <f t="shared" si="30"/>
        <v>1</v>
      </c>
      <c r="K2551" s="28" t="str">
        <f t="shared" si="24"/>
        <v/>
      </c>
      <c r="L2551" s="45" t="str">
        <f t="shared" si="25"/>
        <v/>
      </c>
      <c r="M2551" s="45" t="str">
        <f t="shared" si="26"/>
        <v/>
      </c>
      <c r="N2551" s="45" t="str">
        <f t="shared" si="27"/>
        <v/>
      </c>
      <c r="O2551" s="45" t="str">
        <f t="shared" si="28"/>
        <v/>
      </c>
      <c r="P2551" s="45" t="str">
        <f t="shared" si="29"/>
        <v/>
      </c>
    </row>
    <row r="2552" spans="1:16" ht="17.25">
      <c r="A2552" s="306" t="s">
        <v>8180</v>
      </c>
      <c r="B2552" s="307">
        <v>2020</v>
      </c>
      <c r="C2552" s="307">
        <v>32145647</v>
      </c>
      <c r="D2552" s="306" t="s">
        <v>8181</v>
      </c>
      <c r="E2552" s="357" t="str">
        <f t="shared" si="31"/>
        <v>https://pubmed.ncbi.nlm.nih.gov/32145647</v>
      </c>
      <c r="F2552" s="226" t="s">
        <v>308</v>
      </c>
      <c r="G2552" s="226" t="s">
        <v>8164</v>
      </c>
      <c r="H2552" s="97"/>
      <c r="J2552" s="346">
        <f t="shared" si="30"/>
        <v>1</v>
      </c>
      <c r="K2552" s="28" t="str">
        <f t="shared" si="24"/>
        <v/>
      </c>
      <c r="L2552" s="45" t="str">
        <f t="shared" si="25"/>
        <v/>
      </c>
      <c r="M2552" s="45" t="str">
        <f t="shared" si="26"/>
        <v/>
      </c>
      <c r="N2552" s="45" t="str">
        <f t="shared" si="27"/>
        <v/>
      </c>
      <c r="O2552" s="45" t="str">
        <f t="shared" si="28"/>
        <v/>
      </c>
      <c r="P2552" s="45" t="str">
        <f t="shared" si="29"/>
        <v/>
      </c>
    </row>
    <row r="2553" spans="1:16" ht="17.25">
      <c r="A2553" s="306" t="s">
        <v>7003</v>
      </c>
      <c r="B2553" s="307">
        <v>2020</v>
      </c>
      <c r="C2553" s="307">
        <v>32532839</v>
      </c>
      <c r="D2553" s="306" t="s">
        <v>8182</v>
      </c>
      <c r="E2553" s="357" t="str">
        <f t="shared" si="31"/>
        <v>https://pubmed.ncbi.nlm.nih.gov/32532839</v>
      </c>
      <c r="F2553" s="226" t="s">
        <v>308</v>
      </c>
      <c r="G2553" s="226" t="s">
        <v>4592</v>
      </c>
      <c r="H2553" s="97"/>
      <c r="J2553" s="346">
        <f t="shared" si="30"/>
        <v>1</v>
      </c>
      <c r="K2553" s="28" t="str">
        <f t="shared" si="24"/>
        <v/>
      </c>
      <c r="L2553" s="45" t="str">
        <f t="shared" si="25"/>
        <v/>
      </c>
      <c r="M2553" s="45" t="str">
        <f t="shared" si="26"/>
        <v/>
      </c>
      <c r="N2553" s="45" t="str">
        <f t="shared" si="27"/>
        <v/>
      </c>
      <c r="O2553" s="45" t="str">
        <f t="shared" si="28"/>
        <v/>
      </c>
      <c r="P2553" s="45" t="str">
        <f t="shared" si="29"/>
        <v/>
      </c>
    </row>
    <row r="2554" spans="1:16" ht="17.25">
      <c r="A2554" s="306" t="s">
        <v>8183</v>
      </c>
      <c r="B2554" s="307">
        <v>2020</v>
      </c>
      <c r="C2554" s="307">
        <v>31675442</v>
      </c>
      <c r="D2554" s="358"/>
      <c r="E2554" s="357" t="str">
        <f t="shared" si="31"/>
        <v>https://pubmed.ncbi.nlm.nih.gov/31675442</v>
      </c>
      <c r="F2554" s="226" t="s">
        <v>308</v>
      </c>
      <c r="G2554" s="226" t="s">
        <v>4592</v>
      </c>
      <c r="H2554" s="97"/>
      <c r="J2554" s="346">
        <f t="shared" si="30"/>
        <v>1</v>
      </c>
      <c r="K2554" s="28" t="str">
        <f t="shared" si="24"/>
        <v/>
      </c>
      <c r="L2554" s="45" t="str">
        <f t="shared" si="25"/>
        <v/>
      </c>
      <c r="M2554" s="45" t="str">
        <f t="shared" si="26"/>
        <v/>
      </c>
      <c r="N2554" s="45" t="str">
        <f t="shared" si="27"/>
        <v/>
      </c>
      <c r="O2554" s="45" t="str">
        <f t="shared" si="28"/>
        <v/>
      </c>
      <c r="P2554" s="45" t="str">
        <f t="shared" si="29"/>
        <v/>
      </c>
    </row>
    <row r="2555" spans="1:16" ht="17.25">
      <c r="A2555" s="306" t="s">
        <v>8184</v>
      </c>
      <c r="B2555" s="307">
        <v>2020</v>
      </c>
      <c r="C2555" s="307">
        <v>32003224</v>
      </c>
      <c r="D2555" s="306" t="s">
        <v>8185</v>
      </c>
      <c r="E2555" s="357" t="str">
        <f t="shared" si="31"/>
        <v>https://pubmed.ncbi.nlm.nih.gov/32003224</v>
      </c>
      <c r="F2555" s="226" t="s">
        <v>308</v>
      </c>
      <c r="G2555" s="226" t="s">
        <v>8152</v>
      </c>
      <c r="H2555" s="97"/>
      <c r="J2555" s="346" t="str">
        <f t="shared" si="30"/>
        <v/>
      </c>
      <c r="K2555" s="28" t="str">
        <f t="shared" si="24"/>
        <v/>
      </c>
      <c r="L2555" s="45" t="str">
        <f t="shared" si="25"/>
        <v/>
      </c>
      <c r="M2555" s="45" t="str">
        <f t="shared" si="26"/>
        <v/>
      </c>
      <c r="N2555" s="45">
        <f t="shared" si="27"/>
        <v>1</v>
      </c>
      <c r="O2555" s="45" t="str">
        <f t="shared" si="28"/>
        <v/>
      </c>
      <c r="P2555" s="45" t="str">
        <f t="shared" si="29"/>
        <v/>
      </c>
    </row>
    <row r="2556" spans="1:16" ht="17.25">
      <c r="A2556" s="306" t="s">
        <v>8186</v>
      </c>
      <c r="B2556" s="307">
        <v>2020</v>
      </c>
      <c r="C2556" s="307">
        <v>32133525</v>
      </c>
      <c r="D2556" s="306" t="s">
        <v>8187</v>
      </c>
      <c r="E2556" s="357" t="str">
        <f t="shared" si="31"/>
        <v>https://pubmed.ncbi.nlm.nih.gov/32133525</v>
      </c>
      <c r="F2556" s="226" t="s">
        <v>308</v>
      </c>
      <c r="G2556" s="226" t="s">
        <v>8172</v>
      </c>
      <c r="H2556" s="97"/>
      <c r="J2556" s="346" t="str">
        <f t="shared" si="30"/>
        <v/>
      </c>
      <c r="K2556" s="28" t="str">
        <f t="shared" si="24"/>
        <v/>
      </c>
      <c r="L2556" s="45" t="str">
        <f t="shared" si="25"/>
        <v/>
      </c>
      <c r="M2556" s="45" t="str">
        <f t="shared" si="26"/>
        <v/>
      </c>
      <c r="N2556" s="45">
        <f t="shared" si="27"/>
        <v>1</v>
      </c>
      <c r="O2556" s="45" t="str">
        <f t="shared" si="28"/>
        <v/>
      </c>
      <c r="P2556" s="45" t="str">
        <f t="shared" si="29"/>
        <v/>
      </c>
    </row>
    <row r="2557" spans="1:16" ht="17.25">
      <c r="A2557" s="306" t="s">
        <v>8188</v>
      </c>
      <c r="B2557" s="307">
        <v>2020</v>
      </c>
      <c r="C2557" s="307">
        <v>31645371</v>
      </c>
      <c r="D2557" s="306" t="s">
        <v>8189</v>
      </c>
      <c r="E2557" s="357" t="str">
        <f t="shared" si="31"/>
        <v>https://pubmed.ncbi.nlm.nih.gov/31645371</v>
      </c>
      <c r="F2557" s="226" t="s">
        <v>308</v>
      </c>
      <c r="G2557" s="226" t="s">
        <v>8152</v>
      </c>
      <c r="H2557" s="97"/>
      <c r="J2557" s="346" t="str">
        <f t="shared" si="30"/>
        <v/>
      </c>
      <c r="K2557" s="28" t="str">
        <f t="shared" si="24"/>
        <v/>
      </c>
      <c r="L2557" s="45" t="str">
        <f t="shared" si="25"/>
        <v/>
      </c>
      <c r="M2557" s="45" t="str">
        <f t="shared" si="26"/>
        <v/>
      </c>
      <c r="N2557" s="45">
        <f t="shared" si="27"/>
        <v>1</v>
      </c>
      <c r="O2557" s="45" t="str">
        <f t="shared" si="28"/>
        <v/>
      </c>
      <c r="P2557" s="45" t="str">
        <f t="shared" si="29"/>
        <v/>
      </c>
    </row>
    <row r="2558" spans="1:16" ht="17.25">
      <c r="A2558" s="306" t="s">
        <v>8190</v>
      </c>
      <c r="B2558" s="307">
        <v>2020</v>
      </c>
      <c r="C2558" s="307">
        <v>32074665</v>
      </c>
      <c r="D2558" s="306" t="s">
        <v>8191</v>
      </c>
      <c r="E2558" s="357" t="str">
        <f t="shared" si="31"/>
        <v>https://pubmed.ncbi.nlm.nih.gov/32074665</v>
      </c>
      <c r="F2558" s="226" t="s">
        <v>308</v>
      </c>
      <c r="G2558" s="226" t="s">
        <v>8167</v>
      </c>
      <c r="H2558" s="97"/>
      <c r="J2558" s="346" t="str">
        <f t="shared" si="30"/>
        <v/>
      </c>
      <c r="K2558" s="28" t="str">
        <f t="shared" si="24"/>
        <v/>
      </c>
      <c r="L2558" s="45" t="str">
        <f t="shared" si="25"/>
        <v/>
      </c>
      <c r="M2558" s="45" t="str">
        <f t="shared" si="26"/>
        <v/>
      </c>
      <c r="N2558" s="45">
        <f t="shared" si="27"/>
        <v>1</v>
      </c>
      <c r="O2558" s="45" t="str">
        <f t="shared" si="28"/>
        <v/>
      </c>
      <c r="P2558" s="45" t="str">
        <f t="shared" si="29"/>
        <v/>
      </c>
    </row>
    <row r="2559" spans="1:16" ht="17.25">
      <c r="A2559" s="306" t="s">
        <v>8192</v>
      </c>
      <c r="B2559" s="307">
        <v>2020</v>
      </c>
      <c r="C2559" s="307">
        <v>32654884</v>
      </c>
      <c r="D2559" s="306" t="s">
        <v>8193</v>
      </c>
      <c r="E2559" s="357" t="str">
        <f t="shared" si="31"/>
        <v>https://pubmed.ncbi.nlm.nih.gov/32654884</v>
      </c>
      <c r="F2559" s="226" t="s">
        <v>308</v>
      </c>
      <c r="G2559" s="226" t="s">
        <v>8161</v>
      </c>
      <c r="H2559" s="97"/>
      <c r="J2559" s="346" t="str">
        <f t="shared" si="30"/>
        <v/>
      </c>
      <c r="K2559" s="28" t="str">
        <f t="shared" si="24"/>
        <v/>
      </c>
      <c r="L2559" s="45" t="str">
        <f t="shared" si="25"/>
        <v/>
      </c>
      <c r="M2559" s="45" t="str">
        <f t="shared" si="26"/>
        <v/>
      </c>
      <c r="N2559" s="45">
        <f t="shared" si="27"/>
        <v>1</v>
      </c>
      <c r="O2559" s="45" t="str">
        <f t="shared" si="28"/>
        <v/>
      </c>
      <c r="P2559" s="45" t="str">
        <f t="shared" si="29"/>
        <v/>
      </c>
    </row>
    <row r="2560" spans="1:16" ht="17.25">
      <c r="A2560" s="306" t="s">
        <v>8194</v>
      </c>
      <c r="B2560" s="307">
        <v>2020</v>
      </c>
      <c r="C2560" s="307">
        <v>32690640</v>
      </c>
      <c r="D2560" s="306" t="s">
        <v>8195</v>
      </c>
      <c r="E2560" s="357" t="str">
        <f t="shared" si="31"/>
        <v>https://pubmed.ncbi.nlm.nih.gov/32690640</v>
      </c>
      <c r="F2560" s="226" t="s">
        <v>308</v>
      </c>
      <c r="G2560" s="226" t="s">
        <v>8161</v>
      </c>
      <c r="H2560" s="97"/>
      <c r="J2560" s="346" t="str">
        <f t="shared" si="30"/>
        <v/>
      </c>
      <c r="K2560" s="28" t="str">
        <f t="shared" si="24"/>
        <v/>
      </c>
      <c r="L2560" s="45" t="str">
        <f t="shared" si="25"/>
        <v/>
      </c>
      <c r="M2560" s="45" t="str">
        <f t="shared" si="26"/>
        <v/>
      </c>
      <c r="N2560" s="45">
        <f t="shared" si="27"/>
        <v>1</v>
      </c>
      <c r="O2560" s="45" t="str">
        <f t="shared" si="28"/>
        <v/>
      </c>
      <c r="P2560" s="45" t="str">
        <f t="shared" si="29"/>
        <v/>
      </c>
    </row>
    <row r="2561" spans="1:16" ht="17.25">
      <c r="A2561" s="306" t="s">
        <v>8196</v>
      </c>
      <c r="B2561" s="307">
        <v>2020</v>
      </c>
      <c r="C2561" s="307">
        <v>32515543</v>
      </c>
      <c r="D2561" s="306" t="s">
        <v>8197</v>
      </c>
      <c r="E2561" s="357" t="str">
        <f t="shared" si="31"/>
        <v>https://pubmed.ncbi.nlm.nih.gov/32515543</v>
      </c>
      <c r="F2561" s="226" t="s">
        <v>308</v>
      </c>
      <c r="G2561" s="226" t="s">
        <v>8164</v>
      </c>
      <c r="H2561" s="97"/>
      <c r="J2561" s="346">
        <f t="shared" si="30"/>
        <v>1</v>
      </c>
      <c r="K2561" s="28" t="str">
        <f t="shared" si="24"/>
        <v/>
      </c>
      <c r="L2561" s="45" t="str">
        <f t="shared" si="25"/>
        <v/>
      </c>
      <c r="M2561" s="45" t="str">
        <f t="shared" si="26"/>
        <v/>
      </c>
      <c r="N2561" s="45" t="str">
        <f t="shared" si="27"/>
        <v/>
      </c>
      <c r="O2561" s="45" t="str">
        <f t="shared" si="28"/>
        <v/>
      </c>
      <c r="P2561" s="45" t="str">
        <f t="shared" si="29"/>
        <v/>
      </c>
    </row>
    <row r="2562" spans="1:16" ht="17.25">
      <c r="A2562" s="306" t="s">
        <v>8198</v>
      </c>
      <c r="B2562" s="307">
        <v>2020</v>
      </c>
      <c r="C2562" s="307">
        <v>32717759</v>
      </c>
      <c r="D2562" s="306" t="s">
        <v>8199</v>
      </c>
      <c r="E2562" s="357" t="str">
        <f t="shared" si="31"/>
        <v>https://pubmed.ncbi.nlm.nih.gov/32717759</v>
      </c>
      <c r="F2562" s="226" t="s">
        <v>308</v>
      </c>
      <c r="G2562" s="226" t="s">
        <v>4592</v>
      </c>
      <c r="H2562" s="97"/>
      <c r="J2562" s="346">
        <f t="shared" si="30"/>
        <v>1</v>
      </c>
      <c r="K2562" s="28" t="str">
        <f t="shared" si="24"/>
        <v/>
      </c>
      <c r="L2562" s="45" t="str">
        <f t="shared" si="25"/>
        <v/>
      </c>
      <c r="M2562" s="45" t="str">
        <f t="shared" si="26"/>
        <v/>
      </c>
      <c r="N2562" s="45" t="str">
        <f t="shared" si="27"/>
        <v/>
      </c>
      <c r="O2562" s="45" t="str">
        <f t="shared" si="28"/>
        <v/>
      </c>
      <c r="P2562" s="45" t="str">
        <f t="shared" si="29"/>
        <v/>
      </c>
    </row>
    <row r="2563" spans="1:16" ht="17.25">
      <c r="A2563" s="306" t="s">
        <v>8200</v>
      </c>
      <c r="B2563" s="307">
        <v>2020</v>
      </c>
      <c r="C2563" s="307">
        <v>33028293</v>
      </c>
      <c r="D2563" s="306" t="s">
        <v>8201</v>
      </c>
      <c r="E2563" s="357" t="str">
        <f t="shared" si="31"/>
        <v>https://pubmed.ncbi.nlm.nih.gov/33028293</v>
      </c>
      <c r="F2563" s="226" t="s">
        <v>308</v>
      </c>
      <c r="G2563" s="226" t="s">
        <v>8161</v>
      </c>
      <c r="H2563" s="97"/>
      <c r="J2563" s="346" t="str">
        <f t="shared" si="30"/>
        <v/>
      </c>
      <c r="K2563" s="28" t="str">
        <f t="shared" si="24"/>
        <v/>
      </c>
      <c r="L2563" s="45" t="str">
        <f t="shared" si="25"/>
        <v/>
      </c>
      <c r="M2563" s="45" t="str">
        <f t="shared" si="26"/>
        <v/>
      </c>
      <c r="N2563" s="45">
        <f t="shared" si="27"/>
        <v>1</v>
      </c>
      <c r="O2563" s="45" t="str">
        <f t="shared" si="28"/>
        <v/>
      </c>
      <c r="P2563" s="45" t="str">
        <f t="shared" si="29"/>
        <v/>
      </c>
    </row>
    <row r="2564" spans="1:16" ht="17.25">
      <c r="A2564" s="306" t="s">
        <v>8202</v>
      </c>
      <c r="B2564" s="307">
        <v>2020</v>
      </c>
      <c r="C2564" s="307">
        <v>32588983</v>
      </c>
      <c r="D2564" s="358"/>
      <c r="E2564" s="357" t="str">
        <f t="shared" si="31"/>
        <v>https://pubmed.ncbi.nlm.nih.gov/32588983</v>
      </c>
      <c r="F2564" s="226" t="s">
        <v>308</v>
      </c>
      <c r="G2564" s="226" t="s">
        <v>8203</v>
      </c>
      <c r="H2564" s="97"/>
      <c r="J2564" s="346" t="str">
        <f t="shared" si="30"/>
        <v/>
      </c>
      <c r="K2564" s="28" t="str">
        <f t="shared" si="24"/>
        <v/>
      </c>
      <c r="L2564" s="45" t="str">
        <f t="shared" si="25"/>
        <v/>
      </c>
      <c r="M2564" s="45" t="str">
        <f t="shared" si="26"/>
        <v/>
      </c>
      <c r="N2564" s="45" t="str">
        <f t="shared" si="27"/>
        <v/>
      </c>
      <c r="O2564" s="45">
        <f t="shared" si="28"/>
        <v>1</v>
      </c>
      <c r="P2564" s="45" t="str">
        <f t="shared" si="29"/>
        <v/>
      </c>
    </row>
    <row r="2565" spans="1:16" ht="17.25">
      <c r="A2565" s="306" t="s">
        <v>8204</v>
      </c>
      <c r="B2565" s="307">
        <v>2020</v>
      </c>
      <c r="C2565" s="307">
        <v>32640196</v>
      </c>
      <c r="D2565" s="358"/>
      <c r="E2565" s="357" t="str">
        <f t="shared" si="31"/>
        <v>https://pubmed.ncbi.nlm.nih.gov/32640196</v>
      </c>
      <c r="F2565" s="226" t="s">
        <v>308</v>
      </c>
      <c r="G2565" s="226" t="s">
        <v>8161</v>
      </c>
      <c r="H2565" s="97"/>
      <c r="J2565" s="346" t="str">
        <f t="shared" si="30"/>
        <v/>
      </c>
      <c r="K2565" s="28" t="str">
        <f t="shared" si="24"/>
        <v/>
      </c>
      <c r="L2565" s="45" t="str">
        <f t="shared" si="25"/>
        <v/>
      </c>
      <c r="M2565" s="45" t="str">
        <f t="shared" si="26"/>
        <v/>
      </c>
      <c r="N2565" s="45">
        <f t="shared" si="27"/>
        <v>1</v>
      </c>
      <c r="O2565" s="45" t="str">
        <f t="shared" si="28"/>
        <v/>
      </c>
      <c r="P2565" s="45" t="str">
        <f t="shared" si="29"/>
        <v/>
      </c>
    </row>
    <row r="2566" spans="1:16" ht="17.25">
      <c r="A2566" s="306" t="s">
        <v>8205</v>
      </c>
      <c r="B2566" s="307">
        <v>2020</v>
      </c>
      <c r="C2566" s="307">
        <v>33036834</v>
      </c>
      <c r="D2566" s="358"/>
      <c r="E2566" s="357" t="str">
        <f t="shared" si="31"/>
        <v>https://pubmed.ncbi.nlm.nih.gov/33036834</v>
      </c>
      <c r="F2566" s="226" t="s">
        <v>308</v>
      </c>
      <c r="G2566" s="226" t="s">
        <v>8206</v>
      </c>
      <c r="H2566" s="97"/>
      <c r="J2566" s="346">
        <f t="shared" si="30"/>
        <v>1</v>
      </c>
      <c r="K2566" s="28" t="str">
        <f t="shared" si="24"/>
        <v/>
      </c>
      <c r="L2566" s="45" t="str">
        <f t="shared" si="25"/>
        <v/>
      </c>
      <c r="M2566" s="45" t="str">
        <f t="shared" si="26"/>
        <v/>
      </c>
      <c r="N2566" s="45" t="str">
        <f t="shared" si="27"/>
        <v/>
      </c>
      <c r="O2566" s="45" t="str">
        <f t="shared" si="28"/>
        <v/>
      </c>
      <c r="P2566" s="45" t="str">
        <f t="shared" si="29"/>
        <v/>
      </c>
    </row>
    <row r="2567" spans="1:16" ht="17.25">
      <c r="A2567" s="306" t="s">
        <v>8207</v>
      </c>
      <c r="B2567" s="307">
        <v>2020</v>
      </c>
      <c r="C2567" s="307">
        <v>33144335</v>
      </c>
      <c r="D2567" s="306" t="s">
        <v>8208</v>
      </c>
      <c r="E2567" s="357" t="str">
        <f t="shared" si="31"/>
        <v>https://pubmed.ncbi.nlm.nih.gov/33144335</v>
      </c>
      <c r="F2567" s="226" t="s">
        <v>308</v>
      </c>
      <c r="G2567" s="226" t="s">
        <v>4592</v>
      </c>
      <c r="H2567" s="97"/>
      <c r="J2567" s="346">
        <f t="shared" si="30"/>
        <v>1</v>
      </c>
      <c r="K2567" s="28" t="str">
        <f t="shared" si="24"/>
        <v/>
      </c>
      <c r="L2567" s="45" t="str">
        <f t="shared" si="25"/>
        <v/>
      </c>
      <c r="M2567" s="45" t="str">
        <f t="shared" si="26"/>
        <v/>
      </c>
      <c r="N2567" s="45" t="str">
        <f t="shared" si="27"/>
        <v/>
      </c>
      <c r="O2567" s="45" t="str">
        <f t="shared" si="28"/>
        <v/>
      </c>
      <c r="P2567" s="45" t="str">
        <f t="shared" si="29"/>
        <v/>
      </c>
    </row>
    <row r="2568" spans="1:16" ht="17.25">
      <c r="A2568" s="306" t="s">
        <v>8209</v>
      </c>
      <c r="B2568" s="307">
        <v>2020</v>
      </c>
      <c r="C2568" s="307">
        <v>33176845</v>
      </c>
      <c r="D2568" s="306" t="s">
        <v>8210</v>
      </c>
      <c r="E2568" s="357" t="str">
        <f t="shared" si="31"/>
        <v>https://pubmed.ncbi.nlm.nih.gov/33176845</v>
      </c>
      <c r="F2568" s="226" t="s">
        <v>308</v>
      </c>
      <c r="G2568" s="226" t="s">
        <v>8161</v>
      </c>
      <c r="H2568" s="97"/>
      <c r="J2568" s="346" t="str">
        <f t="shared" si="30"/>
        <v/>
      </c>
      <c r="K2568" s="28" t="str">
        <f t="shared" si="24"/>
        <v/>
      </c>
      <c r="L2568" s="45" t="str">
        <f t="shared" si="25"/>
        <v/>
      </c>
      <c r="M2568" s="45" t="str">
        <f t="shared" si="26"/>
        <v/>
      </c>
      <c r="N2568" s="45">
        <f t="shared" si="27"/>
        <v>1</v>
      </c>
      <c r="O2568" s="45" t="str">
        <f t="shared" si="28"/>
        <v/>
      </c>
      <c r="P2568" s="45" t="str">
        <f t="shared" si="29"/>
        <v/>
      </c>
    </row>
    <row r="2569" spans="1:16" ht="17.25">
      <c r="A2569" s="306" t="s">
        <v>8211</v>
      </c>
      <c r="B2569" s="307">
        <v>2020</v>
      </c>
      <c r="C2569" s="307">
        <v>33196311</v>
      </c>
      <c r="D2569" s="358"/>
      <c r="E2569" s="357" t="str">
        <f t="shared" si="31"/>
        <v>https://pubmed.ncbi.nlm.nih.gov/33196311</v>
      </c>
      <c r="F2569" s="226" t="s">
        <v>308</v>
      </c>
      <c r="G2569" s="226" t="s">
        <v>4592</v>
      </c>
      <c r="H2569" s="97"/>
      <c r="J2569" s="346">
        <f t="shared" si="30"/>
        <v>1</v>
      </c>
      <c r="K2569" s="28" t="str">
        <f t="shared" si="24"/>
        <v/>
      </c>
      <c r="L2569" s="45" t="str">
        <f t="shared" si="25"/>
        <v/>
      </c>
      <c r="M2569" s="45" t="str">
        <f t="shared" si="26"/>
        <v/>
      </c>
      <c r="N2569" s="45" t="str">
        <f t="shared" si="27"/>
        <v/>
      </c>
      <c r="O2569" s="45" t="str">
        <f t="shared" si="28"/>
        <v/>
      </c>
      <c r="P2569" s="45" t="str">
        <f t="shared" si="29"/>
        <v/>
      </c>
    </row>
    <row r="2570" spans="1:16" ht="17.25">
      <c r="A2570" s="306" t="s">
        <v>8212</v>
      </c>
      <c r="B2570" s="307">
        <v>2020</v>
      </c>
      <c r="C2570" s="307">
        <v>32944979</v>
      </c>
      <c r="D2570" s="306" t="s">
        <v>8213</v>
      </c>
      <c r="E2570" s="357" t="str">
        <f t="shared" si="31"/>
        <v>https://pubmed.ncbi.nlm.nih.gov/32944979</v>
      </c>
      <c r="F2570" s="226" t="s">
        <v>308</v>
      </c>
      <c r="G2570" s="226" t="s">
        <v>8214</v>
      </c>
      <c r="H2570" s="97"/>
      <c r="J2570" s="346" t="str">
        <f t="shared" si="30"/>
        <v/>
      </c>
      <c r="K2570" s="28" t="str">
        <f t="shared" si="24"/>
        <v/>
      </c>
      <c r="L2570" s="45" t="str">
        <f t="shared" si="25"/>
        <v/>
      </c>
      <c r="M2570" s="45" t="str">
        <f t="shared" si="26"/>
        <v/>
      </c>
      <c r="N2570" s="45" t="str">
        <f t="shared" si="27"/>
        <v/>
      </c>
      <c r="O2570" s="45">
        <f t="shared" si="28"/>
        <v>1</v>
      </c>
      <c r="P2570" s="45" t="str">
        <f t="shared" si="29"/>
        <v/>
      </c>
    </row>
    <row r="2571" spans="1:16" ht="17.25">
      <c r="A2571" s="306" t="s">
        <v>8215</v>
      </c>
      <c r="B2571" s="307">
        <v>2020</v>
      </c>
      <c r="C2571" s="307">
        <v>32707605</v>
      </c>
      <c r="D2571" s="358"/>
      <c r="E2571" s="357" t="str">
        <f t="shared" si="31"/>
        <v>https://pubmed.ncbi.nlm.nih.gov/32707605</v>
      </c>
      <c r="F2571" s="226" t="s">
        <v>308</v>
      </c>
      <c r="G2571" s="226" t="s">
        <v>8161</v>
      </c>
      <c r="H2571" s="97"/>
      <c r="J2571" s="346" t="str">
        <f t="shared" si="30"/>
        <v/>
      </c>
      <c r="K2571" s="28" t="str">
        <f t="shared" si="24"/>
        <v/>
      </c>
      <c r="L2571" s="45" t="str">
        <f t="shared" si="25"/>
        <v/>
      </c>
      <c r="M2571" s="45" t="str">
        <f t="shared" si="26"/>
        <v/>
      </c>
      <c r="N2571" s="45">
        <f t="shared" si="27"/>
        <v>1</v>
      </c>
      <c r="O2571" s="45" t="str">
        <f t="shared" si="28"/>
        <v/>
      </c>
      <c r="P2571" s="45" t="str">
        <f t="shared" si="29"/>
        <v/>
      </c>
    </row>
    <row r="2572" spans="1:16" ht="17.25">
      <c r="A2572" s="306" t="s">
        <v>8216</v>
      </c>
      <c r="B2572" s="307">
        <v>2020</v>
      </c>
      <c r="C2572" s="307">
        <v>32726839</v>
      </c>
      <c r="D2572" s="358"/>
      <c r="E2572" s="357" t="str">
        <f t="shared" si="31"/>
        <v>https://pubmed.ncbi.nlm.nih.gov/32726839</v>
      </c>
      <c r="F2572" s="226" t="s">
        <v>308</v>
      </c>
      <c r="G2572" s="226" t="s">
        <v>4592</v>
      </c>
      <c r="H2572" s="97"/>
      <c r="J2572" s="346">
        <f t="shared" si="30"/>
        <v>1</v>
      </c>
      <c r="K2572" s="28" t="str">
        <f t="shared" si="24"/>
        <v/>
      </c>
      <c r="L2572" s="45" t="str">
        <f t="shared" si="25"/>
        <v/>
      </c>
      <c r="M2572" s="45" t="str">
        <f t="shared" si="26"/>
        <v/>
      </c>
      <c r="N2572" s="45" t="str">
        <f t="shared" si="27"/>
        <v/>
      </c>
      <c r="O2572" s="45" t="str">
        <f t="shared" si="28"/>
        <v/>
      </c>
      <c r="P2572" s="45" t="str">
        <f t="shared" si="29"/>
        <v/>
      </c>
    </row>
    <row r="2573" spans="1:16" ht="17.25">
      <c r="A2573" s="306" t="s">
        <v>8217</v>
      </c>
      <c r="B2573" s="307">
        <v>2020</v>
      </c>
      <c r="C2573" s="307">
        <v>32842819</v>
      </c>
      <c r="D2573" s="358"/>
      <c r="E2573" s="357" t="str">
        <f t="shared" si="31"/>
        <v>https://pubmed.ncbi.nlm.nih.gov/32842819</v>
      </c>
      <c r="F2573" s="226" t="s">
        <v>308</v>
      </c>
      <c r="G2573" s="226" t="s">
        <v>4592</v>
      </c>
      <c r="H2573" s="97"/>
      <c r="J2573" s="346">
        <f t="shared" si="30"/>
        <v>1</v>
      </c>
      <c r="K2573" s="28" t="str">
        <f t="shared" si="24"/>
        <v/>
      </c>
      <c r="L2573" s="45" t="str">
        <f t="shared" si="25"/>
        <v/>
      </c>
      <c r="M2573" s="45" t="str">
        <f t="shared" si="26"/>
        <v/>
      </c>
      <c r="N2573" s="45" t="str">
        <f t="shared" si="27"/>
        <v/>
      </c>
      <c r="O2573" s="45" t="str">
        <f t="shared" si="28"/>
        <v/>
      </c>
      <c r="P2573" s="45" t="str">
        <f t="shared" si="29"/>
        <v/>
      </c>
    </row>
    <row r="2574" spans="1:16" ht="17.25">
      <c r="A2574" s="306" t="s">
        <v>8218</v>
      </c>
      <c r="B2574" s="307">
        <v>2020</v>
      </c>
      <c r="C2574" s="307">
        <v>32935659</v>
      </c>
      <c r="D2574" s="358"/>
      <c r="E2574" s="357" t="str">
        <f t="shared" si="31"/>
        <v>https://pubmed.ncbi.nlm.nih.gov/32935659</v>
      </c>
      <c r="F2574" s="226" t="s">
        <v>308</v>
      </c>
      <c r="G2574" s="226" t="s">
        <v>8164</v>
      </c>
      <c r="H2574" s="97"/>
      <c r="J2574" s="346">
        <f t="shared" si="30"/>
        <v>1</v>
      </c>
      <c r="K2574" s="28" t="str">
        <f t="shared" si="24"/>
        <v/>
      </c>
      <c r="L2574" s="45" t="str">
        <f t="shared" si="25"/>
        <v/>
      </c>
      <c r="M2574" s="45" t="str">
        <f t="shared" si="26"/>
        <v/>
      </c>
      <c r="N2574" s="45" t="str">
        <f t="shared" si="27"/>
        <v/>
      </c>
      <c r="O2574" s="45" t="str">
        <f t="shared" si="28"/>
        <v/>
      </c>
      <c r="P2574" s="45" t="str">
        <f t="shared" si="29"/>
        <v/>
      </c>
    </row>
    <row r="2575" spans="1:16" ht="17.25">
      <c r="A2575" s="306" t="s">
        <v>1130</v>
      </c>
      <c r="B2575" s="307">
        <v>2020</v>
      </c>
      <c r="C2575" s="307">
        <v>32239164</v>
      </c>
      <c r="D2575" s="306" t="s">
        <v>8219</v>
      </c>
      <c r="E2575" s="357" t="str">
        <f t="shared" si="31"/>
        <v>https://pubmed.ncbi.nlm.nih.gov/32239164</v>
      </c>
      <c r="F2575" s="97"/>
      <c r="G2575" s="97"/>
      <c r="H2575" s="226" t="s">
        <v>308</v>
      </c>
      <c r="J2575" s="346" t="str">
        <f t="shared" si="30"/>
        <v/>
      </c>
      <c r="K2575" s="28" t="str">
        <f t="shared" si="24"/>
        <v/>
      </c>
      <c r="L2575" s="45" t="str">
        <f t="shared" si="25"/>
        <v/>
      </c>
      <c r="M2575" s="45" t="str">
        <f t="shared" si="26"/>
        <v/>
      </c>
      <c r="N2575" s="45" t="str">
        <f t="shared" si="27"/>
        <v/>
      </c>
      <c r="O2575" s="45" t="str">
        <f t="shared" si="28"/>
        <v/>
      </c>
      <c r="P2575" s="45" t="str">
        <f t="shared" si="29"/>
        <v/>
      </c>
    </row>
    <row r="2576" spans="1:16" ht="17.25">
      <c r="A2576" s="306" t="s">
        <v>8139</v>
      </c>
      <c r="B2576" s="307">
        <v>2020</v>
      </c>
      <c r="C2576" s="307">
        <v>33424871</v>
      </c>
      <c r="D2576" s="306" t="s">
        <v>8220</v>
      </c>
      <c r="E2576" s="357" t="str">
        <f t="shared" si="31"/>
        <v>https://pubmed.ncbi.nlm.nih.gov/33424871</v>
      </c>
      <c r="F2576" s="226" t="s">
        <v>308</v>
      </c>
      <c r="G2576" s="226" t="s">
        <v>4592</v>
      </c>
      <c r="H2576" s="97"/>
      <c r="J2576" s="346">
        <f t="shared" si="30"/>
        <v>1</v>
      </c>
      <c r="K2576" s="28" t="str">
        <f t="shared" si="24"/>
        <v/>
      </c>
      <c r="L2576" s="45" t="str">
        <f t="shared" si="25"/>
        <v/>
      </c>
      <c r="M2576" s="45" t="str">
        <f t="shared" si="26"/>
        <v/>
      </c>
      <c r="N2576" s="45" t="str">
        <f t="shared" si="27"/>
        <v/>
      </c>
      <c r="O2576" s="45" t="str">
        <f t="shared" si="28"/>
        <v/>
      </c>
      <c r="P2576" s="45" t="str">
        <f t="shared" si="29"/>
        <v/>
      </c>
    </row>
    <row r="2577" spans="1:16" ht="17.25">
      <c r="A2577" s="306" t="s">
        <v>8221</v>
      </c>
      <c r="B2577" s="307">
        <v>2020</v>
      </c>
      <c r="C2577" s="307">
        <v>33376181</v>
      </c>
      <c r="D2577" s="306" t="s">
        <v>8222</v>
      </c>
      <c r="E2577" s="357" t="str">
        <f t="shared" si="31"/>
        <v>https://pubmed.ncbi.nlm.nih.gov/33376181</v>
      </c>
      <c r="F2577" s="226" t="s">
        <v>308</v>
      </c>
      <c r="G2577" s="226" t="s">
        <v>8223</v>
      </c>
      <c r="H2577" s="97"/>
      <c r="J2577" s="346" t="str">
        <f t="shared" si="30"/>
        <v/>
      </c>
      <c r="K2577" s="28" t="str">
        <f t="shared" si="24"/>
        <v/>
      </c>
      <c r="L2577" s="45" t="str">
        <f t="shared" si="25"/>
        <v/>
      </c>
      <c r="M2577" s="45" t="str">
        <f t="shared" si="26"/>
        <v/>
      </c>
      <c r="N2577" s="45">
        <f t="shared" si="27"/>
        <v>1</v>
      </c>
      <c r="O2577" s="45" t="str">
        <f t="shared" si="28"/>
        <v/>
      </c>
      <c r="P2577" s="45" t="str">
        <f t="shared" si="29"/>
        <v/>
      </c>
    </row>
    <row r="2578" spans="1:16" ht="17.25">
      <c r="A2578" s="306" t="s">
        <v>8224</v>
      </c>
      <c r="B2578" s="307">
        <v>2021</v>
      </c>
      <c r="C2578" s="307">
        <v>32170515</v>
      </c>
      <c r="D2578" s="358"/>
      <c r="E2578" s="357" t="str">
        <f t="shared" si="31"/>
        <v>https://pubmed.ncbi.nlm.nih.gov/32170515</v>
      </c>
      <c r="F2578" s="226" t="s">
        <v>308</v>
      </c>
      <c r="G2578" s="226" t="s">
        <v>4592</v>
      </c>
      <c r="H2578" s="97"/>
      <c r="J2578" s="346">
        <f t="shared" si="30"/>
        <v>1</v>
      </c>
      <c r="K2578" s="28" t="str">
        <f t="shared" si="24"/>
        <v/>
      </c>
      <c r="L2578" s="45" t="str">
        <f t="shared" si="25"/>
        <v/>
      </c>
      <c r="M2578" s="45" t="str">
        <f t="shared" si="26"/>
        <v/>
      </c>
      <c r="N2578" s="45" t="str">
        <f t="shared" si="27"/>
        <v/>
      </c>
      <c r="O2578" s="45" t="str">
        <f t="shared" si="28"/>
        <v/>
      </c>
      <c r="P2578" s="45" t="str">
        <f t="shared" si="29"/>
        <v/>
      </c>
    </row>
    <row r="2579" spans="1:16" ht="17.25">
      <c r="A2579" s="306" t="s">
        <v>8225</v>
      </c>
      <c r="B2579" s="307">
        <v>2021</v>
      </c>
      <c r="C2579" s="307">
        <v>32243207</v>
      </c>
      <c r="D2579" s="358"/>
      <c r="E2579" s="357" t="str">
        <f t="shared" si="31"/>
        <v>https://pubmed.ncbi.nlm.nih.gov/32243207</v>
      </c>
      <c r="F2579" s="226" t="s">
        <v>308</v>
      </c>
      <c r="G2579" s="226" t="s">
        <v>8161</v>
      </c>
      <c r="H2579" s="97"/>
      <c r="J2579" s="346" t="str">
        <f t="shared" si="30"/>
        <v/>
      </c>
      <c r="K2579" s="28" t="str">
        <f t="shared" si="24"/>
        <v/>
      </c>
      <c r="L2579" s="45" t="str">
        <f t="shared" si="25"/>
        <v/>
      </c>
      <c r="M2579" s="45" t="str">
        <f t="shared" si="26"/>
        <v/>
      </c>
      <c r="N2579" s="45">
        <f t="shared" si="27"/>
        <v>1</v>
      </c>
      <c r="O2579" s="45" t="str">
        <f t="shared" si="28"/>
        <v/>
      </c>
      <c r="P2579" s="45" t="str">
        <f t="shared" si="29"/>
        <v/>
      </c>
    </row>
    <row r="2580" spans="1:16" ht="17.25">
      <c r="A2580" s="306" t="s">
        <v>8226</v>
      </c>
      <c r="B2580" s="307">
        <v>2021</v>
      </c>
      <c r="C2580" s="307">
        <v>33111988</v>
      </c>
      <c r="D2580" s="358"/>
      <c r="E2580" s="357" t="str">
        <f t="shared" si="31"/>
        <v>https://pubmed.ncbi.nlm.nih.gov/33111988</v>
      </c>
      <c r="F2580" s="226" t="s">
        <v>308</v>
      </c>
      <c r="G2580" s="226" t="s">
        <v>8161</v>
      </c>
      <c r="H2580" s="97"/>
      <c r="J2580" s="346" t="str">
        <f t="shared" si="30"/>
        <v/>
      </c>
      <c r="K2580" s="28" t="str">
        <f t="shared" si="24"/>
        <v/>
      </c>
      <c r="L2580" s="45" t="str">
        <f t="shared" si="25"/>
        <v/>
      </c>
      <c r="M2580" s="45" t="str">
        <f t="shared" si="26"/>
        <v/>
      </c>
      <c r="N2580" s="45">
        <f t="shared" si="27"/>
        <v>1</v>
      </c>
      <c r="O2580" s="45" t="str">
        <f t="shared" si="28"/>
        <v/>
      </c>
      <c r="P2580" s="45" t="str">
        <f t="shared" si="29"/>
        <v/>
      </c>
    </row>
    <row r="2581" spans="1:16" ht="17.25">
      <c r="A2581" s="306" t="s">
        <v>8227</v>
      </c>
      <c r="B2581" s="307">
        <v>2021</v>
      </c>
      <c r="C2581" s="307">
        <v>33131035</v>
      </c>
      <c r="D2581" s="358"/>
      <c r="E2581" s="357" t="str">
        <f t="shared" si="31"/>
        <v>https://pubmed.ncbi.nlm.nih.gov/33131035</v>
      </c>
      <c r="F2581" s="226" t="s">
        <v>308</v>
      </c>
      <c r="G2581" s="226" t="s">
        <v>8164</v>
      </c>
      <c r="H2581" s="97"/>
      <c r="J2581" s="346">
        <f t="shared" si="30"/>
        <v>1</v>
      </c>
      <c r="K2581" s="28" t="str">
        <f t="shared" si="24"/>
        <v/>
      </c>
      <c r="L2581" s="45" t="str">
        <f t="shared" si="25"/>
        <v/>
      </c>
      <c r="M2581" s="45" t="str">
        <f t="shared" si="26"/>
        <v/>
      </c>
      <c r="N2581" s="45" t="str">
        <f t="shared" si="27"/>
        <v/>
      </c>
      <c r="O2581" s="45" t="str">
        <f t="shared" si="28"/>
        <v/>
      </c>
      <c r="P2581" s="45" t="str">
        <f t="shared" si="29"/>
        <v/>
      </c>
    </row>
    <row r="2582" spans="1:16" ht="17.25">
      <c r="A2582" s="306" t="s">
        <v>8228</v>
      </c>
      <c r="B2582" s="307">
        <v>2021</v>
      </c>
      <c r="C2582" s="307">
        <v>34099106</v>
      </c>
      <c r="D2582" s="358"/>
      <c r="E2582" s="357" t="str">
        <f t="shared" si="31"/>
        <v>https://pubmed.ncbi.nlm.nih.gov/34099106</v>
      </c>
      <c r="F2582" s="226" t="s">
        <v>308</v>
      </c>
      <c r="G2582" s="226" t="s">
        <v>4592</v>
      </c>
      <c r="H2582" s="97"/>
      <c r="J2582" s="346">
        <f t="shared" si="30"/>
        <v>1</v>
      </c>
      <c r="K2582" s="28" t="str">
        <f t="shared" si="24"/>
        <v/>
      </c>
      <c r="L2582" s="45" t="str">
        <f t="shared" si="25"/>
        <v/>
      </c>
      <c r="M2582" s="45" t="str">
        <f t="shared" si="26"/>
        <v/>
      </c>
      <c r="N2582" s="45" t="str">
        <f t="shared" si="27"/>
        <v/>
      </c>
      <c r="O2582" s="45" t="str">
        <f t="shared" si="28"/>
        <v/>
      </c>
      <c r="P2582" s="45" t="str">
        <f t="shared" si="29"/>
        <v/>
      </c>
    </row>
    <row r="2583" spans="1:16" ht="17.25">
      <c r="A2583" s="306" t="s">
        <v>4421</v>
      </c>
      <c r="B2583" s="307">
        <v>2021</v>
      </c>
      <c r="C2583" s="307">
        <v>32621741</v>
      </c>
      <c r="D2583" s="306" t="s">
        <v>8229</v>
      </c>
      <c r="E2583" s="357" t="str">
        <f t="shared" si="31"/>
        <v>https://pubmed.ncbi.nlm.nih.gov/32621741</v>
      </c>
      <c r="F2583" s="97"/>
      <c r="G2583" s="97"/>
      <c r="H2583" s="226" t="s">
        <v>308</v>
      </c>
      <c r="J2583" s="346" t="str">
        <f t="shared" si="30"/>
        <v/>
      </c>
      <c r="K2583" s="28" t="str">
        <f t="shared" si="24"/>
        <v/>
      </c>
      <c r="L2583" s="45" t="str">
        <f t="shared" si="25"/>
        <v/>
      </c>
      <c r="M2583" s="45" t="str">
        <f t="shared" si="26"/>
        <v/>
      </c>
      <c r="N2583" s="45" t="str">
        <f t="shared" si="27"/>
        <v/>
      </c>
      <c r="O2583" s="45" t="str">
        <f t="shared" si="28"/>
        <v/>
      </c>
      <c r="P2583" s="45" t="str">
        <f t="shared" si="29"/>
        <v/>
      </c>
    </row>
    <row r="2584" spans="1:16" ht="17.25">
      <c r="A2584" s="306" t="s">
        <v>8230</v>
      </c>
      <c r="B2584" s="307">
        <v>2021</v>
      </c>
      <c r="C2584" s="307">
        <v>33407756</v>
      </c>
      <c r="D2584" s="306" t="s">
        <v>8231</v>
      </c>
      <c r="E2584" s="357" t="str">
        <f t="shared" si="31"/>
        <v>https://pubmed.ncbi.nlm.nih.gov/33407756</v>
      </c>
      <c r="F2584" s="226" t="s">
        <v>308</v>
      </c>
      <c r="G2584" s="226" t="s">
        <v>8164</v>
      </c>
      <c r="H2584" s="97"/>
      <c r="J2584" s="346">
        <f t="shared" si="30"/>
        <v>1</v>
      </c>
      <c r="K2584" s="28" t="str">
        <f t="shared" si="24"/>
        <v/>
      </c>
      <c r="L2584" s="45" t="str">
        <f t="shared" si="25"/>
        <v/>
      </c>
      <c r="M2584" s="45" t="str">
        <f t="shared" si="26"/>
        <v/>
      </c>
      <c r="N2584" s="45" t="str">
        <f t="shared" si="27"/>
        <v/>
      </c>
      <c r="O2584" s="45" t="str">
        <f t="shared" si="28"/>
        <v/>
      </c>
      <c r="P2584" s="45" t="str">
        <f t="shared" si="29"/>
        <v/>
      </c>
    </row>
    <row r="2585" spans="1:16" ht="17.25">
      <c r="A2585" s="306" t="s">
        <v>8232</v>
      </c>
      <c r="B2585" s="307">
        <v>2021</v>
      </c>
      <c r="C2585" s="307">
        <v>33422025</v>
      </c>
      <c r="D2585" s="306" t="s">
        <v>8233</v>
      </c>
      <c r="E2585" s="357" t="str">
        <f t="shared" si="31"/>
        <v>https://pubmed.ncbi.nlm.nih.gov/33422025</v>
      </c>
      <c r="F2585" s="226" t="s">
        <v>308</v>
      </c>
      <c r="G2585" s="226" t="s">
        <v>8176</v>
      </c>
      <c r="H2585" s="97"/>
      <c r="J2585" s="346" t="str">
        <f t="shared" si="30"/>
        <v/>
      </c>
      <c r="K2585" s="28" t="str">
        <f t="shared" si="24"/>
        <v/>
      </c>
      <c r="L2585" s="45" t="str">
        <f t="shared" si="25"/>
        <v/>
      </c>
      <c r="M2585" s="45" t="str">
        <f t="shared" si="26"/>
        <v/>
      </c>
      <c r="N2585" s="45">
        <f t="shared" si="27"/>
        <v>1</v>
      </c>
      <c r="O2585" s="45" t="str">
        <f t="shared" si="28"/>
        <v/>
      </c>
      <c r="P2585" s="45" t="str">
        <f t="shared" si="29"/>
        <v/>
      </c>
    </row>
    <row r="2586" spans="1:16" ht="17.25">
      <c r="A2586" s="306" t="s">
        <v>8234</v>
      </c>
      <c r="B2586" s="307">
        <v>2021</v>
      </c>
      <c r="C2586" s="307">
        <v>32088302</v>
      </c>
      <c r="D2586" s="358"/>
      <c r="E2586" s="357" t="str">
        <f t="shared" si="31"/>
        <v>https://pubmed.ncbi.nlm.nih.gov/32088302</v>
      </c>
      <c r="F2586" s="226" t="s">
        <v>308</v>
      </c>
      <c r="G2586" s="226" t="s">
        <v>8161</v>
      </c>
      <c r="H2586" s="97"/>
      <c r="J2586" s="346" t="str">
        <f t="shared" si="30"/>
        <v/>
      </c>
      <c r="K2586" s="28" t="str">
        <f t="shared" si="24"/>
        <v/>
      </c>
      <c r="L2586" s="45" t="str">
        <f t="shared" si="25"/>
        <v/>
      </c>
      <c r="M2586" s="45" t="str">
        <f t="shared" si="26"/>
        <v/>
      </c>
      <c r="N2586" s="45">
        <f t="shared" si="27"/>
        <v>1</v>
      </c>
      <c r="O2586" s="45" t="str">
        <f t="shared" si="28"/>
        <v/>
      </c>
      <c r="P2586" s="45" t="str">
        <f t="shared" si="29"/>
        <v/>
      </c>
    </row>
    <row r="2587" spans="1:16" ht="17.25">
      <c r="A2587" s="306" t="s">
        <v>8235</v>
      </c>
      <c r="B2587" s="307">
        <v>2021</v>
      </c>
      <c r="C2587" s="307">
        <v>32691466</v>
      </c>
      <c r="D2587" s="358"/>
      <c r="E2587" s="357" t="str">
        <f t="shared" si="31"/>
        <v>https://pubmed.ncbi.nlm.nih.gov/32691466</v>
      </c>
      <c r="F2587" s="226" t="s">
        <v>308</v>
      </c>
      <c r="G2587" s="226" t="s">
        <v>4592</v>
      </c>
      <c r="H2587" s="97"/>
      <c r="J2587" s="346">
        <f t="shared" si="30"/>
        <v>1</v>
      </c>
      <c r="K2587" s="28" t="str">
        <f t="shared" si="24"/>
        <v/>
      </c>
      <c r="L2587" s="45" t="str">
        <f t="shared" si="25"/>
        <v/>
      </c>
      <c r="M2587" s="45" t="str">
        <f t="shared" si="26"/>
        <v/>
      </c>
      <c r="N2587" s="45" t="str">
        <f t="shared" si="27"/>
        <v/>
      </c>
      <c r="O2587" s="45" t="str">
        <f t="shared" si="28"/>
        <v/>
      </c>
      <c r="P2587" s="45" t="str">
        <f t="shared" si="29"/>
        <v/>
      </c>
    </row>
    <row r="2588" spans="1:16" ht="17.25">
      <c r="A2588" s="306" t="s">
        <v>8236</v>
      </c>
      <c r="B2588" s="307">
        <v>2021</v>
      </c>
      <c r="C2588" s="307">
        <v>33588453</v>
      </c>
      <c r="D2588" s="358"/>
      <c r="E2588" s="357" t="str">
        <f t="shared" si="31"/>
        <v>https://pubmed.ncbi.nlm.nih.gov/33588453</v>
      </c>
      <c r="F2588" s="226" t="s">
        <v>308</v>
      </c>
      <c r="G2588" s="226" t="s">
        <v>4592</v>
      </c>
      <c r="H2588" s="97"/>
      <c r="J2588" s="346">
        <f t="shared" si="30"/>
        <v>1</v>
      </c>
      <c r="K2588" s="28" t="str">
        <f t="shared" si="24"/>
        <v/>
      </c>
      <c r="L2588" s="45" t="str">
        <f t="shared" si="25"/>
        <v/>
      </c>
      <c r="M2588" s="45" t="str">
        <f t="shared" si="26"/>
        <v/>
      </c>
      <c r="N2588" s="45" t="str">
        <f t="shared" si="27"/>
        <v/>
      </c>
      <c r="O2588" s="45" t="str">
        <f t="shared" si="28"/>
        <v/>
      </c>
      <c r="P2588" s="45" t="str">
        <f t="shared" si="29"/>
        <v/>
      </c>
    </row>
    <row r="2589" spans="1:16" ht="17.25">
      <c r="A2589" s="306" t="s">
        <v>8237</v>
      </c>
      <c r="B2589" s="307">
        <v>2021</v>
      </c>
      <c r="C2589" s="307">
        <v>33083813</v>
      </c>
      <c r="D2589" s="358"/>
      <c r="E2589" s="357" t="str">
        <f t="shared" si="31"/>
        <v>https://pubmed.ncbi.nlm.nih.gov/33083813</v>
      </c>
      <c r="F2589" s="226" t="s">
        <v>308</v>
      </c>
      <c r="G2589" s="226" t="s">
        <v>8167</v>
      </c>
      <c r="H2589" s="97"/>
      <c r="J2589" s="346" t="str">
        <f t="shared" si="30"/>
        <v/>
      </c>
      <c r="K2589" s="28" t="str">
        <f t="shared" si="24"/>
        <v/>
      </c>
      <c r="L2589" s="45" t="str">
        <f t="shared" si="25"/>
        <v/>
      </c>
      <c r="M2589" s="45" t="str">
        <f t="shared" si="26"/>
        <v/>
      </c>
      <c r="N2589" s="45">
        <f t="shared" si="27"/>
        <v>1</v>
      </c>
      <c r="O2589" s="45" t="str">
        <f t="shared" si="28"/>
        <v/>
      </c>
      <c r="P2589" s="45" t="str">
        <f t="shared" si="29"/>
        <v/>
      </c>
    </row>
    <row r="2590" spans="1:16" ht="17.25">
      <c r="A2590" s="306" t="s">
        <v>8238</v>
      </c>
      <c r="B2590" s="307">
        <v>2021</v>
      </c>
      <c r="C2590" s="307">
        <v>32976576</v>
      </c>
      <c r="D2590" s="306" t="s">
        <v>8239</v>
      </c>
      <c r="E2590" s="357" t="str">
        <f t="shared" si="31"/>
        <v>https://pubmed.ncbi.nlm.nih.gov/32976576</v>
      </c>
      <c r="F2590" s="226" t="s">
        <v>308</v>
      </c>
      <c r="G2590" s="226" t="s">
        <v>8167</v>
      </c>
      <c r="H2590" s="97"/>
      <c r="J2590" s="346" t="str">
        <f t="shared" si="30"/>
        <v/>
      </c>
      <c r="K2590" s="28" t="str">
        <f t="shared" si="24"/>
        <v/>
      </c>
      <c r="L2590" s="45" t="str">
        <f t="shared" si="25"/>
        <v/>
      </c>
      <c r="M2590" s="45" t="str">
        <f t="shared" si="26"/>
        <v/>
      </c>
      <c r="N2590" s="45">
        <f t="shared" si="27"/>
        <v>1</v>
      </c>
      <c r="O2590" s="45" t="str">
        <f t="shared" si="28"/>
        <v/>
      </c>
      <c r="P2590" s="45" t="str">
        <f t="shared" si="29"/>
        <v/>
      </c>
    </row>
    <row r="2591" spans="1:16" ht="17.25">
      <c r="A2591" s="306" t="s">
        <v>8240</v>
      </c>
      <c r="B2591" s="307">
        <v>2021</v>
      </c>
      <c r="C2591" s="307">
        <v>32052014</v>
      </c>
      <c r="D2591" s="306" t="s">
        <v>8241</v>
      </c>
      <c r="E2591" s="357" t="str">
        <f t="shared" si="31"/>
        <v>https://pubmed.ncbi.nlm.nih.gov/32052014</v>
      </c>
      <c r="F2591" s="226" t="s">
        <v>308</v>
      </c>
      <c r="G2591" s="226" t="s">
        <v>8242</v>
      </c>
      <c r="H2591" s="97"/>
      <c r="J2591" s="346" t="str">
        <f t="shared" si="30"/>
        <v/>
      </c>
      <c r="K2591" s="28" t="str">
        <f t="shared" si="24"/>
        <v/>
      </c>
      <c r="L2591" s="45" t="str">
        <f t="shared" si="25"/>
        <v/>
      </c>
      <c r="M2591" s="45" t="str">
        <f t="shared" si="26"/>
        <v/>
      </c>
      <c r="N2591" s="45" t="str">
        <f t="shared" si="27"/>
        <v/>
      </c>
      <c r="O2591" s="45">
        <f t="shared" si="28"/>
        <v>1</v>
      </c>
      <c r="P2591" s="45" t="str">
        <f t="shared" si="29"/>
        <v/>
      </c>
    </row>
    <row r="2592" spans="1:16" ht="17.25">
      <c r="A2592" s="306" t="s">
        <v>8243</v>
      </c>
      <c r="B2592" s="307">
        <v>2021</v>
      </c>
      <c r="C2592" s="307">
        <v>33153764</v>
      </c>
      <c r="D2592" s="358"/>
      <c r="E2592" s="357" t="str">
        <f t="shared" si="31"/>
        <v>https://pubmed.ncbi.nlm.nih.gov/33153764</v>
      </c>
      <c r="F2592" s="226" t="s">
        <v>308</v>
      </c>
      <c r="G2592" s="226" t="s">
        <v>8161</v>
      </c>
      <c r="H2592" s="97"/>
      <c r="J2592" s="346" t="str">
        <f t="shared" si="30"/>
        <v/>
      </c>
      <c r="K2592" s="28" t="str">
        <f t="shared" si="24"/>
        <v/>
      </c>
      <c r="L2592" s="45" t="str">
        <f t="shared" si="25"/>
        <v/>
      </c>
      <c r="M2592" s="45" t="str">
        <f t="shared" si="26"/>
        <v/>
      </c>
      <c r="N2592" s="45">
        <f t="shared" si="27"/>
        <v>1</v>
      </c>
      <c r="O2592" s="45" t="str">
        <f t="shared" si="28"/>
        <v/>
      </c>
      <c r="P2592" s="45" t="str">
        <f t="shared" si="29"/>
        <v/>
      </c>
    </row>
    <row r="2593" spans="1:16" ht="17.25">
      <c r="A2593" s="306" t="s">
        <v>8244</v>
      </c>
      <c r="B2593" s="307">
        <v>2021</v>
      </c>
      <c r="C2593" s="307">
        <v>32949140</v>
      </c>
      <c r="D2593" s="358"/>
      <c r="E2593" s="357" t="str">
        <f t="shared" si="31"/>
        <v>https://pubmed.ncbi.nlm.nih.gov/32949140</v>
      </c>
      <c r="F2593" s="226" t="s">
        <v>308</v>
      </c>
      <c r="G2593" s="226" t="s">
        <v>8167</v>
      </c>
      <c r="H2593" s="97"/>
      <c r="J2593" s="346" t="str">
        <f t="shared" si="30"/>
        <v/>
      </c>
      <c r="K2593" s="28" t="str">
        <f t="shared" si="24"/>
        <v/>
      </c>
      <c r="L2593" s="45" t="str">
        <f t="shared" si="25"/>
        <v/>
      </c>
      <c r="M2593" s="45" t="str">
        <f t="shared" si="26"/>
        <v/>
      </c>
      <c r="N2593" s="45">
        <f t="shared" si="27"/>
        <v>1</v>
      </c>
      <c r="O2593" s="45" t="str">
        <f t="shared" si="28"/>
        <v/>
      </c>
      <c r="P2593" s="45" t="str">
        <f t="shared" si="29"/>
        <v/>
      </c>
    </row>
    <row r="2594" spans="1:16" ht="17.25">
      <c r="A2594" s="306" t="s">
        <v>8245</v>
      </c>
      <c r="B2594" s="307">
        <v>2021</v>
      </c>
      <c r="C2594" s="307">
        <v>33662147</v>
      </c>
      <c r="D2594" s="306" t="s">
        <v>8246</v>
      </c>
      <c r="E2594" s="357" t="str">
        <f t="shared" si="31"/>
        <v>https://pubmed.ncbi.nlm.nih.gov/33662147</v>
      </c>
      <c r="F2594" s="226" t="s">
        <v>308</v>
      </c>
      <c r="G2594" s="226" t="s">
        <v>8164</v>
      </c>
      <c r="H2594" s="97"/>
      <c r="J2594" s="346">
        <f t="shared" si="30"/>
        <v>1</v>
      </c>
      <c r="K2594" s="28" t="str">
        <f t="shared" si="24"/>
        <v/>
      </c>
      <c r="L2594" s="45" t="str">
        <f t="shared" si="25"/>
        <v/>
      </c>
      <c r="M2594" s="45" t="str">
        <f t="shared" si="26"/>
        <v/>
      </c>
      <c r="N2594" s="45" t="str">
        <f t="shared" si="27"/>
        <v/>
      </c>
      <c r="O2594" s="45" t="str">
        <f t="shared" si="28"/>
        <v/>
      </c>
      <c r="P2594" s="45" t="str">
        <f t="shared" si="29"/>
        <v/>
      </c>
    </row>
    <row r="2595" spans="1:16" ht="17.25">
      <c r="A2595" s="306" t="s">
        <v>8247</v>
      </c>
      <c r="B2595" s="307">
        <v>2021</v>
      </c>
      <c r="C2595" s="307">
        <v>33792252</v>
      </c>
      <c r="D2595" s="358"/>
      <c r="E2595" s="357" t="str">
        <f t="shared" si="31"/>
        <v>https://pubmed.ncbi.nlm.nih.gov/33792252</v>
      </c>
      <c r="F2595" s="226" t="s">
        <v>308</v>
      </c>
      <c r="G2595" s="226" t="s">
        <v>4592</v>
      </c>
      <c r="H2595" s="97"/>
      <c r="J2595" s="346">
        <f t="shared" si="30"/>
        <v>1</v>
      </c>
      <c r="K2595" s="28" t="str">
        <f t="shared" si="24"/>
        <v/>
      </c>
      <c r="L2595" s="45" t="str">
        <f t="shared" si="25"/>
        <v/>
      </c>
      <c r="M2595" s="45" t="str">
        <f t="shared" si="26"/>
        <v/>
      </c>
      <c r="N2595" s="45" t="str">
        <f t="shared" si="27"/>
        <v/>
      </c>
      <c r="O2595" s="45" t="str">
        <f t="shared" si="28"/>
        <v/>
      </c>
      <c r="P2595" s="45" t="str">
        <f t="shared" si="29"/>
        <v/>
      </c>
    </row>
    <row r="2596" spans="1:16" ht="17.25">
      <c r="A2596" s="306" t="s">
        <v>8248</v>
      </c>
      <c r="B2596" s="307">
        <v>2021</v>
      </c>
      <c r="C2596" s="307">
        <v>33400381</v>
      </c>
      <c r="D2596" s="358"/>
      <c r="E2596" s="357" t="str">
        <f t="shared" si="31"/>
        <v>https://pubmed.ncbi.nlm.nih.gov/33400381</v>
      </c>
      <c r="F2596" s="226" t="s">
        <v>308</v>
      </c>
      <c r="G2596" s="226" t="s">
        <v>8249</v>
      </c>
      <c r="H2596" s="97"/>
      <c r="J2596" s="346" t="str">
        <f t="shared" si="30"/>
        <v/>
      </c>
      <c r="K2596" s="28" t="str">
        <f t="shared" si="24"/>
        <v/>
      </c>
      <c r="L2596" s="45" t="str">
        <f t="shared" si="25"/>
        <v/>
      </c>
      <c r="M2596" s="45" t="str">
        <f t="shared" si="26"/>
        <v/>
      </c>
      <c r="N2596" s="45" t="str">
        <f t="shared" si="27"/>
        <v/>
      </c>
      <c r="O2596" s="45">
        <f t="shared" si="28"/>
        <v>1</v>
      </c>
      <c r="P2596" s="45" t="str">
        <f t="shared" si="29"/>
        <v/>
      </c>
    </row>
    <row r="2597" spans="1:16" ht="17.25">
      <c r="A2597" s="306" t="s">
        <v>1331</v>
      </c>
      <c r="B2597" s="307">
        <v>2021</v>
      </c>
      <c r="C2597" s="307">
        <v>33862589</v>
      </c>
      <c r="D2597" s="306" t="s">
        <v>8250</v>
      </c>
      <c r="E2597" s="357" t="str">
        <f t="shared" si="31"/>
        <v>https://pubmed.ncbi.nlm.nih.gov/33862589</v>
      </c>
      <c r="F2597" s="97"/>
      <c r="G2597" s="97"/>
      <c r="H2597" s="226" t="s">
        <v>308</v>
      </c>
      <c r="J2597" s="346" t="str">
        <f t="shared" si="30"/>
        <v/>
      </c>
      <c r="K2597" s="28" t="str">
        <f t="shared" si="24"/>
        <v/>
      </c>
      <c r="L2597" s="45" t="str">
        <f t="shared" si="25"/>
        <v/>
      </c>
      <c r="M2597" s="45" t="str">
        <f t="shared" si="26"/>
        <v/>
      </c>
      <c r="N2597" s="45" t="str">
        <f t="shared" si="27"/>
        <v/>
      </c>
      <c r="O2597" s="45" t="str">
        <f t="shared" si="28"/>
        <v/>
      </c>
      <c r="P2597" s="45" t="str">
        <f t="shared" si="29"/>
        <v/>
      </c>
    </row>
    <row r="2598" spans="1:16" ht="17.25">
      <c r="A2598" s="306" t="s">
        <v>8251</v>
      </c>
      <c r="B2598" s="307">
        <v>2021</v>
      </c>
      <c r="C2598" s="307">
        <v>32161944</v>
      </c>
      <c r="D2598" s="306" t="s">
        <v>8252</v>
      </c>
      <c r="E2598" s="357" t="str">
        <f t="shared" si="31"/>
        <v>https://pubmed.ncbi.nlm.nih.gov/32161944</v>
      </c>
      <c r="F2598" s="226" t="s">
        <v>308</v>
      </c>
      <c r="G2598" s="226" t="s">
        <v>8161</v>
      </c>
      <c r="H2598" s="97"/>
      <c r="J2598" s="346" t="str">
        <f t="shared" si="30"/>
        <v/>
      </c>
      <c r="K2598" s="28" t="str">
        <f t="shared" si="24"/>
        <v/>
      </c>
      <c r="L2598" s="45" t="str">
        <f t="shared" si="25"/>
        <v/>
      </c>
      <c r="M2598" s="45" t="str">
        <f t="shared" si="26"/>
        <v/>
      </c>
      <c r="N2598" s="45">
        <f t="shared" si="27"/>
        <v>1</v>
      </c>
      <c r="O2598" s="45" t="str">
        <f t="shared" si="28"/>
        <v/>
      </c>
      <c r="P2598" s="45" t="str">
        <f t="shared" si="29"/>
        <v/>
      </c>
    </row>
    <row r="2599" spans="1:16" ht="17.25">
      <c r="A2599" s="306" t="s">
        <v>8253</v>
      </c>
      <c r="B2599" s="307">
        <v>2021</v>
      </c>
      <c r="C2599" s="307">
        <v>33734299</v>
      </c>
      <c r="D2599" s="306" t="s">
        <v>8254</v>
      </c>
      <c r="E2599" s="357" t="str">
        <f t="shared" si="31"/>
        <v>https://pubmed.ncbi.nlm.nih.gov/33734299</v>
      </c>
      <c r="F2599" s="226" t="s">
        <v>308</v>
      </c>
      <c r="G2599" s="226" t="s">
        <v>8161</v>
      </c>
      <c r="H2599" s="97"/>
      <c r="J2599" s="346" t="str">
        <f t="shared" si="30"/>
        <v/>
      </c>
      <c r="K2599" s="28" t="str">
        <f t="shared" si="24"/>
        <v/>
      </c>
      <c r="L2599" s="45" t="str">
        <f t="shared" si="25"/>
        <v/>
      </c>
      <c r="M2599" s="45" t="str">
        <f t="shared" si="26"/>
        <v/>
      </c>
      <c r="N2599" s="45">
        <f t="shared" si="27"/>
        <v>1</v>
      </c>
      <c r="O2599" s="45" t="str">
        <f t="shared" si="28"/>
        <v/>
      </c>
      <c r="P2599" s="45" t="str">
        <f t="shared" si="29"/>
        <v/>
      </c>
    </row>
    <row r="2600" spans="1:16" ht="17.25">
      <c r="A2600" s="306" t="s">
        <v>8255</v>
      </c>
      <c r="B2600" s="307">
        <v>2021</v>
      </c>
      <c r="C2600" s="307">
        <v>33910617</v>
      </c>
      <c r="D2600" s="306" t="s">
        <v>8256</v>
      </c>
      <c r="E2600" s="357" t="str">
        <f t="shared" si="31"/>
        <v>https://pubmed.ncbi.nlm.nih.gov/33910617</v>
      </c>
      <c r="F2600" s="226" t="s">
        <v>308</v>
      </c>
      <c r="G2600" s="226" t="s">
        <v>8257</v>
      </c>
      <c r="H2600" s="97"/>
      <c r="J2600" s="346" t="str">
        <f t="shared" si="30"/>
        <v/>
      </c>
      <c r="K2600" s="28" t="str">
        <f t="shared" si="24"/>
        <v/>
      </c>
      <c r="L2600" s="45" t="str">
        <f t="shared" si="25"/>
        <v/>
      </c>
      <c r="M2600" s="45" t="str">
        <f t="shared" si="26"/>
        <v/>
      </c>
      <c r="N2600" s="45">
        <f t="shared" si="27"/>
        <v>1</v>
      </c>
      <c r="O2600" s="45" t="str">
        <f t="shared" si="28"/>
        <v/>
      </c>
      <c r="P2600" s="45" t="str">
        <f t="shared" si="29"/>
        <v/>
      </c>
    </row>
    <row r="2601" spans="1:16" ht="17.25">
      <c r="A2601" s="306" t="s">
        <v>8258</v>
      </c>
      <c r="B2601" s="307">
        <v>2021</v>
      </c>
      <c r="C2601" s="307">
        <v>32371165</v>
      </c>
      <c r="D2601" s="358"/>
      <c r="E2601" s="357" t="str">
        <f t="shared" si="31"/>
        <v>https://pubmed.ncbi.nlm.nih.gov/32371165</v>
      </c>
      <c r="F2601" s="226" t="s">
        <v>308</v>
      </c>
      <c r="G2601" s="226" t="s">
        <v>8164</v>
      </c>
      <c r="H2601" s="97"/>
      <c r="J2601" s="346">
        <f t="shared" si="30"/>
        <v>1</v>
      </c>
      <c r="K2601" s="28" t="str">
        <f t="shared" si="24"/>
        <v/>
      </c>
      <c r="L2601" s="45" t="str">
        <f t="shared" si="25"/>
        <v/>
      </c>
      <c r="M2601" s="45" t="str">
        <f t="shared" si="26"/>
        <v/>
      </c>
      <c r="N2601" s="45" t="str">
        <f t="shared" si="27"/>
        <v/>
      </c>
      <c r="O2601" s="45" t="str">
        <f t="shared" si="28"/>
        <v/>
      </c>
      <c r="P2601" s="45" t="str">
        <f t="shared" si="29"/>
        <v/>
      </c>
    </row>
    <row r="2602" spans="1:16" ht="17.25">
      <c r="A2602" s="306" t="s">
        <v>8259</v>
      </c>
      <c r="B2602" s="307">
        <v>2021</v>
      </c>
      <c r="C2602" s="307">
        <v>33560863</v>
      </c>
      <c r="D2602" s="306" t="s">
        <v>8260</v>
      </c>
      <c r="E2602" s="357" t="str">
        <f t="shared" si="31"/>
        <v>https://pubmed.ncbi.nlm.nih.gov/33560863</v>
      </c>
      <c r="F2602" s="226" t="s">
        <v>308</v>
      </c>
      <c r="G2602" s="226" t="s">
        <v>8164</v>
      </c>
      <c r="H2602" s="97"/>
      <c r="J2602" s="346">
        <f t="shared" si="30"/>
        <v>1</v>
      </c>
      <c r="K2602" s="28" t="str">
        <f t="shared" si="24"/>
        <v/>
      </c>
      <c r="L2602" s="45" t="str">
        <f t="shared" si="25"/>
        <v/>
      </c>
      <c r="M2602" s="45" t="str">
        <f t="shared" si="26"/>
        <v/>
      </c>
      <c r="N2602" s="45" t="str">
        <f t="shared" si="27"/>
        <v/>
      </c>
      <c r="O2602" s="45" t="str">
        <f t="shared" si="28"/>
        <v/>
      </c>
      <c r="P2602" s="45" t="str">
        <f t="shared" si="29"/>
        <v/>
      </c>
    </row>
    <row r="2603" spans="1:16" ht="17.25">
      <c r="A2603" s="306" t="s">
        <v>8261</v>
      </c>
      <c r="B2603" s="307">
        <v>2021</v>
      </c>
      <c r="C2603" s="307">
        <v>33587687</v>
      </c>
      <c r="D2603" s="358"/>
      <c r="E2603" s="357" t="str">
        <f t="shared" si="31"/>
        <v>https://pubmed.ncbi.nlm.nih.gov/33587687</v>
      </c>
      <c r="F2603" s="226" t="s">
        <v>308</v>
      </c>
      <c r="G2603" s="226" t="s">
        <v>8262</v>
      </c>
      <c r="H2603" s="97"/>
      <c r="J2603" s="346" t="str">
        <f t="shared" si="30"/>
        <v/>
      </c>
      <c r="K2603" s="28" t="str">
        <f t="shared" si="24"/>
        <v/>
      </c>
      <c r="L2603" s="45" t="str">
        <f t="shared" si="25"/>
        <v/>
      </c>
      <c r="M2603" s="45" t="str">
        <f t="shared" si="26"/>
        <v/>
      </c>
      <c r="N2603" s="45">
        <f t="shared" si="27"/>
        <v>1</v>
      </c>
      <c r="O2603" s="45" t="str">
        <f t="shared" si="28"/>
        <v/>
      </c>
      <c r="P2603" s="45" t="str">
        <f t="shared" si="29"/>
        <v/>
      </c>
    </row>
    <row r="2604" spans="1:16" ht="17.25">
      <c r="A2604" s="306" t="s">
        <v>8263</v>
      </c>
      <c r="B2604" s="307">
        <v>2021</v>
      </c>
      <c r="C2604" s="307">
        <v>33594741</v>
      </c>
      <c r="D2604" s="306" t="s">
        <v>8264</v>
      </c>
      <c r="E2604" s="357" t="str">
        <f t="shared" si="31"/>
        <v>https://pubmed.ncbi.nlm.nih.gov/33594741</v>
      </c>
      <c r="F2604" s="226" t="s">
        <v>308</v>
      </c>
      <c r="G2604" s="226" t="s">
        <v>8265</v>
      </c>
      <c r="H2604" s="97"/>
      <c r="J2604" s="346" t="str">
        <f t="shared" si="30"/>
        <v/>
      </c>
      <c r="K2604" s="28" t="str">
        <f t="shared" si="24"/>
        <v/>
      </c>
      <c r="L2604" s="45" t="str">
        <f t="shared" si="25"/>
        <v/>
      </c>
      <c r="M2604" s="45" t="str">
        <f t="shared" si="26"/>
        <v/>
      </c>
      <c r="N2604" s="45" t="str">
        <f t="shared" si="27"/>
        <v/>
      </c>
      <c r="O2604" s="45">
        <f t="shared" si="28"/>
        <v>1</v>
      </c>
      <c r="P2604" s="45" t="str">
        <f t="shared" si="29"/>
        <v/>
      </c>
    </row>
    <row r="2605" spans="1:16" ht="17.25">
      <c r="A2605" s="306" t="s">
        <v>8266</v>
      </c>
      <c r="B2605" s="307">
        <v>2021</v>
      </c>
      <c r="C2605" s="307">
        <v>33933205</v>
      </c>
      <c r="D2605" s="306" t="s">
        <v>8267</v>
      </c>
      <c r="E2605" s="357" t="str">
        <f t="shared" si="31"/>
        <v>https://pubmed.ncbi.nlm.nih.gov/33933205</v>
      </c>
      <c r="F2605" s="226" t="s">
        <v>308</v>
      </c>
      <c r="G2605" s="226" t="s">
        <v>8164</v>
      </c>
      <c r="H2605" s="97"/>
      <c r="J2605" s="346">
        <f t="shared" si="30"/>
        <v>1</v>
      </c>
      <c r="K2605" s="28" t="str">
        <f t="shared" si="24"/>
        <v/>
      </c>
      <c r="L2605" s="45" t="str">
        <f t="shared" si="25"/>
        <v/>
      </c>
      <c r="M2605" s="45" t="str">
        <f t="shared" si="26"/>
        <v/>
      </c>
      <c r="N2605" s="45" t="str">
        <f t="shared" si="27"/>
        <v/>
      </c>
      <c r="O2605" s="45" t="str">
        <f t="shared" si="28"/>
        <v/>
      </c>
      <c r="P2605" s="45" t="str">
        <f t="shared" si="29"/>
        <v/>
      </c>
    </row>
    <row r="2606" spans="1:16" ht="17.25">
      <c r="A2606" s="306" t="s">
        <v>8268</v>
      </c>
      <c r="B2606" s="307">
        <v>2021</v>
      </c>
      <c r="C2606" s="307">
        <v>34008772</v>
      </c>
      <c r="D2606" s="306" t="s">
        <v>8269</v>
      </c>
      <c r="E2606" s="357" t="str">
        <f t="shared" si="31"/>
        <v>https://pubmed.ncbi.nlm.nih.gov/34008772</v>
      </c>
      <c r="F2606" s="226" t="s">
        <v>308</v>
      </c>
      <c r="G2606" s="226" t="s">
        <v>8270</v>
      </c>
      <c r="H2606" s="97"/>
      <c r="J2606" s="346" t="str">
        <f t="shared" si="30"/>
        <v/>
      </c>
      <c r="K2606" s="28" t="str">
        <f t="shared" si="24"/>
        <v/>
      </c>
      <c r="L2606" s="45" t="str">
        <f t="shared" si="25"/>
        <v/>
      </c>
      <c r="M2606" s="45" t="str">
        <f t="shared" si="26"/>
        <v/>
      </c>
      <c r="N2606" s="45">
        <f t="shared" si="27"/>
        <v>1</v>
      </c>
      <c r="O2606" s="45" t="str">
        <f t="shared" si="28"/>
        <v/>
      </c>
      <c r="P2606" s="45" t="str">
        <f t="shared" si="29"/>
        <v/>
      </c>
    </row>
    <row r="2607" spans="1:16" ht="17.25">
      <c r="A2607" s="306" t="s">
        <v>8271</v>
      </c>
      <c r="B2607" s="307">
        <v>2021</v>
      </c>
      <c r="C2607" s="307">
        <v>34035401</v>
      </c>
      <c r="D2607" s="306" t="s">
        <v>8272</v>
      </c>
      <c r="E2607" s="357" t="str">
        <f t="shared" si="31"/>
        <v>https://pubmed.ncbi.nlm.nih.gov/34035401</v>
      </c>
      <c r="F2607" s="226" t="s">
        <v>308</v>
      </c>
      <c r="G2607" s="226" t="s">
        <v>8161</v>
      </c>
      <c r="H2607" s="97"/>
      <c r="J2607" s="346" t="str">
        <f t="shared" si="30"/>
        <v/>
      </c>
      <c r="K2607" s="28" t="str">
        <f t="shared" si="24"/>
        <v/>
      </c>
      <c r="L2607" s="45" t="str">
        <f t="shared" si="25"/>
        <v/>
      </c>
      <c r="M2607" s="45" t="str">
        <f t="shared" si="26"/>
        <v/>
      </c>
      <c r="N2607" s="45">
        <f t="shared" si="27"/>
        <v>1</v>
      </c>
      <c r="O2607" s="45" t="str">
        <f t="shared" si="28"/>
        <v/>
      </c>
      <c r="P2607" s="45" t="str">
        <f t="shared" si="29"/>
        <v/>
      </c>
    </row>
    <row r="2608" spans="1:16" ht="17.25">
      <c r="A2608" s="306" t="s">
        <v>8273</v>
      </c>
      <c r="B2608" s="307">
        <v>2021</v>
      </c>
      <c r="C2608" s="307">
        <v>34073536</v>
      </c>
      <c r="D2608" s="306" t="s">
        <v>8274</v>
      </c>
      <c r="E2608" s="357" t="str">
        <f t="shared" si="31"/>
        <v>https://pubmed.ncbi.nlm.nih.gov/34073536</v>
      </c>
      <c r="F2608" s="226" t="s">
        <v>308</v>
      </c>
      <c r="G2608" s="226" t="s">
        <v>8275</v>
      </c>
      <c r="H2608" s="97"/>
      <c r="J2608" s="346" t="str">
        <f t="shared" si="30"/>
        <v/>
      </c>
      <c r="K2608" s="28" t="str">
        <f t="shared" si="24"/>
        <v/>
      </c>
      <c r="L2608" s="45" t="str">
        <f t="shared" si="25"/>
        <v/>
      </c>
      <c r="M2608" s="45" t="str">
        <f t="shared" si="26"/>
        <v/>
      </c>
      <c r="N2608" s="45" t="str">
        <f t="shared" si="27"/>
        <v/>
      </c>
      <c r="O2608" s="45">
        <f t="shared" si="28"/>
        <v>1</v>
      </c>
      <c r="P2608" s="45" t="str">
        <f t="shared" si="29"/>
        <v/>
      </c>
    </row>
    <row r="2609" spans="1:16" ht="17.25">
      <c r="A2609" s="306" t="s">
        <v>8276</v>
      </c>
      <c r="B2609" s="307">
        <v>2021</v>
      </c>
      <c r="C2609" s="307">
        <v>32876710</v>
      </c>
      <c r="D2609" s="358"/>
      <c r="E2609" s="357" t="str">
        <f t="shared" si="31"/>
        <v>https://pubmed.ncbi.nlm.nih.gov/32876710</v>
      </c>
      <c r="F2609" s="226" t="s">
        <v>308</v>
      </c>
      <c r="G2609" s="226" t="s">
        <v>8161</v>
      </c>
      <c r="H2609" s="97"/>
      <c r="J2609" s="346" t="str">
        <f t="shared" si="30"/>
        <v/>
      </c>
      <c r="K2609" s="28" t="str">
        <f t="shared" si="24"/>
        <v/>
      </c>
      <c r="L2609" s="45" t="str">
        <f t="shared" si="25"/>
        <v/>
      </c>
      <c r="M2609" s="45" t="str">
        <f t="shared" si="26"/>
        <v/>
      </c>
      <c r="N2609" s="45">
        <f t="shared" si="27"/>
        <v>1</v>
      </c>
      <c r="O2609" s="45" t="str">
        <f t="shared" si="28"/>
        <v/>
      </c>
      <c r="P2609" s="45" t="str">
        <f t="shared" si="29"/>
        <v/>
      </c>
    </row>
    <row r="2610" spans="1:16" ht="17.25">
      <c r="A2610" s="306" t="s">
        <v>8277</v>
      </c>
      <c r="B2610" s="307">
        <v>2021</v>
      </c>
      <c r="C2610" s="307">
        <v>32903168</v>
      </c>
      <c r="D2610" s="358"/>
      <c r="E2610" s="357" t="str">
        <f t="shared" si="31"/>
        <v>https://pubmed.ncbi.nlm.nih.gov/32903168</v>
      </c>
      <c r="F2610" s="226" t="s">
        <v>308</v>
      </c>
      <c r="G2610" s="226" t="s">
        <v>8161</v>
      </c>
      <c r="H2610" s="97"/>
      <c r="J2610" s="346" t="str">
        <f t="shared" si="30"/>
        <v/>
      </c>
      <c r="K2610" s="28" t="str">
        <f t="shared" si="24"/>
        <v/>
      </c>
      <c r="L2610" s="45" t="str">
        <f t="shared" si="25"/>
        <v/>
      </c>
      <c r="M2610" s="45" t="str">
        <f t="shared" si="26"/>
        <v/>
      </c>
      <c r="N2610" s="45">
        <f t="shared" si="27"/>
        <v>1</v>
      </c>
      <c r="O2610" s="45" t="str">
        <f t="shared" si="28"/>
        <v/>
      </c>
      <c r="P2610" s="45" t="str">
        <f t="shared" si="29"/>
        <v/>
      </c>
    </row>
    <row r="2611" spans="1:16" ht="17.25">
      <c r="A2611" s="306" t="s">
        <v>8278</v>
      </c>
      <c r="B2611" s="307">
        <v>2021</v>
      </c>
      <c r="C2611" s="307">
        <v>34061883</v>
      </c>
      <c r="D2611" s="306" t="s">
        <v>8279</v>
      </c>
      <c r="E2611" s="357" t="str">
        <f t="shared" si="31"/>
        <v>https://pubmed.ncbi.nlm.nih.gov/34061883</v>
      </c>
      <c r="F2611" s="226" t="s">
        <v>308</v>
      </c>
      <c r="G2611" s="226" t="s">
        <v>8161</v>
      </c>
      <c r="H2611" s="97"/>
      <c r="J2611" s="346" t="str">
        <f t="shared" si="30"/>
        <v/>
      </c>
      <c r="K2611" s="28" t="str">
        <f t="shared" si="24"/>
        <v/>
      </c>
      <c r="L2611" s="45" t="str">
        <f t="shared" si="25"/>
        <v/>
      </c>
      <c r="M2611" s="45" t="str">
        <f t="shared" si="26"/>
        <v/>
      </c>
      <c r="N2611" s="45">
        <f t="shared" si="27"/>
        <v>1</v>
      </c>
      <c r="O2611" s="45" t="str">
        <f t="shared" si="28"/>
        <v/>
      </c>
      <c r="P2611" s="45" t="str">
        <f t="shared" si="29"/>
        <v/>
      </c>
    </row>
    <row r="2612" spans="1:16" ht="17.25">
      <c r="A2612" s="306" t="s">
        <v>8280</v>
      </c>
      <c r="B2612" s="307">
        <v>2021</v>
      </c>
      <c r="C2612" s="307">
        <v>34311528</v>
      </c>
      <c r="D2612" s="306" t="s">
        <v>8281</v>
      </c>
      <c r="E2612" s="357" t="str">
        <f t="shared" si="31"/>
        <v>https://pubmed.ncbi.nlm.nih.gov/34311528</v>
      </c>
      <c r="F2612" s="226" t="s">
        <v>308</v>
      </c>
      <c r="G2612" s="226" t="s">
        <v>8161</v>
      </c>
      <c r="H2612" s="97"/>
      <c r="J2612" s="346" t="str">
        <f t="shared" si="30"/>
        <v/>
      </c>
      <c r="K2612" s="28" t="str">
        <f t="shared" si="24"/>
        <v/>
      </c>
      <c r="L2612" s="45" t="str">
        <f t="shared" si="25"/>
        <v/>
      </c>
      <c r="M2612" s="45" t="str">
        <f t="shared" si="26"/>
        <v/>
      </c>
      <c r="N2612" s="45">
        <f t="shared" si="27"/>
        <v>1</v>
      </c>
      <c r="O2612" s="45" t="str">
        <f t="shared" si="28"/>
        <v/>
      </c>
      <c r="P2612" s="45" t="str">
        <f t="shared" si="29"/>
        <v/>
      </c>
    </row>
    <row r="2613" spans="1:16" ht="17.25">
      <c r="A2613" s="306" t="s">
        <v>8282</v>
      </c>
      <c r="B2613" s="307">
        <v>2021</v>
      </c>
      <c r="C2613" s="307">
        <v>34082801</v>
      </c>
      <c r="D2613" s="306" t="s">
        <v>8283</v>
      </c>
      <c r="E2613" s="357" t="str">
        <f t="shared" si="31"/>
        <v>https://pubmed.ncbi.nlm.nih.gov/34082801</v>
      </c>
      <c r="F2613" s="226" t="s">
        <v>308</v>
      </c>
      <c r="G2613" s="226" t="s">
        <v>8262</v>
      </c>
      <c r="H2613" s="97"/>
      <c r="J2613" s="346" t="str">
        <f t="shared" si="30"/>
        <v/>
      </c>
      <c r="K2613" s="28" t="str">
        <f t="shared" si="24"/>
        <v/>
      </c>
      <c r="L2613" s="45" t="str">
        <f t="shared" si="25"/>
        <v/>
      </c>
      <c r="M2613" s="45" t="str">
        <f t="shared" si="26"/>
        <v/>
      </c>
      <c r="N2613" s="45">
        <f t="shared" si="27"/>
        <v>1</v>
      </c>
      <c r="O2613" s="45" t="str">
        <f t="shared" si="28"/>
        <v/>
      </c>
      <c r="P2613" s="45" t="str">
        <f t="shared" si="29"/>
        <v/>
      </c>
    </row>
    <row r="2614" spans="1:16" ht="17.25">
      <c r="A2614" s="306" t="s">
        <v>8284</v>
      </c>
      <c r="B2614" s="307">
        <v>2021</v>
      </c>
      <c r="C2614" s="307">
        <v>34158835</v>
      </c>
      <c r="D2614" s="306" t="s">
        <v>8285</v>
      </c>
      <c r="E2614" s="357" t="str">
        <f t="shared" si="31"/>
        <v>https://pubmed.ncbi.nlm.nih.gov/34158835</v>
      </c>
      <c r="F2614" s="226" t="s">
        <v>308</v>
      </c>
      <c r="G2614" s="226" t="s">
        <v>8286</v>
      </c>
      <c r="H2614" s="97"/>
      <c r="J2614" s="346" t="str">
        <f t="shared" si="30"/>
        <v/>
      </c>
      <c r="K2614" s="28" t="str">
        <f t="shared" si="24"/>
        <v/>
      </c>
      <c r="L2614" s="45" t="str">
        <f t="shared" si="25"/>
        <v/>
      </c>
      <c r="M2614" s="45" t="str">
        <f t="shared" si="26"/>
        <v/>
      </c>
      <c r="N2614" s="45">
        <f t="shared" si="27"/>
        <v>1</v>
      </c>
      <c r="O2614" s="45" t="str">
        <f t="shared" si="28"/>
        <v/>
      </c>
      <c r="P2614" s="45" t="str">
        <f t="shared" si="29"/>
        <v/>
      </c>
    </row>
    <row r="2615" spans="1:16" ht="17.25">
      <c r="A2615" s="306" t="s">
        <v>8287</v>
      </c>
      <c r="B2615" s="307">
        <v>2021</v>
      </c>
      <c r="C2615" s="307">
        <v>34087885</v>
      </c>
      <c r="D2615" s="306" t="s">
        <v>8288</v>
      </c>
      <c r="E2615" s="357" t="str">
        <f t="shared" si="31"/>
        <v>https://pubmed.ncbi.nlm.nih.gov/34087885</v>
      </c>
      <c r="F2615" s="226" t="s">
        <v>308</v>
      </c>
      <c r="G2615" s="226" t="s">
        <v>8164</v>
      </c>
      <c r="H2615" s="97"/>
      <c r="J2615" s="346">
        <f t="shared" si="30"/>
        <v>1</v>
      </c>
      <c r="K2615" s="28" t="str">
        <f t="shared" si="24"/>
        <v/>
      </c>
      <c r="L2615" s="45" t="str">
        <f t="shared" si="25"/>
        <v/>
      </c>
      <c r="M2615" s="45" t="str">
        <f t="shared" si="26"/>
        <v/>
      </c>
      <c r="N2615" s="45" t="str">
        <f t="shared" si="27"/>
        <v/>
      </c>
      <c r="O2615" s="45" t="str">
        <f t="shared" si="28"/>
        <v/>
      </c>
      <c r="P2615" s="45" t="str">
        <f t="shared" si="29"/>
        <v/>
      </c>
    </row>
    <row r="2616" spans="1:16" ht="17.25">
      <c r="A2616" s="306" t="s">
        <v>8289</v>
      </c>
      <c r="B2616" s="307">
        <v>2021</v>
      </c>
      <c r="C2616" s="307">
        <v>33882225</v>
      </c>
      <c r="D2616" s="306" t="s">
        <v>8290</v>
      </c>
      <c r="E2616" s="357" t="str">
        <f t="shared" si="31"/>
        <v>https://pubmed.ncbi.nlm.nih.gov/33882225</v>
      </c>
      <c r="F2616" s="226" t="s">
        <v>308</v>
      </c>
      <c r="G2616" s="226" t="s">
        <v>8262</v>
      </c>
      <c r="H2616" s="97"/>
      <c r="J2616" s="346" t="str">
        <f t="shared" si="30"/>
        <v/>
      </c>
      <c r="K2616" s="28" t="str">
        <f t="shared" si="24"/>
        <v/>
      </c>
      <c r="L2616" s="45" t="str">
        <f t="shared" si="25"/>
        <v/>
      </c>
      <c r="M2616" s="45" t="str">
        <f t="shared" si="26"/>
        <v/>
      </c>
      <c r="N2616" s="45">
        <f t="shared" si="27"/>
        <v>1</v>
      </c>
      <c r="O2616" s="45" t="str">
        <f t="shared" si="28"/>
        <v/>
      </c>
      <c r="P2616" s="45" t="str">
        <f t="shared" si="29"/>
        <v/>
      </c>
    </row>
    <row r="2617" spans="1:16" ht="17.25">
      <c r="A2617" s="306" t="s">
        <v>8291</v>
      </c>
      <c r="B2617" s="307">
        <v>2021</v>
      </c>
      <c r="C2617" s="307">
        <v>34124773</v>
      </c>
      <c r="D2617" s="306" t="s">
        <v>8292</v>
      </c>
      <c r="E2617" s="357" t="str">
        <f t="shared" si="31"/>
        <v>https://pubmed.ncbi.nlm.nih.gov/34124773</v>
      </c>
      <c r="F2617" s="226" t="s">
        <v>308</v>
      </c>
      <c r="G2617" s="226" t="s">
        <v>8164</v>
      </c>
      <c r="H2617" s="97"/>
      <c r="J2617" s="346">
        <f t="shared" si="30"/>
        <v>1</v>
      </c>
      <c r="K2617" s="28" t="str">
        <f t="shared" si="24"/>
        <v/>
      </c>
      <c r="L2617" s="45" t="str">
        <f t="shared" si="25"/>
        <v/>
      </c>
      <c r="M2617" s="45" t="str">
        <f t="shared" si="26"/>
        <v/>
      </c>
      <c r="N2617" s="45" t="str">
        <f t="shared" si="27"/>
        <v/>
      </c>
      <c r="O2617" s="45" t="str">
        <f t="shared" si="28"/>
        <v/>
      </c>
      <c r="P2617" s="45" t="str">
        <f t="shared" si="29"/>
        <v/>
      </c>
    </row>
    <row r="2618" spans="1:16" ht="17.25">
      <c r="A2618" s="306" t="s">
        <v>8293</v>
      </c>
      <c r="B2618" s="307">
        <v>2021</v>
      </c>
      <c r="C2618" s="307">
        <v>33751950</v>
      </c>
      <c r="D2618" s="358"/>
      <c r="E2618" s="357" t="str">
        <f t="shared" si="31"/>
        <v>https://pubmed.ncbi.nlm.nih.gov/33751950</v>
      </c>
      <c r="F2618" s="226" t="s">
        <v>308</v>
      </c>
      <c r="G2618" s="226" t="s">
        <v>8294</v>
      </c>
      <c r="H2618" s="97"/>
      <c r="J2618" s="346" t="str">
        <f t="shared" si="30"/>
        <v/>
      </c>
      <c r="K2618" s="28" t="str">
        <f t="shared" si="24"/>
        <v/>
      </c>
      <c r="L2618" s="45" t="str">
        <f t="shared" si="25"/>
        <v/>
      </c>
      <c r="M2618" s="45" t="str">
        <f t="shared" si="26"/>
        <v/>
      </c>
      <c r="N2618" s="45">
        <f t="shared" si="27"/>
        <v>1</v>
      </c>
      <c r="O2618" s="45" t="str">
        <f t="shared" si="28"/>
        <v/>
      </c>
      <c r="P2618" s="45" t="str">
        <f t="shared" si="29"/>
        <v/>
      </c>
    </row>
    <row r="2619" spans="1:16" ht="17.25">
      <c r="A2619" s="306" t="s">
        <v>8295</v>
      </c>
      <c r="B2619" s="307">
        <v>2021</v>
      </c>
      <c r="C2619" s="307">
        <v>34235275</v>
      </c>
      <c r="D2619" s="306" t="s">
        <v>8296</v>
      </c>
      <c r="E2619" s="357" t="str">
        <f t="shared" si="31"/>
        <v>https://pubmed.ncbi.nlm.nih.gov/34235275</v>
      </c>
      <c r="F2619" s="226" t="s">
        <v>308</v>
      </c>
      <c r="G2619" s="226" t="s">
        <v>8297</v>
      </c>
      <c r="H2619" s="97"/>
      <c r="J2619" s="346" t="str">
        <f t="shared" si="30"/>
        <v/>
      </c>
      <c r="K2619" s="28" t="str">
        <f t="shared" si="24"/>
        <v/>
      </c>
      <c r="L2619" s="45" t="str">
        <f t="shared" si="25"/>
        <v/>
      </c>
      <c r="M2619" s="45" t="str">
        <f t="shared" si="26"/>
        <v/>
      </c>
      <c r="N2619" s="45">
        <f t="shared" si="27"/>
        <v>1</v>
      </c>
      <c r="O2619" s="45" t="str">
        <f t="shared" si="28"/>
        <v/>
      </c>
      <c r="P2619" s="45" t="str">
        <f t="shared" si="29"/>
        <v/>
      </c>
    </row>
    <row r="2620" spans="1:16" ht="17.25">
      <c r="A2620" s="306" t="s">
        <v>8298</v>
      </c>
      <c r="B2620" s="307">
        <v>2021</v>
      </c>
      <c r="C2620" s="307">
        <v>33875433</v>
      </c>
      <c r="D2620" s="306" t="s">
        <v>8299</v>
      </c>
      <c r="E2620" s="357" t="str">
        <f t="shared" si="31"/>
        <v>https://pubmed.ncbi.nlm.nih.gov/33875433</v>
      </c>
      <c r="F2620" s="226" t="s">
        <v>308</v>
      </c>
      <c r="G2620" s="226" t="s">
        <v>8161</v>
      </c>
      <c r="H2620" s="97"/>
      <c r="J2620" s="346" t="str">
        <f t="shared" si="30"/>
        <v/>
      </c>
      <c r="K2620" s="28" t="str">
        <f t="shared" si="24"/>
        <v/>
      </c>
      <c r="L2620" s="45" t="str">
        <f t="shared" si="25"/>
        <v/>
      </c>
      <c r="M2620" s="45" t="str">
        <f t="shared" si="26"/>
        <v/>
      </c>
      <c r="N2620" s="45">
        <f t="shared" si="27"/>
        <v>1</v>
      </c>
      <c r="O2620" s="45" t="str">
        <f t="shared" si="28"/>
        <v/>
      </c>
      <c r="P2620" s="45" t="str">
        <f t="shared" si="29"/>
        <v/>
      </c>
    </row>
    <row r="2621" spans="1:16" ht="17.25">
      <c r="A2621" s="306" t="s">
        <v>8300</v>
      </c>
      <c r="B2621" s="307">
        <v>2021</v>
      </c>
      <c r="C2621" s="307">
        <v>34138849</v>
      </c>
      <c r="D2621" s="306" t="s">
        <v>8301</v>
      </c>
      <c r="E2621" s="357" t="str">
        <f t="shared" si="31"/>
        <v>https://pubmed.ncbi.nlm.nih.gov/34138849</v>
      </c>
      <c r="F2621" s="226" t="s">
        <v>308</v>
      </c>
      <c r="G2621" s="226" t="s">
        <v>87</v>
      </c>
      <c r="H2621" s="97"/>
      <c r="J2621" s="346" t="str">
        <f t="shared" si="30"/>
        <v/>
      </c>
      <c r="K2621" s="28" t="str">
        <f t="shared" si="24"/>
        <v/>
      </c>
      <c r="L2621" s="45" t="str">
        <f t="shared" si="25"/>
        <v/>
      </c>
      <c r="M2621" s="45" t="str">
        <f t="shared" si="26"/>
        <v/>
      </c>
      <c r="N2621" s="45">
        <f t="shared" si="27"/>
        <v>1</v>
      </c>
      <c r="O2621" s="45" t="str">
        <f t="shared" si="28"/>
        <v/>
      </c>
      <c r="P2621" s="45" t="str">
        <f t="shared" si="29"/>
        <v/>
      </c>
    </row>
    <row r="2622" spans="1:16" ht="17.25">
      <c r="A2622" s="306" t="s">
        <v>8302</v>
      </c>
      <c r="B2622" s="307">
        <v>2021</v>
      </c>
      <c r="C2622" s="307">
        <v>34128898</v>
      </c>
      <c r="D2622" s="306" t="s">
        <v>8303</v>
      </c>
      <c r="E2622" s="357" t="str">
        <f t="shared" si="31"/>
        <v>https://pubmed.ncbi.nlm.nih.gov/34128898</v>
      </c>
      <c r="F2622" s="226" t="s">
        <v>308</v>
      </c>
      <c r="G2622" s="226" t="s">
        <v>4592</v>
      </c>
      <c r="H2622" s="97"/>
      <c r="J2622" s="346">
        <f t="shared" si="30"/>
        <v>1</v>
      </c>
      <c r="K2622" s="28" t="str">
        <f t="shared" si="24"/>
        <v/>
      </c>
      <c r="L2622" s="45" t="str">
        <f t="shared" si="25"/>
        <v/>
      </c>
      <c r="M2622" s="45" t="str">
        <f t="shared" si="26"/>
        <v/>
      </c>
      <c r="N2622" s="45" t="str">
        <f t="shared" si="27"/>
        <v/>
      </c>
      <c r="O2622" s="45" t="str">
        <f t="shared" si="28"/>
        <v/>
      </c>
      <c r="P2622" s="45" t="str">
        <f t="shared" si="29"/>
        <v/>
      </c>
    </row>
    <row r="2623" spans="1:16" ht="17.25">
      <c r="A2623" s="306" t="s">
        <v>8304</v>
      </c>
      <c r="B2623" s="307">
        <v>2021</v>
      </c>
      <c r="C2623" s="307">
        <v>34059561</v>
      </c>
      <c r="D2623" s="306" t="s">
        <v>8305</v>
      </c>
      <c r="E2623" s="357" t="str">
        <f t="shared" si="31"/>
        <v>https://pubmed.ncbi.nlm.nih.gov/34059561</v>
      </c>
      <c r="F2623" s="226" t="s">
        <v>308</v>
      </c>
      <c r="G2623" s="226" t="s">
        <v>4592</v>
      </c>
      <c r="H2623" s="97"/>
      <c r="J2623" s="346">
        <f t="shared" si="30"/>
        <v>1</v>
      </c>
      <c r="K2623" s="28" t="str">
        <f t="shared" si="24"/>
        <v/>
      </c>
      <c r="L2623" s="45" t="str">
        <f t="shared" si="25"/>
        <v/>
      </c>
      <c r="M2623" s="45" t="str">
        <f t="shared" si="26"/>
        <v/>
      </c>
      <c r="N2623" s="45" t="str">
        <f t="shared" si="27"/>
        <v/>
      </c>
      <c r="O2623" s="45" t="str">
        <f t="shared" si="28"/>
        <v/>
      </c>
      <c r="P2623" s="45" t="str">
        <f t="shared" si="29"/>
        <v/>
      </c>
    </row>
    <row r="2624" spans="1:16" ht="17.25">
      <c r="A2624" s="306" t="s">
        <v>8306</v>
      </c>
      <c r="B2624" s="307">
        <v>2021</v>
      </c>
      <c r="C2624" s="307">
        <v>33722585</v>
      </c>
      <c r="D2624" s="358"/>
      <c r="E2624" s="357" t="str">
        <f t="shared" si="31"/>
        <v>https://pubmed.ncbi.nlm.nih.gov/33722585</v>
      </c>
      <c r="F2624" s="226" t="s">
        <v>308</v>
      </c>
      <c r="G2624" s="226" t="s">
        <v>8262</v>
      </c>
      <c r="H2624" s="97"/>
      <c r="J2624" s="346" t="str">
        <f t="shared" si="30"/>
        <v/>
      </c>
      <c r="K2624" s="28" t="str">
        <f t="shared" si="24"/>
        <v/>
      </c>
      <c r="L2624" s="45" t="str">
        <f t="shared" si="25"/>
        <v/>
      </c>
      <c r="M2624" s="45" t="str">
        <f t="shared" si="26"/>
        <v/>
      </c>
      <c r="N2624" s="45">
        <f t="shared" si="27"/>
        <v>1</v>
      </c>
      <c r="O2624" s="45" t="str">
        <f t="shared" si="28"/>
        <v/>
      </c>
      <c r="P2624" s="45" t="str">
        <f t="shared" si="29"/>
        <v/>
      </c>
    </row>
    <row r="2625" spans="1:16" ht="17.25">
      <c r="A2625" s="306" t="s">
        <v>8307</v>
      </c>
      <c r="B2625" s="307">
        <v>2021</v>
      </c>
      <c r="C2625" s="307">
        <v>34031556</v>
      </c>
      <c r="D2625" s="306" t="s">
        <v>8308</v>
      </c>
      <c r="E2625" s="357" t="str">
        <f t="shared" si="31"/>
        <v>https://pubmed.ncbi.nlm.nih.gov/34031556</v>
      </c>
      <c r="F2625" s="226" t="s">
        <v>308</v>
      </c>
      <c r="G2625" s="226" t="s">
        <v>4592</v>
      </c>
      <c r="H2625" s="97"/>
      <c r="J2625" s="346">
        <f t="shared" si="30"/>
        <v>1</v>
      </c>
      <c r="K2625" s="28" t="str">
        <f t="shared" si="24"/>
        <v/>
      </c>
      <c r="L2625" s="45" t="str">
        <f t="shared" si="25"/>
        <v/>
      </c>
      <c r="M2625" s="45" t="str">
        <f t="shared" si="26"/>
        <v/>
      </c>
      <c r="N2625" s="45" t="str">
        <f t="shared" si="27"/>
        <v/>
      </c>
      <c r="O2625" s="45" t="str">
        <f t="shared" si="28"/>
        <v/>
      </c>
      <c r="P2625" s="45" t="str">
        <f t="shared" si="29"/>
        <v/>
      </c>
    </row>
    <row r="2626" spans="1:16" ht="17.25">
      <c r="A2626" s="306" t="s">
        <v>8309</v>
      </c>
      <c r="B2626" s="307">
        <v>2021</v>
      </c>
      <c r="C2626" s="307">
        <v>34171280</v>
      </c>
      <c r="D2626" s="358"/>
      <c r="E2626" s="357" t="str">
        <f t="shared" si="31"/>
        <v>https://pubmed.ncbi.nlm.nih.gov/34171280</v>
      </c>
      <c r="F2626" s="226" t="s">
        <v>308</v>
      </c>
      <c r="G2626" s="226" t="s">
        <v>8161</v>
      </c>
      <c r="H2626" s="97"/>
      <c r="J2626" s="346" t="str">
        <f t="shared" si="30"/>
        <v/>
      </c>
      <c r="K2626" s="28" t="str">
        <f t="shared" si="24"/>
        <v/>
      </c>
      <c r="L2626" s="45" t="str">
        <f t="shared" si="25"/>
        <v/>
      </c>
      <c r="M2626" s="45" t="str">
        <f t="shared" si="26"/>
        <v/>
      </c>
      <c r="N2626" s="45">
        <f t="shared" si="27"/>
        <v>1</v>
      </c>
      <c r="O2626" s="45" t="str">
        <f t="shared" si="28"/>
        <v/>
      </c>
      <c r="P2626" s="45" t="str">
        <f t="shared" si="29"/>
        <v/>
      </c>
    </row>
    <row r="2627" spans="1:16" ht="17.25">
      <c r="A2627" s="306" t="s">
        <v>8310</v>
      </c>
      <c r="B2627" s="307">
        <v>2021</v>
      </c>
      <c r="C2627" s="307">
        <v>34171282</v>
      </c>
      <c r="D2627" s="358"/>
      <c r="E2627" s="357" t="str">
        <f t="shared" si="31"/>
        <v>https://pubmed.ncbi.nlm.nih.gov/34171282</v>
      </c>
      <c r="F2627" s="226" t="s">
        <v>308</v>
      </c>
      <c r="G2627" s="226" t="s">
        <v>4592</v>
      </c>
      <c r="H2627" s="97"/>
      <c r="J2627" s="346">
        <f t="shared" si="30"/>
        <v>1</v>
      </c>
      <c r="K2627" s="28" t="str">
        <f t="shared" si="24"/>
        <v/>
      </c>
      <c r="L2627" s="45" t="str">
        <f t="shared" si="25"/>
        <v/>
      </c>
      <c r="M2627" s="45" t="str">
        <f t="shared" si="26"/>
        <v/>
      </c>
      <c r="N2627" s="45" t="str">
        <f t="shared" si="27"/>
        <v/>
      </c>
      <c r="O2627" s="45" t="str">
        <f t="shared" si="28"/>
        <v/>
      </c>
      <c r="P2627" s="45" t="str">
        <f t="shared" si="29"/>
        <v/>
      </c>
    </row>
    <row r="2628" spans="1:16" ht="17.25">
      <c r="A2628" s="306" t="s">
        <v>8311</v>
      </c>
      <c r="B2628" s="307">
        <v>2021</v>
      </c>
      <c r="C2628" s="307">
        <v>34192430</v>
      </c>
      <c r="D2628" s="358"/>
      <c r="E2628" s="357" t="str">
        <f t="shared" si="31"/>
        <v>https://pubmed.ncbi.nlm.nih.gov/34192430</v>
      </c>
      <c r="F2628" s="226" t="s">
        <v>308</v>
      </c>
      <c r="G2628" s="226" t="s">
        <v>8312</v>
      </c>
      <c r="H2628" s="97"/>
      <c r="J2628" s="346" t="str">
        <f t="shared" si="30"/>
        <v/>
      </c>
      <c r="K2628" s="28" t="str">
        <f t="shared" si="24"/>
        <v/>
      </c>
      <c r="L2628" s="45" t="str">
        <f t="shared" si="25"/>
        <v/>
      </c>
      <c r="M2628" s="45" t="str">
        <f t="shared" si="26"/>
        <v/>
      </c>
      <c r="N2628" s="45">
        <f t="shared" si="27"/>
        <v>1</v>
      </c>
      <c r="O2628" s="45" t="str">
        <f t="shared" si="28"/>
        <v/>
      </c>
      <c r="P2628" s="45" t="str">
        <f t="shared" si="29"/>
        <v/>
      </c>
    </row>
    <row r="2629" spans="1:16" ht="17.25">
      <c r="A2629" s="306" t="s">
        <v>8313</v>
      </c>
      <c r="B2629" s="307">
        <v>2021</v>
      </c>
      <c r="C2629" s="307">
        <v>34302549</v>
      </c>
      <c r="D2629" s="306" t="s">
        <v>8314</v>
      </c>
      <c r="E2629" s="357" t="str">
        <f t="shared" si="31"/>
        <v>https://pubmed.ncbi.nlm.nih.gov/34302549</v>
      </c>
      <c r="F2629" s="226" t="s">
        <v>308</v>
      </c>
      <c r="G2629" s="226" t="s">
        <v>4592</v>
      </c>
      <c r="H2629" s="97"/>
      <c r="J2629" s="346">
        <f t="shared" si="30"/>
        <v>1</v>
      </c>
      <c r="K2629" s="28" t="str">
        <f t="shared" si="24"/>
        <v/>
      </c>
      <c r="L2629" s="45" t="str">
        <f t="shared" si="25"/>
        <v/>
      </c>
      <c r="M2629" s="45" t="str">
        <f t="shared" si="26"/>
        <v/>
      </c>
      <c r="N2629" s="45" t="str">
        <f t="shared" si="27"/>
        <v/>
      </c>
      <c r="O2629" s="45" t="str">
        <f t="shared" si="28"/>
        <v/>
      </c>
      <c r="P2629" s="45" t="str">
        <f t="shared" si="29"/>
        <v/>
      </c>
    </row>
    <row r="2630" spans="1:16" ht="17.25">
      <c r="A2630" s="306" t="s">
        <v>8315</v>
      </c>
      <c r="B2630" s="307">
        <v>2021</v>
      </c>
      <c r="C2630" s="307">
        <v>34320566</v>
      </c>
      <c r="D2630" s="306" t="s">
        <v>8316</v>
      </c>
      <c r="E2630" s="357" t="str">
        <f t="shared" si="31"/>
        <v>https://pubmed.ncbi.nlm.nih.gov/34320566</v>
      </c>
      <c r="F2630" s="226" t="s">
        <v>308</v>
      </c>
      <c r="G2630" s="226" t="s">
        <v>8164</v>
      </c>
      <c r="H2630" s="97"/>
      <c r="J2630" s="346">
        <f t="shared" si="30"/>
        <v>1</v>
      </c>
      <c r="K2630" s="28" t="str">
        <f t="shared" si="24"/>
        <v/>
      </c>
      <c r="L2630" s="45" t="str">
        <f t="shared" si="25"/>
        <v/>
      </c>
      <c r="M2630" s="45" t="str">
        <f t="shared" si="26"/>
        <v/>
      </c>
      <c r="N2630" s="45" t="str">
        <f t="shared" si="27"/>
        <v/>
      </c>
      <c r="O2630" s="45" t="str">
        <f t="shared" si="28"/>
        <v/>
      </c>
      <c r="P2630" s="45" t="str">
        <f t="shared" si="29"/>
        <v/>
      </c>
    </row>
    <row r="2631" spans="1:16" ht="17.25">
      <c r="A2631" s="306" t="s">
        <v>8317</v>
      </c>
      <c r="B2631" s="307">
        <v>2021</v>
      </c>
      <c r="C2631" s="307">
        <v>33882592</v>
      </c>
      <c r="D2631" s="306" t="s">
        <v>8318</v>
      </c>
      <c r="E2631" s="357" t="str">
        <f t="shared" si="31"/>
        <v>https://pubmed.ncbi.nlm.nih.gov/33882592</v>
      </c>
      <c r="F2631" s="226" t="s">
        <v>308</v>
      </c>
      <c r="G2631" s="226" t="s">
        <v>8319</v>
      </c>
      <c r="H2631" s="97"/>
      <c r="J2631" s="346">
        <f t="shared" si="30"/>
        <v>1</v>
      </c>
      <c r="K2631" s="28" t="str">
        <f t="shared" si="24"/>
        <v/>
      </c>
      <c r="L2631" s="45" t="str">
        <f t="shared" si="25"/>
        <v/>
      </c>
      <c r="M2631" s="45" t="str">
        <f t="shared" si="26"/>
        <v/>
      </c>
      <c r="N2631" s="45" t="str">
        <f t="shared" si="27"/>
        <v/>
      </c>
      <c r="O2631" s="45" t="str">
        <f t="shared" si="28"/>
        <v/>
      </c>
      <c r="P2631" s="45" t="str">
        <f t="shared" si="29"/>
        <v/>
      </c>
    </row>
    <row r="2632" spans="1:16" ht="17.25">
      <c r="A2632" s="306" t="s">
        <v>8320</v>
      </c>
      <c r="B2632" s="307">
        <v>2021</v>
      </c>
      <c r="C2632" s="307">
        <v>33899214</v>
      </c>
      <c r="D2632" s="358"/>
      <c r="E2632" s="357" t="str">
        <f t="shared" si="31"/>
        <v>https://pubmed.ncbi.nlm.nih.gov/33899214</v>
      </c>
      <c r="F2632" s="226" t="s">
        <v>308</v>
      </c>
      <c r="G2632" s="226" t="s">
        <v>8161</v>
      </c>
      <c r="H2632" s="97"/>
      <c r="J2632" s="346" t="str">
        <f t="shared" si="30"/>
        <v/>
      </c>
      <c r="K2632" s="28" t="str">
        <f t="shared" si="24"/>
        <v/>
      </c>
      <c r="L2632" s="45" t="str">
        <f t="shared" si="25"/>
        <v/>
      </c>
      <c r="M2632" s="45" t="str">
        <f t="shared" si="26"/>
        <v/>
      </c>
      <c r="N2632" s="45">
        <f t="shared" si="27"/>
        <v>1</v>
      </c>
      <c r="O2632" s="45" t="str">
        <f t="shared" si="28"/>
        <v/>
      </c>
      <c r="P2632" s="45" t="str">
        <f t="shared" si="29"/>
        <v/>
      </c>
    </row>
    <row r="2633" spans="1:16" ht="17.25">
      <c r="A2633" s="306" t="s">
        <v>8321</v>
      </c>
      <c r="B2633" s="307">
        <v>2021</v>
      </c>
      <c r="C2633" s="307">
        <v>33915284</v>
      </c>
      <c r="D2633" s="306" t="s">
        <v>8322</v>
      </c>
      <c r="E2633" s="357" t="str">
        <f t="shared" si="31"/>
        <v>https://pubmed.ncbi.nlm.nih.gov/33915284</v>
      </c>
      <c r="F2633" s="226" t="s">
        <v>308</v>
      </c>
      <c r="G2633" s="226" t="s">
        <v>8164</v>
      </c>
      <c r="H2633" s="97"/>
      <c r="J2633" s="346">
        <f t="shared" si="30"/>
        <v>1</v>
      </c>
      <c r="K2633" s="28" t="str">
        <f t="shared" si="24"/>
        <v/>
      </c>
      <c r="L2633" s="45" t="str">
        <f t="shared" si="25"/>
        <v/>
      </c>
      <c r="M2633" s="45" t="str">
        <f t="shared" si="26"/>
        <v/>
      </c>
      <c r="N2633" s="45" t="str">
        <f t="shared" si="27"/>
        <v/>
      </c>
      <c r="O2633" s="45" t="str">
        <f t="shared" si="28"/>
        <v/>
      </c>
      <c r="P2633" s="45" t="str">
        <f t="shared" si="29"/>
        <v/>
      </c>
    </row>
    <row r="2634" spans="1:16" ht="17.25">
      <c r="A2634" s="306" t="s">
        <v>8323</v>
      </c>
      <c r="B2634" s="307">
        <v>2021</v>
      </c>
      <c r="C2634" s="307">
        <v>33946120</v>
      </c>
      <c r="D2634" s="306" t="s">
        <v>8324</v>
      </c>
      <c r="E2634" s="357" t="str">
        <f t="shared" si="31"/>
        <v>https://pubmed.ncbi.nlm.nih.gov/33946120</v>
      </c>
      <c r="F2634" s="226" t="s">
        <v>308</v>
      </c>
      <c r="G2634" s="226" t="s">
        <v>8325</v>
      </c>
      <c r="H2634" s="97"/>
      <c r="J2634" s="346">
        <f t="shared" si="30"/>
        <v>1</v>
      </c>
      <c r="K2634" s="28" t="str">
        <f t="shared" si="24"/>
        <v/>
      </c>
      <c r="L2634" s="45" t="str">
        <f t="shared" si="25"/>
        <v/>
      </c>
      <c r="M2634" s="45" t="str">
        <f t="shared" si="26"/>
        <v/>
      </c>
      <c r="N2634" s="45" t="str">
        <f t="shared" si="27"/>
        <v/>
      </c>
      <c r="O2634" s="45" t="str">
        <f t="shared" si="28"/>
        <v/>
      </c>
      <c r="P2634" s="45" t="str">
        <f t="shared" si="29"/>
        <v/>
      </c>
    </row>
    <row r="2635" spans="1:16" ht="17.25">
      <c r="A2635" s="306" t="s">
        <v>8326</v>
      </c>
      <c r="B2635" s="307">
        <v>2021</v>
      </c>
      <c r="C2635" s="307">
        <v>34039847</v>
      </c>
      <c r="D2635" s="358"/>
      <c r="E2635" s="357" t="str">
        <f t="shared" si="31"/>
        <v>https://pubmed.ncbi.nlm.nih.gov/34039847</v>
      </c>
      <c r="F2635" s="226" t="s">
        <v>308</v>
      </c>
      <c r="G2635" s="226" t="s">
        <v>4592</v>
      </c>
      <c r="H2635" s="97"/>
      <c r="J2635" s="346">
        <f t="shared" si="30"/>
        <v>1</v>
      </c>
      <c r="K2635" s="28" t="str">
        <f t="shared" si="24"/>
        <v/>
      </c>
      <c r="L2635" s="45" t="str">
        <f t="shared" si="25"/>
        <v/>
      </c>
      <c r="M2635" s="45" t="str">
        <f t="shared" si="26"/>
        <v/>
      </c>
      <c r="N2635" s="45" t="str">
        <f t="shared" si="27"/>
        <v/>
      </c>
      <c r="O2635" s="45" t="str">
        <f t="shared" si="28"/>
        <v/>
      </c>
      <c r="P2635" s="45" t="str">
        <f t="shared" si="29"/>
        <v/>
      </c>
    </row>
    <row r="2636" spans="1:16" ht="17.25">
      <c r="A2636" s="306" t="s">
        <v>8327</v>
      </c>
      <c r="B2636" s="307">
        <v>2021</v>
      </c>
      <c r="C2636" s="307">
        <v>34138694</v>
      </c>
      <c r="D2636" s="306" t="s">
        <v>8328</v>
      </c>
      <c r="E2636" s="357" t="str">
        <f t="shared" si="31"/>
        <v>https://pubmed.ncbi.nlm.nih.gov/34138694</v>
      </c>
      <c r="F2636" s="226" t="s">
        <v>308</v>
      </c>
      <c r="G2636" s="226" t="s">
        <v>4592</v>
      </c>
      <c r="H2636" s="97"/>
      <c r="J2636" s="346">
        <f t="shared" si="30"/>
        <v>1</v>
      </c>
      <c r="K2636" s="28" t="str">
        <f t="shared" si="24"/>
        <v/>
      </c>
      <c r="L2636" s="45" t="str">
        <f t="shared" si="25"/>
        <v/>
      </c>
      <c r="M2636" s="45" t="str">
        <f t="shared" si="26"/>
        <v/>
      </c>
      <c r="N2636" s="45" t="str">
        <f t="shared" si="27"/>
        <v/>
      </c>
      <c r="O2636" s="45" t="str">
        <f t="shared" si="28"/>
        <v/>
      </c>
      <c r="P2636" s="45" t="str">
        <f t="shared" si="29"/>
        <v/>
      </c>
    </row>
    <row r="2637" spans="1:16" ht="17.25">
      <c r="A2637" s="306" t="s">
        <v>8329</v>
      </c>
      <c r="B2637" s="307">
        <v>2021</v>
      </c>
      <c r="C2637" s="307">
        <v>34174536</v>
      </c>
      <c r="D2637" s="306" t="s">
        <v>8330</v>
      </c>
      <c r="E2637" s="357" t="str">
        <f t="shared" si="31"/>
        <v>https://pubmed.ncbi.nlm.nih.gov/34174536</v>
      </c>
      <c r="F2637" s="226" t="s">
        <v>308</v>
      </c>
      <c r="G2637" s="226" t="s">
        <v>4592</v>
      </c>
      <c r="H2637" s="97"/>
      <c r="J2637" s="346">
        <f t="shared" si="30"/>
        <v>1</v>
      </c>
      <c r="K2637" s="28" t="str">
        <f t="shared" si="24"/>
        <v/>
      </c>
      <c r="L2637" s="45" t="str">
        <f t="shared" si="25"/>
        <v/>
      </c>
      <c r="M2637" s="45" t="str">
        <f t="shared" si="26"/>
        <v/>
      </c>
      <c r="N2637" s="45" t="str">
        <f t="shared" si="27"/>
        <v/>
      </c>
      <c r="O2637" s="45" t="str">
        <f t="shared" si="28"/>
        <v/>
      </c>
      <c r="P2637" s="45" t="str">
        <f t="shared" si="29"/>
        <v/>
      </c>
    </row>
    <row r="2638" spans="1:16" ht="17.25">
      <c r="A2638" s="306" t="s">
        <v>8331</v>
      </c>
      <c r="B2638" s="307">
        <v>2021</v>
      </c>
      <c r="C2638" s="307">
        <v>34214481</v>
      </c>
      <c r="D2638" s="358"/>
      <c r="E2638" s="357" t="str">
        <f t="shared" si="31"/>
        <v>https://pubmed.ncbi.nlm.nih.gov/34214481</v>
      </c>
      <c r="F2638" s="226" t="s">
        <v>308</v>
      </c>
      <c r="G2638" s="226" t="s">
        <v>8262</v>
      </c>
      <c r="H2638" s="97"/>
      <c r="J2638" s="346" t="str">
        <f t="shared" si="30"/>
        <v/>
      </c>
      <c r="K2638" s="28" t="str">
        <f t="shared" si="24"/>
        <v/>
      </c>
      <c r="L2638" s="45" t="str">
        <f t="shared" si="25"/>
        <v/>
      </c>
      <c r="M2638" s="45" t="str">
        <f t="shared" si="26"/>
        <v/>
      </c>
      <c r="N2638" s="45">
        <f t="shared" si="27"/>
        <v>1</v>
      </c>
      <c r="O2638" s="45" t="str">
        <f t="shared" si="28"/>
        <v/>
      </c>
      <c r="P2638" s="45" t="str">
        <f t="shared" si="29"/>
        <v/>
      </c>
    </row>
    <row r="2639" spans="1:16" ht="17.25">
      <c r="A2639" s="306" t="s">
        <v>8332</v>
      </c>
      <c r="B2639" s="307">
        <v>2021</v>
      </c>
      <c r="C2639" s="307">
        <v>34273291</v>
      </c>
      <c r="D2639" s="306" t="s">
        <v>8333</v>
      </c>
      <c r="E2639" s="357" t="str">
        <f t="shared" si="31"/>
        <v>https://pubmed.ncbi.nlm.nih.gov/34273291</v>
      </c>
      <c r="F2639" s="226" t="s">
        <v>308</v>
      </c>
      <c r="G2639" s="226" t="s">
        <v>8334</v>
      </c>
      <c r="H2639" s="97"/>
      <c r="J2639" s="346" t="str">
        <f t="shared" si="30"/>
        <v/>
      </c>
      <c r="K2639" s="28" t="str">
        <f t="shared" si="24"/>
        <v/>
      </c>
      <c r="L2639" s="45" t="str">
        <f t="shared" si="25"/>
        <v/>
      </c>
      <c r="M2639" s="45" t="str">
        <f t="shared" si="26"/>
        <v/>
      </c>
      <c r="N2639" s="45">
        <f t="shared" si="27"/>
        <v>1</v>
      </c>
      <c r="O2639" s="45" t="str">
        <f t="shared" si="28"/>
        <v/>
      </c>
      <c r="P2639" s="45" t="str">
        <f t="shared" si="29"/>
        <v/>
      </c>
    </row>
    <row r="2640" spans="1:16" ht="17.25">
      <c r="A2640" s="306" t="s">
        <v>2517</v>
      </c>
      <c r="B2640" s="307">
        <v>2021</v>
      </c>
      <c r="C2640" s="307">
        <v>34419209</v>
      </c>
      <c r="D2640" s="358"/>
      <c r="E2640" s="357" t="str">
        <f t="shared" si="31"/>
        <v>https://pubmed.ncbi.nlm.nih.gov/34419209</v>
      </c>
      <c r="F2640" s="97"/>
      <c r="G2640" s="97"/>
      <c r="H2640" s="226" t="s">
        <v>308</v>
      </c>
      <c r="J2640" s="346" t="str">
        <f t="shared" si="30"/>
        <v/>
      </c>
      <c r="K2640" s="28" t="str">
        <f t="shared" si="24"/>
        <v/>
      </c>
      <c r="L2640" s="45" t="str">
        <f t="shared" si="25"/>
        <v/>
      </c>
      <c r="M2640" s="45" t="str">
        <f t="shared" si="26"/>
        <v/>
      </c>
      <c r="N2640" s="45" t="str">
        <f t="shared" si="27"/>
        <v/>
      </c>
      <c r="O2640" s="45" t="str">
        <f t="shared" si="28"/>
        <v/>
      </c>
      <c r="P2640" s="45" t="str">
        <f t="shared" si="29"/>
        <v/>
      </c>
    </row>
    <row r="2641" spans="1:16" ht="17.25">
      <c r="A2641" s="306" t="s">
        <v>8335</v>
      </c>
      <c r="B2641" s="307">
        <v>2021</v>
      </c>
      <c r="C2641" s="307">
        <v>34451516</v>
      </c>
      <c r="D2641" s="306" t="s">
        <v>8336</v>
      </c>
      <c r="E2641" s="357" t="str">
        <f t="shared" si="31"/>
        <v>https://pubmed.ncbi.nlm.nih.gov/34451516</v>
      </c>
      <c r="F2641" s="226" t="s">
        <v>308</v>
      </c>
      <c r="G2641" s="226" t="s">
        <v>4592</v>
      </c>
      <c r="H2641" s="97"/>
      <c r="J2641" s="346">
        <f t="shared" si="30"/>
        <v>1</v>
      </c>
      <c r="K2641" s="28" t="str">
        <f t="shared" si="24"/>
        <v/>
      </c>
      <c r="L2641" s="45" t="str">
        <f t="shared" si="25"/>
        <v/>
      </c>
      <c r="M2641" s="45" t="str">
        <f t="shared" si="26"/>
        <v/>
      </c>
      <c r="N2641" s="45" t="str">
        <f t="shared" si="27"/>
        <v/>
      </c>
      <c r="O2641" s="45" t="str">
        <f t="shared" si="28"/>
        <v/>
      </c>
      <c r="P2641" s="45" t="str">
        <f t="shared" si="29"/>
        <v/>
      </c>
    </row>
    <row r="2642" spans="1:16" ht="17.25">
      <c r="A2642" s="306" t="s">
        <v>8337</v>
      </c>
      <c r="B2642" s="307">
        <v>2021</v>
      </c>
      <c r="C2642" s="307">
        <v>34494021</v>
      </c>
      <c r="D2642" s="306" t="s">
        <v>8338</v>
      </c>
      <c r="E2642" s="357" t="str">
        <f t="shared" si="31"/>
        <v>https://pubmed.ncbi.nlm.nih.gov/34494021</v>
      </c>
      <c r="F2642" s="226" t="s">
        <v>308</v>
      </c>
      <c r="G2642" s="226" t="s">
        <v>8339</v>
      </c>
      <c r="H2642" s="97"/>
      <c r="J2642" s="346" t="str">
        <f t="shared" si="30"/>
        <v/>
      </c>
      <c r="K2642" s="28" t="str">
        <f t="shared" si="24"/>
        <v/>
      </c>
      <c r="L2642" s="45">
        <f t="shared" si="25"/>
        <v>1</v>
      </c>
      <c r="M2642" s="45" t="str">
        <f t="shared" si="26"/>
        <v/>
      </c>
      <c r="N2642" s="45" t="str">
        <f t="shared" si="27"/>
        <v/>
      </c>
      <c r="O2642" s="45" t="str">
        <f t="shared" si="28"/>
        <v/>
      </c>
      <c r="P2642" s="45" t="str">
        <f t="shared" si="29"/>
        <v/>
      </c>
    </row>
    <row r="2643" spans="1:16" ht="17.25">
      <c r="A2643" s="306" t="s">
        <v>8340</v>
      </c>
      <c r="B2643" s="307">
        <v>2021</v>
      </c>
      <c r="C2643" s="307">
        <v>33486824</v>
      </c>
      <c r="D2643" s="358"/>
      <c r="E2643" s="357" t="str">
        <f t="shared" si="31"/>
        <v>https://pubmed.ncbi.nlm.nih.gov/33486824</v>
      </c>
      <c r="F2643" s="226" t="s">
        <v>308</v>
      </c>
      <c r="G2643" s="226" t="s">
        <v>8164</v>
      </c>
      <c r="H2643" s="97"/>
      <c r="J2643" s="346">
        <f t="shared" si="30"/>
        <v>1</v>
      </c>
      <c r="K2643" s="28" t="str">
        <f t="shared" si="24"/>
        <v/>
      </c>
      <c r="L2643" s="45" t="str">
        <f t="shared" si="25"/>
        <v/>
      </c>
      <c r="M2643" s="45" t="str">
        <f t="shared" si="26"/>
        <v/>
      </c>
      <c r="N2643" s="45" t="str">
        <f t="shared" si="27"/>
        <v/>
      </c>
      <c r="O2643" s="45" t="str">
        <f t="shared" si="28"/>
        <v/>
      </c>
      <c r="P2643" s="45" t="str">
        <f t="shared" si="29"/>
        <v/>
      </c>
    </row>
    <row r="2644" spans="1:16" ht="17.25">
      <c r="A2644" s="306" t="s">
        <v>8341</v>
      </c>
      <c r="B2644" s="307">
        <v>2021</v>
      </c>
      <c r="C2644" s="307">
        <v>34216862</v>
      </c>
      <c r="D2644" s="358"/>
      <c r="E2644" s="357" t="str">
        <f t="shared" si="31"/>
        <v>https://pubmed.ncbi.nlm.nih.gov/34216862</v>
      </c>
      <c r="F2644" s="226" t="s">
        <v>308</v>
      </c>
      <c r="G2644" s="226" t="s">
        <v>8161</v>
      </c>
      <c r="H2644" s="97"/>
      <c r="J2644" s="346" t="str">
        <f t="shared" si="30"/>
        <v/>
      </c>
      <c r="K2644" s="28" t="str">
        <f t="shared" si="24"/>
        <v/>
      </c>
      <c r="L2644" s="45" t="str">
        <f t="shared" si="25"/>
        <v/>
      </c>
      <c r="M2644" s="45" t="str">
        <f t="shared" si="26"/>
        <v/>
      </c>
      <c r="N2644" s="45">
        <f t="shared" si="27"/>
        <v>1</v>
      </c>
      <c r="O2644" s="45" t="str">
        <f t="shared" si="28"/>
        <v/>
      </c>
      <c r="P2644" s="45" t="str">
        <f t="shared" si="29"/>
        <v/>
      </c>
    </row>
    <row r="2645" spans="1:16" ht="17.25">
      <c r="A2645" s="306" t="s">
        <v>2542</v>
      </c>
      <c r="B2645" s="307">
        <v>2021</v>
      </c>
      <c r="C2645" s="307">
        <v>34430837</v>
      </c>
      <c r="D2645" s="306" t="s">
        <v>8342</v>
      </c>
      <c r="E2645" s="357" t="str">
        <f t="shared" si="31"/>
        <v>https://pubmed.ncbi.nlm.nih.gov/34430837</v>
      </c>
      <c r="F2645" s="97"/>
      <c r="G2645" s="97"/>
      <c r="H2645" s="226" t="s">
        <v>308</v>
      </c>
      <c r="J2645" s="346" t="str">
        <f t="shared" si="30"/>
        <v/>
      </c>
      <c r="K2645" s="28" t="str">
        <f t="shared" si="24"/>
        <v/>
      </c>
      <c r="L2645" s="45" t="str">
        <f t="shared" si="25"/>
        <v/>
      </c>
      <c r="M2645" s="45" t="str">
        <f t="shared" si="26"/>
        <v/>
      </c>
      <c r="N2645" s="45" t="str">
        <f t="shared" si="27"/>
        <v/>
      </c>
      <c r="O2645" s="45" t="str">
        <f t="shared" si="28"/>
        <v/>
      </c>
      <c r="P2645" s="45" t="str">
        <f t="shared" si="29"/>
        <v/>
      </c>
    </row>
    <row r="2646" spans="1:16" ht="17.25">
      <c r="A2646" s="306" t="s">
        <v>8343</v>
      </c>
      <c r="B2646" s="307">
        <v>2021</v>
      </c>
      <c r="C2646" s="307">
        <v>33974497</v>
      </c>
      <c r="D2646" s="306" t="s">
        <v>8344</v>
      </c>
      <c r="E2646" s="357" t="str">
        <f t="shared" si="31"/>
        <v>https://pubmed.ncbi.nlm.nih.gov/33974497</v>
      </c>
      <c r="F2646" s="226" t="s">
        <v>308</v>
      </c>
      <c r="G2646" s="226" t="s">
        <v>4592</v>
      </c>
      <c r="H2646" s="97"/>
      <c r="J2646" s="346">
        <f t="shared" si="30"/>
        <v>1</v>
      </c>
      <c r="K2646" s="28" t="str">
        <f t="shared" si="24"/>
        <v/>
      </c>
      <c r="L2646" s="45" t="str">
        <f t="shared" si="25"/>
        <v/>
      </c>
      <c r="M2646" s="45" t="str">
        <f t="shared" si="26"/>
        <v/>
      </c>
      <c r="N2646" s="45" t="str">
        <f t="shared" si="27"/>
        <v/>
      </c>
      <c r="O2646" s="45" t="str">
        <f t="shared" si="28"/>
        <v/>
      </c>
      <c r="P2646" s="45" t="str">
        <f t="shared" si="29"/>
        <v/>
      </c>
    </row>
    <row r="2647" spans="1:16" ht="17.25">
      <c r="A2647" s="306" t="s">
        <v>8345</v>
      </c>
      <c r="B2647" s="307">
        <v>2021</v>
      </c>
      <c r="C2647" s="307">
        <v>34475174</v>
      </c>
      <c r="D2647" s="306" t="s">
        <v>8346</v>
      </c>
      <c r="E2647" s="357" t="str">
        <f t="shared" si="31"/>
        <v>https://pubmed.ncbi.nlm.nih.gov/34475174</v>
      </c>
      <c r="F2647" s="226" t="s">
        <v>308</v>
      </c>
      <c r="G2647" s="226" t="s">
        <v>8347</v>
      </c>
      <c r="H2647" s="97"/>
      <c r="J2647" s="346" t="str">
        <f t="shared" si="30"/>
        <v/>
      </c>
      <c r="K2647" s="28" t="str">
        <f t="shared" si="24"/>
        <v/>
      </c>
      <c r="L2647" s="45" t="str">
        <f t="shared" si="25"/>
        <v/>
      </c>
      <c r="M2647" s="45" t="str">
        <f t="shared" si="26"/>
        <v/>
      </c>
      <c r="N2647" s="45">
        <f t="shared" si="27"/>
        <v>1</v>
      </c>
      <c r="O2647" s="45" t="str">
        <f t="shared" si="28"/>
        <v/>
      </c>
      <c r="P2647" s="45" t="str">
        <f t="shared" si="29"/>
        <v/>
      </c>
    </row>
    <row r="2648" spans="1:16" ht="17.25">
      <c r="A2648" s="306" t="s">
        <v>8348</v>
      </c>
      <c r="B2648" s="307">
        <v>2021</v>
      </c>
      <c r="C2648" s="307">
        <v>34495079</v>
      </c>
      <c r="D2648" s="306" t="s">
        <v>8349</v>
      </c>
      <c r="E2648" s="357" t="str">
        <f t="shared" si="31"/>
        <v>https://pubmed.ncbi.nlm.nih.gov/34495079</v>
      </c>
      <c r="F2648" s="226" t="s">
        <v>308</v>
      </c>
      <c r="G2648" s="226" t="s">
        <v>8161</v>
      </c>
      <c r="H2648" s="97"/>
      <c r="J2648" s="346" t="str">
        <f t="shared" si="30"/>
        <v/>
      </c>
      <c r="K2648" s="28" t="str">
        <f t="shared" si="24"/>
        <v/>
      </c>
      <c r="L2648" s="45" t="str">
        <f t="shared" si="25"/>
        <v/>
      </c>
      <c r="M2648" s="45" t="str">
        <f t="shared" si="26"/>
        <v/>
      </c>
      <c r="N2648" s="45">
        <f t="shared" si="27"/>
        <v>1</v>
      </c>
      <c r="O2648" s="45" t="str">
        <f t="shared" si="28"/>
        <v/>
      </c>
      <c r="P2648" s="45" t="str">
        <f t="shared" si="29"/>
        <v/>
      </c>
    </row>
    <row r="2649" spans="1:16" ht="17.25">
      <c r="A2649" s="306" t="s">
        <v>1360</v>
      </c>
      <c r="B2649" s="307">
        <v>2021</v>
      </c>
      <c r="C2649" s="307">
        <v>34491803</v>
      </c>
      <c r="D2649" s="358"/>
      <c r="E2649" s="357" t="str">
        <f t="shared" si="31"/>
        <v>https://pubmed.ncbi.nlm.nih.gov/34491803</v>
      </c>
      <c r="F2649" s="226" t="s">
        <v>308</v>
      </c>
      <c r="G2649" s="226" t="s">
        <v>8161</v>
      </c>
      <c r="H2649" s="97"/>
      <c r="J2649" s="346" t="str">
        <f t="shared" si="30"/>
        <v/>
      </c>
      <c r="K2649" s="28" t="str">
        <f t="shared" si="24"/>
        <v/>
      </c>
      <c r="L2649" s="45" t="str">
        <f t="shared" si="25"/>
        <v/>
      </c>
      <c r="M2649" s="45" t="str">
        <f t="shared" si="26"/>
        <v/>
      </c>
      <c r="N2649" s="45">
        <f t="shared" si="27"/>
        <v>1</v>
      </c>
      <c r="O2649" s="45" t="str">
        <f t="shared" si="28"/>
        <v/>
      </c>
      <c r="P2649" s="45" t="str">
        <f t="shared" si="29"/>
        <v/>
      </c>
    </row>
    <row r="2650" spans="1:16" ht="17.25">
      <c r="A2650" s="306" t="s">
        <v>2558</v>
      </c>
      <c r="B2650" s="307">
        <v>2021</v>
      </c>
      <c r="C2650" s="307">
        <v>34264864</v>
      </c>
      <c r="D2650" s="358"/>
      <c r="E2650" s="357" t="str">
        <f t="shared" si="31"/>
        <v>https://pubmed.ncbi.nlm.nih.gov/34264864</v>
      </c>
      <c r="F2650" s="97"/>
      <c r="G2650" s="97"/>
      <c r="H2650" s="226" t="s">
        <v>308</v>
      </c>
      <c r="J2650" s="346" t="str">
        <f t="shared" si="30"/>
        <v/>
      </c>
      <c r="K2650" s="28" t="str">
        <f t="shared" si="24"/>
        <v/>
      </c>
      <c r="L2650" s="45" t="str">
        <f t="shared" si="25"/>
        <v/>
      </c>
      <c r="M2650" s="45" t="str">
        <f t="shared" si="26"/>
        <v/>
      </c>
      <c r="N2650" s="45" t="str">
        <f t="shared" si="27"/>
        <v/>
      </c>
      <c r="O2650" s="45" t="str">
        <f t="shared" si="28"/>
        <v/>
      </c>
      <c r="P2650" s="45" t="str">
        <f t="shared" si="29"/>
        <v/>
      </c>
    </row>
    <row r="2651" spans="1:16" ht="17.25">
      <c r="A2651" s="306" t="s">
        <v>8350</v>
      </c>
      <c r="B2651" s="307">
        <v>2021</v>
      </c>
      <c r="C2651" s="307">
        <v>34497087</v>
      </c>
      <c r="D2651" s="306" t="s">
        <v>8351</v>
      </c>
      <c r="E2651" s="357" t="str">
        <f t="shared" si="31"/>
        <v>https://pubmed.ncbi.nlm.nih.gov/34497087</v>
      </c>
      <c r="F2651" s="226" t="s">
        <v>308</v>
      </c>
      <c r="G2651" s="226" t="s">
        <v>8172</v>
      </c>
      <c r="H2651" s="97"/>
      <c r="J2651" s="346" t="str">
        <f t="shared" si="30"/>
        <v/>
      </c>
      <c r="K2651" s="28" t="str">
        <f t="shared" si="24"/>
        <v/>
      </c>
      <c r="L2651" s="45" t="str">
        <f t="shared" si="25"/>
        <v/>
      </c>
      <c r="M2651" s="45" t="str">
        <f t="shared" si="26"/>
        <v/>
      </c>
      <c r="N2651" s="45">
        <f t="shared" si="27"/>
        <v>1</v>
      </c>
      <c r="O2651" s="45" t="str">
        <f t="shared" si="28"/>
        <v/>
      </c>
      <c r="P2651" s="45" t="str">
        <f t="shared" si="29"/>
        <v/>
      </c>
    </row>
    <row r="2652" spans="1:16" ht="17.25">
      <c r="A2652" s="306" t="s">
        <v>8352</v>
      </c>
      <c r="B2652" s="307">
        <v>2021</v>
      </c>
      <c r="C2652" s="307">
        <v>34556337</v>
      </c>
      <c r="D2652" s="306" t="s">
        <v>8353</v>
      </c>
      <c r="E2652" s="357" t="str">
        <f t="shared" si="31"/>
        <v>https://pubmed.ncbi.nlm.nih.gov/34556337</v>
      </c>
      <c r="F2652" s="226" t="s">
        <v>308</v>
      </c>
      <c r="G2652" s="226" t="s">
        <v>4592</v>
      </c>
      <c r="H2652" s="97"/>
      <c r="J2652" s="346">
        <f t="shared" si="30"/>
        <v>1</v>
      </c>
      <c r="K2652" s="28" t="str">
        <f t="shared" si="24"/>
        <v/>
      </c>
      <c r="L2652" s="45" t="str">
        <f t="shared" si="25"/>
        <v/>
      </c>
      <c r="M2652" s="45" t="str">
        <f t="shared" si="26"/>
        <v/>
      </c>
      <c r="N2652" s="45" t="str">
        <f t="shared" si="27"/>
        <v/>
      </c>
      <c r="O2652" s="45" t="str">
        <f t="shared" si="28"/>
        <v/>
      </c>
      <c r="P2652" s="45" t="str">
        <f t="shared" si="29"/>
        <v/>
      </c>
    </row>
    <row r="2653" spans="1:16" ht="17.25">
      <c r="A2653" s="306" t="s">
        <v>8354</v>
      </c>
      <c r="B2653" s="307">
        <v>2021</v>
      </c>
      <c r="C2653" s="307">
        <v>34432975</v>
      </c>
      <c r="D2653" s="358"/>
      <c r="E2653" s="357" t="str">
        <f t="shared" si="31"/>
        <v>https://pubmed.ncbi.nlm.nih.gov/34432975</v>
      </c>
      <c r="F2653" s="226" t="s">
        <v>308</v>
      </c>
      <c r="G2653" s="226" t="s">
        <v>8161</v>
      </c>
      <c r="H2653" s="97"/>
      <c r="J2653" s="346" t="str">
        <f t="shared" si="30"/>
        <v/>
      </c>
      <c r="K2653" s="28" t="str">
        <f t="shared" si="24"/>
        <v/>
      </c>
      <c r="L2653" s="45" t="str">
        <f t="shared" si="25"/>
        <v/>
      </c>
      <c r="M2653" s="45" t="str">
        <f t="shared" si="26"/>
        <v/>
      </c>
      <c r="N2653" s="45">
        <f t="shared" si="27"/>
        <v>1</v>
      </c>
      <c r="O2653" s="45" t="str">
        <f t="shared" si="28"/>
        <v/>
      </c>
      <c r="P2653" s="45" t="str">
        <f t="shared" si="29"/>
        <v/>
      </c>
    </row>
    <row r="2654" spans="1:16" ht="17.25">
      <c r="A2654" s="306" t="s">
        <v>8355</v>
      </c>
      <c r="B2654" s="307">
        <v>2021</v>
      </c>
      <c r="C2654" s="307">
        <v>33966331</v>
      </c>
      <c r="D2654" s="358"/>
      <c r="E2654" s="357" t="str">
        <f t="shared" si="31"/>
        <v>https://pubmed.ncbi.nlm.nih.gov/33966331</v>
      </c>
      <c r="F2654" s="226" t="s">
        <v>308</v>
      </c>
      <c r="G2654" s="226" t="s">
        <v>8161</v>
      </c>
      <c r="H2654" s="97"/>
      <c r="J2654" s="346" t="str">
        <f t="shared" si="30"/>
        <v/>
      </c>
      <c r="K2654" s="28" t="str">
        <f t="shared" si="24"/>
        <v/>
      </c>
      <c r="L2654" s="45" t="str">
        <f t="shared" si="25"/>
        <v/>
      </c>
      <c r="M2654" s="45" t="str">
        <f t="shared" si="26"/>
        <v/>
      </c>
      <c r="N2654" s="45">
        <f t="shared" si="27"/>
        <v>1</v>
      </c>
      <c r="O2654" s="45" t="str">
        <f t="shared" si="28"/>
        <v/>
      </c>
      <c r="P2654" s="45" t="str">
        <f t="shared" si="29"/>
        <v/>
      </c>
    </row>
    <row r="2655" spans="1:16" ht="17.25">
      <c r="A2655" s="306" t="s">
        <v>8356</v>
      </c>
      <c r="B2655" s="307">
        <v>2021</v>
      </c>
      <c r="C2655" s="307">
        <v>34385093</v>
      </c>
      <c r="D2655" s="358"/>
      <c r="E2655" s="357" t="str">
        <f t="shared" si="31"/>
        <v>https://pubmed.ncbi.nlm.nih.gov/34385093</v>
      </c>
      <c r="F2655" s="226" t="s">
        <v>308</v>
      </c>
      <c r="G2655" s="226" t="s">
        <v>8161</v>
      </c>
      <c r="H2655" s="97"/>
      <c r="J2655" s="346" t="str">
        <f t="shared" si="30"/>
        <v/>
      </c>
      <c r="K2655" s="28" t="str">
        <f t="shared" si="24"/>
        <v/>
      </c>
      <c r="L2655" s="45" t="str">
        <f t="shared" si="25"/>
        <v/>
      </c>
      <c r="M2655" s="45" t="str">
        <f t="shared" si="26"/>
        <v/>
      </c>
      <c r="N2655" s="45">
        <f t="shared" si="27"/>
        <v>1</v>
      </c>
      <c r="O2655" s="45" t="str">
        <f t="shared" si="28"/>
        <v/>
      </c>
      <c r="P2655" s="45" t="str">
        <f t="shared" si="29"/>
        <v/>
      </c>
    </row>
    <row r="2656" spans="1:16" ht="17.25">
      <c r="A2656" s="306" t="s">
        <v>8357</v>
      </c>
      <c r="B2656" s="307">
        <v>2021</v>
      </c>
      <c r="C2656" s="307">
        <v>34606050</v>
      </c>
      <c r="D2656" s="358"/>
      <c r="E2656" s="357" t="str">
        <f t="shared" si="31"/>
        <v>https://pubmed.ncbi.nlm.nih.gov/34606050</v>
      </c>
      <c r="F2656" s="226" t="s">
        <v>308</v>
      </c>
      <c r="G2656" s="226" t="s">
        <v>4592</v>
      </c>
      <c r="H2656" s="97"/>
      <c r="J2656" s="346">
        <f t="shared" si="30"/>
        <v>1</v>
      </c>
      <c r="K2656" s="28" t="str">
        <f t="shared" si="24"/>
        <v/>
      </c>
      <c r="L2656" s="45" t="str">
        <f t="shared" si="25"/>
        <v/>
      </c>
      <c r="M2656" s="45" t="str">
        <f t="shared" si="26"/>
        <v/>
      </c>
      <c r="N2656" s="45" t="str">
        <f t="shared" si="27"/>
        <v/>
      </c>
      <c r="O2656" s="45" t="str">
        <f t="shared" si="28"/>
        <v/>
      </c>
      <c r="P2656" s="45" t="str">
        <f t="shared" si="29"/>
        <v/>
      </c>
    </row>
    <row r="2657" spans="1:11" ht="17.25">
      <c r="A2657" s="276"/>
      <c r="B2657" s="277"/>
      <c r="C2657" s="276"/>
      <c r="D2657" s="277"/>
      <c r="F2657" s="28"/>
      <c r="G2657" s="28"/>
      <c r="J2657" s="346"/>
      <c r="K2657" s="28"/>
    </row>
    <row r="2658" spans="1:11" ht="17.25">
      <c r="A2658" s="276"/>
      <c r="B2658" s="277"/>
      <c r="C2658" s="276"/>
      <c r="D2658" s="277"/>
      <c r="F2658" s="28"/>
      <c r="G2658" s="28"/>
      <c r="J2658" s="346"/>
      <c r="K2658" s="28"/>
    </row>
    <row r="2659" spans="1:11" ht="17.25">
      <c r="A2659" s="276"/>
      <c r="B2659" s="277"/>
      <c r="C2659" s="276"/>
      <c r="D2659" s="277"/>
      <c r="F2659" s="28"/>
      <c r="G2659" s="28"/>
      <c r="J2659" s="346"/>
      <c r="K2659" s="28"/>
    </row>
    <row r="2660" spans="1:11" ht="17.25">
      <c r="A2660" s="276"/>
      <c r="B2660" s="277"/>
      <c r="C2660" s="276"/>
      <c r="D2660" s="277"/>
      <c r="F2660" s="28"/>
      <c r="G2660" s="28"/>
      <c r="J2660" s="346"/>
      <c r="K2660" s="28"/>
    </row>
    <row r="2661" spans="1:11" ht="17.25">
      <c r="A2661" s="276"/>
      <c r="B2661" s="277"/>
      <c r="C2661" s="276"/>
      <c r="D2661" s="277"/>
      <c r="F2661" s="28"/>
      <c r="G2661" s="28"/>
      <c r="J2661" s="346"/>
      <c r="K2661" s="28"/>
    </row>
    <row r="2662" spans="1:11" ht="17.25">
      <c r="A2662" s="276"/>
      <c r="B2662" s="277"/>
      <c r="C2662" s="276"/>
      <c r="D2662" s="277"/>
      <c r="F2662" s="28"/>
      <c r="G2662" s="28"/>
      <c r="J2662" s="346"/>
      <c r="K2662" s="28"/>
    </row>
    <row r="2663" spans="1:11" ht="17.25">
      <c r="A2663" s="276"/>
      <c r="B2663" s="277"/>
      <c r="C2663" s="276"/>
      <c r="D2663" s="277"/>
      <c r="F2663" s="28"/>
      <c r="G2663" s="28"/>
      <c r="J2663" s="346"/>
      <c r="K2663" s="28"/>
    </row>
    <row r="2664" spans="1:11" ht="17.25">
      <c r="A2664" s="276"/>
      <c r="B2664" s="277"/>
      <c r="C2664" s="276"/>
      <c r="D2664" s="277"/>
      <c r="F2664" s="28"/>
      <c r="G2664" s="28"/>
      <c r="J2664" s="346"/>
      <c r="K2664" s="28"/>
    </row>
    <row r="2665" spans="1:11" ht="17.25">
      <c r="A2665" s="276"/>
      <c r="B2665" s="277"/>
      <c r="C2665" s="276"/>
      <c r="D2665" s="277"/>
      <c r="F2665" s="28"/>
      <c r="G2665" s="28"/>
      <c r="J2665" s="346"/>
      <c r="K2665" s="28"/>
    </row>
    <row r="2666" spans="1:11" ht="17.25">
      <c r="A2666" s="276"/>
      <c r="B2666" s="277"/>
      <c r="C2666" s="276"/>
      <c r="D2666" s="277"/>
      <c r="F2666" s="28"/>
      <c r="G2666" s="28"/>
      <c r="J2666" s="346"/>
      <c r="K2666" s="28"/>
    </row>
    <row r="2667" spans="1:11" ht="17.25">
      <c r="A2667" s="276"/>
      <c r="B2667" s="277"/>
      <c r="C2667" s="276"/>
      <c r="D2667" s="277"/>
      <c r="F2667" s="28"/>
      <c r="G2667" s="28"/>
      <c r="J2667" s="346"/>
      <c r="K2667" s="28"/>
    </row>
    <row r="2668" spans="1:11" ht="17.25">
      <c r="A2668" s="276"/>
      <c r="B2668" s="277"/>
      <c r="C2668" s="276"/>
      <c r="D2668" s="277"/>
      <c r="F2668" s="28"/>
      <c r="G2668" s="28"/>
      <c r="J2668" s="346"/>
      <c r="K2668" s="28"/>
    </row>
    <row r="2669" spans="1:11" ht="17.25">
      <c r="A2669" s="276"/>
      <c r="B2669" s="277"/>
      <c r="C2669" s="276"/>
      <c r="D2669" s="277"/>
      <c r="F2669" s="28"/>
      <c r="G2669" s="28"/>
      <c r="J2669" s="346"/>
      <c r="K2669" s="28"/>
    </row>
    <row r="2670" spans="1:11" ht="17.25">
      <c r="A2670" s="276"/>
      <c r="B2670" s="277"/>
      <c r="C2670" s="276"/>
      <c r="D2670" s="277"/>
      <c r="F2670" s="28"/>
      <c r="G2670" s="28"/>
      <c r="J2670" s="346"/>
      <c r="K2670" s="28"/>
    </row>
    <row r="2671" spans="1:11" ht="17.25">
      <c r="A2671" s="276"/>
      <c r="B2671" s="277"/>
      <c r="C2671" s="276"/>
      <c r="D2671" s="277"/>
      <c r="F2671" s="28"/>
      <c r="G2671" s="28"/>
      <c r="J2671" s="346"/>
      <c r="K2671" s="28"/>
    </row>
    <row r="2672" spans="1:11" ht="17.25">
      <c r="A2672" s="276"/>
      <c r="B2672" s="277"/>
      <c r="C2672" s="276"/>
      <c r="D2672" s="277"/>
      <c r="F2672" s="28"/>
      <c r="G2672" s="28"/>
      <c r="J2672" s="346"/>
      <c r="K2672" s="28"/>
    </row>
    <row r="2673" spans="1:11" ht="17.25">
      <c r="A2673" s="276"/>
      <c r="B2673" s="277"/>
      <c r="C2673" s="276"/>
      <c r="D2673" s="277"/>
      <c r="F2673" s="28"/>
      <c r="G2673" s="28"/>
      <c r="J2673" s="346"/>
      <c r="K2673" s="28"/>
    </row>
    <row r="2674" spans="1:11" ht="17.25">
      <c r="A2674" s="276"/>
      <c r="B2674" s="277"/>
      <c r="C2674" s="276"/>
      <c r="D2674" s="277"/>
      <c r="F2674" s="28"/>
      <c r="G2674" s="28"/>
      <c r="J2674" s="346"/>
      <c r="K2674" s="28"/>
    </row>
    <row r="2675" spans="1:11" ht="17.25">
      <c r="A2675" s="276"/>
      <c r="B2675" s="277"/>
      <c r="C2675" s="276"/>
      <c r="D2675" s="277"/>
      <c r="F2675" s="28"/>
      <c r="G2675" s="28"/>
      <c r="J2675" s="346"/>
      <c r="K2675" s="28"/>
    </row>
    <row r="2676" spans="1:11" ht="17.25">
      <c r="A2676" s="276"/>
      <c r="B2676" s="277"/>
      <c r="C2676" s="276"/>
      <c r="D2676" s="277"/>
      <c r="F2676" s="28"/>
      <c r="G2676" s="28"/>
      <c r="J2676" s="346"/>
      <c r="K2676" s="28"/>
    </row>
    <row r="2677" spans="1:11" ht="17.25">
      <c r="A2677" s="276"/>
      <c r="B2677" s="277"/>
      <c r="C2677" s="276"/>
      <c r="D2677" s="277"/>
      <c r="F2677" s="28"/>
      <c r="G2677" s="28"/>
      <c r="J2677" s="346"/>
      <c r="K2677" s="28"/>
    </row>
    <row r="2678" spans="1:11" ht="17.25">
      <c r="A2678" s="276"/>
      <c r="B2678" s="277"/>
      <c r="C2678" s="276"/>
      <c r="D2678" s="277"/>
      <c r="F2678" s="28"/>
      <c r="G2678" s="28"/>
      <c r="J2678" s="346"/>
      <c r="K2678" s="28"/>
    </row>
    <row r="2679" spans="1:11" ht="17.25">
      <c r="A2679" s="276"/>
      <c r="B2679" s="277"/>
      <c r="C2679" s="276"/>
      <c r="D2679" s="277"/>
      <c r="F2679" s="28"/>
      <c r="G2679" s="28"/>
      <c r="J2679" s="346"/>
      <c r="K2679" s="28"/>
    </row>
    <row r="2680" spans="1:11" ht="17.25">
      <c r="A2680" s="276"/>
      <c r="B2680" s="277"/>
      <c r="C2680" s="276"/>
      <c r="D2680" s="277"/>
      <c r="F2680" s="28"/>
      <c r="G2680" s="28"/>
      <c r="J2680" s="346"/>
      <c r="K2680" s="28"/>
    </row>
    <row r="2681" spans="1:11" ht="17.25">
      <c r="A2681" s="276"/>
      <c r="B2681" s="277"/>
      <c r="C2681" s="276"/>
      <c r="D2681" s="277"/>
      <c r="F2681" s="28"/>
      <c r="G2681" s="28"/>
      <c r="J2681" s="346"/>
      <c r="K2681" s="28"/>
    </row>
    <row r="2682" spans="1:11" ht="17.25">
      <c r="A2682" s="276"/>
      <c r="B2682" s="277"/>
      <c r="C2682" s="276"/>
      <c r="D2682" s="277"/>
      <c r="F2682" s="28"/>
      <c r="G2682" s="28"/>
      <c r="J2682" s="346"/>
      <c r="K2682" s="28"/>
    </row>
    <row r="2683" spans="1:11" ht="17.25">
      <c r="A2683" s="276"/>
      <c r="B2683" s="277"/>
      <c r="C2683" s="276"/>
      <c r="D2683" s="277"/>
      <c r="F2683" s="28"/>
      <c r="G2683" s="28"/>
      <c r="J2683" s="346"/>
      <c r="K2683" s="28"/>
    </row>
    <row r="2684" spans="1:11" ht="17.25">
      <c r="A2684" s="276"/>
      <c r="B2684" s="277"/>
      <c r="C2684" s="276"/>
      <c r="D2684" s="277"/>
      <c r="F2684" s="28"/>
      <c r="G2684" s="28"/>
      <c r="J2684" s="346"/>
      <c r="K2684" s="28"/>
    </row>
    <row r="2685" spans="1:11" ht="17.25">
      <c r="A2685" s="276"/>
      <c r="B2685" s="277"/>
      <c r="C2685" s="276"/>
      <c r="D2685" s="277"/>
      <c r="F2685" s="28"/>
      <c r="G2685" s="28"/>
      <c r="J2685" s="346"/>
      <c r="K2685" s="28"/>
    </row>
    <row r="2686" spans="1:11" ht="17.25">
      <c r="A2686" s="276"/>
      <c r="B2686" s="277"/>
      <c r="C2686" s="276"/>
      <c r="D2686" s="277"/>
      <c r="F2686" s="28"/>
      <c r="G2686" s="28"/>
      <c r="J2686" s="346"/>
      <c r="K2686" s="28"/>
    </row>
    <row r="2687" spans="1:11" ht="17.25">
      <c r="A2687" s="276"/>
      <c r="B2687" s="277"/>
      <c r="C2687" s="276"/>
      <c r="D2687" s="277"/>
      <c r="F2687" s="28"/>
      <c r="G2687" s="28"/>
      <c r="J2687" s="346"/>
      <c r="K2687" s="28"/>
    </row>
    <row r="2688" spans="1:11" ht="17.25">
      <c r="A2688" s="276"/>
      <c r="B2688" s="277"/>
      <c r="C2688" s="276"/>
      <c r="D2688" s="277"/>
      <c r="F2688" s="28"/>
      <c r="G2688" s="28"/>
      <c r="J2688" s="346"/>
      <c r="K2688" s="28"/>
    </row>
  </sheetData>
  <customSheetViews>
    <customSheetView guid="{D8ECF7FC-5E3A-4DFB-B628-6DD3CD0CC9C8}" filter="1" showAutoFilter="1">
      <pageMargins left="0.7" right="0.7" top="0.75" bottom="0.75" header="0.3" footer="0.3"/>
      <autoFilter ref="J1:J2656" xr:uid="{5F01B770-60A1-4B7B-8FEF-12E4F3E86443}">
        <filterColumn colId="0">
          <filters blank="1">
            <filter val="974"/>
          </filters>
        </filterColumn>
      </autoFilter>
    </customSheetView>
    <customSheetView guid="{26E1130F-693F-42B9-96D9-0282DF722733}" filter="1" showAutoFilter="1">
      <pageMargins left="0.7" right="0.7" top="0.75" bottom="0.75" header="0.3" footer="0.3"/>
      <autoFilter ref="A1:P2656" xr:uid="{778CC632-168B-433F-8A1C-DAE8D06D51EA}">
        <filterColumn colId="5">
          <filters>
            <filter val="2414"/>
            <filter val="yes"/>
          </filters>
        </filterColumn>
        <filterColumn colId="9">
          <filters blank="1">
            <filter val="974"/>
          </filters>
        </filterColumn>
        <filterColumn colId="10">
          <filters blank="1">
            <filter val="21"/>
          </filters>
        </filterColumn>
        <filterColumn colId="11">
          <filters blank="1">
            <filter val="327"/>
          </filters>
        </filterColumn>
        <filterColumn colId="12">
          <filters blank="1">
            <filter val="38"/>
          </filters>
        </filterColumn>
        <filterColumn colId="13">
          <filters blank="1">
            <filter val="862"/>
          </filters>
        </filterColumn>
        <filterColumn colId="14">
          <filters blank="1">
            <filter val="191"/>
          </filters>
        </filterColumn>
        <filterColumn colId="15">
          <filters blank="1"/>
        </filterColumn>
      </autoFilter>
    </customSheetView>
  </customSheetViews>
  <hyperlinks>
    <hyperlink ref="I522" r:id="rId1" xr:uid="{00000000-0004-0000-1000-000000000000}"/>
    <hyperlink ref="E1045" r:id="rId2" xr:uid="{00000000-0004-0000-1000-000001000000}"/>
    <hyperlink ref="E1075" r:id="rId3" xr:uid="{00000000-0004-0000-1000-000002000000}"/>
    <hyperlink ref="E1077" r:id="rId4" xr:uid="{00000000-0004-0000-1000-000003000000}"/>
    <hyperlink ref="E1110" r:id="rId5" xr:uid="{00000000-0004-0000-1000-000004000000}"/>
    <hyperlink ref="E1117" r:id="rId6" xr:uid="{00000000-0004-0000-1000-000005000000}"/>
    <hyperlink ref="E1132" r:id="rId7" xr:uid="{00000000-0004-0000-1000-000006000000}"/>
    <hyperlink ref="E1152" r:id="rId8" xr:uid="{00000000-0004-0000-1000-000007000000}"/>
    <hyperlink ref="E1205" r:id="rId9" xr:uid="{00000000-0004-0000-1000-000008000000}"/>
    <hyperlink ref="E1231" r:id="rId10" xr:uid="{00000000-0004-0000-1000-000009000000}"/>
    <hyperlink ref="E1258" r:id="rId11" xr:uid="{00000000-0004-0000-1000-00000A000000}"/>
    <hyperlink ref="E1270" r:id="rId12" xr:uid="{00000000-0004-0000-1000-00000B000000}"/>
    <hyperlink ref="E1295" r:id="rId13" xr:uid="{00000000-0004-0000-1000-00000C000000}"/>
    <hyperlink ref="E1296" r:id="rId14" xr:uid="{00000000-0004-0000-1000-00000D000000}"/>
    <hyperlink ref="E1316" r:id="rId15" xr:uid="{00000000-0004-0000-1000-00000E000000}"/>
    <hyperlink ref="E1317" r:id="rId16" xr:uid="{00000000-0004-0000-1000-00000F000000}"/>
    <hyperlink ref="E1318" r:id="rId17" xr:uid="{00000000-0004-0000-1000-000010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ummaryRight="0"/>
  </sheetPr>
  <dimension ref="A1:J1001"/>
  <sheetViews>
    <sheetView workbookViewId="0">
      <pane ySplit="2" topLeftCell="A3" activePane="bottomLeft" state="frozen"/>
      <selection pane="bottomLeft" sqref="A1:B1"/>
    </sheetView>
  </sheetViews>
  <sheetFormatPr defaultColWidth="14.42578125" defaultRowHeight="15.75" customHeight="1"/>
  <cols>
    <col min="2" max="2" width="7.140625" customWidth="1"/>
    <col min="5" max="5" width="9.28515625" customWidth="1"/>
    <col min="6" max="6" width="11" customWidth="1"/>
    <col min="7" max="7" width="19.5703125" customWidth="1"/>
    <col min="8" max="8" width="24" customWidth="1"/>
    <col min="9" max="9" width="18.28515625" customWidth="1"/>
  </cols>
  <sheetData>
    <row r="1" spans="1:10">
      <c r="A1" s="433" t="s">
        <v>8358</v>
      </c>
      <c r="B1" s="425"/>
      <c r="C1" s="359">
        <f>COUNTA(C3:C1001)</f>
        <v>118</v>
      </c>
      <c r="D1" s="30" t="s">
        <v>8359</v>
      </c>
      <c r="E1" s="360">
        <f>(COUNTA(F3:F1001)+COUNTA(H3:H1001))/C1</f>
        <v>1</v>
      </c>
      <c r="F1" s="30" t="s">
        <v>8360</v>
      </c>
      <c r="G1" s="360">
        <f>COUNTA(H3:H1001)/C1</f>
        <v>5.0847457627118647E-2</v>
      </c>
      <c r="I1" s="295" t="s">
        <v>3988</v>
      </c>
      <c r="J1" s="274" t="s">
        <v>3989</v>
      </c>
    </row>
    <row r="2" spans="1:10">
      <c r="A2" s="276" t="s">
        <v>247</v>
      </c>
      <c r="B2" s="276" t="s">
        <v>4581</v>
      </c>
      <c r="C2" s="276" t="s">
        <v>4583</v>
      </c>
      <c r="D2" s="276" t="s">
        <v>4582</v>
      </c>
      <c r="E2" s="361" t="s">
        <v>251</v>
      </c>
      <c r="F2" s="28" t="s">
        <v>3994</v>
      </c>
      <c r="G2" s="28" t="s">
        <v>3995</v>
      </c>
      <c r="H2" s="28" t="s">
        <v>4584</v>
      </c>
      <c r="I2" s="295" t="s">
        <v>3998</v>
      </c>
      <c r="J2" s="274" t="s">
        <v>8361</v>
      </c>
    </row>
    <row r="3" spans="1:10" ht="15.75" customHeight="1">
      <c r="A3" s="362" t="s">
        <v>8150</v>
      </c>
      <c r="B3" s="363">
        <v>2020</v>
      </c>
      <c r="C3" s="363">
        <v>31658382</v>
      </c>
      <c r="D3" s="362" t="s">
        <v>8151</v>
      </c>
      <c r="E3" s="364" t="str">
        <f t="shared" ref="E3:E120" si="0">"https://pubmed.ncbi.nlm.nih.gov/"&amp;C3</f>
        <v>https://pubmed.ncbi.nlm.nih.gov/31658382</v>
      </c>
      <c r="F3" s="28" t="s">
        <v>308</v>
      </c>
      <c r="G3" s="28" t="s">
        <v>8152</v>
      </c>
    </row>
    <row r="4" spans="1:10" ht="15.75" customHeight="1">
      <c r="A4" s="362" t="s">
        <v>8153</v>
      </c>
      <c r="B4" s="363">
        <v>2020</v>
      </c>
      <c r="C4" s="363">
        <v>31958288</v>
      </c>
      <c r="D4" s="362" t="s">
        <v>8154</v>
      </c>
      <c r="E4" s="364" t="str">
        <f t="shared" si="0"/>
        <v>https://pubmed.ncbi.nlm.nih.gov/31958288</v>
      </c>
      <c r="F4" s="28" t="s">
        <v>308</v>
      </c>
      <c r="G4" s="28" t="s">
        <v>29</v>
      </c>
    </row>
    <row r="5" spans="1:10" ht="15.75" customHeight="1">
      <c r="A5" s="362" t="s">
        <v>8155</v>
      </c>
      <c r="B5" s="363">
        <v>2020</v>
      </c>
      <c r="C5" s="363">
        <v>31605819</v>
      </c>
      <c r="D5" s="362" t="s">
        <v>8156</v>
      </c>
      <c r="E5" s="364" t="str">
        <f t="shared" si="0"/>
        <v>https://pubmed.ncbi.nlm.nih.gov/31605819</v>
      </c>
      <c r="F5" s="28" t="s">
        <v>308</v>
      </c>
      <c r="G5" s="28" t="s">
        <v>8152</v>
      </c>
    </row>
    <row r="6" spans="1:10" ht="15.75" customHeight="1">
      <c r="A6" s="362" t="s">
        <v>8157</v>
      </c>
      <c r="B6" s="363">
        <v>2020</v>
      </c>
      <c r="C6" s="363">
        <v>31797320</v>
      </c>
      <c r="D6" s="362" t="s">
        <v>8158</v>
      </c>
      <c r="E6" s="364" t="str">
        <f t="shared" si="0"/>
        <v>https://pubmed.ncbi.nlm.nih.gov/31797320</v>
      </c>
      <c r="F6" s="28" t="s">
        <v>308</v>
      </c>
      <c r="G6" s="28" t="s">
        <v>66</v>
      </c>
    </row>
    <row r="7" spans="1:10" ht="15.75" customHeight="1">
      <c r="A7" s="362" t="s">
        <v>8159</v>
      </c>
      <c r="B7" s="363">
        <v>2020</v>
      </c>
      <c r="C7" s="363">
        <v>32037549</v>
      </c>
      <c r="D7" s="362" t="s">
        <v>8160</v>
      </c>
      <c r="E7" s="364" t="str">
        <f t="shared" si="0"/>
        <v>https://pubmed.ncbi.nlm.nih.gov/32037549</v>
      </c>
      <c r="F7" s="28" t="s">
        <v>308</v>
      </c>
      <c r="G7" s="28" t="s">
        <v>8161</v>
      </c>
    </row>
    <row r="8" spans="1:10" ht="15.75" customHeight="1">
      <c r="A8" s="362" t="s">
        <v>8162</v>
      </c>
      <c r="B8" s="363">
        <v>2020</v>
      </c>
      <c r="C8" s="363">
        <v>32226310</v>
      </c>
      <c r="D8" s="362" t="s">
        <v>8163</v>
      </c>
      <c r="E8" s="364" t="str">
        <f t="shared" si="0"/>
        <v>https://pubmed.ncbi.nlm.nih.gov/32226310</v>
      </c>
      <c r="F8" s="28" t="s">
        <v>308</v>
      </c>
      <c r="G8" s="28" t="s">
        <v>8164</v>
      </c>
    </row>
    <row r="9" spans="1:10" ht="15.75" customHeight="1">
      <c r="A9" s="362" t="s">
        <v>8165</v>
      </c>
      <c r="B9" s="363">
        <v>2020</v>
      </c>
      <c r="C9" s="363">
        <v>31066013</v>
      </c>
      <c r="D9" s="365"/>
      <c r="E9" s="364" t="str">
        <f t="shared" si="0"/>
        <v>https://pubmed.ncbi.nlm.nih.gov/31066013</v>
      </c>
      <c r="F9" s="28" t="s">
        <v>308</v>
      </c>
      <c r="G9" s="28" t="s">
        <v>8161</v>
      </c>
    </row>
    <row r="10" spans="1:10" ht="15.75" customHeight="1">
      <c r="A10" s="362" t="s">
        <v>8166</v>
      </c>
      <c r="B10" s="363">
        <v>2020</v>
      </c>
      <c r="C10" s="363">
        <v>31466119</v>
      </c>
      <c r="D10" s="365"/>
      <c r="E10" s="364" t="str">
        <f t="shared" si="0"/>
        <v>https://pubmed.ncbi.nlm.nih.gov/31466119</v>
      </c>
      <c r="F10" s="28" t="s">
        <v>308</v>
      </c>
      <c r="G10" s="28" t="s">
        <v>8167</v>
      </c>
    </row>
    <row r="11" spans="1:10" ht="15.75" customHeight="1">
      <c r="A11" s="362" t="s">
        <v>8168</v>
      </c>
      <c r="B11" s="363">
        <v>2020</v>
      </c>
      <c r="C11" s="363">
        <v>32916291</v>
      </c>
      <c r="D11" s="365"/>
      <c r="E11" s="364" t="str">
        <f t="shared" si="0"/>
        <v>https://pubmed.ncbi.nlm.nih.gov/32916291</v>
      </c>
      <c r="F11" s="28" t="s">
        <v>308</v>
      </c>
      <c r="G11" s="28" t="s">
        <v>8169</v>
      </c>
    </row>
    <row r="12" spans="1:10" ht="15.75" customHeight="1">
      <c r="A12" s="362" t="s">
        <v>8170</v>
      </c>
      <c r="B12" s="363">
        <v>2020</v>
      </c>
      <c r="C12" s="363">
        <v>31418143</v>
      </c>
      <c r="D12" s="362" t="s">
        <v>8171</v>
      </c>
      <c r="E12" s="364" t="str">
        <f t="shared" si="0"/>
        <v>https://pubmed.ncbi.nlm.nih.gov/31418143</v>
      </c>
      <c r="F12" s="28" t="s">
        <v>308</v>
      </c>
      <c r="G12" s="28" t="s">
        <v>8172</v>
      </c>
    </row>
    <row r="13" spans="1:10" ht="15.75" customHeight="1">
      <c r="A13" s="362" t="s">
        <v>8173</v>
      </c>
      <c r="B13" s="363">
        <v>2020</v>
      </c>
      <c r="C13" s="363">
        <v>31518715</v>
      </c>
      <c r="D13" s="365"/>
      <c r="E13" s="364" t="str">
        <f t="shared" si="0"/>
        <v>https://pubmed.ncbi.nlm.nih.gov/31518715</v>
      </c>
      <c r="F13" s="28" t="s">
        <v>308</v>
      </c>
      <c r="G13" s="28" t="s">
        <v>8161</v>
      </c>
    </row>
    <row r="14" spans="1:10" ht="15.75" customHeight="1">
      <c r="A14" s="362" t="s">
        <v>8174</v>
      </c>
      <c r="B14" s="363">
        <v>2020</v>
      </c>
      <c r="C14" s="363">
        <v>31558670</v>
      </c>
      <c r="D14" s="362" t="s">
        <v>8175</v>
      </c>
      <c r="E14" s="364" t="str">
        <f t="shared" si="0"/>
        <v>https://pubmed.ncbi.nlm.nih.gov/31558670</v>
      </c>
      <c r="F14" s="28" t="s">
        <v>308</v>
      </c>
      <c r="G14" s="28" t="s">
        <v>8176</v>
      </c>
    </row>
    <row r="15" spans="1:10" ht="15.75" customHeight="1">
      <c r="A15" s="362" t="s">
        <v>8177</v>
      </c>
      <c r="B15" s="363">
        <v>2020</v>
      </c>
      <c r="C15" s="363">
        <v>32027072</v>
      </c>
      <c r="D15" s="362" t="s">
        <v>8178</v>
      </c>
      <c r="E15" s="364" t="str">
        <f t="shared" si="0"/>
        <v>https://pubmed.ncbi.nlm.nih.gov/32027072</v>
      </c>
      <c r="F15" s="28" t="s">
        <v>308</v>
      </c>
      <c r="G15" s="28" t="s">
        <v>8179</v>
      </c>
    </row>
    <row r="16" spans="1:10" ht="15.75" customHeight="1">
      <c r="A16" s="362" t="s">
        <v>8180</v>
      </c>
      <c r="B16" s="363">
        <v>2020</v>
      </c>
      <c r="C16" s="363">
        <v>32145647</v>
      </c>
      <c r="D16" s="362" t="s">
        <v>8181</v>
      </c>
      <c r="E16" s="364" t="str">
        <f t="shared" si="0"/>
        <v>https://pubmed.ncbi.nlm.nih.gov/32145647</v>
      </c>
      <c r="F16" s="28" t="s">
        <v>308</v>
      </c>
      <c r="G16" s="28" t="s">
        <v>8164</v>
      </c>
    </row>
    <row r="17" spans="1:7" ht="15.75" customHeight="1">
      <c r="A17" s="362" t="s">
        <v>7003</v>
      </c>
      <c r="B17" s="363">
        <v>2020</v>
      </c>
      <c r="C17" s="363">
        <v>32532839</v>
      </c>
      <c r="D17" s="362" t="s">
        <v>8182</v>
      </c>
      <c r="E17" s="364" t="str">
        <f t="shared" si="0"/>
        <v>https://pubmed.ncbi.nlm.nih.gov/32532839</v>
      </c>
      <c r="F17" s="28" t="s">
        <v>308</v>
      </c>
      <c r="G17" s="28" t="s">
        <v>29</v>
      </c>
    </row>
    <row r="18" spans="1:7" ht="15.75" customHeight="1">
      <c r="A18" s="362" t="s">
        <v>8183</v>
      </c>
      <c r="B18" s="363">
        <v>2020</v>
      </c>
      <c r="C18" s="363">
        <v>31675442</v>
      </c>
      <c r="D18" s="365"/>
      <c r="E18" s="364" t="str">
        <f t="shared" si="0"/>
        <v>https://pubmed.ncbi.nlm.nih.gov/31675442</v>
      </c>
      <c r="F18" s="28" t="s">
        <v>308</v>
      </c>
      <c r="G18" s="28" t="s">
        <v>29</v>
      </c>
    </row>
    <row r="19" spans="1:7" ht="15.75" customHeight="1">
      <c r="A19" s="362" t="s">
        <v>8184</v>
      </c>
      <c r="B19" s="363">
        <v>2020</v>
      </c>
      <c r="C19" s="363">
        <v>32003224</v>
      </c>
      <c r="D19" s="362" t="s">
        <v>8185</v>
      </c>
      <c r="E19" s="364" t="str">
        <f t="shared" si="0"/>
        <v>https://pubmed.ncbi.nlm.nih.gov/32003224</v>
      </c>
      <c r="F19" s="28" t="s">
        <v>308</v>
      </c>
      <c r="G19" s="28" t="s">
        <v>8152</v>
      </c>
    </row>
    <row r="20" spans="1:7" ht="15.75" customHeight="1">
      <c r="A20" s="362" t="s">
        <v>8186</v>
      </c>
      <c r="B20" s="363">
        <v>2020</v>
      </c>
      <c r="C20" s="363">
        <v>32133525</v>
      </c>
      <c r="D20" s="362" t="s">
        <v>8187</v>
      </c>
      <c r="E20" s="364" t="str">
        <f t="shared" si="0"/>
        <v>https://pubmed.ncbi.nlm.nih.gov/32133525</v>
      </c>
      <c r="F20" s="28" t="s">
        <v>308</v>
      </c>
      <c r="G20" s="28" t="s">
        <v>8172</v>
      </c>
    </row>
    <row r="21" spans="1:7" ht="15.75" customHeight="1">
      <c r="A21" s="362" t="s">
        <v>8188</v>
      </c>
      <c r="B21" s="363">
        <v>2020</v>
      </c>
      <c r="C21" s="363">
        <v>31645371</v>
      </c>
      <c r="D21" s="362" t="s">
        <v>8189</v>
      </c>
      <c r="E21" s="364" t="str">
        <f t="shared" si="0"/>
        <v>https://pubmed.ncbi.nlm.nih.gov/31645371</v>
      </c>
      <c r="F21" s="28" t="s">
        <v>308</v>
      </c>
      <c r="G21" s="28" t="s">
        <v>8152</v>
      </c>
    </row>
    <row r="22" spans="1:7" ht="15.75" customHeight="1">
      <c r="A22" s="362" t="s">
        <v>8190</v>
      </c>
      <c r="B22" s="363">
        <v>2020</v>
      </c>
      <c r="C22" s="363">
        <v>32074665</v>
      </c>
      <c r="D22" s="362" t="s">
        <v>8191</v>
      </c>
      <c r="E22" s="364" t="str">
        <f t="shared" si="0"/>
        <v>https://pubmed.ncbi.nlm.nih.gov/32074665</v>
      </c>
      <c r="F22" s="28" t="s">
        <v>308</v>
      </c>
      <c r="G22" s="28" t="s">
        <v>8167</v>
      </c>
    </row>
    <row r="23" spans="1:7" ht="15.75" customHeight="1">
      <c r="A23" s="362" t="s">
        <v>8192</v>
      </c>
      <c r="B23" s="363">
        <v>2020</v>
      </c>
      <c r="C23" s="363">
        <v>32654884</v>
      </c>
      <c r="D23" s="362" t="s">
        <v>8193</v>
      </c>
      <c r="E23" s="364" t="str">
        <f t="shared" si="0"/>
        <v>https://pubmed.ncbi.nlm.nih.gov/32654884</v>
      </c>
      <c r="F23" s="28" t="s">
        <v>308</v>
      </c>
      <c r="G23" s="28" t="s">
        <v>8161</v>
      </c>
    </row>
    <row r="24" spans="1:7" ht="15.75" customHeight="1">
      <c r="A24" s="362" t="s">
        <v>8194</v>
      </c>
      <c r="B24" s="363">
        <v>2020</v>
      </c>
      <c r="C24" s="363">
        <v>32690640</v>
      </c>
      <c r="D24" s="362" t="s">
        <v>8195</v>
      </c>
      <c r="E24" s="364" t="str">
        <f t="shared" si="0"/>
        <v>https://pubmed.ncbi.nlm.nih.gov/32690640</v>
      </c>
      <c r="F24" s="28" t="s">
        <v>308</v>
      </c>
      <c r="G24" s="28" t="s">
        <v>8161</v>
      </c>
    </row>
    <row r="25" spans="1:7" ht="15.75" customHeight="1">
      <c r="A25" s="362" t="s">
        <v>8196</v>
      </c>
      <c r="B25" s="363">
        <v>2020</v>
      </c>
      <c r="C25" s="363">
        <v>32515543</v>
      </c>
      <c r="D25" s="362" t="s">
        <v>8197</v>
      </c>
      <c r="E25" s="364" t="str">
        <f t="shared" si="0"/>
        <v>https://pubmed.ncbi.nlm.nih.gov/32515543</v>
      </c>
      <c r="F25" s="28" t="s">
        <v>308</v>
      </c>
      <c r="G25" s="28" t="s">
        <v>8164</v>
      </c>
    </row>
    <row r="26" spans="1:7" ht="15.75" customHeight="1">
      <c r="A26" s="362" t="s">
        <v>8198</v>
      </c>
      <c r="B26" s="363">
        <v>2020</v>
      </c>
      <c r="C26" s="363">
        <v>32717759</v>
      </c>
      <c r="D26" s="362" t="s">
        <v>8199</v>
      </c>
      <c r="E26" s="364" t="str">
        <f t="shared" si="0"/>
        <v>https://pubmed.ncbi.nlm.nih.gov/32717759</v>
      </c>
      <c r="F26" s="28" t="s">
        <v>308</v>
      </c>
      <c r="G26" s="28" t="s">
        <v>29</v>
      </c>
    </row>
    <row r="27" spans="1:7" ht="15.75" customHeight="1">
      <c r="A27" s="362" t="s">
        <v>8200</v>
      </c>
      <c r="B27" s="363">
        <v>2020</v>
      </c>
      <c r="C27" s="363">
        <v>33028293</v>
      </c>
      <c r="D27" s="362" t="s">
        <v>8201</v>
      </c>
      <c r="E27" s="364" t="str">
        <f t="shared" si="0"/>
        <v>https://pubmed.ncbi.nlm.nih.gov/33028293</v>
      </c>
      <c r="F27" s="28" t="s">
        <v>308</v>
      </c>
      <c r="G27" s="28" t="s">
        <v>8161</v>
      </c>
    </row>
    <row r="28" spans="1:7" ht="15.75" customHeight="1">
      <c r="A28" s="362" t="s">
        <v>8202</v>
      </c>
      <c r="B28" s="363">
        <v>2020</v>
      </c>
      <c r="C28" s="363">
        <v>32588983</v>
      </c>
      <c r="D28" s="365"/>
      <c r="E28" s="364" t="str">
        <f t="shared" si="0"/>
        <v>https://pubmed.ncbi.nlm.nih.gov/32588983</v>
      </c>
      <c r="F28" s="28" t="s">
        <v>308</v>
      </c>
      <c r="G28" s="28" t="s">
        <v>8362</v>
      </c>
    </row>
    <row r="29" spans="1:7" ht="15.75" customHeight="1">
      <c r="A29" s="362" t="s">
        <v>8204</v>
      </c>
      <c r="B29" s="363">
        <v>2020</v>
      </c>
      <c r="C29" s="363">
        <v>32640196</v>
      </c>
      <c r="D29" s="365"/>
      <c r="E29" s="364" t="str">
        <f t="shared" si="0"/>
        <v>https://pubmed.ncbi.nlm.nih.gov/32640196</v>
      </c>
      <c r="F29" s="28" t="s">
        <v>308</v>
      </c>
      <c r="G29" s="28" t="s">
        <v>8161</v>
      </c>
    </row>
    <row r="30" spans="1:7" ht="15.75" customHeight="1">
      <c r="A30" s="362" t="s">
        <v>8205</v>
      </c>
      <c r="B30" s="363">
        <v>2020</v>
      </c>
      <c r="C30" s="363">
        <v>33036834</v>
      </c>
      <c r="D30" s="365"/>
      <c r="E30" s="364" t="str">
        <f t="shared" si="0"/>
        <v>https://pubmed.ncbi.nlm.nih.gov/33036834</v>
      </c>
      <c r="F30" s="28" t="s">
        <v>308</v>
      </c>
      <c r="G30" s="28" t="s">
        <v>8206</v>
      </c>
    </row>
    <row r="31" spans="1:7" ht="15.75" customHeight="1">
      <c r="A31" s="362" t="s">
        <v>8207</v>
      </c>
      <c r="B31" s="363">
        <v>2020</v>
      </c>
      <c r="C31" s="363">
        <v>33144335</v>
      </c>
      <c r="D31" s="362" t="s">
        <v>8208</v>
      </c>
      <c r="E31" s="364" t="str">
        <f t="shared" si="0"/>
        <v>https://pubmed.ncbi.nlm.nih.gov/33144335</v>
      </c>
      <c r="F31" s="28" t="s">
        <v>308</v>
      </c>
      <c r="G31" s="28" t="s">
        <v>29</v>
      </c>
    </row>
    <row r="32" spans="1:7" ht="15.75" customHeight="1">
      <c r="A32" s="362" t="s">
        <v>8209</v>
      </c>
      <c r="B32" s="363">
        <v>2020</v>
      </c>
      <c r="C32" s="363">
        <v>33176845</v>
      </c>
      <c r="D32" s="362" t="s">
        <v>8210</v>
      </c>
      <c r="E32" s="364" t="str">
        <f t="shared" si="0"/>
        <v>https://pubmed.ncbi.nlm.nih.gov/33176845</v>
      </c>
      <c r="F32" s="28" t="s">
        <v>308</v>
      </c>
      <c r="G32" s="28" t="s">
        <v>8161</v>
      </c>
    </row>
    <row r="33" spans="1:9" ht="15.75" customHeight="1">
      <c r="A33" s="362" t="s">
        <v>8211</v>
      </c>
      <c r="B33" s="363">
        <v>2020</v>
      </c>
      <c r="C33" s="363">
        <v>33196311</v>
      </c>
      <c r="D33" s="365"/>
      <c r="E33" s="364" t="str">
        <f t="shared" si="0"/>
        <v>https://pubmed.ncbi.nlm.nih.gov/33196311</v>
      </c>
      <c r="F33" s="28" t="s">
        <v>308</v>
      </c>
      <c r="G33" s="28" t="s">
        <v>29</v>
      </c>
    </row>
    <row r="34" spans="1:9" ht="15.75" customHeight="1">
      <c r="A34" s="362" t="s">
        <v>8212</v>
      </c>
      <c r="B34" s="363">
        <v>2020</v>
      </c>
      <c r="C34" s="363">
        <v>32944979</v>
      </c>
      <c r="D34" s="362" t="s">
        <v>8213</v>
      </c>
      <c r="E34" s="364" t="str">
        <f t="shared" si="0"/>
        <v>https://pubmed.ncbi.nlm.nih.gov/32944979</v>
      </c>
      <c r="F34" s="28" t="s">
        <v>308</v>
      </c>
      <c r="G34" s="28" t="s">
        <v>8214</v>
      </c>
    </row>
    <row r="35" spans="1:9" ht="15.75" customHeight="1">
      <c r="A35" s="362" t="s">
        <v>8215</v>
      </c>
      <c r="B35" s="363">
        <v>2020</v>
      </c>
      <c r="C35" s="363">
        <v>32707605</v>
      </c>
      <c r="D35" s="365"/>
      <c r="E35" s="364" t="str">
        <f t="shared" si="0"/>
        <v>https://pubmed.ncbi.nlm.nih.gov/32707605</v>
      </c>
      <c r="F35" s="28" t="s">
        <v>308</v>
      </c>
      <c r="G35" s="28" t="s">
        <v>8161</v>
      </c>
    </row>
    <row r="36" spans="1:9" ht="15.75" customHeight="1">
      <c r="A36" s="362" t="s">
        <v>8216</v>
      </c>
      <c r="B36" s="363">
        <v>2020</v>
      </c>
      <c r="C36" s="363">
        <v>32726839</v>
      </c>
      <c r="D36" s="365"/>
      <c r="E36" s="364" t="str">
        <f t="shared" si="0"/>
        <v>https://pubmed.ncbi.nlm.nih.gov/32726839</v>
      </c>
      <c r="F36" s="28" t="s">
        <v>308</v>
      </c>
      <c r="G36" s="28" t="s">
        <v>29</v>
      </c>
    </row>
    <row r="37" spans="1:9" ht="15.75" customHeight="1">
      <c r="A37" s="362" t="s">
        <v>8217</v>
      </c>
      <c r="B37" s="363">
        <v>2020</v>
      </c>
      <c r="C37" s="363">
        <v>32842819</v>
      </c>
      <c r="D37" s="365"/>
      <c r="E37" s="364" t="str">
        <f t="shared" si="0"/>
        <v>https://pubmed.ncbi.nlm.nih.gov/32842819</v>
      </c>
      <c r="F37" s="28" t="s">
        <v>308</v>
      </c>
      <c r="G37" s="28" t="s">
        <v>29</v>
      </c>
    </row>
    <row r="38" spans="1:9" ht="15.75" customHeight="1">
      <c r="A38" s="362" t="s">
        <v>8218</v>
      </c>
      <c r="B38" s="363">
        <v>2020</v>
      </c>
      <c r="C38" s="363">
        <v>32935659</v>
      </c>
      <c r="D38" s="365"/>
      <c r="E38" s="364" t="str">
        <f t="shared" si="0"/>
        <v>https://pubmed.ncbi.nlm.nih.gov/32935659</v>
      </c>
      <c r="F38" s="28" t="s">
        <v>308</v>
      </c>
      <c r="G38" s="28" t="s">
        <v>8164</v>
      </c>
    </row>
    <row r="39" spans="1:9" ht="15.75" customHeight="1">
      <c r="A39" s="362" t="s">
        <v>1130</v>
      </c>
      <c r="B39" s="363">
        <v>2020</v>
      </c>
      <c r="C39" s="363">
        <v>32239164</v>
      </c>
      <c r="D39" s="362" t="s">
        <v>8219</v>
      </c>
      <c r="E39" s="364" t="str">
        <f t="shared" si="0"/>
        <v>https://pubmed.ncbi.nlm.nih.gov/32239164</v>
      </c>
      <c r="H39" s="28" t="s">
        <v>308</v>
      </c>
    </row>
    <row r="40" spans="1:9" ht="15.75" customHeight="1">
      <c r="A40" s="362" t="s">
        <v>8139</v>
      </c>
      <c r="B40" s="363">
        <v>2020</v>
      </c>
      <c r="C40" s="363">
        <v>33424871</v>
      </c>
      <c r="D40" s="362" t="s">
        <v>8220</v>
      </c>
      <c r="E40" s="364" t="str">
        <f t="shared" si="0"/>
        <v>https://pubmed.ncbi.nlm.nih.gov/33424871</v>
      </c>
      <c r="F40" s="28" t="s">
        <v>308</v>
      </c>
      <c r="G40" s="28" t="s">
        <v>29</v>
      </c>
    </row>
    <row r="41" spans="1:9" ht="15.75" customHeight="1">
      <c r="A41" s="362" t="s">
        <v>8221</v>
      </c>
      <c r="B41" s="363">
        <v>2020</v>
      </c>
      <c r="C41" s="363">
        <v>33376181</v>
      </c>
      <c r="D41" s="362" t="s">
        <v>8222</v>
      </c>
      <c r="E41" s="364" t="str">
        <f t="shared" si="0"/>
        <v>https://pubmed.ncbi.nlm.nih.gov/33376181</v>
      </c>
      <c r="F41" s="28" t="s">
        <v>308</v>
      </c>
      <c r="G41" s="28" t="s">
        <v>8223</v>
      </c>
    </row>
    <row r="42" spans="1:9" ht="15.75" customHeight="1">
      <c r="A42" s="362" t="s">
        <v>8224</v>
      </c>
      <c r="B42" s="363">
        <v>2021</v>
      </c>
      <c r="C42" s="363">
        <v>32170515</v>
      </c>
      <c r="D42" s="365"/>
      <c r="E42" s="364" t="str">
        <f t="shared" si="0"/>
        <v>https://pubmed.ncbi.nlm.nih.gov/32170515</v>
      </c>
      <c r="F42" s="28" t="s">
        <v>308</v>
      </c>
      <c r="G42" s="28" t="s">
        <v>29</v>
      </c>
    </row>
    <row r="43" spans="1:9" ht="15.75" customHeight="1">
      <c r="A43" s="362" t="s">
        <v>8225</v>
      </c>
      <c r="B43" s="363">
        <v>2021</v>
      </c>
      <c r="C43" s="363">
        <v>32243207</v>
      </c>
      <c r="D43" s="365"/>
      <c r="E43" s="364" t="str">
        <f t="shared" si="0"/>
        <v>https://pubmed.ncbi.nlm.nih.gov/32243207</v>
      </c>
      <c r="F43" s="28" t="s">
        <v>308</v>
      </c>
      <c r="G43" s="28" t="s">
        <v>8161</v>
      </c>
    </row>
    <row r="44" spans="1:9" ht="15.75" customHeight="1">
      <c r="A44" s="362" t="s">
        <v>8226</v>
      </c>
      <c r="B44" s="363">
        <v>2021</v>
      </c>
      <c r="C44" s="363">
        <v>33111988</v>
      </c>
      <c r="D44" s="365"/>
      <c r="E44" s="364" t="str">
        <f t="shared" si="0"/>
        <v>https://pubmed.ncbi.nlm.nih.gov/33111988</v>
      </c>
      <c r="F44" s="28" t="s">
        <v>308</v>
      </c>
      <c r="G44" s="28" t="s">
        <v>8161</v>
      </c>
    </row>
    <row r="45" spans="1:9" ht="15.75" customHeight="1">
      <c r="A45" s="362" t="s">
        <v>8227</v>
      </c>
      <c r="B45" s="363">
        <v>2021</v>
      </c>
      <c r="C45" s="363">
        <v>33131035</v>
      </c>
      <c r="D45" s="365"/>
      <c r="E45" s="364" t="str">
        <f t="shared" si="0"/>
        <v>https://pubmed.ncbi.nlm.nih.gov/33131035</v>
      </c>
      <c r="F45" s="28" t="s">
        <v>308</v>
      </c>
      <c r="G45" s="28" t="s">
        <v>8164</v>
      </c>
    </row>
    <row r="46" spans="1:9" ht="18">
      <c r="A46" s="362" t="s">
        <v>8228</v>
      </c>
      <c r="B46" s="363">
        <v>2021</v>
      </c>
      <c r="C46" s="363">
        <v>34099106</v>
      </c>
      <c r="D46" s="365"/>
      <c r="E46" s="364" t="str">
        <f t="shared" si="0"/>
        <v>https://pubmed.ncbi.nlm.nih.gov/34099106</v>
      </c>
      <c r="F46" s="28" t="s">
        <v>308</v>
      </c>
      <c r="G46" s="28" t="s">
        <v>29</v>
      </c>
    </row>
    <row r="47" spans="1:9" ht="18">
      <c r="A47" s="362" t="s">
        <v>4421</v>
      </c>
      <c r="B47" s="363">
        <v>2021</v>
      </c>
      <c r="C47" s="363">
        <v>32621741</v>
      </c>
      <c r="D47" s="362" t="s">
        <v>8229</v>
      </c>
      <c r="E47" s="364" t="str">
        <f t="shared" si="0"/>
        <v>https://pubmed.ncbi.nlm.nih.gov/32621741</v>
      </c>
      <c r="H47" s="28" t="s">
        <v>1770</v>
      </c>
      <c r="I47" s="28" t="s">
        <v>8363</v>
      </c>
    </row>
    <row r="48" spans="1:9" ht="18">
      <c r="A48" s="362" t="s">
        <v>8230</v>
      </c>
      <c r="B48" s="363">
        <v>2021</v>
      </c>
      <c r="C48" s="363">
        <v>33407756</v>
      </c>
      <c r="D48" s="362" t="s">
        <v>8231</v>
      </c>
      <c r="E48" s="364" t="str">
        <f t="shared" si="0"/>
        <v>https://pubmed.ncbi.nlm.nih.gov/33407756</v>
      </c>
      <c r="F48" s="28" t="s">
        <v>308</v>
      </c>
      <c r="G48" s="28" t="s">
        <v>8164</v>
      </c>
    </row>
    <row r="49" spans="1:8" ht="18">
      <c r="A49" s="362" t="s">
        <v>8232</v>
      </c>
      <c r="B49" s="363">
        <v>2021</v>
      </c>
      <c r="C49" s="363">
        <v>33422025</v>
      </c>
      <c r="D49" s="362" t="s">
        <v>8233</v>
      </c>
      <c r="E49" s="364" t="str">
        <f t="shared" si="0"/>
        <v>https://pubmed.ncbi.nlm.nih.gov/33422025</v>
      </c>
      <c r="F49" s="28" t="s">
        <v>308</v>
      </c>
      <c r="G49" s="28" t="s">
        <v>8176</v>
      </c>
    </row>
    <row r="50" spans="1:8" ht="18">
      <c r="A50" s="362" t="s">
        <v>8234</v>
      </c>
      <c r="B50" s="363">
        <v>2021</v>
      </c>
      <c r="C50" s="363">
        <v>32088302</v>
      </c>
      <c r="D50" s="365"/>
      <c r="E50" s="364" t="str">
        <f t="shared" si="0"/>
        <v>https://pubmed.ncbi.nlm.nih.gov/32088302</v>
      </c>
      <c r="F50" s="28" t="s">
        <v>308</v>
      </c>
      <c r="G50" s="28" t="s">
        <v>8161</v>
      </c>
    </row>
    <row r="51" spans="1:8" ht="18">
      <c r="A51" s="362" t="s">
        <v>8235</v>
      </c>
      <c r="B51" s="363">
        <v>2021</v>
      </c>
      <c r="C51" s="363">
        <v>32691466</v>
      </c>
      <c r="D51" s="365"/>
      <c r="E51" s="364" t="str">
        <f t="shared" si="0"/>
        <v>https://pubmed.ncbi.nlm.nih.gov/32691466</v>
      </c>
      <c r="F51" s="28" t="s">
        <v>308</v>
      </c>
      <c r="G51" s="28" t="s">
        <v>29</v>
      </c>
    </row>
    <row r="52" spans="1:8" ht="18">
      <c r="A52" s="362" t="s">
        <v>8236</v>
      </c>
      <c r="B52" s="363">
        <v>2021</v>
      </c>
      <c r="C52" s="363">
        <v>33588453</v>
      </c>
      <c r="D52" s="365"/>
      <c r="E52" s="364" t="str">
        <f t="shared" si="0"/>
        <v>https://pubmed.ncbi.nlm.nih.gov/33588453</v>
      </c>
      <c r="F52" s="28" t="s">
        <v>308</v>
      </c>
      <c r="G52" s="28" t="s">
        <v>29</v>
      </c>
    </row>
    <row r="53" spans="1:8" ht="18">
      <c r="A53" s="362" t="s">
        <v>8237</v>
      </c>
      <c r="B53" s="363">
        <v>2021</v>
      </c>
      <c r="C53" s="363">
        <v>33083813</v>
      </c>
      <c r="D53" s="365"/>
      <c r="E53" s="364" t="str">
        <f t="shared" si="0"/>
        <v>https://pubmed.ncbi.nlm.nih.gov/33083813</v>
      </c>
      <c r="F53" s="28" t="s">
        <v>308</v>
      </c>
      <c r="G53" s="28" t="s">
        <v>8167</v>
      </c>
    </row>
    <row r="54" spans="1:8" ht="18">
      <c r="A54" s="362" t="s">
        <v>8238</v>
      </c>
      <c r="B54" s="363">
        <v>2021</v>
      </c>
      <c r="C54" s="363">
        <v>32976576</v>
      </c>
      <c r="D54" s="362" t="s">
        <v>8239</v>
      </c>
      <c r="E54" s="364" t="str">
        <f t="shared" si="0"/>
        <v>https://pubmed.ncbi.nlm.nih.gov/32976576</v>
      </c>
      <c r="F54" s="28" t="s">
        <v>308</v>
      </c>
      <c r="G54" s="28" t="s">
        <v>8167</v>
      </c>
    </row>
    <row r="55" spans="1:8" ht="18">
      <c r="A55" s="362" t="s">
        <v>8240</v>
      </c>
      <c r="B55" s="363">
        <v>2021</v>
      </c>
      <c r="C55" s="363">
        <v>32052014</v>
      </c>
      <c r="D55" s="362" t="s">
        <v>8241</v>
      </c>
      <c r="E55" s="364" t="str">
        <f t="shared" si="0"/>
        <v>https://pubmed.ncbi.nlm.nih.gov/32052014</v>
      </c>
      <c r="F55" s="28" t="s">
        <v>308</v>
      </c>
      <c r="G55" s="28" t="s">
        <v>8364</v>
      </c>
    </row>
    <row r="56" spans="1:8" ht="18">
      <c r="A56" s="362" t="s">
        <v>8243</v>
      </c>
      <c r="B56" s="363">
        <v>2021</v>
      </c>
      <c r="C56" s="363">
        <v>33153764</v>
      </c>
      <c r="D56" s="365"/>
      <c r="E56" s="364" t="str">
        <f t="shared" si="0"/>
        <v>https://pubmed.ncbi.nlm.nih.gov/33153764</v>
      </c>
      <c r="F56" s="28" t="s">
        <v>308</v>
      </c>
      <c r="G56" s="28" t="s">
        <v>8161</v>
      </c>
    </row>
    <row r="57" spans="1:8" ht="18">
      <c r="A57" s="362" t="s">
        <v>8244</v>
      </c>
      <c r="B57" s="363">
        <v>2021</v>
      </c>
      <c r="C57" s="363">
        <v>32949140</v>
      </c>
      <c r="D57" s="365"/>
      <c r="E57" s="364" t="str">
        <f t="shared" si="0"/>
        <v>https://pubmed.ncbi.nlm.nih.gov/32949140</v>
      </c>
      <c r="F57" s="28" t="s">
        <v>308</v>
      </c>
      <c r="G57" s="28" t="s">
        <v>8167</v>
      </c>
    </row>
    <row r="58" spans="1:8" ht="18">
      <c r="A58" s="362" t="s">
        <v>8245</v>
      </c>
      <c r="B58" s="363">
        <v>2021</v>
      </c>
      <c r="C58" s="363">
        <v>33662147</v>
      </c>
      <c r="D58" s="362" t="s">
        <v>8246</v>
      </c>
      <c r="E58" s="364" t="str">
        <f t="shared" si="0"/>
        <v>https://pubmed.ncbi.nlm.nih.gov/33662147</v>
      </c>
      <c r="F58" s="28" t="s">
        <v>308</v>
      </c>
      <c r="G58" s="28" t="s">
        <v>8164</v>
      </c>
    </row>
    <row r="59" spans="1:8" ht="18">
      <c r="A59" s="362" t="s">
        <v>8247</v>
      </c>
      <c r="B59" s="363">
        <v>2021</v>
      </c>
      <c r="C59" s="363">
        <v>33792252</v>
      </c>
      <c r="D59" s="365"/>
      <c r="E59" s="364" t="str">
        <f t="shared" si="0"/>
        <v>https://pubmed.ncbi.nlm.nih.gov/33792252</v>
      </c>
      <c r="F59" s="28" t="s">
        <v>308</v>
      </c>
      <c r="G59" s="28" t="s">
        <v>29</v>
      </c>
    </row>
    <row r="60" spans="1:8" ht="18">
      <c r="A60" s="362" t="s">
        <v>8248</v>
      </c>
      <c r="B60" s="363">
        <v>2021</v>
      </c>
      <c r="C60" s="363">
        <v>33400381</v>
      </c>
      <c r="D60" s="365"/>
      <c r="E60" s="364" t="str">
        <f t="shared" si="0"/>
        <v>https://pubmed.ncbi.nlm.nih.gov/33400381</v>
      </c>
      <c r="F60" s="28" t="s">
        <v>308</v>
      </c>
      <c r="G60" s="28" t="s">
        <v>8365</v>
      </c>
    </row>
    <row r="61" spans="1:8" ht="18">
      <c r="A61" s="362" t="s">
        <v>1331</v>
      </c>
      <c r="B61" s="363">
        <v>2021</v>
      </c>
      <c r="C61" s="363">
        <v>33862589</v>
      </c>
      <c r="D61" s="362" t="s">
        <v>8250</v>
      </c>
      <c r="E61" s="364" t="str">
        <f t="shared" si="0"/>
        <v>https://pubmed.ncbi.nlm.nih.gov/33862589</v>
      </c>
      <c r="H61" s="28" t="s">
        <v>308</v>
      </c>
    </row>
    <row r="62" spans="1:8" ht="18">
      <c r="A62" s="362" t="s">
        <v>8251</v>
      </c>
      <c r="B62" s="363">
        <v>2021</v>
      </c>
      <c r="C62" s="363">
        <v>32161944</v>
      </c>
      <c r="D62" s="362" t="s">
        <v>8252</v>
      </c>
      <c r="E62" s="364" t="str">
        <f t="shared" si="0"/>
        <v>https://pubmed.ncbi.nlm.nih.gov/32161944</v>
      </c>
      <c r="F62" s="28" t="s">
        <v>308</v>
      </c>
      <c r="G62" s="28" t="s">
        <v>8161</v>
      </c>
    </row>
    <row r="63" spans="1:8" ht="18">
      <c r="A63" s="362" t="s">
        <v>8253</v>
      </c>
      <c r="B63" s="363">
        <v>2021</v>
      </c>
      <c r="C63" s="363">
        <v>33734299</v>
      </c>
      <c r="D63" s="362" t="s">
        <v>8254</v>
      </c>
      <c r="E63" s="364" t="str">
        <f t="shared" si="0"/>
        <v>https://pubmed.ncbi.nlm.nih.gov/33734299</v>
      </c>
      <c r="F63" s="28" t="s">
        <v>308</v>
      </c>
      <c r="G63" s="28" t="s">
        <v>8161</v>
      </c>
    </row>
    <row r="64" spans="1:8" ht="18">
      <c r="A64" s="362" t="s">
        <v>8255</v>
      </c>
      <c r="B64" s="363">
        <v>2021</v>
      </c>
      <c r="C64" s="363">
        <v>33910617</v>
      </c>
      <c r="D64" s="362" t="s">
        <v>8256</v>
      </c>
      <c r="E64" s="364" t="str">
        <f t="shared" si="0"/>
        <v>https://pubmed.ncbi.nlm.nih.gov/33910617</v>
      </c>
      <c r="F64" s="28" t="s">
        <v>308</v>
      </c>
      <c r="G64" s="28" t="s">
        <v>8257</v>
      </c>
    </row>
    <row r="65" spans="1:7" ht="18">
      <c r="A65" s="362" t="s">
        <v>8258</v>
      </c>
      <c r="B65" s="363">
        <v>2021</v>
      </c>
      <c r="C65" s="363">
        <v>32371165</v>
      </c>
      <c r="D65" s="365"/>
      <c r="E65" s="364" t="str">
        <f t="shared" si="0"/>
        <v>https://pubmed.ncbi.nlm.nih.gov/32371165</v>
      </c>
      <c r="F65" s="28" t="s">
        <v>308</v>
      </c>
      <c r="G65" s="28" t="s">
        <v>8164</v>
      </c>
    </row>
    <row r="66" spans="1:7" ht="18">
      <c r="A66" s="362" t="s">
        <v>8259</v>
      </c>
      <c r="B66" s="363">
        <v>2021</v>
      </c>
      <c r="C66" s="363">
        <v>33560863</v>
      </c>
      <c r="D66" s="362" t="s">
        <v>8260</v>
      </c>
      <c r="E66" s="364" t="str">
        <f t="shared" si="0"/>
        <v>https://pubmed.ncbi.nlm.nih.gov/33560863</v>
      </c>
      <c r="F66" s="28" t="s">
        <v>308</v>
      </c>
      <c r="G66" s="28" t="s">
        <v>8164</v>
      </c>
    </row>
    <row r="67" spans="1:7" ht="18">
      <c r="A67" s="362" t="s">
        <v>8261</v>
      </c>
      <c r="B67" s="363">
        <v>2021</v>
      </c>
      <c r="C67" s="363">
        <v>33587687</v>
      </c>
      <c r="D67" s="365"/>
      <c r="E67" s="364" t="str">
        <f t="shared" si="0"/>
        <v>https://pubmed.ncbi.nlm.nih.gov/33587687</v>
      </c>
      <c r="F67" s="28" t="s">
        <v>308</v>
      </c>
      <c r="G67" s="28" t="s">
        <v>8262</v>
      </c>
    </row>
    <row r="68" spans="1:7" ht="18">
      <c r="A68" s="362" t="s">
        <v>8263</v>
      </c>
      <c r="B68" s="363">
        <v>2021</v>
      </c>
      <c r="C68" s="363">
        <v>33594741</v>
      </c>
      <c r="D68" s="362" t="s">
        <v>8264</v>
      </c>
      <c r="E68" s="364" t="str">
        <f t="shared" si="0"/>
        <v>https://pubmed.ncbi.nlm.nih.gov/33594741</v>
      </c>
      <c r="F68" s="28" t="s">
        <v>308</v>
      </c>
      <c r="G68" s="28" t="s">
        <v>8366</v>
      </c>
    </row>
    <row r="69" spans="1:7" ht="18">
      <c r="A69" s="362" t="s">
        <v>8266</v>
      </c>
      <c r="B69" s="363">
        <v>2021</v>
      </c>
      <c r="C69" s="363">
        <v>33933205</v>
      </c>
      <c r="D69" s="362" t="s">
        <v>8267</v>
      </c>
      <c r="E69" s="364" t="str">
        <f t="shared" si="0"/>
        <v>https://pubmed.ncbi.nlm.nih.gov/33933205</v>
      </c>
      <c r="F69" s="28" t="s">
        <v>308</v>
      </c>
      <c r="G69" s="28" t="s">
        <v>8164</v>
      </c>
    </row>
    <row r="70" spans="1:7" ht="18">
      <c r="A70" s="362" t="s">
        <v>8268</v>
      </c>
      <c r="B70" s="363">
        <v>2021</v>
      </c>
      <c r="C70" s="363">
        <v>34008772</v>
      </c>
      <c r="D70" s="362" t="s">
        <v>8269</v>
      </c>
      <c r="E70" s="364" t="str">
        <f t="shared" si="0"/>
        <v>https://pubmed.ncbi.nlm.nih.gov/34008772</v>
      </c>
      <c r="F70" s="28" t="s">
        <v>308</v>
      </c>
      <c r="G70" s="28" t="s">
        <v>8270</v>
      </c>
    </row>
    <row r="71" spans="1:7" ht="18">
      <c r="A71" s="362" t="s">
        <v>8271</v>
      </c>
      <c r="B71" s="363">
        <v>2021</v>
      </c>
      <c r="C71" s="363">
        <v>34035401</v>
      </c>
      <c r="D71" s="362" t="s">
        <v>8272</v>
      </c>
      <c r="E71" s="364" t="str">
        <f t="shared" si="0"/>
        <v>https://pubmed.ncbi.nlm.nih.gov/34035401</v>
      </c>
      <c r="F71" s="28" t="s">
        <v>308</v>
      </c>
      <c r="G71" s="28" t="s">
        <v>8161</v>
      </c>
    </row>
    <row r="72" spans="1:7" ht="18">
      <c r="A72" s="362" t="s">
        <v>8273</v>
      </c>
      <c r="B72" s="363">
        <v>2021</v>
      </c>
      <c r="C72" s="363">
        <v>34073536</v>
      </c>
      <c r="D72" s="362" t="s">
        <v>8274</v>
      </c>
      <c r="E72" s="364" t="str">
        <f t="shared" si="0"/>
        <v>https://pubmed.ncbi.nlm.nih.gov/34073536</v>
      </c>
      <c r="F72" s="28" t="s">
        <v>308</v>
      </c>
      <c r="G72" s="28" t="s">
        <v>8367</v>
      </c>
    </row>
    <row r="73" spans="1:7" ht="18">
      <c r="A73" s="362" t="s">
        <v>8276</v>
      </c>
      <c r="B73" s="363">
        <v>2021</v>
      </c>
      <c r="C73" s="363">
        <v>32876710</v>
      </c>
      <c r="D73" s="365"/>
      <c r="E73" s="364" t="str">
        <f t="shared" si="0"/>
        <v>https://pubmed.ncbi.nlm.nih.gov/32876710</v>
      </c>
      <c r="F73" s="28" t="s">
        <v>308</v>
      </c>
      <c r="G73" s="28" t="s">
        <v>8161</v>
      </c>
    </row>
    <row r="74" spans="1:7" ht="18">
      <c r="A74" s="362" t="s">
        <v>8277</v>
      </c>
      <c r="B74" s="363">
        <v>2021</v>
      </c>
      <c r="C74" s="363">
        <v>32903168</v>
      </c>
      <c r="D74" s="365"/>
      <c r="E74" s="364" t="str">
        <f t="shared" si="0"/>
        <v>https://pubmed.ncbi.nlm.nih.gov/32903168</v>
      </c>
      <c r="F74" s="28" t="s">
        <v>308</v>
      </c>
      <c r="G74" s="28" t="s">
        <v>8161</v>
      </c>
    </row>
    <row r="75" spans="1:7" ht="18">
      <c r="A75" s="362" t="s">
        <v>8278</v>
      </c>
      <c r="B75" s="363">
        <v>2021</v>
      </c>
      <c r="C75" s="363">
        <v>34061883</v>
      </c>
      <c r="D75" s="362" t="s">
        <v>8279</v>
      </c>
      <c r="E75" s="364" t="str">
        <f t="shared" si="0"/>
        <v>https://pubmed.ncbi.nlm.nih.gov/34061883</v>
      </c>
      <c r="F75" s="28" t="s">
        <v>308</v>
      </c>
      <c r="G75" s="28" t="s">
        <v>8161</v>
      </c>
    </row>
    <row r="76" spans="1:7" ht="18">
      <c r="A76" s="362" t="s">
        <v>8280</v>
      </c>
      <c r="B76" s="363">
        <v>2021</v>
      </c>
      <c r="C76" s="363">
        <v>34311528</v>
      </c>
      <c r="D76" s="362" t="s">
        <v>8281</v>
      </c>
      <c r="E76" s="364" t="str">
        <f t="shared" si="0"/>
        <v>https://pubmed.ncbi.nlm.nih.gov/34311528</v>
      </c>
      <c r="F76" s="28" t="s">
        <v>308</v>
      </c>
      <c r="G76" s="28" t="s">
        <v>8161</v>
      </c>
    </row>
    <row r="77" spans="1:7" ht="18">
      <c r="A77" s="362" t="s">
        <v>8282</v>
      </c>
      <c r="B77" s="363">
        <v>2021</v>
      </c>
      <c r="C77" s="363">
        <v>34082801</v>
      </c>
      <c r="D77" s="362" t="s">
        <v>8283</v>
      </c>
      <c r="E77" s="364" t="str">
        <f t="shared" si="0"/>
        <v>https://pubmed.ncbi.nlm.nih.gov/34082801</v>
      </c>
      <c r="F77" s="28" t="s">
        <v>308</v>
      </c>
      <c r="G77" s="28" t="s">
        <v>8262</v>
      </c>
    </row>
    <row r="78" spans="1:7" ht="18">
      <c r="A78" s="362" t="s">
        <v>8284</v>
      </c>
      <c r="B78" s="363">
        <v>2021</v>
      </c>
      <c r="C78" s="363">
        <v>34158835</v>
      </c>
      <c r="D78" s="362" t="s">
        <v>8285</v>
      </c>
      <c r="E78" s="364" t="str">
        <f t="shared" si="0"/>
        <v>https://pubmed.ncbi.nlm.nih.gov/34158835</v>
      </c>
      <c r="F78" s="28" t="s">
        <v>308</v>
      </c>
      <c r="G78" s="28" t="s">
        <v>8286</v>
      </c>
    </row>
    <row r="79" spans="1:7" ht="18">
      <c r="A79" s="362" t="s">
        <v>8287</v>
      </c>
      <c r="B79" s="363">
        <v>2021</v>
      </c>
      <c r="C79" s="363">
        <v>34087885</v>
      </c>
      <c r="D79" s="362" t="s">
        <v>8288</v>
      </c>
      <c r="E79" s="364" t="str">
        <f t="shared" si="0"/>
        <v>https://pubmed.ncbi.nlm.nih.gov/34087885</v>
      </c>
      <c r="F79" s="28" t="s">
        <v>308</v>
      </c>
      <c r="G79" s="28" t="s">
        <v>8164</v>
      </c>
    </row>
    <row r="80" spans="1:7" ht="18">
      <c r="A80" s="362" t="s">
        <v>8289</v>
      </c>
      <c r="B80" s="363">
        <v>2021</v>
      </c>
      <c r="C80" s="363">
        <v>33882225</v>
      </c>
      <c r="D80" s="362" t="s">
        <v>8290</v>
      </c>
      <c r="E80" s="364" t="str">
        <f t="shared" si="0"/>
        <v>https://pubmed.ncbi.nlm.nih.gov/33882225</v>
      </c>
      <c r="F80" s="28" t="s">
        <v>308</v>
      </c>
      <c r="G80" s="28" t="s">
        <v>8262</v>
      </c>
    </row>
    <row r="81" spans="1:7" ht="18">
      <c r="A81" s="362" t="s">
        <v>8291</v>
      </c>
      <c r="B81" s="363">
        <v>2021</v>
      </c>
      <c r="C81" s="363">
        <v>34124773</v>
      </c>
      <c r="D81" s="362" t="s">
        <v>8292</v>
      </c>
      <c r="E81" s="364" t="str">
        <f t="shared" si="0"/>
        <v>https://pubmed.ncbi.nlm.nih.gov/34124773</v>
      </c>
      <c r="F81" s="28" t="s">
        <v>308</v>
      </c>
      <c r="G81" s="28" t="s">
        <v>8164</v>
      </c>
    </row>
    <row r="82" spans="1:7" ht="18">
      <c r="A82" s="362" t="s">
        <v>8293</v>
      </c>
      <c r="B82" s="363">
        <v>2021</v>
      </c>
      <c r="C82" s="363">
        <v>33751950</v>
      </c>
      <c r="D82" s="365"/>
      <c r="E82" s="364" t="str">
        <f t="shared" si="0"/>
        <v>https://pubmed.ncbi.nlm.nih.gov/33751950</v>
      </c>
      <c r="F82" s="28" t="s">
        <v>308</v>
      </c>
      <c r="G82" s="28" t="s">
        <v>8294</v>
      </c>
    </row>
    <row r="83" spans="1:7" ht="18">
      <c r="A83" s="362" t="s">
        <v>8295</v>
      </c>
      <c r="B83" s="363">
        <v>2021</v>
      </c>
      <c r="C83" s="363">
        <v>34235275</v>
      </c>
      <c r="D83" s="362" t="s">
        <v>8296</v>
      </c>
      <c r="E83" s="364" t="str">
        <f t="shared" si="0"/>
        <v>https://pubmed.ncbi.nlm.nih.gov/34235275</v>
      </c>
      <c r="F83" s="28" t="s">
        <v>308</v>
      </c>
      <c r="G83" s="28" t="s">
        <v>8297</v>
      </c>
    </row>
    <row r="84" spans="1:7" ht="18">
      <c r="A84" s="362" t="s">
        <v>8298</v>
      </c>
      <c r="B84" s="363">
        <v>2021</v>
      </c>
      <c r="C84" s="363">
        <v>33875433</v>
      </c>
      <c r="D84" s="362" t="s">
        <v>8299</v>
      </c>
      <c r="E84" s="364" t="str">
        <f t="shared" si="0"/>
        <v>https://pubmed.ncbi.nlm.nih.gov/33875433</v>
      </c>
      <c r="F84" s="28" t="s">
        <v>308</v>
      </c>
      <c r="G84" s="28" t="s">
        <v>8161</v>
      </c>
    </row>
    <row r="85" spans="1:7" ht="18">
      <c r="A85" s="362" t="s">
        <v>8300</v>
      </c>
      <c r="B85" s="363">
        <v>2021</v>
      </c>
      <c r="C85" s="363">
        <v>34138849</v>
      </c>
      <c r="D85" s="362" t="s">
        <v>8301</v>
      </c>
      <c r="E85" s="364" t="str">
        <f t="shared" si="0"/>
        <v>https://pubmed.ncbi.nlm.nih.gov/34138849</v>
      </c>
      <c r="F85" s="28" t="s">
        <v>308</v>
      </c>
      <c r="G85" s="28" t="s">
        <v>87</v>
      </c>
    </row>
    <row r="86" spans="1:7" ht="18">
      <c r="A86" s="362" t="s">
        <v>8302</v>
      </c>
      <c r="B86" s="363">
        <v>2021</v>
      </c>
      <c r="C86" s="363">
        <v>34128898</v>
      </c>
      <c r="D86" s="362" t="s">
        <v>8303</v>
      </c>
      <c r="E86" s="364" t="str">
        <f t="shared" si="0"/>
        <v>https://pubmed.ncbi.nlm.nih.gov/34128898</v>
      </c>
      <c r="F86" s="28" t="s">
        <v>308</v>
      </c>
      <c r="G86" s="28" t="s">
        <v>29</v>
      </c>
    </row>
    <row r="87" spans="1:7" ht="18">
      <c r="A87" s="362" t="s">
        <v>8304</v>
      </c>
      <c r="B87" s="363">
        <v>2021</v>
      </c>
      <c r="C87" s="363">
        <v>34059561</v>
      </c>
      <c r="D87" s="362" t="s">
        <v>8305</v>
      </c>
      <c r="E87" s="364" t="str">
        <f t="shared" si="0"/>
        <v>https://pubmed.ncbi.nlm.nih.gov/34059561</v>
      </c>
      <c r="F87" s="28" t="s">
        <v>308</v>
      </c>
      <c r="G87" s="28" t="s">
        <v>29</v>
      </c>
    </row>
    <row r="88" spans="1:7" ht="18">
      <c r="A88" s="362" t="s">
        <v>8306</v>
      </c>
      <c r="B88" s="363">
        <v>2021</v>
      </c>
      <c r="C88" s="363">
        <v>33722585</v>
      </c>
      <c r="D88" s="365"/>
      <c r="E88" s="364" t="str">
        <f t="shared" si="0"/>
        <v>https://pubmed.ncbi.nlm.nih.gov/33722585</v>
      </c>
      <c r="F88" s="28" t="s">
        <v>308</v>
      </c>
      <c r="G88" s="28" t="s">
        <v>8262</v>
      </c>
    </row>
    <row r="89" spans="1:7" ht="18">
      <c r="A89" s="362" t="s">
        <v>8307</v>
      </c>
      <c r="B89" s="363">
        <v>2021</v>
      </c>
      <c r="C89" s="363">
        <v>34031556</v>
      </c>
      <c r="D89" s="362" t="s">
        <v>8308</v>
      </c>
      <c r="E89" s="364" t="str">
        <f t="shared" si="0"/>
        <v>https://pubmed.ncbi.nlm.nih.gov/34031556</v>
      </c>
      <c r="F89" s="28" t="s">
        <v>308</v>
      </c>
      <c r="G89" s="28" t="s">
        <v>29</v>
      </c>
    </row>
    <row r="90" spans="1:7" ht="18">
      <c r="A90" s="362" t="s">
        <v>8309</v>
      </c>
      <c r="B90" s="363">
        <v>2021</v>
      </c>
      <c r="C90" s="363">
        <v>34171280</v>
      </c>
      <c r="D90" s="365"/>
      <c r="E90" s="364" t="str">
        <f t="shared" si="0"/>
        <v>https://pubmed.ncbi.nlm.nih.gov/34171280</v>
      </c>
      <c r="F90" s="28" t="s">
        <v>308</v>
      </c>
      <c r="G90" s="28" t="s">
        <v>8161</v>
      </c>
    </row>
    <row r="91" spans="1:7" ht="18">
      <c r="A91" s="362" t="s">
        <v>8310</v>
      </c>
      <c r="B91" s="363">
        <v>2021</v>
      </c>
      <c r="C91" s="363">
        <v>34171282</v>
      </c>
      <c r="D91" s="365"/>
      <c r="E91" s="364" t="str">
        <f t="shared" si="0"/>
        <v>https://pubmed.ncbi.nlm.nih.gov/34171282</v>
      </c>
      <c r="F91" s="28" t="s">
        <v>308</v>
      </c>
      <c r="G91" s="28" t="s">
        <v>29</v>
      </c>
    </row>
    <row r="92" spans="1:7" ht="18">
      <c r="A92" s="362" t="s">
        <v>8311</v>
      </c>
      <c r="B92" s="363">
        <v>2021</v>
      </c>
      <c r="C92" s="363">
        <v>34192430</v>
      </c>
      <c r="D92" s="365"/>
      <c r="E92" s="364" t="str">
        <f t="shared" si="0"/>
        <v>https://pubmed.ncbi.nlm.nih.gov/34192430</v>
      </c>
      <c r="F92" s="28" t="s">
        <v>308</v>
      </c>
      <c r="G92" s="28" t="s">
        <v>8312</v>
      </c>
    </row>
    <row r="93" spans="1:7" ht="18">
      <c r="A93" s="362" t="s">
        <v>8313</v>
      </c>
      <c r="B93" s="363">
        <v>2021</v>
      </c>
      <c r="C93" s="363">
        <v>34302549</v>
      </c>
      <c r="D93" s="362" t="s">
        <v>8314</v>
      </c>
      <c r="E93" s="364" t="str">
        <f t="shared" si="0"/>
        <v>https://pubmed.ncbi.nlm.nih.gov/34302549</v>
      </c>
      <c r="F93" s="28" t="s">
        <v>308</v>
      </c>
      <c r="G93" s="28" t="s">
        <v>29</v>
      </c>
    </row>
    <row r="94" spans="1:7" ht="18">
      <c r="A94" s="362" t="s">
        <v>8315</v>
      </c>
      <c r="B94" s="363">
        <v>2021</v>
      </c>
      <c r="C94" s="363">
        <v>34320566</v>
      </c>
      <c r="D94" s="362" t="s">
        <v>8316</v>
      </c>
      <c r="E94" s="364" t="str">
        <f t="shared" si="0"/>
        <v>https://pubmed.ncbi.nlm.nih.gov/34320566</v>
      </c>
      <c r="F94" s="28" t="s">
        <v>308</v>
      </c>
      <c r="G94" s="28" t="s">
        <v>8164</v>
      </c>
    </row>
    <row r="95" spans="1:7" ht="18">
      <c r="A95" s="362" t="s">
        <v>8317</v>
      </c>
      <c r="B95" s="363">
        <v>2021</v>
      </c>
      <c r="C95" s="363">
        <v>33882592</v>
      </c>
      <c r="D95" s="362" t="s">
        <v>8318</v>
      </c>
      <c r="E95" s="364" t="str">
        <f t="shared" si="0"/>
        <v>https://pubmed.ncbi.nlm.nih.gov/33882592</v>
      </c>
      <c r="F95" s="28" t="s">
        <v>308</v>
      </c>
      <c r="G95" s="28" t="s">
        <v>8319</v>
      </c>
    </row>
    <row r="96" spans="1:7" ht="18">
      <c r="A96" s="362" t="s">
        <v>8320</v>
      </c>
      <c r="B96" s="363">
        <v>2021</v>
      </c>
      <c r="C96" s="363">
        <v>33899214</v>
      </c>
      <c r="D96" s="365"/>
      <c r="E96" s="364" t="str">
        <f t="shared" si="0"/>
        <v>https://pubmed.ncbi.nlm.nih.gov/33899214</v>
      </c>
      <c r="F96" s="28" t="s">
        <v>308</v>
      </c>
      <c r="G96" s="28" t="s">
        <v>8161</v>
      </c>
    </row>
    <row r="97" spans="1:8" ht="18">
      <c r="A97" s="362" t="s">
        <v>8321</v>
      </c>
      <c r="B97" s="363">
        <v>2021</v>
      </c>
      <c r="C97" s="363">
        <v>33915284</v>
      </c>
      <c r="D97" s="362" t="s">
        <v>8322</v>
      </c>
      <c r="E97" s="364" t="str">
        <f t="shared" si="0"/>
        <v>https://pubmed.ncbi.nlm.nih.gov/33915284</v>
      </c>
      <c r="F97" s="28" t="s">
        <v>308</v>
      </c>
      <c r="G97" s="28" t="s">
        <v>8164</v>
      </c>
    </row>
    <row r="98" spans="1:8" ht="18">
      <c r="A98" s="362" t="s">
        <v>8323</v>
      </c>
      <c r="B98" s="363">
        <v>2021</v>
      </c>
      <c r="C98" s="363">
        <v>33946120</v>
      </c>
      <c r="D98" s="362" t="s">
        <v>8324</v>
      </c>
      <c r="E98" s="364" t="str">
        <f t="shared" si="0"/>
        <v>https://pubmed.ncbi.nlm.nih.gov/33946120</v>
      </c>
      <c r="F98" s="28" t="s">
        <v>308</v>
      </c>
      <c r="G98" s="28" t="s">
        <v>8325</v>
      </c>
    </row>
    <row r="99" spans="1:8" ht="18">
      <c r="A99" s="362" t="s">
        <v>8326</v>
      </c>
      <c r="B99" s="363">
        <v>2021</v>
      </c>
      <c r="C99" s="363">
        <v>34039847</v>
      </c>
      <c r="D99" s="365"/>
      <c r="E99" s="364" t="str">
        <f t="shared" si="0"/>
        <v>https://pubmed.ncbi.nlm.nih.gov/34039847</v>
      </c>
      <c r="F99" s="28" t="s">
        <v>308</v>
      </c>
      <c r="G99" s="28" t="s">
        <v>29</v>
      </c>
    </row>
    <row r="100" spans="1:8" ht="18">
      <c r="A100" s="362" t="s">
        <v>8327</v>
      </c>
      <c r="B100" s="363">
        <v>2021</v>
      </c>
      <c r="C100" s="363">
        <v>34138694</v>
      </c>
      <c r="D100" s="362" t="s">
        <v>8328</v>
      </c>
      <c r="E100" s="364" t="str">
        <f t="shared" si="0"/>
        <v>https://pubmed.ncbi.nlm.nih.gov/34138694</v>
      </c>
      <c r="F100" s="28" t="s">
        <v>308</v>
      </c>
      <c r="G100" s="28" t="s">
        <v>29</v>
      </c>
    </row>
    <row r="101" spans="1:8" ht="18">
      <c r="A101" s="362" t="s">
        <v>8329</v>
      </c>
      <c r="B101" s="363">
        <v>2021</v>
      </c>
      <c r="C101" s="363">
        <v>34174536</v>
      </c>
      <c r="D101" s="362" t="s">
        <v>8330</v>
      </c>
      <c r="E101" s="364" t="str">
        <f t="shared" si="0"/>
        <v>https://pubmed.ncbi.nlm.nih.gov/34174536</v>
      </c>
      <c r="F101" s="28" t="s">
        <v>308</v>
      </c>
      <c r="G101" s="28" t="s">
        <v>29</v>
      </c>
    </row>
    <row r="102" spans="1:8" ht="18">
      <c r="A102" s="362" t="s">
        <v>8331</v>
      </c>
      <c r="B102" s="363">
        <v>2021</v>
      </c>
      <c r="C102" s="363">
        <v>34214481</v>
      </c>
      <c r="D102" s="365"/>
      <c r="E102" s="364" t="str">
        <f t="shared" si="0"/>
        <v>https://pubmed.ncbi.nlm.nih.gov/34214481</v>
      </c>
      <c r="F102" s="28" t="s">
        <v>308</v>
      </c>
      <c r="G102" s="28" t="s">
        <v>8262</v>
      </c>
    </row>
    <row r="103" spans="1:8" ht="18">
      <c r="A103" s="362" t="s">
        <v>8332</v>
      </c>
      <c r="B103" s="363">
        <v>2021</v>
      </c>
      <c r="C103" s="363">
        <v>34273291</v>
      </c>
      <c r="D103" s="362" t="s">
        <v>8333</v>
      </c>
      <c r="E103" s="364" t="str">
        <f t="shared" si="0"/>
        <v>https://pubmed.ncbi.nlm.nih.gov/34273291</v>
      </c>
      <c r="F103" s="28" t="s">
        <v>308</v>
      </c>
      <c r="G103" s="28" t="s">
        <v>8334</v>
      </c>
    </row>
    <row r="104" spans="1:8" ht="18">
      <c r="A104" s="362" t="s">
        <v>2517</v>
      </c>
      <c r="B104" s="363">
        <v>2021</v>
      </c>
      <c r="C104" s="363">
        <v>34419209</v>
      </c>
      <c r="D104" s="365"/>
      <c r="E104" s="364" t="str">
        <f t="shared" si="0"/>
        <v>https://pubmed.ncbi.nlm.nih.gov/34419209</v>
      </c>
      <c r="H104" s="28" t="s">
        <v>308</v>
      </c>
    </row>
    <row r="105" spans="1:8" ht="18">
      <c r="A105" s="362" t="s">
        <v>8335</v>
      </c>
      <c r="B105" s="363">
        <v>2021</v>
      </c>
      <c r="C105" s="363">
        <v>34451516</v>
      </c>
      <c r="D105" s="362" t="s">
        <v>8336</v>
      </c>
      <c r="E105" s="364" t="str">
        <f t="shared" si="0"/>
        <v>https://pubmed.ncbi.nlm.nih.gov/34451516</v>
      </c>
      <c r="F105" s="28" t="s">
        <v>308</v>
      </c>
      <c r="G105" s="28" t="s">
        <v>29</v>
      </c>
    </row>
    <row r="106" spans="1:8" ht="18">
      <c r="A106" s="362" t="s">
        <v>8337</v>
      </c>
      <c r="B106" s="363">
        <v>2021</v>
      </c>
      <c r="C106" s="363">
        <v>34494021</v>
      </c>
      <c r="D106" s="362" t="s">
        <v>8338</v>
      </c>
      <c r="E106" s="364" t="str">
        <f t="shared" si="0"/>
        <v>https://pubmed.ncbi.nlm.nih.gov/34494021</v>
      </c>
      <c r="F106" s="28" t="s">
        <v>308</v>
      </c>
      <c r="G106" s="28" t="s">
        <v>8339</v>
      </c>
    </row>
    <row r="107" spans="1:8" ht="18">
      <c r="A107" s="362" t="s">
        <v>8340</v>
      </c>
      <c r="B107" s="363">
        <v>2021</v>
      </c>
      <c r="C107" s="363">
        <v>33486824</v>
      </c>
      <c r="D107" s="365"/>
      <c r="E107" s="364" t="str">
        <f t="shared" si="0"/>
        <v>https://pubmed.ncbi.nlm.nih.gov/33486824</v>
      </c>
      <c r="F107" s="28" t="s">
        <v>308</v>
      </c>
      <c r="G107" s="28" t="s">
        <v>8164</v>
      </c>
    </row>
    <row r="108" spans="1:8" ht="18">
      <c r="A108" s="362" t="s">
        <v>8341</v>
      </c>
      <c r="B108" s="363">
        <v>2021</v>
      </c>
      <c r="C108" s="363">
        <v>34216862</v>
      </c>
      <c r="D108" s="365"/>
      <c r="E108" s="364" t="str">
        <f t="shared" si="0"/>
        <v>https://pubmed.ncbi.nlm.nih.gov/34216862</v>
      </c>
      <c r="F108" s="28" t="s">
        <v>308</v>
      </c>
      <c r="G108" s="28" t="s">
        <v>8161</v>
      </c>
    </row>
    <row r="109" spans="1:8" ht="18">
      <c r="A109" s="362" t="s">
        <v>2542</v>
      </c>
      <c r="B109" s="363">
        <v>2021</v>
      </c>
      <c r="C109" s="363">
        <v>34430837</v>
      </c>
      <c r="D109" s="362" t="s">
        <v>8342</v>
      </c>
      <c r="E109" s="364" t="str">
        <f t="shared" si="0"/>
        <v>https://pubmed.ncbi.nlm.nih.gov/34430837</v>
      </c>
      <c r="H109" s="28" t="s">
        <v>308</v>
      </c>
    </row>
    <row r="110" spans="1:8" ht="18">
      <c r="A110" s="362" t="s">
        <v>8343</v>
      </c>
      <c r="B110" s="363">
        <v>2021</v>
      </c>
      <c r="C110" s="363">
        <v>33974497</v>
      </c>
      <c r="D110" s="362" t="s">
        <v>8344</v>
      </c>
      <c r="E110" s="364" t="str">
        <f t="shared" si="0"/>
        <v>https://pubmed.ncbi.nlm.nih.gov/33974497</v>
      </c>
      <c r="F110" s="28" t="s">
        <v>308</v>
      </c>
      <c r="G110" s="28" t="s">
        <v>29</v>
      </c>
    </row>
    <row r="111" spans="1:8" ht="18">
      <c r="A111" s="362" t="s">
        <v>8345</v>
      </c>
      <c r="B111" s="363">
        <v>2021</v>
      </c>
      <c r="C111" s="363">
        <v>34475174</v>
      </c>
      <c r="D111" s="362" t="s">
        <v>8346</v>
      </c>
      <c r="E111" s="364" t="str">
        <f t="shared" si="0"/>
        <v>https://pubmed.ncbi.nlm.nih.gov/34475174</v>
      </c>
      <c r="F111" s="28" t="s">
        <v>308</v>
      </c>
      <c r="G111" s="28" t="s">
        <v>8347</v>
      </c>
    </row>
    <row r="112" spans="1:8" ht="18">
      <c r="A112" s="362" t="s">
        <v>8348</v>
      </c>
      <c r="B112" s="363">
        <v>2021</v>
      </c>
      <c r="C112" s="363">
        <v>34495079</v>
      </c>
      <c r="D112" s="362" t="s">
        <v>8349</v>
      </c>
      <c r="E112" s="364" t="str">
        <f t="shared" si="0"/>
        <v>https://pubmed.ncbi.nlm.nih.gov/34495079</v>
      </c>
      <c r="F112" s="28" t="s">
        <v>308</v>
      </c>
      <c r="G112" s="28" t="s">
        <v>8161</v>
      </c>
    </row>
    <row r="113" spans="1:8" ht="18">
      <c r="A113" s="362" t="s">
        <v>1360</v>
      </c>
      <c r="B113" s="363">
        <v>2021</v>
      </c>
      <c r="C113" s="363">
        <v>34491803</v>
      </c>
      <c r="D113" s="365"/>
      <c r="E113" s="364" t="str">
        <f t="shared" si="0"/>
        <v>https://pubmed.ncbi.nlm.nih.gov/34491803</v>
      </c>
      <c r="F113" s="28" t="s">
        <v>308</v>
      </c>
      <c r="G113" s="28" t="s">
        <v>8161</v>
      </c>
    </row>
    <row r="114" spans="1:8" ht="18">
      <c r="A114" s="362" t="s">
        <v>2558</v>
      </c>
      <c r="B114" s="363">
        <v>2021</v>
      </c>
      <c r="C114" s="363">
        <v>34264864</v>
      </c>
      <c r="D114" s="365"/>
      <c r="E114" s="364" t="str">
        <f t="shared" si="0"/>
        <v>https://pubmed.ncbi.nlm.nih.gov/34264864</v>
      </c>
      <c r="H114" s="28" t="s">
        <v>308</v>
      </c>
    </row>
    <row r="115" spans="1:8" ht="18">
      <c r="A115" s="362" t="s">
        <v>8350</v>
      </c>
      <c r="B115" s="363">
        <v>2021</v>
      </c>
      <c r="C115" s="363">
        <v>34497087</v>
      </c>
      <c r="D115" s="362" t="s">
        <v>8351</v>
      </c>
      <c r="E115" s="364" t="str">
        <f t="shared" si="0"/>
        <v>https://pubmed.ncbi.nlm.nih.gov/34497087</v>
      </c>
      <c r="F115" s="28" t="s">
        <v>308</v>
      </c>
      <c r="G115" s="28" t="s">
        <v>8172</v>
      </c>
    </row>
    <row r="116" spans="1:8" ht="18">
      <c r="A116" s="362" t="s">
        <v>8352</v>
      </c>
      <c r="B116" s="363">
        <v>2021</v>
      </c>
      <c r="C116" s="363">
        <v>34556337</v>
      </c>
      <c r="D116" s="362" t="s">
        <v>8353</v>
      </c>
      <c r="E116" s="364" t="str">
        <f t="shared" si="0"/>
        <v>https://pubmed.ncbi.nlm.nih.gov/34556337</v>
      </c>
      <c r="F116" s="28" t="s">
        <v>308</v>
      </c>
      <c r="G116" s="28" t="s">
        <v>29</v>
      </c>
    </row>
    <row r="117" spans="1:8" ht="18">
      <c r="A117" s="362" t="s">
        <v>8354</v>
      </c>
      <c r="B117" s="363">
        <v>2021</v>
      </c>
      <c r="C117" s="363">
        <v>34432975</v>
      </c>
      <c r="D117" s="365"/>
      <c r="E117" s="364" t="str">
        <f t="shared" si="0"/>
        <v>https://pubmed.ncbi.nlm.nih.gov/34432975</v>
      </c>
      <c r="F117" s="28" t="s">
        <v>308</v>
      </c>
      <c r="G117" s="28" t="s">
        <v>8161</v>
      </c>
    </row>
    <row r="118" spans="1:8" ht="18">
      <c r="A118" s="362" t="s">
        <v>8355</v>
      </c>
      <c r="B118" s="363">
        <v>2021</v>
      </c>
      <c r="C118" s="363">
        <v>33966331</v>
      </c>
      <c r="D118" s="365"/>
      <c r="E118" s="364" t="str">
        <f t="shared" si="0"/>
        <v>https://pubmed.ncbi.nlm.nih.gov/33966331</v>
      </c>
      <c r="F118" s="28" t="s">
        <v>308</v>
      </c>
      <c r="G118" s="28" t="s">
        <v>8161</v>
      </c>
    </row>
    <row r="119" spans="1:8" ht="18">
      <c r="A119" s="362" t="s">
        <v>8356</v>
      </c>
      <c r="B119" s="363">
        <v>2021</v>
      </c>
      <c r="C119" s="363">
        <v>34385093</v>
      </c>
      <c r="D119" s="365"/>
      <c r="E119" s="364" t="str">
        <f t="shared" si="0"/>
        <v>https://pubmed.ncbi.nlm.nih.gov/34385093</v>
      </c>
      <c r="F119" s="28" t="s">
        <v>308</v>
      </c>
      <c r="G119" s="28" t="s">
        <v>8161</v>
      </c>
    </row>
    <row r="120" spans="1:8" ht="18">
      <c r="A120" s="362" t="s">
        <v>8357</v>
      </c>
      <c r="B120" s="363">
        <v>2021</v>
      </c>
      <c r="C120" s="363">
        <v>34606050</v>
      </c>
      <c r="D120" s="365"/>
      <c r="E120" s="364" t="str">
        <f t="shared" si="0"/>
        <v>https://pubmed.ncbi.nlm.nih.gov/34606050</v>
      </c>
      <c r="F120" s="28" t="s">
        <v>308</v>
      </c>
      <c r="G120" s="28" t="s">
        <v>29</v>
      </c>
    </row>
    <row r="121" spans="1:8" ht="12.75">
      <c r="E121" s="366"/>
    </row>
    <row r="122" spans="1:8" ht="12.75">
      <c r="E122" s="366"/>
    </row>
    <row r="123" spans="1:8" ht="12.75">
      <c r="E123" s="366"/>
    </row>
    <row r="124" spans="1:8" ht="12.75">
      <c r="E124" s="366"/>
    </row>
    <row r="125" spans="1:8" ht="12.75">
      <c r="E125" s="366"/>
    </row>
    <row r="126" spans="1:8" ht="12.75">
      <c r="E126" s="366"/>
    </row>
    <row r="127" spans="1:8" ht="12.75">
      <c r="E127" s="366"/>
    </row>
    <row r="128" spans="1:8" ht="12.75">
      <c r="E128" s="366"/>
    </row>
    <row r="129" spans="5:5" ht="12.75">
      <c r="E129" s="366"/>
    </row>
    <row r="130" spans="5:5" ht="12.75">
      <c r="E130" s="366"/>
    </row>
    <row r="131" spans="5:5" ht="12.75">
      <c r="E131" s="366"/>
    </row>
    <row r="132" spans="5:5" ht="12.75">
      <c r="E132" s="366"/>
    </row>
    <row r="133" spans="5:5" ht="12.75">
      <c r="E133" s="366"/>
    </row>
    <row r="134" spans="5:5" ht="12.75">
      <c r="E134" s="366"/>
    </row>
    <row r="135" spans="5:5" ht="12.75">
      <c r="E135" s="366"/>
    </row>
    <row r="136" spans="5:5" ht="12.75">
      <c r="E136" s="366"/>
    </row>
    <row r="137" spans="5:5" ht="12.75">
      <c r="E137" s="366"/>
    </row>
    <row r="138" spans="5:5" ht="12.75">
      <c r="E138" s="366"/>
    </row>
    <row r="139" spans="5:5" ht="12.75">
      <c r="E139" s="366"/>
    </row>
    <row r="140" spans="5:5" ht="12.75">
      <c r="E140" s="366"/>
    </row>
    <row r="141" spans="5:5" ht="12.75">
      <c r="E141" s="366"/>
    </row>
    <row r="142" spans="5:5" ht="12.75">
      <c r="E142" s="366"/>
    </row>
    <row r="143" spans="5:5" ht="12.75">
      <c r="E143" s="366"/>
    </row>
    <row r="144" spans="5:5" ht="12.75">
      <c r="E144" s="366"/>
    </row>
    <row r="145" spans="5:5" ht="12.75">
      <c r="E145" s="366"/>
    </row>
    <row r="146" spans="5:5" ht="12.75">
      <c r="E146" s="366"/>
    </row>
    <row r="147" spans="5:5" ht="12.75">
      <c r="E147" s="366"/>
    </row>
    <row r="148" spans="5:5" ht="12.75">
      <c r="E148" s="366"/>
    </row>
    <row r="149" spans="5:5" ht="12.75">
      <c r="E149" s="366"/>
    </row>
    <row r="150" spans="5:5" ht="12.75">
      <c r="E150" s="366"/>
    </row>
    <row r="151" spans="5:5" ht="12.75">
      <c r="E151" s="366"/>
    </row>
    <row r="152" spans="5:5" ht="12.75">
      <c r="E152" s="366"/>
    </row>
    <row r="153" spans="5:5" ht="12.75">
      <c r="E153" s="366"/>
    </row>
    <row r="154" spans="5:5" ht="12.75">
      <c r="E154" s="366"/>
    </row>
    <row r="155" spans="5:5" ht="12.75">
      <c r="E155" s="366"/>
    </row>
    <row r="156" spans="5:5" ht="12.75">
      <c r="E156" s="366"/>
    </row>
    <row r="157" spans="5:5" ht="12.75">
      <c r="E157" s="366"/>
    </row>
    <row r="158" spans="5:5" ht="12.75">
      <c r="E158" s="366"/>
    </row>
    <row r="159" spans="5:5" ht="12.75">
      <c r="E159" s="366"/>
    </row>
    <row r="160" spans="5:5" ht="12.75">
      <c r="E160" s="366"/>
    </row>
    <row r="161" spans="5:5" ht="12.75">
      <c r="E161" s="366"/>
    </row>
    <row r="162" spans="5:5" ht="12.75">
      <c r="E162" s="366"/>
    </row>
    <row r="163" spans="5:5" ht="12.75">
      <c r="E163" s="366"/>
    </row>
    <row r="164" spans="5:5" ht="12.75">
      <c r="E164" s="366"/>
    </row>
    <row r="165" spans="5:5" ht="12.75">
      <c r="E165" s="366"/>
    </row>
    <row r="166" spans="5:5" ht="12.75">
      <c r="E166" s="366"/>
    </row>
    <row r="167" spans="5:5" ht="12.75">
      <c r="E167" s="366"/>
    </row>
    <row r="168" spans="5:5" ht="12.75">
      <c r="E168" s="366"/>
    </row>
    <row r="169" spans="5:5" ht="12.75">
      <c r="E169" s="366"/>
    </row>
    <row r="170" spans="5:5" ht="12.75">
      <c r="E170" s="366"/>
    </row>
    <row r="171" spans="5:5" ht="12.75">
      <c r="E171" s="366"/>
    </row>
    <row r="172" spans="5:5" ht="12.75">
      <c r="E172" s="366"/>
    </row>
    <row r="173" spans="5:5" ht="12.75">
      <c r="E173" s="366"/>
    </row>
    <row r="174" spans="5:5" ht="12.75">
      <c r="E174" s="366"/>
    </row>
    <row r="175" spans="5:5" ht="12.75">
      <c r="E175" s="366"/>
    </row>
    <row r="176" spans="5:5" ht="12.75">
      <c r="E176" s="366"/>
    </row>
    <row r="177" spans="5:5" ht="12.75">
      <c r="E177" s="366"/>
    </row>
    <row r="178" spans="5:5" ht="12.75">
      <c r="E178" s="366"/>
    </row>
    <row r="179" spans="5:5" ht="12.75">
      <c r="E179" s="366"/>
    </row>
    <row r="180" spans="5:5" ht="12.75">
      <c r="E180" s="366"/>
    </row>
    <row r="181" spans="5:5" ht="12.75">
      <c r="E181" s="366"/>
    </row>
    <row r="182" spans="5:5" ht="12.75">
      <c r="E182" s="366"/>
    </row>
    <row r="183" spans="5:5" ht="12.75">
      <c r="E183" s="366"/>
    </row>
    <row r="184" spans="5:5" ht="12.75">
      <c r="E184" s="366"/>
    </row>
    <row r="185" spans="5:5" ht="12.75">
      <c r="E185" s="366"/>
    </row>
    <row r="186" spans="5:5" ht="12.75">
      <c r="E186" s="366"/>
    </row>
    <row r="187" spans="5:5" ht="12.75">
      <c r="E187" s="366"/>
    </row>
    <row r="188" spans="5:5" ht="12.75">
      <c r="E188" s="366"/>
    </row>
    <row r="189" spans="5:5" ht="12.75">
      <c r="E189" s="366"/>
    </row>
    <row r="190" spans="5:5" ht="12.75">
      <c r="E190" s="366"/>
    </row>
    <row r="191" spans="5:5" ht="12.75">
      <c r="E191" s="366"/>
    </row>
    <row r="192" spans="5:5" ht="12.75">
      <c r="E192" s="366"/>
    </row>
    <row r="193" spans="5:5" ht="12.75">
      <c r="E193" s="366"/>
    </row>
    <row r="194" spans="5:5" ht="12.75">
      <c r="E194" s="366"/>
    </row>
    <row r="195" spans="5:5" ht="12.75">
      <c r="E195" s="366"/>
    </row>
    <row r="196" spans="5:5" ht="12.75">
      <c r="E196" s="366"/>
    </row>
    <row r="197" spans="5:5" ht="12.75">
      <c r="E197" s="366"/>
    </row>
    <row r="198" spans="5:5" ht="12.75">
      <c r="E198" s="366"/>
    </row>
    <row r="199" spans="5:5" ht="12.75">
      <c r="E199" s="366"/>
    </row>
    <row r="200" spans="5:5" ht="12.75">
      <c r="E200" s="366"/>
    </row>
    <row r="201" spans="5:5" ht="12.75">
      <c r="E201" s="366"/>
    </row>
    <row r="202" spans="5:5" ht="12.75">
      <c r="E202" s="366"/>
    </row>
    <row r="203" spans="5:5" ht="12.75">
      <c r="E203" s="366"/>
    </row>
    <row r="204" spans="5:5" ht="12.75">
      <c r="E204" s="366"/>
    </row>
    <row r="205" spans="5:5" ht="12.75">
      <c r="E205" s="366"/>
    </row>
    <row r="206" spans="5:5" ht="12.75">
      <c r="E206" s="366"/>
    </row>
    <row r="207" spans="5:5" ht="12.75">
      <c r="E207" s="366"/>
    </row>
    <row r="208" spans="5:5" ht="12.75">
      <c r="E208" s="366"/>
    </row>
    <row r="209" spans="5:5" ht="12.75">
      <c r="E209" s="366"/>
    </row>
    <row r="210" spans="5:5" ht="12.75">
      <c r="E210" s="366"/>
    </row>
    <row r="211" spans="5:5" ht="12.75">
      <c r="E211" s="366"/>
    </row>
    <row r="212" spans="5:5" ht="12.75">
      <c r="E212" s="366"/>
    </row>
    <row r="213" spans="5:5" ht="12.75">
      <c r="E213" s="366"/>
    </row>
    <row r="214" spans="5:5" ht="12.75">
      <c r="E214" s="366"/>
    </row>
    <row r="215" spans="5:5" ht="12.75">
      <c r="E215" s="366"/>
    </row>
    <row r="216" spans="5:5" ht="12.75">
      <c r="E216" s="366"/>
    </row>
    <row r="217" spans="5:5" ht="12.75">
      <c r="E217" s="366"/>
    </row>
    <row r="218" spans="5:5" ht="12.75">
      <c r="E218" s="366"/>
    </row>
    <row r="219" spans="5:5" ht="12.75">
      <c r="E219" s="366"/>
    </row>
    <row r="220" spans="5:5" ht="12.75">
      <c r="E220" s="366"/>
    </row>
    <row r="221" spans="5:5" ht="12.75">
      <c r="E221" s="366"/>
    </row>
    <row r="222" spans="5:5" ht="12.75">
      <c r="E222" s="366"/>
    </row>
    <row r="223" spans="5:5" ht="12.75">
      <c r="E223" s="366"/>
    </row>
    <row r="224" spans="5:5" ht="12.75">
      <c r="E224" s="366"/>
    </row>
    <row r="225" spans="5:5" ht="12.75">
      <c r="E225" s="366"/>
    </row>
    <row r="226" spans="5:5" ht="12.75">
      <c r="E226" s="366"/>
    </row>
    <row r="227" spans="5:5" ht="12.75">
      <c r="E227" s="366"/>
    </row>
    <row r="228" spans="5:5" ht="12.75">
      <c r="E228" s="366"/>
    </row>
    <row r="229" spans="5:5" ht="12.75">
      <c r="E229" s="366"/>
    </row>
    <row r="230" spans="5:5" ht="12.75">
      <c r="E230" s="366"/>
    </row>
    <row r="231" spans="5:5" ht="12.75">
      <c r="E231" s="366"/>
    </row>
    <row r="232" spans="5:5" ht="12.75">
      <c r="E232" s="366"/>
    </row>
    <row r="233" spans="5:5" ht="12.75">
      <c r="E233" s="366"/>
    </row>
    <row r="234" spans="5:5" ht="12.75">
      <c r="E234" s="366"/>
    </row>
    <row r="235" spans="5:5" ht="12.75">
      <c r="E235" s="366"/>
    </row>
    <row r="236" spans="5:5" ht="12.75">
      <c r="E236" s="366"/>
    </row>
    <row r="237" spans="5:5" ht="12.75">
      <c r="E237" s="366"/>
    </row>
    <row r="238" spans="5:5" ht="12.75">
      <c r="E238" s="366"/>
    </row>
    <row r="239" spans="5:5" ht="12.75">
      <c r="E239" s="366"/>
    </row>
    <row r="240" spans="5:5" ht="12.75">
      <c r="E240" s="366"/>
    </row>
    <row r="241" spans="5:5" ht="12.75">
      <c r="E241" s="366"/>
    </row>
    <row r="242" spans="5:5" ht="12.75">
      <c r="E242" s="366"/>
    </row>
    <row r="243" spans="5:5" ht="12.75">
      <c r="E243" s="366"/>
    </row>
    <row r="244" spans="5:5" ht="12.75">
      <c r="E244" s="366"/>
    </row>
    <row r="245" spans="5:5" ht="12.75">
      <c r="E245" s="366"/>
    </row>
    <row r="246" spans="5:5" ht="12.75">
      <c r="E246" s="366"/>
    </row>
    <row r="247" spans="5:5" ht="12.75">
      <c r="E247" s="366"/>
    </row>
    <row r="248" spans="5:5" ht="12.75">
      <c r="E248" s="366"/>
    </row>
    <row r="249" spans="5:5" ht="12.75">
      <c r="E249" s="366"/>
    </row>
    <row r="250" spans="5:5" ht="12.75">
      <c r="E250" s="366"/>
    </row>
    <row r="251" spans="5:5" ht="12.75">
      <c r="E251" s="366"/>
    </row>
    <row r="252" spans="5:5" ht="12.75">
      <c r="E252" s="366"/>
    </row>
    <row r="253" spans="5:5" ht="12.75">
      <c r="E253" s="366"/>
    </row>
    <row r="254" spans="5:5" ht="12.75">
      <c r="E254" s="366"/>
    </row>
    <row r="255" spans="5:5" ht="12.75">
      <c r="E255" s="366"/>
    </row>
    <row r="256" spans="5:5" ht="12.75">
      <c r="E256" s="366"/>
    </row>
    <row r="257" spans="5:5" ht="12.75">
      <c r="E257" s="366"/>
    </row>
    <row r="258" spans="5:5" ht="12.75">
      <c r="E258" s="366"/>
    </row>
    <row r="259" spans="5:5" ht="12.75">
      <c r="E259" s="366"/>
    </row>
    <row r="260" spans="5:5" ht="12.75">
      <c r="E260" s="366"/>
    </row>
    <row r="261" spans="5:5" ht="12.75">
      <c r="E261" s="366"/>
    </row>
    <row r="262" spans="5:5" ht="12.75">
      <c r="E262" s="366"/>
    </row>
    <row r="263" spans="5:5" ht="12.75">
      <c r="E263" s="366"/>
    </row>
    <row r="264" spans="5:5" ht="12.75">
      <c r="E264" s="366"/>
    </row>
    <row r="265" spans="5:5" ht="12.75">
      <c r="E265" s="366"/>
    </row>
    <row r="266" spans="5:5" ht="12.75">
      <c r="E266" s="366"/>
    </row>
    <row r="267" spans="5:5" ht="12.75">
      <c r="E267" s="366"/>
    </row>
    <row r="268" spans="5:5" ht="12.75">
      <c r="E268" s="366"/>
    </row>
    <row r="269" spans="5:5" ht="12.75">
      <c r="E269" s="366"/>
    </row>
    <row r="270" spans="5:5" ht="12.75">
      <c r="E270" s="366"/>
    </row>
    <row r="271" spans="5:5" ht="12.75">
      <c r="E271" s="366"/>
    </row>
    <row r="272" spans="5:5" ht="12.75">
      <c r="E272" s="366"/>
    </row>
    <row r="273" spans="5:5" ht="12.75">
      <c r="E273" s="366"/>
    </row>
    <row r="274" spans="5:5" ht="12.75">
      <c r="E274" s="366"/>
    </row>
    <row r="275" spans="5:5" ht="12.75">
      <c r="E275" s="366"/>
    </row>
    <row r="276" spans="5:5" ht="12.75">
      <c r="E276" s="366"/>
    </row>
    <row r="277" spans="5:5" ht="12.75">
      <c r="E277" s="366"/>
    </row>
    <row r="278" spans="5:5" ht="12.75">
      <c r="E278" s="366"/>
    </row>
    <row r="279" spans="5:5" ht="12.75">
      <c r="E279" s="366"/>
    </row>
    <row r="280" spans="5:5" ht="12.75">
      <c r="E280" s="366"/>
    </row>
    <row r="281" spans="5:5" ht="12.75">
      <c r="E281" s="366"/>
    </row>
    <row r="282" spans="5:5" ht="12.75">
      <c r="E282" s="366"/>
    </row>
    <row r="283" spans="5:5" ht="12.75">
      <c r="E283" s="366"/>
    </row>
    <row r="284" spans="5:5" ht="12.75">
      <c r="E284" s="366"/>
    </row>
    <row r="285" spans="5:5" ht="12.75">
      <c r="E285" s="366"/>
    </row>
    <row r="286" spans="5:5" ht="12.75">
      <c r="E286" s="366"/>
    </row>
    <row r="287" spans="5:5" ht="12.75">
      <c r="E287" s="366"/>
    </row>
    <row r="288" spans="5:5" ht="12.75">
      <c r="E288" s="366"/>
    </row>
    <row r="289" spans="5:5" ht="12.75">
      <c r="E289" s="366"/>
    </row>
    <row r="290" spans="5:5" ht="12.75">
      <c r="E290" s="366"/>
    </row>
    <row r="291" spans="5:5" ht="12.75">
      <c r="E291" s="366"/>
    </row>
    <row r="292" spans="5:5" ht="12.75">
      <c r="E292" s="366"/>
    </row>
    <row r="293" spans="5:5" ht="12.75">
      <c r="E293" s="366"/>
    </row>
    <row r="294" spans="5:5" ht="12.75">
      <c r="E294" s="366"/>
    </row>
    <row r="295" spans="5:5" ht="12.75">
      <c r="E295" s="366"/>
    </row>
    <row r="296" spans="5:5" ht="12.75">
      <c r="E296" s="366"/>
    </row>
    <row r="297" spans="5:5" ht="12.75">
      <c r="E297" s="366"/>
    </row>
    <row r="298" spans="5:5" ht="12.75">
      <c r="E298" s="366"/>
    </row>
    <row r="299" spans="5:5" ht="12.75">
      <c r="E299" s="366"/>
    </row>
    <row r="300" spans="5:5" ht="12.75">
      <c r="E300" s="366"/>
    </row>
    <row r="301" spans="5:5" ht="12.75">
      <c r="E301" s="366"/>
    </row>
    <row r="302" spans="5:5" ht="12.75">
      <c r="E302" s="366"/>
    </row>
    <row r="303" spans="5:5" ht="12.75">
      <c r="E303" s="366"/>
    </row>
    <row r="304" spans="5:5" ht="12.75">
      <c r="E304" s="366"/>
    </row>
    <row r="305" spans="5:5" ht="12.75">
      <c r="E305" s="366"/>
    </row>
    <row r="306" spans="5:5" ht="12.75">
      <c r="E306" s="366"/>
    </row>
    <row r="307" spans="5:5" ht="12.75">
      <c r="E307" s="366"/>
    </row>
    <row r="308" spans="5:5" ht="12.75">
      <c r="E308" s="366"/>
    </row>
    <row r="309" spans="5:5" ht="12.75">
      <c r="E309" s="366"/>
    </row>
    <row r="310" spans="5:5" ht="12.75">
      <c r="E310" s="366"/>
    </row>
    <row r="311" spans="5:5" ht="12.75">
      <c r="E311" s="366"/>
    </row>
    <row r="312" spans="5:5" ht="12.75">
      <c r="E312" s="366"/>
    </row>
    <row r="313" spans="5:5" ht="12.75">
      <c r="E313" s="366"/>
    </row>
    <row r="314" spans="5:5" ht="12.75">
      <c r="E314" s="366"/>
    </row>
    <row r="315" spans="5:5" ht="12.75">
      <c r="E315" s="366"/>
    </row>
    <row r="316" spans="5:5" ht="12.75">
      <c r="E316" s="366"/>
    </row>
    <row r="317" spans="5:5" ht="12.75">
      <c r="E317" s="366"/>
    </row>
    <row r="318" spans="5:5" ht="12.75">
      <c r="E318" s="366"/>
    </row>
    <row r="319" spans="5:5" ht="12.75">
      <c r="E319" s="366"/>
    </row>
    <row r="320" spans="5:5" ht="12.75">
      <c r="E320" s="366"/>
    </row>
    <row r="321" spans="5:5" ht="12.75">
      <c r="E321" s="366"/>
    </row>
    <row r="322" spans="5:5" ht="12.75">
      <c r="E322" s="366"/>
    </row>
    <row r="323" spans="5:5" ht="12.75">
      <c r="E323" s="366"/>
    </row>
    <row r="324" spans="5:5" ht="12.75">
      <c r="E324" s="366"/>
    </row>
    <row r="325" spans="5:5" ht="12.75">
      <c r="E325" s="366"/>
    </row>
    <row r="326" spans="5:5" ht="12.75">
      <c r="E326" s="366"/>
    </row>
    <row r="327" spans="5:5" ht="12.75">
      <c r="E327" s="366"/>
    </row>
    <row r="328" spans="5:5" ht="12.75">
      <c r="E328" s="366"/>
    </row>
    <row r="329" spans="5:5" ht="12.75">
      <c r="E329" s="366"/>
    </row>
    <row r="330" spans="5:5" ht="12.75">
      <c r="E330" s="366"/>
    </row>
    <row r="331" spans="5:5" ht="12.75">
      <c r="E331" s="366"/>
    </row>
    <row r="332" spans="5:5" ht="12.75">
      <c r="E332" s="366"/>
    </row>
    <row r="333" spans="5:5" ht="12.75">
      <c r="E333" s="366"/>
    </row>
    <row r="334" spans="5:5" ht="12.75">
      <c r="E334" s="366"/>
    </row>
    <row r="335" spans="5:5" ht="12.75">
      <c r="E335" s="366"/>
    </row>
    <row r="336" spans="5:5" ht="12.75">
      <c r="E336" s="366"/>
    </row>
    <row r="337" spans="5:5" ht="12.75">
      <c r="E337" s="366"/>
    </row>
    <row r="338" spans="5:5" ht="12.75">
      <c r="E338" s="366"/>
    </row>
    <row r="339" spans="5:5" ht="12.75">
      <c r="E339" s="366"/>
    </row>
    <row r="340" spans="5:5" ht="12.75">
      <c r="E340" s="366"/>
    </row>
    <row r="341" spans="5:5" ht="12.75">
      <c r="E341" s="366"/>
    </row>
    <row r="342" spans="5:5" ht="12.75">
      <c r="E342" s="366"/>
    </row>
    <row r="343" spans="5:5" ht="12.75">
      <c r="E343" s="366"/>
    </row>
    <row r="344" spans="5:5" ht="12.75">
      <c r="E344" s="366"/>
    </row>
    <row r="345" spans="5:5" ht="12.75">
      <c r="E345" s="366"/>
    </row>
    <row r="346" spans="5:5" ht="12.75">
      <c r="E346" s="366"/>
    </row>
    <row r="347" spans="5:5" ht="12.75">
      <c r="E347" s="366"/>
    </row>
    <row r="348" spans="5:5" ht="12.75">
      <c r="E348" s="366"/>
    </row>
    <row r="349" spans="5:5" ht="12.75">
      <c r="E349" s="366"/>
    </row>
    <row r="350" spans="5:5" ht="12.75">
      <c r="E350" s="366"/>
    </row>
    <row r="351" spans="5:5" ht="12.75">
      <c r="E351" s="366"/>
    </row>
    <row r="352" spans="5:5" ht="12.75">
      <c r="E352" s="366"/>
    </row>
    <row r="353" spans="5:5" ht="12.75">
      <c r="E353" s="366"/>
    </row>
    <row r="354" spans="5:5" ht="12.75">
      <c r="E354" s="366"/>
    </row>
    <row r="355" spans="5:5" ht="12.75">
      <c r="E355" s="366"/>
    </row>
    <row r="356" spans="5:5" ht="12.75">
      <c r="E356" s="366"/>
    </row>
    <row r="357" spans="5:5" ht="12.75">
      <c r="E357" s="366"/>
    </row>
    <row r="358" spans="5:5" ht="12.75">
      <c r="E358" s="366"/>
    </row>
    <row r="359" spans="5:5" ht="12.75">
      <c r="E359" s="366"/>
    </row>
    <row r="360" spans="5:5" ht="12.75">
      <c r="E360" s="366"/>
    </row>
    <row r="361" spans="5:5" ht="12.75">
      <c r="E361" s="366"/>
    </row>
    <row r="362" spans="5:5" ht="12.75">
      <c r="E362" s="366"/>
    </row>
    <row r="363" spans="5:5" ht="12.75">
      <c r="E363" s="366"/>
    </row>
    <row r="364" spans="5:5" ht="12.75">
      <c r="E364" s="366"/>
    </row>
    <row r="365" spans="5:5" ht="12.75">
      <c r="E365" s="366"/>
    </row>
    <row r="366" spans="5:5" ht="12.75">
      <c r="E366" s="366"/>
    </row>
    <row r="367" spans="5:5" ht="12.75">
      <c r="E367" s="366"/>
    </row>
    <row r="368" spans="5:5" ht="12.75">
      <c r="E368" s="366"/>
    </row>
    <row r="369" spans="5:5" ht="12.75">
      <c r="E369" s="366"/>
    </row>
    <row r="370" spans="5:5" ht="12.75">
      <c r="E370" s="366"/>
    </row>
    <row r="371" spans="5:5" ht="12.75">
      <c r="E371" s="366"/>
    </row>
    <row r="372" spans="5:5" ht="12.75">
      <c r="E372" s="366"/>
    </row>
    <row r="373" spans="5:5" ht="12.75">
      <c r="E373" s="366"/>
    </row>
    <row r="374" spans="5:5" ht="12.75">
      <c r="E374" s="366"/>
    </row>
    <row r="375" spans="5:5" ht="12.75">
      <c r="E375" s="366"/>
    </row>
    <row r="376" spans="5:5" ht="12.75">
      <c r="E376" s="366"/>
    </row>
    <row r="377" spans="5:5" ht="12.75">
      <c r="E377" s="366"/>
    </row>
    <row r="378" spans="5:5" ht="12.75">
      <c r="E378" s="366"/>
    </row>
    <row r="379" spans="5:5" ht="12.75">
      <c r="E379" s="366"/>
    </row>
    <row r="380" spans="5:5" ht="12.75">
      <c r="E380" s="366"/>
    </row>
    <row r="381" spans="5:5" ht="12.75">
      <c r="E381" s="366"/>
    </row>
    <row r="382" spans="5:5" ht="12.75">
      <c r="E382" s="366"/>
    </row>
    <row r="383" spans="5:5" ht="12.75">
      <c r="E383" s="366"/>
    </row>
    <row r="384" spans="5:5" ht="12.75">
      <c r="E384" s="366"/>
    </row>
    <row r="385" spans="5:5" ht="12.75">
      <c r="E385" s="366"/>
    </row>
    <row r="386" spans="5:5" ht="12.75">
      <c r="E386" s="366"/>
    </row>
    <row r="387" spans="5:5" ht="12.75">
      <c r="E387" s="366"/>
    </row>
    <row r="388" spans="5:5" ht="12.75">
      <c r="E388" s="366"/>
    </row>
    <row r="389" spans="5:5" ht="12.75">
      <c r="E389" s="366"/>
    </row>
    <row r="390" spans="5:5" ht="12.75">
      <c r="E390" s="366"/>
    </row>
    <row r="391" spans="5:5" ht="12.75">
      <c r="E391" s="366"/>
    </row>
    <row r="392" spans="5:5" ht="12.75">
      <c r="E392" s="366"/>
    </row>
    <row r="393" spans="5:5" ht="12.75">
      <c r="E393" s="366"/>
    </row>
    <row r="394" spans="5:5" ht="12.75">
      <c r="E394" s="366"/>
    </row>
    <row r="395" spans="5:5" ht="12.75">
      <c r="E395" s="366"/>
    </row>
    <row r="396" spans="5:5" ht="12.75">
      <c r="E396" s="366"/>
    </row>
    <row r="397" spans="5:5" ht="12.75">
      <c r="E397" s="366"/>
    </row>
    <row r="398" spans="5:5" ht="12.75">
      <c r="E398" s="366"/>
    </row>
    <row r="399" spans="5:5" ht="12.75">
      <c r="E399" s="366"/>
    </row>
    <row r="400" spans="5:5" ht="12.75">
      <c r="E400" s="366"/>
    </row>
    <row r="401" spans="5:5" ht="12.75">
      <c r="E401" s="366"/>
    </row>
    <row r="402" spans="5:5" ht="12.75">
      <c r="E402" s="366"/>
    </row>
    <row r="403" spans="5:5" ht="12.75">
      <c r="E403" s="366"/>
    </row>
    <row r="404" spans="5:5" ht="12.75">
      <c r="E404" s="366"/>
    </row>
    <row r="405" spans="5:5" ht="12.75">
      <c r="E405" s="366"/>
    </row>
    <row r="406" spans="5:5" ht="12.75">
      <c r="E406" s="366"/>
    </row>
    <row r="407" spans="5:5" ht="12.75">
      <c r="E407" s="366"/>
    </row>
    <row r="408" spans="5:5" ht="12.75">
      <c r="E408" s="366"/>
    </row>
    <row r="409" spans="5:5" ht="12.75">
      <c r="E409" s="366"/>
    </row>
    <row r="410" spans="5:5" ht="12.75">
      <c r="E410" s="366"/>
    </row>
    <row r="411" spans="5:5" ht="12.75">
      <c r="E411" s="366"/>
    </row>
    <row r="412" spans="5:5" ht="12.75">
      <c r="E412" s="366"/>
    </row>
    <row r="413" spans="5:5" ht="12.75">
      <c r="E413" s="366"/>
    </row>
    <row r="414" spans="5:5" ht="12.75">
      <c r="E414" s="366"/>
    </row>
    <row r="415" spans="5:5" ht="12.75">
      <c r="E415" s="366"/>
    </row>
    <row r="416" spans="5:5" ht="12.75">
      <c r="E416" s="366"/>
    </row>
    <row r="417" spans="5:5" ht="12.75">
      <c r="E417" s="366"/>
    </row>
    <row r="418" spans="5:5" ht="12.75">
      <c r="E418" s="366"/>
    </row>
    <row r="419" spans="5:5" ht="12.75">
      <c r="E419" s="366"/>
    </row>
    <row r="420" spans="5:5" ht="12.75">
      <c r="E420" s="366"/>
    </row>
    <row r="421" spans="5:5" ht="12.75">
      <c r="E421" s="366"/>
    </row>
    <row r="422" spans="5:5" ht="12.75">
      <c r="E422" s="366"/>
    </row>
    <row r="423" spans="5:5" ht="12.75">
      <c r="E423" s="366"/>
    </row>
    <row r="424" spans="5:5" ht="12.75">
      <c r="E424" s="366"/>
    </row>
    <row r="425" spans="5:5" ht="12.75">
      <c r="E425" s="366"/>
    </row>
    <row r="426" spans="5:5" ht="12.75">
      <c r="E426" s="366"/>
    </row>
    <row r="427" spans="5:5" ht="12.75">
      <c r="E427" s="366"/>
    </row>
    <row r="428" spans="5:5" ht="12.75">
      <c r="E428" s="366"/>
    </row>
    <row r="429" spans="5:5" ht="12.75">
      <c r="E429" s="366"/>
    </row>
    <row r="430" spans="5:5" ht="12.75">
      <c r="E430" s="366"/>
    </row>
    <row r="431" spans="5:5" ht="12.75">
      <c r="E431" s="366"/>
    </row>
    <row r="432" spans="5:5" ht="12.75">
      <c r="E432" s="366"/>
    </row>
    <row r="433" spans="5:5" ht="12.75">
      <c r="E433" s="366"/>
    </row>
    <row r="434" spans="5:5" ht="12.75">
      <c r="E434" s="366"/>
    </row>
    <row r="435" spans="5:5" ht="12.75">
      <c r="E435" s="366"/>
    </row>
    <row r="436" spans="5:5" ht="12.75">
      <c r="E436" s="366"/>
    </row>
    <row r="437" spans="5:5" ht="12.75">
      <c r="E437" s="366"/>
    </row>
    <row r="438" spans="5:5" ht="12.75">
      <c r="E438" s="366"/>
    </row>
    <row r="439" spans="5:5" ht="12.75">
      <c r="E439" s="366"/>
    </row>
    <row r="440" spans="5:5" ht="12.75">
      <c r="E440" s="366"/>
    </row>
    <row r="441" spans="5:5" ht="12.75">
      <c r="E441" s="366"/>
    </row>
    <row r="442" spans="5:5" ht="12.75">
      <c r="E442" s="366"/>
    </row>
    <row r="443" spans="5:5" ht="12.75">
      <c r="E443" s="366"/>
    </row>
    <row r="444" spans="5:5" ht="12.75">
      <c r="E444" s="366"/>
    </row>
    <row r="445" spans="5:5" ht="12.75">
      <c r="E445" s="366"/>
    </row>
    <row r="446" spans="5:5" ht="12.75">
      <c r="E446" s="366"/>
    </row>
    <row r="447" spans="5:5" ht="12.75">
      <c r="E447" s="366"/>
    </row>
    <row r="448" spans="5:5" ht="12.75">
      <c r="E448" s="366"/>
    </row>
    <row r="449" spans="5:5" ht="12.75">
      <c r="E449" s="366"/>
    </row>
    <row r="450" spans="5:5" ht="12.75">
      <c r="E450" s="366"/>
    </row>
    <row r="451" spans="5:5" ht="12.75">
      <c r="E451" s="366"/>
    </row>
    <row r="452" spans="5:5" ht="12.75">
      <c r="E452" s="366"/>
    </row>
    <row r="453" spans="5:5" ht="12.75">
      <c r="E453" s="366"/>
    </row>
    <row r="454" spans="5:5" ht="12.75">
      <c r="E454" s="366"/>
    </row>
    <row r="455" spans="5:5" ht="12.75">
      <c r="E455" s="366"/>
    </row>
    <row r="456" spans="5:5" ht="12.75">
      <c r="E456" s="366"/>
    </row>
    <row r="457" spans="5:5" ht="12.75">
      <c r="E457" s="366"/>
    </row>
    <row r="458" spans="5:5" ht="12.75">
      <c r="E458" s="366"/>
    </row>
    <row r="459" spans="5:5" ht="12.75">
      <c r="E459" s="366"/>
    </row>
    <row r="460" spans="5:5" ht="12.75">
      <c r="E460" s="366"/>
    </row>
    <row r="461" spans="5:5" ht="12.75">
      <c r="E461" s="366"/>
    </row>
    <row r="462" spans="5:5" ht="12.75">
      <c r="E462" s="366"/>
    </row>
    <row r="463" spans="5:5" ht="12.75">
      <c r="E463" s="366"/>
    </row>
    <row r="464" spans="5:5" ht="12.75">
      <c r="E464" s="366"/>
    </row>
    <row r="465" spans="5:5" ht="12.75">
      <c r="E465" s="366"/>
    </row>
    <row r="466" spans="5:5" ht="12.75">
      <c r="E466" s="366"/>
    </row>
    <row r="467" spans="5:5" ht="12.75">
      <c r="E467" s="366"/>
    </row>
    <row r="468" spans="5:5" ht="12.75">
      <c r="E468" s="366"/>
    </row>
    <row r="469" spans="5:5" ht="12.75">
      <c r="E469" s="366"/>
    </row>
    <row r="470" spans="5:5" ht="12.75">
      <c r="E470" s="366"/>
    </row>
    <row r="471" spans="5:5" ht="12.75">
      <c r="E471" s="366"/>
    </row>
    <row r="472" spans="5:5" ht="12.75">
      <c r="E472" s="366"/>
    </row>
    <row r="473" spans="5:5" ht="12.75">
      <c r="E473" s="366"/>
    </row>
    <row r="474" spans="5:5" ht="12.75">
      <c r="E474" s="366"/>
    </row>
    <row r="475" spans="5:5" ht="12.75">
      <c r="E475" s="366"/>
    </row>
    <row r="476" spans="5:5" ht="12.75">
      <c r="E476" s="366"/>
    </row>
    <row r="477" spans="5:5" ht="12.75">
      <c r="E477" s="366"/>
    </row>
    <row r="478" spans="5:5" ht="12.75">
      <c r="E478" s="366"/>
    </row>
    <row r="479" spans="5:5" ht="12.75">
      <c r="E479" s="366"/>
    </row>
    <row r="480" spans="5:5" ht="12.75">
      <c r="E480" s="366"/>
    </row>
    <row r="481" spans="5:5" ht="12.75">
      <c r="E481" s="366"/>
    </row>
    <row r="482" spans="5:5" ht="12.75">
      <c r="E482" s="366"/>
    </row>
    <row r="483" spans="5:5" ht="12.75">
      <c r="E483" s="366"/>
    </row>
    <row r="484" spans="5:5" ht="12.75">
      <c r="E484" s="366"/>
    </row>
    <row r="485" spans="5:5" ht="12.75">
      <c r="E485" s="366"/>
    </row>
    <row r="486" spans="5:5" ht="12.75">
      <c r="E486" s="366"/>
    </row>
    <row r="487" spans="5:5" ht="12.75">
      <c r="E487" s="366"/>
    </row>
    <row r="488" spans="5:5" ht="12.75">
      <c r="E488" s="366"/>
    </row>
    <row r="489" spans="5:5" ht="12.75">
      <c r="E489" s="366"/>
    </row>
    <row r="490" spans="5:5" ht="12.75">
      <c r="E490" s="366"/>
    </row>
    <row r="491" spans="5:5" ht="12.75">
      <c r="E491" s="366"/>
    </row>
    <row r="492" spans="5:5" ht="12.75">
      <c r="E492" s="366"/>
    </row>
    <row r="493" spans="5:5" ht="12.75">
      <c r="E493" s="366"/>
    </row>
    <row r="494" spans="5:5" ht="12.75">
      <c r="E494" s="366"/>
    </row>
    <row r="495" spans="5:5" ht="12.75">
      <c r="E495" s="366"/>
    </row>
    <row r="496" spans="5:5" ht="12.75">
      <c r="E496" s="366"/>
    </row>
    <row r="497" spans="5:5" ht="12.75">
      <c r="E497" s="366"/>
    </row>
    <row r="498" spans="5:5" ht="12.75">
      <c r="E498" s="366"/>
    </row>
    <row r="499" spans="5:5" ht="12.75">
      <c r="E499" s="366"/>
    </row>
    <row r="500" spans="5:5" ht="12.75">
      <c r="E500" s="366"/>
    </row>
    <row r="501" spans="5:5" ht="12.75">
      <c r="E501" s="366"/>
    </row>
    <row r="502" spans="5:5" ht="12.75">
      <c r="E502" s="366"/>
    </row>
    <row r="503" spans="5:5" ht="12.75">
      <c r="E503" s="366"/>
    </row>
    <row r="504" spans="5:5" ht="12.75">
      <c r="E504" s="366"/>
    </row>
    <row r="505" spans="5:5" ht="12.75">
      <c r="E505" s="366"/>
    </row>
    <row r="506" spans="5:5" ht="12.75">
      <c r="E506" s="366"/>
    </row>
    <row r="507" spans="5:5" ht="12.75">
      <c r="E507" s="366"/>
    </row>
    <row r="508" spans="5:5" ht="12.75">
      <c r="E508" s="366"/>
    </row>
    <row r="509" spans="5:5" ht="12.75">
      <c r="E509" s="366"/>
    </row>
    <row r="510" spans="5:5" ht="12.75">
      <c r="E510" s="366"/>
    </row>
    <row r="511" spans="5:5" ht="12.75">
      <c r="E511" s="366"/>
    </row>
    <row r="512" spans="5:5" ht="12.75">
      <c r="E512" s="366"/>
    </row>
    <row r="513" spans="5:5" ht="12.75">
      <c r="E513" s="366"/>
    </row>
    <row r="514" spans="5:5" ht="12.75">
      <c r="E514" s="366"/>
    </row>
    <row r="515" spans="5:5" ht="12.75">
      <c r="E515" s="366"/>
    </row>
    <row r="516" spans="5:5" ht="12.75">
      <c r="E516" s="366"/>
    </row>
    <row r="517" spans="5:5" ht="12.75">
      <c r="E517" s="366"/>
    </row>
    <row r="518" spans="5:5" ht="12.75">
      <c r="E518" s="366"/>
    </row>
    <row r="519" spans="5:5" ht="12.75">
      <c r="E519" s="366"/>
    </row>
    <row r="520" spans="5:5" ht="12.75">
      <c r="E520" s="366"/>
    </row>
    <row r="521" spans="5:5" ht="12.75">
      <c r="E521" s="366"/>
    </row>
    <row r="522" spans="5:5" ht="12.75">
      <c r="E522" s="366"/>
    </row>
    <row r="523" spans="5:5" ht="12.75">
      <c r="E523" s="366"/>
    </row>
    <row r="524" spans="5:5" ht="12.75">
      <c r="E524" s="366"/>
    </row>
    <row r="525" spans="5:5" ht="12.75">
      <c r="E525" s="366"/>
    </row>
    <row r="526" spans="5:5" ht="12.75">
      <c r="E526" s="366"/>
    </row>
    <row r="527" spans="5:5" ht="12.75">
      <c r="E527" s="366"/>
    </row>
    <row r="528" spans="5:5" ht="12.75">
      <c r="E528" s="366"/>
    </row>
    <row r="529" spans="5:5" ht="12.75">
      <c r="E529" s="366"/>
    </row>
    <row r="530" spans="5:5" ht="12.75">
      <c r="E530" s="366"/>
    </row>
    <row r="531" spans="5:5" ht="12.75">
      <c r="E531" s="366"/>
    </row>
    <row r="532" spans="5:5" ht="12.75">
      <c r="E532" s="366"/>
    </row>
    <row r="533" spans="5:5" ht="12.75">
      <c r="E533" s="366"/>
    </row>
    <row r="534" spans="5:5" ht="12.75">
      <c r="E534" s="366"/>
    </row>
    <row r="535" spans="5:5" ht="12.75">
      <c r="E535" s="366"/>
    </row>
    <row r="536" spans="5:5" ht="12.75">
      <c r="E536" s="366"/>
    </row>
    <row r="537" spans="5:5" ht="12.75">
      <c r="E537" s="366"/>
    </row>
    <row r="538" spans="5:5" ht="12.75">
      <c r="E538" s="366"/>
    </row>
    <row r="539" spans="5:5" ht="12.75">
      <c r="E539" s="366"/>
    </row>
    <row r="540" spans="5:5" ht="12.75">
      <c r="E540" s="366"/>
    </row>
    <row r="541" spans="5:5" ht="12.75">
      <c r="E541" s="366"/>
    </row>
    <row r="542" spans="5:5" ht="12.75">
      <c r="E542" s="366"/>
    </row>
    <row r="543" spans="5:5" ht="12.75">
      <c r="E543" s="366"/>
    </row>
    <row r="544" spans="5:5" ht="12.75">
      <c r="E544" s="366"/>
    </row>
    <row r="545" spans="5:5" ht="12.75">
      <c r="E545" s="366"/>
    </row>
    <row r="546" spans="5:5" ht="12.75">
      <c r="E546" s="366"/>
    </row>
    <row r="547" spans="5:5" ht="12.75">
      <c r="E547" s="366"/>
    </row>
    <row r="548" spans="5:5" ht="12.75">
      <c r="E548" s="366"/>
    </row>
    <row r="549" spans="5:5" ht="12.75">
      <c r="E549" s="366"/>
    </row>
    <row r="550" spans="5:5" ht="12.75">
      <c r="E550" s="366"/>
    </row>
    <row r="551" spans="5:5" ht="12.75">
      <c r="E551" s="366"/>
    </row>
    <row r="552" spans="5:5" ht="12.75">
      <c r="E552" s="366"/>
    </row>
    <row r="553" spans="5:5" ht="12.75">
      <c r="E553" s="366"/>
    </row>
    <row r="554" spans="5:5" ht="12.75">
      <c r="E554" s="366"/>
    </row>
    <row r="555" spans="5:5" ht="12.75">
      <c r="E555" s="366"/>
    </row>
    <row r="556" spans="5:5" ht="12.75">
      <c r="E556" s="366"/>
    </row>
    <row r="557" spans="5:5" ht="12.75">
      <c r="E557" s="366"/>
    </row>
    <row r="558" spans="5:5" ht="12.75">
      <c r="E558" s="366"/>
    </row>
    <row r="559" spans="5:5" ht="12.75">
      <c r="E559" s="366"/>
    </row>
    <row r="560" spans="5:5" ht="12.75">
      <c r="E560" s="366"/>
    </row>
    <row r="561" spans="5:5" ht="12.75">
      <c r="E561" s="366"/>
    </row>
    <row r="562" spans="5:5" ht="12.75">
      <c r="E562" s="366"/>
    </row>
    <row r="563" spans="5:5" ht="12.75">
      <c r="E563" s="366"/>
    </row>
    <row r="564" spans="5:5" ht="12.75">
      <c r="E564" s="366"/>
    </row>
    <row r="565" spans="5:5" ht="12.75">
      <c r="E565" s="366"/>
    </row>
    <row r="566" spans="5:5" ht="12.75">
      <c r="E566" s="366"/>
    </row>
    <row r="567" spans="5:5" ht="12.75">
      <c r="E567" s="366"/>
    </row>
    <row r="568" spans="5:5" ht="12.75">
      <c r="E568" s="366"/>
    </row>
    <row r="569" spans="5:5" ht="12.75">
      <c r="E569" s="366"/>
    </row>
    <row r="570" spans="5:5" ht="12.75">
      <c r="E570" s="366"/>
    </row>
    <row r="571" spans="5:5" ht="12.75">
      <c r="E571" s="366"/>
    </row>
    <row r="572" spans="5:5" ht="12.75">
      <c r="E572" s="366"/>
    </row>
    <row r="573" spans="5:5" ht="12.75">
      <c r="E573" s="366"/>
    </row>
    <row r="574" spans="5:5" ht="12.75">
      <c r="E574" s="366"/>
    </row>
    <row r="575" spans="5:5" ht="12.75">
      <c r="E575" s="366"/>
    </row>
    <row r="576" spans="5:5" ht="12.75">
      <c r="E576" s="366"/>
    </row>
    <row r="577" spans="5:5" ht="12.75">
      <c r="E577" s="366"/>
    </row>
    <row r="578" spans="5:5" ht="12.75">
      <c r="E578" s="366"/>
    </row>
    <row r="579" spans="5:5" ht="12.75">
      <c r="E579" s="366"/>
    </row>
    <row r="580" spans="5:5" ht="12.75">
      <c r="E580" s="366"/>
    </row>
    <row r="581" spans="5:5" ht="12.75">
      <c r="E581" s="366"/>
    </row>
    <row r="582" spans="5:5" ht="12.75">
      <c r="E582" s="366"/>
    </row>
    <row r="583" spans="5:5" ht="12.75">
      <c r="E583" s="366"/>
    </row>
    <row r="584" spans="5:5" ht="12.75">
      <c r="E584" s="366"/>
    </row>
    <row r="585" spans="5:5" ht="12.75">
      <c r="E585" s="366"/>
    </row>
    <row r="586" spans="5:5" ht="12.75">
      <c r="E586" s="366"/>
    </row>
    <row r="587" spans="5:5" ht="12.75">
      <c r="E587" s="366"/>
    </row>
    <row r="588" spans="5:5" ht="12.75">
      <c r="E588" s="366"/>
    </row>
    <row r="589" spans="5:5" ht="12.75">
      <c r="E589" s="366"/>
    </row>
    <row r="590" spans="5:5" ht="12.75">
      <c r="E590" s="366"/>
    </row>
    <row r="591" spans="5:5" ht="12.75">
      <c r="E591" s="366"/>
    </row>
    <row r="592" spans="5:5" ht="12.75">
      <c r="E592" s="366"/>
    </row>
    <row r="593" spans="5:5" ht="12.75">
      <c r="E593" s="366"/>
    </row>
    <row r="594" spans="5:5" ht="12.75">
      <c r="E594" s="366"/>
    </row>
    <row r="595" spans="5:5" ht="12.75">
      <c r="E595" s="366"/>
    </row>
    <row r="596" spans="5:5" ht="12.75">
      <c r="E596" s="366"/>
    </row>
    <row r="597" spans="5:5" ht="12.75">
      <c r="E597" s="366"/>
    </row>
    <row r="598" spans="5:5" ht="12.75">
      <c r="E598" s="366"/>
    </row>
    <row r="599" spans="5:5" ht="12.75">
      <c r="E599" s="366"/>
    </row>
    <row r="600" spans="5:5" ht="12.75">
      <c r="E600" s="366"/>
    </row>
    <row r="601" spans="5:5" ht="12.75">
      <c r="E601" s="366"/>
    </row>
    <row r="602" spans="5:5" ht="12.75">
      <c r="E602" s="366"/>
    </row>
    <row r="603" spans="5:5" ht="12.75">
      <c r="E603" s="366"/>
    </row>
    <row r="604" spans="5:5" ht="12.75">
      <c r="E604" s="366"/>
    </row>
    <row r="605" spans="5:5" ht="12.75">
      <c r="E605" s="366"/>
    </row>
    <row r="606" spans="5:5" ht="12.75">
      <c r="E606" s="366"/>
    </row>
    <row r="607" spans="5:5" ht="12.75">
      <c r="E607" s="366"/>
    </row>
    <row r="608" spans="5:5" ht="12.75">
      <c r="E608" s="366"/>
    </row>
    <row r="609" spans="5:5" ht="12.75">
      <c r="E609" s="366"/>
    </row>
    <row r="610" spans="5:5" ht="12.75">
      <c r="E610" s="366"/>
    </row>
    <row r="611" spans="5:5" ht="12.75">
      <c r="E611" s="366"/>
    </row>
    <row r="612" spans="5:5" ht="12.75">
      <c r="E612" s="366"/>
    </row>
    <row r="613" spans="5:5" ht="12.75">
      <c r="E613" s="366"/>
    </row>
    <row r="614" spans="5:5" ht="12.75">
      <c r="E614" s="366"/>
    </row>
    <row r="615" spans="5:5" ht="12.75">
      <c r="E615" s="366"/>
    </row>
    <row r="616" spans="5:5" ht="12.75">
      <c r="E616" s="366"/>
    </row>
    <row r="617" spans="5:5" ht="12.75">
      <c r="E617" s="366"/>
    </row>
    <row r="618" spans="5:5" ht="12.75">
      <c r="E618" s="366"/>
    </row>
    <row r="619" spans="5:5" ht="12.75">
      <c r="E619" s="366"/>
    </row>
    <row r="620" spans="5:5" ht="12.75">
      <c r="E620" s="366"/>
    </row>
    <row r="621" spans="5:5" ht="12.75">
      <c r="E621" s="366"/>
    </row>
    <row r="622" spans="5:5" ht="12.75">
      <c r="E622" s="366"/>
    </row>
    <row r="623" spans="5:5" ht="12.75">
      <c r="E623" s="366"/>
    </row>
    <row r="624" spans="5:5" ht="12.75">
      <c r="E624" s="366"/>
    </row>
    <row r="625" spans="5:5" ht="12.75">
      <c r="E625" s="366"/>
    </row>
    <row r="626" spans="5:5" ht="12.75">
      <c r="E626" s="366"/>
    </row>
    <row r="627" spans="5:5" ht="12.75">
      <c r="E627" s="366"/>
    </row>
    <row r="628" spans="5:5" ht="12.75">
      <c r="E628" s="366"/>
    </row>
    <row r="629" spans="5:5" ht="12.75">
      <c r="E629" s="366"/>
    </row>
    <row r="630" spans="5:5" ht="12.75">
      <c r="E630" s="366"/>
    </row>
    <row r="631" spans="5:5" ht="12.75">
      <c r="E631" s="366"/>
    </row>
    <row r="632" spans="5:5" ht="12.75">
      <c r="E632" s="366"/>
    </row>
    <row r="633" spans="5:5" ht="12.75">
      <c r="E633" s="366"/>
    </row>
    <row r="634" spans="5:5" ht="12.75">
      <c r="E634" s="366"/>
    </row>
    <row r="635" spans="5:5" ht="12.75">
      <c r="E635" s="366"/>
    </row>
    <row r="636" spans="5:5" ht="12.75">
      <c r="E636" s="366"/>
    </row>
    <row r="637" spans="5:5" ht="12.75">
      <c r="E637" s="366"/>
    </row>
    <row r="638" spans="5:5" ht="12.75">
      <c r="E638" s="366"/>
    </row>
    <row r="639" spans="5:5" ht="12.75">
      <c r="E639" s="366"/>
    </row>
    <row r="640" spans="5:5" ht="12.75">
      <c r="E640" s="366"/>
    </row>
    <row r="641" spans="5:5" ht="12.75">
      <c r="E641" s="366"/>
    </row>
    <row r="642" spans="5:5" ht="12.75">
      <c r="E642" s="366"/>
    </row>
    <row r="643" spans="5:5" ht="12.75">
      <c r="E643" s="366"/>
    </row>
    <row r="644" spans="5:5" ht="12.75">
      <c r="E644" s="366"/>
    </row>
    <row r="645" spans="5:5" ht="12.75">
      <c r="E645" s="366"/>
    </row>
    <row r="646" spans="5:5" ht="12.75">
      <c r="E646" s="366"/>
    </row>
    <row r="647" spans="5:5" ht="12.75">
      <c r="E647" s="366"/>
    </row>
    <row r="648" spans="5:5" ht="12.75">
      <c r="E648" s="366"/>
    </row>
    <row r="649" spans="5:5" ht="12.75">
      <c r="E649" s="366"/>
    </row>
    <row r="650" spans="5:5" ht="12.75">
      <c r="E650" s="366"/>
    </row>
    <row r="651" spans="5:5" ht="12.75">
      <c r="E651" s="366"/>
    </row>
    <row r="652" spans="5:5" ht="12.75">
      <c r="E652" s="366"/>
    </row>
    <row r="653" spans="5:5" ht="12.75">
      <c r="E653" s="366"/>
    </row>
    <row r="654" spans="5:5" ht="12.75">
      <c r="E654" s="366"/>
    </row>
    <row r="655" spans="5:5" ht="12.75">
      <c r="E655" s="366"/>
    </row>
    <row r="656" spans="5:5" ht="12.75">
      <c r="E656" s="366"/>
    </row>
    <row r="657" spans="5:5" ht="12.75">
      <c r="E657" s="366"/>
    </row>
    <row r="658" spans="5:5" ht="12.75">
      <c r="E658" s="366"/>
    </row>
    <row r="659" spans="5:5" ht="12.75">
      <c r="E659" s="366"/>
    </row>
    <row r="660" spans="5:5" ht="12.75">
      <c r="E660" s="366"/>
    </row>
    <row r="661" spans="5:5" ht="12.75">
      <c r="E661" s="366"/>
    </row>
    <row r="662" spans="5:5" ht="12.75">
      <c r="E662" s="366"/>
    </row>
    <row r="663" spans="5:5" ht="12.75">
      <c r="E663" s="366"/>
    </row>
    <row r="664" spans="5:5" ht="12.75">
      <c r="E664" s="366"/>
    </row>
    <row r="665" spans="5:5" ht="12.75">
      <c r="E665" s="366"/>
    </row>
    <row r="666" spans="5:5" ht="12.75">
      <c r="E666" s="366"/>
    </row>
    <row r="667" spans="5:5" ht="12.75">
      <c r="E667" s="366"/>
    </row>
    <row r="668" spans="5:5" ht="12.75">
      <c r="E668" s="366"/>
    </row>
    <row r="669" spans="5:5" ht="12.75">
      <c r="E669" s="366"/>
    </row>
    <row r="670" spans="5:5" ht="12.75">
      <c r="E670" s="366"/>
    </row>
    <row r="671" spans="5:5" ht="12.75">
      <c r="E671" s="366"/>
    </row>
    <row r="672" spans="5:5" ht="12.75">
      <c r="E672" s="366"/>
    </row>
    <row r="673" spans="5:5" ht="12.75">
      <c r="E673" s="366"/>
    </row>
    <row r="674" spans="5:5" ht="12.75">
      <c r="E674" s="366"/>
    </row>
    <row r="675" spans="5:5" ht="12.75">
      <c r="E675" s="366"/>
    </row>
    <row r="676" spans="5:5" ht="12.75">
      <c r="E676" s="366"/>
    </row>
    <row r="677" spans="5:5" ht="12.75">
      <c r="E677" s="366"/>
    </row>
    <row r="678" spans="5:5" ht="12.75">
      <c r="E678" s="366"/>
    </row>
    <row r="679" spans="5:5" ht="12.75">
      <c r="E679" s="366"/>
    </row>
    <row r="680" spans="5:5" ht="12.75">
      <c r="E680" s="366"/>
    </row>
    <row r="681" spans="5:5" ht="12.75">
      <c r="E681" s="366"/>
    </row>
    <row r="682" spans="5:5" ht="12.75">
      <c r="E682" s="366"/>
    </row>
    <row r="683" spans="5:5" ht="12.75">
      <c r="E683" s="366"/>
    </row>
    <row r="684" spans="5:5" ht="12.75">
      <c r="E684" s="366"/>
    </row>
    <row r="685" spans="5:5" ht="12.75">
      <c r="E685" s="366"/>
    </row>
    <row r="686" spans="5:5" ht="12.75">
      <c r="E686" s="366"/>
    </row>
    <row r="687" spans="5:5" ht="12.75">
      <c r="E687" s="366"/>
    </row>
    <row r="688" spans="5:5" ht="12.75">
      <c r="E688" s="366"/>
    </row>
    <row r="689" spans="5:5" ht="12.75">
      <c r="E689" s="366"/>
    </row>
    <row r="690" spans="5:5" ht="12.75">
      <c r="E690" s="366"/>
    </row>
    <row r="691" spans="5:5" ht="12.75">
      <c r="E691" s="366"/>
    </row>
    <row r="692" spans="5:5" ht="12.75">
      <c r="E692" s="366"/>
    </row>
    <row r="693" spans="5:5" ht="12.75">
      <c r="E693" s="366"/>
    </row>
    <row r="694" spans="5:5" ht="12.75">
      <c r="E694" s="366"/>
    </row>
    <row r="695" spans="5:5" ht="12.75">
      <c r="E695" s="366"/>
    </row>
    <row r="696" spans="5:5" ht="12.75">
      <c r="E696" s="366"/>
    </row>
    <row r="697" spans="5:5" ht="12.75">
      <c r="E697" s="366"/>
    </row>
    <row r="698" spans="5:5" ht="12.75">
      <c r="E698" s="366"/>
    </row>
    <row r="699" spans="5:5" ht="12.75">
      <c r="E699" s="366"/>
    </row>
    <row r="700" spans="5:5" ht="12.75">
      <c r="E700" s="366"/>
    </row>
    <row r="701" spans="5:5" ht="12.75">
      <c r="E701" s="366"/>
    </row>
    <row r="702" spans="5:5" ht="12.75">
      <c r="E702" s="366"/>
    </row>
    <row r="703" spans="5:5" ht="12.75">
      <c r="E703" s="366"/>
    </row>
    <row r="704" spans="5:5" ht="12.75">
      <c r="E704" s="366"/>
    </row>
    <row r="705" spans="5:5" ht="12.75">
      <c r="E705" s="366"/>
    </row>
    <row r="706" spans="5:5" ht="12.75">
      <c r="E706" s="366"/>
    </row>
    <row r="707" spans="5:5" ht="12.75">
      <c r="E707" s="366"/>
    </row>
    <row r="708" spans="5:5" ht="12.75">
      <c r="E708" s="366"/>
    </row>
    <row r="709" spans="5:5" ht="12.75">
      <c r="E709" s="366"/>
    </row>
    <row r="710" spans="5:5" ht="12.75">
      <c r="E710" s="366"/>
    </row>
    <row r="711" spans="5:5" ht="12.75">
      <c r="E711" s="366"/>
    </row>
    <row r="712" spans="5:5" ht="12.75">
      <c r="E712" s="366"/>
    </row>
    <row r="713" spans="5:5" ht="12.75">
      <c r="E713" s="366"/>
    </row>
    <row r="714" spans="5:5" ht="12.75">
      <c r="E714" s="366"/>
    </row>
    <row r="715" spans="5:5" ht="12.75">
      <c r="E715" s="366"/>
    </row>
    <row r="716" spans="5:5" ht="12.75">
      <c r="E716" s="366"/>
    </row>
    <row r="717" spans="5:5" ht="12.75">
      <c r="E717" s="366"/>
    </row>
    <row r="718" spans="5:5" ht="12.75">
      <c r="E718" s="366"/>
    </row>
    <row r="719" spans="5:5" ht="12.75">
      <c r="E719" s="366"/>
    </row>
    <row r="720" spans="5:5" ht="12.75">
      <c r="E720" s="366"/>
    </row>
    <row r="721" spans="5:5" ht="12.75">
      <c r="E721" s="366"/>
    </row>
    <row r="722" spans="5:5" ht="12.75">
      <c r="E722" s="366"/>
    </row>
    <row r="723" spans="5:5" ht="12.75">
      <c r="E723" s="366"/>
    </row>
    <row r="724" spans="5:5" ht="12.75">
      <c r="E724" s="366"/>
    </row>
    <row r="725" spans="5:5" ht="12.75">
      <c r="E725" s="366"/>
    </row>
    <row r="726" spans="5:5" ht="12.75">
      <c r="E726" s="366"/>
    </row>
    <row r="727" spans="5:5" ht="12.75">
      <c r="E727" s="366"/>
    </row>
    <row r="728" spans="5:5" ht="12.75">
      <c r="E728" s="366"/>
    </row>
    <row r="729" spans="5:5" ht="12.75">
      <c r="E729" s="366"/>
    </row>
    <row r="730" spans="5:5" ht="12.75">
      <c r="E730" s="366"/>
    </row>
    <row r="731" spans="5:5" ht="12.75">
      <c r="E731" s="366"/>
    </row>
    <row r="732" spans="5:5" ht="12.75">
      <c r="E732" s="366"/>
    </row>
    <row r="733" spans="5:5" ht="12.75">
      <c r="E733" s="366"/>
    </row>
    <row r="734" spans="5:5" ht="12.75">
      <c r="E734" s="366"/>
    </row>
    <row r="735" spans="5:5" ht="12.75">
      <c r="E735" s="366"/>
    </row>
    <row r="736" spans="5:5" ht="12.75">
      <c r="E736" s="366"/>
    </row>
    <row r="737" spans="5:5" ht="12.75">
      <c r="E737" s="366"/>
    </row>
    <row r="738" spans="5:5" ht="12.75">
      <c r="E738" s="366"/>
    </row>
    <row r="739" spans="5:5" ht="12.75">
      <c r="E739" s="366"/>
    </row>
    <row r="740" spans="5:5" ht="12.75">
      <c r="E740" s="366"/>
    </row>
    <row r="741" spans="5:5" ht="12.75">
      <c r="E741" s="366"/>
    </row>
    <row r="742" spans="5:5" ht="12.75">
      <c r="E742" s="366"/>
    </row>
    <row r="743" spans="5:5" ht="12.75">
      <c r="E743" s="366"/>
    </row>
    <row r="744" spans="5:5" ht="12.75">
      <c r="E744" s="366"/>
    </row>
    <row r="745" spans="5:5" ht="12.75">
      <c r="E745" s="366"/>
    </row>
    <row r="746" spans="5:5" ht="12.75">
      <c r="E746" s="366"/>
    </row>
    <row r="747" spans="5:5" ht="12.75">
      <c r="E747" s="366"/>
    </row>
    <row r="748" spans="5:5" ht="12.75">
      <c r="E748" s="366"/>
    </row>
    <row r="749" spans="5:5" ht="12.75">
      <c r="E749" s="366"/>
    </row>
    <row r="750" spans="5:5" ht="12.75">
      <c r="E750" s="366"/>
    </row>
    <row r="751" spans="5:5" ht="12.75">
      <c r="E751" s="366"/>
    </row>
    <row r="752" spans="5:5" ht="12.75">
      <c r="E752" s="366"/>
    </row>
    <row r="753" spans="5:5" ht="12.75">
      <c r="E753" s="366"/>
    </row>
    <row r="754" spans="5:5" ht="12.75">
      <c r="E754" s="366"/>
    </row>
    <row r="755" spans="5:5" ht="12.75">
      <c r="E755" s="366"/>
    </row>
    <row r="756" spans="5:5" ht="12.75">
      <c r="E756" s="366"/>
    </row>
    <row r="757" spans="5:5" ht="12.75">
      <c r="E757" s="366"/>
    </row>
    <row r="758" spans="5:5" ht="12.75">
      <c r="E758" s="366"/>
    </row>
    <row r="759" spans="5:5" ht="12.75">
      <c r="E759" s="366"/>
    </row>
    <row r="760" spans="5:5" ht="12.75">
      <c r="E760" s="366"/>
    </row>
    <row r="761" spans="5:5" ht="12.75">
      <c r="E761" s="366"/>
    </row>
    <row r="762" spans="5:5" ht="12.75">
      <c r="E762" s="366"/>
    </row>
    <row r="763" spans="5:5" ht="12.75">
      <c r="E763" s="366"/>
    </row>
    <row r="764" spans="5:5" ht="12.75">
      <c r="E764" s="366"/>
    </row>
    <row r="765" spans="5:5" ht="12.75">
      <c r="E765" s="366"/>
    </row>
    <row r="766" spans="5:5" ht="12.75">
      <c r="E766" s="366"/>
    </row>
    <row r="767" spans="5:5" ht="12.75">
      <c r="E767" s="366"/>
    </row>
    <row r="768" spans="5:5" ht="12.75">
      <c r="E768" s="366"/>
    </row>
    <row r="769" spans="5:5" ht="12.75">
      <c r="E769" s="366"/>
    </row>
    <row r="770" spans="5:5" ht="12.75">
      <c r="E770" s="366"/>
    </row>
    <row r="771" spans="5:5" ht="12.75">
      <c r="E771" s="366"/>
    </row>
    <row r="772" spans="5:5" ht="12.75">
      <c r="E772" s="366"/>
    </row>
    <row r="773" spans="5:5" ht="12.75">
      <c r="E773" s="366"/>
    </row>
    <row r="774" spans="5:5" ht="12.75">
      <c r="E774" s="366"/>
    </row>
    <row r="775" spans="5:5" ht="12.75">
      <c r="E775" s="366"/>
    </row>
    <row r="776" spans="5:5" ht="12.75">
      <c r="E776" s="366"/>
    </row>
    <row r="777" spans="5:5" ht="12.75">
      <c r="E777" s="366"/>
    </row>
    <row r="778" spans="5:5" ht="12.75">
      <c r="E778" s="366"/>
    </row>
    <row r="779" spans="5:5" ht="12.75">
      <c r="E779" s="366"/>
    </row>
    <row r="780" spans="5:5" ht="12.75">
      <c r="E780" s="366"/>
    </row>
    <row r="781" spans="5:5" ht="12.75">
      <c r="E781" s="366"/>
    </row>
    <row r="782" spans="5:5" ht="12.75">
      <c r="E782" s="366"/>
    </row>
    <row r="783" spans="5:5" ht="12.75">
      <c r="E783" s="366"/>
    </row>
    <row r="784" spans="5:5" ht="12.75">
      <c r="E784" s="366"/>
    </row>
    <row r="785" spans="5:5" ht="12.75">
      <c r="E785" s="366"/>
    </row>
    <row r="786" spans="5:5" ht="12.75">
      <c r="E786" s="366"/>
    </row>
    <row r="787" spans="5:5" ht="12.75">
      <c r="E787" s="366"/>
    </row>
    <row r="788" spans="5:5" ht="12.75">
      <c r="E788" s="366"/>
    </row>
    <row r="789" spans="5:5" ht="12.75">
      <c r="E789" s="366"/>
    </row>
    <row r="790" spans="5:5" ht="12.75">
      <c r="E790" s="366"/>
    </row>
    <row r="791" spans="5:5" ht="12.75">
      <c r="E791" s="366"/>
    </row>
    <row r="792" spans="5:5" ht="12.75">
      <c r="E792" s="366"/>
    </row>
    <row r="793" spans="5:5" ht="12.75">
      <c r="E793" s="366"/>
    </row>
    <row r="794" spans="5:5" ht="12.75">
      <c r="E794" s="366"/>
    </row>
    <row r="795" spans="5:5" ht="12.75">
      <c r="E795" s="366"/>
    </row>
    <row r="796" spans="5:5" ht="12.75">
      <c r="E796" s="366"/>
    </row>
    <row r="797" spans="5:5" ht="12.75">
      <c r="E797" s="366"/>
    </row>
    <row r="798" spans="5:5" ht="12.75">
      <c r="E798" s="366"/>
    </row>
    <row r="799" spans="5:5" ht="12.75">
      <c r="E799" s="366"/>
    </row>
    <row r="800" spans="5:5" ht="12.75">
      <c r="E800" s="366"/>
    </row>
    <row r="801" spans="5:5" ht="12.75">
      <c r="E801" s="366"/>
    </row>
    <row r="802" spans="5:5" ht="12.75">
      <c r="E802" s="366"/>
    </row>
    <row r="803" spans="5:5" ht="12.75">
      <c r="E803" s="366"/>
    </row>
    <row r="804" spans="5:5" ht="12.75">
      <c r="E804" s="366"/>
    </row>
    <row r="805" spans="5:5" ht="12.75">
      <c r="E805" s="366"/>
    </row>
    <row r="806" spans="5:5" ht="12.75">
      <c r="E806" s="366"/>
    </row>
    <row r="807" spans="5:5" ht="12.75">
      <c r="E807" s="366"/>
    </row>
    <row r="808" spans="5:5" ht="12.75">
      <c r="E808" s="366"/>
    </row>
    <row r="809" spans="5:5" ht="12.75">
      <c r="E809" s="366"/>
    </row>
    <row r="810" spans="5:5" ht="12.75">
      <c r="E810" s="366"/>
    </row>
    <row r="811" spans="5:5" ht="12.75">
      <c r="E811" s="366"/>
    </row>
    <row r="812" spans="5:5" ht="12.75">
      <c r="E812" s="366"/>
    </row>
    <row r="813" spans="5:5" ht="12.75">
      <c r="E813" s="366"/>
    </row>
    <row r="814" spans="5:5" ht="12.75">
      <c r="E814" s="366"/>
    </row>
    <row r="815" spans="5:5" ht="12.75">
      <c r="E815" s="366"/>
    </row>
    <row r="816" spans="5:5" ht="12.75">
      <c r="E816" s="366"/>
    </row>
    <row r="817" spans="5:5" ht="12.75">
      <c r="E817" s="366"/>
    </row>
    <row r="818" spans="5:5" ht="12.75">
      <c r="E818" s="366"/>
    </row>
    <row r="819" spans="5:5" ht="12.75">
      <c r="E819" s="366"/>
    </row>
    <row r="820" spans="5:5" ht="12.75">
      <c r="E820" s="366"/>
    </row>
    <row r="821" spans="5:5" ht="12.75">
      <c r="E821" s="366"/>
    </row>
    <row r="822" spans="5:5" ht="12.75">
      <c r="E822" s="366"/>
    </row>
    <row r="823" spans="5:5" ht="12.75">
      <c r="E823" s="366"/>
    </row>
    <row r="824" spans="5:5" ht="12.75">
      <c r="E824" s="366"/>
    </row>
    <row r="825" spans="5:5" ht="12.75">
      <c r="E825" s="366"/>
    </row>
    <row r="826" spans="5:5" ht="12.75">
      <c r="E826" s="366"/>
    </row>
    <row r="827" spans="5:5" ht="12.75">
      <c r="E827" s="366"/>
    </row>
    <row r="828" spans="5:5" ht="12.75">
      <c r="E828" s="366"/>
    </row>
    <row r="829" spans="5:5" ht="12.75">
      <c r="E829" s="366"/>
    </row>
    <row r="830" spans="5:5" ht="12.75">
      <c r="E830" s="366"/>
    </row>
    <row r="831" spans="5:5" ht="12.75">
      <c r="E831" s="366"/>
    </row>
    <row r="832" spans="5:5" ht="12.75">
      <c r="E832" s="366"/>
    </row>
    <row r="833" spans="5:5" ht="12.75">
      <c r="E833" s="366"/>
    </row>
    <row r="834" spans="5:5" ht="12.75">
      <c r="E834" s="366"/>
    </row>
    <row r="835" spans="5:5" ht="12.75">
      <c r="E835" s="366"/>
    </row>
    <row r="836" spans="5:5" ht="12.75">
      <c r="E836" s="366"/>
    </row>
    <row r="837" spans="5:5" ht="12.75">
      <c r="E837" s="366"/>
    </row>
    <row r="838" spans="5:5" ht="12.75">
      <c r="E838" s="366"/>
    </row>
    <row r="839" spans="5:5" ht="12.75">
      <c r="E839" s="366"/>
    </row>
    <row r="840" spans="5:5" ht="12.75">
      <c r="E840" s="366"/>
    </row>
    <row r="841" spans="5:5" ht="12.75">
      <c r="E841" s="366"/>
    </row>
    <row r="842" spans="5:5" ht="12.75">
      <c r="E842" s="366"/>
    </row>
    <row r="843" spans="5:5" ht="12.75">
      <c r="E843" s="366"/>
    </row>
    <row r="844" spans="5:5" ht="12.75">
      <c r="E844" s="366"/>
    </row>
    <row r="845" spans="5:5" ht="12.75">
      <c r="E845" s="366"/>
    </row>
    <row r="846" spans="5:5" ht="12.75">
      <c r="E846" s="366"/>
    </row>
    <row r="847" spans="5:5" ht="12.75">
      <c r="E847" s="366"/>
    </row>
    <row r="848" spans="5:5" ht="12.75">
      <c r="E848" s="366"/>
    </row>
    <row r="849" spans="5:5" ht="12.75">
      <c r="E849" s="366"/>
    </row>
    <row r="850" spans="5:5" ht="12.75">
      <c r="E850" s="366"/>
    </row>
    <row r="851" spans="5:5" ht="12.75">
      <c r="E851" s="366"/>
    </row>
    <row r="852" spans="5:5" ht="12.75">
      <c r="E852" s="366"/>
    </row>
    <row r="853" spans="5:5" ht="12.75">
      <c r="E853" s="366"/>
    </row>
    <row r="854" spans="5:5" ht="12.75">
      <c r="E854" s="366"/>
    </row>
    <row r="855" spans="5:5" ht="12.75">
      <c r="E855" s="366"/>
    </row>
    <row r="856" spans="5:5" ht="12.75">
      <c r="E856" s="366"/>
    </row>
    <row r="857" spans="5:5" ht="12.75">
      <c r="E857" s="366"/>
    </row>
    <row r="858" spans="5:5" ht="12.75">
      <c r="E858" s="366"/>
    </row>
    <row r="859" spans="5:5" ht="12.75">
      <c r="E859" s="366"/>
    </row>
    <row r="860" spans="5:5" ht="12.75">
      <c r="E860" s="366"/>
    </row>
    <row r="861" spans="5:5" ht="12.75">
      <c r="E861" s="366"/>
    </row>
    <row r="862" spans="5:5" ht="12.75">
      <c r="E862" s="366"/>
    </row>
    <row r="863" spans="5:5" ht="12.75">
      <c r="E863" s="366"/>
    </row>
    <row r="864" spans="5:5" ht="12.75">
      <c r="E864" s="366"/>
    </row>
    <row r="865" spans="5:5" ht="12.75">
      <c r="E865" s="366"/>
    </row>
    <row r="866" spans="5:5" ht="12.75">
      <c r="E866" s="366"/>
    </row>
    <row r="867" spans="5:5" ht="12.75">
      <c r="E867" s="366"/>
    </row>
    <row r="868" spans="5:5" ht="12.75">
      <c r="E868" s="366"/>
    </row>
    <row r="869" spans="5:5" ht="12.75">
      <c r="E869" s="366"/>
    </row>
    <row r="870" spans="5:5" ht="12.75">
      <c r="E870" s="366"/>
    </row>
    <row r="871" spans="5:5" ht="12.75">
      <c r="E871" s="366"/>
    </row>
    <row r="872" spans="5:5" ht="12.75">
      <c r="E872" s="366"/>
    </row>
    <row r="873" spans="5:5" ht="12.75">
      <c r="E873" s="366"/>
    </row>
    <row r="874" spans="5:5" ht="12.75">
      <c r="E874" s="366"/>
    </row>
    <row r="875" spans="5:5" ht="12.75">
      <c r="E875" s="366"/>
    </row>
    <row r="876" spans="5:5" ht="12.75">
      <c r="E876" s="366"/>
    </row>
    <row r="877" spans="5:5" ht="12.75">
      <c r="E877" s="366"/>
    </row>
    <row r="878" spans="5:5" ht="12.75">
      <c r="E878" s="366"/>
    </row>
    <row r="879" spans="5:5" ht="12.75">
      <c r="E879" s="366"/>
    </row>
    <row r="880" spans="5:5" ht="12.75">
      <c r="E880" s="366"/>
    </row>
    <row r="881" spans="5:5" ht="12.75">
      <c r="E881" s="366"/>
    </row>
    <row r="882" spans="5:5" ht="12.75">
      <c r="E882" s="366"/>
    </row>
    <row r="883" spans="5:5" ht="12.75">
      <c r="E883" s="366"/>
    </row>
    <row r="884" spans="5:5" ht="12.75">
      <c r="E884" s="366"/>
    </row>
    <row r="885" spans="5:5" ht="12.75">
      <c r="E885" s="366"/>
    </row>
    <row r="886" spans="5:5" ht="12.75">
      <c r="E886" s="366"/>
    </row>
    <row r="887" spans="5:5" ht="12.75">
      <c r="E887" s="366"/>
    </row>
    <row r="888" spans="5:5" ht="12.75">
      <c r="E888" s="366"/>
    </row>
    <row r="889" spans="5:5" ht="12.75">
      <c r="E889" s="366"/>
    </row>
    <row r="890" spans="5:5" ht="12.75">
      <c r="E890" s="366"/>
    </row>
    <row r="891" spans="5:5" ht="12.75">
      <c r="E891" s="366"/>
    </row>
    <row r="892" spans="5:5" ht="12.75">
      <c r="E892" s="366"/>
    </row>
    <row r="893" spans="5:5" ht="12.75">
      <c r="E893" s="366"/>
    </row>
    <row r="894" spans="5:5" ht="12.75">
      <c r="E894" s="366"/>
    </row>
    <row r="895" spans="5:5" ht="12.75">
      <c r="E895" s="366"/>
    </row>
    <row r="896" spans="5:5" ht="12.75">
      <c r="E896" s="366"/>
    </row>
    <row r="897" spans="5:5" ht="12.75">
      <c r="E897" s="366"/>
    </row>
    <row r="898" spans="5:5" ht="12.75">
      <c r="E898" s="366"/>
    </row>
    <row r="899" spans="5:5" ht="12.75">
      <c r="E899" s="366"/>
    </row>
    <row r="900" spans="5:5" ht="12.75">
      <c r="E900" s="366"/>
    </row>
    <row r="901" spans="5:5" ht="12.75">
      <c r="E901" s="366"/>
    </row>
    <row r="902" spans="5:5" ht="12.75">
      <c r="E902" s="366"/>
    </row>
    <row r="903" spans="5:5" ht="12.75">
      <c r="E903" s="366"/>
    </row>
    <row r="904" spans="5:5" ht="12.75">
      <c r="E904" s="366"/>
    </row>
    <row r="905" spans="5:5" ht="12.75">
      <c r="E905" s="366"/>
    </row>
    <row r="906" spans="5:5" ht="12.75">
      <c r="E906" s="366"/>
    </row>
    <row r="907" spans="5:5" ht="12.75">
      <c r="E907" s="366"/>
    </row>
    <row r="908" spans="5:5" ht="12.75">
      <c r="E908" s="366"/>
    </row>
    <row r="909" spans="5:5" ht="12.75">
      <c r="E909" s="366"/>
    </row>
    <row r="910" spans="5:5" ht="12.75">
      <c r="E910" s="366"/>
    </row>
    <row r="911" spans="5:5" ht="12.75">
      <c r="E911" s="366"/>
    </row>
    <row r="912" spans="5:5" ht="12.75">
      <c r="E912" s="366"/>
    </row>
    <row r="913" spans="5:5" ht="12.75">
      <c r="E913" s="366"/>
    </row>
    <row r="914" spans="5:5" ht="12.75">
      <c r="E914" s="366"/>
    </row>
    <row r="915" spans="5:5" ht="12.75">
      <c r="E915" s="366"/>
    </row>
    <row r="916" spans="5:5" ht="12.75">
      <c r="E916" s="366"/>
    </row>
    <row r="917" spans="5:5" ht="12.75">
      <c r="E917" s="366"/>
    </row>
    <row r="918" spans="5:5" ht="12.75">
      <c r="E918" s="366"/>
    </row>
    <row r="919" spans="5:5" ht="12.75">
      <c r="E919" s="366"/>
    </row>
    <row r="920" spans="5:5" ht="12.75">
      <c r="E920" s="366"/>
    </row>
    <row r="921" spans="5:5" ht="12.75">
      <c r="E921" s="366"/>
    </row>
    <row r="922" spans="5:5" ht="12.75">
      <c r="E922" s="366"/>
    </row>
    <row r="923" spans="5:5" ht="12.75">
      <c r="E923" s="366"/>
    </row>
    <row r="924" spans="5:5" ht="12.75">
      <c r="E924" s="366"/>
    </row>
    <row r="925" spans="5:5" ht="12.75">
      <c r="E925" s="366"/>
    </row>
    <row r="926" spans="5:5" ht="12.75">
      <c r="E926" s="366"/>
    </row>
    <row r="927" spans="5:5" ht="12.75">
      <c r="E927" s="366"/>
    </row>
    <row r="928" spans="5:5" ht="12.75">
      <c r="E928" s="366"/>
    </row>
    <row r="929" spans="5:5" ht="12.75">
      <c r="E929" s="366"/>
    </row>
    <row r="930" spans="5:5" ht="12.75">
      <c r="E930" s="366"/>
    </row>
    <row r="931" spans="5:5" ht="12.75">
      <c r="E931" s="366"/>
    </row>
    <row r="932" spans="5:5" ht="12.75">
      <c r="E932" s="366"/>
    </row>
    <row r="933" spans="5:5" ht="12.75">
      <c r="E933" s="366"/>
    </row>
    <row r="934" spans="5:5" ht="12.75">
      <c r="E934" s="366"/>
    </row>
    <row r="935" spans="5:5" ht="12.75">
      <c r="E935" s="366"/>
    </row>
    <row r="936" spans="5:5" ht="12.75">
      <c r="E936" s="366"/>
    </row>
    <row r="937" spans="5:5" ht="12.75">
      <c r="E937" s="366"/>
    </row>
    <row r="938" spans="5:5" ht="12.75">
      <c r="E938" s="366"/>
    </row>
    <row r="939" spans="5:5" ht="12.75">
      <c r="E939" s="366"/>
    </row>
    <row r="940" spans="5:5" ht="12.75">
      <c r="E940" s="366"/>
    </row>
    <row r="941" spans="5:5" ht="12.75">
      <c r="E941" s="366"/>
    </row>
    <row r="942" spans="5:5" ht="12.75">
      <c r="E942" s="366"/>
    </row>
    <row r="943" spans="5:5" ht="12.75">
      <c r="E943" s="366"/>
    </row>
    <row r="944" spans="5:5" ht="12.75">
      <c r="E944" s="366"/>
    </row>
    <row r="945" spans="5:5" ht="12.75">
      <c r="E945" s="366"/>
    </row>
    <row r="946" spans="5:5" ht="12.75">
      <c r="E946" s="366"/>
    </row>
    <row r="947" spans="5:5" ht="12.75">
      <c r="E947" s="366"/>
    </row>
    <row r="948" spans="5:5" ht="12.75">
      <c r="E948" s="366"/>
    </row>
    <row r="949" spans="5:5" ht="12.75">
      <c r="E949" s="366"/>
    </row>
    <row r="950" spans="5:5" ht="12.75">
      <c r="E950" s="366"/>
    </row>
    <row r="951" spans="5:5" ht="12.75">
      <c r="E951" s="366"/>
    </row>
    <row r="952" spans="5:5" ht="12.75">
      <c r="E952" s="366"/>
    </row>
    <row r="953" spans="5:5" ht="12.75">
      <c r="E953" s="366"/>
    </row>
    <row r="954" spans="5:5" ht="12.75">
      <c r="E954" s="366"/>
    </row>
    <row r="955" spans="5:5" ht="12.75">
      <c r="E955" s="366"/>
    </row>
    <row r="956" spans="5:5" ht="12.75">
      <c r="E956" s="366"/>
    </row>
    <row r="957" spans="5:5" ht="12.75">
      <c r="E957" s="366"/>
    </row>
    <row r="958" spans="5:5" ht="12.75">
      <c r="E958" s="366"/>
    </row>
    <row r="959" spans="5:5" ht="12.75">
      <c r="E959" s="366"/>
    </row>
    <row r="960" spans="5:5" ht="12.75">
      <c r="E960" s="366"/>
    </row>
    <row r="961" spans="5:5" ht="12.75">
      <c r="E961" s="366"/>
    </row>
    <row r="962" spans="5:5" ht="12.75">
      <c r="E962" s="366"/>
    </row>
    <row r="963" spans="5:5" ht="12.75">
      <c r="E963" s="366"/>
    </row>
    <row r="964" spans="5:5" ht="12.75">
      <c r="E964" s="366"/>
    </row>
    <row r="965" spans="5:5" ht="12.75">
      <c r="E965" s="366"/>
    </row>
    <row r="966" spans="5:5" ht="12.75">
      <c r="E966" s="366"/>
    </row>
    <row r="967" spans="5:5" ht="12.75">
      <c r="E967" s="366"/>
    </row>
    <row r="968" spans="5:5" ht="12.75">
      <c r="E968" s="366"/>
    </row>
    <row r="969" spans="5:5" ht="12.75">
      <c r="E969" s="366"/>
    </row>
    <row r="970" spans="5:5" ht="12.75">
      <c r="E970" s="366"/>
    </row>
    <row r="971" spans="5:5" ht="12.75">
      <c r="E971" s="366"/>
    </row>
    <row r="972" spans="5:5" ht="12.75">
      <c r="E972" s="366"/>
    </row>
    <row r="973" spans="5:5" ht="12.75">
      <c r="E973" s="366"/>
    </row>
    <row r="974" spans="5:5" ht="12.75">
      <c r="E974" s="366"/>
    </row>
    <row r="975" spans="5:5" ht="12.75">
      <c r="E975" s="366"/>
    </row>
    <row r="976" spans="5:5" ht="12.75">
      <c r="E976" s="366"/>
    </row>
    <row r="977" spans="5:5" ht="12.75">
      <c r="E977" s="366"/>
    </row>
    <row r="978" spans="5:5" ht="12.75">
      <c r="E978" s="366"/>
    </row>
    <row r="979" spans="5:5" ht="12.75">
      <c r="E979" s="366"/>
    </row>
    <row r="980" spans="5:5" ht="12.75">
      <c r="E980" s="366"/>
    </row>
    <row r="981" spans="5:5" ht="12.75">
      <c r="E981" s="366"/>
    </row>
    <row r="982" spans="5:5" ht="12.75">
      <c r="E982" s="366"/>
    </row>
    <row r="983" spans="5:5" ht="12.75">
      <c r="E983" s="366"/>
    </row>
    <row r="984" spans="5:5" ht="12.75">
      <c r="E984" s="366"/>
    </row>
    <row r="985" spans="5:5" ht="12.75">
      <c r="E985" s="366"/>
    </row>
    <row r="986" spans="5:5" ht="12.75">
      <c r="E986" s="366"/>
    </row>
    <row r="987" spans="5:5" ht="12.75">
      <c r="E987" s="366"/>
    </row>
    <row r="988" spans="5:5" ht="12.75">
      <c r="E988" s="366"/>
    </row>
    <row r="989" spans="5:5" ht="12.75">
      <c r="E989" s="366"/>
    </row>
    <row r="990" spans="5:5" ht="12.75">
      <c r="E990" s="366"/>
    </row>
    <row r="991" spans="5:5" ht="12.75">
      <c r="E991" s="366"/>
    </row>
    <row r="992" spans="5:5" ht="12.75">
      <c r="E992" s="366"/>
    </row>
    <row r="993" spans="5:5" ht="12.75">
      <c r="E993" s="366"/>
    </row>
    <row r="994" spans="5:5" ht="12.75">
      <c r="E994" s="366"/>
    </row>
    <row r="995" spans="5:5" ht="12.75">
      <c r="E995" s="366"/>
    </row>
    <row r="996" spans="5:5" ht="12.75">
      <c r="E996" s="366"/>
    </row>
    <row r="997" spans="5:5" ht="12.75">
      <c r="E997" s="366"/>
    </row>
    <row r="998" spans="5:5" ht="12.75">
      <c r="E998" s="366"/>
    </row>
    <row r="999" spans="5:5" ht="12.75">
      <c r="E999" s="366"/>
    </row>
    <row r="1000" spans="5:5" ht="12.75">
      <c r="E1000" s="366"/>
    </row>
    <row r="1001" spans="5:5" ht="12.75">
      <c r="E1001" s="366"/>
    </row>
  </sheetData>
  <mergeCells count="1">
    <mergeCell ref="A1:B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ummaryRight="0"/>
  </sheetPr>
  <dimension ref="A1:J901"/>
  <sheetViews>
    <sheetView workbookViewId="0">
      <pane ySplit="2" topLeftCell="A3" activePane="bottomLeft" state="frozen"/>
      <selection pane="bottomLeft"/>
    </sheetView>
  </sheetViews>
  <sheetFormatPr defaultColWidth="14.42578125" defaultRowHeight="15.75" customHeight="1"/>
  <cols>
    <col min="2" max="2" width="7.7109375" customWidth="1"/>
    <col min="3" max="3" width="6.7109375" customWidth="1"/>
    <col min="4" max="4" width="10.140625" customWidth="1"/>
    <col min="5" max="5" width="6.5703125" customWidth="1"/>
    <col min="6" max="6" width="9.7109375" customWidth="1"/>
    <col min="7" max="7" width="12.42578125" customWidth="1"/>
    <col min="8" max="8" width="10.140625" customWidth="1"/>
    <col min="9" max="9" width="17.42578125" customWidth="1"/>
  </cols>
  <sheetData>
    <row r="1" spans="1:10" ht="16.5" customHeight="1">
      <c r="A1" s="276"/>
      <c r="B1" s="276"/>
      <c r="C1" s="279" t="s">
        <v>3985</v>
      </c>
      <c r="D1" s="359">
        <f>COUNTA(D3:D1002)</f>
        <v>899</v>
      </c>
      <c r="E1" s="28" t="s">
        <v>8359</v>
      </c>
      <c r="F1" s="360">
        <f>(COUNTA(F3:F1002)+COUNTA(H3:H1002))/D1</f>
        <v>1</v>
      </c>
      <c r="G1" s="28" t="s">
        <v>8360</v>
      </c>
      <c r="H1" s="360">
        <f>COUNTA(H3:H1002)/(COUNTA(H3:H1002)+COUNTA(F3:F1002))</f>
        <v>0.14238042269187987</v>
      </c>
      <c r="I1" s="273" t="s">
        <v>3988</v>
      </c>
      <c r="J1" s="274" t="s">
        <v>8368</v>
      </c>
    </row>
    <row r="2" spans="1:10" ht="16.5" customHeight="1">
      <c r="A2" s="92" t="s">
        <v>247</v>
      </c>
      <c r="B2" s="92" t="s">
        <v>4581</v>
      </c>
      <c r="C2" s="92" t="s">
        <v>4582</v>
      </c>
      <c r="D2" s="92" t="s">
        <v>4583</v>
      </c>
      <c r="E2" s="28" t="s">
        <v>251</v>
      </c>
      <c r="F2" s="28" t="s">
        <v>3994</v>
      </c>
      <c r="G2" s="28" t="s">
        <v>3995</v>
      </c>
      <c r="H2" s="28" t="s">
        <v>4584</v>
      </c>
      <c r="I2" s="273" t="s">
        <v>8369</v>
      </c>
      <c r="J2" s="274" t="s">
        <v>8361</v>
      </c>
    </row>
    <row r="3" spans="1:10">
      <c r="A3" s="92" t="s">
        <v>1967</v>
      </c>
      <c r="B3" s="345">
        <v>1969</v>
      </c>
      <c r="C3" s="92" t="s">
        <v>4590</v>
      </c>
      <c r="D3" s="345">
        <v>5309454</v>
      </c>
      <c r="E3" s="278" t="str">
        <f t="shared" ref="E3:E901" si="0">"https://pubmed.ncbi.nlm.nih.gov/?term="&amp;D3</f>
        <v>https://pubmed.ncbi.nlm.nih.gov/?term=5309454</v>
      </c>
      <c r="H3" s="28" t="s">
        <v>511</v>
      </c>
    </row>
    <row r="4" spans="1:10">
      <c r="A4" s="92" t="s">
        <v>4591</v>
      </c>
      <c r="B4" s="345">
        <v>1990</v>
      </c>
      <c r="C4" s="92"/>
      <c r="D4" s="345">
        <v>2277188</v>
      </c>
      <c r="E4" s="278" t="str">
        <f t="shared" si="0"/>
        <v>https://pubmed.ncbi.nlm.nih.gov/?term=2277188</v>
      </c>
      <c r="F4" s="28" t="s">
        <v>511</v>
      </c>
      <c r="G4" s="28" t="s">
        <v>4592</v>
      </c>
    </row>
    <row r="5" spans="1:10">
      <c r="A5" s="92" t="s">
        <v>1557</v>
      </c>
      <c r="B5" s="345">
        <v>1986</v>
      </c>
      <c r="C5" s="92" t="s">
        <v>4593</v>
      </c>
      <c r="D5" s="345">
        <v>3722363</v>
      </c>
      <c r="E5" s="278" t="str">
        <f t="shared" si="0"/>
        <v>https://pubmed.ncbi.nlm.nih.gov/?term=3722363</v>
      </c>
      <c r="H5" s="28" t="s">
        <v>511</v>
      </c>
    </row>
    <row r="6" spans="1:10">
      <c r="A6" s="92" t="s">
        <v>4594</v>
      </c>
      <c r="B6" s="345">
        <v>1982</v>
      </c>
      <c r="C6" s="92"/>
      <c r="D6" s="345">
        <v>6286795</v>
      </c>
      <c r="E6" s="278" t="str">
        <f t="shared" si="0"/>
        <v>https://pubmed.ncbi.nlm.nih.gov/?term=6286795</v>
      </c>
      <c r="F6" s="28" t="s">
        <v>511</v>
      </c>
      <c r="G6" s="28" t="s">
        <v>4595</v>
      </c>
    </row>
    <row r="7" spans="1:10">
      <c r="A7" s="92" t="s">
        <v>4257</v>
      </c>
      <c r="B7" s="345">
        <v>1986</v>
      </c>
      <c r="C7" s="92"/>
      <c r="D7" s="345">
        <v>3531141</v>
      </c>
      <c r="E7" s="278" t="str">
        <f t="shared" si="0"/>
        <v>https://pubmed.ncbi.nlm.nih.gov/?term=3531141</v>
      </c>
      <c r="H7" s="28" t="s">
        <v>511</v>
      </c>
    </row>
    <row r="8" spans="1:10">
      <c r="A8" s="92" t="s">
        <v>1557</v>
      </c>
      <c r="B8" s="345">
        <v>1984</v>
      </c>
      <c r="C8" s="92"/>
      <c r="D8" s="345">
        <v>6143042</v>
      </c>
      <c r="E8" s="278" t="str">
        <f t="shared" si="0"/>
        <v>https://pubmed.ncbi.nlm.nih.gov/?term=6143042</v>
      </c>
      <c r="H8" s="28" t="s">
        <v>511</v>
      </c>
    </row>
    <row r="9" spans="1:10">
      <c r="A9" s="92" t="s">
        <v>1835</v>
      </c>
      <c r="B9" s="345">
        <v>1982</v>
      </c>
      <c r="C9" s="92"/>
      <c r="D9" s="345">
        <v>7137990</v>
      </c>
      <c r="E9" s="278" t="str">
        <f t="shared" si="0"/>
        <v>https://pubmed.ncbi.nlm.nih.gov/?term=7137990</v>
      </c>
      <c r="H9" s="28" t="s">
        <v>511</v>
      </c>
    </row>
    <row r="10" spans="1:10">
      <c r="A10" s="92" t="s">
        <v>4596</v>
      </c>
      <c r="B10" s="345">
        <v>1979</v>
      </c>
      <c r="C10" s="92" t="s">
        <v>4597</v>
      </c>
      <c r="D10" s="345">
        <v>118925</v>
      </c>
      <c r="E10" s="278" t="str">
        <f t="shared" si="0"/>
        <v>https://pubmed.ncbi.nlm.nih.gov/?term=118925</v>
      </c>
      <c r="F10" s="28" t="s">
        <v>511</v>
      </c>
      <c r="G10" s="28" t="s">
        <v>4595</v>
      </c>
    </row>
    <row r="11" spans="1:10">
      <c r="A11" s="92" t="s">
        <v>2249</v>
      </c>
      <c r="B11" s="345">
        <v>1985</v>
      </c>
      <c r="C11" s="92" t="s">
        <v>4598</v>
      </c>
      <c r="D11" s="345">
        <v>4056002</v>
      </c>
      <c r="E11" s="278" t="str">
        <f t="shared" si="0"/>
        <v>https://pubmed.ncbi.nlm.nih.gov/?term=4056002</v>
      </c>
      <c r="H11" s="28" t="s">
        <v>511</v>
      </c>
    </row>
    <row r="12" spans="1:10">
      <c r="A12" s="92" t="s">
        <v>4599</v>
      </c>
      <c r="B12" s="345">
        <v>1974</v>
      </c>
      <c r="C12" s="92" t="s">
        <v>4600</v>
      </c>
      <c r="D12" s="345">
        <v>4443806</v>
      </c>
      <c r="E12" s="278" t="str">
        <f t="shared" si="0"/>
        <v>https://pubmed.ncbi.nlm.nih.gov/?term=4443806</v>
      </c>
      <c r="F12" s="28" t="s">
        <v>511</v>
      </c>
      <c r="G12" s="28" t="s">
        <v>4536</v>
      </c>
    </row>
    <row r="13" spans="1:10">
      <c r="A13" s="92" t="s">
        <v>2152</v>
      </c>
      <c r="B13" s="345">
        <v>1989</v>
      </c>
      <c r="C13" s="92"/>
      <c r="D13" s="345">
        <v>2712549</v>
      </c>
      <c r="E13" s="278" t="str">
        <f t="shared" si="0"/>
        <v>https://pubmed.ncbi.nlm.nih.gov/?term=2712549</v>
      </c>
      <c r="H13" s="28" t="s">
        <v>511</v>
      </c>
    </row>
    <row r="14" spans="1:10">
      <c r="A14" s="92" t="s">
        <v>4265</v>
      </c>
      <c r="B14" s="345">
        <v>1988</v>
      </c>
      <c r="C14" s="92"/>
      <c r="D14" s="345">
        <v>3183640</v>
      </c>
      <c r="E14" s="278" t="str">
        <f t="shared" si="0"/>
        <v>https://pubmed.ncbi.nlm.nih.gov/?term=3183640</v>
      </c>
      <c r="H14" s="28" t="s">
        <v>511</v>
      </c>
    </row>
    <row r="15" spans="1:10">
      <c r="A15" s="92" t="s">
        <v>2249</v>
      </c>
      <c r="B15" s="345">
        <v>1986</v>
      </c>
      <c r="C15" s="92" t="s">
        <v>4601</v>
      </c>
      <c r="D15" s="345">
        <v>3711273</v>
      </c>
      <c r="E15" s="278" t="str">
        <f t="shared" si="0"/>
        <v>https://pubmed.ncbi.nlm.nih.gov/?term=3711273</v>
      </c>
      <c r="H15" s="28" t="s">
        <v>511</v>
      </c>
    </row>
    <row r="16" spans="1:10">
      <c r="A16" s="92" t="s">
        <v>1557</v>
      </c>
      <c r="B16" s="345">
        <v>1986</v>
      </c>
      <c r="C16" s="92" t="s">
        <v>4602</v>
      </c>
      <c r="D16" s="345">
        <v>3700611</v>
      </c>
      <c r="E16" s="278" t="str">
        <f t="shared" si="0"/>
        <v>https://pubmed.ncbi.nlm.nih.gov/?term=3700611</v>
      </c>
      <c r="H16" s="28" t="s">
        <v>511</v>
      </c>
    </row>
    <row r="17" spans="1:8">
      <c r="A17" s="92" t="s">
        <v>4603</v>
      </c>
      <c r="B17" s="345">
        <v>1975</v>
      </c>
      <c r="C17" s="92"/>
      <c r="D17" s="345">
        <v>165119</v>
      </c>
      <c r="E17" s="278" t="str">
        <f t="shared" si="0"/>
        <v>https://pubmed.ncbi.nlm.nih.gov/?term=165119</v>
      </c>
      <c r="F17" s="28" t="s">
        <v>511</v>
      </c>
      <c r="G17" s="28" t="s">
        <v>4592</v>
      </c>
    </row>
    <row r="18" spans="1:8">
      <c r="A18" s="92" t="s">
        <v>4344</v>
      </c>
      <c r="B18" s="345">
        <v>1990</v>
      </c>
      <c r="C18" s="92"/>
      <c r="D18" s="345">
        <v>2162116</v>
      </c>
      <c r="E18" s="278" t="str">
        <f t="shared" si="0"/>
        <v>https://pubmed.ncbi.nlm.nih.gov/?term=2162116</v>
      </c>
      <c r="H18" s="28" t="s">
        <v>511</v>
      </c>
    </row>
    <row r="19" spans="1:8">
      <c r="A19" s="92" t="s">
        <v>1672</v>
      </c>
      <c r="B19" s="345">
        <v>1979</v>
      </c>
      <c r="C19" s="92" t="s">
        <v>4604</v>
      </c>
      <c r="D19" s="345">
        <v>500204</v>
      </c>
      <c r="E19" s="278" t="str">
        <f t="shared" si="0"/>
        <v>https://pubmed.ncbi.nlm.nih.gov/?term=500204</v>
      </c>
      <c r="H19" s="28" t="s">
        <v>511</v>
      </c>
    </row>
    <row r="20" spans="1:8">
      <c r="A20" s="92" t="s">
        <v>1835</v>
      </c>
      <c r="B20" s="345">
        <v>1988</v>
      </c>
      <c r="C20" s="92"/>
      <c r="D20" s="345">
        <v>2849376</v>
      </c>
      <c r="E20" s="278" t="str">
        <f t="shared" si="0"/>
        <v>https://pubmed.ncbi.nlm.nih.gov/?term=2849376</v>
      </c>
      <c r="H20" s="28" t="s">
        <v>511</v>
      </c>
    </row>
    <row r="21" spans="1:8">
      <c r="A21" s="92" t="s">
        <v>4605</v>
      </c>
      <c r="B21" s="345">
        <v>1983</v>
      </c>
      <c r="C21" s="92" t="s">
        <v>4606</v>
      </c>
      <c r="D21" s="345">
        <v>6832823</v>
      </c>
      <c r="E21" s="278" t="str">
        <f t="shared" si="0"/>
        <v>https://pubmed.ncbi.nlm.nih.gov/?term=6832823</v>
      </c>
      <c r="F21" s="28" t="s">
        <v>511</v>
      </c>
      <c r="G21" s="28" t="s">
        <v>4346</v>
      </c>
    </row>
    <row r="22" spans="1:8">
      <c r="A22" s="92" t="s">
        <v>2202</v>
      </c>
      <c r="B22" s="345">
        <v>1976</v>
      </c>
      <c r="C22" s="92"/>
      <c r="D22" s="345">
        <v>1083484</v>
      </c>
      <c r="E22" s="278" t="str">
        <f t="shared" si="0"/>
        <v>https://pubmed.ncbi.nlm.nih.gov/?term=1083484</v>
      </c>
      <c r="H22" s="28" t="s">
        <v>511</v>
      </c>
    </row>
    <row r="23" spans="1:8">
      <c r="A23" s="92" t="s">
        <v>2077</v>
      </c>
      <c r="B23" s="345">
        <v>1978</v>
      </c>
      <c r="C23" s="92" t="s">
        <v>4607</v>
      </c>
      <c r="D23" s="345">
        <v>669819</v>
      </c>
      <c r="E23" s="278" t="str">
        <f t="shared" si="0"/>
        <v>https://pubmed.ncbi.nlm.nih.gov/?term=669819</v>
      </c>
      <c r="H23" s="28" t="s">
        <v>511</v>
      </c>
    </row>
    <row r="24" spans="1:8">
      <c r="A24" s="92" t="s">
        <v>4264</v>
      </c>
      <c r="B24" s="345">
        <v>1985</v>
      </c>
      <c r="C24" s="92"/>
      <c r="D24" s="345">
        <v>2993431</v>
      </c>
      <c r="E24" s="278" t="str">
        <f t="shared" si="0"/>
        <v>https://pubmed.ncbi.nlm.nih.gov/?term=2993431</v>
      </c>
      <c r="H24" s="28" t="s">
        <v>511</v>
      </c>
    </row>
    <row r="25" spans="1:8">
      <c r="A25" s="92" t="s">
        <v>2162</v>
      </c>
      <c r="B25" s="345">
        <v>1977</v>
      </c>
      <c r="C25" s="92"/>
      <c r="D25" s="345">
        <v>894078</v>
      </c>
      <c r="E25" s="278" t="str">
        <f t="shared" si="0"/>
        <v>https://pubmed.ncbi.nlm.nih.gov/?term=894078</v>
      </c>
      <c r="H25" s="28" t="s">
        <v>511</v>
      </c>
    </row>
    <row r="26" spans="1:8">
      <c r="A26" s="92" t="s">
        <v>4316</v>
      </c>
      <c r="B26" s="345">
        <v>1962</v>
      </c>
      <c r="C26" s="92" t="s">
        <v>4608</v>
      </c>
      <c r="D26" s="345">
        <v>13901335</v>
      </c>
      <c r="E26" s="278" t="str">
        <f t="shared" si="0"/>
        <v>https://pubmed.ncbi.nlm.nih.gov/?term=13901335</v>
      </c>
      <c r="H26" s="28" t="s">
        <v>511</v>
      </c>
    </row>
    <row r="27" spans="1:8">
      <c r="A27" s="92" t="s">
        <v>4609</v>
      </c>
      <c r="B27" s="345">
        <v>1981</v>
      </c>
      <c r="C27" s="92"/>
      <c r="D27" s="345">
        <v>6277764</v>
      </c>
      <c r="E27" s="278" t="str">
        <f t="shared" si="0"/>
        <v>https://pubmed.ncbi.nlm.nih.gov/?term=6277764</v>
      </c>
      <c r="F27" s="28" t="s">
        <v>511</v>
      </c>
      <c r="G27" s="28" t="s">
        <v>4592</v>
      </c>
    </row>
    <row r="28" spans="1:8">
      <c r="A28" s="92" t="s">
        <v>4265</v>
      </c>
      <c r="B28" s="345">
        <v>1977</v>
      </c>
      <c r="C28" s="92"/>
      <c r="D28" s="345">
        <v>925382</v>
      </c>
      <c r="E28" s="278" t="str">
        <f t="shared" si="0"/>
        <v>https://pubmed.ncbi.nlm.nih.gov/?term=925382</v>
      </c>
      <c r="H28" s="28" t="s">
        <v>511</v>
      </c>
    </row>
    <row r="29" spans="1:8">
      <c r="A29" s="92" t="s">
        <v>4610</v>
      </c>
      <c r="B29" s="345">
        <v>1985</v>
      </c>
      <c r="C29" s="92" t="s">
        <v>4611</v>
      </c>
      <c r="D29" s="345">
        <v>3931271</v>
      </c>
      <c r="E29" s="278" t="str">
        <f t="shared" si="0"/>
        <v>https://pubmed.ncbi.nlm.nih.gov/?term=3931271</v>
      </c>
      <c r="F29" s="28" t="s">
        <v>511</v>
      </c>
      <c r="G29" s="28" t="s">
        <v>4592</v>
      </c>
    </row>
    <row r="30" spans="1:8">
      <c r="A30" s="92" t="s">
        <v>4612</v>
      </c>
      <c r="B30" s="345">
        <v>1987</v>
      </c>
      <c r="C30" s="92"/>
      <c r="D30" s="345">
        <v>3039054</v>
      </c>
      <c r="E30" s="278" t="str">
        <f t="shared" si="0"/>
        <v>https://pubmed.ncbi.nlm.nih.gov/?term=3039054</v>
      </c>
      <c r="F30" s="28" t="s">
        <v>511</v>
      </c>
      <c r="G30" s="28" t="s">
        <v>4346</v>
      </c>
    </row>
    <row r="31" spans="1:8">
      <c r="A31" s="92" t="s">
        <v>4613</v>
      </c>
      <c r="B31" s="345">
        <v>1987</v>
      </c>
      <c r="C31" s="92"/>
      <c r="D31" s="345">
        <v>3813891</v>
      </c>
      <c r="E31" s="278" t="str">
        <f t="shared" si="0"/>
        <v>https://pubmed.ncbi.nlm.nih.gov/?term=3813891</v>
      </c>
      <c r="F31" s="28" t="s">
        <v>511</v>
      </c>
      <c r="G31" s="28" t="s">
        <v>4346</v>
      </c>
    </row>
    <row r="32" spans="1:8">
      <c r="A32" s="92" t="s">
        <v>2237</v>
      </c>
      <c r="B32" s="345">
        <v>1987</v>
      </c>
      <c r="C32" s="92" t="s">
        <v>4614</v>
      </c>
      <c r="D32" s="345">
        <v>3435099</v>
      </c>
      <c r="E32" s="278" t="str">
        <f t="shared" si="0"/>
        <v>https://pubmed.ncbi.nlm.nih.gov/?term=3435099</v>
      </c>
      <c r="H32" s="28" t="s">
        <v>511</v>
      </c>
    </row>
    <row r="33" spans="1:8">
      <c r="A33" s="92" t="s">
        <v>1938</v>
      </c>
      <c r="B33" s="345">
        <v>1988</v>
      </c>
      <c r="C33" s="92"/>
      <c r="D33" s="345">
        <v>2853194</v>
      </c>
      <c r="E33" s="278" t="str">
        <f t="shared" si="0"/>
        <v>https://pubmed.ncbi.nlm.nih.gov/?term=2853194</v>
      </c>
      <c r="H33" s="28" t="s">
        <v>511</v>
      </c>
    </row>
    <row r="34" spans="1:8">
      <c r="A34" s="92" t="s">
        <v>1557</v>
      </c>
      <c r="B34" s="345">
        <v>1990</v>
      </c>
      <c r="C34" s="92"/>
      <c r="D34" s="345">
        <v>2324538</v>
      </c>
      <c r="E34" s="278" t="str">
        <f t="shared" si="0"/>
        <v>https://pubmed.ncbi.nlm.nih.gov/?term=2324538</v>
      </c>
      <c r="H34" s="28" t="s">
        <v>511</v>
      </c>
    </row>
    <row r="35" spans="1:8">
      <c r="A35" s="92" t="s">
        <v>4609</v>
      </c>
      <c r="B35" s="345">
        <v>1975</v>
      </c>
      <c r="C35" s="92"/>
      <c r="D35" s="345">
        <v>171320</v>
      </c>
      <c r="E35" s="278" t="str">
        <f t="shared" si="0"/>
        <v>https://pubmed.ncbi.nlm.nih.gov/?term=171320</v>
      </c>
      <c r="F35" s="28" t="s">
        <v>511</v>
      </c>
      <c r="G35" s="28" t="s">
        <v>4346</v>
      </c>
    </row>
    <row r="36" spans="1:8">
      <c r="A36" s="92" t="s">
        <v>2371</v>
      </c>
      <c r="B36" s="345">
        <v>1984</v>
      </c>
      <c r="C36" s="92"/>
      <c r="D36" s="345">
        <v>6099954</v>
      </c>
      <c r="E36" s="278" t="str">
        <f t="shared" si="0"/>
        <v>https://pubmed.ncbi.nlm.nih.gov/?term=6099954</v>
      </c>
      <c r="H36" s="28" t="s">
        <v>511</v>
      </c>
    </row>
    <row r="37" spans="1:8">
      <c r="A37" s="92" t="s">
        <v>2333</v>
      </c>
      <c r="B37" s="345">
        <v>1984</v>
      </c>
      <c r="C37" s="92"/>
      <c r="D37" s="345">
        <v>6531960</v>
      </c>
      <c r="E37" s="278" t="str">
        <f t="shared" si="0"/>
        <v>https://pubmed.ncbi.nlm.nih.gov/?term=6531960</v>
      </c>
      <c r="H37" s="28" t="s">
        <v>511</v>
      </c>
    </row>
    <row r="38" spans="1:8">
      <c r="A38" s="92" t="s">
        <v>4615</v>
      </c>
      <c r="B38" s="345">
        <v>1983</v>
      </c>
      <c r="C38" s="92" t="s">
        <v>4616</v>
      </c>
      <c r="D38" s="345">
        <v>6883807</v>
      </c>
      <c r="E38" s="278" t="str">
        <f t="shared" si="0"/>
        <v>https://pubmed.ncbi.nlm.nih.gov/?term=6883807</v>
      </c>
      <c r="F38" s="28" t="s">
        <v>511</v>
      </c>
      <c r="G38" s="28" t="s">
        <v>4346</v>
      </c>
    </row>
    <row r="39" spans="1:8">
      <c r="A39" s="92" t="s">
        <v>4617</v>
      </c>
      <c r="B39" s="345">
        <v>1980</v>
      </c>
      <c r="C39" s="92" t="s">
        <v>4618</v>
      </c>
      <c r="D39" s="345">
        <v>6766903</v>
      </c>
      <c r="E39" s="278" t="str">
        <f t="shared" si="0"/>
        <v>https://pubmed.ncbi.nlm.nih.gov/?term=6766903</v>
      </c>
      <c r="F39" s="28" t="s">
        <v>511</v>
      </c>
      <c r="G39" s="28" t="s">
        <v>4346</v>
      </c>
    </row>
    <row r="40" spans="1:8">
      <c r="A40" s="92" t="s">
        <v>1557</v>
      </c>
      <c r="B40" s="345">
        <v>1983</v>
      </c>
      <c r="C40" s="92" t="s">
        <v>4619</v>
      </c>
      <c r="D40" s="345">
        <v>6852910</v>
      </c>
      <c r="E40" s="278" t="str">
        <f t="shared" si="0"/>
        <v>https://pubmed.ncbi.nlm.nih.gov/?term=6852910</v>
      </c>
      <c r="H40" s="28" t="s">
        <v>511</v>
      </c>
    </row>
    <row r="41" spans="1:8">
      <c r="A41" s="92" t="s">
        <v>4620</v>
      </c>
      <c r="B41" s="345">
        <v>1987</v>
      </c>
      <c r="C41" s="92"/>
      <c r="D41" s="345">
        <v>2821477</v>
      </c>
      <c r="E41" s="278" t="str">
        <f t="shared" si="0"/>
        <v>https://pubmed.ncbi.nlm.nih.gov/?term=2821477</v>
      </c>
      <c r="F41" s="28" t="s">
        <v>511</v>
      </c>
      <c r="G41" s="28" t="s">
        <v>4621</v>
      </c>
    </row>
    <row r="42" spans="1:8">
      <c r="A42" s="92" t="s">
        <v>2077</v>
      </c>
      <c r="B42" s="345">
        <v>1986</v>
      </c>
      <c r="C42" s="92" t="s">
        <v>4622</v>
      </c>
      <c r="D42" s="345">
        <v>3755730</v>
      </c>
      <c r="E42" s="278" t="str">
        <f t="shared" si="0"/>
        <v>https://pubmed.ncbi.nlm.nih.gov/?term=3755730</v>
      </c>
      <c r="F42" s="28" t="s">
        <v>511</v>
      </c>
      <c r="G42" s="28" t="s">
        <v>4592</v>
      </c>
    </row>
    <row r="43" spans="1:8">
      <c r="A43" s="92" t="s">
        <v>2116</v>
      </c>
      <c r="B43" s="345">
        <v>1974</v>
      </c>
      <c r="C43" s="92" t="s">
        <v>4623</v>
      </c>
      <c r="D43" s="345">
        <v>15825396</v>
      </c>
      <c r="E43" s="278" t="str">
        <f t="shared" si="0"/>
        <v>https://pubmed.ncbi.nlm.nih.gov/?term=15825396</v>
      </c>
      <c r="H43" s="28" t="s">
        <v>511</v>
      </c>
    </row>
    <row r="44" spans="1:8">
      <c r="A44" s="92" t="s">
        <v>4624</v>
      </c>
      <c r="B44" s="345">
        <v>1977</v>
      </c>
      <c r="C44" s="92"/>
      <c r="D44" s="345">
        <v>190910</v>
      </c>
      <c r="E44" s="278" t="str">
        <f t="shared" si="0"/>
        <v>https://pubmed.ncbi.nlm.nih.gov/?term=190910</v>
      </c>
      <c r="F44" s="28" t="s">
        <v>511</v>
      </c>
      <c r="G44" s="28" t="s">
        <v>4346</v>
      </c>
    </row>
    <row r="45" spans="1:8">
      <c r="A45" s="92" t="s">
        <v>4349</v>
      </c>
      <c r="B45" s="345">
        <v>1989</v>
      </c>
      <c r="C45" s="92" t="s">
        <v>4625</v>
      </c>
      <c r="D45" s="345">
        <v>2536042</v>
      </c>
      <c r="E45" s="278" t="str">
        <f t="shared" si="0"/>
        <v>https://pubmed.ncbi.nlm.nih.gov/?term=2536042</v>
      </c>
      <c r="H45" s="28" t="s">
        <v>511</v>
      </c>
    </row>
    <row r="46" spans="1:8">
      <c r="A46" s="92" t="s">
        <v>4626</v>
      </c>
      <c r="B46" s="345">
        <v>1957</v>
      </c>
      <c r="C46" s="92" t="s">
        <v>4627</v>
      </c>
      <c r="D46" s="345">
        <v>13439122</v>
      </c>
      <c r="E46" s="278" t="str">
        <f t="shared" si="0"/>
        <v>https://pubmed.ncbi.nlm.nih.gov/?term=13439122</v>
      </c>
      <c r="F46" s="28" t="s">
        <v>511</v>
      </c>
      <c r="G46" s="28" t="s">
        <v>4628</v>
      </c>
    </row>
    <row r="47" spans="1:8">
      <c r="A47" s="92" t="s">
        <v>4629</v>
      </c>
      <c r="B47" s="345">
        <v>1947</v>
      </c>
      <c r="C47" s="92" t="s">
        <v>4630</v>
      </c>
      <c r="D47" s="345">
        <v>19871608</v>
      </c>
      <c r="E47" s="278" t="str">
        <f t="shared" si="0"/>
        <v>https://pubmed.ncbi.nlm.nih.gov/?term=19871608</v>
      </c>
      <c r="F47" s="28" t="s">
        <v>511</v>
      </c>
      <c r="G47" s="28" t="s">
        <v>4346</v>
      </c>
    </row>
    <row r="48" spans="1:8">
      <c r="A48" s="92" t="s">
        <v>4631</v>
      </c>
      <c r="B48" s="345">
        <v>1988</v>
      </c>
      <c r="C48" s="92" t="s">
        <v>4632</v>
      </c>
      <c r="D48" s="345">
        <v>3263225</v>
      </c>
      <c r="E48" s="278" t="str">
        <f t="shared" si="0"/>
        <v>https://pubmed.ncbi.nlm.nih.gov/?term=3263225</v>
      </c>
      <c r="F48" s="28" t="s">
        <v>511</v>
      </c>
      <c r="G48" s="28" t="s">
        <v>4592</v>
      </c>
    </row>
    <row r="49" spans="1:8">
      <c r="A49" s="92" t="s">
        <v>2249</v>
      </c>
      <c r="B49" s="345">
        <v>1988</v>
      </c>
      <c r="C49" s="92" t="s">
        <v>4633</v>
      </c>
      <c r="D49" s="345">
        <v>3336068</v>
      </c>
      <c r="E49" s="278" t="str">
        <f t="shared" si="0"/>
        <v>https://pubmed.ncbi.nlm.nih.gov/?term=3336068</v>
      </c>
      <c r="H49" s="28" t="s">
        <v>511</v>
      </c>
    </row>
    <row r="50" spans="1:8">
      <c r="A50" s="92" t="s">
        <v>2039</v>
      </c>
      <c r="B50" s="345">
        <v>1977</v>
      </c>
      <c r="C50" s="92" t="s">
        <v>4634</v>
      </c>
      <c r="D50" s="345">
        <v>921245</v>
      </c>
      <c r="E50" s="278" t="str">
        <f t="shared" si="0"/>
        <v>https://pubmed.ncbi.nlm.nih.gov/?term=921245</v>
      </c>
      <c r="H50" s="28" t="s">
        <v>511</v>
      </c>
    </row>
    <row r="51" spans="1:8">
      <c r="A51" s="92" t="s">
        <v>4363</v>
      </c>
      <c r="B51" s="345">
        <v>1990</v>
      </c>
      <c r="C51" s="92"/>
      <c r="D51" s="345">
        <v>2180233</v>
      </c>
      <c r="E51" s="278" t="str">
        <f t="shared" si="0"/>
        <v>https://pubmed.ncbi.nlm.nih.gov/?term=2180233</v>
      </c>
      <c r="H51" s="28" t="s">
        <v>511</v>
      </c>
    </row>
    <row r="52" spans="1:8">
      <c r="A52" s="92" t="s">
        <v>4635</v>
      </c>
      <c r="B52" s="345">
        <v>1970</v>
      </c>
      <c r="C52" s="92" t="s">
        <v>4636</v>
      </c>
      <c r="D52" s="345">
        <v>5314017</v>
      </c>
      <c r="E52" s="278" t="str">
        <f t="shared" si="0"/>
        <v>https://pubmed.ncbi.nlm.nih.gov/?term=5314017</v>
      </c>
      <c r="F52" s="28" t="s">
        <v>511</v>
      </c>
      <c r="G52" s="28" t="s">
        <v>4346</v>
      </c>
    </row>
    <row r="53" spans="1:8">
      <c r="A53" s="92" t="s">
        <v>4637</v>
      </c>
      <c r="B53" s="345">
        <v>1982</v>
      </c>
      <c r="C53" s="92"/>
      <c r="D53" s="345">
        <v>6983846</v>
      </c>
      <c r="E53" s="278" t="str">
        <f t="shared" si="0"/>
        <v>https://pubmed.ncbi.nlm.nih.gov/?term=6983846</v>
      </c>
      <c r="F53" s="28" t="s">
        <v>511</v>
      </c>
      <c r="G53" s="28" t="s">
        <v>4346</v>
      </c>
    </row>
    <row r="54" spans="1:8">
      <c r="A54" s="92" t="s">
        <v>4638</v>
      </c>
      <c r="B54" s="345">
        <v>1985</v>
      </c>
      <c r="C54" s="92"/>
      <c r="D54" s="345">
        <v>4029085</v>
      </c>
      <c r="E54" s="278" t="str">
        <f t="shared" si="0"/>
        <v>https://pubmed.ncbi.nlm.nih.gov/?term=4029085</v>
      </c>
      <c r="F54" s="28" t="s">
        <v>511</v>
      </c>
      <c r="G54" s="28" t="s">
        <v>4346</v>
      </c>
    </row>
    <row r="55" spans="1:8">
      <c r="A55" s="92" t="s">
        <v>2014</v>
      </c>
      <c r="B55" s="345">
        <v>1979</v>
      </c>
      <c r="C55" s="92"/>
      <c r="D55" s="345">
        <v>479857</v>
      </c>
      <c r="E55" s="278" t="str">
        <f t="shared" si="0"/>
        <v>https://pubmed.ncbi.nlm.nih.gov/?term=479857</v>
      </c>
      <c r="H55" s="28" t="s">
        <v>511</v>
      </c>
    </row>
    <row r="56" spans="1:8">
      <c r="A56" s="92" t="s">
        <v>4639</v>
      </c>
      <c r="B56" s="345">
        <v>1978</v>
      </c>
      <c r="C56" s="92"/>
      <c r="D56" s="345">
        <v>97364</v>
      </c>
      <c r="E56" s="278" t="str">
        <f t="shared" si="0"/>
        <v>https://pubmed.ncbi.nlm.nih.gov/?term=97364</v>
      </c>
      <c r="F56" s="28" t="s">
        <v>511</v>
      </c>
      <c r="G56" s="28" t="s">
        <v>4346</v>
      </c>
    </row>
    <row r="57" spans="1:8">
      <c r="A57" s="92" t="s">
        <v>4640</v>
      </c>
      <c r="B57" s="345">
        <v>1986</v>
      </c>
      <c r="C57" s="92"/>
      <c r="D57" s="345">
        <v>3023540</v>
      </c>
      <c r="E57" s="278" t="str">
        <f t="shared" si="0"/>
        <v>https://pubmed.ncbi.nlm.nih.gov/?term=3023540</v>
      </c>
      <c r="F57" s="28" t="s">
        <v>511</v>
      </c>
      <c r="G57" s="28" t="s">
        <v>4346</v>
      </c>
    </row>
    <row r="58" spans="1:8">
      <c r="A58" s="92" t="s">
        <v>4641</v>
      </c>
      <c r="B58" s="345">
        <v>1989</v>
      </c>
      <c r="C58" s="92"/>
      <c r="D58" s="345">
        <v>2617590</v>
      </c>
      <c r="E58" s="278" t="str">
        <f t="shared" si="0"/>
        <v>https://pubmed.ncbi.nlm.nih.gov/?term=2617590</v>
      </c>
      <c r="F58" s="28" t="s">
        <v>511</v>
      </c>
      <c r="G58" s="28" t="s">
        <v>8370</v>
      </c>
    </row>
    <row r="59" spans="1:8">
      <c r="A59" s="92" t="s">
        <v>4643</v>
      </c>
      <c r="B59" s="345">
        <v>1984</v>
      </c>
      <c r="C59" s="92" t="s">
        <v>4644</v>
      </c>
      <c r="D59" s="345">
        <v>6424959</v>
      </c>
      <c r="E59" s="278" t="str">
        <f t="shared" si="0"/>
        <v>https://pubmed.ncbi.nlm.nih.gov/?term=6424959</v>
      </c>
      <c r="F59" s="28" t="s">
        <v>511</v>
      </c>
      <c r="G59" s="28" t="s">
        <v>4592</v>
      </c>
    </row>
    <row r="60" spans="1:8">
      <c r="A60" s="92" t="s">
        <v>4613</v>
      </c>
      <c r="B60" s="345">
        <v>1984</v>
      </c>
      <c r="C60" s="92" t="s">
        <v>4645</v>
      </c>
      <c r="D60" s="345">
        <v>6088797</v>
      </c>
      <c r="E60" s="278" t="str">
        <f t="shared" si="0"/>
        <v>https://pubmed.ncbi.nlm.nih.gov/?term=6088797</v>
      </c>
      <c r="F60" s="28" t="s">
        <v>511</v>
      </c>
      <c r="G60" s="28" t="s">
        <v>4346</v>
      </c>
    </row>
    <row r="61" spans="1:8">
      <c r="A61" s="92" t="s">
        <v>4646</v>
      </c>
      <c r="B61" s="345">
        <v>1990</v>
      </c>
      <c r="C61" s="92"/>
      <c r="D61" s="345">
        <v>2235209</v>
      </c>
      <c r="E61" s="278" t="str">
        <f t="shared" si="0"/>
        <v>https://pubmed.ncbi.nlm.nih.gov/?term=2235209</v>
      </c>
      <c r="F61" s="28" t="s">
        <v>511</v>
      </c>
      <c r="G61" s="28" t="s">
        <v>4592</v>
      </c>
    </row>
    <row r="62" spans="1:8">
      <c r="A62" s="92" t="s">
        <v>1672</v>
      </c>
      <c r="B62" s="345">
        <v>1975</v>
      </c>
      <c r="C62" s="92" t="s">
        <v>4647</v>
      </c>
      <c r="D62" s="345">
        <v>1211921</v>
      </c>
      <c r="E62" s="278" t="str">
        <f t="shared" si="0"/>
        <v>https://pubmed.ncbi.nlm.nih.gov/?term=1211921</v>
      </c>
      <c r="H62" s="28" t="s">
        <v>511</v>
      </c>
    </row>
    <row r="63" spans="1:8">
      <c r="A63" s="92" t="s">
        <v>1922</v>
      </c>
      <c r="B63" s="345">
        <v>1990</v>
      </c>
      <c r="C63" s="92"/>
      <c r="D63" s="345">
        <v>2204243</v>
      </c>
      <c r="E63" s="278" t="str">
        <f t="shared" si="0"/>
        <v>https://pubmed.ncbi.nlm.nih.gov/?term=2204243</v>
      </c>
      <c r="H63" s="28" t="s">
        <v>511</v>
      </c>
    </row>
    <row r="64" spans="1:8">
      <c r="A64" s="92" t="s">
        <v>2213</v>
      </c>
      <c r="B64" s="345">
        <v>1985</v>
      </c>
      <c r="C64" s="92"/>
      <c r="D64" s="345">
        <v>4001723</v>
      </c>
      <c r="E64" s="278" t="str">
        <f t="shared" si="0"/>
        <v>https://pubmed.ncbi.nlm.nih.gov/?term=4001723</v>
      </c>
      <c r="H64" s="28" t="s">
        <v>511</v>
      </c>
    </row>
    <row r="65" spans="1:8">
      <c r="A65" s="92" t="s">
        <v>4648</v>
      </c>
      <c r="B65" s="345">
        <v>1982</v>
      </c>
      <c r="C65" s="92" t="s">
        <v>4649</v>
      </c>
      <c r="D65" s="345">
        <v>7085075</v>
      </c>
      <c r="E65" s="278" t="str">
        <f t="shared" si="0"/>
        <v>https://pubmed.ncbi.nlm.nih.gov/?term=7085075</v>
      </c>
      <c r="F65" s="28" t="s">
        <v>511</v>
      </c>
      <c r="G65" s="28" t="s">
        <v>4650</v>
      </c>
    </row>
    <row r="66" spans="1:8">
      <c r="A66" s="92" t="s">
        <v>4651</v>
      </c>
      <c r="B66" s="345">
        <v>1975</v>
      </c>
      <c r="C66" s="92" t="s">
        <v>4652</v>
      </c>
      <c r="D66" s="345">
        <v>808136</v>
      </c>
      <c r="E66" s="278" t="str">
        <f t="shared" si="0"/>
        <v>https://pubmed.ncbi.nlm.nih.gov/?term=808136</v>
      </c>
      <c r="F66" s="28" t="s">
        <v>511</v>
      </c>
      <c r="G66" s="28" t="s">
        <v>4346</v>
      </c>
    </row>
    <row r="67" spans="1:8">
      <c r="A67" s="92" t="s">
        <v>4640</v>
      </c>
      <c r="B67" s="345">
        <v>1988</v>
      </c>
      <c r="C67" s="92"/>
      <c r="D67" s="345">
        <v>2846464</v>
      </c>
      <c r="E67" s="278" t="str">
        <f t="shared" si="0"/>
        <v>https://pubmed.ncbi.nlm.nih.gov/?term=2846464</v>
      </c>
      <c r="F67" s="28" t="s">
        <v>511</v>
      </c>
      <c r="G67" s="28" t="s">
        <v>4346</v>
      </c>
    </row>
    <row r="68" spans="1:8">
      <c r="A68" s="92" t="s">
        <v>4653</v>
      </c>
      <c r="B68" s="345">
        <v>1988</v>
      </c>
      <c r="C68" s="92"/>
      <c r="D68" s="345">
        <v>2839577</v>
      </c>
      <c r="E68" s="278" t="str">
        <f t="shared" si="0"/>
        <v>https://pubmed.ncbi.nlm.nih.gov/?term=2839577</v>
      </c>
      <c r="F68" s="28" t="s">
        <v>511</v>
      </c>
      <c r="G68" s="28" t="s">
        <v>4654</v>
      </c>
    </row>
    <row r="69" spans="1:8">
      <c r="A69" s="92" t="s">
        <v>4655</v>
      </c>
      <c r="B69" s="345">
        <v>1975</v>
      </c>
      <c r="C69" s="92"/>
      <c r="D69" s="345">
        <v>162815</v>
      </c>
      <c r="E69" s="278" t="str">
        <f t="shared" si="0"/>
        <v>https://pubmed.ncbi.nlm.nih.gov/?term=162815</v>
      </c>
      <c r="F69" s="28" t="s">
        <v>511</v>
      </c>
      <c r="G69" s="28" t="s">
        <v>4656</v>
      </c>
    </row>
    <row r="70" spans="1:8">
      <c r="A70" s="92" t="s">
        <v>4657</v>
      </c>
      <c r="B70" s="345">
        <v>1975</v>
      </c>
      <c r="C70" s="92"/>
      <c r="D70" s="345">
        <v>1126572</v>
      </c>
      <c r="E70" s="278" t="str">
        <f t="shared" si="0"/>
        <v>https://pubmed.ncbi.nlm.nih.gov/?term=1126572</v>
      </c>
      <c r="F70" s="28" t="s">
        <v>511</v>
      </c>
      <c r="G70" s="28" t="s">
        <v>4592</v>
      </c>
    </row>
    <row r="71" spans="1:8">
      <c r="A71" s="92" t="s">
        <v>1542</v>
      </c>
      <c r="B71" s="345">
        <v>1982</v>
      </c>
      <c r="C71" s="92" t="s">
        <v>4658</v>
      </c>
      <c r="D71" s="345">
        <v>7141686</v>
      </c>
      <c r="E71" s="278" t="str">
        <f t="shared" si="0"/>
        <v>https://pubmed.ncbi.nlm.nih.gov/?term=7141686</v>
      </c>
      <c r="H71" s="28" t="s">
        <v>511</v>
      </c>
    </row>
    <row r="72" spans="1:8">
      <c r="A72" s="92" t="s">
        <v>4659</v>
      </c>
      <c r="B72" s="345">
        <v>1979</v>
      </c>
      <c r="C72" s="92"/>
      <c r="D72" s="345">
        <v>230367</v>
      </c>
      <c r="E72" s="278" t="str">
        <f t="shared" si="0"/>
        <v>https://pubmed.ncbi.nlm.nih.gov/?term=230367</v>
      </c>
      <c r="F72" s="28" t="s">
        <v>511</v>
      </c>
      <c r="G72" s="28" t="s">
        <v>4660</v>
      </c>
    </row>
    <row r="73" spans="1:8">
      <c r="A73" s="92" t="s">
        <v>4385</v>
      </c>
      <c r="B73" s="345">
        <v>1989</v>
      </c>
      <c r="C73" s="92" t="s">
        <v>4661</v>
      </c>
      <c r="D73" s="345">
        <v>2707853</v>
      </c>
      <c r="E73" s="278" t="str">
        <f t="shared" si="0"/>
        <v>https://pubmed.ncbi.nlm.nih.gov/?term=2707853</v>
      </c>
      <c r="H73" s="28" t="s">
        <v>511</v>
      </c>
    </row>
    <row r="74" spans="1:8">
      <c r="A74" s="92" t="s">
        <v>2186</v>
      </c>
      <c r="B74" s="345">
        <v>1975</v>
      </c>
      <c r="C74" s="92"/>
      <c r="D74" s="345">
        <v>1202110</v>
      </c>
      <c r="E74" s="278" t="str">
        <f t="shared" si="0"/>
        <v>https://pubmed.ncbi.nlm.nih.gov/?term=1202110</v>
      </c>
      <c r="H74" s="28" t="s">
        <v>511</v>
      </c>
    </row>
    <row r="75" spans="1:8">
      <c r="A75" s="92" t="s">
        <v>4257</v>
      </c>
      <c r="B75" s="345">
        <v>1987</v>
      </c>
      <c r="C75" s="92"/>
      <c r="D75" s="345">
        <v>3326874</v>
      </c>
      <c r="E75" s="278" t="str">
        <f t="shared" si="0"/>
        <v>https://pubmed.ncbi.nlm.nih.gov/?term=3326874</v>
      </c>
      <c r="H75" s="28" t="s">
        <v>511</v>
      </c>
    </row>
    <row r="76" spans="1:8">
      <c r="A76" s="92" t="s">
        <v>4662</v>
      </c>
      <c r="B76" s="345">
        <v>1975</v>
      </c>
      <c r="C76" s="92" t="s">
        <v>4663</v>
      </c>
      <c r="D76" s="345">
        <v>182406</v>
      </c>
      <c r="E76" s="278" t="str">
        <f t="shared" si="0"/>
        <v>https://pubmed.ncbi.nlm.nih.gov/?term=182406</v>
      </c>
      <c r="F76" s="28" t="s">
        <v>511</v>
      </c>
      <c r="G76" s="28" t="s">
        <v>4346</v>
      </c>
    </row>
    <row r="77" spans="1:8">
      <c r="A77" s="92" t="s">
        <v>4664</v>
      </c>
      <c r="B77" s="345">
        <v>1982</v>
      </c>
      <c r="C77" s="92"/>
      <c r="D77" s="345">
        <v>7149101</v>
      </c>
      <c r="E77" s="278" t="str">
        <f t="shared" si="0"/>
        <v>https://pubmed.ncbi.nlm.nih.gov/?term=7149101</v>
      </c>
      <c r="F77" s="28" t="s">
        <v>511</v>
      </c>
      <c r="G77" s="28" t="s">
        <v>4660</v>
      </c>
    </row>
    <row r="78" spans="1:8">
      <c r="A78" s="92" t="s">
        <v>4665</v>
      </c>
      <c r="B78" s="345">
        <v>1979</v>
      </c>
      <c r="C78" s="92"/>
      <c r="D78" s="345">
        <v>92540</v>
      </c>
      <c r="E78" s="278" t="str">
        <f t="shared" si="0"/>
        <v>https://pubmed.ncbi.nlm.nih.gov/?term=92540</v>
      </c>
      <c r="F78" s="28" t="s">
        <v>511</v>
      </c>
      <c r="G78" s="28" t="s">
        <v>8371</v>
      </c>
    </row>
    <row r="79" spans="1:8">
      <c r="A79" s="92" t="s">
        <v>4667</v>
      </c>
      <c r="B79" s="345">
        <v>1976</v>
      </c>
      <c r="C79" s="92"/>
      <c r="D79" s="345">
        <v>10589</v>
      </c>
      <c r="E79" s="278" t="str">
        <f t="shared" si="0"/>
        <v>https://pubmed.ncbi.nlm.nih.gov/?term=10589</v>
      </c>
      <c r="F79" s="28" t="s">
        <v>511</v>
      </c>
      <c r="G79" s="28" t="s">
        <v>8372</v>
      </c>
    </row>
    <row r="80" spans="1:8">
      <c r="A80" s="92" t="s">
        <v>1626</v>
      </c>
      <c r="B80" s="345">
        <v>1978</v>
      </c>
      <c r="C80" s="92" t="s">
        <v>4669</v>
      </c>
      <c r="D80" s="345">
        <v>730356</v>
      </c>
      <c r="E80" s="278" t="str">
        <f t="shared" si="0"/>
        <v>https://pubmed.ncbi.nlm.nih.gov/?term=730356</v>
      </c>
      <c r="H80" s="28" t="s">
        <v>511</v>
      </c>
    </row>
    <row r="81" spans="1:8">
      <c r="A81" s="92" t="s">
        <v>2344</v>
      </c>
      <c r="B81" s="345">
        <v>1973</v>
      </c>
      <c r="C81" s="92" t="s">
        <v>4670</v>
      </c>
      <c r="D81" s="345">
        <v>4367686</v>
      </c>
      <c r="E81" s="278" t="str">
        <f t="shared" si="0"/>
        <v>https://pubmed.ncbi.nlm.nih.gov/?term=4367686</v>
      </c>
      <c r="H81" s="28" t="s">
        <v>511</v>
      </c>
    </row>
    <row r="82" spans="1:8">
      <c r="A82" s="92" t="s">
        <v>4336</v>
      </c>
      <c r="B82" s="345">
        <v>1982</v>
      </c>
      <c r="C82" s="92"/>
      <c r="D82" s="345">
        <v>6750006</v>
      </c>
      <c r="E82" s="278" t="str">
        <f t="shared" si="0"/>
        <v>https://pubmed.ncbi.nlm.nih.gov/?term=6750006</v>
      </c>
      <c r="H82" s="28" t="s">
        <v>511</v>
      </c>
    </row>
    <row r="83" spans="1:8">
      <c r="A83" s="92" t="s">
        <v>4671</v>
      </c>
      <c r="B83" s="345">
        <v>1969</v>
      </c>
      <c r="C83" s="92" t="s">
        <v>4672</v>
      </c>
      <c r="D83" s="345">
        <v>5309483</v>
      </c>
      <c r="E83" s="278" t="str">
        <f t="shared" si="0"/>
        <v>https://pubmed.ncbi.nlm.nih.gov/?term=5309483</v>
      </c>
      <c r="F83" s="28" t="s">
        <v>511</v>
      </c>
      <c r="G83" s="28" t="s">
        <v>4592</v>
      </c>
    </row>
    <row r="84" spans="1:8">
      <c r="A84" s="92" t="s">
        <v>4673</v>
      </c>
      <c r="B84" s="345">
        <v>1982</v>
      </c>
      <c r="C84" s="92" t="s">
        <v>4674</v>
      </c>
      <c r="D84" s="345">
        <v>6276302</v>
      </c>
      <c r="E84" s="278" t="str">
        <f t="shared" si="0"/>
        <v>https://pubmed.ncbi.nlm.nih.gov/?term=6276302</v>
      </c>
      <c r="F84" s="28" t="s">
        <v>511</v>
      </c>
      <c r="G84" s="28" t="s">
        <v>4346</v>
      </c>
    </row>
    <row r="85" spans="1:8">
      <c r="A85" s="92" t="s">
        <v>4675</v>
      </c>
      <c r="B85" s="345">
        <v>1915</v>
      </c>
      <c r="C85" s="92" t="s">
        <v>4676</v>
      </c>
      <c r="D85" s="345">
        <v>19867945</v>
      </c>
      <c r="E85" s="278" t="str">
        <f t="shared" si="0"/>
        <v>https://pubmed.ncbi.nlm.nih.gov/?term=19867945</v>
      </c>
      <c r="F85" s="28" t="s">
        <v>511</v>
      </c>
      <c r="G85" s="28" t="s">
        <v>4346</v>
      </c>
    </row>
    <row r="86" spans="1:8">
      <c r="A86" s="92" t="s">
        <v>4677</v>
      </c>
      <c r="B86" s="345">
        <v>1985</v>
      </c>
      <c r="C86" s="92" t="s">
        <v>4678</v>
      </c>
      <c r="D86" s="345">
        <v>2415971</v>
      </c>
      <c r="E86" s="278" t="str">
        <f t="shared" si="0"/>
        <v>https://pubmed.ncbi.nlm.nih.gov/?term=2415971</v>
      </c>
      <c r="F86" s="28" t="s">
        <v>511</v>
      </c>
      <c r="G86" s="28" t="s">
        <v>4346</v>
      </c>
    </row>
    <row r="87" spans="1:8">
      <c r="A87" s="92" t="s">
        <v>4679</v>
      </c>
      <c r="B87" s="345">
        <v>1979</v>
      </c>
      <c r="C87" s="92"/>
      <c r="D87" s="345">
        <v>108342</v>
      </c>
      <c r="E87" s="278" t="str">
        <f t="shared" si="0"/>
        <v>https://pubmed.ncbi.nlm.nih.gov/?term=108342</v>
      </c>
      <c r="F87" s="28" t="s">
        <v>511</v>
      </c>
      <c r="G87" s="28" t="s">
        <v>4346</v>
      </c>
    </row>
    <row r="88" spans="1:8">
      <c r="A88" s="92" t="s">
        <v>4680</v>
      </c>
      <c r="B88" s="345">
        <v>1981</v>
      </c>
      <c r="C88" s="92"/>
      <c r="D88" s="345">
        <v>7020398</v>
      </c>
      <c r="E88" s="278" t="str">
        <f t="shared" si="0"/>
        <v>https://pubmed.ncbi.nlm.nih.gov/?term=7020398</v>
      </c>
      <c r="F88" s="28" t="s">
        <v>511</v>
      </c>
      <c r="G88" s="28" t="s">
        <v>4346</v>
      </c>
    </row>
    <row r="89" spans="1:8">
      <c r="A89" s="92" t="s">
        <v>4681</v>
      </c>
      <c r="B89" s="345">
        <v>1922</v>
      </c>
      <c r="C89" s="92" t="s">
        <v>4682</v>
      </c>
      <c r="D89" s="345">
        <v>19868603</v>
      </c>
      <c r="E89" s="278" t="str">
        <f t="shared" si="0"/>
        <v>https://pubmed.ncbi.nlm.nih.gov/?term=19868603</v>
      </c>
      <c r="F89" s="28" t="s">
        <v>511</v>
      </c>
      <c r="G89" s="28" t="s">
        <v>4346</v>
      </c>
    </row>
    <row r="90" spans="1:8">
      <c r="A90" s="92" t="s">
        <v>4683</v>
      </c>
      <c r="B90" s="345">
        <v>1975</v>
      </c>
      <c r="C90" s="92"/>
      <c r="D90" s="345">
        <v>165133</v>
      </c>
      <c r="E90" s="278" t="str">
        <f t="shared" si="0"/>
        <v>https://pubmed.ncbi.nlm.nih.gov/?term=165133</v>
      </c>
      <c r="F90" s="28" t="s">
        <v>511</v>
      </c>
      <c r="G90" s="28" t="s">
        <v>4592</v>
      </c>
    </row>
    <row r="91" spans="1:8">
      <c r="A91" s="92" t="s">
        <v>4415</v>
      </c>
      <c r="B91" s="345">
        <v>1990</v>
      </c>
      <c r="C91" s="92" t="s">
        <v>4684</v>
      </c>
      <c r="D91" s="345">
        <v>1692813</v>
      </c>
      <c r="E91" s="278" t="str">
        <f t="shared" si="0"/>
        <v>https://pubmed.ncbi.nlm.nih.gov/?term=1692813</v>
      </c>
      <c r="H91" s="28" t="s">
        <v>511</v>
      </c>
    </row>
    <row r="92" spans="1:8">
      <c r="A92" s="347" t="s">
        <v>4685</v>
      </c>
      <c r="B92" s="92">
        <v>1975</v>
      </c>
      <c r="C92" s="92"/>
      <c r="D92" s="92">
        <v>173599</v>
      </c>
      <c r="E92" s="278" t="str">
        <f t="shared" si="0"/>
        <v>https://pubmed.ncbi.nlm.nih.gov/?term=173599</v>
      </c>
      <c r="F92" s="28" t="s">
        <v>511</v>
      </c>
      <c r="G92" s="28" t="s">
        <v>4592</v>
      </c>
    </row>
    <row r="93" spans="1:8">
      <c r="A93" s="92" t="s">
        <v>4686</v>
      </c>
      <c r="B93" s="345">
        <v>1999</v>
      </c>
      <c r="C93" s="92"/>
      <c r="D93" s="345">
        <v>10520648</v>
      </c>
      <c r="E93" s="278" t="str">
        <f t="shared" si="0"/>
        <v>https://pubmed.ncbi.nlm.nih.gov/?term=10520648</v>
      </c>
      <c r="F93" s="28" t="s">
        <v>511</v>
      </c>
      <c r="G93" s="28" t="s">
        <v>4592</v>
      </c>
    </row>
    <row r="94" spans="1:8">
      <c r="A94" s="92" t="s">
        <v>4687</v>
      </c>
      <c r="B94" s="345">
        <v>1998</v>
      </c>
      <c r="C94" s="92"/>
      <c r="D94" s="345">
        <v>9892025</v>
      </c>
      <c r="E94" s="278" t="str">
        <f t="shared" si="0"/>
        <v>https://pubmed.ncbi.nlm.nih.gov/?term=9892025</v>
      </c>
      <c r="F94" s="28" t="s">
        <v>511</v>
      </c>
      <c r="G94" s="28" t="s">
        <v>4592</v>
      </c>
    </row>
    <row r="95" spans="1:8">
      <c r="A95" s="92" t="s">
        <v>4399</v>
      </c>
      <c r="B95" s="345">
        <v>2000</v>
      </c>
      <c r="C95" s="92"/>
      <c r="D95" s="345">
        <v>10697061</v>
      </c>
      <c r="E95" s="278" t="str">
        <f t="shared" si="0"/>
        <v>https://pubmed.ncbi.nlm.nih.gov/?term=10697061</v>
      </c>
      <c r="H95" s="28" t="s">
        <v>511</v>
      </c>
    </row>
    <row r="96" spans="1:8">
      <c r="A96" s="92" t="s">
        <v>4688</v>
      </c>
      <c r="B96" s="345">
        <v>1998</v>
      </c>
      <c r="C96" s="92"/>
      <c r="D96" s="345">
        <v>9748937</v>
      </c>
      <c r="E96" s="278" t="str">
        <f t="shared" si="0"/>
        <v>https://pubmed.ncbi.nlm.nih.gov/?term=9748937</v>
      </c>
      <c r="F96" s="28" t="s">
        <v>511</v>
      </c>
      <c r="G96" s="28" t="s">
        <v>4689</v>
      </c>
    </row>
    <row r="97" spans="1:7">
      <c r="A97" s="92" t="s">
        <v>4690</v>
      </c>
      <c r="B97" s="345">
        <v>1992</v>
      </c>
      <c r="C97" s="92"/>
      <c r="D97" s="345">
        <v>1638909</v>
      </c>
      <c r="E97" s="278" t="str">
        <f t="shared" si="0"/>
        <v>https://pubmed.ncbi.nlm.nih.gov/?term=1638909</v>
      </c>
      <c r="F97" s="28" t="s">
        <v>511</v>
      </c>
      <c r="G97" s="28" t="s">
        <v>4592</v>
      </c>
    </row>
    <row r="98" spans="1:7">
      <c r="A98" s="92" t="s">
        <v>4691</v>
      </c>
      <c r="B98" s="345">
        <v>1994</v>
      </c>
      <c r="C98" s="92"/>
      <c r="D98" s="345">
        <v>7527632</v>
      </c>
      <c r="E98" s="278" t="str">
        <f t="shared" si="0"/>
        <v>https://pubmed.ncbi.nlm.nih.gov/?term=7527632</v>
      </c>
      <c r="F98" s="28" t="s">
        <v>511</v>
      </c>
      <c r="G98" s="28" t="s">
        <v>4592</v>
      </c>
    </row>
    <row r="99" spans="1:7">
      <c r="A99" s="92" t="s">
        <v>4692</v>
      </c>
      <c r="B99" s="345">
        <v>2000</v>
      </c>
      <c r="C99" s="92"/>
      <c r="D99" s="345">
        <v>10987115</v>
      </c>
      <c r="E99" s="278" t="str">
        <f t="shared" si="0"/>
        <v>https://pubmed.ncbi.nlm.nih.gov/?term=10987115</v>
      </c>
      <c r="F99" s="28" t="s">
        <v>511</v>
      </c>
      <c r="G99" s="28" t="s">
        <v>4592</v>
      </c>
    </row>
    <row r="100" spans="1:7">
      <c r="A100" s="92" t="s">
        <v>4693</v>
      </c>
      <c r="B100" s="345">
        <v>1999</v>
      </c>
      <c r="C100" s="92"/>
      <c r="D100" s="345">
        <v>10193187</v>
      </c>
      <c r="E100" s="278" t="str">
        <f t="shared" si="0"/>
        <v>https://pubmed.ncbi.nlm.nih.gov/?term=10193187</v>
      </c>
      <c r="F100" s="28" t="s">
        <v>511</v>
      </c>
      <c r="G100" s="28" t="s">
        <v>4592</v>
      </c>
    </row>
    <row r="101" spans="1:7">
      <c r="A101" s="92" t="s">
        <v>4694</v>
      </c>
      <c r="B101" s="345">
        <v>1999</v>
      </c>
      <c r="C101" s="92"/>
      <c r="D101" s="345">
        <v>10394645</v>
      </c>
      <c r="E101" s="278" t="str">
        <f t="shared" si="0"/>
        <v>https://pubmed.ncbi.nlm.nih.gov/?term=10394645</v>
      </c>
      <c r="F101" s="28" t="s">
        <v>511</v>
      </c>
      <c r="G101" s="28" t="s">
        <v>4592</v>
      </c>
    </row>
    <row r="102" spans="1:7">
      <c r="A102" s="92" t="s">
        <v>4695</v>
      </c>
      <c r="B102" s="345">
        <v>1995</v>
      </c>
      <c r="C102" s="92"/>
      <c r="D102" s="345">
        <v>8519469</v>
      </c>
      <c r="E102" s="278" t="str">
        <f t="shared" si="0"/>
        <v>https://pubmed.ncbi.nlm.nih.gov/?term=8519469</v>
      </c>
      <c r="F102" s="28" t="s">
        <v>511</v>
      </c>
      <c r="G102" s="28" t="s">
        <v>4592</v>
      </c>
    </row>
    <row r="103" spans="1:7">
      <c r="A103" s="92" t="s">
        <v>4696</v>
      </c>
      <c r="B103" s="345">
        <v>2000</v>
      </c>
      <c r="C103" s="92"/>
      <c r="D103" s="345">
        <v>10893025</v>
      </c>
      <c r="E103" s="278" t="str">
        <f t="shared" si="0"/>
        <v>https://pubmed.ncbi.nlm.nih.gov/?term=10893025</v>
      </c>
      <c r="F103" s="28" t="s">
        <v>511</v>
      </c>
      <c r="G103" s="28" t="s">
        <v>4592</v>
      </c>
    </row>
    <row r="104" spans="1:7">
      <c r="A104" s="92" t="s">
        <v>4697</v>
      </c>
      <c r="B104" s="345">
        <v>1999</v>
      </c>
      <c r="C104" s="92"/>
      <c r="D104" s="345">
        <v>10485358</v>
      </c>
      <c r="E104" s="278" t="str">
        <f t="shared" si="0"/>
        <v>https://pubmed.ncbi.nlm.nih.gov/?term=10485358</v>
      </c>
      <c r="F104" s="28" t="s">
        <v>511</v>
      </c>
      <c r="G104" s="28" t="s">
        <v>4592</v>
      </c>
    </row>
    <row r="105" spans="1:7">
      <c r="A105" s="92" t="s">
        <v>4591</v>
      </c>
      <c r="B105" s="345">
        <v>1990</v>
      </c>
      <c r="C105" s="92"/>
      <c r="D105" s="345">
        <v>2277188</v>
      </c>
      <c r="E105" s="278" t="str">
        <f t="shared" si="0"/>
        <v>https://pubmed.ncbi.nlm.nih.gov/?term=2277188</v>
      </c>
      <c r="F105" s="28" t="s">
        <v>511</v>
      </c>
      <c r="G105" s="28" t="s">
        <v>4592</v>
      </c>
    </row>
    <row r="106" spans="1:7">
      <c r="A106" s="92" t="s">
        <v>4698</v>
      </c>
      <c r="B106" s="345">
        <v>1992</v>
      </c>
      <c r="C106" s="92"/>
      <c r="D106" s="345">
        <v>1526070</v>
      </c>
      <c r="E106" s="278" t="str">
        <f t="shared" si="0"/>
        <v>https://pubmed.ncbi.nlm.nih.gov/?term=1526070</v>
      </c>
      <c r="F106" s="28" t="s">
        <v>511</v>
      </c>
      <c r="G106" s="28" t="s">
        <v>4592</v>
      </c>
    </row>
    <row r="107" spans="1:7">
      <c r="A107" s="92" t="s">
        <v>4699</v>
      </c>
      <c r="B107" s="345">
        <v>2000</v>
      </c>
      <c r="C107" s="92"/>
      <c r="D107" s="345">
        <v>11071016</v>
      </c>
      <c r="E107" s="278" t="str">
        <f t="shared" si="0"/>
        <v>https://pubmed.ncbi.nlm.nih.gov/?term=11071016</v>
      </c>
      <c r="F107" s="28" t="s">
        <v>511</v>
      </c>
      <c r="G107" s="28" t="s">
        <v>4592</v>
      </c>
    </row>
    <row r="108" spans="1:7">
      <c r="A108" s="92" t="s">
        <v>4700</v>
      </c>
      <c r="B108" s="345">
        <v>1999</v>
      </c>
      <c r="C108" s="92"/>
      <c r="D108" s="345">
        <v>10574503</v>
      </c>
      <c r="E108" s="278" t="str">
        <f t="shared" si="0"/>
        <v>https://pubmed.ncbi.nlm.nih.gov/?term=10574503</v>
      </c>
      <c r="F108" s="28" t="s">
        <v>511</v>
      </c>
      <c r="G108" s="28" t="s">
        <v>4592</v>
      </c>
    </row>
    <row r="109" spans="1:7">
      <c r="A109" s="92" t="s">
        <v>4701</v>
      </c>
      <c r="B109" s="345">
        <v>1998</v>
      </c>
      <c r="C109" s="92" t="s">
        <v>4702</v>
      </c>
      <c r="D109" s="345">
        <v>9593483</v>
      </c>
      <c r="E109" s="278" t="str">
        <f t="shared" si="0"/>
        <v>https://pubmed.ncbi.nlm.nih.gov/?term=9593483</v>
      </c>
      <c r="F109" s="28" t="s">
        <v>511</v>
      </c>
      <c r="G109" s="28" t="s">
        <v>4592</v>
      </c>
    </row>
    <row r="110" spans="1:7">
      <c r="A110" s="92" t="s">
        <v>4703</v>
      </c>
      <c r="B110" s="345">
        <v>1996</v>
      </c>
      <c r="C110" s="92"/>
      <c r="D110" s="345">
        <v>8708364</v>
      </c>
      <c r="E110" s="278" t="str">
        <f t="shared" si="0"/>
        <v>https://pubmed.ncbi.nlm.nih.gov/?term=8708364</v>
      </c>
      <c r="F110" s="28" t="s">
        <v>511</v>
      </c>
      <c r="G110" s="28" t="s">
        <v>4592</v>
      </c>
    </row>
    <row r="111" spans="1:7">
      <c r="A111" s="92" t="s">
        <v>4704</v>
      </c>
      <c r="B111" s="345">
        <v>2000</v>
      </c>
      <c r="C111" s="92"/>
      <c r="D111" s="345">
        <v>11123085</v>
      </c>
      <c r="E111" s="278" t="str">
        <f t="shared" si="0"/>
        <v>https://pubmed.ncbi.nlm.nih.gov/?term=11123085</v>
      </c>
      <c r="F111" s="28" t="s">
        <v>511</v>
      </c>
      <c r="G111" s="28" t="s">
        <v>4592</v>
      </c>
    </row>
    <row r="112" spans="1:7">
      <c r="A112" s="92" t="s">
        <v>4705</v>
      </c>
      <c r="B112" s="345">
        <v>1998</v>
      </c>
      <c r="C112" s="92"/>
      <c r="D112" s="345">
        <v>9472719</v>
      </c>
      <c r="E112" s="278" t="str">
        <f t="shared" si="0"/>
        <v>https://pubmed.ncbi.nlm.nih.gov/?term=9472719</v>
      </c>
      <c r="F112" s="28" t="s">
        <v>511</v>
      </c>
      <c r="G112" s="28" t="s">
        <v>4592</v>
      </c>
    </row>
    <row r="113" spans="1:8">
      <c r="A113" s="92" t="s">
        <v>4706</v>
      </c>
      <c r="B113" s="345">
        <v>1995</v>
      </c>
      <c r="C113" s="92"/>
      <c r="D113" s="345">
        <v>7756496</v>
      </c>
      <c r="E113" s="278" t="str">
        <f t="shared" si="0"/>
        <v>https://pubmed.ncbi.nlm.nih.gov/?term=7756496</v>
      </c>
      <c r="F113" s="28" t="s">
        <v>511</v>
      </c>
      <c r="G113" s="28" t="s">
        <v>4592</v>
      </c>
    </row>
    <row r="114" spans="1:8">
      <c r="A114" s="92" t="s">
        <v>4707</v>
      </c>
      <c r="B114" s="345">
        <v>2000</v>
      </c>
      <c r="C114" s="92"/>
      <c r="D114" s="345">
        <v>10949062</v>
      </c>
      <c r="E114" s="278" t="str">
        <f t="shared" si="0"/>
        <v>https://pubmed.ncbi.nlm.nih.gov/?term=10949062</v>
      </c>
      <c r="F114" s="28" t="s">
        <v>511</v>
      </c>
      <c r="G114" s="28" t="s">
        <v>4592</v>
      </c>
    </row>
    <row r="115" spans="1:8">
      <c r="A115" s="92" t="s">
        <v>4708</v>
      </c>
      <c r="B115" s="345">
        <v>1994</v>
      </c>
      <c r="C115" s="92" t="s">
        <v>4709</v>
      </c>
      <c r="D115" s="345">
        <v>8017889</v>
      </c>
      <c r="E115" s="278" t="str">
        <f t="shared" si="0"/>
        <v>https://pubmed.ncbi.nlm.nih.gov/?term=8017889</v>
      </c>
      <c r="F115" s="28" t="s">
        <v>511</v>
      </c>
      <c r="G115" s="28" t="s">
        <v>4592</v>
      </c>
    </row>
    <row r="116" spans="1:8">
      <c r="A116" s="92" t="s">
        <v>4710</v>
      </c>
      <c r="B116" s="345">
        <v>1992</v>
      </c>
      <c r="C116" s="92"/>
      <c r="D116" s="345">
        <v>1524167</v>
      </c>
      <c r="E116" s="278" t="str">
        <f t="shared" si="0"/>
        <v>https://pubmed.ncbi.nlm.nih.gov/?term=1524167</v>
      </c>
      <c r="F116" s="28" t="s">
        <v>511</v>
      </c>
      <c r="G116" s="28" t="s">
        <v>4592</v>
      </c>
    </row>
    <row r="117" spans="1:8">
      <c r="A117" s="92" t="s">
        <v>4711</v>
      </c>
      <c r="B117" s="345">
        <v>1999</v>
      </c>
      <c r="C117" s="92"/>
      <c r="D117" s="345">
        <v>10622555</v>
      </c>
      <c r="E117" s="278" t="str">
        <f t="shared" si="0"/>
        <v>https://pubmed.ncbi.nlm.nih.gov/?term=10622555</v>
      </c>
      <c r="F117" s="28" t="s">
        <v>511</v>
      </c>
      <c r="G117" s="28" t="s">
        <v>4592</v>
      </c>
    </row>
    <row r="118" spans="1:8">
      <c r="A118" s="92" t="s">
        <v>1557</v>
      </c>
      <c r="B118" s="345">
        <v>1991</v>
      </c>
      <c r="C118" s="92" t="s">
        <v>4712</v>
      </c>
      <c r="D118" s="345">
        <v>1650789</v>
      </c>
      <c r="E118" s="278" t="str">
        <f t="shared" si="0"/>
        <v>https://pubmed.ncbi.nlm.nih.gov/?term=1650789</v>
      </c>
      <c r="H118" s="28" t="s">
        <v>511</v>
      </c>
    </row>
    <row r="119" spans="1:8">
      <c r="A119" s="92" t="s">
        <v>4713</v>
      </c>
      <c r="B119" s="345">
        <v>2000</v>
      </c>
      <c r="C119" s="92"/>
      <c r="D119" s="345">
        <v>10772831</v>
      </c>
      <c r="E119" s="278" t="str">
        <f t="shared" si="0"/>
        <v>https://pubmed.ncbi.nlm.nih.gov/?term=10772831</v>
      </c>
      <c r="F119" s="28" t="s">
        <v>511</v>
      </c>
      <c r="G119" s="28" t="s">
        <v>4592</v>
      </c>
    </row>
    <row r="120" spans="1:8">
      <c r="A120" s="92" t="s">
        <v>4714</v>
      </c>
      <c r="B120" s="345">
        <v>1992</v>
      </c>
      <c r="C120" s="92"/>
      <c r="D120" s="345">
        <v>1573320</v>
      </c>
      <c r="E120" s="278" t="str">
        <f t="shared" si="0"/>
        <v>https://pubmed.ncbi.nlm.nih.gov/?term=1573320</v>
      </c>
      <c r="F120" s="28" t="s">
        <v>511</v>
      </c>
      <c r="G120" s="28" t="s">
        <v>4592</v>
      </c>
    </row>
    <row r="121" spans="1:8">
      <c r="A121" s="92" t="s">
        <v>4715</v>
      </c>
      <c r="B121" s="345">
        <v>1995</v>
      </c>
      <c r="C121" s="92" t="s">
        <v>4716</v>
      </c>
      <c r="D121" s="345">
        <v>8531887</v>
      </c>
      <c r="E121" s="278" t="str">
        <f t="shared" si="0"/>
        <v>https://pubmed.ncbi.nlm.nih.gov/?term=8531887</v>
      </c>
      <c r="F121" s="28" t="s">
        <v>511</v>
      </c>
      <c r="G121" s="28" t="s">
        <v>4592</v>
      </c>
    </row>
    <row r="122" spans="1:8">
      <c r="A122" s="92" t="s">
        <v>4717</v>
      </c>
      <c r="B122" s="345">
        <v>1999</v>
      </c>
      <c r="C122" s="92"/>
      <c r="D122" s="345">
        <v>10200861</v>
      </c>
      <c r="E122" s="278" t="str">
        <f t="shared" si="0"/>
        <v>https://pubmed.ncbi.nlm.nih.gov/?term=10200861</v>
      </c>
      <c r="F122" s="28" t="s">
        <v>511</v>
      </c>
      <c r="G122" s="28" t="s">
        <v>4592</v>
      </c>
    </row>
    <row r="123" spans="1:8">
      <c r="A123" s="92" t="s">
        <v>4718</v>
      </c>
      <c r="B123" s="345">
        <v>1999</v>
      </c>
      <c r="C123" s="92"/>
      <c r="D123" s="345">
        <v>10574525</v>
      </c>
      <c r="E123" s="278" t="str">
        <f t="shared" si="0"/>
        <v>https://pubmed.ncbi.nlm.nih.gov/?term=10574525</v>
      </c>
      <c r="F123" s="28" t="s">
        <v>511</v>
      </c>
      <c r="G123" s="28" t="s">
        <v>4346</v>
      </c>
    </row>
    <row r="124" spans="1:8">
      <c r="A124" s="92" t="s">
        <v>1750</v>
      </c>
      <c r="B124" s="345">
        <v>2000</v>
      </c>
      <c r="C124" s="92"/>
      <c r="D124" s="345">
        <v>10932062</v>
      </c>
      <c r="E124" s="278" t="str">
        <f t="shared" si="0"/>
        <v>https://pubmed.ncbi.nlm.nih.gov/?term=10932062</v>
      </c>
      <c r="F124" s="28" t="s">
        <v>511</v>
      </c>
      <c r="G124" s="28" t="s">
        <v>4592</v>
      </c>
    </row>
    <row r="125" spans="1:8">
      <c r="A125" s="92" t="s">
        <v>4719</v>
      </c>
      <c r="B125" s="345">
        <v>1990</v>
      </c>
      <c r="C125" s="92"/>
      <c r="D125" s="345">
        <v>2195920</v>
      </c>
      <c r="E125" s="278" t="str">
        <f t="shared" si="0"/>
        <v>https://pubmed.ncbi.nlm.nih.gov/?term=2195920</v>
      </c>
      <c r="F125" s="28" t="s">
        <v>511</v>
      </c>
      <c r="G125" s="28" t="s">
        <v>4592</v>
      </c>
    </row>
    <row r="126" spans="1:8">
      <c r="A126" s="92" t="s">
        <v>4720</v>
      </c>
      <c r="B126" s="345">
        <v>1999</v>
      </c>
      <c r="C126" s="92"/>
      <c r="D126" s="345">
        <v>10392579</v>
      </c>
      <c r="E126" s="278" t="str">
        <f t="shared" si="0"/>
        <v>https://pubmed.ncbi.nlm.nih.gov/?term=10392579</v>
      </c>
      <c r="F126" s="28" t="s">
        <v>511</v>
      </c>
      <c r="G126" s="28" t="s">
        <v>4592</v>
      </c>
    </row>
    <row r="127" spans="1:8">
      <c r="A127" s="92" t="s">
        <v>4721</v>
      </c>
      <c r="B127" s="345">
        <v>1996</v>
      </c>
      <c r="C127" s="92"/>
      <c r="D127" s="345">
        <v>8698234</v>
      </c>
      <c r="E127" s="278" t="str">
        <f t="shared" si="0"/>
        <v>https://pubmed.ncbi.nlm.nih.gov/?term=8698234</v>
      </c>
      <c r="F127" s="28" t="s">
        <v>511</v>
      </c>
      <c r="G127" s="28" t="s">
        <v>8373</v>
      </c>
    </row>
    <row r="128" spans="1:8">
      <c r="A128" s="92" t="s">
        <v>4723</v>
      </c>
      <c r="B128" s="345">
        <v>2000</v>
      </c>
      <c r="C128" s="92"/>
      <c r="D128" s="345">
        <v>10945375</v>
      </c>
      <c r="E128" s="278" t="str">
        <f t="shared" si="0"/>
        <v>https://pubmed.ncbi.nlm.nih.gov/?term=10945375</v>
      </c>
      <c r="F128" s="28" t="s">
        <v>511</v>
      </c>
      <c r="G128" s="28" t="s">
        <v>4592</v>
      </c>
    </row>
    <row r="129" spans="1:8">
      <c r="A129" s="92" t="s">
        <v>4724</v>
      </c>
      <c r="B129" s="345">
        <v>2000</v>
      </c>
      <c r="C129" s="92"/>
      <c r="D129" s="345">
        <v>10719741</v>
      </c>
      <c r="E129" s="278" t="str">
        <f t="shared" si="0"/>
        <v>https://pubmed.ncbi.nlm.nih.gov/?term=10719741</v>
      </c>
      <c r="F129" s="28" t="s">
        <v>511</v>
      </c>
      <c r="G129" s="28" t="s">
        <v>4592</v>
      </c>
    </row>
    <row r="130" spans="1:8">
      <c r="A130" s="92" t="s">
        <v>4725</v>
      </c>
      <c r="B130" s="345">
        <v>1999</v>
      </c>
      <c r="C130" s="92"/>
      <c r="D130" s="345">
        <v>11030607</v>
      </c>
      <c r="E130" s="278" t="str">
        <f t="shared" si="0"/>
        <v>https://pubmed.ncbi.nlm.nih.gov/?term=11030607</v>
      </c>
      <c r="F130" s="28" t="s">
        <v>511</v>
      </c>
      <c r="G130" s="28" t="s">
        <v>4592</v>
      </c>
    </row>
    <row r="131" spans="1:8">
      <c r="A131" s="92" t="s">
        <v>4271</v>
      </c>
      <c r="B131" s="345">
        <v>1998</v>
      </c>
      <c r="C131" s="92"/>
      <c r="D131" s="345">
        <v>9806102</v>
      </c>
      <c r="E131" s="278" t="str">
        <f t="shared" si="0"/>
        <v>https://pubmed.ncbi.nlm.nih.gov/?term=9806102</v>
      </c>
      <c r="F131" s="28" t="s">
        <v>511</v>
      </c>
      <c r="G131" s="28" t="s">
        <v>4592</v>
      </c>
    </row>
    <row r="132" spans="1:8">
      <c r="A132" s="92" t="s">
        <v>4726</v>
      </c>
      <c r="B132" s="345">
        <v>1995</v>
      </c>
      <c r="C132" s="92"/>
      <c r="D132" s="345">
        <v>8547496</v>
      </c>
      <c r="E132" s="278" t="str">
        <f t="shared" si="0"/>
        <v>https://pubmed.ncbi.nlm.nih.gov/?term=8547496</v>
      </c>
      <c r="F132" s="28" t="s">
        <v>511</v>
      </c>
      <c r="G132" s="28" t="s">
        <v>4592</v>
      </c>
    </row>
    <row r="133" spans="1:8">
      <c r="A133" s="92" t="s">
        <v>4727</v>
      </c>
      <c r="B133" s="345">
        <v>1993</v>
      </c>
      <c r="C133" s="92"/>
      <c r="D133" s="345">
        <v>8294625</v>
      </c>
      <c r="E133" s="278" t="str">
        <f t="shared" si="0"/>
        <v>https://pubmed.ncbi.nlm.nih.gov/?term=8294625</v>
      </c>
      <c r="F133" s="28" t="s">
        <v>511</v>
      </c>
      <c r="G133" s="28" t="s">
        <v>4592</v>
      </c>
    </row>
    <row r="134" spans="1:8">
      <c r="A134" s="92" t="s">
        <v>4728</v>
      </c>
      <c r="B134" s="345">
        <v>1999</v>
      </c>
      <c r="C134" s="92"/>
      <c r="D134" s="345">
        <v>10578118</v>
      </c>
      <c r="E134" s="278" t="str">
        <f t="shared" si="0"/>
        <v>https://pubmed.ncbi.nlm.nih.gov/?term=10578118</v>
      </c>
      <c r="F134" s="28" t="s">
        <v>511</v>
      </c>
      <c r="G134" s="28" t="s">
        <v>4592</v>
      </c>
    </row>
    <row r="135" spans="1:8">
      <c r="A135" s="92" t="s">
        <v>4729</v>
      </c>
      <c r="B135" s="345">
        <v>1996</v>
      </c>
      <c r="C135" s="92"/>
      <c r="D135" s="345">
        <v>8988875</v>
      </c>
      <c r="E135" s="278" t="str">
        <f t="shared" si="0"/>
        <v>https://pubmed.ncbi.nlm.nih.gov/?term=8988875</v>
      </c>
      <c r="F135" s="28" t="s">
        <v>511</v>
      </c>
      <c r="G135" s="28" t="s">
        <v>4592</v>
      </c>
    </row>
    <row r="136" spans="1:8">
      <c r="A136" s="92" t="s">
        <v>4730</v>
      </c>
      <c r="B136" s="345">
        <v>1998</v>
      </c>
      <c r="C136" s="92"/>
      <c r="D136" s="345">
        <v>9522228</v>
      </c>
      <c r="E136" s="278" t="str">
        <f t="shared" si="0"/>
        <v>https://pubmed.ncbi.nlm.nih.gov/?term=9522228</v>
      </c>
      <c r="F136" s="28" t="s">
        <v>511</v>
      </c>
      <c r="G136" s="28" t="s">
        <v>4592</v>
      </c>
    </row>
    <row r="137" spans="1:8">
      <c r="A137" s="92" t="s">
        <v>4731</v>
      </c>
      <c r="B137" s="345">
        <v>1999</v>
      </c>
      <c r="C137" s="92"/>
      <c r="D137" s="345">
        <v>10589383</v>
      </c>
      <c r="E137" s="278" t="str">
        <f t="shared" si="0"/>
        <v>https://pubmed.ncbi.nlm.nih.gov/?term=10589383</v>
      </c>
      <c r="F137" s="28" t="s">
        <v>511</v>
      </c>
      <c r="G137" s="28" t="s">
        <v>4592</v>
      </c>
    </row>
    <row r="138" spans="1:8">
      <c r="A138" s="92" t="s">
        <v>4727</v>
      </c>
      <c r="B138" s="345">
        <v>1994</v>
      </c>
      <c r="C138" s="92"/>
      <c r="D138" s="345">
        <v>8026212</v>
      </c>
      <c r="E138" s="278" t="str">
        <f t="shared" si="0"/>
        <v>https://pubmed.ncbi.nlm.nih.gov/?term=8026212</v>
      </c>
      <c r="F138" s="28" t="s">
        <v>511</v>
      </c>
      <c r="G138" s="28" t="s">
        <v>4592</v>
      </c>
    </row>
    <row r="139" spans="1:8">
      <c r="A139" s="92" t="s">
        <v>4732</v>
      </c>
      <c r="B139" s="345">
        <v>2000</v>
      </c>
      <c r="C139" s="92"/>
      <c r="D139" s="345">
        <v>10773116</v>
      </c>
      <c r="E139" s="278" t="str">
        <f t="shared" si="0"/>
        <v>https://pubmed.ncbi.nlm.nih.gov/?term=10773116</v>
      </c>
      <c r="F139" s="28" t="s">
        <v>511</v>
      </c>
      <c r="G139" s="28" t="s">
        <v>4592</v>
      </c>
    </row>
    <row r="140" spans="1:8">
      <c r="A140" s="92" t="s">
        <v>1835</v>
      </c>
      <c r="B140" s="345">
        <v>1996</v>
      </c>
      <c r="C140" s="92"/>
      <c r="D140" s="345">
        <v>8544269</v>
      </c>
      <c r="E140" s="278" t="str">
        <f t="shared" si="0"/>
        <v>https://pubmed.ncbi.nlm.nih.gov/?term=8544269</v>
      </c>
      <c r="H140" s="28" t="s">
        <v>511</v>
      </c>
    </row>
    <row r="141" spans="1:8">
      <c r="A141" s="92" t="s">
        <v>4733</v>
      </c>
      <c r="B141" s="345">
        <v>1993</v>
      </c>
      <c r="C141" s="92"/>
      <c r="D141" s="345">
        <v>7691508</v>
      </c>
      <c r="E141" s="278" t="str">
        <f t="shared" si="0"/>
        <v>https://pubmed.ncbi.nlm.nih.gov/?term=7691508</v>
      </c>
      <c r="F141" s="28" t="s">
        <v>511</v>
      </c>
      <c r="G141" s="28" t="s">
        <v>4592</v>
      </c>
    </row>
    <row r="142" spans="1:8">
      <c r="A142" s="92" t="s">
        <v>1690</v>
      </c>
      <c r="B142" s="345">
        <v>1994</v>
      </c>
      <c r="C142" s="92"/>
      <c r="D142" s="345">
        <v>8291861</v>
      </c>
      <c r="E142" s="278" t="str">
        <f t="shared" si="0"/>
        <v>https://pubmed.ncbi.nlm.nih.gov/?term=8291861</v>
      </c>
      <c r="H142" s="28" t="s">
        <v>511</v>
      </c>
    </row>
    <row r="143" spans="1:8">
      <c r="A143" s="92" t="s">
        <v>1827</v>
      </c>
      <c r="B143" s="345">
        <v>1996</v>
      </c>
      <c r="C143" s="92"/>
      <c r="D143" s="345">
        <v>8953073</v>
      </c>
      <c r="E143" s="278" t="str">
        <f t="shared" si="0"/>
        <v>https://pubmed.ncbi.nlm.nih.gov/?term=8953073</v>
      </c>
      <c r="H143" s="28" t="s">
        <v>511</v>
      </c>
    </row>
    <row r="144" spans="1:8">
      <c r="A144" s="92" t="s">
        <v>1690</v>
      </c>
      <c r="B144" s="345">
        <v>1999</v>
      </c>
      <c r="C144" s="92"/>
      <c r="D144" s="345">
        <v>10890787</v>
      </c>
      <c r="E144" s="278" t="str">
        <f t="shared" si="0"/>
        <v>https://pubmed.ncbi.nlm.nih.gov/?term=10890787</v>
      </c>
      <c r="H144" s="28" t="s">
        <v>511</v>
      </c>
    </row>
    <row r="145" spans="1:8">
      <c r="A145" s="92" t="s">
        <v>4734</v>
      </c>
      <c r="B145" s="345">
        <v>1997</v>
      </c>
      <c r="C145" s="92"/>
      <c r="D145" s="345">
        <v>9445959</v>
      </c>
      <c r="E145" s="278" t="str">
        <f t="shared" si="0"/>
        <v>https://pubmed.ncbi.nlm.nih.gov/?term=9445959</v>
      </c>
      <c r="F145" s="28" t="s">
        <v>511</v>
      </c>
      <c r="G145" s="28" t="s">
        <v>4592</v>
      </c>
    </row>
    <row r="146" spans="1:8">
      <c r="A146" s="92" t="s">
        <v>4735</v>
      </c>
      <c r="B146" s="345">
        <v>1999</v>
      </c>
      <c r="C146" s="92"/>
      <c r="D146" s="345">
        <v>10217584</v>
      </c>
      <c r="E146" s="278" t="str">
        <f t="shared" si="0"/>
        <v>https://pubmed.ncbi.nlm.nih.gov/?term=10217584</v>
      </c>
      <c r="F146" s="28" t="s">
        <v>511</v>
      </c>
      <c r="G146" s="28" t="s">
        <v>4346</v>
      </c>
    </row>
    <row r="147" spans="1:8">
      <c r="A147" s="92" t="s">
        <v>4736</v>
      </c>
      <c r="B147" s="345">
        <v>1991</v>
      </c>
      <c r="C147" s="92"/>
      <c r="D147" s="345">
        <v>2042705</v>
      </c>
      <c r="E147" s="278" t="str">
        <f t="shared" si="0"/>
        <v>https://pubmed.ncbi.nlm.nih.gov/?term=2042705</v>
      </c>
      <c r="F147" s="28" t="s">
        <v>511</v>
      </c>
      <c r="G147" s="28" t="s">
        <v>4346</v>
      </c>
    </row>
    <row r="148" spans="1:8">
      <c r="A148" s="92" t="s">
        <v>4737</v>
      </c>
      <c r="B148" s="345">
        <v>1993</v>
      </c>
      <c r="C148" s="92"/>
      <c r="D148" s="345">
        <v>7922390</v>
      </c>
      <c r="E148" s="278" t="str">
        <f t="shared" si="0"/>
        <v>https://pubmed.ncbi.nlm.nih.gov/?term=7922390</v>
      </c>
      <c r="F148" s="28" t="s">
        <v>511</v>
      </c>
      <c r="G148" s="28" t="s">
        <v>4592</v>
      </c>
    </row>
    <row r="149" spans="1:8">
      <c r="A149" s="92" t="s">
        <v>4738</v>
      </c>
      <c r="B149" s="345">
        <v>1996</v>
      </c>
      <c r="C149" s="92"/>
      <c r="D149" s="345">
        <v>8952023</v>
      </c>
      <c r="E149" s="278" t="str">
        <f t="shared" si="0"/>
        <v>https://pubmed.ncbi.nlm.nih.gov/?term=8952023</v>
      </c>
      <c r="F149" s="28" t="s">
        <v>511</v>
      </c>
      <c r="G149" s="28" t="s">
        <v>4346</v>
      </c>
    </row>
    <row r="150" spans="1:8">
      <c r="A150" s="92" t="s">
        <v>1980</v>
      </c>
      <c r="B150" s="345">
        <v>1995</v>
      </c>
      <c r="C150" s="92"/>
      <c r="D150" s="345">
        <v>8578831</v>
      </c>
      <c r="E150" s="278" t="str">
        <f t="shared" si="0"/>
        <v>https://pubmed.ncbi.nlm.nih.gov/?term=8578831</v>
      </c>
      <c r="H150" s="28" t="s">
        <v>511</v>
      </c>
    </row>
    <row r="151" spans="1:8">
      <c r="A151" s="92" t="s">
        <v>1980</v>
      </c>
      <c r="B151" s="345">
        <v>1992</v>
      </c>
      <c r="C151" s="92" t="s">
        <v>4739</v>
      </c>
      <c r="D151" s="345">
        <v>1587589</v>
      </c>
      <c r="E151" s="278" t="str">
        <f t="shared" si="0"/>
        <v>https://pubmed.ncbi.nlm.nih.gov/?term=1587589</v>
      </c>
      <c r="H151" s="28" t="s">
        <v>511</v>
      </c>
    </row>
    <row r="152" spans="1:8">
      <c r="A152" s="92" t="s">
        <v>1800</v>
      </c>
      <c r="B152" s="345">
        <v>1997</v>
      </c>
      <c r="C152" s="92"/>
      <c r="D152" s="345">
        <v>9402380</v>
      </c>
      <c r="E152" s="278" t="str">
        <f t="shared" si="0"/>
        <v>https://pubmed.ncbi.nlm.nih.gov/?term=9402380</v>
      </c>
      <c r="H152" s="28" t="s">
        <v>511</v>
      </c>
    </row>
    <row r="153" spans="1:8">
      <c r="A153" s="92" t="s">
        <v>4740</v>
      </c>
      <c r="B153" s="345">
        <v>1992</v>
      </c>
      <c r="C153" s="92"/>
      <c r="D153" s="345">
        <v>18611520</v>
      </c>
      <c r="E153" s="278" t="str">
        <f t="shared" si="0"/>
        <v>https://pubmed.ncbi.nlm.nih.gov/?term=18611520</v>
      </c>
      <c r="F153" s="28" t="s">
        <v>511</v>
      </c>
      <c r="G153" s="28" t="s">
        <v>4741</v>
      </c>
    </row>
    <row r="154" spans="1:8">
      <c r="A154" s="92" t="s">
        <v>4742</v>
      </c>
      <c r="B154" s="345">
        <v>2000</v>
      </c>
      <c r="C154" s="92"/>
      <c r="D154" s="345">
        <v>10796624</v>
      </c>
      <c r="E154" s="278" t="str">
        <f t="shared" si="0"/>
        <v>https://pubmed.ncbi.nlm.nih.gov/?term=10796624</v>
      </c>
      <c r="F154" s="28" t="s">
        <v>511</v>
      </c>
      <c r="G154" s="28" t="s">
        <v>4592</v>
      </c>
    </row>
    <row r="155" spans="1:8">
      <c r="A155" s="92" t="s">
        <v>4743</v>
      </c>
      <c r="B155" s="345">
        <v>2000</v>
      </c>
      <c r="C155" s="92"/>
      <c r="D155" s="345">
        <v>10850524</v>
      </c>
      <c r="E155" s="278" t="str">
        <f t="shared" si="0"/>
        <v>https://pubmed.ncbi.nlm.nih.gov/?term=10850524</v>
      </c>
      <c r="F155" s="28" t="s">
        <v>511</v>
      </c>
      <c r="G155" s="28" t="s">
        <v>4744</v>
      </c>
    </row>
    <row r="156" spans="1:8">
      <c r="A156" s="92" t="s">
        <v>4745</v>
      </c>
      <c r="B156" s="345">
        <v>1995</v>
      </c>
      <c r="C156" s="92" t="s">
        <v>4746</v>
      </c>
      <c r="D156" s="345">
        <v>7489941</v>
      </c>
      <c r="E156" s="278" t="str">
        <f t="shared" si="0"/>
        <v>https://pubmed.ncbi.nlm.nih.gov/?term=7489941</v>
      </c>
      <c r="F156" s="28" t="s">
        <v>511</v>
      </c>
      <c r="G156" s="28" t="s">
        <v>8374</v>
      </c>
    </row>
    <row r="157" spans="1:8">
      <c r="A157" s="92" t="s">
        <v>2432</v>
      </c>
      <c r="B157" s="345">
        <v>1993</v>
      </c>
      <c r="C157" s="92" t="s">
        <v>4748</v>
      </c>
      <c r="D157" s="345">
        <v>8394240</v>
      </c>
      <c r="E157" s="278" t="str">
        <f t="shared" si="0"/>
        <v>https://pubmed.ncbi.nlm.nih.gov/?term=8394240</v>
      </c>
      <c r="H157" s="28" t="s">
        <v>511</v>
      </c>
    </row>
    <row r="158" spans="1:8">
      <c r="A158" s="92" t="s">
        <v>2319</v>
      </c>
      <c r="B158" s="345">
        <v>1990</v>
      </c>
      <c r="C158" s="92" t="s">
        <v>4749</v>
      </c>
      <c r="D158" s="345">
        <v>1692807</v>
      </c>
      <c r="E158" s="278" t="str">
        <f t="shared" si="0"/>
        <v>https://pubmed.ncbi.nlm.nih.gov/?term=1692807</v>
      </c>
      <c r="H158" s="28" t="s">
        <v>511</v>
      </c>
    </row>
    <row r="159" spans="1:8">
      <c r="A159" s="92" t="s">
        <v>4750</v>
      </c>
      <c r="B159" s="345">
        <v>1994</v>
      </c>
      <c r="C159" s="92"/>
      <c r="D159" s="345">
        <v>7980899</v>
      </c>
      <c r="E159" s="278" t="str">
        <f t="shared" si="0"/>
        <v>https://pubmed.ncbi.nlm.nih.gov/?term=7980899</v>
      </c>
      <c r="F159" s="28" t="s">
        <v>511</v>
      </c>
      <c r="G159" s="28" t="s">
        <v>4592</v>
      </c>
    </row>
    <row r="160" spans="1:8">
      <c r="A160" s="92" t="s">
        <v>4751</v>
      </c>
      <c r="B160" s="345">
        <v>1998</v>
      </c>
      <c r="C160" s="92"/>
      <c r="D160" s="345">
        <v>9637578</v>
      </c>
      <c r="E160" s="278" t="str">
        <f t="shared" si="0"/>
        <v>https://pubmed.ncbi.nlm.nih.gov/?term=9637578</v>
      </c>
      <c r="F160" s="28" t="s">
        <v>511</v>
      </c>
      <c r="G160" s="28" t="s">
        <v>4744</v>
      </c>
    </row>
    <row r="161" spans="1:8">
      <c r="A161" s="92" t="s">
        <v>2371</v>
      </c>
      <c r="B161" s="345">
        <v>2000</v>
      </c>
      <c r="C161" s="92"/>
      <c r="D161" s="345">
        <v>11073753</v>
      </c>
      <c r="E161" s="278" t="str">
        <f t="shared" si="0"/>
        <v>https://pubmed.ncbi.nlm.nih.gov/?term=11073753</v>
      </c>
      <c r="H161" s="28" t="s">
        <v>511</v>
      </c>
    </row>
    <row r="162" spans="1:8">
      <c r="A162" s="92" t="s">
        <v>2289</v>
      </c>
      <c r="B162" s="345">
        <v>1992</v>
      </c>
      <c r="C162" s="92"/>
      <c r="D162" s="345">
        <v>1317694</v>
      </c>
      <c r="E162" s="278" t="str">
        <f t="shared" si="0"/>
        <v>https://pubmed.ncbi.nlm.nih.gov/?term=1317694</v>
      </c>
      <c r="H162" s="28" t="s">
        <v>511</v>
      </c>
    </row>
    <row r="163" spans="1:8">
      <c r="A163" s="92" t="s">
        <v>4752</v>
      </c>
      <c r="B163" s="345">
        <v>2000</v>
      </c>
      <c r="C163" s="92"/>
      <c r="D163" s="345">
        <v>10807510</v>
      </c>
      <c r="E163" s="278" t="str">
        <f t="shared" si="0"/>
        <v>https://pubmed.ncbi.nlm.nih.gov/?term=10807510</v>
      </c>
      <c r="F163" s="28" t="s">
        <v>511</v>
      </c>
      <c r="G163" s="28" t="s">
        <v>4592</v>
      </c>
    </row>
    <row r="164" spans="1:8">
      <c r="A164" s="92" t="s">
        <v>4753</v>
      </c>
      <c r="B164" s="345">
        <v>2000</v>
      </c>
      <c r="C164" s="92"/>
      <c r="D164" s="345">
        <v>11354808</v>
      </c>
      <c r="E164" s="278" t="str">
        <f t="shared" si="0"/>
        <v>https://pubmed.ncbi.nlm.nih.gov/?term=11354808</v>
      </c>
      <c r="F164" s="28" t="s">
        <v>511</v>
      </c>
      <c r="G164" s="28" t="s">
        <v>4592</v>
      </c>
    </row>
    <row r="165" spans="1:8">
      <c r="A165" s="92" t="s">
        <v>4754</v>
      </c>
      <c r="B165" s="345">
        <v>1996</v>
      </c>
      <c r="C165" s="92"/>
      <c r="D165" s="345">
        <v>8785959</v>
      </c>
      <c r="E165" s="278" t="str">
        <f t="shared" si="0"/>
        <v>https://pubmed.ncbi.nlm.nih.gov/?term=8785959</v>
      </c>
      <c r="F165" s="28" t="s">
        <v>511</v>
      </c>
      <c r="G165" s="28" t="s">
        <v>4592</v>
      </c>
    </row>
    <row r="166" spans="1:8">
      <c r="A166" s="92" t="s">
        <v>4755</v>
      </c>
      <c r="B166" s="345">
        <v>1995</v>
      </c>
      <c r="C166" s="92"/>
      <c r="D166" s="345">
        <v>7746977</v>
      </c>
      <c r="E166" s="278" t="str">
        <f t="shared" si="0"/>
        <v>https://pubmed.ncbi.nlm.nih.gov/?term=7746977</v>
      </c>
      <c r="F166" s="28" t="s">
        <v>511</v>
      </c>
      <c r="G166" s="28" t="s">
        <v>8375</v>
      </c>
    </row>
    <row r="167" spans="1:8">
      <c r="A167" s="92" t="s">
        <v>4757</v>
      </c>
      <c r="B167" s="345">
        <v>1995</v>
      </c>
      <c r="C167" s="92"/>
      <c r="D167" s="345">
        <v>7788426</v>
      </c>
      <c r="E167" s="278" t="str">
        <f t="shared" si="0"/>
        <v>https://pubmed.ncbi.nlm.nih.gov/?term=7788426</v>
      </c>
      <c r="F167" s="28" t="s">
        <v>511</v>
      </c>
      <c r="G167" s="28" t="s">
        <v>4744</v>
      </c>
    </row>
    <row r="168" spans="1:8">
      <c r="A168" s="92" t="s">
        <v>4758</v>
      </c>
      <c r="B168" s="345">
        <v>2000</v>
      </c>
      <c r="C168" s="92"/>
      <c r="D168" s="345">
        <v>10897270</v>
      </c>
      <c r="E168" s="278" t="str">
        <f t="shared" si="0"/>
        <v>https://pubmed.ncbi.nlm.nih.gov/?term=10897270</v>
      </c>
      <c r="F168" s="28" t="s">
        <v>511</v>
      </c>
      <c r="G168" s="28" t="s">
        <v>4592</v>
      </c>
    </row>
    <row r="169" spans="1:8">
      <c r="A169" s="92" t="s">
        <v>1800</v>
      </c>
      <c r="B169" s="345">
        <v>1996</v>
      </c>
      <c r="C169" s="92"/>
      <c r="D169" s="345">
        <v>8729205</v>
      </c>
      <c r="E169" s="278" t="str">
        <f t="shared" si="0"/>
        <v>https://pubmed.ncbi.nlm.nih.gov/?term=8729205</v>
      </c>
      <c r="H169" s="28" t="s">
        <v>511</v>
      </c>
    </row>
    <row r="170" spans="1:8">
      <c r="A170" s="92" t="s">
        <v>4759</v>
      </c>
      <c r="B170" s="345">
        <v>1990</v>
      </c>
      <c r="C170" s="92" t="s">
        <v>4760</v>
      </c>
      <c r="D170" s="345">
        <v>2254021</v>
      </c>
      <c r="E170" s="278" t="str">
        <f t="shared" si="0"/>
        <v>https://pubmed.ncbi.nlm.nih.gov/?term=2254021</v>
      </c>
      <c r="F170" s="28" t="s">
        <v>511</v>
      </c>
      <c r="G170" s="28" t="s">
        <v>4346</v>
      </c>
    </row>
    <row r="171" spans="1:8">
      <c r="A171" s="92" t="s">
        <v>4269</v>
      </c>
      <c r="B171" s="345">
        <v>1991</v>
      </c>
      <c r="C171" s="92"/>
      <c r="D171" s="345">
        <v>2024815</v>
      </c>
      <c r="E171" s="278" t="str">
        <f t="shared" si="0"/>
        <v>https://pubmed.ncbi.nlm.nih.gov/?term=2024815</v>
      </c>
      <c r="H171" s="28" t="s">
        <v>511</v>
      </c>
    </row>
    <row r="172" spans="1:8">
      <c r="A172" s="92" t="s">
        <v>4761</v>
      </c>
      <c r="B172" s="345">
        <v>1997</v>
      </c>
      <c r="C172" s="92"/>
      <c r="D172" s="345">
        <v>9152932</v>
      </c>
      <c r="E172" s="278" t="str">
        <f t="shared" si="0"/>
        <v>https://pubmed.ncbi.nlm.nih.gov/?term=9152932</v>
      </c>
      <c r="F172" s="28" t="s">
        <v>511</v>
      </c>
      <c r="G172" s="28" t="s">
        <v>4346</v>
      </c>
    </row>
    <row r="173" spans="1:8">
      <c r="A173" s="92" t="s">
        <v>4762</v>
      </c>
      <c r="B173" s="345">
        <v>1995</v>
      </c>
      <c r="C173" s="92" t="s">
        <v>4763</v>
      </c>
      <c r="D173" s="345">
        <v>7547435</v>
      </c>
      <c r="E173" s="278" t="str">
        <f t="shared" si="0"/>
        <v>https://pubmed.ncbi.nlm.nih.gov/?term=7547435</v>
      </c>
      <c r="F173" s="28" t="s">
        <v>511</v>
      </c>
      <c r="G173" s="28" t="s">
        <v>4346</v>
      </c>
    </row>
    <row r="174" spans="1:8">
      <c r="A174" s="92" t="s">
        <v>4764</v>
      </c>
      <c r="B174" s="345">
        <v>1995</v>
      </c>
      <c r="C174" s="92"/>
      <c r="D174" s="345">
        <v>8673477</v>
      </c>
      <c r="E174" s="278" t="str">
        <f t="shared" si="0"/>
        <v>https://pubmed.ncbi.nlm.nih.gov/?term=8673477</v>
      </c>
      <c r="F174" s="28" t="s">
        <v>511</v>
      </c>
      <c r="G174" s="28" t="s">
        <v>4765</v>
      </c>
    </row>
    <row r="175" spans="1:8">
      <c r="A175" s="92" t="s">
        <v>4766</v>
      </c>
      <c r="B175" s="345">
        <v>2000</v>
      </c>
      <c r="C175" s="92"/>
      <c r="D175" s="345">
        <v>11089992</v>
      </c>
      <c r="E175" s="278" t="str">
        <f t="shared" si="0"/>
        <v>https://pubmed.ncbi.nlm.nih.gov/?term=11089992</v>
      </c>
      <c r="F175" s="28" t="s">
        <v>511</v>
      </c>
      <c r="G175" s="28" t="s">
        <v>4346</v>
      </c>
    </row>
    <row r="176" spans="1:8">
      <c r="A176" s="92" t="s">
        <v>4767</v>
      </c>
      <c r="B176" s="345">
        <v>1994</v>
      </c>
      <c r="C176" s="92"/>
      <c r="D176" s="345">
        <v>7932927</v>
      </c>
      <c r="E176" s="278" t="str">
        <f t="shared" si="0"/>
        <v>https://pubmed.ncbi.nlm.nih.gov/?term=7932927</v>
      </c>
      <c r="F176" s="28" t="s">
        <v>511</v>
      </c>
      <c r="G176" s="28" t="s">
        <v>4592</v>
      </c>
    </row>
    <row r="177" spans="1:8">
      <c r="A177" s="92" t="s">
        <v>4768</v>
      </c>
      <c r="B177" s="345">
        <v>1990</v>
      </c>
      <c r="C177" s="92"/>
      <c r="D177" s="345">
        <v>1970898</v>
      </c>
      <c r="E177" s="278" t="str">
        <f t="shared" si="0"/>
        <v>https://pubmed.ncbi.nlm.nih.gov/?term=1970898</v>
      </c>
      <c r="F177" s="28" t="s">
        <v>511</v>
      </c>
      <c r="G177" s="28" t="s">
        <v>4592</v>
      </c>
    </row>
    <row r="178" spans="1:8">
      <c r="A178" s="92" t="s">
        <v>1690</v>
      </c>
      <c r="B178" s="345">
        <v>1993</v>
      </c>
      <c r="C178" s="92"/>
      <c r="D178" s="345">
        <v>8392820</v>
      </c>
      <c r="E178" s="278" t="str">
        <f t="shared" si="0"/>
        <v>https://pubmed.ncbi.nlm.nih.gov/?term=8392820</v>
      </c>
      <c r="H178" s="28" t="s">
        <v>511</v>
      </c>
    </row>
    <row r="179" spans="1:8">
      <c r="A179" s="92" t="s">
        <v>4769</v>
      </c>
      <c r="B179" s="345">
        <v>1997</v>
      </c>
      <c r="C179" s="92"/>
      <c r="D179" s="345">
        <v>9148225</v>
      </c>
      <c r="E179" s="278" t="str">
        <f t="shared" si="0"/>
        <v>https://pubmed.ncbi.nlm.nih.gov/?term=9148225</v>
      </c>
      <c r="F179" s="28" t="s">
        <v>511</v>
      </c>
      <c r="G179" s="28" t="s">
        <v>4587</v>
      </c>
    </row>
    <row r="180" spans="1:8">
      <c r="A180" s="92" t="s">
        <v>4770</v>
      </c>
      <c r="B180" s="345">
        <v>1995</v>
      </c>
      <c r="C180" s="92"/>
      <c r="D180" s="345">
        <v>7602326</v>
      </c>
      <c r="E180" s="278" t="str">
        <f t="shared" si="0"/>
        <v>https://pubmed.ncbi.nlm.nih.gov/?term=7602326</v>
      </c>
      <c r="F180" s="28" t="s">
        <v>511</v>
      </c>
      <c r="G180" s="28" t="s">
        <v>4346</v>
      </c>
    </row>
    <row r="181" spans="1:8">
      <c r="A181" s="92" t="s">
        <v>4735</v>
      </c>
      <c r="B181" s="345">
        <v>2000</v>
      </c>
      <c r="C181" s="92" t="s">
        <v>4771</v>
      </c>
      <c r="D181" s="345">
        <v>10644345</v>
      </c>
      <c r="E181" s="278" t="str">
        <f t="shared" si="0"/>
        <v>https://pubmed.ncbi.nlm.nih.gov/?term=10644345</v>
      </c>
      <c r="F181" s="28" t="s">
        <v>511</v>
      </c>
      <c r="G181" s="28" t="s">
        <v>4346</v>
      </c>
    </row>
    <row r="182" spans="1:8">
      <c r="A182" s="92" t="s">
        <v>4772</v>
      </c>
      <c r="B182" s="345">
        <v>2000</v>
      </c>
      <c r="C182" s="92"/>
      <c r="D182" s="345">
        <v>10782705</v>
      </c>
      <c r="E182" s="278" t="str">
        <f t="shared" si="0"/>
        <v>https://pubmed.ncbi.nlm.nih.gov/?term=10782705</v>
      </c>
      <c r="F182" s="28" t="s">
        <v>511</v>
      </c>
      <c r="G182" s="28" t="s">
        <v>4592</v>
      </c>
    </row>
    <row r="183" spans="1:8">
      <c r="A183" s="92" t="s">
        <v>4773</v>
      </c>
      <c r="B183" s="345">
        <v>2000</v>
      </c>
      <c r="C183" s="92"/>
      <c r="D183" s="345">
        <v>10646605</v>
      </c>
      <c r="E183" s="278" t="str">
        <f t="shared" si="0"/>
        <v>https://pubmed.ncbi.nlm.nih.gov/?term=10646605</v>
      </c>
      <c r="F183" s="28" t="s">
        <v>511</v>
      </c>
      <c r="G183" s="28" t="s">
        <v>4346</v>
      </c>
    </row>
    <row r="184" spans="1:8">
      <c r="A184" s="92" t="s">
        <v>4272</v>
      </c>
      <c r="B184" s="345">
        <v>1991</v>
      </c>
      <c r="C184" s="92"/>
      <c r="D184" s="345">
        <v>1720601</v>
      </c>
      <c r="E184" s="278" t="str">
        <f t="shared" si="0"/>
        <v>https://pubmed.ncbi.nlm.nih.gov/?term=1720601</v>
      </c>
      <c r="H184" s="28" t="s">
        <v>511</v>
      </c>
    </row>
    <row r="185" spans="1:8">
      <c r="A185" s="92" t="s">
        <v>4774</v>
      </c>
      <c r="B185" s="345">
        <v>1993</v>
      </c>
      <c r="C185" s="92"/>
      <c r="D185" s="345">
        <v>8376833</v>
      </c>
      <c r="E185" s="278" t="str">
        <f t="shared" si="0"/>
        <v>https://pubmed.ncbi.nlm.nih.gov/?term=8376833</v>
      </c>
      <c r="F185" s="28" t="s">
        <v>511</v>
      </c>
      <c r="G185" s="28" t="s">
        <v>4775</v>
      </c>
    </row>
    <row r="186" spans="1:8">
      <c r="A186" s="92" t="s">
        <v>4776</v>
      </c>
      <c r="B186" s="345">
        <v>1991</v>
      </c>
      <c r="C186" s="92"/>
      <c r="D186" s="345">
        <v>1760587</v>
      </c>
      <c r="E186" s="278" t="str">
        <f t="shared" si="0"/>
        <v>https://pubmed.ncbi.nlm.nih.gov/?term=1760587</v>
      </c>
      <c r="F186" s="28" t="s">
        <v>511</v>
      </c>
      <c r="G186" s="28" t="s">
        <v>4592</v>
      </c>
    </row>
    <row r="187" spans="1:8">
      <c r="A187" s="92" t="s">
        <v>4777</v>
      </c>
      <c r="B187" s="345">
        <v>1992</v>
      </c>
      <c r="C187" s="92"/>
      <c r="D187" s="345">
        <v>12291168</v>
      </c>
      <c r="E187" s="278" t="str">
        <f t="shared" si="0"/>
        <v>https://pubmed.ncbi.nlm.nih.gov/?term=12291168</v>
      </c>
      <c r="F187" s="28" t="s">
        <v>511</v>
      </c>
      <c r="G187" s="28" t="s">
        <v>4778</v>
      </c>
    </row>
    <row r="188" spans="1:8">
      <c r="A188" s="92" t="s">
        <v>4594</v>
      </c>
      <c r="B188" s="345">
        <v>1994</v>
      </c>
      <c r="C188" s="92"/>
      <c r="D188" s="345">
        <v>7511715</v>
      </c>
      <c r="E188" s="278" t="str">
        <f t="shared" si="0"/>
        <v>https://pubmed.ncbi.nlm.nih.gov/?term=7511715</v>
      </c>
      <c r="F188" s="28" t="s">
        <v>511</v>
      </c>
      <c r="G188" s="28" t="s">
        <v>4346</v>
      </c>
    </row>
    <row r="189" spans="1:8">
      <c r="A189" s="92" t="s">
        <v>2371</v>
      </c>
      <c r="B189" s="345">
        <v>2000</v>
      </c>
      <c r="C189" s="92" t="s">
        <v>4779</v>
      </c>
      <c r="D189" s="345">
        <v>10817735</v>
      </c>
      <c r="E189" s="278" t="str">
        <f t="shared" si="0"/>
        <v>https://pubmed.ncbi.nlm.nih.gov/?term=10817735</v>
      </c>
      <c r="H189" s="28" t="s">
        <v>511</v>
      </c>
    </row>
    <row r="190" spans="1:8">
      <c r="A190" s="92" t="s">
        <v>4780</v>
      </c>
      <c r="B190" s="345">
        <v>1994</v>
      </c>
      <c r="C190" s="92"/>
      <c r="D190" s="345">
        <v>8108468</v>
      </c>
      <c r="E190" s="278" t="str">
        <f t="shared" si="0"/>
        <v>https://pubmed.ncbi.nlm.nih.gov/?term=8108468</v>
      </c>
      <c r="F190" s="28" t="s">
        <v>511</v>
      </c>
      <c r="G190" s="28" t="s">
        <v>4346</v>
      </c>
    </row>
    <row r="191" spans="1:8">
      <c r="A191" s="92" t="s">
        <v>4363</v>
      </c>
      <c r="B191" s="345">
        <v>1990</v>
      </c>
      <c r="C191" s="92"/>
      <c r="D191" s="345">
        <v>2180233</v>
      </c>
      <c r="E191" s="278" t="str">
        <f t="shared" si="0"/>
        <v>https://pubmed.ncbi.nlm.nih.gov/?term=2180233</v>
      </c>
      <c r="F191" s="28" t="s">
        <v>511</v>
      </c>
      <c r="G191" s="28" t="s">
        <v>4781</v>
      </c>
    </row>
    <row r="192" spans="1:8">
      <c r="A192" s="92" t="s">
        <v>4782</v>
      </c>
      <c r="B192" s="345">
        <v>1994</v>
      </c>
      <c r="C192" s="92"/>
      <c r="D192" s="345">
        <v>8182510</v>
      </c>
      <c r="E192" s="278" t="str">
        <f t="shared" si="0"/>
        <v>https://pubmed.ncbi.nlm.nih.gov/?term=8182510</v>
      </c>
      <c r="F192" s="28" t="s">
        <v>511</v>
      </c>
      <c r="G192" s="28" t="s">
        <v>4592</v>
      </c>
    </row>
    <row r="193" spans="1:8">
      <c r="A193" s="92" t="s">
        <v>4344</v>
      </c>
      <c r="B193" s="345">
        <v>1990</v>
      </c>
      <c r="C193" s="92"/>
      <c r="D193" s="345">
        <v>2162116</v>
      </c>
      <c r="E193" s="278" t="str">
        <f t="shared" si="0"/>
        <v>https://pubmed.ncbi.nlm.nih.gov/?term=2162116</v>
      </c>
      <c r="F193" s="28" t="s">
        <v>511</v>
      </c>
      <c r="G193" s="28" t="s">
        <v>4346</v>
      </c>
    </row>
    <row r="194" spans="1:8">
      <c r="A194" s="92" t="s">
        <v>4278</v>
      </c>
      <c r="B194" s="345">
        <v>1997</v>
      </c>
      <c r="C194" s="92"/>
      <c r="D194" s="345">
        <v>9086149</v>
      </c>
      <c r="E194" s="278" t="str">
        <f t="shared" si="0"/>
        <v>https://pubmed.ncbi.nlm.nih.gov/?term=9086149</v>
      </c>
      <c r="H194" s="28" t="s">
        <v>511</v>
      </c>
    </row>
    <row r="195" spans="1:8">
      <c r="A195" s="92" t="s">
        <v>4783</v>
      </c>
      <c r="B195" s="345">
        <v>1997</v>
      </c>
      <c r="C195" s="92"/>
      <c r="D195" s="345">
        <v>9249703</v>
      </c>
      <c r="E195" s="278" t="str">
        <f t="shared" si="0"/>
        <v>https://pubmed.ncbi.nlm.nih.gov/?term=9249703</v>
      </c>
      <c r="F195" s="28" t="s">
        <v>511</v>
      </c>
      <c r="G195" s="28" t="s">
        <v>4346</v>
      </c>
    </row>
    <row r="196" spans="1:8">
      <c r="A196" s="92" t="s">
        <v>4351</v>
      </c>
      <c r="B196" s="345">
        <v>1996</v>
      </c>
      <c r="C196" s="92"/>
      <c r="D196" s="345">
        <v>8856377</v>
      </c>
      <c r="E196" s="278" t="str">
        <f t="shared" si="0"/>
        <v>https://pubmed.ncbi.nlm.nih.gov/?term=8856377</v>
      </c>
      <c r="H196" s="28" t="s">
        <v>511</v>
      </c>
    </row>
    <row r="197" spans="1:8">
      <c r="A197" s="92" t="s">
        <v>4784</v>
      </c>
      <c r="B197" s="345">
        <v>1994</v>
      </c>
      <c r="C197" s="92"/>
      <c r="D197" s="345">
        <v>7922444</v>
      </c>
      <c r="E197" s="278" t="str">
        <f t="shared" si="0"/>
        <v>https://pubmed.ncbi.nlm.nih.gov/?term=7922444</v>
      </c>
      <c r="F197" s="28" t="s">
        <v>511</v>
      </c>
      <c r="G197" s="28" t="s">
        <v>4592</v>
      </c>
    </row>
    <row r="198" spans="1:8">
      <c r="A198" s="92" t="s">
        <v>4367</v>
      </c>
      <c r="B198" s="345">
        <v>1999</v>
      </c>
      <c r="C198" s="92"/>
      <c r="D198" s="345">
        <v>10605976</v>
      </c>
      <c r="E198" s="278" t="str">
        <f t="shared" si="0"/>
        <v>https://pubmed.ncbi.nlm.nih.gov/?term=10605976</v>
      </c>
      <c r="H198" s="28" t="s">
        <v>511</v>
      </c>
    </row>
    <row r="199" spans="1:8">
      <c r="A199" s="92" t="s">
        <v>4785</v>
      </c>
      <c r="B199" s="345">
        <v>1995</v>
      </c>
      <c r="C199" s="92"/>
      <c r="D199" s="345">
        <v>7831815</v>
      </c>
      <c r="E199" s="278" t="str">
        <f t="shared" si="0"/>
        <v>https://pubmed.ncbi.nlm.nih.gov/?term=7831815</v>
      </c>
      <c r="F199" s="28" t="s">
        <v>511</v>
      </c>
      <c r="G199" s="28" t="s">
        <v>8376</v>
      </c>
    </row>
    <row r="200" spans="1:8">
      <c r="A200" s="92" t="s">
        <v>4787</v>
      </c>
      <c r="B200" s="345">
        <v>1997</v>
      </c>
      <c r="C200" s="92"/>
      <c r="D200" s="345">
        <v>9191677</v>
      </c>
      <c r="E200" s="278" t="str">
        <f t="shared" si="0"/>
        <v>https://pubmed.ncbi.nlm.nih.gov/?term=9191677</v>
      </c>
      <c r="F200" s="28" t="s">
        <v>511</v>
      </c>
      <c r="G200" s="28" t="s">
        <v>4788</v>
      </c>
    </row>
    <row r="201" spans="1:8">
      <c r="A201" s="92" t="s">
        <v>4789</v>
      </c>
      <c r="B201" s="345">
        <v>1998</v>
      </c>
      <c r="C201" s="92"/>
      <c r="D201" s="345">
        <v>9916552</v>
      </c>
      <c r="E201" s="278" t="str">
        <f t="shared" si="0"/>
        <v>https://pubmed.ncbi.nlm.nih.gov/?term=9916552</v>
      </c>
      <c r="F201" s="28" t="s">
        <v>511</v>
      </c>
      <c r="G201" s="28" t="s">
        <v>4346</v>
      </c>
    </row>
    <row r="202" spans="1:8">
      <c r="A202" s="92" t="s">
        <v>2021</v>
      </c>
      <c r="B202" s="345">
        <v>1992</v>
      </c>
      <c r="C202" s="92"/>
      <c r="D202" s="345">
        <v>1402032</v>
      </c>
      <c r="E202" s="278" t="str">
        <f t="shared" si="0"/>
        <v>https://pubmed.ncbi.nlm.nih.gov/?term=1402032</v>
      </c>
      <c r="H202" s="28" t="s">
        <v>511</v>
      </c>
    </row>
    <row r="203" spans="1:8">
      <c r="A203" s="92" t="s">
        <v>4790</v>
      </c>
      <c r="B203" s="345">
        <v>1998</v>
      </c>
      <c r="C203" s="92" t="s">
        <v>4791</v>
      </c>
      <c r="D203" s="345">
        <v>9854744</v>
      </c>
      <c r="E203" s="278" t="str">
        <f t="shared" si="0"/>
        <v>https://pubmed.ncbi.nlm.nih.gov/?term=9854744</v>
      </c>
      <c r="F203" s="28" t="s">
        <v>511</v>
      </c>
      <c r="G203" s="28" t="s">
        <v>4792</v>
      </c>
    </row>
    <row r="204" spans="1:8">
      <c r="A204" s="92" t="s">
        <v>4793</v>
      </c>
      <c r="B204" s="345">
        <v>1992</v>
      </c>
      <c r="C204" s="92" t="s">
        <v>4794</v>
      </c>
      <c r="D204" s="345">
        <v>1328679</v>
      </c>
      <c r="E204" s="278" t="str">
        <f t="shared" si="0"/>
        <v>https://pubmed.ncbi.nlm.nih.gov/?term=1328679</v>
      </c>
      <c r="F204" s="28" t="s">
        <v>511</v>
      </c>
      <c r="G204" s="28" t="s">
        <v>4795</v>
      </c>
    </row>
    <row r="205" spans="1:8">
      <c r="A205" s="92" t="s">
        <v>4796</v>
      </c>
      <c r="B205" s="345">
        <v>2000</v>
      </c>
      <c r="C205" s="92" t="s">
        <v>4797</v>
      </c>
      <c r="D205" s="345">
        <v>10823852</v>
      </c>
      <c r="E205" s="278" t="str">
        <f t="shared" si="0"/>
        <v>https://pubmed.ncbi.nlm.nih.gov/?term=10823852</v>
      </c>
      <c r="F205" s="28" t="s">
        <v>511</v>
      </c>
      <c r="G205" s="28" t="s">
        <v>4346</v>
      </c>
    </row>
    <row r="206" spans="1:8">
      <c r="A206" s="92" t="s">
        <v>4798</v>
      </c>
      <c r="B206" s="345">
        <v>1999</v>
      </c>
      <c r="C206" s="92"/>
      <c r="D206" s="345">
        <v>10589798</v>
      </c>
      <c r="E206" s="278" t="str">
        <f t="shared" si="0"/>
        <v>https://pubmed.ncbi.nlm.nih.gov/?term=10589798</v>
      </c>
      <c r="F206" s="28" t="s">
        <v>511</v>
      </c>
      <c r="G206" s="28" t="s">
        <v>4792</v>
      </c>
    </row>
    <row r="207" spans="1:8">
      <c r="A207" s="92" t="s">
        <v>4799</v>
      </c>
      <c r="B207" s="345">
        <v>2000</v>
      </c>
      <c r="C207" s="92"/>
      <c r="D207" s="345">
        <v>11190066</v>
      </c>
      <c r="E207" s="278" t="str">
        <f t="shared" si="0"/>
        <v>https://pubmed.ncbi.nlm.nih.gov/?term=11190066</v>
      </c>
      <c r="F207" s="28" t="s">
        <v>511</v>
      </c>
      <c r="G207" s="28" t="s">
        <v>4592</v>
      </c>
    </row>
    <row r="208" spans="1:8">
      <c r="A208" s="92" t="s">
        <v>4255</v>
      </c>
      <c r="B208" s="345">
        <v>2000</v>
      </c>
      <c r="C208" s="92"/>
      <c r="D208" s="345">
        <v>10781777</v>
      </c>
      <c r="E208" s="278" t="str">
        <f t="shared" si="0"/>
        <v>https://pubmed.ncbi.nlm.nih.gov/?term=10781777</v>
      </c>
      <c r="H208" s="28" t="s">
        <v>511</v>
      </c>
    </row>
    <row r="209" spans="1:8">
      <c r="A209" s="92" t="s">
        <v>4800</v>
      </c>
      <c r="B209" s="345">
        <v>1996</v>
      </c>
      <c r="C209" s="92"/>
      <c r="D209" s="345">
        <v>8940342</v>
      </c>
      <c r="E209" s="278" t="str">
        <f t="shared" si="0"/>
        <v>https://pubmed.ncbi.nlm.nih.gov/?term=8940342</v>
      </c>
      <c r="F209" s="28" t="s">
        <v>511</v>
      </c>
      <c r="G209" s="28" t="s">
        <v>8377</v>
      </c>
    </row>
    <row r="210" spans="1:8">
      <c r="A210" s="92" t="s">
        <v>2463</v>
      </c>
      <c r="B210" s="345">
        <v>1997</v>
      </c>
      <c r="C210" s="92"/>
      <c r="D210" s="345">
        <v>9140895</v>
      </c>
      <c r="E210" s="278" t="str">
        <f t="shared" si="0"/>
        <v>https://pubmed.ncbi.nlm.nih.gov/?term=9140895</v>
      </c>
      <c r="H210" s="28" t="s">
        <v>511</v>
      </c>
    </row>
    <row r="211" spans="1:8">
      <c r="A211" s="92" t="s">
        <v>4371</v>
      </c>
      <c r="B211" s="345">
        <v>2000</v>
      </c>
      <c r="C211" s="92"/>
      <c r="D211" s="345">
        <v>11130213</v>
      </c>
      <c r="E211" s="278" t="str">
        <f t="shared" si="0"/>
        <v>https://pubmed.ncbi.nlm.nih.gov/?term=11130213</v>
      </c>
      <c r="H211" s="28" t="s">
        <v>511</v>
      </c>
    </row>
    <row r="212" spans="1:8">
      <c r="A212" s="92" t="s">
        <v>4802</v>
      </c>
      <c r="B212" s="345">
        <v>1999</v>
      </c>
      <c r="C212" s="92"/>
      <c r="D212" s="345">
        <v>10532139</v>
      </c>
      <c r="E212" s="278" t="str">
        <f t="shared" si="0"/>
        <v>https://pubmed.ncbi.nlm.nih.gov/?term=10532139</v>
      </c>
      <c r="F212" s="28" t="s">
        <v>511</v>
      </c>
      <c r="G212" s="28" t="s">
        <v>4587</v>
      </c>
    </row>
    <row r="213" spans="1:8">
      <c r="A213" s="92" t="s">
        <v>2213</v>
      </c>
      <c r="B213" s="345">
        <v>2000</v>
      </c>
      <c r="C213" s="92"/>
      <c r="D213" s="345">
        <v>10608746</v>
      </c>
      <c r="E213" s="278" t="str">
        <f t="shared" si="0"/>
        <v>https://pubmed.ncbi.nlm.nih.gov/?term=10608746</v>
      </c>
      <c r="H213" s="28" t="s">
        <v>511</v>
      </c>
    </row>
    <row r="214" spans="1:8">
      <c r="A214" s="92" t="s">
        <v>4803</v>
      </c>
      <c r="B214" s="345">
        <v>1995</v>
      </c>
      <c r="C214" s="92"/>
      <c r="D214" s="345">
        <v>8591744</v>
      </c>
      <c r="E214" s="278" t="str">
        <f t="shared" si="0"/>
        <v>https://pubmed.ncbi.nlm.nih.gov/?term=8591744</v>
      </c>
      <c r="F214" s="28" t="s">
        <v>511</v>
      </c>
      <c r="G214" s="28" t="s">
        <v>4804</v>
      </c>
    </row>
    <row r="215" spans="1:8">
      <c r="A215" s="92" t="s">
        <v>4271</v>
      </c>
      <c r="B215" s="345">
        <v>1999</v>
      </c>
      <c r="C215" s="92" t="s">
        <v>4805</v>
      </c>
      <c r="D215" s="345">
        <v>10390212</v>
      </c>
      <c r="E215" s="278" t="str">
        <f t="shared" si="0"/>
        <v>https://pubmed.ncbi.nlm.nih.gov/?term=10390212</v>
      </c>
      <c r="H215" s="28" t="s">
        <v>511</v>
      </c>
    </row>
    <row r="216" spans="1:8">
      <c r="A216" s="92" t="s">
        <v>4806</v>
      </c>
      <c r="B216" s="345">
        <v>1994</v>
      </c>
      <c r="C216" s="92"/>
      <c r="D216" s="345">
        <v>8046681</v>
      </c>
      <c r="E216" s="278" t="str">
        <f t="shared" si="0"/>
        <v>https://pubmed.ncbi.nlm.nih.gov/?term=8046681</v>
      </c>
      <c r="F216" s="28" t="s">
        <v>511</v>
      </c>
      <c r="G216" s="28" t="s">
        <v>4346</v>
      </c>
    </row>
    <row r="217" spans="1:8">
      <c r="A217" s="92" t="s">
        <v>4807</v>
      </c>
      <c r="B217" s="345">
        <v>2000</v>
      </c>
      <c r="C217" s="92"/>
      <c r="D217" s="345">
        <v>11175325</v>
      </c>
      <c r="E217" s="278" t="str">
        <f t="shared" si="0"/>
        <v>https://pubmed.ncbi.nlm.nih.gov/?term=11175325</v>
      </c>
      <c r="F217" s="28" t="s">
        <v>511</v>
      </c>
      <c r="G217" s="28" t="s">
        <v>4346</v>
      </c>
    </row>
    <row r="218" spans="1:8">
      <c r="A218" s="92" t="s">
        <v>4808</v>
      </c>
      <c r="B218" s="345">
        <v>1996</v>
      </c>
      <c r="C218" s="92"/>
      <c r="D218" s="345">
        <v>8874304</v>
      </c>
      <c r="E218" s="278" t="str">
        <f t="shared" si="0"/>
        <v>https://pubmed.ncbi.nlm.nih.gov/?term=8874304</v>
      </c>
      <c r="F218" s="28" t="s">
        <v>511</v>
      </c>
      <c r="G218" s="28" t="s">
        <v>4788</v>
      </c>
    </row>
    <row r="219" spans="1:8">
      <c r="A219" s="92" t="s">
        <v>1609</v>
      </c>
      <c r="B219" s="345">
        <v>1999</v>
      </c>
      <c r="C219" s="92"/>
      <c r="D219" s="345">
        <v>10204970</v>
      </c>
      <c r="E219" s="278" t="str">
        <f t="shared" si="0"/>
        <v>https://pubmed.ncbi.nlm.nih.gov/?term=10204970</v>
      </c>
      <c r="H219" s="28" t="s">
        <v>511</v>
      </c>
    </row>
    <row r="220" spans="1:8">
      <c r="A220" s="92" t="s">
        <v>4809</v>
      </c>
      <c r="B220" s="345">
        <v>1991</v>
      </c>
      <c r="C220" s="92"/>
      <c r="D220" s="345">
        <v>1885946</v>
      </c>
      <c r="E220" s="278" t="str">
        <f t="shared" si="0"/>
        <v>https://pubmed.ncbi.nlm.nih.gov/?term=1885946</v>
      </c>
      <c r="F220" s="28" t="s">
        <v>511</v>
      </c>
      <c r="G220" s="28" t="s">
        <v>4346</v>
      </c>
    </row>
    <row r="221" spans="1:8">
      <c r="A221" s="92" t="s">
        <v>4810</v>
      </c>
      <c r="B221" s="345">
        <v>2000</v>
      </c>
      <c r="C221" s="92"/>
      <c r="D221" s="345">
        <v>10850525</v>
      </c>
      <c r="E221" s="278" t="str">
        <f t="shared" si="0"/>
        <v>https://pubmed.ncbi.nlm.nih.gov/?term=10850525</v>
      </c>
      <c r="F221" s="28" t="s">
        <v>511</v>
      </c>
      <c r="G221" s="28" t="s">
        <v>4811</v>
      </c>
    </row>
    <row r="222" spans="1:8">
      <c r="A222" s="92" t="s">
        <v>1538</v>
      </c>
      <c r="B222" s="345">
        <v>1990</v>
      </c>
      <c r="C222" s="92"/>
      <c r="D222" s="345">
        <v>2295861</v>
      </c>
      <c r="E222" s="278" t="str">
        <f t="shared" si="0"/>
        <v>https://pubmed.ncbi.nlm.nih.gov/?term=2295861</v>
      </c>
      <c r="H222" s="28" t="s">
        <v>511</v>
      </c>
    </row>
    <row r="223" spans="1:8">
      <c r="A223" s="92" t="s">
        <v>4812</v>
      </c>
      <c r="B223" s="345">
        <v>1998</v>
      </c>
      <c r="C223" s="92"/>
      <c r="D223" s="345">
        <v>9565411</v>
      </c>
      <c r="E223" s="278" t="str">
        <f t="shared" si="0"/>
        <v>https://pubmed.ncbi.nlm.nih.gov/?term=9565411</v>
      </c>
      <c r="F223" s="28" t="s">
        <v>511</v>
      </c>
      <c r="G223" s="28" t="s">
        <v>4778</v>
      </c>
    </row>
    <row r="224" spans="1:8">
      <c r="A224" s="92" t="s">
        <v>4813</v>
      </c>
      <c r="B224" s="345">
        <v>1998</v>
      </c>
      <c r="C224" s="92"/>
      <c r="D224" s="345">
        <v>9544412</v>
      </c>
      <c r="E224" s="278" t="str">
        <f t="shared" si="0"/>
        <v>https://pubmed.ncbi.nlm.nih.gov/?term=9544412</v>
      </c>
      <c r="F224" s="28" t="s">
        <v>511</v>
      </c>
      <c r="G224" s="28" t="s">
        <v>4765</v>
      </c>
    </row>
    <row r="225" spans="1:8">
      <c r="A225" s="92" t="s">
        <v>4814</v>
      </c>
      <c r="B225" s="345">
        <v>1997</v>
      </c>
      <c r="C225" s="92"/>
      <c r="D225" s="345">
        <v>9368986</v>
      </c>
      <c r="E225" s="278" t="str">
        <f t="shared" si="0"/>
        <v>https://pubmed.ncbi.nlm.nih.gov/?term=9368986</v>
      </c>
      <c r="F225" s="28" t="s">
        <v>511</v>
      </c>
      <c r="G225" s="28" t="s">
        <v>4592</v>
      </c>
    </row>
    <row r="226" spans="1:8">
      <c r="A226" s="92" t="s">
        <v>4815</v>
      </c>
      <c r="B226" s="345">
        <v>1999</v>
      </c>
      <c r="C226" s="92"/>
      <c r="D226" s="345">
        <v>10353352</v>
      </c>
      <c r="E226" s="278" t="str">
        <f t="shared" si="0"/>
        <v>https://pubmed.ncbi.nlm.nih.gov/?term=10353352</v>
      </c>
      <c r="F226" s="28" t="s">
        <v>511</v>
      </c>
      <c r="G226" s="28" t="s">
        <v>4346</v>
      </c>
    </row>
    <row r="227" spans="1:8">
      <c r="A227" s="92" t="s">
        <v>4816</v>
      </c>
      <c r="B227" s="345">
        <v>1993</v>
      </c>
      <c r="C227" s="92"/>
      <c r="D227" s="345">
        <v>8433327</v>
      </c>
      <c r="E227" s="278" t="str">
        <f t="shared" si="0"/>
        <v>https://pubmed.ncbi.nlm.nih.gov/?term=8433327</v>
      </c>
      <c r="F227" s="28" t="s">
        <v>511</v>
      </c>
      <c r="G227" s="28" t="s">
        <v>4346</v>
      </c>
    </row>
    <row r="228" spans="1:8">
      <c r="A228" s="92" t="s">
        <v>1557</v>
      </c>
      <c r="B228" s="345">
        <v>1990</v>
      </c>
      <c r="C228" s="92"/>
      <c r="D228" s="345">
        <v>2324538</v>
      </c>
      <c r="E228" s="278" t="str">
        <f t="shared" si="0"/>
        <v>https://pubmed.ncbi.nlm.nih.gov/?term=2324538</v>
      </c>
      <c r="H228" s="28" t="s">
        <v>511</v>
      </c>
    </row>
    <row r="229" spans="1:8">
      <c r="A229" s="92" t="s">
        <v>4817</v>
      </c>
      <c r="B229" s="345">
        <v>1998</v>
      </c>
      <c r="C229" s="92"/>
      <c r="D229" s="345">
        <v>9624644</v>
      </c>
      <c r="E229" s="278" t="str">
        <f t="shared" si="0"/>
        <v>https://pubmed.ncbi.nlm.nih.gov/?term=9624644</v>
      </c>
      <c r="F229" s="28" t="s">
        <v>511</v>
      </c>
      <c r="G229" s="28" t="s">
        <v>4346</v>
      </c>
    </row>
    <row r="230" spans="1:8">
      <c r="A230" s="92" t="s">
        <v>1835</v>
      </c>
      <c r="B230" s="345">
        <v>1992</v>
      </c>
      <c r="C230" s="92" t="s">
        <v>4818</v>
      </c>
      <c r="D230" s="345">
        <v>1503435</v>
      </c>
      <c r="E230" s="278" t="str">
        <f t="shared" si="0"/>
        <v>https://pubmed.ncbi.nlm.nih.gov/?term=1503435</v>
      </c>
      <c r="H230" s="28" t="s">
        <v>511</v>
      </c>
    </row>
    <row r="231" spans="1:8">
      <c r="A231" s="92" t="s">
        <v>4819</v>
      </c>
      <c r="B231" s="345">
        <v>1998</v>
      </c>
      <c r="C231" s="92" t="s">
        <v>4820</v>
      </c>
      <c r="D231" s="345">
        <v>9525585</v>
      </c>
      <c r="E231" s="278" t="str">
        <f t="shared" si="0"/>
        <v>https://pubmed.ncbi.nlm.nih.gov/?term=9525585</v>
      </c>
      <c r="F231" s="28" t="s">
        <v>511</v>
      </c>
      <c r="G231" s="28" t="s">
        <v>4346</v>
      </c>
    </row>
    <row r="232" spans="1:8">
      <c r="A232" s="92" t="s">
        <v>4821</v>
      </c>
      <c r="B232" s="345">
        <v>1999</v>
      </c>
      <c r="C232" s="92"/>
      <c r="D232" s="345">
        <v>10555416</v>
      </c>
      <c r="E232" s="278" t="str">
        <f t="shared" si="0"/>
        <v>https://pubmed.ncbi.nlm.nih.gov/?term=10555416</v>
      </c>
      <c r="F232" s="28" t="s">
        <v>511</v>
      </c>
      <c r="G232" s="28" t="s">
        <v>4592</v>
      </c>
    </row>
    <row r="233" spans="1:8">
      <c r="A233" s="92" t="s">
        <v>4822</v>
      </c>
      <c r="B233" s="345">
        <v>1999</v>
      </c>
      <c r="C233" s="92"/>
      <c r="D233" s="345">
        <v>10459535</v>
      </c>
      <c r="E233" s="278" t="str">
        <f t="shared" si="0"/>
        <v>https://pubmed.ncbi.nlm.nih.gov/?term=10459535</v>
      </c>
      <c r="F233" s="28" t="s">
        <v>511</v>
      </c>
      <c r="G233" s="28" t="s">
        <v>4346</v>
      </c>
    </row>
    <row r="234" spans="1:8">
      <c r="A234" s="92" t="s">
        <v>4823</v>
      </c>
      <c r="B234" s="345">
        <v>1999</v>
      </c>
      <c r="C234" s="92"/>
      <c r="D234" s="345">
        <v>10194165</v>
      </c>
      <c r="E234" s="278" t="str">
        <f t="shared" si="0"/>
        <v>https://pubmed.ncbi.nlm.nih.gov/?term=10194165</v>
      </c>
      <c r="F234" s="28" t="s">
        <v>511</v>
      </c>
      <c r="G234" s="28" t="s">
        <v>4824</v>
      </c>
    </row>
    <row r="235" spans="1:8">
      <c r="A235" s="92" t="s">
        <v>4357</v>
      </c>
      <c r="B235" s="345">
        <v>1999</v>
      </c>
      <c r="C235" s="92"/>
      <c r="D235" s="345">
        <v>10404908</v>
      </c>
      <c r="E235" s="278" t="str">
        <f t="shared" si="0"/>
        <v>https://pubmed.ncbi.nlm.nih.gov/?term=10404908</v>
      </c>
      <c r="H235" s="28" t="s">
        <v>511</v>
      </c>
    </row>
    <row r="236" spans="1:8">
      <c r="A236" s="92" t="s">
        <v>4825</v>
      </c>
      <c r="B236" s="345">
        <v>1997</v>
      </c>
      <c r="C236" s="92"/>
      <c r="D236" s="345">
        <v>9266632</v>
      </c>
      <c r="E236" s="278" t="str">
        <f t="shared" si="0"/>
        <v>https://pubmed.ncbi.nlm.nih.gov/?term=9266632</v>
      </c>
      <c r="F236" s="28" t="s">
        <v>511</v>
      </c>
      <c r="G236" s="28" t="s">
        <v>4592</v>
      </c>
    </row>
    <row r="237" spans="1:8">
      <c r="A237" s="92" t="s">
        <v>2371</v>
      </c>
      <c r="B237" s="345">
        <v>1999</v>
      </c>
      <c r="C237" s="92"/>
      <c r="D237" s="345">
        <v>10340366</v>
      </c>
      <c r="E237" s="278" t="str">
        <f t="shared" si="0"/>
        <v>https://pubmed.ncbi.nlm.nih.gov/?term=10340366</v>
      </c>
      <c r="H237" s="28" t="s">
        <v>511</v>
      </c>
    </row>
    <row r="238" spans="1:8">
      <c r="A238" s="92" t="s">
        <v>4826</v>
      </c>
      <c r="B238" s="345">
        <v>1998</v>
      </c>
      <c r="C238" s="92"/>
      <c r="D238" s="345">
        <v>9772318</v>
      </c>
      <c r="E238" s="278" t="str">
        <f t="shared" si="0"/>
        <v>https://pubmed.ncbi.nlm.nih.gov/?term=9772318</v>
      </c>
      <c r="F238" s="28" t="s">
        <v>511</v>
      </c>
      <c r="G238" s="28" t="s">
        <v>4827</v>
      </c>
    </row>
    <row r="239" spans="1:8">
      <c r="A239" s="92" t="s">
        <v>4828</v>
      </c>
      <c r="B239" s="345">
        <v>2000</v>
      </c>
      <c r="C239" s="92"/>
      <c r="D239" s="345">
        <v>10932333</v>
      </c>
      <c r="E239" s="278" t="str">
        <f t="shared" si="0"/>
        <v>https://pubmed.ncbi.nlm.nih.gov/?term=10932333</v>
      </c>
      <c r="F239" s="28" t="s">
        <v>511</v>
      </c>
      <c r="G239" s="28" t="s">
        <v>4744</v>
      </c>
    </row>
    <row r="240" spans="1:8">
      <c r="A240" s="92" t="s">
        <v>4829</v>
      </c>
      <c r="B240" s="345">
        <v>2000</v>
      </c>
      <c r="C240" s="92"/>
      <c r="D240" s="345">
        <v>10727839</v>
      </c>
      <c r="E240" s="278" t="str">
        <f t="shared" si="0"/>
        <v>https://pubmed.ncbi.nlm.nih.gov/?term=10727839</v>
      </c>
      <c r="F240" s="28" t="s">
        <v>511</v>
      </c>
      <c r="G240" s="28" t="s">
        <v>4346</v>
      </c>
    </row>
    <row r="241" spans="1:8">
      <c r="A241" s="92" t="s">
        <v>4830</v>
      </c>
      <c r="B241" s="345">
        <v>1999</v>
      </c>
      <c r="C241" s="92"/>
      <c r="D241" s="345">
        <v>9930873</v>
      </c>
      <c r="E241" s="278" t="str">
        <f t="shared" si="0"/>
        <v>https://pubmed.ncbi.nlm.nih.gov/?term=9930873</v>
      </c>
      <c r="F241" s="28" t="s">
        <v>511</v>
      </c>
      <c r="G241" s="28" t="s">
        <v>4346</v>
      </c>
    </row>
    <row r="242" spans="1:8">
      <c r="A242" s="92" t="s">
        <v>2060</v>
      </c>
      <c r="B242" s="345">
        <v>1998</v>
      </c>
      <c r="C242" s="92"/>
      <c r="D242" s="345">
        <v>9728553</v>
      </c>
      <c r="E242" s="278" t="str">
        <f t="shared" si="0"/>
        <v>https://pubmed.ncbi.nlm.nih.gov/?term=9728553</v>
      </c>
      <c r="H242" s="28" t="s">
        <v>511</v>
      </c>
    </row>
    <row r="243" spans="1:8">
      <c r="A243" s="92" t="s">
        <v>4831</v>
      </c>
      <c r="B243" s="345">
        <v>1997</v>
      </c>
      <c r="C243" s="92"/>
      <c r="D243" s="345">
        <v>9207739</v>
      </c>
      <c r="E243" s="278" t="str">
        <f t="shared" si="0"/>
        <v>https://pubmed.ncbi.nlm.nih.gov/?term=9207739</v>
      </c>
      <c r="F243" s="28" t="s">
        <v>511</v>
      </c>
      <c r="G243" s="28" t="s">
        <v>4346</v>
      </c>
    </row>
    <row r="244" spans="1:8">
      <c r="A244" s="92" t="s">
        <v>4832</v>
      </c>
      <c r="B244" s="345">
        <v>1993</v>
      </c>
      <c r="C244" s="92"/>
      <c r="D244" s="345">
        <v>8395225</v>
      </c>
      <c r="E244" s="278" t="str">
        <f t="shared" si="0"/>
        <v>https://pubmed.ncbi.nlm.nih.gov/?term=8395225</v>
      </c>
      <c r="F244" s="28" t="s">
        <v>511</v>
      </c>
      <c r="G244" s="28" t="s">
        <v>4346</v>
      </c>
    </row>
    <row r="245" spans="1:8">
      <c r="A245" s="92" t="s">
        <v>4833</v>
      </c>
      <c r="B245" s="345">
        <v>2000</v>
      </c>
      <c r="C245" s="92"/>
      <c r="D245" s="345">
        <v>11039151</v>
      </c>
      <c r="E245" s="278" t="str">
        <f t="shared" si="0"/>
        <v>https://pubmed.ncbi.nlm.nih.gov/?term=11039151</v>
      </c>
      <c r="F245" s="28" t="s">
        <v>511</v>
      </c>
      <c r="G245" s="28" t="s">
        <v>4834</v>
      </c>
    </row>
    <row r="246" spans="1:8">
      <c r="A246" s="92" t="s">
        <v>4835</v>
      </c>
      <c r="B246" s="345">
        <v>2000</v>
      </c>
      <c r="C246" s="92"/>
      <c r="D246" s="345">
        <v>10930120</v>
      </c>
      <c r="E246" s="278" t="str">
        <f t="shared" si="0"/>
        <v>https://pubmed.ncbi.nlm.nih.gov/?term=10930120</v>
      </c>
      <c r="F246" s="28" t="s">
        <v>511</v>
      </c>
      <c r="G246" s="28" t="s">
        <v>4346</v>
      </c>
    </row>
    <row r="247" spans="1:8">
      <c r="A247" s="92" t="s">
        <v>4836</v>
      </c>
      <c r="B247" s="345">
        <v>2000</v>
      </c>
      <c r="C247" s="92"/>
      <c r="D247" s="345">
        <v>10781619</v>
      </c>
      <c r="E247" s="278" t="str">
        <f t="shared" si="0"/>
        <v>https://pubmed.ncbi.nlm.nih.gov/?term=10781619</v>
      </c>
      <c r="F247" s="28" t="s">
        <v>511</v>
      </c>
      <c r="G247" s="28" t="s">
        <v>4837</v>
      </c>
    </row>
    <row r="248" spans="1:8">
      <c r="A248" s="92" t="s">
        <v>4838</v>
      </c>
      <c r="B248" s="345">
        <v>1999</v>
      </c>
      <c r="C248" s="92"/>
      <c r="D248" s="345">
        <v>10521733</v>
      </c>
      <c r="E248" s="278" t="str">
        <f t="shared" si="0"/>
        <v>https://pubmed.ncbi.nlm.nih.gov/?term=10521733</v>
      </c>
      <c r="F248" s="28" t="s">
        <v>511</v>
      </c>
      <c r="G248" s="28" t="s">
        <v>4346</v>
      </c>
    </row>
    <row r="249" spans="1:8">
      <c r="A249" s="92" t="s">
        <v>4839</v>
      </c>
      <c r="B249" s="345">
        <v>1990</v>
      </c>
      <c r="C249" s="92"/>
      <c r="D249" s="345">
        <v>2336876</v>
      </c>
      <c r="E249" s="278" t="str">
        <f t="shared" si="0"/>
        <v>https://pubmed.ncbi.nlm.nih.gov/?term=2336876</v>
      </c>
      <c r="F249" s="28" t="s">
        <v>511</v>
      </c>
      <c r="G249" s="28" t="s">
        <v>4346</v>
      </c>
    </row>
    <row r="250" spans="1:8">
      <c r="A250" s="92" t="s">
        <v>4840</v>
      </c>
      <c r="B250" s="345">
        <v>1999</v>
      </c>
      <c r="C250" s="92" t="s">
        <v>4841</v>
      </c>
      <c r="D250" s="345">
        <v>10103185</v>
      </c>
      <c r="E250" s="278" t="str">
        <f t="shared" si="0"/>
        <v>https://pubmed.ncbi.nlm.nih.gov/?term=10103185</v>
      </c>
      <c r="F250" s="28" t="s">
        <v>511</v>
      </c>
      <c r="G250" s="28" t="s">
        <v>4346</v>
      </c>
    </row>
    <row r="251" spans="1:8">
      <c r="A251" s="92" t="s">
        <v>4842</v>
      </c>
      <c r="B251" s="345">
        <v>1996</v>
      </c>
      <c r="C251" s="92" t="s">
        <v>4843</v>
      </c>
      <c r="D251" s="345">
        <v>8982828</v>
      </c>
      <c r="E251" s="278" t="str">
        <f t="shared" si="0"/>
        <v>https://pubmed.ncbi.nlm.nih.gov/?term=8982828</v>
      </c>
      <c r="F251" s="28" t="s">
        <v>511</v>
      </c>
      <c r="G251" s="28" t="s">
        <v>4592</v>
      </c>
    </row>
    <row r="252" spans="1:8">
      <c r="A252" s="92" t="s">
        <v>4844</v>
      </c>
      <c r="B252" s="345">
        <v>1992</v>
      </c>
      <c r="C252" s="92"/>
      <c r="D252" s="345">
        <v>1428590</v>
      </c>
      <c r="E252" s="278" t="str">
        <f t="shared" si="0"/>
        <v>https://pubmed.ncbi.nlm.nih.gov/?term=1428590</v>
      </c>
      <c r="F252" s="28" t="s">
        <v>511</v>
      </c>
      <c r="G252" s="28" t="s">
        <v>8378</v>
      </c>
    </row>
    <row r="253" spans="1:8">
      <c r="A253" s="92" t="s">
        <v>1835</v>
      </c>
      <c r="B253" s="345">
        <v>1994</v>
      </c>
      <c r="C253" s="92" t="s">
        <v>4846</v>
      </c>
      <c r="D253" s="345">
        <v>8067760</v>
      </c>
      <c r="E253" s="278" t="str">
        <f t="shared" si="0"/>
        <v>https://pubmed.ncbi.nlm.nih.gov/?term=8067760</v>
      </c>
      <c r="H253" s="28" t="s">
        <v>511</v>
      </c>
    </row>
    <row r="254" spans="1:8">
      <c r="A254" s="92" t="s">
        <v>4271</v>
      </c>
      <c r="B254" s="345">
        <v>1999</v>
      </c>
      <c r="C254" s="92"/>
      <c r="D254" s="345">
        <v>12731753</v>
      </c>
      <c r="E254" s="278" t="str">
        <f t="shared" si="0"/>
        <v>https://pubmed.ncbi.nlm.nih.gov/?term=12731753</v>
      </c>
      <c r="H254" s="28" t="s">
        <v>511</v>
      </c>
    </row>
    <row r="255" spans="1:8">
      <c r="A255" s="92" t="s">
        <v>4847</v>
      </c>
      <c r="B255" s="345">
        <v>1997</v>
      </c>
      <c r="C255" s="92"/>
      <c r="D255" s="345">
        <v>9057643</v>
      </c>
      <c r="E255" s="278" t="str">
        <f t="shared" si="0"/>
        <v>https://pubmed.ncbi.nlm.nih.gov/?term=9057643</v>
      </c>
      <c r="F255" s="28" t="s">
        <v>511</v>
      </c>
      <c r="G255" s="28" t="s">
        <v>4848</v>
      </c>
    </row>
    <row r="256" spans="1:8">
      <c r="A256" s="92" t="s">
        <v>4849</v>
      </c>
      <c r="B256" s="345">
        <v>1995</v>
      </c>
      <c r="C256" s="92" t="s">
        <v>4850</v>
      </c>
      <c r="D256" s="345">
        <v>7595199</v>
      </c>
      <c r="E256" s="278" t="str">
        <f t="shared" si="0"/>
        <v>https://pubmed.ncbi.nlm.nih.gov/?term=7595199</v>
      </c>
      <c r="F256" s="28" t="s">
        <v>511</v>
      </c>
      <c r="G256" s="28" t="s">
        <v>4346</v>
      </c>
    </row>
    <row r="257" spans="1:8">
      <c r="A257" s="92" t="s">
        <v>4851</v>
      </c>
      <c r="B257" s="345">
        <v>1998</v>
      </c>
      <c r="C257" s="92"/>
      <c r="D257" s="345">
        <v>9573735</v>
      </c>
      <c r="E257" s="278" t="str">
        <f t="shared" si="0"/>
        <v>https://pubmed.ncbi.nlm.nih.gov/?term=9573735</v>
      </c>
      <c r="F257" s="28" t="s">
        <v>511</v>
      </c>
      <c r="G257" s="28" t="s">
        <v>4592</v>
      </c>
    </row>
    <row r="258" spans="1:8">
      <c r="A258" s="92" t="s">
        <v>4852</v>
      </c>
      <c r="B258" s="345">
        <v>1999</v>
      </c>
      <c r="C258" s="92"/>
      <c r="D258" s="345">
        <v>10480427</v>
      </c>
      <c r="E258" s="278" t="str">
        <f t="shared" si="0"/>
        <v>https://pubmed.ncbi.nlm.nih.gov/?term=10480427</v>
      </c>
      <c r="F258" s="28" t="s">
        <v>511</v>
      </c>
      <c r="G258" s="28" t="s">
        <v>4592</v>
      </c>
    </row>
    <row r="259" spans="1:8">
      <c r="A259" s="92" t="s">
        <v>4853</v>
      </c>
      <c r="B259" s="345">
        <v>1998</v>
      </c>
      <c r="C259" s="92"/>
      <c r="D259" s="345">
        <v>10024221</v>
      </c>
      <c r="E259" s="278" t="str">
        <f t="shared" si="0"/>
        <v>https://pubmed.ncbi.nlm.nih.gov/?term=10024221</v>
      </c>
      <c r="F259" s="28" t="s">
        <v>511</v>
      </c>
      <c r="G259" s="28" t="s">
        <v>4346</v>
      </c>
    </row>
    <row r="260" spans="1:8">
      <c r="A260" s="92" t="s">
        <v>4854</v>
      </c>
      <c r="B260" s="345">
        <v>1992</v>
      </c>
      <c r="C260" s="92" t="s">
        <v>4855</v>
      </c>
      <c r="D260" s="345">
        <v>1423060</v>
      </c>
      <c r="E260" s="278" t="str">
        <f t="shared" si="0"/>
        <v>https://pubmed.ncbi.nlm.nih.gov/?term=1423060</v>
      </c>
      <c r="F260" s="28" t="s">
        <v>511</v>
      </c>
      <c r="G260" s="28" t="s">
        <v>4346</v>
      </c>
    </row>
    <row r="261" spans="1:8">
      <c r="A261" s="92" t="s">
        <v>4856</v>
      </c>
      <c r="B261" s="345">
        <v>1999</v>
      </c>
      <c r="C261" s="92"/>
      <c r="D261" s="345">
        <v>10604749</v>
      </c>
      <c r="E261" s="278" t="str">
        <f t="shared" si="0"/>
        <v>https://pubmed.ncbi.nlm.nih.gov/?term=10604749</v>
      </c>
      <c r="F261" s="28" t="s">
        <v>511</v>
      </c>
      <c r="G261" s="28" t="s">
        <v>4346</v>
      </c>
    </row>
    <row r="262" spans="1:8">
      <c r="A262" s="92" t="s">
        <v>4857</v>
      </c>
      <c r="B262" s="345">
        <v>1999</v>
      </c>
      <c r="C262" s="92"/>
      <c r="D262" s="345">
        <v>10458387</v>
      </c>
      <c r="E262" s="278" t="str">
        <f t="shared" si="0"/>
        <v>https://pubmed.ncbi.nlm.nih.gov/?term=10458387</v>
      </c>
      <c r="F262" s="28" t="s">
        <v>511</v>
      </c>
      <c r="G262" s="28" t="s">
        <v>4346</v>
      </c>
    </row>
    <row r="263" spans="1:8">
      <c r="A263" s="92" t="s">
        <v>1922</v>
      </c>
      <c r="B263" s="345">
        <v>1990</v>
      </c>
      <c r="C263" s="92"/>
      <c r="D263" s="345">
        <v>2204243</v>
      </c>
      <c r="E263" s="278" t="str">
        <f t="shared" si="0"/>
        <v>https://pubmed.ncbi.nlm.nih.gov/?term=2204243</v>
      </c>
      <c r="H263" s="28" t="s">
        <v>511</v>
      </c>
    </row>
    <row r="264" spans="1:8">
      <c r="A264" s="92" t="s">
        <v>4858</v>
      </c>
      <c r="B264" s="345">
        <v>1997</v>
      </c>
      <c r="C264" s="92"/>
      <c r="D264" s="345">
        <v>9204781</v>
      </c>
      <c r="E264" s="278" t="str">
        <f t="shared" si="0"/>
        <v>https://pubmed.ncbi.nlm.nih.gov/?term=9204781</v>
      </c>
      <c r="F264" s="28" t="s">
        <v>511</v>
      </c>
      <c r="G264" s="28" t="s">
        <v>4592</v>
      </c>
    </row>
    <row r="265" spans="1:8">
      <c r="A265" s="92" t="s">
        <v>4859</v>
      </c>
      <c r="B265" s="345">
        <v>1990</v>
      </c>
      <c r="C265" s="92"/>
      <c r="D265" s="345">
        <v>2177742</v>
      </c>
      <c r="E265" s="278" t="str">
        <f t="shared" si="0"/>
        <v>https://pubmed.ncbi.nlm.nih.gov/?term=2177742</v>
      </c>
      <c r="F265" s="28" t="s">
        <v>511</v>
      </c>
      <c r="G265" s="28" t="s">
        <v>4346</v>
      </c>
    </row>
    <row r="266" spans="1:8">
      <c r="A266" s="92" t="s">
        <v>4860</v>
      </c>
      <c r="B266" s="345">
        <v>1994</v>
      </c>
      <c r="C266" s="92"/>
      <c r="D266" s="345">
        <v>8179297</v>
      </c>
      <c r="E266" s="278" t="str">
        <f t="shared" si="0"/>
        <v>https://pubmed.ncbi.nlm.nih.gov/?term=8179297</v>
      </c>
      <c r="F266" s="28" t="s">
        <v>511</v>
      </c>
      <c r="G266" s="28" t="s">
        <v>4861</v>
      </c>
    </row>
    <row r="267" spans="1:8">
      <c r="A267" s="92" t="s">
        <v>1835</v>
      </c>
      <c r="B267" s="345">
        <v>1997</v>
      </c>
      <c r="C267" s="92"/>
      <c r="D267" s="345">
        <v>9302301</v>
      </c>
      <c r="E267" s="278" t="str">
        <f t="shared" si="0"/>
        <v>https://pubmed.ncbi.nlm.nih.gov/?term=9302301</v>
      </c>
      <c r="H267" s="28" t="s">
        <v>511</v>
      </c>
    </row>
    <row r="268" spans="1:8">
      <c r="A268" s="92" t="s">
        <v>4862</v>
      </c>
      <c r="B268" s="345">
        <v>2000</v>
      </c>
      <c r="C268" s="92"/>
      <c r="D268" s="345">
        <v>11038126</v>
      </c>
      <c r="E268" s="278" t="str">
        <f t="shared" si="0"/>
        <v>https://pubmed.ncbi.nlm.nih.gov/?term=11038126</v>
      </c>
      <c r="F268" s="28" t="s">
        <v>511</v>
      </c>
      <c r="G268" s="28" t="s">
        <v>4346</v>
      </c>
    </row>
    <row r="269" spans="1:8">
      <c r="A269" s="92" t="s">
        <v>2481</v>
      </c>
      <c r="B269" s="345">
        <v>1994</v>
      </c>
      <c r="C269" s="92"/>
      <c r="D269" s="345">
        <v>8163832</v>
      </c>
      <c r="E269" s="278" t="str">
        <f t="shared" si="0"/>
        <v>https://pubmed.ncbi.nlm.nih.gov/?term=8163832</v>
      </c>
      <c r="H269" s="28" t="s">
        <v>511</v>
      </c>
    </row>
    <row r="270" spans="1:8">
      <c r="A270" s="92" t="s">
        <v>1654</v>
      </c>
      <c r="B270" s="345">
        <v>1998</v>
      </c>
      <c r="C270" s="92" t="s">
        <v>4863</v>
      </c>
      <c r="D270" s="345">
        <v>9423838</v>
      </c>
      <c r="E270" s="278" t="str">
        <f t="shared" si="0"/>
        <v>https://pubmed.ncbi.nlm.nih.gov/?term=9423838</v>
      </c>
      <c r="H270" s="28" t="s">
        <v>511</v>
      </c>
    </row>
    <row r="271" spans="1:8">
      <c r="A271" s="92" t="s">
        <v>4864</v>
      </c>
      <c r="B271" s="345">
        <v>1991</v>
      </c>
      <c r="C271" s="92"/>
      <c r="D271" s="345">
        <v>1915792</v>
      </c>
      <c r="E271" s="278" t="str">
        <f t="shared" si="0"/>
        <v>https://pubmed.ncbi.nlm.nih.gov/?term=1915792</v>
      </c>
      <c r="F271" s="28" t="s">
        <v>511</v>
      </c>
      <c r="G271" s="28" t="s">
        <v>4346</v>
      </c>
    </row>
    <row r="272" spans="1:8">
      <c r="A272" s="92" t="s">
        <v>4385</v>
      </c>
      <c r="B272" s="345">
        <v>1992</v>
      </c>
      <c r="C272" s="92" t="s">
        <v>4865</v>
      </c>
      <c r="D272" s="345">
        <v>1730473</v>
      </c>
      <c r="E272" s="278" t="str">
        <f t="shared" si="0"/>
        <v>https://pubmed.ncbi.nlm.nih.gov/?term=1730473</v>
      </c>
      <c r="F272" s="28" t="s">
        <v>511</v>
      </c>
      <c r="G272" s="28" t="s">
        <v>4346</v>
      </c>
    </row>
    <row r="273" spans="1:8">
      <c r="A273" s="92" t="s">
        <v>4866</v>
      </c>
      <c r="B273" s="345">
        <v>1992</v>
      </c>
      <c r="C273" s="92"/>
      <c r="D273" s="345">
        <v>1395658</v>
      </c>
      <c r="E273" s="278" t="str">
        <f t="shared" si="0"/>
        <v>https://pubmed.ncbi.nlm.nih.gov/?term=1395658</v>
      </c>
      <c r="F273" s="28" t="s">
        <v>511</v>
      </c>
      <c r="G273" s="28" t="s">
        <v>4867</v>
      </c>
    </row>
    <row r="274" spans="1:8">
      <c r="A274" s="92" t="s">
        <v>4868</v>
      </c>
      <c r="B274" s="345">
        <v>1997</v>
      </c>
      <c r="C274" s="92"/>
      <c r="D274" s="345">
        <v>9098860</v>
      </c>
      <c r="E274" s="278" t="str">
        <f t="shared" si="0"/>
        <v>https://pubmed.ncbi.nlm.nih.gov/?term=9098860</v>
      </c>
      <c r="F274" s="28" t="s">
        <v>511</v>
      </c>
      <c r="G274" s="28" t="s">
        <v>4869</v>
      </c>
    </row>
    <row r="275" spans="1:8">
      <c r="A275" s="92" t="s">
        <v>4870</v>
      </c>
      <c r="B275" s="345">
        <v>2000</v>
      </c>
      <c r="C275" s="92"/>
      <c r="D275" s="345">
        <v>10768562</v>
      </c>
      <c r="E275" s="278" t="str">
        <f t="shared" si="0"/>
        <v>https://pubmed.ncbi.nlm.nih.gov/?term=10768562</v>
      </c>
      <c r="F275" s="28" t="s">
        <v>511</v>
      </c>
      <c r="G275" s="28" t="s">
        <v>4871</v>
      </c>
    </row>
    <row r="276" spans="1:8">
      <c r="A276" s="92" t="s">
        <v>1775</v>
      </c>
      <c r="B276" s="345">
        <v>1996</v>
      </c>
      <c r="C276" s="92"/>
      <c r="D276" s="345">
        <v>8655877</v>
      </c>
      <c r="E276" s="278" t="str">
        <f t="shared" si="0"/>
        <v>https://pubmed.ncbi.nlm.nih.gov/?term=8655877</v>
      </c>
      <c r="H276" s="28" t="s">
        <v>511</v>
      </c>
    </row>
    <row r="277" spans="1:8">
      <c r="A277" s="92" t="s">
        <v>4872</v>
      </c>
      <c r="B277" s="345">
        <v>2000</v>
      </c>
      <c r="C277" s="92"/>
      <c r="D277" s="345">
        <v>10976979</v>
      </c>
      <c r="E277" s="278" t="str">
        <f t="shared" si="0"/>
        <v>https://pubmed.ncbi.nlm.nih.gov/?term=10976979</v>
      </c>
      <c r="F277" s="28" t="s">
        <v>511</v>
      </c>
      <c r="G277" s="28" t="s">
        <v>4744</v>
      </c>
    </row>
    <row r="278" spans="1:8">
      <c r="A278" s="92" t="s">
        <v>4873</v>
      </c>
      <c r="B278" s="345">
        <v>1996</v>
      </c>
      <c r="C278" s="92" t="s">
        <v>4874</v>
      </c>
      <c r="D278" s="345">
        <v>8807062</v>
      </c>
      <c r="E278" s="278" t="str">
        <f t="shared" si="0"/>
        <v>https://pubmed.ncbi.nlm.nih.gov/?term=8807062</v>
      </c>
      <c r="F278" s="28" t="s">
        <v>511</v>
      </c>
      <c r="G278" s="28" t="s">
        <v>4875</v>
      </c>
    </row>
    <row r="279" spans="1:8">
      <c r="A279" s="92" t="s">
        <v>4876</v>
      </c>
      <c r="B279" s="345">
        <v>2000</v>
      </c>
      <c r="C279" s="92"/>
      <c r="D279" s="345">
        <v>10877367</v>
      </c>
      <c r="E279" s="278" t="str">
        <f t="shared" si="0"/>
        <v>https://pubmed.ncbi.nlm.nih.gov/?term=10877367</v>
      </c>
      <c r="F279" s="28" t="s">
        <v>511</v>
      </c>
      <c r="G279" s="28" t="s">
        <v>4346</v>
      </c>
    </row>
    <row r="280" spans="1:8">
      <c r="A280" s="92" t="s">
        <v>4877</v>
      </c>
      <c r="B280" s="345">
        <v>1999</v>
      </c>
      <c r="C280" s="92"/>
      <c r="D280" s="345">
        <v>10098640</v>
      </c>
      <c r="E280" s="278" t="str">
        <f t="shared" si="0"/>
        <v>https://pubmed.ncbi.nlm.nih.gov/?term=10098640</v>
      </c>
      <c r="F280" s="28" t="s">
        <v>511</v>
      </c>
      <c r="G280" s="28" t="s">
        <v>4346</v>
      </c>
    </row>
    <row r="281" spans="1:8">
      <c r="A281" s="92" t="s">
        <v>4840</v>
      </c>
      <c r="B281" s="345">
        <v>1997</v>
      </c>
      <c r="C281" s="92" t="s">
        <v>4878</v>
      </c>
      <c r="D281" s="345">
        <v>8980770</v>
      </c>
      <c r="E281" s="278" t="str">
        <f t="shared" si="0"/>
        <v>https://pubmed.ncbi.nlm.nih.gov/?term=8980770</v>
      </c>
      <c r="F281" s="28" t="s">
        <v>511</v>
      </c>
      <c r="G281" s="28" t="s">
        <v>4346</v>
      </c>
    </row>
    <row r="282" spans="1:8">
      <c r="A282" s="92" t="s">
        <v>2446</v>
      </c>
      <c r="B282" s="345">
        <v>1997</v>
      </c>
      <c r="C282" s="92"/>
      <c r="D282" s="345">
        <v>9395349</v>
      </c>
      <c r="E282" s="278" t="str">
        <f t="shared" si="0"/>
        <v>https://pubmed.ncbi.nlm.nih.gov/?term=9395349</v>
      </c>
      <c r="H282" s="28" t="s">
        <v>511</v>
      </c>
    </row>
    <row r="283" spans="1:8">
      <c r="A283" s="92" t="s">
        <v>4879</v>
      </c>
      <c r="B283" s="345">
        <v>1998</v>
      </c>
      <c r="C283" s="92"/>
      <c r="D283" s="345">
        <v>9510221</v>
      </c>
      <c r="E283" s="278" t="str">
        <f t="shared" si="0"/>
        <v>https://pubmed.ncbi.nlm.nih.gov/?term=9510221</v>
      </c>
      <c r="F283" s="28" t="s">
        <v>511</v>
      </c>
      <c r="G283" s="28" t="s">
        <v>4744</v>
      </c>
    </row>
    <row r="284" spans="1:8">
      <c r="A284" s="92" t="s">
        <v>1467</v>
      </c>
      <c r="B284" s="345">
        <v>1996</v>
      </c>
      <c r="C284" s="92"/>
      <c r="D284" s="345">
        <v>8849805</v>
      </c>
      <c r="E284" s="278" t="str">
        <f t="shared" si="0"/>
        <v>https://pubmed.ncbi.nlm.nih.gov/?term=8849805</v>
      </c>
      <c r="H284" s="28" t="s">
        <v>511</v>
      </c>
    </row>
    <row r="285" spans="1:8">
      <c r="A285" s="92" t="s">
        <v>4842</v>
      </c>
      <c r="B285" s="345">
        <v>1996</v>
      </c>
      <c r="C285" s="92"/>
      <c r="D285" s="345">
        <v>8739412</v>
      </c>
      <c r="E285" s="278" t="str">
        <f t="shared" si="0"/>
        <v>https://pubmed.ncbi.nlm.nih.gov/?term=8739412</v>
      </c>
      <c r="F285" s="28" t="s">
        <v>511</v>
      </c>
      <c r="G285" s="28" t="s">
        <v>4592</v>
      </c>
    </row>
    <row r="286" spans="1:8">
      <c r="A286" s="92" t="s">
        <v>4880</v>
      </c>
      <c r="B286" s="345">
        <v>2000</v>
      </c>
      <c r="C286" s="92"/>
      <c r="D286" s="345">
        <v>10837169</v>
      </c>
      <c r="E286" s="278" t="str">
        <f t="shared" si="0"/>
        <v>https://pubmed.ncbi.nlm.nih.gov/?term=10837169</v>
      </c>
      <c r="F286" s="28" t="s">
        <v>511</v>
      </c>
      <c r="G286" s="28" t="s">
        <v>4881</v>
      </c>
    </row>
    <row r="287" spans="1:8">
      <c r="A287" s="92" t="s">
        <v>4882</v>
      </c>
      <c r="B287" s="345">
        <v>1996</v>
      </c>
      <c r="C287" s="92"/>
      <c r="D287" s="345">
        <v>8814072</v>
      </c>
      <c r="E287" s="278" t="str">
        <f t="shared" si="0"/>
        <v>https://pubmed.ncbi.nlm.nih.gov/?term=8814072</v>
      </c>
      <c r="F287" s="28" t="s">
        <v>511</v>
      </c>
      <c r="G287" s="28" t="s">
        <v>4346</v>
      </c>
    </row>
    <row r="288" spans="1:8">
      <c r="A288" s="92" t="s">
        <v>4883</v>
      </c>
      <c r="B288" s="345">
        <v>1998</v>
      </c>
      <c r="C288" s="92"/>
      <c r="D288" s="345">
        <v>9556858</v>
      </c>
      <c r="E288" s="278" t="str">
        <f t="shared" si="0"/>
        <v>https://pubmed.ncbi.nlm.nih.gov/?term=9556858</v>
      </c>
      <c r="F288" s="28" t="s">
        <v>511</v>
      </c>
      <c r="G288" s="28" t="s">
        <v>4346</v>
      </c>
    </row>
    <row r="289" spans="1:8">
      <c r="A289" s="92" t="s">
        <v>4884</v>
      </c>
      <c r="B289" s="345">
        <v>1993</v>
      </c>
      <c r="C289" s="92"/>
      <c r="D289" s="345">
        <v>8432962</v>
      </c>
      <c r="E289" s="278" t="str">
        <f t="shared" si="0"/>
        <v>https://pubmed.ncbi.nlm.nih.gov/?term=8432962</v>
      </c>
      <c r="F289" s="28" t="s">
        <v>511</v>
      </c>
      <c r="G289" s="28" t="s">
        <v>4885</v>
      </c>
    </row>
    <row r="290" spans="1:8">
      <c r="A290" s="92" t="s">
        <v>4886</v>
      </c>
      <c r="B290" s="345">
        <v>1999</v>
      </c>
      <c r="C290" s="92" t="s">
        <v>4887</v>
      </c>
      <c r="D290" s="345">
        <v>10534006</v>
      </c>
      <c r="E290" s="278" t="str">
        <f t="shared" si="0"/>
        <v>https://pubmed.ncbi.nlm.nih.gov/?term=10534006</v>
      </c>
      <c r="F290" s="28" t="s">
        <v>511</v>
      </c>
      <c r="G290" s="28" t="s">
        <v>4346</v>
      </c>
    </row>
    <row r="291" spans="1:8">
      <c r="A291" s="92" t="s">
        <v>4888</v>
      </c>
      <c r="B291" s="345">
        <v>1996</v>
      </c>
      <c r="C291" s="92"/>
      <c r="D291" s="345">
        <v>8950424</v>
      </c>
      <c r="E291" s="278" t="str">
        <f t="shared" si="0"/>
        <v>https://pubmed.ncbi.nlm.nih.gov/?term=8950424</v>
      </c>
      <c r="F291" s="28" t="s">
        <v>511</v>
      </c>
      <c r="G291" s="28" t="s">
        <v>4346</v>
      </c>
    </row>
    <row r="292" spans="1:8">
      <c r="A292" s="92" t="s">
        <v>4889</v>
      </c>
      <c r="B292" s="345">
        <v>1998</v>
      </c>
      <c r="C292" s="92"/>
      <c r="D292" s="345">
        <v>9855419</v>
      </c>
      <c r="E292" s="278" t="str">
        <f t="shared" si="0"/>
        <v>https://pubmed.ncbi.nlm.nih.gov/?term=9855419</v>
      </c>
      <c r="F292" s="28" t="s">
        <v>511</v>
      </c>
      <c r="G292" s="28" t="s">
        <v>4592</v>
      </c>
    </row>
    <row r="293" spans="1:8">
      <c r="A293" s="92" t="s">
        <v>4890</v>
      </c>
      <c r="B293" s="345">
        <v>1999</v>
      </c>
      <c r="C293" s="92"/>
      <c r="D293" s="345">
        <v>9951430</v>
      </c>
      <c r="E293" s="278" t="str">
        <f t="shared" si="0"/>
        <v>https://pubmed.ncbi.nlm.nih.gov/?term=9951430</v>
      </c>
      <c r="F293" s="28" t="s">
        <v>511</v>
      </c>
      <c r="G293" s="28" t="s">
        <v>4875</v>
      </c>
    </row>
    <row r="294" spans="1:8">
      <c r="A294" s="92" t="s">
        <v>4891</v>
      </c>
      <c r="B294" s="345">
        <v>1996</v>
      </c>
      <c r="C294" s="92"/>
      <c r="D294" s="345">
        <v>9334450</v>
      </c>
      <c r="E294" s="278" t="str">
        <f t="shared" si="0"/>
        <v>https://pubmed.ncbi.nlm.nih.gov/?term=9334450</v>
      </c>
      <c r="F294" s="28" t="s">
        <v>511</v>
      </c>
      <c r="G294" s="28" t="s">
        <v>4587</v>
      </c>
    </row>
    <row r="295" spans="1:8">
      <c r="A295" s="92" t="s">
        <v>4892</v>
      </c>
      <c r="B295" s="345">
        <v>1994</v>
      </c>
      <c r="C295" s="92"/>
      <c r="D295" s="345">
        <v>7610756</v>
      </c>
      <c r="E295" s="278" t="str">
        <f t="shared" si="0"/>
        <v>https://pubmed.ncbi.nlm.nih.gov/?term=7610756</v>
      </c>
      <c r="F295" s="28" t="s">
        <v>511</v>
      </c>
      <c r="G295" s="28" t="s">
        <v>4656</v>
      </c>
    </row>
    <row r="296" spans="1:8">
      <c r="A296" s="92" t="s">
        <v>4831</v>
      </c>
      <c r="B296" s="345">
        <v>2000</v>
      </c>
      <c r="C296" s="92"/>
      <c r="D296" s="345">
        <v>10799896</v>
      </c>
      <c r="E296" s="278" t="str">
        <f t="shared" si="0"/>
        <v>https://pubmed.ncbi.nlm.nih.gov/?term=10799896</v>
      </c>
      <c r="F296" s="28" t="s">
        <v>511</v>
      </c>
      <c r="G296" s="28" t="s">
        <v>4346</v>
      </c>
    </row>
    <row r="297" spans="1:8">
      <c r="A297" s="92" t="s">
        <v>4646</v>
      </c>
      <c r="B297" s="345">
        <v>1990</v>
      </c>
      <c r="C297" s="92"/>
      <c r="D297" s="345">
        <v>2235209</v>
      </c>
      <c r="E297" s="278" t="str">
        <f t="shared" si="0"/>
        <v>https://pubmed.ncbi.nlm.nih.gov/?term=2235209</v>
      </c>
      <c r="F297" s="28" t="s">
        <v>511</v>
      </c>
      <c r="G297" s="28" t="s">
        <v>4592</v>
      </c>
    </row>
    <row r="298" spans="1:8">
      <c r="A298" s="92" t="s">
        <v>1724</v>
      </c>
      <c r="B298" s="345">
        <v>2000</v>
      </c>
      <c r="C298" s="92" t="s">
        <v>4893</v>
      </c>
      <c r="D298" s="345">
        <v>11134688</v>
      </c>
      <c r="E298" s="278" t="str">
        <f t="shared" si="0"/>
        <v>https://pubmed.ncbi.nlm.nih.gov/?term=11134688</v>
      </c>
      <c r="H298" s="28" t="s">
        <v>511</v>
      </c>
    </row>
    <row r="299" spans="1:8">
      <c r="A299" s="92" t="s">
        <v>4894</v>
      </c>
      <c r="B299" s="345">
        <v>1998</v>
      </c>
      <c r="C299" s="92"/>
      <c r="D299" s="345">
        <v>9632915</v>
      </c>
      <c r="E299" s="278" t="str">
        <f t="shared" si="0"/>
        <v>https://pubmed.ncbi.nlm.nih.gov/?term=9632915</v>
      </c>
      <c r="F299" s="28" t="s">
        <v>511</v>
      </c>
      <c r="G299" s="28" t="s">
        <v>4592</v>
      </c>
    </row>
    <row r="300" spans="1:8">
      <c r="A300" s="92" t="s">
        <v>2069</v>
      </c>
      <c r="B300" s="345">
        <v>1998</v>
      </c>
      <c r="C300" s="92"/>
      <c r="D300" s="345">
        <v>9726729</v>
      </c>
      <c r="E300" s="278" t="str">
        <f t="shared" si="0"/>
        <v>https://pubmed.ncbi.nlm.nih.gov/?term=9726729</v>
      </c>
      <c r="H300" s="28" t="s">
        <v>511</v>
      </c>
    </row>
    <row r="301" spans="1:8">
      <c r="A301" s="92" t="s">
        <v>4895</v>
      </c>
      <c r="B301" s="345">
        <v>1998</v>
      </c>
      <c r="C301" s="92"/>
      <c r="D301" s="345">
        <v>9524841</v>
      </c>
      <c r="E301" s="278" t="str">
        <f t="shared" si="0"/>
        <v>https://pubmed.ncbi.nlm.nih.gov/?term=9524841</v>
      </c>
      <c r="F301" s="28" t="s">
        <v>511</v>
      </c>
      <c r="G301" s="28" t="s">
        <v>4896</v>
      </c>
    </row>
    <row r="302" spans="1:8">
      <c r="A302" s="92" t="s">
        <v>4897</v>
      </c>
      <c r="B302" s="345">
        <v>1999</v>
      </c>
      <c r="C302" s="92"/>
      <c r="D302" s="345">
        <v>10588548</v>
      </c>
      <c r="E302" s="278" t="str">
        <f t="shared" si="0"/>
        <v>https://pubmed.ncbi.nlm.nih.gov/?term=10588548</v>
      </c>
      <c r="F302" s="28" t="s">
        <v>511</v>
      </c>
      <c r="G302" s="28" t="s">
        <v>4898</v>
      </c>
    </row>
    <row r="303" spans="1:8">
      <c r="A303" s="92" t="s">
        <v>4899</v>
      </c>
      <c r="B303" s="345">
        <v>1998</v>
      </c>
      <c r="C303" s="92"/>
      <c r="D303" s="345">
        <v>9533898</v>
      </c>
      <c r="E303" s="278" t="str">
        <f t="shared" si="0"/>
        <v>https://pubmed.ncbi.nlm.nih.gov/?term=9533898</v>
      </c>
      <c r="F303" s="28" t="s">
        <v>511</v>
      </c>
      <c r="G303" s="28" t="s">
        <v>4346</v>
      </c>
    </row>
    <row r="304" spans="1:8">
      <c r="A304" s="92" t="s">
        <v>4900</v>
      </c>
      <c r="B304" s="345">
        <v>1999</v>
      </c>
      <c r="C304" s="92"/>
      <c r="D304" s="345">
        <v>10901853</v>
      </c>
      <c r="E304" s="278" t="str">
        <f t="shared" si="0"/>
        <v>https://pubmed.ncbi.nlm.nih.gov/?term=10901853</v>
      </c>
      <c r="F304" s="28" t="s">
        <v>511</v>
      </c>
      <c r="G304" s="28" t="s">
        <v>4592</v>
      </c>
    </row>
    <row r="305" spans="1:8">
      <c r="A305" s="92" t="s">
        <v>4901</v>
      </c>
      <c r="B305" s="345">
        <v>2000</v>
      </c>
      <c r="C305" s="92"/>
      <c r="D305" s="345">
        <v>10736672</v>
      </c>
      <c r="E305" s="278" t="str">
        <f t="shared" si="0"/>
        <v>https://pubmed.ncbi.nlm.nih.gov/?term=10736672</v>
      </c>
      <c r="F305" s="28" t="s">
        <v>511</v>
      </c>
      <c r="G305" s="28" t="s">
        <v>4346</v>
      </c>
    </row>
    <row r="306" spans="1:8">
      <c r="A306" s="92" t="s">
        <v>4902</v>
      </c>
      <c r="B306" s="345">
        <v>1999</v>
      </c>
      <c r="C306" s="92"/>
      <c r="D306" s="345">
        <v>10446866</v>
      </c>
      <c r="E306" s="278" t="str">
        <f t="shared" si="0"/>
        <v>https://pubmed.ncbi.nlm.nih.gov/?term=10446866</v>
      </c>
      <c r="F306" s="28" t="s">
        <v>511</v>
      </c>
      <c r="G306" s="28" t="s">
        <v>4346</v>
      </c>
    </row>
    <row r="307" spans="1:8">
      <c r="A307" s="92" t="s">
        <v>4903</v>
      </c>
      <c r="B307" s="345">
        <v>1996</v>
      </c>
      <c r="C307" s="92"/>
      <c r="D307" s="345">
        <v>8891239</v>
      </c>
      <c r="E307" s="278" t="str">
        <f t="shared" si="0"/>
        <v>https://pubmed.ncbi.nlm.nih.gov/?term=8891239</v>
      </c>
      <c r="F307" s="28" t="s">
        <v>511</v>
      </c>
      <c r="G307" s="28" t="s">
        <v>4536</v>
      </c>
    </row>
    <row r="308" spans="1:8">
      <c r="A308" s="92" t="s">
        <v>4904</v>
      </c>
      <c r="B308" s="345">
        <v>1995</v>
      </c>
      <c r="C308" s="92"/>
      <c r="D308" s="345">
        <v>8928947</v>
      </c>
      <c r="E308" s="278" t="str">
        <f t="shared" si="0"/>
        <v>https://pubmed.ncbi.nlm.nih.gov/?term=8928947</v>
      </c>
      <c r="F308" s="28" t="s">
        <v>511</v>
      </c>
      <c r="G308" s="28" t="s">
        <v>4346</v>
      </c>
    </row>
    <row r="309" spans="1:8">
      <c r="A309" s="92" t="s">
        <v>4905</v>
      </c>
      <c r="B309" s="345">
        <v>1995</v>
      </c>
      <c r="C309" s="92"/>
      <c r="D309" s="345">
        <v>8578828</v>
      </c>
      <c r="E309" s="278" t="str">
        <f t="shared" si="0"/>
        <v>https://pubmed.ncbi.nlm.nih.gov/?term=8578828</v>
      </c>
      <c r="F309" s="28" t="s">
        <v>511</v>
      </c>
      <c r="G309" s="28" t="s">
        <v>4346</v>
      </c>
    </row>
    <row r="310" spans="1:8">
      <c r="A310" s="92" t="s">
        <v>4840</v>
      </c>
      <c r="B310" s="345">
        <v>1996</v>
      </c>
      <c r="C310" s="92"/>
      <c r="D310" s="345">
        <v>8712515</v>
      </c>
      <c r="E310" s="278" t="str">
        <f t="shared" si="0"/>
        <v>https://pubmed.ncbi.nlm.nih.gov/?term=8712515</v>
      </c>
      <c r="F310" s="28" t="s">
        <v>511</v>
      </c>
      <c r="G310" s="28" t="s">
        <v>4346</v>
      </c>
    </row>
    <row r="311" spans="1:8">
      <c r="A311" s="92" t="s">
        <v>4906</v>
      </c>
      <c r="B311" s="345">
        <v>2000</v>
      </c>
      <c r="C311" s="92"/>
      <c r="D311" s="345">
        <v>11153621</v>
      </c>
      <c r="E311" s="278" t="str">
        <f t="shared" si="0"/>
        <v>https://pubmed.ncbi.nlm.nih.gov/?term=11153621</v>
      </c>
      <c r="F311" s="28" t="s">
        <v>511</v>
      </c>
      <c r="G311" s="28" t="s">
        <v>4867</v>
      </c>
    </row>
    <row r="312" spans="1:8">
      <c r="A312" s="92" t="s">
        <v>1835</v>
      </c>
      <c r="B312" s="345">
        <v>1999</v>
      </c>
      <c r="C312" s="92"/>
      <c r="D312" s="345">
        <v>10517426</v>
      </c>
      <c r="E312" s="278" t="str">
        <f t="shared" si="0"/>
        <v>https://pubmed.ncbi.nlm.nih.gov/?term=10517426</v>
      </c>
      <c r="H312" s="28" t="s">
        <v>511</v>
      </c>
    </row>
    <row r="313" spans="1:8">
      <c r="A313" s="92" t="s">
        <v>4907</v>
      </c>
      <c r="B313" s="345">
        <v>1995</v>
      </c>
      <c r="C313" s="92"/>
      <c r="D313" s="345">
        <v>8599282</v>
      </c>
      <c r="E313" s="278" t="str">
        <f t="shared" si="0"/>
        <v>https://pubmed.ncbi.nlm.nih.gov/?term=8599282</v>
      </c>
      <c r="F313" s="28" t="s">
        <v>511</v>
      </c>
      <c r="G313" s="28" t="s">
        <v>4867</v>
      </c>
    </row>
    <row r="314" spans="1:8">
      <c r="A314" s="92" t="s">
        <v>4908</v>
      </c>
      <c r="B314" s="345">
        <v>1993</v>
      </c>
      <c r="C314" s="92"/>
      <c r="D314" s="345">
        <v>8257637</v>
      </c>
      <c r="E314" s="278" t="str">
        <f t="shared" si="0"/>
        <v>https://pubmed.ncbi.nlm.nih.gov/?term=8257637</v>
      </c>
      <c r="F314" s="28" t="s">
        <v>511</v>
      </c>
      <c r="G314" s="28" t="s">
        <v>4909</v>
      </c>
    </row>
    <row r="315" spans="1:8">
      <c r="A315" s="92" t="s">
        <v>4910</v>
      </c>
      <c r="B315" s="345">
        <v>1997</v>
      </c>
      <c r="C315" s="92"/>
      <c r="D315" s="345">
        <v>9094725</v>
      </c>
      <c r="E315" s="278" t="str">
        <f t="shared" si="0"/>
        <v>https://pubmed.ncbi.nlm.nih.gov/?term=9094725</v>
      </c>
      <c r="F315" s="28" t="s">
        <v>511</v>
      </c>
      <c r="G315" s="28" t="s">
        <v>4656</v>
      </c>
    </row>
    <row r="316" spans="1:8">
      <c r="A316" s="92" t="s">
        <v>4911</v>
      </c>
      <c r="B316" s="345">
        <v>1992</v>
      </c>
      <c r="C316" s="92" t="s">
        <v>4912</v>
      </c>
      <c r="D316" s="345">
        <v>1622173</v>
      </c>
      <c r="E316" s="278" t="str">
        <f t="shared" si="0"/>
        <v>https://pubmed.ncbi.nlm.nih.gov/?term=1622173</v>
      </c>
      <c r="F316" s="28" t="s">
        <v>511</v>
      </c>
      <c r="G316" s="28" t="s">
        <v>4867</v>
      </c>
    </row>
    <row r="317" spans="1:8">
      <c r="A317" s="92" t="s">
        <v>4913</v>
      </c>
      <c r="B317" s="345">
        <v>1997</v>
      </c>
      <c r="C317" s="92" t="s">
        <v>4914</v>
      </c>
      <c r="D317" s="345">
        <v>9393819</v>
      </c>
      <c r="E317" s="278" t="str">
        <f t="shared" si="0"/>
        <v>https://pubmed.ncbi.nlm.nih.gov/?term=9393819</v>
      </c>
      <c r="F317" s="28" t="s">
        <v>511</v>
      </c>
      <c r="G317" s="28" t="s">
        <v>4909</v>
      </c>
    </row>
    <row r="318" spans="1:8">
      <c r="A318" s="92" t="s">
        <v>4915</v>
      </c>
      <c r="B318" s="345">
        <v>1994</v>
      </c>
      <c r="C318" s="92"/>
      <c r="D318" s="345">
        <v>8013184</v>
      </c>
      <c r="E318" s="278" t="str">
        <f t="shared" si="0"/>
        <v>https://pubmed.ncbi.nlm.nih.gov/?term=8013184</v>
      </c>
      <c r="F318" s="28" t="s">
        <v>511</v>
      </c>
      <c r="G318" s="28" t="s">
        <v>4592</v>
      </c>
    </row>
    <row r="319" spans="1:8">
      <c r="A319" s="92" t="s">
        <v>4916</v>
      </c>
      <c r="B319" s="345">
        <v>1992</v>
      </c>
      <c r="C319" s="92"/>
      <c r="D319" s="345">
        <v>1602565</v>
      </c>
      <c r="E319" s="278" t="str">
        <f t="shared" si="0"/>
        <v>https://pubmed.ncbi.nlm.nih.gov/?term=1602565</v>
      </c>
      <c r="F319" s="28" t="s">
        <v>511</v>
      </c>
      <c r="G319" s="28" t="s">
        <v>4909</v>
      </c>
    </row>
    <row r="320" spans="1:8">
      <c r="A320" s="92" t="s">
        <v>4917</v>
      </c>
      <c r="B320" s="345">
        <v>1997</v>
      </c>
      <c r="C320" s="92"/>
      <c r="D320" s="345">
        <v>9411341</v>
      </c>
      <c r="E320" s="278" t="str">
        <f t="shared" si="0"/>
        <v>https://pubmed.ncbi.nlm.nih.gov/?term=9411341</v>
      </c>
      <c r="F320" s="28" t="s">
        <v>511</v>
      </c>
      <c r="G320" s="28" t="s">
        <v>4592</v>
      </c>
    </row>
    <row r="321" spans="1:7">
      <c r="A321" s="92" t="s">
        <v>4918</v>
      </c>
      <c r="B321" s="345">
        <v>1992</v>
      </c>
      <c r="C321" s="92"/>
      <c r="D321" s="345">
        <v>1630426</v>
      </c>
      <c r="E321" s="278" t="str">
        <f t="shared" si="0"/>
        <v>https://pubmed.ncbi.nlm.nih.gov/?term=1630426</v>
      </c>
      <c r="F321" s="28" t="s">
        <v>511</v>
      </c>
      <c r="G321" s="28" t="s">
        <v>8379</v>
      </c>
    </row>
    <row r="322" spans="1:7">
      <c r="A322" s="92" t="s">
        <v>4920</v>
      </c>
      <c r="B322" s="345">
        <v>1997</v>
      </c>
      <c r="C322" s="92"/>
      <c r="D322" s="345">
        <v>9362041</v>
      </c>
      <c r="E322" s="278" t="str">
        <f t="shared" si="0"/>
        <v>https://pubmed.ncbi.nlm.nih.gov/?term=9362041</v>
      </c>
      <c r="F322" s="28" t="s">
        <v>511</v>
      </c>
      <c r="G322" s="28" t="s">
        <v>4909</v>
      </c>
    </row>
    <row r="323" spans="1:7">
      <c r="A323" s="92" t="s">
        <v>4921</v>
      </c>
      <c r="B323" s="345">
        <v>1996</v>
      </c>
      <c r="C323" s="92"/>
      <c r="D323" s="345">
        <v>9081359</v>
      </c>
      <c r="E323" s="278" t="str">
        <f t="shared" si="0"/>
        <v>https://pubmed.ncbi.nlm.nih.gov/?term=9081359</v>
      </c>
      <c r="F323" s="28" t="s">
        <v>511</v>
      </c>
      <c r="G323" s="28" t="s">
        <v>4867</v>
      </c>
    </row>
    <row r="324" spans="1:7">
      <c r="A324" s="92" t="s">
        <v>4922</v>
      </c>
      <c r="B324" s="345">
        <v>1999</v>
      </c>
      <c r="C324" s="92"/>
      <c r="D324" s="345">
        <v>10518352</v>
      </c>
      <c r="E324" s="278" t="str">
        <f t="shared" si="0"/>
        <v>https://pubmed.ncbi.nlm.nih.gov/?term=10518352</v>
      </c>
      <c r="F324" s="28" t="s">
        <v>511</v>
      </c>
      <c r="G324" s="28" t="s">
        <v>4923</v>
      </c>
    </row>
    <row r="325" spans="1:7">
      <c r="A325" s="92" t="s">
        <v>4924</v>
      </c>
      <c r="B325" s="345">
        <v>1997</v>
      </c>
      <c r="C325" s="92" t="s">
        <v>4925</v>
      </c>
      <c r="D325" s="345">
        <v>9343160</v>
      </c>
      <c r="E325" s="278" t="str">
        <f t="shared" si="0"/>
        <v>https://pubmed.ncbi.nlm.nih.gov/?term=9343160</v>
      </c>
      <c r="F325" s="28" t="s">
        <v>511</v>
      </c>
      <c r="G325" s="28" t="s">
        <v>4909</v>
      </c>
    </row>
    <row r="326" spans="1:7">
      <c r="A326" s="92" t="s">
        <v>4926</v>
      </c>
      <c r="B326" s="345">
        <v>1992</v>
      </c>
      <c r="C326" s="92"/>
      <c r="D326" s="345">
        <v>1320307</v>
      </c>
      <c r="E326" s="278" t="str">
        <f t="shared" si="0"/>
        <v>https://pubmed.ncbi.nlm.nih.gov/?term=1320307</v>
      </c>
      <c r="F326" s="28" t="s">
        <v>511</v>
      </c>
      <c r="G326" s="28" t="s">
        <v>4909</v>
      </c>
    </row>
    <row r="327" spans="1:7">
      <c r="A327" s="92" t="s">
        <v>4927</v>
      </c>
      <c r="B327" s="345">
        <v>1998</v>
      </c>
      <c r="C327" s="92"/>
      <c r="D327" s="345">
        <v>9758320</v>
      </c>
      <c r="E327" s="278" t="str">
        <f t="shared" si="0"/>
        <v>https://pubmed.ncbi.nlm.nih.gov/?term=9758320</v>
      </c>
      <c r="F327" s="28" t="s">
        <v>511</v>
      </c>
      <c r="G327" s="28" t="s">
        <v>4867</v>
      </c>
    </row>
    <row r="328" spans="1:7">
      <c r="A328" s="92" t="s">
        <v>4860</v>
      </c>
      <c r="B328" s="345">
        <v>1992</v>
      </c>
      <c r="C328" s="92"/>
      <c r="D328" s="345">
        <v>1448645</v>
      </c>
      <c r="E328" s="278" t="str">
        <f t="shared" si="0"/>
        <v>https://pubmed.ncbi.nlm.nih.gov/?term=1448645</v>
      </c>
      <c r="F328" s="28" t="s">
        <v>511</v>
      </c>
      <c r="G328" s="28" t="s">
        <v>4592</v>
      </c>
    </row>
    <row r="329" spans="1:7">
      <c r="A329" s="92" t="s">
        <v>4928</v>
      </c>
      <c r="B329" s="345">
        <v>1995</v>
      </c>
      <c r="C329" s="92"/>
      <c r="D329" s="345">
        <v>7583684</v>
      </c>
      <c r="E329" s="278" t="str">
        <f t="shared" si="0"/>
        <v>https://pubmed.ncbi.nlm.nih.gov/?term=7583684</v>
      </c>
      <c r="F329" s="28" t="s">
        <v>511</v>
      </c>
      <c r="G329" s="28" t="s">
        <v>4909</v>
      </c>
    </row>
    <row r="330" spans="1:7">
      <c r="A330" s="92" t="s">
        <v>4929</v>
      </c>
      <c r="B330" s="345">
        <v>1998</v>
      </c>
      <c r="C330" s="92"/>
      <c r="D330" s="345">
        <v>9855414</v>
      </c>
      <c r="E330" s="278" t="str">
        <f t="shared" si="0"/>
        <v>https://pubmed.ncbi.nlm.nih.gov/?term=9855414</v>
      </c>
      <c r="F330" s="28" t="s">
        <v>511</v>
      </c>
      <c r="G330" s="28" t="s">
        <v>4592</v>
      </c>
    </row>
    <row r="331" spans="1:7">
      <c r="A331" s="92" t="s">
        <v>4930</v>
      </c>
      <c r="B331" s="345">
        <v>1997</v>
      </c>
      <c r="C331" s="92"/>
      <c r="D331" s="345">
        <v>9198338</v>
      </c>
      <c r="E331" s="278" t="str">
        <f t="shared" si="0"/>
        <v>https://pubmed.ncbi.nlm.nih.gov/?term=9198338</v>
      </c>
      <c r="F331" s="28" t="s">
        <v>511</v>
      </c>
      <c r="G331" s="28" t="s">
        <v>4778</v>
      </c>
    </row>
    <row r="332" spans="1:7">
      <c r="A332" s="92" t="s">
        <v>4931</v>
      </c>
      <c r="B332" s="345">
        <v>1994</v>
      </c>
      <c r="C332" s="92" t="s">
        <v>4932</v>
      </c>
      <c r="D332" s="345">
        <v>7927754</v>
      </c>
      <c r="E332" s="278" t="str">
        <f t="shared" si="0"/>
        <v>https://pubmed.ncbi.nlm.nih.gov/?term=7927754</v>
      </c>
      <c r="F332" s="28" t="s">
        <v>511</v>
      </c>
      <c r="G332" s="28" t="s">
        <v>4933</v>
      </c>
    </row>
    <row r="333" spans="1:7">
      <c r="A333" s="92" t="s">
        <v>4934</v>
      </c>
      <c r="B333" s="345">
        <v>1995</v>
      </c>
      <c r="C333" s="92" t="s">
        <v>4935</v>
      </c>
      <c r="D333" s="345">
        <v>7542634</v>
      </c>
      <c r="E333" s="278" t="str">
        <f t="shared" si="0"/>
        <v>https://pubmed.ncbi.nlm.nih.gov/?term=7542634</v>
      </c>
      <c r="F333" s="28" t="s">
        <v>511</v>
      </c>
      <c r="G333" s="28" t="s">
        <v>4909</v>
      </c>
    </row>
    <row r="334" spans="1:7">
      <c r="A334" s="92" t="s">
        <v>4936</v>
      </c>
      <c r="B334" s="345">
        <v>1996</v>
      </c>
      <c r="C334" s="92"/>
      <c r="D334" s="345">
        <v>8736545</v>
      </c>
      <c r="E334" s="278" t="str">
        <f t="shared" si="0"/>
        <v>https://pubmed.ncbi.nlm.nih.gov/?term=8736545</v>
      </c>
      <c r="F334" s="28" t="s">
        <v>511</v>
      </c>
      <c r="G334" s="28" t="s">
        <v>8380</v>
      </c>
    </row>
    <row r="335" spans="1:7">
      <c r="A335" s="92" t="s">
        <v>4938</v>
      </c>
      <c r="B335" s="345">
        <v>1998</v>
      </c>
      <c r="C335" s="92" t="s">
        <v>4939</v>
      </c>
      <c r="D335" s="345">
        <v>9658115</v>
      </c>
      <c r="E335" s="278" t="str">
        <f t="shared" si="0"/>
        <v>https://pubmed.ncbi.nlm.nih.gov/?term=9658115</v>
      </c>
      <c r="F335" s="28" t="s">
        <v>511</v>
      </c>
      <c r="G335" s="28" t="s">
        <v>4909</v>
      </c>
    </row>
    <row r="336" spans="1:7">
      <c r="A336" s="92" t="s">
        <v>4940</v>
      </c>
      <c r="B336" s="345">
        <v>1994</v>
      </c>
      <c r="C336" s="92"/>
      <c r="D336" s="345">
        <v>8193172</v>
      </c>
      <c r="E336" s="278" t="str">
        <f t="shared" si="0"/>
        <v>https://pubmed.ncbi.nlm.nih.gov/?term=8193172</v>
      </c>
      <c r="F336" s="28" t="s">
        <v>511</v>
      </c>
      <c r="G336" s="28" t="s">
        <v>4909</v>
      </c>
    </row>
    <row r="337" spans="1:8">
      <c r="A337" s="92" t="s">
        <v>4941</v>
      </c>
      <c r="B337" s="345">
        <v>1993</v>
      </c>
      <c r="C337" s="92"/>
      <c r="D337" s="345">
        <v>8436664</v>
      </c>
      <c r="E337" s="278" t="str">
        <f t="shared" si="0"/>
        <v>https://pubmed.ncbi.nlm.nih.gov/?term=8436664</v>
      </c>
      <c r="F337" s="28" t="s">
        <v>511</v>
      </c>
      <c r="G337" s="28" t="s">
        <v>4909</v>
      </c>
    </row>
    <row r="338" spans="1:8">
      <c r="A338" s="92" t="s">
        <v>4942</v>
      </c>
      <c r="B338" s="345">
        <v>1999</v>
      </c>
      <c r="C338" s="92"/>
      <c r="D338" s="345">
        <v>9922681</v>
      </c>
      <c r="E338" s="278" t="str">
        <f t="shared" si="0"/>
        <v>https://pubmed.ncbi.nlm.nih.gov/?term=9922681</v>
      </c>
      <c r="F338" s="28" t="s">
        <v>511</v>
      </c>
      <c r="G338" s="28" t="s">
        <v>4587</v>
      </c>
    </row>
    <row r="339" spans="1:8">
      <c r="A339" s="92" t="s">
        <v>4943</v>
      </c>
      <c r="B339" s="345">
        <v>1991</v>
      </c>
      <c r="C339" s="92" t="s">
        <v>4944</v>
      </c>
      <c r="D339" s="345">
        <v>1836943</v>
      </c>
      <c r="E339" s="278" t="str">
        <f t="shared" si="0"/>
        <v>https://pubmed.ncbi.nlm.nih.gov/?term=1836943</v>
      </c>
      <c r="F339" s="28" t="s">
        <v>511</v>
      </c>
      <c r="G339" s="28" t="s">
        <v>4867</v>
      </c>
    </row>
    <row r="340" spans="1:8">
      <c r="A340" s="92" t="s">
        <v>4270</v>
      </c>
      <c r="B340" s="345">
        <v>1995</v>
      </c>
      <c r="C340" s="92"/>
      <c r="D340" s="345">
        <v>7700664</v>
      </c>
      <c r="E340" s="278" t="str">
        <f t="shared" si="0"/>
        <v>https://pubmed.ncbi.nlm.nih.gov/?term=7700664</v>
      </c>
      <c r="F340" s="28" t="s">
        <v>511</v>
      </c>
      <c r="G340" s="28" t="s">
        <v>4909</v>
      </c>
    </row>
    <row r="341" spans="1:8">
      <c r="A341" s="92" t="s">
        <v>4727</v>
      </c>
      <c r="B341" s="345">
        <v>1999</v>
      </c>
      <c r="C341" s="92"/>
      <c r="D341" s="345">
        <v>10579255</v>
      </c>
      <c r="E341" s="278" t="str">
        <f t="shared" si="0"/>
        <v>https://pubmed.ncbi.nlm.nih.gov/?term=10579255</v>
      </c>
      <c r="F341" s="28" t="s">
        <v>511</v>
      </c>
      <c r="G341" s="28" t="s">
        <v>4867</v>
      </c>
    </row>
    <row r="342" spans="1:8">
      <c r="A342" s="92" t="s">
        <v>4945</v>
      </c>
      <c r="B342" s="345">
        <v>1991</v>
      </c>
      <c r="C342" s="92"/>
      <c r="D342" s="345">
        <v>1806165</v>
      </c>
      <c r="E342" s="278" t="str">
        <f t="shared" si="0"/>
        <v>https://pubmed.ncbi.nlm.nih.gov/?term=1806165</v>
      </c>
      <c r="F342" s="28" t="s">
        <v>511</v>
      </c>
      <c r="G342" s="28" t="s">
        <v>4592</v>
      </c>
    </row>
    <row r="343" spans="1:8">
      <c r="A343" s="92" t="s">
        <v>4946</v>
      </c>
      <c r="B343" s="345">
        <v>1995</v>
      </c>
      <c r="C343" s="92"/>
      <c r="D343" s="345">
        <v>8591736</v>
      </c>
      <c r="E343" s="278" t="str">
        <f t="shared" si="0"/>
        <v>https://pubmed.ncbi.nlm.nih.gov/?term=8591736</v>
      </c>
      <c r="F343" s="28" t="s">
        <v>511</v>
      </c>
      <c r="G343" s="28" t="s">
        <v>4536</v>
      </c>
    </row>
    <row r="344" spans="1:8">
      <c r="A344" s="92" t="s">
        <v>4947</v>
      </c>
      <c r="B344" s="345">
        <v>1998</v>
      </c>
      <c r="C344" s="92" t="s">
        <v>4948</v>
      </c>
      <c r="D344" s="345">
        <v>9578860</v>
      </c>
      <c r="E344" s="278" t="str">
        <f t="shared" si="0"/>
        <v>https://pubmed.ncbi.nlm.nih.gov/?term=9578860</v>
      </c>
      <c r="F344" s="28" t="s">
        <v>511</v>
      </c>
      <c r="G344" s="28" t="s">
        <v>4949</v>
      </c>
    </row>
    <row r="345" spans="1:8">
      <c r="A345" s="92" t="s">
        <v>4950</v>
      </c>
      <c r="B345" s="345">
        <v>1991</v>
      </c>
      <c r="C345" s="92" t="s">
        <v>4951</v>
      </c>
      <c r="D345" s="345">
        <v>1920629</v>
      </c>
      <c r="E345" s="278" t="str">
        <f t="shared" si="0"/>
        <v>https://pubmed.ncbi.nlm.nih.gov/?term=1920629</v>
      </c>
      <c r="F345" s="28" t="s">
        <v>511</v>
      </c>
      <c r="G345" s="28" t="s">
        <v>4909</v>
      </c>
    </row>
    <row r="346" spans="1:8">
      <c r="A346" s="92" t="s">
        <v>2091</v>
      </c>
      <c r="B346" s="345">
        <v>2000</v>
      </c>
      <c r="C346" s="92"/>
      <c r="D346" s="345">
        <v>10998316</v>
      </c>
      <c r="E346" s="278" t="str">
        <f t="shared" si="0"/>
        <v>https://pubmed.ncbi.nlm.nih.gov/?term=10998316</v>
      </c>
      <c r="H346" s="28" t="s">
        <v>511</v>
      </c>
    </row>
    <row r="347" spans="1:8">
      <c r="A347" s="92" t="s">
        <v>4952</v>
      </c>
      <c r="B347" s="345">
        <v>1991</v>
      </c>
      <c r="C347" s="92"/>
      <c r="D347" s="345">
        <v>2024229</v>
      </c>
      <c r="E347" s="278" t="str">
        <f t="shared" si="0"/>
        <v>https://pubmed.ncbi.nlm.nih.gov/?term=2024229</v>
      </c>
      <c r="F347" s="28" t="s">
        <v>511</v>
      </c>
      <c r="G347" s="28" t="s">
        <v>4592</v>
      </c>
    </row>
    <row r="348" spans="1:8">
      <c r="A348" s="92" t="s">
        <v>4953</v>
      </c>
      <c r="B348" s="345">
        <v>1994</v>
      </c>
      <c r="C348" s="92"/>
      <c r="D348" s="345">
        <v>7735940</v>
      </c>
      <c r="E348" s="278" t="str">
        <f t="shared" si="0"/>
        <v>https://pubmed.ncbi.nlm.nih.gov/?term=7735940</v>
      </c>
      <c r="F348" s="28" t="s">
        <v>511</v>
      </c>
      <c r="G348" s="28" t="s">
        <v>4909</v>
      </c>
    </row>
    <row r="349" spans="1:8">
      <c r="A349" s="92" t="s">
        <v>4954</v>
      </c>
      <c r="B349" s="345">
        <v>1996</v>
      </c>
      <c r="C349" s="92" t="s">
        <v>4955</v>
      </c>
      <c r="D349" s="345">
        <v>8627790</v>
      </c>
      <c r="E349" s="278" t="str">
        <f t="shared" si="0"/>
        <v>https://pubmed.ncbi.nlm.nih.gov/?term=8627790</v>
      </c>
      <c r="F349" s="28" t="s">
        <v>511</v>
      </c>
      <c r="G349" s="28" t="s">
        <v>4956</v>
      </c>
    </row>
    <row r="350" spans="1:8">
      <c r="A350" s="92" t="s">
        <v>4957</v>
      </c>
      <c r="B350" s="345">
        <v>1992</v>
      </c>
      <c r="C350" s="92"/>
      <c r="D350" s="345">
        <v>1626373</v>
      </c>
      <c r="E350" s="278" t="str">
        <f t="shared" si="0"/>
        <v>https://pubmed.ncbi.nlm.nih.gov/?term=1626373</v>
      </c>
      <c r="F350" s="28" t="s">
        <v>511</v>
      </c>
      <c r="G350" s="28" t="s">
        <v>4909</v>
      </c>
    </row>
    <row r="351" spans="1:8">
      <c r="A351" s="92" t="s">
        <v>4958</v>
      </c>
      <c r="B351" s="345">
        <v>1999</v>
      </c>
      <c r="C351" s="92"/>
      <c r="D351" s="345">
        <v>9988188</v>
      </c>
      <c r="E351" s="278" t="str">
        <f t="shared" si="0"/>
        <v>https://pubmed.ncbi.nlm.nih.gov/?term=9988188</v>
      </c>
      <c r="F351" s="28" t="s">
        <v>511</v>
      </c>
      <c r="G351" s="28" t="s">
        <v>4909</v>
      </c>
    </row>
    <row r="352" spans="1:8">
      <c r="A352" s="92" t="s">
        <v>4959</v>
      </c>
      <c r="B352" s="345">
        <v>1991</v>
      </c>
      <c r="C352" s="92"/>
      <c r="D352" s="345">
        <v>1859054</v>
      </c>
      <c r="E352" s="278" t="str">
        <f t="shared" si="0"/>
        <v>https://pubmed.ncbi.nlm.nih.gov/?term=1859054</v>
      </c>
      <c r="F352" s="28" t="s">
        <v>511</v>
      </c>
      <c r="G352" s="28" t="s">
        <v>4656</v>
      </c>
    </row>
    <row r="353" spans="1:8">
      <c r="A353" s="92" t="s">
        <v>4960</v>
      </c>
      <c r="B353" s="345">
        <v>1993</v>
      </c>
      <c r="C353" s="92"/>
      <c r="D353" s="345">
        <v>8274243</v>
      </c>
      <c r="E353" s="278" t="str">
        <f t="shared" si="0"/>
        <v>https://pubmed.ncbi.nlm.nih.gov/?term=8274243</v>
      </c>
      <c r="F353" s="28" t="s">
        <v>511</v>
      </c>
      <c r="G353" s="28" t="s">
        <v>4592</v>
      </c>
    </row>
    <row r="354" spans="1:8">
      <c r="A354" s="92" t="s">
        <v>4961</v>
      </c>
      <c r="B354" s="345">
        <v>1998</v>
      </c>
      <c r="C354" s="92"/>
      <c r="D354" s="345">
        <v>9846250</v>
      </c>
      <c r="E354" s="278" t="str">
        <f t="shared" si="0"/>
        <v>https://pubmed.ncbi.nlm.nih.gov/?term=9846250</v>
      </c>
      <c r="F354" s="28" t="s">
        <v>511</v>
      </c>
      <c r="G354" s="28" t="s">
        <v>4962</v>
      </c>
    </row>
    <row r="355" spans="1:8">
      <c r="A355" s="92" t="s">
        <v>4963</v>
      </c>
      <c r="B355" s="345">
        <v>1990</v>
      </c>
      <c r="C355" s="92"/>
      <c r="D355" s="345">
        <v>2093613</v>
      </c>
      <c r="E355" s="278" t="str">
        <f t="shared" si="0"/>
        <v>https://pubmed.ncbi.nlm.nih.gov/?term=2093613</v>
      </c>
      <c r="F355" s="28" t="s">
        <v>511</v>
      </c>
      <c r="G355" s="28" t="s">
        <v>4909</v>
      </c>
    </row>
    <row r="356" spans="1:8">
      <c r="A356" s="92" t="s">
        <v>1733</v>
      </c>
      <c r="B356" s="345">
        <v>1999</v>
      </c>
      <c r="C356" s="92"/>
      <c r="D356" s="345">
        <v>10474212</v>
      </c>
      <c r="E356" s="278" t="str">
        <f t="shared" si="0"/>
        <v>https://pubmed.ncbi.nlm.nih.gov/?term=10474212</v>
      </c>
      <c r="H356" s="28" t="s">
        <v>511</v>
      </c>
    </row>
    <row r="357" spans="1:8">
      <c r="A357" s="92" t="s">
        <v>4964</v>
      </c>
      <c r="B357" s="345">
        <v>1991</v>
      </c>
      <c r="C357" s="92"/>
      <c r="D357" s="345">
        <v>1660638</v>
      </c>
      <c r="E357" s="278" t="str">
        <f t="shared" si="0"/>
        <v>https://pubmed.ncbi.nlm.nih.gov/?term=1660638</v>
      </c>
      <c r="F357" s="28" t="s">
        <v>511</v>
      </c>
      <c r="G357" s="28" t="s">
        <v>4346</v>
      </c>
    </row>
    <row r="358" spans="1:8">
      <c r="A358" s="92" t="s">
        <v>4965</v>
      </c>
      <c r="B358" s="345">
        <v>2000</v>
      </c>
      <c r="C358" s="92"/>
      <c r="D358" s="345">
        <v>11073159</v>
      </c>
      <c r="E358" s="278" t="str">
        <f t="shared" si="0"/>
        <v>https://pubmed.ncbi.nlm.nih.gov/?term=11073159</v>
      </c>
      <c r="F358" s="28" t="s">
        <v>511</v>
      </c>
      <c r="G358" s="28" t="s">
        <v>4966</v>
      </c>
    </row>
    <row r="359" spans="1:8">
      <c r="A359" s="92" t="s">
        <v>4967</v>
      </c>
      <c r="B359" s="345">
        <v>1992</v>
      </c>
      <c r="C359" s="92"/>
      <c r="D359" s="345">
        <v>1478536</v>
      </c>
      <c r="E359" s="278" t="str">
        <f t="shared" si="0"/>
        <v>https://pubmed.ncbi.nlm.nih.gov/?term=1478536</v>
      </c>
      <c r="F359" s="28" t="s">
        <v>511</v>
      </c>
      <c r="G359" s="28" t="s">
        <v>8381</v>
      </c>
    </row>
    <row r="360" spans="1:8">
      <c r="A360" s="92" t="s">
        <v>4969</v>
      </c>
      <c r="B360" s="345">
        <v>1992</v>
      </c>
      <c r="C360" s="92" t="s">
        <v>4970</v>
      </c>
      <c r="D360" s="345">
        <v>17424062</v>
      </c>
      <c r="E360" s="278" t="str">
        <f t="shared" si="0"/>
        <v>https://pubmed.ncbi.nlm.nih.gov/?term=17424062</v>
      </c>
      <c r="F360" s="28" t="s">
        <v>511</v>
      </c>
      <c r="G360" s="28" t="s">
        <v>4346</v>
      </c>
    </row>
    <row r="361" spans="1:8">
      <c r="A361" s="92" t="s">
        <v>2371</v>
      </c>
      <c r="B361" s="345">
        <v>1993</v>
      </c>
      <c r="C361" s="92" t="s">
        <v>4971</v>
      </c>
      <c r="D361" s="345">
        <v>8383943</v>
      </c>
      <c r="E361" s="278" t="str">
        <f t="shared" si="0"/>
        <v>https://pubmed.ncbi.nlm.nih.gov/?term=8383943</v>
      </c>
      <c r="H361" s="28" t="s">
        <v>511</v>
      </c>
    </row>
    <row r="362" spans="1:8">
      <c r="A362" s="92" t="s">
        <v>4972</v>
      </c>
      <c r="B362" s="345">
        <v>1992</v>
      </c>
      <c r="C362" s="92"/>
      <c r="D362" s="345">
        <v>1332264</v>
      </c>
      <c r="E362" s="278" t="str">
        <f t="shared" si="0"/>
        <v>https://pubmed.ncbi.nlm.nih.gov/?term=1332264</v>
      </c>
      <c r="F362" s="28" t="s">
        <v>511</v>
      </c>
      <c r="G362" s="28" t="s">
        <v>4587</v>
      </c>
    </row>
    <row r="363" spans="1:8">
      <c r="A363" s="92" t="s">
        <v>4973</v>
      </c>
      <c r="B363" s="345">
        <v>1993</v>
      </c>
      <c r="C363" s="92"/>
      <c r="D363" s="345">
        <v>8391229</v>
      </c>
      <c r="E363" s="278" t="str">
        <f t="shared" si="0"/>
        <v>https://pubmed.ncbi.nlm.nih.gov/?term=8391229</v>
      </c>
      <c r="F363" s="28" t="s">
        <v>511</v>
      </c>
      <c r="G363" s="28" t="s">
        <v>4346</v>
      </c>
    </row>
    <row r="364" spans="1:8">
      <c r="A364" s="92" t="s">
        <v>4974</v>
      </c>
      <c r="B364" s="345">
        <v>1994</v>
      </c>
      <c r="C364" s="92" t="s">
        <v>4975</v>
      </c>
      <c r="D364" s="345">
        <v>8200998</v>
      </c>
      <c r="E364" s="278" t="str">
        <f t="shared" si="0"/>
        <v>https://pubmed.ncbi.nlm.nih.gov/?term=8200998</v>
      </c>
      <c r="F364" s="28" t="s">
        <v>511</v>
      </c>
      <c r="G364" s="28" t="s">
        <v>4976</v>
      </c>
    </row>
    <row r="365" spans="1:8">
      <c r="A365" s="92" t="s">
        <v>4977</v>
      </c>
      <c r="B365" s="345">
        <v>1993</v>
      </c>
      <c r="C365" s="92"/>
      <c r="D365" s="345">
        <v>7777323</v>
      </c>
      <c r="E365" s="278" t="str">
        <f t="shared" si="0"/>
        <v>https://pubmed.ncbi.nlm.nih.gov/?term=7777323</v>
      </c>
      <c r="F365" s="28" t="s">
        <v>511</v>
      </c>
      <c r="G365" s="28" t="s">
        <v>8382</v>
      </c>
    </row>
    <row r="366" spans="1:8">
      <c r="A366" s="92" t="s">
        <v>4979</v>
      </c>
      <c r="B366" s="345">
        <v>1995</v>
      </c>
      <c r="C366" s="92"/>
      <c r="D366" s="345">
        <v>7502876</v>
      </c>
      <c r="E366" s="278" t="str">
        <f t="shared" si="0"/>
        <v>https://pubmed.ncbi.nlm.nih.gov/?term=7502876</v>
      </c>
      <c r="F366" s="28" t="s">
        <v>511</v>
      </c>
      <c r="G366" s="28" t="s">
        <v>4346</v>
      </c>
    </row>
    <row r="367" spans="1:8">
      <c r="A367" s="92" t="s">
        <v>4980</v>
      </c>
      <c r="B367" s="345">
        <v>2000</v>
      </c>
      <c r="C367" s="92"/>
      <c r="D367" s="345">
        <v>10817634</v>
      </c>
      <c r="E367" s="278" t="str">
        <f t="shared" si="0"/>
        <v>https://pubmed.ncbi.nlm.nih.gov/?term=10817634</v>
      </c>
      <c r="F367" s="28" t="s">
        <v>511</v>
      </c>
      <c r="G367" s="28" t="s">
        <v>8383</v>
      </c>
    </row>
    <row r="368" spans="1:8">
      <c r="A368" s="92" t="s">
        <v>4982</v>
      </c>
      <c r="B368" s="345">
        <v>1997</v>
      </c>
      <c r="C368" s="92"/>
      <c r="D368" s="345">
        <v>9151474</v>
      </c>
      <c r="E368" s="278" t="str">
        <f t="shared" si="0"/>
        <v>https://pubmed.ncbi.nlm.nih.gov/?term=9151474</v>
      </c>
      <c r="F368" s="28" t="s">
        <v>511</v>
      </c>
      <c r="G368" s="28" t="s">
        <v>4346</v>
      </c>
    </row>
    <row r="369" spans="1:8">
      <c r="A369" s="92" t="s">
        <v>2289</v>
      </c>
      <c r="B369" s="345">
        <v>1992</v>
      </c>
      <c r="C369" s="92"/>
      <c r="D369" s="345">
        <v>1323974</v>
      </c>
      <c r="E369" s="278" t="str">
        <f t="shared" si="0"/>
        <v>https://pubmed.ncbi.nlm.nih.gov/?term=1323974</v>
      </c>
      <c r="H369" s="28" t="s">
        <v>511</v>
      </c>
    </row>
    <row r="370" spans="1:8">
      <c r="A370" s="92" t="s">
        <v>2021</v>
      </c>
      <c r="B370" s="345">
        <v>1994</v>
      </c>
      <c r="C370" s="92"/>
      <c r="D370" s="345">
        <v>7893886</v>
      </c>
      <c r="E370" s="278" t="str">
        <f t="shared" si="0"/>
        <v>https://pubmed.ncbi.nlm.nih.gov/?term=7893886</v>
      </c>
      <c r="H370" s="28" t="s">
        <v>511</v>
      </c>
    </row>
    <row r="371" spans="1:8">
      <c r="A371" s="92" t="s">
        <v>4983</v>
      </c>
      <c r="B371" s="345">
        <v>1993</v>
      </c>
      <c r="C371" s="92"/>
      <c r="D371" s="345">
        <v>8266017</v>
      </c>
      <c r="E371" s="278" t="str">
        <f t="shared" si="0"/>
        <v>https://pubmed.ncbi.nlm.nih.gov/?term=8266017</v>
      </c>
      <c r="F371" s="28" t="s">
        <v>511</v>
      </c>
      <c r="G371" s="28" t="s">
        <v>4346</v>
      </c>
    </row>
    <row r="372" spans="1:8">
      <c r="A372" s="92" t="s">
        <v>4984</v>
      </c>
      <c r="B372" s="345">
        <v>1990</v>
      </c>
      <c r="C372" s="92" t="s">
        <v>4985</v>
      </c>
      <c r="D372" s="345">
        <v>2165848</v>
      </c>
      <c r="E372" s="278" t="str">
        <f t="shared" si="0"/>
        <v>https://pubmed.ncbi.nlm.nih.gov/?term=2165848</v>
      </c>
      <c r="F372" s="28" t="s">
        <v>511</v>
      </c>
      <c r="G372" s="28" t="s">
        <v>4346</v>
      </c>
    </row>
    <row r="373" spans="1:8">
      <c r="A373" s="92" t="s">
        <v>4986</v>
      </c>
      <c r="B373" s="345">
        <v>1990</v>
      </c>
      <c r="C373" s="92"/>
      <c r="D373" s="345">
        <v>2176532</v>
      </c>
      <c r="E373" s="278" t="str">
        <f t="shared" si="0"/>
        <v>https://pubmed.ncbi.nlm.nih.gov/?term=2176532</v>
      </c>
      <c r="F373" s="28" t="s">
        <v>511</v>
      </c>
      <c r="G373" s="28" t="s">
        <v>4587</v>
      </c>
    </row>
    <row r="374" spans="1:8">
      <c r="A374" s="92" t="s">
        <v>4987</v>
      </c>
      <c r="B374" s="345">
        <v>1993</v>
      </c>
      <c r="C374" s="92"/>
      <c r="D374" s="345">
        <v>8237198</v>
      </c>
      <c r="E374" s="278" t="str">
        <f t="shared" si="0"/>
        <v>https://pubmed.ncbi.nlm.nih.gov/?term=8237198</v>
      </c>
      <c r="F374" s="28" t="s">
        <v>511</v>
      </c>
      <c r="G374" s="28" t="s">
        <v>4346</v>
      </c>
    </row>
    <row r="375" spans="1:8">
      <c r="A375" s="92" t="s">
        <v>4988</v>
      </c>
      <c r="B375" s="345">
        <v>1993</v>
      </c>
      <c r="C375" s="92"/>
      <c r="D375" s="345">
        <v>8274235</v>
      </c>
      <c r="E375" s="278" t="str">
        <f t="shared" si="0"/>
        <v>https://pubmed.ncbi.nlm.nih.gov/?term=8274235</v>
      </c>
      <c r="F375" s="28" t="s">
        <v>511</v>
      </c>
      <c r="G375" s="28" t="s">
        <v>4587</v>
      </c>
    </row>
    <row r="376" spans="1:8">
      <c r="A376" s="92" t="s">
        <v>4989</v>
      </c>
      <c r="B376" s="345">
        <v>1993</v>
      </c>
      <c r="C376" s="92"/>
      <c r="D376" s="345">
        <v>8479350</v>
      </c>
      <c r="E376" s="278" t="str">
        <f t="shared" si="0"/>
        <v>https://pubmed.ncbi.nlm.nih.gov/?term=8479350</v>
      </c>
      <c r="F376" s="28" t="s">
        <v>511</v>
      </c>
      <c r="G376" s="28" t="s">
        <v>8384</v>
      </c>
    </row>
    <row r="377" spans="1:8">
      <c r="A377" s="92" t="s">
        <v>4991</v>
      </c>
      <c r="B377" s="345">
        <v>1995</v>
      </c>
      <c r="C377" s="92"/>
      <c r="D377" s="345">
        <v>7601702</v>
      </c>
      <c r="E377" s="278" t="str">
        <f t="shared" si="0"/>
        <v>https://pubmed.ncbi.nlm.nih.gov/?term=7601702</v>
      </c>
      <c r="F377" s="28" t="s">
        <v>511</v>
      </c>
      <c r="G377" s="28" t="s">
        <v>4536</v>
      </c>
    </row>
    <row r="378" spans="1:8">
      <c r="A378" s="92" t="s">
        <v>4992</v>
      </c>
      <c r="B378" s="345">
        <v>1990</v>
      </c>
      <c r="C378" s="92" t="s">
        <v>4993</v>
      </c>
      <c r="D378" s="345">
        <v>2107204</v>
      </c>
      <c r="E378" s="278" t="str">
        <f t="shared" si="0"/>
        <v>https://pubmed.ncbi.nlm.nih.gov/?term=2107204</v>
      </c>
      <c r="F378" s="28" t="s">
        <v>511</v>
      </c>
      <c r="G378" s="28" t="s">
        <v>4346</v>
      </c>
    </row>
    <row r="379" spans="1:8">
      <c r="A379" s="92" t="s">
        <v>4994</v>
      </c>
      <c r="B379" s="345">
        <v>1990</v>
      </c>
      <c r="C379" s="92"/>
      <c r="D379" s="345">
        <v>2227400</v>
      </c>
      <c r="E379" s="278" t="str">
        <f t="shared" si="0"/>
        <v>https://pubmed.ncbi.nlm.nih.gov/?term=2227400</v>
      </c>
      <c r="F379" s="28" t="s">
        <v>511</v>
      </c>
      <c r="G379" s="28" t="s">
        <v>4587</v>
      </c>
    </row>
    <row r="380" spans="1:8">
      <c r="A380" s="92" t="s">
        <v>4995</v>
      </c>
      <c r="B380" s="345">
        <v>1990</v>
      </c>
      <c r="C380" s="92"/>
      <c r="D380" s="345">
        <v>2175064</v>
      </c>
      <c r="E380" s="278" t="str">
        <f t="shared" si="0"/>
        <v>https://pubmed.ncbi.nlm.nih.gov/?term=2175064</v>
      </c>
      <c r="F380" s="28" t="s">
        <v>511</v>
      </c>
      <c r="G380" s="28" t="s">
        <v>4587</v>
      </c>
    </row>
    <row r="381" spans="1:8">
      <c r="A381" s="92" t="s">
        <v>4996</v>
      </c>
      <c r="B381" s="345">
        <v>1999</v>
      </c>
      <c r="C381" s="92"/>
      <c r="D381" s="345">
        <v>11798711</v>
      </c>
      <c r="E381" s="278" t="str">
        <f t="shared" si="0"/>
        <v>https://pubmed.ncbi.nlm.nih.gov/?term=11798711</v>
      </c>
      <c r="F381" s="28" t="s">
        <v>511</v>
      </c>
      <c r="G381" s="28" t="s">
        <v>4587</v>
      </c>
    </row>
    <row r="382" spans="1:8">
      <c r="A382" s="92" t="s">
        <v>4997</v>
      </c>
      <c r="B382" s="345">
        <v>1999</v>
      </c>
      <c r="C382" s="92"/>
      <c r="D382" s="345">
        <v>10632989</v>
      </c>
      <c r="E382" s="278" t="str">
        <f t="shared" si="0"/>
        <v>https://pubmed.ncbi.nlm.nih.gov/?term=10632989</v>
      </c>
      <c r="F382" s="28" t="s">
        <v>511</v>
      </c>
      <c r="G382" s="28" t="s">
        <v>4998</v>
      </c>
    </row>
    <row r="383" spans="1:8">
      <c r="A383" s="92" t="s">
        <v>4999</v>
      </c>
      <c r="B383" s="345">
        <v>1994</v>
      </c>
      <c r="C383" s="92"/>
      <c r="D383" s="345">
        <v>8072763</v>
      </c>
      <c r="E383" s="278" t="str">
        <f t="shared" si="0"/>
        <v>https://pubmed.ncbi.nlm.nih.gov/?term=8072763</v>
      </c>
      <c r="F383" s="28" t="s">
        <v>511</v>
      </c>
      <c r="G383" s="28" t="s">
        <v>4587</v>
      </c>
    </row>
    <row r="384" spans="1:8">
      <c r="A384" s="92" t="s">
        <v>5000</v>
      </c>
      <c r="B384" s="345">
        <v>2000</v>
      </c>
      <c r="C384" s="92"/>
      <c r="D384" s="345">
        <v>10864514</v>
      </c>
      <c r="E384" s="278" t="str">
        <f t="shared" si="0"/>
        <v>https://pubmed.ncbi.nlm.nih.gov/?term=10864514</v>
      </c>
      <c r="F384" s="28" t="s">
        <v>511</v>
      </c>
      <c r="G384" s="28" t="s">
        <v>4346</v>
      </c>
    </row>
    <row r="385" spans="1:8">
      <c r="A385" s="92" t="s">
        <v>4790</v>
      </c>
      <c r="B385" s="345">
        <v>1999</v>
      </c>
      <c r="C385" s="92"/>
      <c r="D385" s="345">
        <v>10475720</v>
      </c>
      <c r="E385" s="278" t="str">
        <f t="shared" si="0"/>
        <v>https://pubmed.ncbi.nlm.nih.gov/?term=10475720</v>
      </c>
      <c r="F385" s="28" t="s">
        <v>511</v>
      </c>
      <c r="G385" s="28" t="s">
        <v>4867</v>
      </c>
    </row>
    <row r="386" spans="1:8">
      <c r="A386" s="92" t="s">
        <v>5001</v>
      </c>
      <c r="B386" s="345">
        <v>1999</v>
      </c>
      <c r="C386" s="92"/>
      <c r="D386" s="345">
        <v>10331961</v>
      </c>
      <c r="E386" s="278" t="str">
        <f t="shared" si="0"/>
        <v>https://pubmed.ncbi.nlm.nih.gov/?term=10331961</v>
      </c>
      <c r="F386" s="28" t="s">
        <v>511</v>
      </c>
      <c r="G386" s="28" t="s">
        <v>4536</v>
      </c>
    </row>
    <row r="387" spans="1:8">
      <c r="A387" s="92" t="s">
        <v>5002</v>
      </c>
      <c r="B387" s="345">
        <v>1993</v>
      </c>
      <c r="C387" s="92"/>
      <c r="D387" s="345">
        <v>8212568</v>
      </c>
      <c r="E387" s="278" t="str">
        <f t="shared" si="0"/>
        <v>https://pubmed.ncbi.nlm.nih.gov/?term=8212568</v>
      </c>
      <c r="F387" s="28" t="s">
        <v>511</v>
      </c>
      <c r="G387" s="28" t="s">
        <v>4346</v>
      </c>
    </row>
    <row r="388" spans="1:8">
      <c r="A388" s="92" t="s">
        <v>5003</v>
      </c>
      <c r="B388" s="345">
        <v>1999</v>
      </c>
      <c r="C388" s="92"/>
      <c r="D388" s="345">
        <v>10603669</v>
      </c>
      <c r="E388" s="278" t="str">
        <f t="shared" si="0"/>
        <v>https://pubmed.ncbi.nlm.nih.gov/?term=10603669</v>
      </c>
      <c r="F388" s="28" t="s">
        <v>511</v>
      </c>
      <c r="G388" s="28" t="s">
        <v>4587</v>
      </c>
    </row>
    <row r="389" spans="1:8">
      <c r="A389" s="92" t="s">
        <v>5004</v>
      </c>
      <c r="B389" s="345">
        <v>1998</v>
      </c>
      <c r="C389" s="92"/>
      <c r="D389" s="345">
        <v>9674494</v>
      </c>
      <c r="E389" s="278" t="str">
        <f t="shared" si="0"/>
        <v>https://pubmed.ncbi.nlm.nih.gov/?term=9674494</v>
      </c>
      <c r="F389" s="28" t="s">
        <v>511</v>
      </c>
      <c r="G389" s="28" t="s">
        <v>4536</v>
      </c>
    </row>
    <row r="390" spans="1:8">
      <c r="A390" s="92" t="s">
        <v>5005</v>
      </c>
      <c r="B390" s="345">
        <v>1994</v>
      </c>
      <c r="C390" s="92" t="s">
        <v>5006</v>
      </c>
      <c r="D390" s="345">
        <v>7916462</v>
      </c>
      <c r="E390" s="278" t="str">
        <f t="shared" si="0"/>
        <v>https://pubmed.ncbi.nlm.nih.gov/?term=7916462</v>
      </c>
      <c r="F390" s="28" t="s">
        <v>511</v>
      </c>
      <c r="G390" s="28" t="s">
        <v>5007</v>
      </c>
    </row>
    <row r="391" spans="1:8">
      <c r="A391" s="92" t="s">
        <v>5008</v>
      </c>
      <c r="B391" s="345">
        <v>1994</v>
      </c>
      <c r="C391" s="92"/>
      <c r="D391" s="345">
        <v>8012763</v>
      </c>
      <c r="E391" s="278" t="str">
        <f t="shared" si="0"/>
        <v>https://pubmed.ncbi.nlm.nih.gov/?term=8012763</v>
      </c>
      <c r="F391" s="28" t="s">
        <v>511</v>
      </c>
      <c r="G391" s="28" t="s">
        <v>5009</v>
      </c>
    </row>
    <row r="392" spans="1:8">
      <c r="A392" s="92" t="s">
        <v>5010</v>
      </c>
      <c r="B392" s="345">
        <v>1993</v>
      </c>
      <c r="C392" s="92"/>
      <c r="D392" s="345">
        <v>8141855</v>
      </c>
      <c r="E392" s="278" t="str">
        <f t="shared" si="0"/>
        <v>https://pubmed.ncbi.nlm.nih.gov/?term=8141855</v>
      </c>
      <c r="F392" s="28" t="s">
        <v>511</v>
      </c>
      <c r="G392" s="28" t="s">
        <v>4867</v>
      </c>
    </row>
    <row r="393" spans="1:8">
      <c r="A393" s="92" t="s">
        <v>5011</v>
      </c>
      <c r="B393" s="345">
        <v>1994</v>
      </c>
      <c r="C393" s="92"/>
      <c r="D393" s="345">
        <v>7866354</v>
      </c>
      <c r="E393" s="278" t="str">
        <f t="shared" si="0"/>
        <v>https://pubmed.ncbi.nlm.nih.gov/?term=7866354</v>
      </c>
      <c r="F393" s="28" t="s">
        <v>511</v>
      </c>
      <c r="G393" s="28" t="s">
        <v>4346</v>
      </c>
    </row>
    <row r="394" spans="1:8">
      <c r="A394" s="92" t="s">
        <v>5012</v>
      </c>
      <c r="B394" s="345">
        <v>1997</v>
      </c>
      <c r="C394" s="92"/>
      <c r="D394" s="345">
        <v>9363980</v>
      </c>
      <c r="E394" s="278" t="str">
        <f t="shared" si="0"/>
        <v>https://pubmed.ncbi.nlm.nih.gov/?term=9363980</v>
      </c>
      <c r="F394" s="28" t="s">
        <v>511</v>
      </c>
      <c r="G394" s="28" t="s">
        <v>5013</v>
      </c>
    </row>
    <row r="395" spans="1:8">
      <c r="A395" s="92" t="s">
        <v>5014</v>
      </c>
      <c r="B395" s="345">
        <v>1994</v>
      </c>
      <c r="C395" s="92" t="s">
        <v>5015</v>
      </c>
      <c r="D395" s="345">
        <v>8151773</v>
      </c>
      <c r="E395" s="278" t="str">
        <f t="shared" si="0"/>
        <v>https://pubmed.ncbi.nlm.nih.gov/?term=8151773</v>
      </c>
      <c r="F395" s="28" t="s">
        <v>511</v>
      </c>
      <c r="G395" s="28" t="s">
        <v>4346</v>
      </c>
    </row>
    <row r="396" spans="1:8">
      <c r="A396" s="92" t="s">
        <v>5016</v>
      </c>
      <c r="B396" s="345">
        <v>1997</v>
      </c>
      <c r="C396" s="92"/>
      <c r="D396" s="345">
        <v>9163727</v>
      </c>
      <c r="E396" s="278" t="str">
        <f t="shared" si="0"/>
        <v>https://pubmed.ncbi.nlm.nih.gov/?term=9163727</v>
      </c>
      <c r="F396" s="28" t="s">
        <v>511</v>
      </c>
      <c r="G396" s="28" t="s">
        <v>4346</v>
      </c>
    </row>
    <row r="397" spans="1:8">
      <c r="A397" s="92" t="s">
        <v>5017</v>
      </c>
      <c r="B397" s="345">
        <v>1992</v>
      </c>
      <c r="C397" s="92"/>
      <c r="D397" s="345">
        <v>1306885</v>
      </c>
      <c r="E397" s="278" t="str">
        <f t="shared" si="0"/>
        <v>https://pubmed.ncbi.nlm.nih.gov/?term=1306885</v>
      </c>
      <c r="F397" s="28" t="s">
        <v>511</v>
      </c>
      <c r="G397" s="28" t="s">
        <v>4592</v>
      </c>
    </row>
    <row r="398" spans="1:8">
      <c r="A398" s="92" t="s">
        <v>2100</v>
      </c>
      <c r="B398" s="345">
        <v>1990</v>
      </c>
      <c r="C398" s="92"/>
      <c r="D398" s="345">
        <v>2310304</v>
      </c>
      <c r="E398" s="278" t="str">
        <f t="shared" si="0"/>
        <v>https://pubmed.ncbi.nlm.nih.gov/?term=2310304</v>
      </c>
      <c r="H398" s="28" t="s">
        <v>308</v>
      </c>
    </row>
    <row r="399" spans="1:8">
      <c r="A399" s="92" t="s">
        <v>5018</v>
      </c>
      <c r="B399" s="345">
        <v>1990</v>
      </c>
      <c r="C399" s="92"/>
      <c r="D399" s="345">
        <v>2373880</v>
      </c>
      <c r="E399" s="278" t="str">
        <f t="shared" si="0"/>
        <v>https://pubmed.ncbi.nlm.nih.gov/?term=2373880</v>
      </c>
      <c r="F399" s="28" t="s">
        <v>511</v>
      </c>
      <c r="G399" s="28" t="s">
        <v>8385</v>
      </c>
    </row>
    <row r="400" spans="1:8">
      <c r="A400" s="92" t="s">
        <v>5020</v>
      </c>
      <c r="B400" s="345">
        <v>1999</v>
      </c>
      <c r="C400" s="92"/>
      <c r="D400" s="345">
        <v>10607243</v>
      </c>
      <c r="E400" s="278" t="str">
        <f t="shared" si="0"/>
        <v>https://pubmed.ncbi.nlm.nih.gov/?term=10607243</v>
      </c>
      <c r="F400" s="28" t="s">
        <v>511</v>
      </c>
      <c r="G400" s="28" t="s">
        <v>4346</v>
      </c>
    </row>
    <row r="401" spans="1:8">
      <c r="A401" s="92" t="s">
        <v>5021</v>
      </c>
      <c r="B401" s="345">
        <v>1993</v>
      </c>
      <c r="C401" s="92"/>
      <c r="D401" s="345">
        <v>8235089</v>
      </c>
      <c r="E401" s="278" t="str">
        <f t="shared" si="0"/>
        <v>https://pubmed.ncbi.nlm.nih.gov/?term=8235089</v>
      </c>
      <c r="F401" s="28" t="s">
        <v>511</v>
      </c>
      <c r="G401" s="28" t="s">
        <v>4346</v>
      </c>
    </row>
    <row r="402" spans="1:8">
      <c r="A402" s="92" t="s">
        <v>5022</v>
      </c>
      <c r="B402" s="345">
        <v>1992</v>
      </c>
      <c r="C402" s="92"/>
      <c r="D402" s="345">
        <v>1492524</v>
      </c>
      <c r="E402" s="278" t="str">
        <f t="shared" si="0"/>
        <v>https://pubmed.ncbi.nlm.nih.gov/?term=1492524</v>
      </c>
      <c r="F402" s="28" t="s">
        <v>511</v>
      </c>
      <c r="G402" s="28" t="s">
        <v>4346</v>
      </c>
    </row>
    <row r="403" spans="1:8">
      <c r="A403" s="92" t="s">
        <v>5023</v>
      </c>
      <c r="B403" s="345">
        <v>2000</v>
      </c>
      <c r="C403" s="92"/>
      <c r="D403" s="345">
        <v>11145025</v>
      </c>
      <c r="E403" s="278" t="str">
        <f t="shared" si="0"/>
        <v>https://pubmed.ncbi.nlm.nih.gov/?term=11145025</v>
      </c>
      <c r="F403" s="28" t="s">
        <v>511</v>
      </c>
      <c r="G403" s="28" t="s">
        <v>4346</v>
      </c>
    </row>
    <row r="404" spans="1:8">
      <c r="A404" s="92" t="s">
        <v>5024</v>
      </c>
      <c r="B404" s="345">
        <v>1997</v>
      </c>
      <c r="C404" s="92"/>
      <c r="D404" s="345">
        <v>9656381</v>
      </c>
      <c r="E404" s="278" t="str">
        <f t="shared" si="0"/>
        <v>https://pubmed.ncbi.nlm.nih.gov/?term=9656381</v>
      </c>
      <c r="F404" s="28" t="s">
        <v>511</v>
      </c>
      <c r="G404" s="28" t="s">
        <v>5025</v>
      </c>
    </row>
    <row r="405" spans="1:8">
      <c r="A405" s="92" t="s">
        <v>5026</v>
      </c>
      <c r="B405" s="345">
        <v>1996</v>
      </c>
      <c r="C405" s="92"/>
      <c r="D405" s="345">
        <v>9017888</v>
      </c>
      <c r="E405" s="278" t="str">
        <f t="shared" si="0"/>
        <v>https://pubmed.ncbi.nlm.nih.gov/?term=9017888</v>
      </c>
      <c r="F405" s="28" t="s">
        <v>511</v>
      </c>
      <c r="G405" s="28" t="s">
        <v>4346</v>
      </c>
    </row>
    <row r="406" spans="1:8">
      <c r="A406" s="92"/>
      <c r="B406" s="345">
        <v>1994</v>
      </c>
      <c r="C406" s="92"/>
      <c r="D406" s="345">
        <v>12287505</v>
      </c>
      <c r="E406" s="278" t="str">
        <f t="shared" si="0"/>
        <v>https://pubmed.ncbi.nlm.nih.gov/?term=12287505</v>
      </c>
      <c r="F406" s="28" t="s">
        <v>511</v>
      </c>
      <c r="G406" s="28" t="s">
        <v>5027</v>
      </c>
    </row>
    <row r="407" spans="1:8">
      <c r="A407" s="92" t="s">
        <v>5028</v>
      </c>
      <c r="B407" s="345">
        <v>2000</v>
      </c>
      <c r="C407" s="92"/>
      <c r="D407" s="345">
        <v>11964790</v>
      </c>
      <c r="E407" s="278" t="str">
        <f t="shared" si="0"/>
        <v>https://pubmed.ncbi.nlm.nih.gov/?term=11964790</v>
      </c>
      <c r="F407" s="28" t="s">
        <v>511</v>
      </c>
      <c r="G407" s="28" t="s">
        <v>4592</v>
      </c>
    </row>
    <row r="408" spans="1:8">
      <c r="A408" s="92" t="s">
        <v>5029</v>
      </c>
      <c r="B408" s="345">
        <v>1996</v>
      </c>
      <c r="C408" s="92"/>
      <c r="D408" s="345">
        <v>8627938</v>
      </c>
      <c r="E408" s="278" t="str">
        <f t="shared" si="0"/>
        <v>https://pubmed.ncbi.nlm.nih.gov/?term=8627938</v>
      </c>
      <c r="F408" s="28" t="s">
        <v>511</v>
      </c>
      <c r="G408" s="28" t="s">
        <v>4346</v>
      </c>
    </row>
    <row r="409" spans="1:8">
      <c r="A409" s="92" t="s">
        <v>5030</v>
      </c>
      <c r="B409" s="345">
        <v>1990</v>
      </c>
      <c r="C409" s="92"/>
      <c r="D409" s="345">
        <v>2219105</v>
      </c>
      <c r="E409" s="278" t="str">
        <f t="shared" si="0"/>
        <v>https://pubmed.ncbi.nlm.nih.gov/?term=2219105</v>
      </c>
      <c r="F409" s="28" t="s">
        <v>511</v>
      </c>
      <c r="G409" s="28" t="s">
        <v>8386</v>
      </c>
    </row>
    <row r="410" spans="1:8">
      <c r="A410" s="92" t="s">
        <v>5031</v>
      </c>
      <c r="B410" s="345">
        <v>1998</v>
      </c>
      <c r="C410" s="92"/>
      <c r="D410" s="345">
        <v>9795803</v>
      </c>
      <c r="E410" s="278" t="str">
        <f t="shared" si="0"/>
        <v>https://pubmed.ncbi.nlm.nih.gov/?term=9795803</v>
      </c>
      <c r="F410" s="28" t="s">
        <v>511</v>
      </c>
      <c r="G410" s="28" t="s">
        <v>5032</v>
      </c>
    </row>
    <row r="411" spans="1:8">
      <c r="A411" s="92" t="s">
        <v>5033</v>
      </c>
      <c r="B411" s="345">
        <v>1994</v>
      </c>
      <c r="C411" s="92"/>
      <c r="D411" s="345">
        <v>8189410</v>
      </c>
      <c r="E411" s="278" t="str">
        <f t="shared" si="0"/>
        <v>https://pubmed.ncbi.nlm.nih.gov/?term=8189410</v>
      </c>
      <c r="F411" s="28" t="s">
        <v>511</v>
      </c>
      <c r="G411" s="28" t="s">
        <v>5034</v>
      </c>
    </row>
    <row r="412" spans="1:8">
      <c r="A412" s="92" t="s">
        <v>5035</v>
      </c>
      <c r="B412" s="345">
        <v>1994</v>
      </c>
      <c r="C412" s="92"/>
      <c r="D412" s="345">
        <v>8205400</v>
      </c>
      <c r="E412" s="278" t="str">
        <f t="shared" si="0"/>
        <v>https://pubmed.ncbi.nlm.nih.gov/?term=8205400</v>
      </c>
      <c r="F412" s="28" t="s">
        <v>511</v>
      </c>
      <c r="G412" s="28" t="s">
        <v>4346</v>
      </c>
    </row>
    <row r="413" spans="1:8">
      <c r="A413" s="92" t="s">
        <v>4594</v>
      </c>
      <c r="B413" s="345">
        <v>1997</v>
      </c>
      <c r="C413" s="92"/>
      <c r="D413" s="345">
        <v>9346184</v>
      </c>
      <c r="E413" s="278" t="str">
        <f t="shared" si="0"/>
        <v>https://pubmed.ncbi.nlm.nih.gov/?term=9346184</v>
      </c>
      <c r="F413" s="28" t="s">
        <v>511</v>
      </c>
      <c r="G413" s="28" t="s">
        <v>4536</v>
      </c>
    </row>
    <row r="414" spans="1:8">
      <c r="A414" s="92" t="s">
        <v>4415</v>
      </c>
      <c r="B414" s="345">
        <v>1990</v>
      </c>
      <c r="C414" s="92" t="s">
        <v>4684</v>
      </c>
      <c r="D414" s="345">
        <v>1692813</v>
      </c>
      <c r="E414" s="278" t="str">
        <f t="shared" si="0"/>
        <v>https://pubmed.ncbi.nlm.nih.gov/?term=1692813</v>
      </c>
      <c r="H414" s="28" t="s">
        <v>511</v>
      </c>
    </row>
    <row r="415" spans="1:8">
      <c r="A415" s="92" t="s">
        <v>5036</v>
      </c>
      <c r="B415" s="345">
        <v>1992</v>
      </c>
      <c r="C415" s="92"/>
      <c r="D415" s="345">
        <v>1364023</v>
      </c>
      <c r="E415" s="278" t="str">
        <f t="shared" si="0"/>
        <v>https://pubmed.ncbi.nlm.nih.gov/?term=1364023</v>
      </c>
      <c r="F415" s="28" t="s">
        <v>511</v>
      </c>
      <c r="G415" s="28" t="s">
        <v>4346</v>
      </c>
    </row>
    <row r="416" spans="1:8">
      <c r="A416" s="92" t="s">
        <v>5037</v>
      </c>
      <c r="B416" s="345">
        <v>1991</v>
      </c>
      <c r="C416" s="92"/>
      <c r="D416" s="345">
        <v>1858356</v>
      </c>
      <c r="E416" s="278" t="str">
        <f t="shared" si="0"/>
        <v>https://pubmed.ncbi.nlm.nih.gov/?term=1858356</v>
      </c>
      <c r="F416" s="28" t="s">
        <v>511</v>
      </c>
      <c r="G416" s="28" t="s">
        <v>4587</v>
      </c>
    </row>
    <row r="417" spans="1:8">
      <c r="A417" s="92" t="s">
        <v>5038</v>
      </c>
      <c r="B417" s="345">
        <v>1990</v>
      </c>
      <c r="C417" s="92"/>
      <c r="D417" s="345">
        <v>2227533</v>
      </c>
      <c r="E417" s="278" t="str">
        <f t="shared" si="0"/>
        <v>https://pubmed.ncbi.nlm.nih.gov/?term=2227533</v>
      </c>
      <c r="F417" s="28" t="s">
        <v>511</v>
      </c>
      <c r="G417" s="28" t="s">
        <v>4587</v>
      </c>
    </row>
    <row r="418" spans="1:8">
      <c r="A418" s="347" t="s">
        <v>5039</v>
      </c>
      <c r="B418" s="92">
        <v>1995</v>
      </c>
      <c r="C418" s="92"/>
      <c r="D418" s="92">
        <v>7676671</v>
      </c>
      <c r="E418" s="278" t="str">
        <f t="shared" si="0"/>
        <v>https://pubmed.ncbi.nlm.nih.gov/?term=7676671</v>
      </c>
      <c r="F418" s="28" t="s">
        <v>511</v>
      </c>
      <c r="G418" s="28" t="s">
        <v>4587</v>
      </c>
    </row>
    <row r="419" spans="1:8">
      <c r="A419" s="92" t="s">
        <v>5040</v>
      </c>
      <c r="B419" s="345">
        <v>2009</v>
      </c>
      <c r="C419" s="92"/>
      <c r="D419" s="345">
        <v>19095497</v>
      </c>
      <c r="E419" s="278" t="str">
        <f t="shared" si="0"/>
        <v>https://pubmed.ncbi.nlm.nih.gov/?term=19095497</v>
      </c>
      <c r="F419" s="28" t="s">
        <v>511</v>
      </c>
      <c r="G419" s="28" t="s">
        <v>4867</v>
      </c>
    </row>
    <row r="420" spans="1:8">
      <c r="A420" s="92" t="s">
        <v>5041</v>
      </c>
      <c r="B420" s="345">
        <v>2009</v>
      </c>
      <c r="C420" s="92"/>
      <c r="D420" s="345">
        <v>19880020</v>
      </c>
      <c r="E420" s="278" t="str">
        <f t="shared" si="0"/>
        <v>https://pubmed.ncbi.nlm.nih.gov/?term=19880020</v>
      </c>
      <c r="F420" s="28" t="s">
        <v>511</v>
      </c>
      <c r="G420" s="28" t="s">
        <v>4592</v>
      </c>
    </row>
    <row r="421" spans="1:8">
      <c r="A421" s="92" t="s">
        <v>5042</v>
      </c>
      <c r="B421" s="345">
        <v>2008</v>
      </c>
      <c r="C421" s="92"/>
      <c r="D421" s="345">
        <v>18503626</v>
      </c>
      <c r="E421" s="278" t="str">
        <f t="shared" si="0"/>
        <v>https://pubmed.ncbi.nlm.nih.gov/?term=18503626</v>
      </c>
      <c r="F421" s="28" t="s">
        <v>511</v>
      </c>
      <c r="G421" s="28" t="s">
        <v>5043</v>
      </c>
    </row>
    <row r="422" spans="1:8">
      <c r="A422" s="92" t="s">
        <v>5044</v>
      </c>
      <c r="B422" s="345">
        <v>2009</v>
      </c>
      <c r="C422" s="92"/>
      <c r="D422" s="345">
        <v>19441868</v>
      </c>
      <c r="E422" s="278" t="str">
        <f t="shared" si="0"/>
        <v>https://pubmed.ncbi.nlm.nih.gov/?term=19441868</v>
      </c>
      <c r="F422" s="28" t="s">
        <v>511</v>
      </c>
      <c r="G422" s="28" t="s">
        <v>4592</v>
      </c>
    </row>
    <row r="423" spans="1:8">
      <c r="A423" s="92" t="s">
        <v>5045</v>
      </c>
      <c r="B423" s="345">
        <v>2009</v>
      </c>
      <c r="C423" s="92"/>
      <c r="D423" s="345">
        <v>19278981</v>
      </c>
      <c r="E423" s="278" t="str">
        <f t="shared" si="0"/>
        <v>https://pubmed.ncbi.nlm.nih.gov/?term=19278981</v>
      </c>
      <c r="F423" s="28" t="s">
        <v>511</v>
      </c>
      <c r="G423" s="28" t="s">
        <v>4592</v>
      </c>
    </row>
    <row r="424" spans="1:8">
      <c r="A424" s="92" t="s">
        <v>5046</v>
      </c>
      <c r="B424" s="345">
        <v>2004</v>
      </c>
      <c r="C424" s="92"/>
      <c r="D424" s="345">
        <v>16088455</v>
      </c>
      <c r="E424" s="278" t="str">
        <f t="shared" si="0"/>
        <v>https://pubmed.ncbi.nlm.nih.gov/?term=16088455</v>
      </c>
      <c r="F424" s="28" t="s">
        <v>511</v>
      </c>
      <c r="G424" s="28" t="s">
        <v>4592</v>
      </c>
    </row>
    <row r="425" spans="1:8">
      <c r="A425" s="92" t="s">
        <v>2371</v>
      </c>
      <c r="B425" s="345">
        <v>2005</v>
      </c>
      <c r="C425" s="92"/>
      <c r="D425" s="345">
        <v>16049208</v>
      </c>
      <c r="E425" s="278" t="str">
        <f t="shared" si="0"/>
        <v>https://pubmed.ncbi.nlm.nih.gov/?term=16049208</v>
      </c>
      <c r="H425" s="28" t="s">
        <v>511</v>
      </c>
    </row>
    <row r="426" spans="1:8">
      <c r="A426" s="92" t="s">
        <v>5047</v>
      </c>
      <c r="B426" s="345">
        <v>2007</v>
      </c>
      <c r="C426" s="92"/>
      <c r="D426" s="345">
        <v>17296917</v>
      </c>
      <c r="E426" s="278" t="str">
        <f t="shared" si="0"/>
        <v>https://pubmed.ncbi.nlm.nih.gov/?term=17296917</v>
      </c>
      <c r="F426" s="28" t="s">
        <v>511</v>
      </c>
      <c r="G426" s="28" t="s">
        <v>4867</v>
      </c>
    </row>
    <row r="427" spans="1:8">
      <c r="A427" s="92" t="s">
        <v>5048</v>
      </c>
      <c r="B427" s="345">
        <v>2007</v>
      </c>
      <c r="C427" s="92"/>
      <c r="D427" s="345">
        <v>17346212</v>
      </c>
      <c r="E427" s="278" t="str">
        <f t="shared" si="0"/>
        <v>https://pubmed.ncbi.nlm.nih.gov/?term=17346212</v>
      </c>
      <c r="F427" s="28" t="s">
        <v>511</v>
      </c>
      <c r="G427" s="28" t="s">
        <v>4592</v>
      </c>
    </row>
    <row r="428" spans="1:8">
      <c r="A428" s="92" t="s">
        <v>5049</v>
      </c>
      <c r="B428" s="345">
        <v>2005</v>
      </c>
      <c r="C428" s="92"/>
      <c r="D428" s="345">
        <v>16330791</v>
      </c>
      <c r="E428" s="278" t="str">
        <f t="shared" si="0"/>
        <v>https://pubmed.ncbi.nlm.nih.gov/?term=16330791</v>
      </c>
      <c r="F428" s="28" t="s">
        <v>511</v>
      </c>
      <c r="G428" s="28" t="s">
        <v>4871</v>
      </c>
    </row>
    <row r="429" spans="1:8">
      <c r="A429" s="92" t="s">
        <v>5050</v>
      </c>
      <c r="B429" s="345">
        <v>2010</v>
      </c>
      <c r="C429" s="92"/>
      <c r="D429" s="345">
        <v>20926833</v>
      </c>
      <c r="E429" s="278" t="str">
        <f t="shared" si="0"/>
        <v>https://pubmed.ncbi.nlm.nih.gov/?term=20926833</v>
      </c>
      <c r="F429" s="28" t="s">
        <v>511</v>
      </c>
      <c r="G429" s="28" t="s">
        <v>5051</v>
      </c>
    </row>
    <row r="430" spans="1:8">
      <c r="A430" s="92" t="s">
        <v>5052</v>
      </c>
      <c r="B430" s="345">
        <v>2003</v>
      </c>
      <c r="C430" s="92"/>
      <c r="D430" s="345">
        <v>12682561</v>
      </c>
      <c r="E430" s="278" t="str">
        <f t="shared" si="0"/>
        <v>https://pubmed.ncbi.nlm.nih.gov/?term=12682561</v>
      </c>
      <c r="F430" s="28" t="s">
        <v>511</v>
      </c>
      <c r="G430" s="28" t="s">
        <v>4592</v>
      </c>
    </row>
    <row r="431" spans="1:8">
      <c r="A431" s="92" t="s">
        <v>5053</v>
      </c>
      <c r="B431" s="345">
        <v>2004</v>
      </c>
      <c r="C431" s="92"/>
      <c r="D431" s="345">
        <v>15248252</v>
      </c>
      <c r="E431" s="278" t="str">
        <f t="shared" si="0"/>
        <v>https://pubmed.ncbi.nlm.nih.gov/?term=15248252</v>
      </c>
      <c r="F431" s="28" t="s">
        <v>511</v>
      </c>
      <c r="G431" s="28" t="s">
        <v>4592</v>
      </c>
    </row>
    <row r="432" spans="1:8">
      <c r="A432" s="92" t="s">
        <v>4399</v>
      </c>
      <c r="B432" s="345">
        <v>2000</v>
      </c>
      <c r="C432" s="92"/>
      <c r="D432" s="345">
        <v>10697061</v>
      </c>
      <c r="E432" s="278" t="str">
        <f t="shared" si="0"/>
        <v>https://pubmed.ncbi.nlm.nih.gov/?term=10697061</v>
      </c>
      <c r="F432" s="28" t="s">
        <v>511</v>
      </c>
      <c r="G432" s="28" t="s">
        <v>4867</v>
      </c>
    </row>
    <row r="433" spans="1:7">
      <c r="A433" s="92" t="s">
        <v>5054</v>
      </c>
      <c r="B433" s="345">
        <v>2003</v>
      </c>
      <c r="C433" s="92"/>
      <c r="D433" s="345">
        <v>14724468</v>
      </c>
      <c r="E433" s="278" t="str">
        <f t="shared" si="0"/>
        <v>https://pubmed.ncbi.nlm.nih.gov/?term=14724468</v>
      </c>
      <c r="F433" s="28" t="s">
        <v>511</v>
      </c>
      <c r="G433" s="28" t="s">
        <v>4592</v>
      </c>
    </row>
    <row r="434" spans="1:7">
      <c r="A434" s="92" t="s">
        <v>5055</v>
      </c>
      <c r="B434" s="345">
        <v>2007</v>
      </c>
      <c r="C434" s="92"/>
      <c r="D434" s="345">
        <v>18027987</v>
      </c>
      <c r="E434" s="278" t="str">
        <f t="shared" si="0"/>
        <v>https://pubmed.ncbi.nlm.nih.gov/?term=18027987</v>
      </c>
      <c r="F434" s="28" t="s">
        <v>511</v>
      </c>
      <c r="G434" s="28" t="s">
        <v>4592</v>
      </c>
    </row>
    <row r="435" spans="1:7">
      <c r="A435" s="92" t="s">
        <v>5056</v>
      </c>
      <c r="B435" s="345">
        <v>2005</v>
      </c>
      <c r="C435" s="92"/>
      <c r="D435" s="345">
        <v>15740542</v>
      </c>
      <c r="E435" s="278" t="str">
        <f t="shared" si="0"/>
        <v>https://pubmed.ncbi.nlm.nih.gov/?term=15740542</v>
      </c>
      <c r="F435" s="28" t="s">
        <v>511</v>
      </c>
      <c r="G435" s="28" t="s">
        <v>4867</v>
      </c>
    </row>
    <row r="436" spans="1:7">
      <c r="A436" s="92" t="s">
        <v>5057</v>
      </c>
      <c r="B436" s="345">
        <v>2008</v>
      </c>
      <c r="C436" s="92" t="s">
        <v>5058</v>
      </c>
      <c r="D436" s="345">
        <v>18974084</v>
      </c>
      <c r="E436" s="278" t="str">
        <f t="shared" si="0"/>
        <v>https://pubmed.ncbi.nlm.nih.gov/?term=18974084</v>
      </c>
      <c r="F436" s="28" t="s">
        <v>511</v>
      </c>
      <c r="G436" s="28" t="s">
        <v>4592</v>
      </c>
    </row>
    <row r="437" spans="1:7">
      <c r="A437" s="92" t="s">
        <v>5059</v>
      </c>
      <c r="B437" s="345">
        <v>2004</v>
      </c>
      <c r="C437" s="92"/>
      <c r="D437" s="345">
        <v>15207963</v>
      </c>
      <c r="E437" s="278" t="str">
        <f t="shared" si="0"/>
        <v>https://pubmed.ncbi.nlm.nih.gov/?term=15207963</v>
      </c>
      <c r="F437" s="28" t="s">
        <v>511</v>
      </c>
      <c r="G437" s="28" t="s">
        <v>7779</v>
      </c>
    </row>
    <row r="438" spans="1:7">
      <c r="A438" s="92" t="s">
        <v>5061</v>
      </c>
      <c r="B438" s="345">
        <v>2008</v>
      </c>
      <c r="C438" s="92" t="s">
        <v>5062</v>
      </c>
      <c r="D438" s="345">
        <v>18231878</v>
      </c>
      <c r="E438" s="278" t="str">
        <f t="shared" si="0"/>
        <v>https://pubmed.ncbi.nlm.nih.gov/?term=18231878</v>
      </c>
      <c r="F438" s="28" t="s">
        <v>511</v>
      </c>
      <c r="G438" s="28" t="s">
        <v>4592</v>
      </c>
    </row>
    <row r="439" spans="1:7">
      <c r="A439" s="92" t="s">
        <v>5063</v>
      </c>
      <c r="B439" s="345">
        <v>2010</v>
      </c>
      <c r="C439" s="92"/>
      <c r="D439" s="345">
        <v>20970725</v>
      </c>
      <c r="E439" s="278" t="str">
        <f t="shared" si="0"/>
        <v>https://pubmed.ncbi.nlm.nih.gov/?term=20970725</v>
      </c>
      <c r="F439" s="28" t="s">
        <v>511</v>
      </c>
      <c r="G439" s="28" t="s">
        <v>4592</v>
      </c>
    </row>
    <row r="440" spans="1:7">
      <c r="A440" s="92" t="s">
        <v>5064</v>
      </c>
      <c r="B440" s="345">
        <v>2010</v>
      </c>
      <c r="C440" s="92"/>
      <c r="D440" s="345">
        <v>21076711</v>
      </c>
      <c r="E440" s="278" t="str">
        <f t="shared" si="0"/>
        <v>https://pubmed.ncbi.nlm.nih.gov/?term=21076711</v>
      </c>
      <c r="F440" s="28" t="s">
        <v>511</v>
      </c>
      <c r="G440" s="28" t="s">
        <v>4592</v>
      </c>
    </row>
    <row r="441" spans="1:7">
      <c r="A441" s="92" t="s">
        <v>5065</v>
      </c>
      <c r="B441" s="345">
        <v>2010</v>
      </c>
      <c r="C441" s="92"/>
      <c r="D441" s="345">
        <v>20687080</v>
      </c>
      <c r="E441" s="278" t="str">
        <f t="shared" si="0"/>
        <v>https://pubmed.ncbi.nlm.nih.gov/?term=20687080</v>
      </c>
      <c r="F441" s="28" t="s">
        <v>511</v>
      </c>
      <c r="G441" s="28" t="s">
        <v>4592</v>
      </c>
    </row>
    <row r="442" spans="1:7">
      <c r="A442" s="92" t="s">
        <v>4692</v>
      </c>
      <c r="B442" s="345">
        <v>2000</v>
      </c>
      <c r="C442" s="92"/>
      <c r="D442" s="345">
        <v>10987115</v>
      </c>
      <c r="E442" s="278" t="str">
        <f t="shared" si="0"/>
        <v>https://pubmed.ncbi.nlm.nih.gov/?term=10987115</v>
      </c>
      <c r="F442" s="28" t="s">
        <v>511</v>
      </c>
      <c r="G442" s="28" t="s">
        <v>4592</v>
      </c>
    </row>
    <row r="443" spans="1:7">
      <c r="A443" s="92" t="s">
        <v>5066</v>
      </c>
      <c r="B443" s="345">
        <v>2007</v>
      </c>
      <c r="C443" s="92"/>
      <c r="D443" s="345">
        <v>17645934</v>
      </c>
      <c r="E443" s="278" t="str">
        <f t="shared" si="0"/>
        <v>https://pubmed.ncbi.nlm.nih.gov/?term=17645934</v>
      </c>
      <c r="F443" s="28" t="s">
        <v>511</v>
      </c>
      <c r="G443" s="28" t="s">
        <v>4592</v>
      </c>
    </row>
    <row r="444" spans="1:7">
      <c r="A444" s="92" t="s">
        <v>5067</v>
      </c>
      <c r="B444" s="345">
        <v>2001</v>
      </c>
      <c r="C444" s="92"/>
      <c r="D444" s="345">
        <v>11603617</v>
      </c>
      <c r="E444" s="278" t="str">
        <f t="shared" si="0"/>
        <v>https://pubmed.ncbi.nlm.nih.gov/?term=11603617</v>
      </c>
      <c r="F444" s="28" t="s">
        <v>511</v>
      </c>
      <c r="G444" s="28" t="s">
        <v>4592</v>
      </c>
    </row>
    <row r="445" spans="1:7">
      <c r="A445" s="92" t="s">
        <v>5068</v>
      </c>
      <c r="B445" s="345">
        <v>2010</v>
      </c>
      <c r="C445" s="92"/>
      <c r="D445" s="345">
        <v>20828335</v>
      </c>
      <c r="E445" s="278" t="str">
        <f t="shared" si="0"/>
        <v>https://pubmed.ncbi.nlm.nih.gov/?term=20828335</v>
      </c>
      <c r="F445" s="28" t="s">
        <v>511</v>
      </c>
      <c r="G445" s="28" t="s">
        <v>4592</v>
      </c>
    </row>
    <row r="446" spans="1:7">
      <c r="A446" s="92" t="s">
        <v>5069</v>
      </c>
      <c r="B446" s="345">
        <v>2010</v>
      </c>
      <c r="C446" s="92"/>
      <c r="D446" s="345">
        <v>20799759</v>
      </c>
      <c r="E446" s="278" t="str">
        <f t="shared" si="0"/>
        <v>https://pubmed.ncbi.nlm.nih.gov/?term=20799759</v>
      </c>
      <c r="F446" s="28" t="s">
        <v>511</v>
      </c>
      <c r="G446" s="28" t="s">
        <v>4592</v>
      </c>
    </row>
    <row r="447" spans="1:7">
      <c r="A447" s="92" t="s">
        <v>5070</v>
      </c>
      <c r="B447" s="345">
        <v>2004</v>
      </c>
      <c r="C447" s="92"/>
      <c r="D447" s="345">
        <v>15288821</v>
      </c>
      <c r="E447" s="278" t="str">
        <f t="shared" si="0"/>
        <v>https://pubmed.ncbi.nlm.nih.gov/?term=15288821</v>
      </c>
      <c r="F447" s="28" t="s">
        <v>511</v>
      </c>
      <c r="G447" s="28" t="s">
        <v>4592</v>
      </c>
    </row>
    <row r="448" spans="1:7">
      <c r="A448" s="92" t="s">
        <v>5071</v>
      </c>
      <c r="B448" s="345">
        <v>2007</v>
      </c>
      <c r="C448" s="92" t="s">
        <v>5072</v>
      </c>
      <c r="D448" s="345">
        <v>18044074</v>
      </c>
      <c r="E448" s="278" t="str">
        <f t="shared" si="0"/>
        <v>https://pubmed.ncbi.nlm.nih.gov/?term=18044074</v>
      </c>
      <c r="F448" s="28" t="s">
        <v>511</v>
      </c>
      <c r="G448" s="28" t="s">
        <v>4592</v>
      </c>
    </row>
    <row r="449" spans="1:7">
      <c r="A449" s="92" t="s">
        <v>5073</v>
      </c>
      <c r="B449" s="345">
        <v>2010</v>
      </c>
      <c r="C449" s="92"/>
      <c r="D449" s="345">
        <v>20824838</v>
      </c>
      <c r="E449" s="278" t="str">
        <f t="shared" si="0"/>
        <v>https://pubmed.ncbi.nlm.nih.gov/?term=20824838</v>
      </c>
      <c r="F449" s="28" t="s">
        <v>511</v>
      </c>
      <c r="G449" s="28" t="s">
        <v>4592</v>
      </c>
    </row>
    <row r="450" spans="1:7">
      <c r="A450" s="92" t="s">
        <v>5074</v>
      </c>
      <c r="B450" s="345">
        <v>2010</v>
      </c>
      <c r="C450" s="92"/>
      <c r="D450" s="345">
        <v>20524912</v>
      </c>
      <c r="E450" s="278" t="str">
        <f t="shared" si="0"/>
        <v>https://pubmed.ncbi.nlm.nih.gov/?term=20524912</v>
      </c>
      <c r="F450" s="28" t="s">
        <v>511</v>
      </c>
      <c r="G450" s="28" t="s">
        <v>4592</v>
      </c>
    </row>
    <row r="451" spans="1:7">
      <c r="A451" s="92" t="s">
        <v>5075</v>
      </c>
      <c r="B451" s="345">
        <v>2004</v>
      </c>
      <c r="C451" s="92"/>
      <c r="D451" s="345">
        <v>15312114</v>
      </c>
      <c r="E451" s="278" t="str">
        <f t="shared" si="0"/>
        <v>https://pubmed.ncbi.nlm.nih.gov/?term=15312114</v>
      </c>
      <c r="F451" s="28" t="s">
        <v>511</v>
      </c>
      <c r="G451" s="28" t="s">
        <v>4592</v>
      </c>
    </row>
    <row r="452" spans="1:7">
      <c r="A452" s="92" t="s">
        <v>5076</v>
      </c>
      <c r="B452" s="345">
        <v>2006</v>
      </c>
      <c r="C452" s="92"/>
      <c r="D452" s="345">
        <v>17054156</v>
      </c>
      <c r="E452" s="278" t="str">
        <f t="shared" si="0"/>
        <v>https://pubmed.ncbi.nlm.nih.gov/?term=17054156</v>
      </c>
      <c r="F452" s="28" t="s">
        <v>511</v>
      </c>
      <c r="G452" s="28" t="s">
        <v>4592</v>
      </c>
    </row>
    <row r="453" spans="1:7">
      <c r="A453" s="92" t="s">
        <v>5077</v>
      </c>
      <c r="B453" s="345">
        <v>2006</v>
      </c>
      <c r="C453" s="92" t="s">
        <v>5078</v>
      </c>
      <c r="D453" s="345">
        <v>17132140</v>
      </c>
      <c r="E453" s="278" t="str">
        <f t="shared" si="0"/>
        <v>https://pubmed.ncbi.nlm.nih.gov/?term=17132140</v>
      </c>
      <c r="F453" s="28" t="s">
        <v>511</v>
      </c>
      <c r="G453" s="28" t="s">
        <v>4592</v>
      </c>
    </row>
    <row r="454" spans="1:7">
      <c r="A454" s="92" t="s">
        <v>5079</v>
      </c>
      <c r="B454" s="345">
        <v>2008</v>
      </c>
      <c r="C454" s="92"/>
      <c r="D454" s="345">
        <v>18827584</v>
      </c>
      <c r="E454" s="278" t="str">
        <f t="shared" si="0"/>
        <v>https://pubmed.ncbi.nlm.nih.gov/?term=18827584</v>
      </c>
      <c r="F454" s="28" t="s">
        <v>511</v>
      </c>
      <c r="G454" s="28" t="s">
        <v>4592</v>
      </c>
    </row>
    <row r="455" spans="1:7">
      <c r="A455" s="92" t="s">
        <v>5080</v>
      </c>
      <c r="B455" s="345">
        <v>2005</v>
      </c>
      <c r="C455" s="92"/>
      <c r="D455" s="345">
        <v>16113484</v>
      </c>
      <c r="E455" s="278" t="str">
        <f t="shared" si="0"/>
        <v>https://pubmed.ncbi.nlm.nih.gov/?term=16113484</v>
      </c>
      <c r="F455" s="28" t="s">
        <v>511</v>
      </c>
      <c r="G455" s="28" t="s">
        <v>4592</v>
      </c>
    </row>
    <row r="456" spans="1:7">
      <c r="A456" s="92" t="s">
        <v>5081</v>
      </c>
      <c r="B456" s="345">
        <v>2008</v>
      </c>
      <c r="C456" s="92" t="s">
        <v>5082</v>
      </c>
      <c r="D456" s="345">
        <v>18298852</v>
      </c>
      <c r="E456" s="278" t="str">
        <f t="shared" si="0"/>
        <v>https://pubmed.ncbi.nlm.nih.gov/?term=18298852</v>
      </c>
      <c r="F456" s="28" t="s">
        <v>511</v>
      </c>
      <c r="G456" s="28" t="s">
        <v>4592</v>
      </c>
    </row>
    <row r="457" spans="1:7">
      <c r="A457" s="92" t="s">
        <v>5083</v>
      </c>
      <c r="B457" s="345">
        <v>2009</v>
      </c>
      <c r="C457" s="92"/>
      <c r="D457" s="345">
        <v>19751550</v>
      </c>
      <c r="E457" s="278" t="str">
        <f t="shared" si="0"/>
        <v>https://pubmed.ncbi.nlm.nih.gov/?term=19751550</v>
      </c>
      <c r="F457" s="28" t="s">
        <v>511</v>
      </c>
      <c r="G457" s="28" t="s">
        <v>4592</v>
      </c>
    </row>
    <row r="458" spans="1:7">
      <c r="A458" s="92" t="s">
        <v>5084</v>
      </c>
      <c r="B458" s="345">
        <v>2007</v>
      </c>
      <c r="C458" s="92"/>
      <c r="D458" s="345">
        <v>17636705</v>
      </c>
      <c r="E458" s="278" t="str">
        <f t="shared" si="0"/>
        <v>https://pubmed.ncbi.nlm.nih.gov/?term=17636705</v>
      </c>
      <c r="F458" s="28" t="s">
        <v>511</v>
      </c>
      <c r="G458" s="28" t="s">
        <v>4592</v>
      </c>
    </row>
    <row r="459" spans="1:7">
      <c r="A459" s="92" t="s">
        <v>5085</v>
      </c>
      <c r="B459" s="345">
        <v>2010</v>
      </c>
      <c r="C459" s="92"/>
      <c r="D459" s="345">
        <v>20409026</v>
      </c>
      <c r="E459" s="278" t="str">
        <f t="shared" si="0"/>
        <v>https://pubmed.ncbi.nlm.nih.gov/?term=20409026</v>
      </c>
      <c r="F459" s="28" t="s">
        <v>511</v>
      </c>
      <c r="G459" s="28" t="s">
        <v>4592</v>
      </c>
    </row>
    <row r="460" spans="1:7">
      <c r="A460" s="92" t="s">
        <v>5086</v>
      </c>
      <c r="B460" s="345">
        <v>2010</v>
      </c>
      <c r="C460" s="92" t="s">
        <v>5087</v>
      </c>
      <c r="D460" s="345">
        <v>20619382</v>
      </c>
      <c r="E460" s="278" t="str">
        <f t="shared" si="0"/>
        <v>https://pubmed.ncbi.nlm.nih.gov/?term=20619382</v>
      </c>
      <c r="F460" s="28" t="s">
        <v>511</v>
      </c>
      <c r="G460" s="28" t="s">
        <v>4867</v>
      </c>
    </row>
    <row r="461" spans="1:7">
      <c r="A461" s="92" t="s">
        <v>5088</v>
      </c>
      <c r="B461" s="345">
        <v>2001</v>
      </c>
      <c r="C461" s="92"/>
      <c r="D461" s="345">
        <v>11270942</v>
      </c>
      <c r="E461" s="278" t="str">
        <f t="shared" si="0"/>
        <v>https://pubmed.ncbi.nlm.nih.gov/?term=11270942</v>
      </c>
      <c r="F461" s="28" t="s">
        <v>511</v>
      </c>
      <c r="G461" s="28" t="s">
        <v>4592</v>
      </c>
    </row>
    <row r="462" spans="1:7">
      <c r="A462" s="92" t="s">
        <v>5089</v>
      </c>
      <c r="B462" s="345">
        <v>2010</v>
      </c>
      <c r="C462" s="92" t="s">
        <v>5090</v>
      </c>
      <c r="D462" s="345">
        <v>20626907</v>
      </c>
      <c r="E462" s="278" t="str">
        <f t="shared" si="0"/>
        <v>https://pubmed.ncbi.nlm.nih.gov/?term=20626907</v>
      </c>
      <c r="F462" s="28" t="s">
        <v>511</v>
      </c>
      <c r="G462" s="28" t="s">
        <v>4592</v>
      </c>
    </row>
    <row r="463" spans="1:7">
      <c r="A463" s="92" t="s">
        <v>4696</v>
      </c>
      <c r="B463" s="345">
        <v>2000</v>
      </c>
      <c r="C463" s="92"/>
      <c r="D463" s="345">
        <v>10893025</v>
      </c>
      <c r="E463" s="278" t="str">
        <f t="shared" si="0"/>
        <v>https://pubmed.ncbi.nlm.nih.gov/?term=10893025</v>
      </c>
      <c r="F463" s="28" t="s">
        <v>511</v>
      </c>
      <c r="G463" s="28" t="s">
        <v>4592</v>
      </c>
    </row>
    <row r="464" spans="1:7">
      <c r="A464" s="92" t="s">
        <v>5091</v>
      </c>
      <c r="B464" s="345">
        <v>2002</v>
      </c>
      <c r="C464" s="92"/>
      <c r="D464" s="345">
        <v>11869593</v>
      </c>
      <c r="E464" s="278" t="str">
        <f t="shared" si="0"/>
        <v>https://pubmed.ncbi.nlm.nih.gov/?term=11869593</v>
      </c>
      <c r="F464" s="28" t="s">
        <v>511</v>
      </c>
      <c r="G464" s="28" t="s">
        <v>4592</v>
      </c>
    </row>
    <row r="465" spans="1:7">
      <c r="A465" s="92" t="s">
        <v>5092</v>
      </c>
      <c r="B465" s="345">
        <v>2006</v>
      </c>
      <c r="C465" s="92"/>
      <c r="D465" s="345">
        <v>16625588</v>
      </c>
      <c r="E465" s="278" t="str">
        <f t="shared" si="0"/>
        <v>https://pubmed.ncbi.nlm.nih.gov/?term=16625588</v>
      </c>
      <c r="F465" s="28" t="s">
        <v>511</v>
      </c>
      <c r="G465" s="28" t="s">
        <v>4592</v>
      </c>
    </row>
    <row r="466" spans="1:7">
      <c r="A466" s="92" t="s">
        <v>5093</v>
      </c>
      <c r="B466" s="345">
        <v>2001</v>
      </c>
      <c r="C466" s="92"/>
      <c r="D466" s="345">
        <v>11431134</v>
      </c>
      <c r="E466" s="278" t="str">
        <f t="shared" si="0"/>
        <v>https://pubmed.ncbi.nlm.nih.gov/?term=11431134</v>
      </c>
      <c r="F466" s="28" t="s">
        <v>511</v>
      </c>
      <c r="G466" s="28" t="s">
        <v>4592</v>
      </c>
    </row>
    <row r="467" spans="1:7">
      <c r="A467" s="92" t="s">
        <v>5094</v>
      </c>
      <c r="B467" s="345">
        <v>2008</v>
      </c>
      <c r="C467" s="92" t="s">
        <v>5095</v>
      </c>
      <c r="D467" s="345">
        <v>18306464</v>
      </c>
      <c r="E467" s="278" t="str">
        <f t="shared" si="0"/>
        <v>https://pubmed.ncbi.nlm.nih.gov/?term=18306464</v>
      </c>
      <c r="F467" s="28" t="s">
        <v>511</v>
      </c>
      <c r="G467" s="28" t="s">
        <v>4592</v>
      </c>
    </row>
    <row r="468" spans="1:7">
      <c r="A468" s="92" t="s">
        <v>5084</v>
      </c>
      <c r="B468" s="345">
        <v>2001</v>
      </c>
      <c r="C468" s="92"/>
      <c r="D468" s="345">
        <v>11687023</v>
      </c>
      <c r="E468" s="278" t="str">
        <f t="shared" si="0"/>
        <v>https://pubmed.ncbi.nlm.nih.gov/?term=11687023</v>
      </c>
      <c r="F468" s="28" t="s">
        <v>511</v>
      </c>
      <c r="G468" s="28" t="s">
        <v>4592</v>
      </c>
    </row>
    <row r="469" spans="1:7">
      <c r="A469" s="92" t="s">
        <v>4707</v>
      </c>
      <c r="B469" s="345">
        <v>2002</v>
      </c>
      <c r="C469" s="92"/>
      <c r="D469" s="345">
        <v>11844988</v>
      </c>
      <c r="E469" s="278" t="str">
        <f t="shared" si="0"/>
        <v>https://pubmed.ncbi.nlm.nih.gov/?term=11844988</v>
      </c>
      <c r="F469" s="28" t="s">
        <v>511</v>
      </c>
      <c r="G469" s="28" t="s">
        <v>4592</v>
      </c>
    </row>
    <row r="470" spans="1:7">
      <c r="A470" s="92" t="s">
        <v>5096</v>
      </c>
      <c r="B470" s="345">
        <v>2001</v>
      </c>
      <c r="C470" s="92"/>
      <c r="D470" s="345">
        <v>11444404</v>
      </c>
      <c r="E470" s="278" t="str">
        <f t="shared" si="0"/>
        <v>https://pubmed.ncbi.nlm.nih.gov/?term=11444404</v>
      </c>
      <c r="F470" s="28" t="s">
        <v>511</v>
      </c>
      <c r="G470" s="28" t="s">
        <v>4592</v>
      </c>
    </row>
    <row r="471" spans="1:7">
      <c r="A471" s="92" t="s">
        <v>5097</v>
      </c>
      <c r="B471" s="345">
        <v>2005</v>
      </c>
      <c r="C471" s="92"/>
      <c r="D471" s="345">
        <v>15720525</v>
      </c>
      <c r="E471" s="278" t="str">
        <f t="shared" si="0"/>
        <v>https://pubmed.ncbi.nlm.nih.gov/?term=15720525</v>
      </c>
      <c r="F471" s="28" t="s">
        <v>511</v>
      </c>
      <c r="G471" s="28" t="s">
        <v>4592</v>
      </c>
    </row>
    <row r="472" spans="1:7">
      <c r="A472" s="92" t="s">
        <v>5098</v>
      </c>
      <c r="B472" s="345">
        <v>2006</v>
      </c>
      <c r="C472" s="92"/>
      <c r="D472" s="345">
        <v>16498249</v>
      </c>
      <c r="E472" s="278" t="str">
        <f t="shared" si="0"/>
        <v>https://pubmed.ncbi.nlm.nih.gov/?term=16498249</v>
      </c>
      <c r="F472" s="28" t="s">
        <v>511</v>
      </c>
      <c r="G472" s="28" t="s">
        <v>4592</v>
      </c>
    </row>
    <row r="473" spans="1:7">
      <c r="A473" s="92" t="s">
        <v>5099</v>
      </c>
      <c r="B473" s="345">
        <v>2007</v>
      </c>
      <c r="C473" s="92"/>
      <c r="D473" s="345">
        <v>18220953</v>
      </c>
      <c r="E473" s="278" t="str">
        <f t="shared" si="0"/>
        <v>https://pubmed.ncbi.nlm.nih.gov/?term=18220953</v>
      </c>
      <c r="F473" s="28" t="s">
        <v>511</v>
      </c>
      <c r="G473" s="28" t="s">
        <v>4592</v>
      </c>
    </row>
    <row r="474" spans="1:7">
      <c r="A474" s="92" t="s">
        <v>5100</v>
      </c>
      <c r="B474" s="345">
        <v>2005</v>
      </c>
      <c r="C474" s="92" t="s">
        <v>5101</v>
      </c>
      <c r="D474" s="345">
        <v>16254097</v>
      </c>
      <c r="E474" s="278" t="str">
        <f t="shared" si="0"/>
        <v>https://pubmed.ncbi.nlm.nih.gov/?term=16254097</v>
      </c>
      <c r="F474" s="28" t="s">
        <v>511</v>
      </c>
      <c r="G474" s="28" t="s">
        <v>4592</v>
      </c>
    </row>
    <row r="475" spans="1:7">
      <c r="A475" s="92" t="s">
        <v>5102</v>
      </c>
      <c r="B475" s="345">
        <v>2008</v>
      </c>
      <c r="C475" s="92"/>
      <c r="D475" s="345">
        <v>18806700</v>
      </c>
      <c r="E475" s="278" t="str">
        <f t="shared" si="0"/>
        <v>https://pubmed.ncbi.nlm.nih.gov/?term=18806700</v>
      </c>
      <c r="F475" s="28" t="s">
        <v>511</v>
      </c>
      <c r="G475" s="28" t="s">
        <v>4592</v>
      </c>
    </row>
    <row r="476" spans="1:7">
      <c r="A476" s="92" t="s">
        <v>5103</v>
      </c>
      <c r="B476" s="345">
        <v>2005</v>
      </c>
      <c r="C476" s="92"/>
      <c r="D476" s="345">
        <v>16178047</v>
      </c>
      <c r="E476" s="278" t="str">
        <f t="shared" si="0"/>
        <v>https://pubmed.ncbi.nlm.nih.gov/?term=16178047</v>
      </c>
      <c r="F476" s="28" t="s">
        <v>511</v>
      </c>
      <c r="G476" s="28" t="s">
        <v>4592</v>
      </c>
    </row>
    <row r="477" spans="1:7">
      <c r="A477" s="92" t="s">
        <v>5104</v>
      </c>
      <c r="B477" s="345">
        <v>2006</v>
      </c>
      <c r="C477" s="92"/>
      <c r="D477" s="345">
        <v>16972155</v>
      </c>
      <c r="E477" s="278" t="str">
        <f t="shared" si="0"/>
        <v>https://pubmed.ncbi.nlm.nih.gov/?term=16972155</v>
      </c>
      <c r="F477" s="28" t="s">
        <v>511</v>
      </c>
      <c r="G477" s="28" t="s">
        <v>4592</v>
      </c>
    </row>
    <row r="478" spans="1:7">
      <c r="A478" s="92" t="s">
        <v>5105</v>
      </c>
      <c r="B478" s="345">
        <v>2004</v>
      </c>
      <c r="C478" s="92"/>
      <c r="D478" s="345">
        <v>14730266</v>
      </c>
      <c r="E478" s="278" t="str">
        <f t="shared" si="0"/>
        <v>https://pubmed.ncbi.nlm.nih.gov/?term=14730266</v>
      </c>
      <c r="F478" s="28" t="s">
        <v>511</v>
      </c>
      <c r="G478" s="28" t="s">
        <v>4592</v>
      </c>
    </row>
    <row r="479" spans="1:7">
      <c r="A479" s="92" t="s">
        <v>4704</v>
      </c>
      <c r="B479" s="345">
        <v>2000</v>
      </c>
      <c r="C479" s="92"/>
      <c r="D479" s="345">
        <v>11123085</v>
      </c>
      <c r="E479" s="278" t="str">
        <f t="shared" si="0"/>
        <v>https://pubmed.ncbi.nlm.nih.gov/?term=11123085</v>
      </c>
      <c r="F479" s="28" t="s">
        <v>511</v>
      </c>
      <c r="G479" s="28" t="s">
        <v>4592</v>
      </c>
    </row>
    <row r="480" spans="1:7">
      <c r="A480" s="92" t="s">
        <v>5106</v>
      </c>
      <c r="B480" s="345">
        <v>2006</v>
      </c>
      <c r="C480" s="92" t="s">
        <v>5107</v>
      </c>
      <c r="D480" s="345">
        <v>16625582</v>
      </c>
      <c r="E480" s="278" t="str">
        <f t="shared" si="0"/>
        <v>https://pubmed.ncbi.nlm.nih.gov/?term=16625582</v>
      </c>
      <c r="F480" s="28" t="s">
        <v>511</v>
      </c>
      <c r="G480" s="28" t="s">
        <v>4592</v>
      </c>
    </row>
    <row r="481" spans="1:7">
      <c r="A481" s="92" t="s">
        <v>5108</v>
      </c>
      <c r="B481" s="345">
        <v>2010</v>
      </c>
      <c r="C481" s="92"/>
      <c r="D481" s="345">
        <v>20367536</v>
      </c>
      <c r="E481" s="278" t="str">
        <f t="shared" si="0"/>
        <v>https://pubmed.ncbi.nlm.nih.gov/?term=20367536</v>
      </c>
      <c r="F481" s="28" t="s">
        <v>511</v>
      </c>
      <c r="G481" s="28" t="s">
        <v>4592</v>
      </c>
    </row>
    <row r="482" spans="1:7">
      <c r="A482" s="92" t="s">
        <v>5109</v>
      </c>
      <c r="B482" s="345">
        <v>2006</v>
      </c>
      <c r="C482" s="92"/>
      <c r="D482" s="345">
        <v>16456528</v>
      </c>
      <c r="E482" s="278" t="str">
        <f t="shared" si="0"/>
        <v>https://pubmed.ncbi.nlm.nih.gov/?term=16456528</v>
      </c>
      <c r="F482" s="28" t="s">
        <v>511</v>
      </c>
      <c r="G482" s="28" t="s">
        <v>8387</v>
      </c>
    </row>
    <row r="483" spans="1:7">
      <c r="A483" s="92" t="s">
        <v>5111</v>
      </c>
      <c r="B483" s="345">
        <v>2010</v>
      </c>
      <c r="C483" s="92"/>
      <c r="D483" s="345">
        <v>20960380</v>
      </c>
      <c r="E483" s="278" t="str">
        <f t="shared" si="0"/>
        <v>https://pubmed.ncbi.nlm.nih.gov/?term=20960380</v>
      </c>
      <c r="F483" s="28" t="s">
        <v>511</v>
      </c>
      <c r="G483" s="28" t="s">
        <v>4592</v>
      </c>
    </row>
    <row r="484" spans="1:7">
      <c r="A484" s="92" t="s">
        <v>5112</v>
      </c>
      <c r="B484" s="345">
        <v>2007</v>
      </c>
      <c r="C484" s="92"/>
      <c r="D484" s="345">
        <v>18220944</v>
      </c>
      <c r="E484" s="278" t="str">
        <f t="shared" si="0"/>
        <v>https://pubmed.ncbi.nlm.nih.gov/?term=18220944</v>
      </c>
      <c r="F484" s="28" t="s">
        <v>511</v>
      </c>
      <c r="G484" s="28" t="s">
        <v>4592</v>
      </c>
    </row>
    <row r="485" spans="1:7">
      <c r="A485" s="92" t="s">
        <v>5113</v>
      </c>
      <c r="B485" s="345">
        <v>2007</v>
      </c>
      <c r="C485" s="92"/>
      <c r="D485" s="345">
        <v>17986486</v>
      </c>
      <c r="E485" s="278" t="str">
        <f t="shared" si="0"/>
        <v>https://pubmed.ncbi.nlm.nih.gov/?term=17986486</v>
      </c>
      <c r="F485" s="28" t="s">
        <v>511</v>
      </c>
      <c r="G485" s="28" t="s">
        <v>4592</v>
      </c>
    </row>
    <row r="486" spans="1:7">
      <c r="A486" s="92" t="s">
        <v>5114</v>
      </c>
      <c r="B486" s="345">
        <v>2005</v>
      </c>
      <c r="C486" s="92"/>
      <c r="D486" s="345">
        <v>15942333</v>
      </c>
      <c r="E486" s="278" t="str">
        <f t="shared" si="0"/>
        <v>https://pubmed.ncbi.nlm.nih.gov/?term=15942333</v>
      </c>
      <c r="F486" s="28" t="s">
        <v>511</v>
      </c>
      <c r="G486" s="28" t="s">
        <v>4592</v>
      </c>
    </row>
    <row r="487" spans="1:7">
      <c r="A487" s="92" t="s">
        <v>5115</v>
      </c>
      <c r="B487" s="345">
        <v>2003</v>
      </c>
      <c r="C487" s="92"/>
      <c r="D487" s="345">
        <v>12700038</v>
      </c>
      <c r="E487" s="278" t="str">
        <f t="shared" si="0"/>
        <v>https://pubmed.ncbi.nlm.nih.gov/?term=12700038</v>
      </c>
      <c r="F487" s="28" t="s">
        <v>511</v>
      </c>
      <c r="G487" s="28" t="s">
        <v>4592</v>
      </c>
    </row>
    <row r="488" spans="1:7">
      <c r="A488" s="92" t="s">
        <v>5116</v>
      </c>
      <c r="B488" s="345">
        <v>2005</v>
      </c>
      <c r="C488" s="92"/>
      <c r="D488" s="345">
        <v>16416391</v>
      </c>
      <c r="E488" s="278" t="str">
        <f t="shared" si="0"/>
        <v>https://pubmed.ncbi.nlm.nih.gov/?term=16416391</v>
      </c>
      <c r="F488" s="28" t="s">
        <v>511</v>
      </c>
      <c r="G488" s="28" t="s">
        <v>4592</v>
      </c>
    </row>
    <row r="489" spans="1:7">
      <c r="A489" s="92" t="s">
        <v>4707</v>
      </c>
      <c r="B489" s="345">
        <v>2000</v>
      </c>
      <c r="C489" s="92"/>
      <c r="D489" s="345">
        <v>10949062</v>
      </c>
      <c r="E489" s="278" t="str">
        <f t="shared" si="0"/>
        <v>https://pubmed.ncbi.nlm.nih.gov/?term=10949062</v>
      </c>
      <c r="F489" s="28" t="s">
        <v>511</v>
      </c>
      <c r="G489" s="28" t="s">
        <v>4592</v>
      </c>
    </row>
    <row r="490" spans="1:7">
      <c r="A490" s="92" t="s">
        <v>5117</v>
      </c>
      <c r="B490" s="345">
        <v>2003</v>
      </c>
      <c r="C490" s="92"/>
      <c r="D490" s="345">
        <v>12563604</v>
      </c>
      <c r="E490" s="278" t="str">
        <f t="shared" si="0"/>
        <v>https://pubmed.ncbi.nlm.nih.gov/?term=12563604</v>
      </c>
      <c r="F490" s="28" t="s">
        <v>511</v>
      </c>
      <c r="G490" s="28" t="s">
        <v>4592</v>
      </c>
    </row>
    <row r="491" spans="1:7">
      <c r="A491" s="92" t="s">
        <v>5118</v>
      </c>
      <c r="B491" s="345">
        <v>2008</v>
      </c>
      <c r="C491" s="92"/>
      <c r="D491" s="345">
        <v>18421239</v>
      </c>
      <c r="E491" s="278" t="str">
        <f t="shared" si="0"/>
        <v>https://pubmed.ncbi.nlm.nih.gov/?term=18421239</v>
      </c>
      <c r="F491" s="28" t="s">
        <v>511</v>
      </c>
      <c r="G491" s="28" t="s">
        <v>4592</v>
      </c>
    </row>
    <row r="492" spans="1:7">
      <c r="A492" s="92" t="s">
        <v>5119</v>
      </c>
      <c r="B492" s="345">
        <v>2008</v>
      </c>
      <c r="C492" s="92"/>
      <c r="D492" s="345">
        <v>18317024</v>
      </c>
      <c r="E492" s="278" t="str">
        <f t="shared" si="0"/>
        <v>https://pubmed.ncbi.nlm.nih.gov/?term=18317024</v>
      </c>
      <c r="F492" s="28" t="s">
        <v>511</v>
      </c>
      <c r="G492" s="28" t="s">
        <v>4592</v>
      </c>
    </row>
    <row r="493" spans="1:7">
      <c r="A493" s="92" t="s">
        <v>5120</v>
      </c>
      <c r="B493" s="345">
        <v>2003</v>
      </c>
      <c r="C493" s="92"/>
      <c r="D493" s="345">
        <v>12589192</v>
      </c>
      <c r="E493" s="278" t="str">
        <f t="shared" si="0"/>
        <v>https://pubmed.ncbi.nlm.nih.gov/?term=12589192</v>
      </c>
      <c r="F493" s="28" t="s">
        <v>511</v>
      </c>
      <c r="G493" s="28" t="s">
        <v>4592</v>
      </c>
    </row>
    <row r="494" spans="1:7">
      <c r="A494" s="92" t="s">
        <v>5103</v>
      </c>
      <c r="B494" s="345">
        <v>2005</v>
      </c>
      <c r="C494" s="92"/>
      <c r="D494" s="345">
        <v>15643346</v>
      </c>
      <c r="E494" s="278" t="str">
        <f t="shared" si="0"/>
        <v>https://pubmed.ncbi.nlm.nih.gov/?term=15643346</v>
      </c>
      <c r="F494" s="28" t="s">
        <v>511</v>
      </c>
      <c r="G494" s="28" t="s">
        <v>4592</v>
      </c>
    </row>
    <row r="495" spans="1:7">
      <c r="A495" s="92" t="s">
        <v>5121</v>
      </c>
      <c r="B495" s="345">
        <v>2004</v>
      </c>
      <c r="C495" s="92"/>
      <c r="D495" s="345">
        <v>14992788</v>
      </c>
      <c r="E495" s="278" t="str">
        <f t="shared" si="0"/>
        <v>https://pubmed.ncbi.nlm.nih.gov/?term=14992788</v>
      </c>
      <c r="F495" s="28" t="s">
        <v>511</v>
      </c>
      <c r="G495" s="28" t="s">
        <v>4592</v>
      </c>
    </row>
    <row r="496" spans="1:7">
      <c r="A496" s="92" t="s">
        <v>5122</v>
      </c>
      <c r="B496" s="345">
        <v>2005</v>
      </c>
      <c r="C496" s="92"/>
      <c r="D496" s="345">
        <v>15871909</v>
      </c>
      <c r="E496" s="278" t="str">
        <f t="shared" si="0"/>
        <v>https://pubmed.ncbi.nlm.nih.gov/?term=15871909</v>
      </c>
      <c r="F496" s="28" t="s">
        <v>511</v>
      </c>
      <c r="G496" s="28" t="s">
        <v>4592</v>
      </c>
    </row>
    <row r="497" spans="1:8">
      <c r="A497" s="92" t="s">
        <v>4731</v>
      </c>
      <c r="B497" s="345">
        <v>2001</v>
      </c>
      <c r="C497" s="92"/>
      <c r="D497" s="345">
        <v>11445742</v>
      </c>
      <c r="E497" s="278" t="str">
        <f t="shared" si="0"/>
        <v>https://pubmed.ncbi.nlm.nih.gov/?term=11445742</v>
      </c>
      <c r="F497" s="28" t="s">
        <v>511</v>
      </c>
      <c r="G497" s="28" t="s">
        <v>4592</v>
      </c>
    </row>
    <row r="498" spans="1:8">
      <c r="A498" s="92" t="s">
        <v>5123</v>
      </c>
      <c r="B498" s="345">
        <v>2003</v>
      </c>
      <c r="C498" s="92"/>
      <c r="D498" s="345">
        <v>12871283</v>
      </c>
      <c r="E498" s="278" t="str">
        <f t="shared" si="0"/>
        <v>https://pubmed.ncbi.nlm.nih.gov/?term=12871283</v>
      </c>
      <c r="F498" s="28" t="s">
        <v>511</v>
      </c>
      <c r="G498" s="28" t="s">
        <v>4592</v>
      </c>
    </row>
    <row r="499" spans="1:8">
      <c r="A499" s="92" t="s">
        <v>5124</v>
      </c>
      <c r="B499" s="345">
        <v>2007</v>
      </c>
      <c r="C499" s="92" t="s">
        <v>5125</v>
      </c>
      <c r="D499" s="345">
        <v>17244339</v>
      </c>
      <c r="E499" s="278" t="str">
        <f t="shared" si="0"/>
        <v>https://pubmed.ncbi.nlm.nih.gov/?term=17244339</v>
      </c>
      <c r="F499" s="28" t="s">
        <v>511</v>
      </c>
      <c r="G499" s="28" t="s">
        <v>4346</v>
      </c>
    </row>
    <row r="500" spans="1:8">
      <c r="A500" s="92" t="s">
        <v>5126</v>
      </c>
      <c r="B500" s="345">
        <v>2008</v>
      </c>
      <c r="C500" s="92" t="s">
        <v>5127</v>
      </c>
      <c r="D500" s="345">
        <v>18447621</v>
      </c>
      <c r="E500" s="278" t="str">
        <f t="shared" si="0"/>
        <v>https://pubmed.ncbi.nlm.nih.gov/?term=18447621</v>
      </c>
      <c r="F500" s="28" t="s">
        <v>511</v>
      </c>
      <c r="G500" s="28" t="s">
        <v>8388</v>
      </c>
    </row>
    <row r="501" spans="1:8">
      <c r="A501" s="92" t="s">
        <v>5129</v>
      </c>
      <c r="B501" s="345">
        <v>2005</v>
      </c>
      <c r="C501" s="92"/>
      <c r="D501" s="345">
        <v>16155441</v>
      </c>
      <c r="E501" s="278" t="str">
        <f t="shared" si="0"/>
        <v>https://pubmed.ncbi.nlm.nih.gov/?term=16155441</v>
      </c>
      <c r="F501" s="28" t="s">
        <v>511</v>
      </c>
      <c r="G501" s="28" t="s">
        <v>4592</v>
      </c>
    </row>
    <row r="502" spans="1:8">
      <c r="A502" s="92" t="s">
        <v>5130</v>
      </c>
      <c r="B502" s="345">
        <v>2010</v>
      </c>
      <c r="C502" s="92" t="s">
        <v>5131</v>
      </c>
      <c r="D502" s="345">
        <v>20042666</v>
      </c>
      <c r="E502" s="278" t="str">
        <f t="shared" si="0"/>
        <v>https://pubmed.ncbi.nlm.nih.gov/?term=20042666</v>
      </c>
      <c r="F502" s="28" t="s">
        <v>511</v>
      </c>
      <c r="G502" s="28" t="s">
        <v>4346</v>
      </c>
    </row>
    <row r="503" spans="1:8">
      <c r="A503" s="92" t="s">
        <v>5132</v>
      </c>
      <c r="B503" s="345">
        <v>2007</v>
      </c>
      <c r="C503" s="92"/>
      <c r="D503" s="345">
        <v>17699131</v>
      </c>
      <c r="E503" s="278" t="str">
        <f t="shared" si="0"/>
        <v>https://pubmed.ncbi.nlm.nih.gov/?term=17699131</v>
      </c>
      <c r="F503" s="28" t="s">
        <v>511</v>
      </c>
      <c r="G503" s="28" t="s">
        <v>4346</v>
      </c>
    </row>
    <row r="504" spans="1:8">
      <c r="A504" s="92" t="s">
        <v>5133</v>
      </c>
      <c r="B504" s="345">
        <v>2005</v>
      </c>
      <c r="C504" s="92"/>
      <c r="D504" s="345">
        <v>15758651</v>
      </c>
      <c r="E504" s="278" t="str">
        <f t="shared" si="0"/>
        <v>https://pubmed.ncbi.nlm.nih.gov/?term=15758651</v>
      </c>
      <c r="F504" s="28" t="s">
        <v>511</v>
      </c>
      <c r="G504" s="28" t="s">
        <v>4592</v>
      </c>
    </row>
    <row r="505" spans="1:8">
      <c r="A505" s="92" t="s">
        <v>4273</v>
      </c>
      <c r="B505" s="345">
        <v>2011</v>
      </c>
      <c r="C505" s="92" t="s">
        <v>5134</v>
      </c>
      <c r="D505" s="345">
        <v>21191031</v>
      </c>
      <c r="E505" s="278" t="str">
        <f t="shared" si="0"/>
        <v>https://pubmed.ncbi.nlm.nih.gov/?term=21191031</v>
      </c>
      <c r="H505" s="28" t="s">
        <v>511</v>
      </c>
    </row>
    <row r="506" spans="1:8">
      <c r="A506" s="92" t="s">
        <v>5135</v>
      </c>
      <c r="B506" s="345">
        <v>2010</v>
      </c>
      <c r="C506" s="92"/>
      <c r="D506" s="345">
        <v>20964456</v>
      </c>
      <c r="E506" s="278" t="str">
        <f t="shared" si="0"/>
        <v>https://pubmed.ncbi.nlm.nih.gov/?term=20964456</v>
      </c>
      <c r="F506" s="28" t="s">
        <v>511</v>
      </c>
      <c r="G506" s="28" t="s">
        <v>4592</v>
      </c>
    </row>
    <row r="507" spans="1:8">
      <c r="A507" s="92" t="s">
        <v>4399</v>
      </c>
      <c r="B507" s="345">
        <v>2007</v>
      </c>
      <c r="C507" s="92"/>
      <c r="D507" s="345">
        <v>17426277</v>
      </c>
      <c r="E507" s="278" t="str">
        <f t="shared" si="0"/>
        <v>https://pubmed.ncbi.nlm.nih.gov/?term=17426277</v>
      </c>
      <c r="H507" s="28" t="s">
        <v>511</v>
      </c>
    </row>
    <row r="508" spans="1:8">
      <c r="A508" s="92" t="s">
        <v>5136</v>
      </c>
      <c r="B508" s="345">
        <v>2006</v>
      </c>
      <c r="C508" s="92"/>
      <c r="D508" s="345">
        <v>17065921</v>
      </c>
      <c r="E508" s="278" t="str">
        <f t="shared" si="0"/>
        <v>https://pubmed.ncbi.nlm.nih.gov/?term=17065921</v>
      </c>
      <c r="F508" s="28" t="s">
        <v>511</v>
      </c>
      <c r="G508" s="28" t="s">
        <v>4592</v>
      </c>
    </row>
    <row r="509" spans="1:8">
      <c r="A509" s="92" t="s">
        <v>1690</v>
      </c>
      <c r="B509" s="345">
        <v>2006</v>
      </c>
      <c r="C509" s="92"/>
      <c r="D509" s="345">
        <v>16023829</v>
      </c>
      <c r="E509" s="278" t="str">
        <f t="shared" si="0"/>
        <v>https://pubmed.ncbi.nlm.nih.gov/?term=16023829</v>
      </c>
      <c r="H509" s="28" t="s">
        <v>511</v>
      </c>
    </row>
    <row r="510" spans="1:8">
      <c r="A510" s="92" t="s">
        <v>5137</v>
      </c>
      <c r="B510" s="345">
        <v>2008</v>
      </c>
      <c r="C510" s="92"/>
      <c r="D510" s="345">
        <v>17984288</v>
      </c>
      <c r="E510" s="278" t="str">
        <f t="shared" si="0"/>
        <v>https://pubmed.ncbi.nlm.nih.gov/?term=17984288</v>
      </c>
      <c r="F510" s="28" t="s">
        <v>511</v>
      </c>
      <c r="G510" s="28" t="s">
        <v>4592</v>
      </c>
    </row>
    <row r="511" spans="1:8">
      <c r="A511" s="92" t="s">
        <v>5138</v>
      </c>
      <c r="B511" s="345">
        <v>2007</v>
      </c>
      <c r="C511" s="92"/>
      <c r="D511" s="345">
        <v>17825959</v>
      </c>
      <c r="E511" s="278" t="str">
        <f t="shared" si="0"/>
        <v>https://pubmed.ncbi.nlm.nih.gov/?term=17825959</v>
      </c>
      <c r="F511" s="28" t="s">
        <v>511</v>
      </c>
      <c r="G511" s="28" t="s">
        <v>4346</v>
      </c>
    </row>
    <row r="512" spans="1:8">
      <c r="A512" s="92" t="s">
        <v>5139</v>
      </c>
      <c r="B512" s="345">
        <v>2003</v>
      </c>
      <c r="C512" s="92"/>
      <c r="D512" s="345">
        <v>12706674</v>
      </c>
      <c r="E512" s="278" t="str">
        <f t="shared" si="0"/>
        <v>https://pubmed.ncbi.nlm.nih.gov/?term=12706674</v>
      </c>
      <c r="F512" s="28" t="s">
        <v>511</v>
      </c>
    </row>
    <row r="513" spans="1:9">
      <c r="A513" s="92" t="s">
        <v>2051</v>
      </c>
      <c r="B513" s="345">
        <v>2006</v>
      </c>
      <c r="C513" s="92" t="s">
        <v>5140</v>
      </c>
      <c r="D513" s="345">
        <v>16956406</v>
      </c>
      <c r="E513" s="278" t="str">
        <f t="shared" si="0"/>
        <v>https://pubmed.ncbi.nlm.nih.gov/?term=16956406</v>
      </c>
      <c r="H513" s="28" t="s">
        <v>511</v>
      </c>
    </row>
    <row r="514" spans="1:9">
      <c r="A514" s="92" t="s">
        <v>5141</v>
      </c>
      <c r="B514" s="345">
        <v>2007</v>
      </c>
      <c r="C514" s="92"/>
      <c r="D514" s="345">
        <v>17984354</v>
      </c>
      <c r="E514" s="278" t="str">
        <f t="shared" si="0"/>
        <v>https://pubmed.ncbi.nlm.nih.gov/?term=17984354</v>
      </c>
      <c r="F514" s="28" t="s">
        <v>511</v>
      </c>
      <c r="G514" s="28" t="s">
        <v>4346</v>
      </c>
    </row>
    <row r="515" spans="1:9">
      <c r="A515" s="92" t="s">
        <v>5142</v>
      </c>
      <c r="B515" s="345">
        <v>2004</v>
      </c>
      <c r="C515" s="92"/>
      <c r="D515" s="345">
        <v>15381135</v>
      </c>
      <c r="E515" s="278" t="str">
        <f t="shared" si="0"/>
        <v>https://pubmed.ncbi.nlm.nih.gov/?term=15381135</v>
      </c>
      <c r="F515" s="28" t="s">
        <v>511</v>
      </c>
      <c r="G515" s="28" t="s">
        <v>4592</v>
      </c>
    </row>
    <row r="516" spans="1:9">
      <c r="A516" s="92" t="s">
        <v>5143</v>
      </c>
      <c r="B516" s="345">
        <v>2010</v>
      </c>
      <c r="C516" s="92"/>
      <c r="D516" s="345">
        <v>20100756</v>
      </c>
      <c r="E516" s="278" t="str">
        <f t="shared" si="0"/>
        <v>https://pubmed.ncbi.nlm.nih.gov/?term=20100756</v>
      </c>
      <c r="F516" s="28" t="s">
        <v>511</v>
      </c>
      <c r="G516" s="28" t="s">
        <v>5144</v>
      </c>
    </row>
    <row r="517" spans="1:9">
      <c r="A517" s="92" t="s">
        <v>5145</v>
      </c>
      <c r="B517" s="345">
        <v>2006</v>
      </c>
      <c r="C517" s="92"/>
      <c r="D517" s="345">
        <v>16981048</v>
      </c>
      <c r="E517" s="278" t="str">
        <f t="shared" si="0"/>
        <v>https://pubmed.ncbi.nlm.nih.gov/?term=16981048</v>
      </c>
      <c r="F517" s="28" t="s">
        <v>511</v>
      </c>
      <c r="G517" s="28" t="s">
        <v>4346</v>
      </c>
    </row>
    <row r="518" spans="1:9">
      <c r="A518" s="92" t="s">
        <v>5146</v>
      </c>
      <c r="B518" s="345">
        <v>2006</v>
      </c>
      <c r="C518" s="92"/>
      <c r="D518" s="345">
        <v>16023266</v>
      </c>
      <c r="E518" s="278" t="str">
        <f t="shared" si="0"/>
        <v>https://pubmed.ncbi.nlm.nih.gov/?term=16023266</v>
      </c>
      <c r="F518" s="28" t="s">
        <v>511</v>
      </c>
      <c r="G518" s="28" t="s">
        <v>5147</v>
      </c>
    </row>
    <row r="519" spans="1:9">
      <c r="A519" s="92" t="s">
        <v>5148</v>
      </c>
      <c r="B519" s="345">
        <v>2010</v>
      </c>
      <c r="C519" s="92"/>
      <c r="D519" s="345">
        <v>21137022</v>
      </c>
      <c r="E519" s="278" t="str">
        <f t="shared" si="0"/>
        <v>https://pubmed.ncbi.nlm.nih.gov/?term=21137022</v>
      </c>
      <c r="F519" s="28" t="s">
        <v>511</v>
      </c>
      <c r="G519" s="28" t="s">
        <v>4592</v>
      </c>
    </row>
    <row r="520" spans="1:9">
      <c r="A520" s="92" t="s">
        <v>5149</v>
      </c>
      <c r="B520" s="345">
        <v>2010</v>
      </c>
      <c r="C520" s="92"/>
      <c r="D520" s="345">
        <v>20416394</v>
      </c>
      <c r="E520" s="278" t="str">
        <f t="shared" si="0"/>
        <v>https://pubmed.ncbi.nlm.nih.gov/?term=20416394</v>
      </c>
      <c r="F520" s="28" t="s">
        <v>511</v>
      </c>
      <c r="G520" s="28" t="s">
        <v>4346</v>
      </c>
    </row>
    <row r="521" spans="1:9">
      <c r="A521" s="92" t="s">
        <v>5150</v>
      </c>
      <c r="B521" s="345">
        <v>2010</v>
      </c>
      <c r="C521" s="92" t="s">
        <v>5151</v>
      </c>
      <c r="D521" s="345">
        <v>20123054</v>
      </c>
      <c r="E521" s="278" t="str">
        <f t="shared" si="0"/>
        <v>https://pubmed.ncbi.nlm.nih.gov/?term=20123054</v>
      </c>
      <c r="F521" s="28" t="s">
        <v>511</v>
      </c>
      <c r="G521" s="28" t="s">
        <v>4346</v>
      </c>
    </row>
    <row r="522" spans="1:9">
      <c r="A522" s="92" t="s">
        <v>2128</v>
      </c>
      <c r="B522" s="345">
        <v>2009</v>
      </c>
      <c r="C522" s="92"/>
      <c r="D522" s="345">
        <v>19320235</v>
      </c>
      <c r="E522" s="278" t="str">
        <f t="shared" si="0"/>
        <v>https://pubmed.ncbi.nlm.nih.gov/?term=19320235</v>
      </c>
      <c r="H522" s="28" t="s">
        <v>511</v>
      </c>
      <c r="I522" s="348" t="s">
        <v>8389</v>
      </c>
    </row>
    <row r="523" spans="1:9">
      <c r="A523" s="92" t="s">
        <v>5098</v>
      </c>
      <c r="B523" s="345">
        <v>2005</v>
      </c>
      <c r="C523" s="92"/>
      <c r="D523" s="345">
        <v>15855748</v>
      </c>
      <c r="E523" s="278" t="str">
        <f t="shared" si="0"/>
        <v>https://pubmed.ncbi.nlm.nih.gov/?term=15855748</v>
      </c>
      <c r="F523" s="28" t="s">
        <v>511</v>
      </c>
      <c r="G523" s="28" t="s">
        <v>4592</v>
      </c>
    </row>
    <row r="524" spans="1:9">
      <c r="A524" s="92" t="s">
        <v>5153</v>
      </c>
      <c r="B524" s="345">
        <v>2010</v>
      </c>
      <c r="C524" s="92" t="s">
        <v>5154</v>
      </c>
      <c r="D524" s="345">
        <v>20721317</v>
      </c>
      <c r="E524" s="278" t="str">
        <f t="shared" si="0"/>
        <v>https://pubmed.ncbi.nlm.nih.gov/?term=20721317</v>
      </c>
      <c r="F524" s="28" t="s">
        <v>511</v>
      </c>
      <c r="G524" s="28" t="s">
        <v>4592</v>
      </c>
    </row>
    <row r="525" spans="1:9">
      <c r="A525" s="92" t="s">
        <v>5155</v>
      </c>
      <c r="B525" s="345">
        <v>2003</v>
      </c>
      <c r="C525" s="92"/>
      <c r="D525" s="345">
        <v>12535387</v>
      </c>
      <c r="E525" s="278" t="str">
        <f t="shared" si="0"/>
        <v>https://pubmed.ncbi.nlm.nih.gov/?term=12535387</v>
      </c>
      <c r="F525" s="28" t="s">
        <v>511</v>
      </c>
      <c r="G525" s="28" t="s">
        <v>4592</v>
      </c>
    </row>
    <row r="526" spans="1:9">
      <c r="A526" s="92" t="s">
        <v>5156</v>
      </c>
      <c r="B526" s="345">
        <v>2010</v>
      </c>
      <c r="C526" s="92"/>
      <c r="D526" s="345">
        <v>21048484</v>
      </c>
      <c r="E526" s="278" t="str">
        <f t="shared" si="0"/>
        <v>https://pubmed.ncbi.nlm.nih.gov/?term=21048484</v>
      </c>
      <c r="F526" s="28" t="s">
        <v>511</v>
      </c>
      <c r="G526" s="28" t="s">
        <v>5157</v>
      </c>
    </row>
    <row r="527" spans="1:9">
      <c r="A527" s="92" t="s">
        <v>5158</v>
      </c>
      <c r="B527" s="345">
        <v>2010</v>
      </c>
      <c r="C527" s="92" t="s">
        <v>5159</v>
      </c>
      <c r="D527" s="345">
        <v>20549558</v>
      </c>
      <c r="E527" s="278" t="str">
        <f t="shared" si="0"/>
        <v>https://pubmed.ncbi.nlm.nih.gov/?term=20549558</v>
      </c>
      <c r="F527" s="28" t="s">
        <v>511</v>
      </c>
      <c r="G527" s="28" t="s">
        <v>5160</v>
      </c>
    </row>
    <row r="528" spans="1:9">
      <c r="A528" s="92" t="s">
        <v>4723</v>
      </c>
      <c r="B528" s="345">
        <v>2000</v>
      </c>
      <c r="C528" s="92"/>
      <c r="D528" s="345">
        <v>10945375</v>
      </c>
      <c r="E528" s="278" t="str">
        <f t="shared" si="0"/>
        <v>https://pubmed.ncbi.nlm.nih.gov/?term=10945375</v>
      </c>
      <c r="F528" s="28" t="s">
        <v>511</v>
      </c>
      <c r="G528" s="28" t="s">
        <v>4592</v>
      </c>
    </row>
    <row r="529" spans="1:8">
      <c r="A529" s="92" t="s">
        <v>5161</v>
      </c>
      <c r="B529" s="345">
        <v>2010</v>
      </c>
      <c r="C529" s="92"/>
      <c r="D529" s="345">
        <v>20694562</v>
      </c>
      <c r="E529" s="278" t="str">
        <f t="shared" si="0"/>
        <v>https://pubmed.ncbi.nlm.nih.gov/?term=20694562</v>
      </c>
      <c r="F529" s="28" t="s">
        <v>511</v>
      </c>
      <c r="G529" s="28" t="s">
        <v>4346</v>
      </c>
    </row>
    <row r="530" spans="1:8">
      <c r="A530" s="92" t="s">
        <v>5162</v>
      </c>
      <c r="B530" s="345">
        <v>2007</v>
      </c>
      <c r="C530" s="92"/>
      <c r="D530" s="345">
        <v>17253505</v>
      </c>
      <c r="E530" s="278" t="str">
        <f t="shared" si="0"/>
        <v>https://pubmed.ncbi.nlm.nih.gov/?term=17253505</v>
      </c>
      <c r="F530" s="28" t="s">
        <v>511</v>
      </c>
      <c r="G530" s="28" t="s">
        <v>4592</v>
      </c>
    </row>
    <row r="531" spans="1:8">
      <c r="A531" s="92" t="s">
        <v>4724</v>
      </c>
      <c r="B531" s="345">
        <v>2000</v>
      </c>
      <c r="C531" s="92"/>
      <c r="D531" s="345">
        <v>10719741</v>
      </c>
      <c r="E531" s="278" t="str">
        <f t="shared" si="0"/>
        <v>https://pubmed.ncbi.nlm.nih.gov/?term=10719741</v>
      </c>
      <c r="F531" s="28" t="s">
        <v>511</v>
      </c>
      <c r="G531" s="28" t="s">
        <v>4592</v>
      </c>
    </row>
    <row r="532" spans="1:8">
      <c r="A532" s="92" t="s">
        <v>4742</v>
      </c>
      <c r="B532" s="345">
        <v>2007</v>
      </c>
      <c r="C532" s="92" t="s">
        <v>5163</v>
      </c>
      <c r="D532" s="345">
        <v>17636662</v>
      </c>
      <c r="E532" s="278" t="str">
        <f t="shared" si="0"/>
        <v>https://pubmed.ncbi.nlm.nih.gov/?term=17636662</v>
      </c>
      <c r="F532" s="28" t="s">
        <v>511</v>
      </c>
      <c r="G532" s="28" t="s">
        <v>4592</v>
      </c>
    </row>
    <row r="533" spans="1:8">
      <c r="A533" s="92" t="s">
        <v>5164</v>
      </c>
      <c r="B533" s="345">
        <v>2008</v>
      </c>
      <c r="C533" s="92"/>
      <c r="D533" s="345">
        <v>18764771</v>
      </c>
      <c r="E533" s="278" t="str">
        <f t="shared" si="0"/>
        <v>https://pubmed.ncbi.nlm.nih.gov/?term=18764771</v>
      </c>
      <c r="F533" s="28" t="s">
        <v>511</v>
      </c>
      <c r="G533" s="28" t="s">
        <v>4744</v>
      </c>
    </row>
    <row r="534" spans="1:8">
      <c r="A534" s="92" t="s">
        <v>5165</v>
      </c>
      <c r="B534" s="345">
        <v>2009</v>
      </c>
      <c r="C534" s="92"/>
      <c r="D534" s="345">
        <v>19720365</v>
      </c>
      <c r="E534" s="278" t="str">
        <f t="shared" si="0"/>
        <v>https://pubmed.ncbi.nlm.nih.gov/?term=19720365</v>
      </c>
      <c r="F534" s="28" t="s">
        <v>511</v>
      </c>
      <c r="G534" s="28" t="s">
        <v>5166</v>
      </c>
    </row>
    <row r="535" spans="1:8">
      <c r="A535" s="92" t="s">
        <v>5167</v>
      </c>
      <c r="B535" s="345">
        <v>2010</v>
      </c>
      <c r="C535" s="92" t="s">
        <v>5168</v>
      </c>
      <c r="D535" s="345">
        <v>20616187</v>
      </c>
      <c r="E535" s="278" t="str">
        <f t="shared" si="0"/>
        <v>https://pubmed.ncbi.nlm.nih.gov/?term=20616187</v>
      </c>
      <c r="F535" s="28" t="s">
        <v>511</v>
      </c>
      <c r="G535" s="28" t="s">
        <v>4346</v>
      </c>
    </row>
    <row r="536" spans="1:8">
      <c r="A536" s="92" t="s">
        <v>5169</v>
      </c>
      <c r="B536" s="345">
        <v>2002</v>
      </c>
      <c r="C536" s="92"/>
      <c r="D536" s="345">
        <v>12492903</v>
      </c>
      <c r="E536" s="278" t="str">
        <f t="shared" si="0"/>
        <v>https://pubmed.ncbi.nlm.nih.gov/?term=12492903</v>
      </c>
      <c r="F536" s="28" t="s">
        <v>511</v>
      </c>
      <c r="G536" s="28" t="s">
        <v>4744</v>
      </c>
    </row>
    <row r="537" spans="1:8">
      <c r="A537" s="92" t="s">
        <v>5170</v>
      </c>
      <c r="B537" s="345">
        <v>2001</v>
      </c>
      <c r="C537" s="92"/>
      <c r="D537" s="345">
        <v>11445748</v>
      </c>
      <c r="E537" s="278" t="str">
        <f t="shared" si="0"/>
        <v>https://pubmed.ncbi.nlm.nih.gov/?term=11445748</v>
      </c>
      <c r="F537" s="28" t="s">
        <v>511</v>
      </c>
      <c r="G537" s="28" t="s">
        <v>4592</v>
      </c>
    </row>
    <row r="538" spans="1:8">
      <c r="A538" s="92" t="s">
        <v>4055</v>
      </c>
      <c r="B538" s="345">
        <v>2006</v>
      </c>
      <c r="C538" s="92"/>
      <c r="D538" s="345">
        <v>17012875</v>
      </c>
      <c r="E538" s="278" t="str">
        <f t="shared" si="0"/>
        <v>https://pubmed.ncbi.nlm.nih.gov/?term=17012875</v>
      </c>
      <c r="F538" s="28" t="s">
        <v>511</v>
      </c>
      <c r="G538" s="28" t="s">
        <v>5171</v>
      </c>
    </row>
    <row r="539" spans="1:8">
      <c r="A539" s="92" t="s">
        <v>5172</v>
      </c>
      <c r="B539" s="345">
        <v>2004</v>
      </c>
      <c r="C539" s="92"/>
      <c r="D539" s="345">
        <v>15373955</v>
      </c>
      <c r="E539" s="278" t="str">
        <f t="shared" si="0"/>
        <v>https://pubmed.ncbi.nlm.nih.gov/?term=15373955</v>
      </c>
      <c r="F539" s="28" t="s">
        <v>511</v>
      </c>
      <c r="G539" s="28" t="s">
        <v>4592</v>
      </c>
    </row>
    <row r="540" spans="1:8">
      <c r="A540" s="92" t="s">
        <v>5173</v>
      </c>
      <c r="B540" s="345">
        <v>2001</v>
      </c>
      <c r="C540" s="92" t="s">
        <v>5174</v>
      </c>
      <c r="D540" s="345">
        <v>11811892</v>
      </c>
      <c r="E540" s="278" t="str">
        <f t="shared" si="0"/>
        <v>https://pubmed.ncbi.nlm.nih.gov/?term=11811892</v>
      </c>
      <c r="F540" s="28" t="s">
        <v>511</v>
      </c>
      <c r="G540" s="28" t="s">
        <v>5175</v>
      </c>
    </row>
    <row r="541" spans="1:8">
      <c r="A541" s="92" t="s">
        <v>4270</v>
      </c>
      <c r="B541" s="345">
        <v>2002</v>
      </c>
      <c r="C541" s="92"/>
      <c r="D541" s="345">
        <v>11893972</v>
      </c>
      <c r="E541" s="278" t="str">
        <f t="shared" si="0"/>
        <v>https://pubmed.ncbi.nlm.nih.gov/?term=11893972</v>
      </c>
      <c r="H541" s="28" t="s">
        <v>511</v>
      </c>
    </row>
    <row r="542" spans="1:8">
      <c r="A542" s="92" t="s">
        <v>5176</v>
      </c>
      <c r="B542" s="345">
        <v>2005</v>
      </c>
      <c r="C542" s="92"/>
      <c r="D542" s="345">
        <v>16235362</v>
      </c>
      <c r="E542" s="278" t="str">
        <f t="shared" si="0"/>
        <v>https://pubmed.ncbi.nlm.nih.gov/?term=16235362</v>
      </c>
      <c r="F542" s="28" t="s">
        <v>511</v>
      </c>
      <c r="G542" s="28" t="s">
        <v>4592</v>
      </c>
    </row>
    <row r="543" spans="1:8">
      <c r="A543" s="92" t="s">
        <v>1616</v>
      </c>
      <c r="B543" s="345">
        <v>2007</v>
      </c>
      <c r="C543" s="92" t="s">
        <v>5177</v>
      </c>
      <c r="D543" s="345">
        <v>17074855</v>
      </c>
      <c r="E543" s="278" t="str">
        <f t="shared" si="0"/>
        <v>https://pubmed.ncbi.nlm.nih.gov/?term=17074855</v>
      </c>
      <c r="H543" s="28" t="s">
        <v>511</v>
      </c>
    </row>
    <row r="544" spans="1:8">
      <c r="A544" s="92" t="s">
        <v>5178</v>
      </c>
      <c r="B544" s="345">
        <v>2007</v>
      </c>
      <c r="C544" s="92"/>
      <c r="D544" s="345">
        <v>17551890</v>
      </c>
      <c r="E544" s="278" t="str">
        <f t="shared" si="0"/>
        <v>https://pubmed.ncbi.nlm.nih.gov/?term=17551890</v>
      </c>
      <c r="F544" s="28" t="s">
        <v>511</v>
      </c>
      <c r="G544" s="28" t="s">
        <v>4744</v>
      </c>
    </row>
    <row r="545" spans="1:8">
      <c r="A545" s="92" t="s">
        <v>5179</v>
      </c>
      <c r="B545" s="345">
        <v>2010</v>
      </c>
      <c r="C545" s="92"/>
      <c r="D545" s="345">
        <v>20074161</v>
      </c>
      <c r="E545" s="278" t="str">
        <f t="shared" si="0"/>
        <v>https://pubmed.ncbi.nlm.nih.gov/?term=20074161</v>
      </c>
      <c r="F545" s="28" t="s">
        <v>511</v>
      </c>
      <c r="G545" s="28" t="s">
        <v>4346</v>
      </c>
    </row>
    <row r="546" spans="1:8">
      <c r="A546" s="92" t="s">
        <v>5180</v>
      </c>
      <c r="B546" s="345">
        <v>2007</v>
      </c>
      <c r="C546" s="92"/>
      <c r="D546" s="345">
        <v>17957154</v>
      </c>
      <c r="E546" s="278" t="str">
        <f t="shared" si="0"/>
        <v>https://pubmed.ncbi.nlm.nih.gov/?term=17957154</v>
      </c>
      <c r="F546" s="28" t="s">
        <v>511</v>
      </c>
      <c r="G546" s="28" t="s">
        <v>4346</v>
      </c>
    </row>
    <row r="547" spans="1:8">
      <c r="A547" s="92" t="s">
        <v>5044</v>
      </c>
      <c r="B547" s="345">
        <v>2004</v>
      </c>
      <c r="C547" s="92"/>
      <c r="D547" s="345">
        <v>15555475</v>
      </c>
      <c r="E547" s="278" t="str">
        <f t="shared" si="0"/>
        <v>https://pubmed.ncbi.nlm.nih.gov/?term=15555475</v>
      </c>
      <c r="F547" s="28" t="s">
        <v>511</v>
      </c>
      <c r="G547" s="28" t="s">
        <v>4592</v>
      </c>
    </row>
    <row r="548" spans="1:8">
      <c r="A548" s="92" t="s">
        <v>5181</v>
      </c>
      <c r="B548" s="345">
        <v>2003</v>
      </c>
      <c r="C548" s="92"/>
      <c r="D548" s="345">
        <v>14583957</v>
      </c>
      <c r="E548" s="278" t="str">
        <f t="shared" si="0"/>
        <v>https://pubmed.ncbi.nlm.nih.gov/?term=14583957</v>
      </c>
      <c r="F548" s="28" t="s">
        <v>511</v>
      </c>
      <c r="G548" s="28" t="s">
        <v>4592</v>
      </c>
    </row>
    <row r="549" spans="1:8">
      <c r="A549" s="92" t="s">
        <v>5123</v>
      </c>
      <c r="B549" s="345">
        <v>2004</v>
      </c>
      <c r="C549" s="92"/>
      <c r="D549" s="345">
        <v>15479374</v>
      </c>
      <c r="E549" s="278" t="str">
        <f t="shared" si="0"/>
        <v>https://pubmed.ncbi.nlm.nih.gov/?term=15479374</v>
      </c>
      <c r="F549" s="28" t="s">
        <v>511</v>
      </c>
      <c r="G549" s="28" t="s">
        <v>4592</v>
      </c>
    </row>
    <row r="550" spans="1:8">
      <c r="A550" s="92" t="s">
        <v>5182</v>
      </c>
      <c r="B550" s="345">
        <v>2002</v>
      </c>
      <c r="C550" s="92"/>
      <c r="D550" s="345">
        <v>12127863</v>
      </c>
      <c r="E550" s="278" t="str">
        <f t="shared" si="0"/>
        <v>https://pubmed.ncbi.nlm.nih.gov/?term=12127863</v>
      </c>
      <c r="F550" s="28" t="s">
        <v>511</v>
      </c>
      <c r="G550" s="28" t="s">
        <v>4592</v>
      </c>
    </row>
    <row r="551" spans="1:8">
      <c r="A551" s="92" t="s">
        <v>5183</v>
      </c>
      <c r="B551" s="345">
        <v>2008</v>
      </c>
      <c r="C551" s="92"/>
      <c r="D551" s="345">
        <v>18714060</v>
      </c>
      <c r="E551" s="278" t="str">
        <f t="shared" si="0"/>
        <v>https://pubmed.ncbi.nlm.nih.gov/?term=18714060</v>
      </c>
      <c r="F551" s="28" t="s">
        <v>511</v>
      </c>
      <c r="G551" s="28" t="s">
        <v>5184</v>
      </c>
    </row>
    <row r="552" spans="1:8">
      <c r="A552" s="92" t="s">
        <v>1265</v>
      </c>
      <c r="B552" s="345">
        <v>2009</v>
      </c>
      <c r="C552" s="92"/>
      <c r="D552" s="345">
        <v>19641203</v>
      </c>
      <c r="E552" s="278" t="str">
        <f t="shared" si="0"/>
        <v>https://pubmed.ncbi.nlm.nih.gov/?term=19641203</v>
      </c>
      <c r="H552" s="28" t="s">
        <v>511</v>
      </c>
    </row>
    <row r="553" spans="1:8">
      <c r="A553" s="92" t="s">
        <v>5185</v>
      </c>
      <c r="B553" s="345">
        <v>2007</v>
      </c>
      <c r="C553" s="92"/>
      <c r="D553" s="345">
        <v>18094803</v>
      </c>
      <c r="E553" s="278" t="str">
        <f t="shared" si="0"/>
        <v>https://pubmed.ncbi.nlm.nih.gov/?term=18094803</v>
      </c>
      <c r="F553" s="28" t="s">
        <v>511</v>
      </c>
      <c r="G553" s="28" t="s">
        <v>4346</v>
      </c>
    </row>
    <row r="554" spans="1:8">
      <c r="A554" s="92" t="s">
        <v>5186</v>
      </c>
      <c r="B554" s="345">
        <v>2004</v>
      </c>
      <c r="C554" s="92" t="s">
        <v>5187</v>
      </c>
      <c r="D554" s="345">
        <v>15025767</v>
      </c>
      <c r="E554" s="278" t="str">
        <f t="shared" si="0"/>
        <v>https://pubmed.ncbi.nlm.nih.gov/?term=15025767</v>
      </c>
      <c r="F554" s="28" t="s">
        <v>511</v>
      </c>
      <c r="G554" s="28" t="s">
        <v>8390</v>
      </c>
    </row>
    <row r="555" spans="1:8">
      <c r="A555" s="92" t="s">
        <v>5189</v>
      </c>
      <c r="B555" s="345">
        <v>2009</v>
      </c>
      <c r="C555" s="92"/>
      <c r="D555" s="345">
        <v>19036570</v>
      </c>
      <c r="E555" s="278" t="str">
        <f t="shared" si="0"/>
        <v>https://pubmed.ncbi.nlm.nih.gov/?term=19036570</v>
      </c>
      <c r="F555" s="28" t="s">
        <v>511</v>
      </c>
      <c r="G555" s="28" t="s">
        <v>5190</v>
      </c>
    </row>
    <row r="556" spans="1:8">
      <c r="A556" s="92" t="s">
        <v>5191</v>
      </c>
      <c r="B556" s="345">
        <v>2007</v>
      </c>
      <c r="C556" s="92" t="s">
        <v>5192</v>
      </c>
      <c r="D556" s="345">
        <v>17651479</v>
      </c>
      <c r="E556" s="278" t="str">
        <f t="shared" si="0"/>
        <v>https://pubmed.ncbi.nlm.nih.gov/?term=17651479</v>
      </c>
      <c r="F556" s="28" t="s">
        <v>511</v>
      </c>
      <c r="G556" s="28" t="s">
        <v>4744</v>
      </c>
    </row>
    <row r="557" spans="1:8">
      <c r="A557" s="92" t="s">
        <v>5193</v>
      </c>
      <c r="B557" s="345">
        <v>2009</v>
      </c>
      <c r="C557" s="92"/>
      <c r="D557" s="345">
        <v>19770750</v>
      </c>
      <c r="E557" s="278" t="str">
        <f t="shared" si="0"/>
        <v>https://pubmed.ncbi.nlm.nih.gov/?term=19770750</v>
      </c>
      <c r="F557" s="28" t="s">
        <v>511</v>
      </c>
      <c r="G557" s="28" t="s">
        <v>4346</v>
      </c>
    </row>
    <row r="558" spans="1:8">
      <c r="A558" s="92" t="s">
        <v>5194</v>
      </c>
      <c r="B558" s="345">
        <v>2009</v>
      </c>
      <c r="C558" s="92" t="s">
        <v>5195</v>
      </c>
      <c r="D558" s="345">
        <v>18981253</v>
      </c>
      <c r="E558" s="278" t="str">
        <f t="shared" si="0"/>
        <v>https://pubmed.ncbi.nlm.nih.gov/?term=18981253</v>
      </c>
      <c r="F558" s="28" t="s">
        <v>511</v>
      </c>
      <c r="G558" s="28" t="s">
        <v>4346</v>
      </c>
    </row>
    <row r="559" spans="1:8">
      <c r="A559" s="92" t="s">
        <v>5196</v>
      </c>
      <c r="B559" s="345">
        <v>2008</v>
      </c>
      <c r="C559" s="92"/>
      <c r="D559" s="345">
        <v>17311056</v>
      </c>
      <c r="E559" s="278" t="str">
        <f t="shared" si="0"/>
        <v>https://pubmed.ncbi.nlm.nih.gov/?term=17311056</v>
      </c>
      <c r="F559" s="28" t="s">
        <v>511</v>
      </c>
      <c r="G559" s="28" t="s">
        <v>5197</v>
      </c>
    </row>
    <row r="560" spans="1:8">
      <c r="A560" s="92" t="s">
        <v>5198</v>
      </c>
      <c r="B560" s="345">
        <v>2003</v>
      </c>
      <c r="C560" s="92"/>
      <c r="D560" s="345">
        <v>12888986</v>
      </c>
      <c r="E560" s="278" t="str">
        <f t="shared" si="0"/>
        <v>https://pubmed.ncbi.nlm.nih.gov/?term=12888986</v>
      </c>
      <c r="F560" s="28" t="s">
        <v>511</v>
      </c>
      <c r="G560" s="28" t="s">
        <v>5199</v>
      </c>
    </row>
    <row r="561" spans="1:8">
      <c r="A561" s="92" t="s">
        <v>5200</v>
      </c>
      <c r="B561" s="345">
        <v>2005</v>
      </c>
      <c r="C561" s="92"/>
      <c r="D561" s="345">
        <v>16101105</v>
      </c>
      <c r="E561" s="278" t="str">
        <f t="shared" si="0"/>
        <v>https://pubmed.ncbi.nlm.nih.gov/?term=16101105</v>
      </c>
      <c r="F561" s="28" t="s">
        <v>511</v>
      </c>
      <c r="G561" s="28" t="s">
        <v>4592</v>
      </c>
    </row>
    <row r="562" spans="1:8">
      <c r="A562" s="92" t="s">
        <v>5201</v>
      </c>
      <c r="B562" s="345">
        <v>2011</v>
      </c>
      <c r="C562" s="92"/>
      <c r="D562" s="345">
        <v>20723147</v>
      </c>
      <c r="E562" s="278" t="str">
        <f t="shared" si="0"/>
        <v>https://pubmed.ncbi.nlm.nih.gov/?term=20723147</v>
      </c>
      <c r="F562" s="28" t="s">
        <v>511</v>
      </c>
      <c r="G562" s="28" t="s">
        <v>4346</v>
      </c>
    </row>
    <row r="563" spans="1:8">
      <c r="A563" s="92" t="s">
        <v>5202</v>
      </c>
      <c r="B563" s="345">
        <v>2004</v>
      </c>
      <c r="C563" s="92"/>
      <c r="D563" s="345">
        <v>15577578</v>
      </c>
      <c r="E563" s="278" t="str">
        <f t="shared" si="0"/>
        <v>https://pubmed.ncbi.nlm.nih.gov/?term=15577578</v>
      </c>
      <c r="F563" s="28" t="s">
        <v>511</v>
      </c>
      <c r="G563" s="28" t="s">
        <v>4592</v>
      </c>
    </row>
    <row r="564" spans="1:8">
      <c r="A564" s="92" t="s">
        <v>5203</v>
      </c>
      <c r="B564" s="345">
        <v>2009</v>
      </c>
      <c r="C564" s="92"/>
      <c r="D564" s="345">
        <v>19124087</v>
      </c>
      <c r="E564" s="278" t="str">
        <f t="shared" si="0"/>
        <v>https://pubmed.ncbi.nlm.nih.gov/?term=19124087</v>
      </c>
      <c r="F564" s="28" t="s">
        <v>511</v>
      </c>
      <c r="G564" s="28" t="s">
        <v>4346</v>
      </c>
    </row>
    <row r="565" spans="1:8">
      <c r="A565" s="92" t="s">
        <v>5204</v>
      </c>
      <c r="B565" s="345">
        <v>2009</v>
      </c>
      <c r="C565" s="92" t="s">
        <v>5205</v>
      </c>
      <c r="D565" s="345">
        <v>19409533</v>
      </c>
      <c r="E565" s="278" t="str">
        <f t="shared" si="0"/>
        <v>https://pubmed.ncbi.nlm.nih.gov/?term=19409533</v>
      </c>
      <c r="F565" s="28" t="s">
        <v>511</v>
      </c>
      <c r="G565" s="28" t="s">
        <v>5206</v>
      </c>
    </row>
    <row r="566" spans="1:8">
      <c r="A566" s="92" t="s">
        <v>5207</v>
      </c>
      <c r="B566" s="345">
        <v>2010</v>
      </c>
      <c r="C566" s="92" t="s">
        <v>5208</v>
      </c>
      <c r="D566" s="345">
        <v>21179538</v>
      </c>
      <c r="E566" s="278" t="str">
        <f t="shared" si="0"/>
        <v>https://pubmed.ncbi.nlm.nih.gov/?term=21179538</v>
      </c>
      <c r="F566" s="28" t="s">
        <v>511</v>
      </c>
      <c r="G566" s="28" t="s">
        <v>4346</v>
      </c>
    </row>
    <row r="567" spans="1:8">
      <c r="A567" s="92" t="s">
        <v>4732</v>
      </c>
      <c r="B567" s="345">
        <v>2000</v>
      </c>
      <c r="C567" s="92"/>
      <c r="D567" s="345">
        <v>10773116</v>
      </c>
      <c r="E567" s="278" t="str">
        <f t="shared" si="0"/>
        <v>https://pubmed.ncbi.nlm.nih.gov/?term=10773116</v>
      </c>
      <c r="F567" s="28" t="s">
        <v>511</v>
      </c>
      <c r="G567" s="28" t="s">
        <v>4592</v>
      </c>
    </row>
    <row r="568" spans="1:8">
      <c r="A568" s="92" t="s">
        <v>5209</v>
      </c>
      <c r="B568" s="345">
        <v>2004</v>
      </c>
      <c r="C568" s="92"/>
      <c r="D568" s="345">
        <v>15027996</v>
      </c>
      <c r="E568" s="278" t="str">
        <f t="shared" si="0"/>
        <v>https://pubmed.ncbi.nlm.nih.gov/?term=15027996</v>
      </c>
      <c r="F568" s="28" t="s">
        <v>511</v>
      </c>
      <c r="G568" s="28" t="s">
        <v>5210</v>
      </c>
    </row>
    <row r="569" spans="1:8">
      <c r="A569" s="92" t="s">
        <v>5211</v>
      </c>
      <c r="B569" s="345">
        <v>2010</v>
      </c>
      <c r="C569" s="92"/>
      <c r="D569" s="345">
        <v>19818365</v>
      </c>
      <c r="E569" s="278" t="str">
        <f t="shared" si="0"/>
        <v>https://pubmed.ncbi.nlm.nih.gov/?term=19818365</v>
      </c>
      <c r="F569" s="28" t="s">
        <v>511</v>
      </c>
      <c r="G569" s="28" t="s">
        <v>5210</v>
      </c>
    </row>
    <row r="570" spans="1:8">
      <c r="A570" s="92" t="s">
        <v>5212</v>
      </c>
      <c r="B570" s="345">
        <v>2010</v>
      </c>
      <c r="C570" s="92" t="s">
        <v>5213</v>
      </c>
      <c r="D570" s="345">
        <v>20720211</v>
      </c>
      <c r="E570" s="278" t="str">
        <f t="shared" si="0"/>
        <v>https://pubmed.ncbi.nlm.nih.gov/?term=20720211</v>
      </c>
      <c r="F570" s="28" t="s">
        <v>511</v>
      </c>
      <c r="G570" s="28" t="s">
        <v>4346</v>
      </c>
    </row>
    <row r="571" spans="1:8">
      <c r="A571" s="92" t="s">
        <v>5214</v>
      </c>
      <c r="B571" s="345">
        <v>2005</v>
      </c>
      <c r="C571" s="92" t="s">
        <v>5215</v>
      </c>
      <c r="D571" s="345">
        <v>15971954</v>
      </c>
      <c r="E571" s="278" t="str">
        <f t="shared" si="0"/>
        <v>https://pubmed.ncbi.nlm.nih.gov/?term=15971954</v>
      </c>
      <c r="F571" s="28" t="s">
        <v>511</v>
      </c>
      <c r="G571" s="28" t="s">
        <v>4346</v>
      </c>
    </row>
    <row r="572" spans="1:8">
      <c r="A572" s="92" t="s">
        <v>5216</v>
      </c>
      <c r="B572" s="345">
        <v>2008</v>
      </c>
      <c r="C572" s="92"/>
      <c r="D572" s="345">
        <v>19013336</v>
      </c>
      <c r="E572" s="278" t="str">
        <f t="shared" si="0"/>
        <v>https://pubmed.ncbi.nlm.nih.gov/?term=19013336</v>
      </c>
      <c r="F572" s="28" t="s">
        <v>511</v>
      </c>
      <c r="G572" s="28" t="s">
        <v>4592</v>
      </c>
    </row>
    <row r="573" spans="1:8">
      <c r="A573" s="92" t="s">
        <v>2289</v>
      </c>
      <c r="B573" s="345">
        <v>2004</v>
      </c>
      <c r="C573" s="92" t="s">
        <v>5217</v>
      </c>
      <c r="D573" s="345">
        <v>15156472</v>
      </c>
      <c r="E573" s="278" t="str">
        <f t="shared" si="0"/>
        <v>https://pubmed.ncbi.nlm.nih.gov/?term=15156472</v>
      </c>
      <c r="H573" s="28" t="s">
        <v>511</v>
      </c>
    </row>
    <row r="574" spans="1:8">
      <c r="A574" s="92" t="s">
        <v>5218</v>
      </c>
      <c r="B574" s="345">
        <v>2010</v>
      </c>
      <c r="C574" s="92"/>
      <c r="D574" s="345">
        <v>20658486</v>
      </c>
      <c r="E574" s="278" t="str">
        <f t="shared" si="0"/>
        <v>https://pubmed.ncbi.nlm.nih.gov/?term=20658486</v>
      </c>
      <c r="F574" s="28" t="s">
        <v>511</v>
      </c>
      <c r="G574" s="28" t="s">
        <v>4346</v>
      </c>
    </row>
    <row r="575" spans="1:8">
      <c r="A575" s="92" t="s">
        <v>5219</v>
      </c>
      <c r="B575" s="345">
        <v>2002</v>
      </c>
      <c r="C575" s="92"/>
      <c r="D575" s="345">
        <v>11928904</v>
      </c>
      <c r="E575" s="278" t="str">
        <f t="shared" si="0"/>
        <v>https://pubmed.ncbi.nlm.nih.gov/?term=11928904</v>
      </c>
      <c r="F575" s="28" t="s">
        <v>511</v>
      </c>
      <c r="G575" s="28" t="s">
        <v>4346</v>
      </c>
    </row>
    <row r="576" spans="1:8">
      <c r="A576" s="92" t="s">
        <v>5220</v>
      </c>
      <c r="B576" s="345">
        <v>2010</v>
      </c>
      <c r="C576" s="92"/>
      <c r="D576" s="345">
        <v>20855659</v>
      </c>
      <c r="E576" s="278" t="str">
        <f t="shared" si="0"/>
        <v>https://pubmed.ncbi.nlm.nih.gov/?term=20855659</v>
      </c>
      <c r="F576" s="28" t="s">
        <v>511</v>
      </c>
      <c r="G576" s="28" t="s">
        <v>4346</v>
      </c>
    </row>
    <row r="577" spans="1:8">
      <c r="A577" s="92" t="s">
        <v>5221</v>
      </c>
      <c r="B577" s="345">
        <v>2007</v>
      </c>
      <c r="C577" s="92"/>
      <c r="D577" s="345">
        <v>16997473</v>
      </c>
      <c r="E577" s="278" t="str">
        <f t="shared" si="0"/>
        <v>https://pubmed.ncbi.nlm.nih.gov/?term=16997473</v>
      </c>
      <c r="F577" s="28" t="s">
        <v>511</v>
      </c>
      <c r="G577" s="28" t="s">
        <v>4346</v>
      </c>
    </row>
    <row r="578" spans="1:8">
      <c r="A578" s="92" t="s">
        <v>5222</v>
      </c>
      <c r="B578" s="345">
        <v>2006</v>
      </c>
      <c r="C578" s="92" t="s">
        <v>5223</v>
      </c>
      <c r="D578" s="345">
        <v>16605302</v>
      </c>
      <c r="E578" s="278" t="str">
        <f t="shared" si="0"/>
        <v>https://pubmed.ncbi.nlm.nih.gov/?term=16605302</v>
      </c>
      <c r="F578" s="28" t="s">
        <v>511</v>
      </c>
      <c r="G578" s="28" t="s">
        <v>4346</v>
      </c>
    </row>
    <row r="579" spans="1:8">
      <c r="A579" s="92" t="s">
        <v>2142</v>
      </c>
      <c r="B579" s="345">
        <v>2001</v>
      </c>
      <c r="C579" s="92"/>
      <c r="D579" s="345">
        <v>11343523</v>
      </c>
      <c r="E579" s="278" t="str">
        <f t="shared" si="0"/>
        <v>https://pubmed.ncbi.nlm.nih.gov/?term=11343523</v>
      </c>
      <c r="H579" s="28" t="s">
        <v>8391</v>
      </c>
    </row>
    <row r="580" spans="1:8">
      <c r="A580" s="92" t="s">
        <v>2354</v>
      </c>
      <c r="B580" s="345">
        <v>2010</v>
      </c>
      <c r="C580" s="92" t="s">
        <v>5224</v>
      </c>
      <c r="D580" s="345">
        <v>20086085</v>
      </c>
      <c r="E580" s="278" t="str">
        <f t="shared" si="0"/>
        <v>https://pubmed.ncbi.nlm.nih.gov/?term=20086085</v>
      </c>
      <c r="H580" s="28" t="s">
        <v>511</v>
      </c>
    </row>
    <row r="581" spans="1:8">
      <c r="A581" s="92" t="s">
        <v>5225</v>
      </c>
      <c r="B581" s="345">
        <v>2010</v>
      </c>
      <c r="C581" s="92" t="s">
        <v>5226</v>
      </c>
      <c r="D581" s="345">
        <v>20673363</v>
      </c>
      <c r="E581" s="278" t="str">
        <f t="shared" si="0"/>
        <v>https://pubmed.ncbi.nlm.nih.gov/?term=20673363</v>
      </c>
      <c r="F581" s="28" t="s">
        <v>511</v>
      </c>
      <c r="G581" s="28" t="s">
        <v>4346</v>
      </c>
    </row>
    <row r="582" spans="1:8">
      <c r="A582" s="92" t="s">
        <v>5155</v>
      </c>
      <c r="B582" s="345">
        <v>2007</v>
      </c>
      <c r="C582" s="92" t="s">
        <v>5227</v>
      </c>
      <c r="D582" s="345">
        <v>17636596</v>
      </c>
      <c r="E582" s="278" t="str">
        <f t="shared" si="0"/>
        <v>https://pubmed.ncbi.nlm.nih.gov/?term=17636596</v>
      </c>
      <c r="F582" s="28" t="s">
        <v>511</v>
      </c>
      <c r="G582" s="28" t="s">
        <v>4592</v>
      </c>
    </row>
    <row r="583" spans="1:8">
      <c r="A583" s="92" t="s">
        <v>5228</v>
      </c>
      <c r="B583" s="345">
        <v>2009</v>
      </c>
      <c r="C583" s="92" t="s">
        <v>5229</v>
      </c>
      <c r="D583" s="345">
        <v>19301588</v>
      </c>
      <c r="E583" s="278" t="str">
        <f t="shared" si="0"/>
        <v>https://pubmed.ncbi.nlm.nih.gov/?term=19301588</v>
      </c>
      <c r="F583" s="28" t="s">
        <v>511</v>
      </c>
      <c r="G583" s="28" t="s">
        <v>4346</v>
      </c>
    </row>
    <row r="584" spans="1:8">
      <c r="A584" s="92" t="s">
        <v>5186</v>
      </c>
      <c r="B584" s="345">
        <v>2008</v>
      </c>
      <c r="C584" s="92"/>
      <c r="D584" s="345">
        <v>18956286</v>
      </c>
      <c r="E584" s="278" t="str">
        <f t="shared" si="0"/>
        <v>https://pubmed.ncbi.nlm.nih.gov/?term=18956286</v>
      </c>
      <c r="F584" s="28" t="s">
        <v>511</v>
      </c>
      <c r="G584" s="28" t="s">
        <v>4592</v>
      </c>
    </row>
    <row r="585" spans="1:8">
      <c r="A585" s="92" t="s">
        <v>5230</v>
      </c>
      <c r="B585" s="345">
        <v>2010</v>
      </c>
      <c r="C585" s="92"/>
      <c r="D585" s="345">
        <v>20196950</v>
      </c>
      <c r="E585" s="278" t="str">
        <f t="shared" si="0"/>
        <v>https://pubmed.ncbi.nlm.nih.gov/?term=20196950</v>
      </c>
      <c r="F585" s="28" t="s">
        <v>511</v>
      </c>
      <c r="G585" s="28" t="s">
        <v>4587</v>
      </c>
    </row>
    <row r="586" spans="1:8">
      <c r="A586" s="92" t="s">
        <v>5231</v>
      </c>
      <c r="B586" s="345">
        <v>2002</v>
      </c>
      <c r="C586" s="92"/>
      <c r="D586" s="345">
        <v>11884466</v>
      </c>
      <c r="E586" s="278" t="str">
        <f t="shared" si="0"/>
        <v>https://pubmed.ncbi.nlm.nih.gov/?term=11884466</v>
      </c>
      <c r="F586" s="28" t="s">
        <v>511</v>
      </c>
      <c r="G586" s="28" t="s">
        <v>5232</v>
      </c>
    </row>
    <row r="587" spans="1:8">
      <c r="A587" s="92" t="s">
        <v>5233</v>
      </c>
      <c r="B587" s="345">
        <v>2004</v>
      </c>
      <c r="C587" s="92" t="s">
        <v>5234</v>
      </c>
      <c r="D587" s="345">
        <v>15498157</v>
      </c>
      <c r="E587" s="278" t="str">
        <f t="shared" si="0"/>
        <v>https://pubmed.ncbi.nlm.nih.gov/?term=15498157</v>
      </c>
      <c r="F587" s="28" t="s">
        <v>511</v>
      </c>
      <c r="G587" s="28" t="s">
        <v>4346</v>
      </c>
    </row>
    <row r="588" spans="1:8">
      <c r="A588" s="92" t="s">
        <v>5235</v>
      </c>
      <c r="B588" s="345">
        <v>2003</v>
      </c>
      <c r="C588" s="92"/>
      <c r="D588" s="345">
        <v>12893645</v>
      </c>
      <c r="E588" s="278" t="str">
        <f t="shared" si="0"/>
        <v>https://pubmed.ncbi.nlm.nih.gov/?term=12893645</v>
      </c>
      <c r="F588" s="28" t="s">
        <v>511</v>
      </c>
      <c r="G588" s="28" t="s">
        <v>4811</v>
      </c>
    </row>
    <row r="589" spans="1:8">
      <c r="A589" s="92" t="s">
        <v>1740</v>
      </c>
      <c r="B589" s="345">
        <v>2003</v>
      </c>
      <c r="C589" s="92"/>
      <c r="D589" s="345">
        <v>14533659</v>
      </c>
      <c r="E589" s="278" t="str">
        <f t="shared" si="0"/>
        <v>https://pubmed.ncbi.nlm.nih.gov/?term=14533659</v>
      </c>
      <c r="H589" s="28" t="s">
        <v>511</v>
      </c>
    </row>
    <row r="590" spans="1:8">
      <c r="A590" s="92" t="s">
        <v>5236</v>
      </c>
      <c r="B590" s="345">
        <v>2009</v>
      </c>
      <c r="C590" s="92"/>
      <c r="D590" s="345">
        <v>19428902</v>
      </c>
      <c r="E590" s="278" t="str">
        <f t="shared" si="0"/>
        <v>https://pubmed.ncbi.nlm.nih.gov/?term=19428902</v>
      </c>
      <c r="F590" s="28" t="s">
        <v>511</v>
      </c>
      <c r="G590" s="28" t="s">
        <v>4346</v>
      </c>
    </row>
    <row r="591" spans="1:8">
      <c r="A591" s="92" t="s">
        <v>5237</v>
      </c>
      <c r="B591" s="345">
        <v>2010</v>
      </c>
      <c r="C591" s="92" t="s">
        <v>5238</v>
      </c>
      <c r="D591" s="345">
        <v>21118577</v>
      </c>
      <c r="E591" s="278" t="str">
        <f t="shared" si="0"/>
        <v>https://pubmed.ncbi.nlm.nih.gov/?term=21118577</v>
      </c>
      <c r="F591" s="28" t="s">
        <v>511</v>
      </c>
      <c r="G591" s="28" t="s">
        <v>4346</v>
      </c>
    </row>
    <row r="592" spans="1:8">
      <c r="A592" s="92" t="s">
        <v>1635</v>
      </c>
      <c r="B592" s="345">
        <v>2010</v>
      </c>
      <c r="C592" s="92"/>
      <c r="D592" s="345">
        <v>19737527</v>
      </c>
      <c r="E592" s="278" t="str">
        <f t="shared" si="0"/>
        <v>https://pubmed.ncbi.nlm.nih.gov/?term=19737527</v>
      </c>
      <c r="H592" s="28" t="s">
        <v>511</v>
      </c>
    </row>
    <row r="593" spans="1:7">
      <c r="A593" s="92" t="s">
        <v>5239</v>
      </c>
      <c r="B593" s="345">
        <v>2010</v>
      </c>
      <c r="C593" s="92"/>
      <c r="D593" s="345">
        <v>20581392</v>
      </c>
      <c r="E593" s="278" t="str">
        <f t="shared" si="0"/>
        <v>https://pubmed.ncbi.nlm.nih.gov/?term=20581392</v>
      </c>
      <c r="F593" s="28" t="s">
        <v>511</v>
      </c>
      <c r="G593" s="28" t="s">
        <v>4867</v>
      </c>
    </row>
    <row r="594" spans="1:7">
      <c r="A594" s="92" t="s">
        <v>4055</v>
      </c>
      <c r="B594" s="345">
        <v>2005</v>
      </c>
      <c r="C594" s="92"/>
      <c r="D594" s="345">
        <v>15688284</v>
      </c>
      <c r="E594" s="278" t="str">
        <f t="shared" si="0"/>
        <v>https://pubmed.ncbi.nlm.nih.gov/?term=15688284</v>
      </c>
      <c r="F594" s="28" t="s">
        <v>511</v>
      </c>
      <c r="G594" s="28" t="s">
        <v>5240</v>
      </c>
    </row>
    <row r="595" spans="1:7">
      <c r="A595" s="92" t="s">
        <v>5241</v>
      </c>
      <c r="B595" s="345">
        <v>2008</v>
      </c>
      <c r="C595" s="92" t="s">
        <v>5242</v>
      </c>
      <c r="D595" s="345">
        <v>18443087</v>
      </c>
      <c r="E595" s="278" t="str">
        <f t="shared" si="0"/>
        <v>https://pubmed.ncbi.nlm.nih.gov/?term=18443087</v>
      </c>
      <c r="F595" s="28" t="s">
        <v>511</v>
      </c>
      <c r="G595" s="28" t="s">
        <v>4346</v>
      </c>
    </row>
    <row r="596" spans="1:7">
      <c r="A596" s="92" t="s">
        <v>5243</v>
      </c>
      <c r="B596" s="345">
        <v>2010</v>
      </c>
      <c r="C596" s="92" t="s">
        <v>5244</v>
      </c>
      <c r="D596" s="345">
        <v>20130126</v>
      </c>
      <c r="E596" s="278" t="str">
        <f t="shared" si="0"/>
        <v>https://pubmed.ncbi.nlm.nih.gov/?term=20130126</v>
      </c>
      <c r="F596" s="28" t="s">
        <v>511</v>
      </c>
      <c r="G596" s="28" t="s">
        <v>4346</v>
      </c>
    </row>
    <row r="597" spans="1:7">
      <c r="A597" s="92" t="s">
        <v>5245</v>
      </c>
      <c r="B597" s="345">
        <v>2009</v>
      </c>
      <c r="C597" s="92"/>
      <c r="D597" s="345">
        <v>19623694</v>
      </c>
      <c r="E597" s="278" t="str">
        <f t="shared" si="0"/>
        <v>https://pubmed.ncbi.nlm.nih.gov/?term=19623694</v>
      </c>
      <c r="F597" s="28" t="s">
        <v>511</v>
      </c>
      <c r="G597" s="28" t="s">
        <v>4867</v>
      </c>
    </row>
    <row r="598" spans="1:7">
      <c r="A598" s="92" t="s">
        <v>5246</v>
      </c>
      <c r="B598" s="345">
        <v>2004</v>
      </c>
      <c r="C598" s="92"/>
      <c r="D598" s="345">
        <v>14758160</v>
      </c>
      <c r="E598" s="278" t="str">
        <f t="shared" si="0"/>
        <v>https://pubmed.ncbi.nlm.nih.gov/?term=14758160</v>
      </c>
      <c r="F598" s="28" t="s">
        <v>511</v>
      </c>
      <c r="G598" s="28" t="s">
        <v>5247</v>
      </c>
    </row>
    <row r="599" spans="1:7">
      <c r="A599" s="92" t="s">
        <v>5248</v>
      </c>
      <c r="B599" s="345">
        <v>2008</v>
      </c>
      <c r="C599" s="92" t="s">
        <v>5249</v>
      </c>
      <c r="D599" s="345">
        <v>18262264</v>
      </c>
      <c r="E599" s="278" t="str">
        <f t="shared" si="0"/>
        <v>https://pubmed.ncbi.nlm.nih.gov/?term=18262264</v>
      </c>
      <c r="F599" s="28" t="s">
        <v>511</v>
      </c>
      <c r="G599" s="28" t="s">
        <v>4346</v>
      </c>
    </row>
    <row r="600" spans="1:7">
      <c r="A600" s="92" t="s">
        <v>4742</v>
      </c>
      <c r="B600" s="345">
        <v>2000</v>
      </c>
      <c r="C600" s="92"/>
      <c r="D600" s="345">
        <v>10796624</v>
      </c>
      <c r="E600" s="278" t="str">
        <f t="shared" si="0"/>
        <v>https://pubmed.ncbi.nlm.nih.gov/?term=10796624</v>
      </c>
      <c r="F600" s="28" t="s">
        <v>511</v>
      </c>
      <c r="G600" s="28" t="s">
        <v>4592</v>
      </c>
    </row>
    <row r="601" spans="1:7">
      <c r="A601" s="92" t="s">
        <v>5250</v>
      </c>
      <c r="B601" s="345">
        <v>2008</v>
      </c>
      <c r="C601" s="92"/>
      <c r="D601" s="345">
        <v>18939623</v>
      </c>
      <c r="E601" s="278" t="str">
        <f t="shared" si="0"/>
        <v>https://pubmed.ncbi.nlm.nih.gov/?term=18939623</v>
      </c>
      <c r="F601" s="28" t="s">
        <v>511</v>
      </c>
      <c r="G601" s="28" t="s">
        <v>4346</v>
      </c>
    </row>
    <row r="602" spans="1:7">
      <c r="A602" s="92" t="s">
        <v>5251</v>
      </c>
      <c r="B602" s="345">
        <v>2004</v>
      </c>
      <c r="C602" s="92"/>
      <c r="D602" s="345">
        <v>15195260</v>
      </c>
      <c r="E602" s="278" t="str">
        <f t="shared" si="0"/>
        <v>https://pubmed.ncbi.nlm.nih.gov/?term=15195260</v>
      </c>
      <c r="F602" s="28" t="s">
        <v>511</v>
      </c>
      <c r="G602" s="28" t="s">
        <v>4346</v>
      </c>
    </row>
    <row r="603" spans="1:7">
      <c r="A603" s="92" t="s">
        <v>5252</v>
      </c>
      <c r="B603" s="345">
        <v>2008</v>
      </c>
      <c r="C603" s="92" t="s">
        <v>5253</v>
      </c>
      <c r="D603" s="345">
        <v>18848937</v>
      </c>
      <c r="E603" s="278" t="str">
        <f t="shared" si="0"/>
        <v>https://pubmed.ncbi.nlm.nih.gov/?term=18848937</v>
      </c>
      <c r="F603" s="28" t="s">
        <v>511</v>
      </c>
      <c r="G603" s="28" t="s">
        <v>4867</v>
      </c>
    </row>
    <row r="604" spans="1:7">
      <c r="A604" s="92" t="s">
        <v>5254</v>
      </c>
      <c r="B604" s="345">
        <v>2007</v>
      </c>
      <c r="C604" s="92" t="s">
        <v>5255</v>
      </c>
      <c r="D604" s="345">
        <v>18008245</v>
      </c>
      <c r="E604" s="278" t="str">
        <f t="shared" si="0"/>
        <v>https://pubmed.ncbi.nlm.nih.gov/?term=18008245</v>
      </c>
      <c r="F604" s="28" t="s">
        <v>511</v>
      </c>
      <c r="G604" s="28" t="s">
        <v>8392</v>
      </c>
    </row>
    <row r="605" spans="1:7">
      <c r="A605" s="92" t="s">
        <v>5257</v>
      </c>
      <c r="B605" s="345">
        <v>2002</v>
      </c>
      <c r="C605" s="92"/>
      <c r="D605" s="345">
        <v>12602351</v>
      </c>
      <c r="E605" s="278" t="str">
        <f t="shared" si="0"/>
        <v>https://pubmed.ncbi.nlm.nih.gov/?term=12602351</v>
      </c>
      <c r="F605" s="28" t="s">
        <v>511</v>
      </c>
      <c r="G605" s="28" t="s">
        <v>4592</v>
      </c>
    </row>
    <row r="606" spans="1:7">
      <c r="A606" s="92" t="s">
        <v>5258</v>
      </c>
      <c r="B606" s="345">
        <v>2004</v>
      </c>
      <c r="C606" s="92"/>
      <c r="D606" s="345">
        <v>15007741</v>
      </c>
      <c r="E606" s="278" t="str">
        <f t="shared" si="0"/>
        <v>https://pubmed.ncbi.nlm.nih.gov/?term=15007741</v>
      </c>
      <c r="F606" s="28" t="s">
        <v>511</v>
      </c>
      <c r="G606" s="28" t="s">
        <v>4592</v>
      </c>
    </row>
    <row r="607" spans="1:7">
      <c r="A607" s="92" t="s">
        <v>4743</v>
      </c>
      <c r="B607" s="345">
        <v>2000</v>
      </c>
      <c r="C607" s="92"/>
      <c r="D607" s="345">
        <v>10850524</v>
      </c>
      <c r="E607" s="278" t="str">
        <f t="shared" si="0"/>
        <v>https://pubmed.ncbi.nlm.nih.gov/?term=10850524</v>
      </c>
      <c r="F607" s="28" t="s">
        <v>511</v>
      </c>
      <c r="G607" s="28" t="s">
        <v>4867</v>
      </c>
    </row>
    <row r="608" spans="1:7">
      <c r="A608" s="92" t="s">
        <v>5259</v>
      </c>
      <c r="B608" s="345">
        <v>2006</v>
      </c>
      <c r="C608" s="92" t="s">
        <v>5260</v>
      </c>
      <c r="D608" s="345">
        <v>16719931</v>
      </c>
      <c r="E608" s="278" t="str">
        <f t="shared" si="0"/>
        <v>https://pubmed.ncbi.nlm.nih.gov/?term=16719931</v>
      </c>
      <c r="F608" s="28" t="s">
        <v>511</v>
      </c>
      <c r="G608" s="28" t="s">
        <v>4867</v>
      </c>
    </row>
    <row r="609" spans="1:8">
      <c r="A609" s="92" t="s">
        <v>5261</v>
      </c>
      <c r="B609" s="345">
        <v>2003</v>
      </c>
      <c r="C609" s="92"/>
      <c r="D609" s="345">
        <v>16215069</v>
      </c>
      <c r="E609" s="278" t="str">
        <f t="shared" si="0"/>
        <v>https://pubmed.ncbi.nlm.nih.gov/?term=16215069</v>
      </c>
      <c r="F609" s="28" t="s">
        <v>511</v>
      </c>
      <c r="G609" s="28" t="s">
        <v>4592</v>
      </c>
    </row>
    <row r="610" spans="1:8">
      <c r="A610" s="92" t="s">
        <v>5262</v>
      </c>
      <c r="B610" s="345">
        <v>2005</v>
      </c>
      <c r="C610" s="92"/>
      <c r="D610" s="345">
        <v>15758595</v>
      </c>
      <c r="E610" s="278" t="str">
        <f t="shared" si="0"/>
        <v>https://pubmed.ncbi.nlm.nih.gov/?term=15758595</v>
      </c>
      <c r="F610" s="28" t="s">
        <v>511</v>
      </c>
      <c r="G610" s="28" t="s">
        <v>4592</v>
      </c>
    </row>
    <row r="611" spans="1:8">
      <c r="A611" s="92" t="s">
        <v>5263</v>
      </c>
      <c r="B611" s="345">
        <v>2010</v>
      </c>
      <c r="C611" s="92"/>
      <c r="D611" s="345">
        <v>20448220</v>
      </c>
      <c r="E611" s="278" t="str">
        <f t="shared" si="0"/>
        <v>https://pubmed.ncbi.nlm.nih.gov/?term=20448220</v>
      </c>
      <c r="F611" s="28" t="s">
        <v>511</v>
      </c>
      <c r="G611" s="28" t="s">
        <v>4867</v>
      </c>
    </row>
    <row r="612" spans="1:8">
      <c r="A612" s="92" t="s">
        <v>5264</v>
      </c>
      <c r="B612" s="345">
        <v>2001</v>
      </c>
      <c r="C612" s="92"/>
      <c r="D612" s="345">
        <v>11798240</v>
      </c>
      <c r="E612" s="278" t="str">
        <f t="shared" si="0"/>
        <v>https://pubmed.ncbi.nlm.nih.gov/?term=11798240</v>
      </c>
      <c r="F612" s="28" t="s">
        <v>511</v>
      </c>
      <c r="G612" s="28" t="s">
        <v>4346</v>
      </c>
    </row>
    <row r="613" spans="1:8">
      <c r="A613" s="92" t="s">
        <v>5265</v>
      </c>
      <c r="B613" s="345">
        <v>2002</v>
      </c>
      <c r="C613" s="92" t="s">
        <v>5266</v>
      </c>
      <c r="D613" s="345">
        <v>12002538</v>
      </c>
      <c r="E613" s="278" t="str">
        <f t="shared" si="0"/>
        <v>https://pubmed.ncbi.nlm.nih.gov/?term=12002538</v>
      </c>
      <c r="F613" s="28" t="s">
        <v>511</v>
      </c>
      <c r="G613" s="28" t="s">
        <v>4628</v>
      </c>
    </row>
    <row r="614" spans="1:8">
      <c r="A614" s="92" t="s">
        <v>5267</v>
      </c>
      <c r="B614" s="345">
        <v>2003</v>
      </c>
      <c r="C614" s="92"/>
      <c r="D614" s="345">
        <v>12842328</v>
      </c>
      <c r="E614" s="278" t="str">
        <f t="shared" si="0"/>
        <v>https://pubmed.ncbi.nlm.nih.gov/?term=12842328</v>
      </c>
      <c r="F614" s="28" t="s">
        <v>511</v>
      </c>
      <c r="G614" s="28" t="s">
        <v>4867</v>
      </c>
    </row>
    <row r="615" spans="1:8">
      <c r="A615" s="92" t="s">
        <v>5268</v>
      </c>
      <c r="B615" s="345">
        <v>2008</v>
      </c>
      <c r="C615" s="92"/>
      <c r="D615" s="345">
        <v>18444850</v>
      </c>
      <c r="E615" s="278" t="str">
        <f t="shared" si="0"/>
        <v>https://pubmed.ncbi.nlm.nih.gov/?term=18444850</v>
      </c>
      <c r="F615" s="28" t="s">
        <v>511</v>
      </c>
      <c r="G615" s="28" t="s">
        <v>4867</v>
      </c>
    </row>
    <row r="616" spans="1:8">
      <c r="A616" s="92" t="s">
        <v>5269</v>
      </c>
      <c r="B616" s="345">
        <v>2005</v>
      </c>
      <c r="C616" s="92"/>
      <c r="D616" s="345">
        <v>15910010</v>
      </c>
      <c r="E616" s="278" t="str">
        <f t="shared" si="0"/>
        <v>https://pubmed.ncbi.nlm.nih.gov/?term=15910010</v>
      </c>
      <c r="F616" s="28" t="s">
        <v>511</v>
      </c>
      <c r="G616" s="28" t="s">
        <v>5270</v>
      </c>
    </row>
    <row r="617" spans="1:8">
      <c r="A617" s="92" t="s">
        <v>5271</v>
      </c>
      <c r="B617" s="345">
        <v>2009</v>
      </c>
      <c r="C617" s="92" t="s">
        <v>5272</v>
      </c>
      <c r="D617" s="345">
        <v>20054439</v>
      </c>
      <c r="E617" s="278" t="str">
        <f t="shared" si="0"/>
        <v>https://pubmed.ncbi.nlm.nih.gov/?term=20054439</v>
      </c>
      <c r="F617" s="28" t="s">
        <v>511</v>
      </c>
      <c r="G617" s="28" t="s">
        <v>5273</v>
      </c>
    </row>
    <row r="618" spans="1:8">
      <c r="A618" s="92" t="s">
        <v>4261</v>
      </c>
      <c r="B618" s="345">
        <v>2010</v>
      </c>
      <c r="C618" s="92"/>
      <c r="D618" s="345">
        <v>20720206</v>
      </c>
      <c r="E618" s="278" t="str">
        <f t="shared" si="0"/>
        <v>https://pubmed.ncbi.nlm.nih.gov/?term=20720206</v>
      </c>
      <c r="H618" s="28" t="s">
        <v>511</v>
      </c>
    </row>
    <row r="619" spans="1:8">
      <c r="A619" s="92" t="s">
        <v>5274</v>
      </c>
      <c r="B619" s="345">
        <v>2003</v>
      </c>
      <c r="C619" s="92"/>
      <c r="D619" s="345">
        <v>12902183</v>
      </c>
      <c r="E619" s="278" t="str">
        <f t="shared" si="0"/>
        <v>https://pubmed.ncbi.nlm.nih.gov/?term=12902183</v>
      </c>
      <c r="F619" s="28" t="s">
        <v>511</v>
      </c>
      <c r="G619" s="28" t="s">
        <v>4346</v>
      </c>
    </row>
    <row r="620" spans="1:8">
      <c r="A620" s="92" t="s">
        <v>5275</v>
      </c>
      <c r="B620" s="345">
        <v>2009</v>
      </c>
      <c r="C620" s="92"/>
      <c r="D620" s="345">
        <v>19835977</v>
      </c>
      <c r="E620" s="278" t="str">
        <f t="shared" si="0"/>
        <v>https://pubmed.ncbi.nlm.nih.gov/?term=19835977</v>
      </c>
      <c r="F620" s="28" t="s">
        <v>511</v>
      </c>
      <c r="G620" s="28" t="s">
        <v>4592</v>
      </c>
    </row>
    <row r="621" spans="1:8">
      <c r="A621" s="92" t="s">
        <v>5276</v>
      </c>
      <c r="B621" s="345">
        <v>2008</v>
      </c>
      <c r="C621" s="92" t="s">
        <v>5277</v>
      </c>
      <c r="D621" s="345">
        <v>19090972</v>
      </c>
      <c r="E621" s="278" t="str">
        <f t="shared" si="0"/>
        <v>https://pubmed.ncbi.nlm.nih.gov/?term=19090972</v>
      </c>
      <c r="F621" s="28" t="s">
        <v>511</v>
      </c>
      <c r="G621" s="28" t="s">
        <v>8393</v>
      </c>
    </row>
    <row r="622" spans="1:8">
      <c r="A622" s="92" t="s">
        <v>4374</v>
      </c>
      <c r="B622" s="345">
        <v>2010</v>
      </c>
      <c r="C622" s="92" t="s">
        <v>5279</v>
      </c>
      <c r="D622" s="345">
        <v>20815703</v>
      </c>
      <c r="E622" s="278" t="str">
        <f t="shared" si="0"/>
        <v>https://pubmed.ncbi.nlm.nih.gov/?term=20815703</v>
      </c>
      <c r="H622" s="28" t="s">
        <v>511</v>
      </c>
    </row>
    <row r="623" spans="1:8">
      <c r="A623" s="92" t="s">
        <v>5280</v>
      </c>
      <c r="B623" s="345">
        <v>2009</v>
      </c>
      <c r="C623" s="92" t="s">
        <v>5281</v>
      </c>
      <c r="D623" s="345">
        <v>18835437</v>
      </c>
      <c r="E623" s="278" t="str">
        <f t="shared" si="0"/>
        <v>https://pubmed.ncbi.nlm.nih.gov/?term=18835437</v>
      </c>
      <c r="F623" s="28" t="s">
        <v>511</v>
      </c>
      <c r="G623" s="28" t="s">
        <v>5282</v>
      </c>
    </row>
    <row r="624" spans="1:8">
      <c r="A624" s="92" t="s">
        <v>5283</v>
      </c>
      <c r="B624" s="345">
        <v>2004</v>
      </c>
      <c r="C624" s="92"/>
      <c r="D624" s="345">
        <v>15034063</v>
      </c>
      <c r="E624" s="278" t="str">
        <f t="shared" si="0"/>
        <v>https://pubmed.ncbi.nlm.nih.gov/?term=15034063</v>
      </c>
      <c r="F624" s="28" t="s">
        <v>511</v>
      </c>
      <c r="G624" s="28" t="s">
        <v>8394</v>
      </c>
    </row>
    <row r="625" spans="1:8">
      <c r="A625" s="92" t="s">
        <v>2371</v>
      </c>
      <c r="B625" s="345">
        <v>2000</v>
      </c>
      <c r="C625" s="92"/>
      <c r="D625" s="345">
        <v>11073753</v>
      </c>
      <c r="E625" s="278" t="str">
        <f t="shared" si="0"/>
        <v>https://pubmed.ncbi.nlm.nih.gov/?term=11073753</v>
      </c>
      <c r="H625" s="28" t="s">
        <v>511</v>
      </c>
    </row>
    <row r="626" spans="1:8">
      <c r="A626" s="92" t="s">
        <v>5285</v>
      </c>
      <c r="B626" s="345">
        <v>2010</v>
      </c>
      <c r="C626" s="92"/>
      <c r="D626" s="345">
        <v>21316534</v>
      </c>
      <c r="E626" s="278" t="str">
        <f t="shared" si="0"/>
        <v>https://pubmed.ncbi.nlm.nih.gov/?term=21316534</v>
      </c>
      <c r="F626" s="28" t="s">
        <v>511</v>
      </c>
      <c r="G626" s="28" t="s">
        <v>4592</v>
      </c>
    </row>
    <row r="627" spans="1:8">
      <c r="A627" s="92" t="s">
        <v>5286</v>
      </c>
      <c r="B627" s="345">
        <v>2008</v>
      </c>
      <c r="C627" s="92" t="s">
        <v>5287</v>
      </c>
      <c r="D627" s="345">
        <v>18285493</v>
      </c>
      <c r="E627" s="278" t="str">
        <f t="shared" si="0"/>
        <v>https://pubmed.ncbi.nlm.nih.gov/?term=18285493</v>
      </c>
      <c r="F627" s="28" t="s">
        <v>511</v>
      </c>
      <c r="G627" s="28" t="s">
        <v>4346</v>
      </c>
    </row>
    <row r="628" spans="1:8">
      <c r="A628" s="92" t="s">
        <v>5288</v>
      </c>
      <c r="B628" s="345">
        <v>2006</v>
      </c>
      <c r="C628" s="92"/>
      <c r="D628" s="345">
        <v>17242485</v>
      </c>
      <c r="E628" s="278" t="str">
        <f t="shared" si="0"/>
        <v>https://pubmed.ncbi.nlm.nih.gov/?term=17242485</v>
      </c>
      <c r="F628" s="28" t="s">
        <v>511</v>
      </c>
      <c r="G628" s="28" t="s">
        <v>4592</v>
      </c>
    </row>
    <row r="629" spans="1:8">
      <c r="A629" s="92" t="s">
        <v>5289</v>
      </c>
      <c r="B629" s="345">
        <v>2009</v>
      </c>
      <c r="C629" s="92"/>
      <c r="D629" s="345">
        <v>19010372</v>
      </c>
      <c r="E629" s="278" t="str">
        <f t="shared" si="0"/>
        <v>https://pubmed.ncbi.nlm.nih.gov/?term=19010372</v>
      </c>
      <c r="F629" s="28" t="s">
        <v>511</v>
      </c>
      <c r="G629" s="28" t="s">
        <v>4346</v>
      </c>
    </row>
    <row r="630" spans="1:8">
      <c r="A630" s="92" t="s">
        <v>5290</v>
      </c>
      <c r="B630" s="345">
        <v>2001</v>
      </c>
      <c r="C630" s="92"/>
      <c r="D630" s="345">
        <v>11438771</v>
      </c>
      <c r="E630" s="278" t="str">
        <f t="shared" si="0"/>
        <v>https://pubmed.ncbi.nlm.nih.gov/?term=11438771</v>
      </c>
      <c r="F630" s="28" t="s">
        <v>511</v>
      </c>
      <c r="G630" s="28" t="s">
        <v>4656</v>
      </c>
    </row>
    <row r="631" spans="1:8">
      <c r="A631" s="92" t="s">
        <v>1800</v>
      </c>
      <c r="B631" s="345">
        <v>2003</v>
      </c>
      <c r="C631" s="92" t="s">
        <v>5291</v>
      </c>
      <c r="D631" s="345">
        <v>12627355</v>
      </c>
      <c r="E631" s="278" t="str">
        <f t="shared" si="0"/>
        <v>https://pubmed.ncbi.nlm.nih.gov/?term=12627355</v>
      </c>
      <c r="H631" s="28" t="s">
        <v>511</v>
      </c>
    </row>
    <row r="632" spans="1:8">
      <c r="A632" s="92" t="s">
        <v>5292</v>
      </c>
      <c r="B632" s="345">
        <v>2001</v>
      </c>
      <c r="C632" s="92"/>
      <c r="D632" s="345">
        <v>11785887</v>
      </c>
      <c r="E632" s="278" t="str">
        <f t="shared" si="0"/>
        <v>https://pubmed.ncbi.nlm.nih.gov/?term=11785887</v>
      </c>
      <c r="F632" s="28" t="s">
        <v>511</v>
      </c>
      <c r="G632" s="28" t="s">
        <v>4346</v>
      </c>
    </row>
    <row r="633" spans="1:8">
      <c r="A633" s="92" t="s">
        <v>4753</v>
      </c>
      <c r="B633" s="345">
        <v>2000</v>
      </c>
      <c r="C633" s="92"/>
      <c r="D633" s="345">
        <v>11354808</v>
      </c>
      <c r="E633" s="278" t="str">
        <f t="shared" si="0"/>
        <v>https://pubmed.ncbi.nlm.nih.gov/?term=11354808</v>
      </c>
      <c r="F633" s="28" t="s">
        <v>511</v>
      </c>
      <c r="G633" s="28" t="s">
        <v>4592</v>
      </c>
    </row>
    <row r="634" spans="1:8">
      <c r="A634" s="92" t="s">
        <v>5293</v>
      </c>
      <c r="B634" s="345">
        <v>2010</v>
      </c>
      <c r="C634" s="92"/>
      <c r="D634" s="345">
        <v>20219540</v>
      </c>
      <c r="E634" s="278" t="str">
        <f t="shared" si="0"/>
        <v>https://pubmed.ncbi.nlm.nih.gov/?term=20219540</v>
      </c>
      <c r="F634" s="28" t="s">
        <v>511</v>
      </c>
      <c r="G634" s="28" t="s">
        <v>4346</v>
      </c>
    </row>
    <row r="635" spans="1:8">
      <c r="A635" s="92" t="s">
        <v>5294</v>
      </c>
      <c r="B635" s="345">
        <v>2002</v>
      </c>
      <c r="C635" s="92"/>
      <c r="D635" s="345">
        <v>12473576</v>
      </c>
      <c r="E635" s="278" t="str">
        <f t="shared" si="0"/>
        <v>https://pubmed.ncbi.nlm.nih.gov/?term=12473576</v>
      </c>
      <c r="F635" s="28" t="s">
        <v>511</v>
      </c>
      <c r="G635" s="28" t="s">
        <v>4781</v>
      </c>
    </row>
    <row r="636" spans="1:8">
      <c r="A636" s="92" t="s">
        <v>5295</v>
      </c>
      <c r="B636" s="345">
        <v>2004</v>
      </c>
      <c r="C636" s="92"/>
      <c r="D636" s="345">
        <v>15089110</v>
      </c>
      <c r="E636" s="278" t="str">
        <f t="shared" si="0"/>
        <v>https://pubmed.ncbi.nlm.nih.gov/?term=15089110</v>
      </c>
      <c r="F636" s="28" t="s">
        <v>511</v>
      </c>
      <c r="G636" s="28" t="s">
        <v>4592</v>
      </c>
    </row>
    <row r="637" spans="1:8">
      <c r="A637" s="92" t="s">
        <v>4752</v>
      </c>
      <c r="B637" s="345">
        <v>2000</v>
      </c>
      <c r="C637" s="92"/>
      <c r="D637" s="345">
        <v>10807510</v>
      </c>
      <c r="E637" s="278" t="str">
        <f t="shared" si="0"/>
        <v>https://pubmed.ncbi.nlm.nih.gov/?term=10807510</v>
      </c>
      <c r="F637" s="28" t="s">
        <v>511</v>
      </c>
      <c r="G637" s="28" t="s">
        <v>4592</v>
      </c>
    </row>
    <row r="638" spans="1:8">
      <c r="A638" s="92" t="s">
        <v>5296</v>
      </c>
      <c r="B638" s="345">
        <v>2010</v>
      </c>
      <c r="C638" s="92" t="s">
        <v>5297</v>
      </c>
      <c r="D638" s="345">
        <v>20508214</v>
      </c>
      <c r="E638" s="278" t="str">
        <f t="shared" si="0"/>
        <v>https://pubmed.ncbi.nlm.nih.gov/?term=20508214</v>
      </c>
      <c r="F638" s="28" t="s">
        <v>511</v>
      </c>
      <c r="G638" s="28" t="s">
        <v>4346</v>
      </c>
    </row>
    <row r="639" spans="1:8">
      <c r="A639" s="92" t="s">
        <v>5298</v>
      </c>
      <c r="B639" s="345">
        <v>2007</v>
      </c>
      <c r="C639" s="92"/>
      <c r="D639" s="345">
        <v>17505917</v>
      </c>
      <c r="E639" s="278" t="str">
        <f t="shared" si="0"/>
        <v>https://pubmed.ncbi.nlm.nih.gov/?term=17505917</v>
      </c>
      <c r="F639" s="28" t="s">
        <v>511</v>
      </c>
      <c r="G639" s="28" t="s">
        <v>5299</v>
      </c>
    </row>
    <row r="640" spans="1:8">
      <c r="A640" s="92" t="s">
        <v>5300</v>
      </c>
      <c r="B640" s="345">
        <v>2009</v>
      </c>
      <c r="C640" s="92"/>
      <c r="D640" s="345">
        <v>19443795</v>
      </c>
      <c r="E640" s="278" t="str">
        <f t="shared" si="0"/>
        <v>https://pubmed.ncbi.nlm.nih.gov/?term=19443795</v>
      </c>
      <c r="F640" s="28" t="s">
        <v>511</v>
      </c>
      <c r="G640" s="28" t="s">
        <v>5043</v>
      </c>
    </row>
    <row r="641" spans="1:8">
      <c r="A641" s="92" t="s">
        <v>5301</v>
      </c>
      <c r="B641" s="345">
        <v>2004</v>
      </c>
      <c r="C641" s="92"/>
      <c r="D641" s="345">
        <v>14758179</v>
      </c>
      <c r="E641" s="278" t="str">
        <f t="shared" si="0"/>
        <v>https://pubmed.ncbi.nlm.nih.gov/?term=14758179</v>
      </c>
      <c r="F641" s="28" t="s">
        <v>511</v>
      </c>
      <c r="G641" s="28" t="s">
        <v>4867</v>
      </c>
    </row>
    <row r="642" spans="1:8">
      <c r="A642" s="92" t="s">
        <v>5302</v>
      </c>
      <c r="B642" s="345">
        <v>2006</v>
      </c>
      <c r="C642" s="92"/>
      <c r="D642" s="345">
        <v>16764676</v>
      </c>
      <c r="E642" s="278" t="str">
        <f t="shared" si="0"/>
        <v>https://pubmed.ncbi.nlm.nih.gov/?term=16764676</v>
      </c>
      <c r="F642" s="28" t="s">
        <v>511</v>
      </c>
      <c r="G642" s="28" t="s">
        <v>4346</v>
      </c>
    </row>
    <row r="643" spans="1:8">
      <c r="A643" s="92" t="s">
        <v>5303</v>
      </c>
      <c r="B643" s="345">
        <v>2009</v>
      </c>
      <c r="C643" s="92"/>
      <c r="D643" s="345">
        <v>19215941</v>
      </c>
      <c r="E643" s="278" t="str">
        <f t="shared" si="0"/>
        <v>https://pubmed.ncbi.nlm.nih.gov/?term=19215941</v>
      </c>
      <c r="F643" s="28" t="s">
        <v>511</v>
      </c>
      <c r="G643" s="28" t="s">
        <v>5304</v>
      </c>
    </row>
    <row r="644" spans="1:8">
      <c r="A644" s="92" t="s">
        <v>5305</v>
      </c>
      <c r="B644" s="345">
        <v>2004</v>
      </c>
      <c r="C644" s="92"/>
      <c r="D644" s="345">
        <v>15284384</v>
      </c>
      <c r="E644" s="278" t="str">
        <f t="shared" si="0"/>
        <v>https://pubmed.ncbi.nlm.nih.gov/?term=15284384</v>
      </c>
      <c r="F644" s="28" t="s">
        <v>511</v>
      </c>
      <c r="G644" s="28" t="s">
        <v>4346</v>
      </c>
    </row>
    <row r="645" spans="1:8">
      <c r="A645" s="92" t="s">
        <v>4800</v>
      </c>
      <c r="B645" s="345">
        <v>2008</v>
      </c>
      <c r="C645" s="92"/>
      <c r="D645" s="345">
        <v>18816180</v>
      </c>
      <c r="E645" s="278" t="str">
        <f t="shared" si="0"/>
        <v>https://pubmed.ncbi.nlm.nih.gov/?term=18816180</v>
      </c>
      <c r="F645" s="28" t="s">
        <v>511</v>
      </c>
      <c r="G645" s="28" t="s">
        <v>4346</v>
      </c>
    </row>
    <row r="646" spans="1:8">
      <c r="A646" s="92" t="s">
        <v>5306</v>
      </c>
      <c r="B646" s="345">
        <v>2003</v>
      </c>
      <c r="C646" s="92"/>
      <c r="D646" s="345">
        <v>14628995</v>
      </c>
      <c r="E646" s="278" t="str">
        <f t="shared" si="0"/>
        <v>https://pubmed.ncbi.nlm.nih.gov/?term=14628995</v>
      </c>
      <c r="F646" s="28" t="s">
        <v>511</v>
      </c>
      <c r="G646" s="28" t="s">
        <v>4346</v>
      </c>
    </row>
    <row r="647" spans="1:8">
      <c r="A647" s="92" t="s">
        <v>4341</v>
      </c>
      <c r="B647" s="345">
        <v>2001</v>
      </c>
      <c r="C647" s="92"/>
      <c r="D647" s="345">
        <v>11424113</v>
      </c>
      <c r="E647" s="278" t="str">
        <f t="shared" si="0"/>
        <v>https://pubmed.ncbi.nlm.nih.gov/?term=11424113</v>
      </c>
      <c r="H647" s="28" t="s">
        <v>511</v>
      </c>
    </row>
    <row r="648" spans="1:8">
      <c r="A648" s="92" t="s">
        <v>5307</v>
      </c>
      <c r="B648" s="345">
        <v>2010</v>
      </c>
      <c r="C648" s="92"/>
      <c r="D648" s="345">
        <v>19748521</v>
      </c>
      <c r="E648" s="278" t="str">
        <f t="shared" si="0"/>
        <v>https://pubmed.ncbi.nlm.nih.gov/?term=19748521</v>
      </c>
      <c r="F648" s="28" t="s">
        <v>511</v>
      </c>
      <c r="G648" s="28" t="s">
        <v>4346</v>
      </c>
    </row>
    <row r="649" spans="1:8">
      <c r="A649" s="92" t="s">
        <v>4766</v>
      </c>
      <c r="B649" s="345">
        <v>2000</v>
      </c>
      <c r="C649" s="92"/>
      <c r="D649" s="345">
        <v>11089992</v>
      </c>
      <c r="E649" s="278" t="str">
        <f t="shared" si="0"/>
        <v>https://pubmed.ncbi.nlm.nih.gov/?term=11089992</v>
      </c>
      <c r="F649" s="28" t="s">
        <v>511</v>
      </c>
      <c r="G649" s="28" t="s">
        <v>4346</v>
      </c>
    </row>
    <row r="650" spans="1:8">
      <c r="A650" s="92" t="s">
        <v>5308</v>
      </c>
      <c r="B650" s="345">
        <v>2007</v>
      </c>
      <c r="C650" s="92"/>
      <c r="D650" s="345">
        <v>17883282</v>
      </c>
      <c r="E650" s="278" t="str">
        <f t="shared" si="0"/>
        <v>https://pubmed.ncbi.nlm.nih.gov/?term=17883282</v>
      </c>
      <c r="F650" s="28" t="s">
        <v>511</v>
      </c>
      <c r="G650" s="28" t="s">
        <v>4592</v>
      </c>
    </row>
    <row r="651" spans="1:8">
      <c r="A651" s="92" t="s">
        <v>5309</v>
      </c>
      <c r="B651" s="345">
        <v>2002</v>
      </c>
      <c r="C651" s="92"/>
      <c r="D651" s="345">
        <v>12430998</v>
      </c>
      <c r="E651" s="278" t="str">
        <f t="shared" si="0"/>
        <v>https://pubmed.ncbi.nlm.nih.gov/?term=12430998</v>
      </c>
      <c r="F651" s="28" t="s">
        <v>511</v>
      </c>
      <c r="G651" s="28" t="s">
        <v>4346</v>
      </c>
    </row>
    <row r="652" spans="1:8">
      <c r="A652" s="92" t="s">
        <v>5310</v>
      </c>
      <c r="B652" s="345">
        <v>2004</v>
      </c>
      <c r="C652" s="92"/>
      <c r="D652" s="345">
        <v>15046213</v>
      </c>
      <c r="E652" s="278" t="str">
        <f t="shared" si="0"/>
        <v>https://pubmed.ncbi.nlm.nih.gov/?term=15046213</v>
      </c>
      <c r="F652" s="28" t="s">
        <v>511</v>
      </c>
      <c r="G652" s="28" t="s">
        <v>4867</v>
      </c>
    </row>
    <row r="653" spans="1:8">
      <c r="A653" s="92" t="s">
        <v>5311</v>
      </c>
      <c r="B653" s="345">
        <v>2004</v>
      </c>
      <c r="C653" s="92"/>
      <c r="D653" s="345">
        <v>15552877</v>
      </c>
      <c r="E653" s="278" t="str">
        <f t="shared" si="0"/>
        <v>https://pubmed.ncbi.nlm.nih.gov/?term=15552877</v>
      </c>
      <c r="F653" s="28" t="s">
        <v>511</v>
      </c>
      <c r="G653" s="28" t="s">
        <v>4587</v>
      </c>
    </row>
    <row r="654" spans="1:8">
      <c r="A654" s="92" t="s">
        <v>5312</v>
      </c>
      <c r="B654" s="345">
        <v>2008</v>
      </c>
      <c r="C654" s="92"/>
      <c r="D654" s="345">
        <v>18318936</v>
      </c>
      <c r="E654" s="278" t="str">
        <f t="shared" si="0"/>
        <v>https://pubmed.ncbi.nlm.nih.gov/?term=18318936</v>
      </c>
      <c r="F654" s="28" t="s">
        <v>511</v>
      </c>
      <c r="G654" s="28" t="s">
        <v>4346</v>
      </c>
    </row>
    <row r="655" spans="1:8">
      <c r="A655" s="92" t="s">
        <v>5313</v>
      </c>
      <c r="B655" s="345">
        <v>2004</v>
      </c>
      <c r="C655" s="92"/>
      <c r="D655" s="345">
        <v>15077021</v>
      </c>
      <c r="E655" s="278" t="str">
        <f t="shared" si="0"/>
        <v>https://pubmed.ncbi.nlm.nih.gov/?term=15077021</v>
      </c>
      <c r="F655" s="28" t="s">
        <v>511</v>
      </c>
      <c r="G655" s="28" t="s">
        <v>5314</v>
      </c>
    </row>
    <row r="656" spans="1:8">
      <c r="A656" s="92" t="s">
        <v>5315</v>
      </c>
      <c r="B656" s="345">
        <v>2006</v>
      </c>
      <c r="C656" s="92"/>
      <c r="D656" s="345">
        <v>16919749</v>
      </c>
      <c r="E656" s="278" t="str">
        <f t="shared" si="0"/>
        <v>https://pubmed.ncbi.nlm.nih.gov/?term=16919749</v>
      </c>
      <c r="F656" s="28" t="s">
        <v>511</v>
      </c>
      <c r="G656" s="28" t="s">
        <v>4867</v>
      </c>
    </row>
    <row r="657" spans="1:7">
      <c r="A657" s="92" t="s">
        <v>5316</v>
      </c>
      <c r="B657" s="345">
        <v>2004</v>
      </c>
      <c r="C657" s="92"/>
      <c r="D657" s="345">
        <v>15353364</v>
      </c>
      <c r="E657" s="278" t="str">
        <f t="shared" si="0"/>
        <v>https://pubmed.ncbi.nlm.nih.gov/?term=15353364</v>
      </c>
      <c r="F657" s="28" t="s">
        <v>511</v>
      </c>
      <c r="G657" s="28" t="s">
        <v>5317</v>
      </c>
    </row>
    <row r="658" spans="1:7">
      <c r="A658" s="92" t="s">
        <v>5318</v>
      </c>
      <c r="B658" s="345">
        <v>2007</v>
      </c>
      <c r="C658" s="92"/>
      <c r="D658" s="345">
        <v>17947482</v>
      </c>
      <c r="E658" s="278" t="str">
        <f t="shared" si="0"/>
        <v>https://pubmed.ncbi.nlm.nih.gov/?term=17947482</v>
      </c>
      <c r="F658" s="28" t="s">
        <v>511</v>
      </c>
      <c r="G658" s="28" t="s">
        <v>4867</v>
      </c>
    </row>
    <row r="659" spans="1:7">
      <c r="A659" s="92" t="s">
        <v>5319</v>
      </c>
      <c r="B659" s="345">
        <v>2010</v>
      </c>
      <c r="C659" s="92"/>
      <c r="D659" s="345">
        <v>19995389</v>
      </c>
      <c r="E659" s="278" t="str">
        <f t="shared" si="0"/>
        <v>https://pubmed.ncbi.nlm.nih.gov/?term=19995389</v>
      </c>
      <c r="F659" s="28" t="s">
        <v>511</v>
      </c>
      <c r="G659" s="28" t="s">
        <v>4765</v>
      </c>
    </row>
    <row r="660" spans="1:7">
      <c r="A660" s="92" t="s">
        <v>5320</v>
      </c>
      <c r="B660" s="345">
        <v>2003</v>
      </c>
      <c r="C660" s="92"/>
      <c r="D660" s="345">
        <v>12552430</v>
      </c>
      <c r="E660" s="278" t="str">
        <f t="shared" si="0"/>
        <v>https://pubmed.ncbi.nlm.nih.gov/?term=12552430</v>
      </c>
      <c r="F660" s="28" t="s">
        <v>511</v>
      </c>
      <c r="G660" s="28" t="s">
        <v>5321</v>
      </c>
    </row>
    <row r="661" spans="1:7">
      <c r="A661" s="92" t="s">
        <v>5322</v>
      </c>
      <c r="B661" s="345">
        <v>2002</v>
      </c>
      <c r="C661" s="92"/>
      <c r="D661" s="345">
        <v>11968154</v>
      </c>
      <c r="E661" s="278" t="str">
        <f t="shared" si="0"/>
        <v>https://pubmed.ncbi.nlm.nih.gov/?term=11968154</v>
      </c>
      <c r="F661" s="28" t="s">
        <v>511</v>
      </c>
      <c r="G661" s="28" t="s">
        <v>4765</v>
      </c>
    </row>
    <row r="662" spans="1:7">
      <c r="A662" s="92" t="s">
        <v>5323</v>
      </c>
      <c r="B662" s="345">
        <v>2004</v>
      </c>
      <c r="C662" s="92"/>
      <c r="D662" s="345">
        <v>15326138</v>
      </c>
      <c r="E662" s="278" t="str">
        <f t="shared" si="0"/>
        <v>https://pubmed.ncbi.nlm.nih.gov/?term=15326138</v>
      </c>
      <c r="F662" s="28" t="s">
        <v>511</v>
      </c>
      <c r="G662" s="28" t="s">
        <v>4346</v>
      </c>
    </row>
    <row r="663" spans="1:7">
      <c r="A663" s="92" t="s">
        <v>5324</v>
      </c>
      <c r="B663" s="345">
        <v>2007</v>
      </c>
      <c r="C663" s="92" t="s">
        <v>5325</v>
      </c>
      <c r="D663" s="345">
        <v>17643872</v>
      </c>
      <c r="E663" s="278" t="str">
        <f t="shared" si="0"/>
        <v>https://pubmed.ncbi.nlm.nih.gov/?term=17643872</v>
      </c>
      <c r="F663" s="28" t="s">
        <v>511</v>
      </c>
      <c r="G663" s="28" t="s">
        <v>4346</v>
      </c>
    </row>
    <row r="664" spans="1:7">
      <c r="A664" s="92" t="s">
        <v>5326</v>
      </c>
      <c r="B664" s="345">
        <v>2003</v>
      </c>
      <c r="C664" s="92"/>
      <c r="D664" s="345">
        <v>12821734</v>
      </c>
      <c r="E664" s="278" t="str">
        <f t="shared" si="0"/>
        <v>https://pubmed.ncbi.nlm.nih.gov/?term=12821734</v>
      </c>
      <c r="F664" s="28" t="s">
        <v>511</v>
      </c>
      <c r="G664" s="28" t="s">
        <v>4867</v>
      </c>
    </row>
    <row r="665" spans="1:7">
      <c r="A665" s="92" t="s">
        <v>5327</v>
      </c>
      <c r="B665" s="345">
        <v>2007</v>
      </c>
      <c r="C665" s="92"/>
      <c r="D665" s="345">
        <v>17251588</v>
      </c>
      <c r="E665" s="278" t="str">
        <f t="shared" si="0"/>
        <v>https://pubmed.ncbi.nlm.nih.gov/?term=17251588</v>
      </c>
      <c r="F665" s="28" t="s">
        <v>511</v>
      </c>
      <c r="G665" s="28" t="s">
        <v>4346</v>
      </c>
    </row>
    <row r="666" spans="1:7">
      <c r="A666" s="92" t="s">
        <v>5328</v>
      </c>
      <c r="B666" s="345">
        <v>2008</v>
      </c>
      <c r="C666" s="92"/>
      <c r="D666" s="345">
        <v>19167593</v>
      </c>
      <c r="E666" s="278" t="str">
        <f t="shared" si="0"/>
        <v>https://pubmed.ncbi.nlm.nih.gov/?term=19167593</v>
      </c>
      <c r="F666" s="28" t="s">
        <v>511</v>
      </c>
      <c r="G666" s="28" t="s">
        <v>4867</v>
      </c>
    </row>
    <row r="667" spans="1:7">
      <c r="A667" s="92" t="s">
        <v>5329</v>
      </c>
      <c r="B667" s="345">
        <v>2004</v>
      </c>
      <c r="C667" s="92"/>
      <c r="D667" s="345">
        <v>15345231</v>
      </c>
      <c r="E667" s="278" t="str">
        <f t="shared" si="0"/>
        <v>https://pubmed.ncbi.nlm.nih.gov/?term=15345231</v>
      </c>
      <c r="F667" s="28" t="s">
        <v>511</v>
      </c>
      <c r="G667" s="28" t="s">
        <v>4346</v>
      </c>
    </row>
    <row r="668" spans="1:7">
      <c r="A668" s="92" t="s">
        <v>4735</v>
      </c>
      <c r="B668" s="345">
        <v>2000</v>
      </c>
      <c r="C668" s="92" t="s">
        <v>4771</v>
      </c>
      <c r="D668" s="345">
        <v>10644345</v>
      </c>
      <c r="E668" s="278" t="str">
        <f t="shared" si="0"/>
        <v>https://pubmed.ncbi.nlm.nih.gov/?term=10644345</v>
      </c>
      <c r="F668" s="28" t="s">
        <v>511</v>
      </c>
      <c r="G668" s="28" t="s">
        <v>4346</v>
      </c>
    </row>
    <row r="669" spans="1:7">
      <c r="A669" s="92" t="s">
        <v>5330</v>
      </c>
      <c r="B669" s="345">
        <v>2008</v>
      </c>
      <c r="C669" s="92"/>
      <c r="D669" s="345">
        <v>18072873</v>
      </c>
      <c r="E669" s="278" t="str">
        <f t="shared" si="0"/>
        <v>https://pubmed.ncbi.nlm.nih.gov/?term=18072873</v>
      </c>
      <c r="F669" s="28" t="s">
        <v>511</v>
      </c>
      <c r="G669" s="28" t="s">
        <v>5299</v>
      </c>
    </row>
    <row r="670" spans="1:7">
      <c r="A670" s="92" t="s">
        <v>5331</v>
      </c>
      <c r="B670" s="345">
        <v>2006</v>
      </c>
      <c r="C670" s="92"/>
      <c r="D670" s="345">
        <v>16965415</v>
      </c>
      <c r="E670" s="278" t="str">
        <f t="shared" si="0"/>
        <v>https://pubmed.ncbi.nlm.nih.gov/?term=16965415</v>
      </c>
      <c r="F670" s="28" t="s">
        <v>511</v>
      </c>
      <c r="G670" s="28" t="s">
        <v>5299</v>
      </c>
    </row>
    <row r="671" spans="1:7">
      <c r="A671" s="92" t="s">
        <v>5332</v>
      </c>
      <c r="B671" s="345">
        <v>2009</v>
      </c>
      <c r="C671" s="92"/>
      <c r="D671" s="345">
        <v>19275277</v>
      </c>
      <c r="E671" s="278" t="str">
        <f t="shared" si="0"/>
        <v>https://pubmed.ncbi.nlm.nih.gov/?term=19275277</v>
      </c>
      <c r="F671" s="28" t="s">
        <v>511</v>
      </c>
      <c r="G671" s="28" t="s">
        <v>4592</v>
      </c>
    </row>
    <row r="672" spans="1:7">
      <c r="A672" s="92" t="s">
        <v>5333</v>
      </c>
      <c r="B672" s="345">
        <v>2006</v>
      </c>
      <c r="C672" s="92"/>
      <c r="D672" s="345">
        <v>16433956</v>
      </c>
      <c r="E672" s="278" t="str">
        <f t="shared" si="0"/>
        <v>https://pubmed.ncbi.nlm.nih.gov/?term=16433956</v>
      </c>
      <c r="F672" s="28" t="s">
        <v>511</v>
      </c>
      <c r="G672" s="28" t="s">
        <v>4346</v>
      </c>
    </row>
    <row r="673" spans="1:7">
      <c r="A673" s="92" t="s">
        <v>4773</v>
      </c>
      <c r="B673" s="345">
        <v>2000</v>
      </c>
      <c r="C673" s="92"/>
      <c r="D673" s="345">
        <v>10646605</v>
      </c>
      <c r="E673" s="278" t="str">
        <f t="shared" si="0"/>
        <v>https://pubmed.ncbi.nlm.nih.gov/?term=10646605</v>
      </c>
      <c r="F673" s="28" t="s">
        <v>511</v>
      </c>
      <c r="G673" s="28" t="s">
        <v>5334</v>
      </c>
    </row>
    <row r="674" spans="1:7">
      <c r="A674" s="92" t="s">
        <v>5335</v>
      </c>
      <c r="B674" s="345">
        <v>2008</v>
      </c>
      <c r="C674" s="92" t="s">
        <v>5336</v>
      </c>
      <c r="D674" s="345">
        <v>18562525</v>
      </c>
      <c r="E674" s="278" t="str">
        <f t="shared" si="0"/>
        <v>https://pubmed.ncbi.nlm.nih.gov/?term=18562525</v>
      </c>
      <c r="F674" s="28" t="s">
        <v>511</v>
      </c>
      <c r="G674" s="28" t="s">
        <v>4346</v>
      </c>
    </row>
    <row r="675" spans="1:7">
      <c r="A675" s="92" t="s">
        <v>5337</v>
      </c>
      <c r="B675" s="345">
        <v>2010</v>
      </c>
      <c r="C675" s="92" t="s">
        <v>5338</v>
      </c>
      <c r="D675" s="345">
        <v>20649596</v>
      </c>
      <c r="E675" s="278" t="str">
        <f t="shared" si="0"/>
        <v>https://pubmed.ncbi.nlm.nih.gov/?term=20649596</v>
      </c>
      <c r="F675" s="28" t="s">
        <v>511</v>
      </c>
      <c r="G675" s="28" t="s">
        <v>5339</v>
      </c>
    </row>
    <row r="676" spans="1:7">
      <c r="A676" s="92" t="s">
        <v>5340</v>
      </c>
      <c r="B676" s="345">
        <v>2008</v>
      </c>
      <c r="C676" s="92"/>
      <c r="D676" s="345">
        <v>18312555</v>
      </c>
      <c r="E676" s="278" t="str">
        <f t="shared" si="0"/>
        <v>https://pubmed.ncbi.nlm.nih.gov/?term=18312555</v>
      </c>
      <c r="F676" s="28" t="s">
        <v>511</v>
      </c>
      <c r="G676" s="28" t="s">
        <v>4346</v>
      </c>
    </row>
    <row r="677" spans="1:7">
      <c r="A677" s="92" t="s">
        <v>5341</v>
      </c>
      <c r="B677" s="345">
        <v>2010</v>
      </c>
      <c r="C677" s="92" t="s">
        <v>5342</v>
      </c>
      <c r="D677" s="345">
        <v>22558559</v>
      </c>
      <c r="E677" s="278" t="str">
        <f t="shared" si="0"/>
        <v>https://pubmed.ncbi.nlm.nih.gov/?term=22558559</v>
      </c>
      <c r="F677" s="28" t="s">
        <v>511</v>
      </c>
      <c r="G677" s="28" t="s">
        <v>4346</v>
      </c>
    </row>
    <row r="678" spans="1:7">
      <c r="A678" s="92" t="s">
        <v>5343</v>
      </c>
      <c r="B678" s="345">
        <v>2010</v>
      </c>
      <c r="C678" s="92" t="s">
        <v>5344</v>
      </c>
      <c r="D678" s="345">
        <v>20146111</v>
      </c>
      <c r="E678" s="278" t="str">
        <f t="shared" si="0"/>
        <v>https://pubmed.ncbi.nlm.nih.gov/?term=20146111</v>
      </c>
      <c r="F678" s="28" t="s">
        <v>511</v>
      </c>
      <c r="G678" s="28" t="s">
        <v>5299</v>
      </c>
    </row>
    <row r="679" spans="1:7">
      <c r="A679" s="92" t="s">
        <v>5345</v>
      </c>
      <c r="B679" s="345">
        <v>2008</v>
      </c>
      <c r="C679" s="92" t="s">
        <v>5346</v>
      </c>
      <c r="D679" s="345">
        <v>18586871</v>
      </c>
      <c r="E679" s="278" t="str">
        <f t="shared" si="0"/>
        <v>https://pubmed.ncbi.nlm.nih.gov/?term=18586871</v>
      </c>
      <c r="F679" s="28" t="s">
        <v>511</v>
      </c>
      <c r="G679" s="28" t="s">
        <v>4346</v>
      </c>
    </row>
    <row r="680" spans="1:7">
      <c r="A680" s="92" t="s">
        <v>5347</v>
      </c>
      <c r="B680" s="345">
        <v>2005</v>
      </c>
      <c r="C680" s="92"/>
      <c r="D680" s="345">
        <v>15914198</v>
      </c>
      <c r="E680" s="278" t="str">
        <f t="shared" si="0"/>
        <v>https://pubmed.ncbi.nlm.nih.gov/?term=15914198</v>
      </c>
      <c r="F680" s="28" t="s">
        <v>511</v>
      </c>
      <c r="G680" s="28" t="s">
        <v>4346</v>
      </c>
    </row>
    <row r="681" spans="1:7">
      <c r="A681" s="92" t="s">
        <v>5348</v>
      </c>
      <c r="B681" s="345">
        <v>2009</v>
      </c>
      <c r="C681" s="92"/>
      <c r="D681" s="345">
        <v>19715525</v>
      </c>
      <c r="E681" s="278" t="str">
        <f t="shared" si="0"/>
        <v>https://pubmed.ncbi.nlm.nih.gov/?term=19715525</v>
      </c>
      <c r="F681" s="28" t="s">
        <v>511</v>
      </c>
      <c r="G681" s="28" t="s">
        <v>5349</v>
      </c>
    </row>
    <row r="682" spans="1:7">
      <c r="A682" s="92" t="s">
        <v>5350</v>
      </c>
      <c r="B682" s="345">
        <v>2007</v>
      </c>
      <c r="C682" s="92"/>
      <c r="D682" s="345">
        <v>17189085</v>
      </c>
      <c r="E682" s="278" t="str">
        <f t="shared" si="0"/>
        <v>https://pubmed.ncbi.nlm.nih.gov/?term=17189085</v>
      </c>
      <c r="F682" s="28" t="s">
        <v>511</v>
      </c>
      <c r="G682" s="28" t="s">
        <v>5299</v>
      </c>
    </row>
    <row r="683" spans="1:7">
      <c r="A683" s="92" t="s">
        <v>5351</v>
      </c>
      <c r="B683" s="345">
        <v>2010</v>
      </c>
      <c r="C683" s="92" t="s">
        <v>5352</v>
      </c>
      <c r="D683" s="345">
        <v>20202432</v>
      </c>
      <c r="E683" s="278" t="str">
        <f t="shared" si="0"/>
        <v>https://pubmed.ncbi.nlm.nih.gov/?term=20202432</v>
      </c>
      <c r="F683" s="28" t="s">
        <v>511</v>
      </c>
      <c r="G683" s="28" t="s">
        <v>4346</v>
      </c>
    </row>
    <row r="684" spans="1:7">
      <c r="A684" s="92" t="s">
        <v>5353</v>
      </c>
      <c r="B684" s="345">
        <v>2009</v>
      </c>
      <c r="C684" s="92"/>
      <c r="D684" s="345">
        <v>19770753</v>
      </c>
      <c r="E684" s="278" t="str">
        <f t="shared" si="0"/>
        <v>https://pubmed.ncbi.nlm.nih.gov/?term=19770753</v>
      </c>
      <c r="F684" s="28" t="s">
        <v>511</v>
      </c>
      <c r="G684" s="28" t="s">
        <v>4867</v>
      </c>
    </row>
    <row r="685" spans="1:7">
      <c r="A685" s="92" t="s">
        <v>4772</v>
      </c>
      <c r="B685" s="345">
        <v>2000</v>
      </c>
      <c r="C685" s="92"/>
      <c r="D685" s="345">
        <v>10782705</v>
      </c>
      <c r="E685" s="278" t="str">
        <f t="shared" si="0"/>
        <v>https://pubmed.ncbi.nlm.nih.gov/?term=10782705</v>
      </c>
      <c r="F685" s="28" t="s">
        <v>511</v>
      </c>
      <c r="G685" s="28" t="s">
        <v>4592</v>
      </c>
    </row>
    <row r="686" spans="1:7">
      <c r="A686" s="92" t="s">
        <v>5354</v>
      </c>
      <c r="B686" s="345">
        <v>2008</v>
      </c>
      <c r="C686" s="92"/>
      <c r="D686" s="345">
        <v>18397685</v>
      </c>
      <c r="E686" s="278" t="str">
        <f t="shared" si="0"/>
        <v>https://pubmed.ncbi.nlm.nih.gov/?term=18397685</v>
      </c>
      <c r="F686" s="28" t="s">
        <v>511</v>
      </c>
      <c r="G686" s="28" t="s">
        <v>5349</v>
      </c>
    </row>
    <row r="687" spans="1:7">
      <c r="A687" s="92" t="s">
        <v>5355</v>
      </c>
      <c r="B687" s="345">
        <v>2008</v>
      </c>
      <c r="C687" s="92"/>
      <c r="D687" s="345">
        <v>18165444</v>
      </c>
      <c r="E687" s="278" t="str">
        <f t="shared" si="0"/>
        <v>https://pubmed.ncbi.nlm.nih.gov/?term=18165444</v>
      </c>
      <c r="F687" s="28" t="s">
        <v>511</v>
      </c>
      <c r="G687" s="28" t="s">
        <v>5349</v>
      </c>
    </row>
    <row r="688" spans="1:7">
      <c r="A688" s="92" t="s">
        <v>5356</v>
      </c>
      <c r="B688" s="345">
        <v>2004</v>
      </c>
      <c r="C688" s="92" t="s">
        <v>5357</v>
      </c>
      <c r="D688" s="345">
        <v>15155612</v>
      </c>
      <c r="E688" s="278" t="str">
        <f t="shared" si="0"/>
        <v>https://pubmed.ncbi.nlm.nih.gov/?term=15155612</v>
      </c>
      <c r="F688" s="28" t="s">
        <v>511</v>
      </c>
      <c r="G688" s="28" t="s">
        <v>4346</v>
      </c>
    </row>
    <row r="689" spans="1:8">
      <c r="A689" s="92" t="s">
        <v>5055</v>
      </c>
      <c r="B689" s="345">
        <v>2004</v>
      </c>
      <c r="C689" s="92"/>
      <c r="D689" s="345">
        <v>15255555</v>
      </c>
      <c r="E689" s="278" t="str">
        <f t="shared" si="0"/>
        <v>https://pubmed.ncbi.nlm.nih.gov/?term=15255555</v>
      </c>
      <c r="F689" s="28" t="s">
        <v>511</v>
      </c>
      <c r="G689" s="28" t="s">
        <v>4592</v>
      </c>
    </row>
    <row r="690" spans="1:8">
      <c r="A690" s="92" t="s">
        <v>2371</v>
      </c>
      <c r="B690" s="345">
        <v>2000</v>
      </c>
      <c r="C690" s="92" t="s">
        <v>4779</v>
      </c>
      <c r="D690" s="345">
        <v>10817735</v>
      </c>
      <c r="E690" s="278" t="str">
        <f t="shared" si="0"/>
        <v>https://pubmed.ncbi.nlm.nih.gov/?term=10817735</v>
      </c>
      <c r="F690" s="28" t="s">
        <v>511</v>
      </c>
      <c r="G690" s="28" t="s">
        <v>5349</v>
      </c>
    </row>
    <row r="691" spans="1:8">
      <c r="A691" s="92" t="s">
        <v>5358</v>
      </c>
      <c r="B691" s="345">
        <v>2009</v>
      </c>
      <c r="C691" s="92"/>
      <c r="D691" s="345">
        <v>19951553</v>
      </c>
      <c r="E691" s="278" t="str">
        <f t="shared" si="0"/>
        <v>https://pubmed.ncbi.nlm.nih.gov/?term=19951553</v>
      </c>
      <c r="F691" s="28" t="s">
        <v>511</v>
      </c>
      <c r="G691" s="28" t="s">
        <v>4592</v>
      </c>
    </row>
    <row r="692" spans="1:8">
      <c r="A692" s="92" t="s">
        <v>5359</v>
      </c>
      <c r="B692" s="345">
        <v>2007</v>
      </c>
      <c r="C692" s="92" t="s">
        <v>5360</v>
      </c>
      <c r="D692" s="345">
        <v>17254623</v>
      </c>
      <c r="E692" s="278" t="str">
        <f t="shared" si="0"/>
        <v>https://pubmed.ncbi.nlm.nih.gov/?term=17254623</v>
      </c>
      <c r="F692" s="28" t="s">
        <v>511</v>
      </c>
      <c r="G692" s="28" t="s">
        <v>4346</v>
      </c>
    </row>
    <row r="693" spans="1:8">
      <c r="A693" s="92" t="s">
        <v>5361</v>
      </c>
      <c r="B693" s="345">
        <v>2010</v>
      </c>
      <c r="C693" s="92"/>
      <c r="D693" s="345">
        <v>20674178</v>
      </c>
      <c r="E693" s="278" t="str">
        <f t="shared" si="0"/>
        <v>https://pubmed.ncbi.nlm.nih.gov/?term=20674178</v>
      </c>
      <c r="F693" s="28" t="s">
        <v>511</v>
      </c>
      <c r="G693" s="28" t="s">
        <v>4346</v>
      </c>
    </row>
    <row r="694" spans="1:8">
      <c r="A694" s="92" t="s">
        <v>5362</v>
      </c>
      <c r="B694" s="345">
        <v>2011</v>
      </c>
      <c r="C694" s="92"/>
      <c r="D694" s="345">
        <v>21042827</v>
      </c>
      <c r="E694" s="278" t="str">
        <f t="shared" si="0"/>
        <v>https://pubmed.ncbi.nlm.nih.gov/?term=21042827</v>
      </c>
      <c r="F694" s="28" t="s">
        <v>511</v>
      </c>
      <c r="G694" s="28" t="s">
        <v>4346</v>
      </c>
    </row>
    <row r="695" spans="1:8">
      <c r="A695" s="92" t="s">
        <v>5363</v>
      </c>
      <c r="B695" s="345">
        <v>2008</v>
      </c>
      <c r="C695" s="92"/>
      <c r="D695" s="345">
        <v>18821697</v>
      </c>
      <c r="E695" s="278" t="str">
        <f t="shared" si="0"/>
        <v>https://pubmed.ncbi.nlm.nih.gov/?term=18821697</v>
      </c>
      <c r="F695" s="28" t="s">
        <v>511</v>
      </c>
      <c r="G695" s="28" t="s">
        <v>4346</v>
      </c>
    </row>
    <row r="696" spans="1:8">
      <c r="A696" s="92" t="s">
        <v>5364</v>
      </c>
      <c r="B696" s="345">
        <v>2009</v>
      </c>
      <c r="C696" s="92"/>
      <c r="D696" s="345">
        <v>19174586</v>
      </c>
      <c r="E696" s="278" t="str">
        <f t="shared" si="0"/>
        <v>https://pubmed.ncbi.nlm.nih.gov/?term=19174586</v>
      </c>
      <c r="F696" s="28" t="s">
        <v>511</v>
      </c>
      <c r="G696" s="28" t="s">
        <v>8395</v>
      </c>
    </row>
    <row r="697" spans="1:8">
      <c r="A697" s="92" t="s">
        <v>5366</v>
      </c>
      <c r="B697" s="345">
        <v>2002</v>
      </c>
      <c r="C697" s="92"/>
      <c r="D697" s="345">
        <v>11793394</v>
      </c>
      <c r="E697" s="278" t="str">
        <f t="shared" si="0"/>
        <v>https://pubmed.ncbi.nlm.nih.gov/?term=11793394</v>
      </c>
      <c r="F697" s="28" t="s">
        <v>511</v>
      </c>
      <c r="G697" s="28" t="s">
        <v>4346</v>
      </c>
    </row>
    <row r="698" spans="1:8">
      <c r="A698" s="92" t="s">
        <v>5241</v>
      </c>
      <c r="B698" s="345">
        <v>2007</v>
      </c>
      <c r="C698" s="92"/>
      <c r="D698" s="345">
        <v>17348292</v>
      </c>
      <c r="E698" s="278" t="str">
        <f t="shared" si="0"/>
        <v>https://pubmed.ncbi.nlm.nih.gov/?term=17348292</v>
      </c>
      <c r="F698" s="28" t="s">
        <v>511</v>
      </c>
      <c r="G698" s="28" t="s">
        <v>4346</v>
      </c>
    </row>
    <row r="699" spans="1:8">
      <c r="A699" s="92" t="s">
        <v>5367</v>
      </c>
      <c r="B699" s="345">
        <v>2009</v>
      </c>
      <c r="C699" s="92"/>
      <c r="D699" s="345">
        <v>19219398</v>
      </c>
      <c r="E699" s="278" t="str">
        <f t="shared" si="0"/>
        <v>https://pubmed.ncbi.nlm.nih.gov/?term=19219398</v>
      </c>
      <c r="F699" s="28" t="s">
        <v>511</v>
      </c>
      <c r="G699" s="28" t="s">
        <v>4346</v>
      </c>
    </row>
    <row r="700" spans="1:8">
      <c r="A700" s="92" t="s">
        <v>5267</v>
      </c>
      <c r="B700" s="345">
        <v>2008</v>
      </c>
      <c r="C700" s="92"/>
      <c r="D700" s="345">
        <v>18663041</v>
      </c>
      <c r="E700" s="278" t="str">
        <f t="shared" si="0"/>
        <v>https://pubmed.ncbi.nlm.nih.gov/?term=18663041</v>
      </c>
      <c r="F700" s="28" t="s">
        <v>511</v>
      </c>
      <c r="G700" s="28" t="s">
        <v>4744</v>
      </c>
    </row>
    <row r="701" spans="1:8">
      <c r="A701" s="92" t="s">
        <v>5368</v>
      </c>
      <c r="B701" s="345">
        <v>2007</v>
      </c>
      <c r="C701" s="92"/>
      <c r="D701" s="345">
        <v>17893497</v>
      </c>
      <c r="E701" s="278" t="str">
        <f t="shared" si="0"/>
        <v>https://pubmed.ncbi.nlm.nih.gov/?term=17893497</v>
      </c>
      <c r="F701" s="28" t="s">
        <v>511</v>
      </c>
      <c r="G701" s="28" t="s">
        <v>5349</v>
      </c>
    </row>
    <row r="702" spans="1:8">
      <c r="A702" s="92" t="s">
        <v>5369</v>
      </c>
      <c r="B702" s="345">
        <v>2010</v>
      </c>
      <c r="C702" s="92"/>
      <c r="D702" s="345">
        <v>20951424</v>
      </c>
      <c r="E702" s="278" t="str">
        <f t="shared" si="0"/>
        <v>https://pubmed.ncbi.nlm.nih.gov/?term=20951424</v>
      </c>
      <c r="F702" s="28" t="s">
        <v>511</v>
      </c>
      <c r="G702" s="28" t="s">
        <v>5299</v>
      </c>
    </row>
    <row r="703" spans="1:8">
      <c r="A703" s="92" t="s">
        <v>5370</v>
      </c>
      <c r="B703" s="345">
        <v>2005</v>
      </c>
      <c r="C703" s="92"/>
      <c r="D703" s="345">
        <v>16119511</v>
      </c>
      <c r="E703" s="278" t="str">
        <f t="shared" si="0"/>
        <v>https://pubmed.ncbi.nlm.nih.gov/?term=16119511</v>
      </c>
      <c r="F703" s="28" t="s">
        <v>511</v>
      </c>
      <c r="G703" s="28" t="s">
        <v>4744</v>
      </c>
    </row>
    <row r="704" spans="1:8">
      <c r="A704" s="92" t="s">
        <v>4338</v>
      </c>
      <c r="B704" s="345">
        <v>2007</v>
      </c>
      <c r="C704" s="92" t="s">
        <v>5371</v>
      </c>
      <c r="D704" s="345">
        <v>17055218</v>
      </c>
      <c r="E704" s="278" t="str">
        <f t="shared" si="0"/>
        <v>https://pubmed.ncbi.nlm.nih.gov/?term=17055218</v>
      </c>
      <c r="H704" s="28" t="s">
        <v>511</v>
      </c>
    </row>
    <row r="705" spans="1:8">
      <c r="A705" s="92" t="s">
        <v>5372</v>
      </c>
      <c r="B705" s="345">
        <v>2008</v>
      </c>
      <c r="C705" s="92" t="s">
        <v>5373</v>
      </c>
      <c r="D705" s="345">
        <v>18199647</v>
      </c>
      <c r="E705" s="278" t="str">
        <f t="shared" si="0"/>
        <v>https://pubmed.ncbi.nlm.nih.gov/?term=18199647</v>
      </c>
      <c r="F705" s="28" t="s">
        <v>511</v>
      </c>
      <c r="G705" s="28" t="s">
        <v>4346</v>
      </c>
    </row>
    <row r="706" spans="1:8">
      <c r="A706" s="92" t="s">
        <v>5374</v>
      </c>
      <c r="B706" s="345">
        <v>2007</v>
      </c>
      <c r="C706" s="92"/>
      <c r="D706" s="345">
        <v>17698669</v>
      </c>
      <c r="E706" s="278" t="str">
        <f t="shared" si="0"/>
        <v>https://pubmed.ncbi.nlm.nih.gov/?term=17698669</v>
      </c>
      <c r="F706" s="28" t="s">
        <v>511</v>
      </c>
      <c r="G706" s="28" t="s">
        <v>4346</v>
      </c>
    </row>
    <row r="707" spans="1:8">
      <c r="A707" s="92" t="s">
        <v>5375</v>
      </c>
      <c r="B707" s="345">
        <v>2009</v>
      </c>
      <c r="C707" s="92"/>
      <c r="D707" s="345">
        <v>19753470</v>
      </c>
      <c r="E707" s="278" t="str">
        <f t="shared" si="0"/>
        <v>https://pubmed.ncbi.nlm.nih.gov/?term=19753470</v>
      </c>
      <c r="F707" s="28" t="s">
        <v>511</v>
      </c>
      <c r="G707" s="28" t="s">
        <v>4592</v>
      </c>
    </row>
    <row r="708" spans="1:8">
      <c r="A708" s="92" t="s">
        <v>4711</v>
      </c>
      <c r="B708" s="345">
        <v>2004</v>
      </c>
      <c r="C708" s="92"/>
      <c r="D708" s="345">
        <v>15506661</v>
      </c>
      <c r="E708" s="278" t="str">
        <f t="shared" si="0"/>
        <v>https://pubmed.ncbi.nlm.nih.gov/?term=15506661</v>
      </c>
      <c r="F708" s="28" t="s">
        <v>511</v>
      </c>
      <c r="G708" s="28" t="s">
        <v>4592</v>
      </c>
    </row>
    <row r="709" spans="1:8">
      <c r="A709" s="92" t="s">
        <v>5376</v>
      </c>
      <c r="B709" s="345">
        <v>2010</v>
      </c>
      <c r="C709" s="92"/>
      <c r="D709" s="345">
        <v>19841607</v>
      </c>
      <c r="E709" s="278" t="str">
        <f t="shared" si="0"/>
        <v>https://pubmed.ncbi.nlm.nih.gov/?term=19841607</v>
      </c>
      <c r="F709" s="28" t="s">
        <v>511</v>
      </c>
      <c r="G709" s="28" t="s">
        <v>5349</v>
      </c>
    </row>
    <row r="710" spans="1:8">
      <c r="A710" s="92" t="s">
        <v>5377</v>
      </c>
      <c r="B710" s="345">
        <v>2007</v>
      </c>
      <c r="C710" s="92" t="s">
        <v>5378</v>
      </c>
      <c r="D710" s="345">
        <v>17641671</v>
      </c>
      <c r="E710" s="278" t="str">
        <f t="shared" si="0"/>
        <v>https://pubmed.ncbi.nlm.nih.gov/?term=17641671</v>
      </c>
      <c r="F710" s="28" t="s">
        <v>511</v>
      </c>
      <c r="G710" s="28" t="s">
        <v>4346</v>
      </c>
    </row>
    <row r="711" spans="1:8">
      <c r="A711" s="92" t="s">
        <v>5379</v>
      </c>
      <c r="B711" s="345">
        <v>2010</v>
      </c>
      <c r="C711" s="92" t="s">
        <v>5380</v>
      </c>
      <c r="D711" s="345">
        <v>20376320</v>
      </c>
      <c r="E711" s="278" t="str">
        <f t="shared" si="0"/>
        <v>https://pubmed.ncbi.nlm.nih.gov/?term=20376320</v>
      </c>
      <c r="F711" s="28" t="s">
        <v>511</v>
      </c>
      <c r="G711" s="28" t="s">
        <v>4346</v>
      </c>
    </row>
    <row r="712" spans="1:8">
      <c r="A712" s="92" t="s">
        <v>4333</v>
      </c>
      <c r="B712" s="345">
        <v>2010</v>
      </c>
      <c r="C712" s="92"/>
      <c r="D712" s="345">
        <v>20525715</v>
      </c>
      <c r="E712" s="278" t="str">
        <f t="shared" si="0"/>
        <v>https://pubmed.ncbi.nlm.nih.gov/?term=20525715</v>
      </c>
      <c r="H712" s="28" t="s">
        <v>511</v>
      </c>
    </row>
    <row r="713" spans="1:8">
      <c r="A713" s="92" t="s">
        <v>5381</v>
      </c>
      <c r="B713" s="345">
        <v>2005</v>
      </c>
      <c r="C713" s="92" t="s">
        <v>5382</v>
      </c>
      <c r="D713" s="345">
        <v>15742410</v>
      </c>
      <c r="E713" s="278" t="str">
        <f t="shared" si="0"/>
        <v>https://pubmed.ncbi.nlm.nih.gov/?term=15742410</v>
      </c>
      <c r="F713" s="28" t="s">
        <v>511</v>
      </c>
      <c r="G713" s="28" t="s">
        <v>4628</v>
      </c>
    </row>
    <row r="714" spans="1:8">
      <c r="A714" s="92" t="s">
        <v>4796</v>
      </c>
      <c r="B714" s="345">
        <v>2000</v>
      </c>
      <c r="C714" s="92" t="s">
        <v>4797</v>
      </c>
      <c r="D714" s="345">
        <v>10823852</v>
      </c>
      <c r="E714" s="278" t="str">
        <f t="shared" si="0"/>
        <v>https://pubmed.ncbi.nlm.nih.gov/?term=10823852</v>
      </c>
      <c r="F714" s="28" t="s">
        <v>511</v>
      </c>
      <c r="G714" s="28" t="s">
        <v>4346</v>
      </c>
    </row>
    <row r="715" spans="1:8">
      <c r="A715" s="92" t="s">
        <v>5383</v>
      </c>
      <c r="B715" s="345">
        <v>2009</v>
      </c>
      <c r="C715" s="92"/>
      <c r="D715" s="345">
        <v>19190224</v>
      </c>
      <c r="E715" s="278" t="str">
        <f t="shared" si="0"/>
        <v>https://pubmed.ncbi.nlm.nih.gov/?term=19190224</v>
      </c>
      <c r="F715" s="28" t="s">
        <v>511</v>
      </c>
      <c r="G715" s="28" t="s">
        <v>4346</v>
      </c>
    </row>
    <row r="716" spans="1:8">
      <c r="A716" s="92" t="s">
        <v>5384</v>
      </c>
      <c r="B716" s="345">
        <v>2005</v>
      </c>
      <c r="C716" s="92"/>
      <c r="D716" s="345">
        <v>15663066</v>
      </c>
      <c r="E716" s="278" t="str">
        <f t="shared" si="0"/>
        <v>https://pubmed.ncbi.nlm.nih.gov/?term=15663066</v>
      </c>
      <c r="F716" s="28" t="s">
        <v>511</v>
      </c>
      <c r="G716" s="28" t="s">
        <v>5349</v>
      </c>
    </row>
    <row r="717" spans="1:8">
      <c r="A717" s="92" t="s">
        <v>5385</v>
      </c>
      <c r="B717" s="345">
        <v>2010</v>
      </c>
      <c r="C717" s="92" t="s">
        <v>5386</v>
      </c>
      <c r="D717" s="345">
        <v>20823213</v>
      </c>
      <c r="E717" s="278" t="str">
        <f t="shared" si="0"/>
        <v>https://pubmed.ncbi.nlm.nih.gov/?term=20823213</v>
      </c>
      <c r="F717" s="28" t="s">
        <v>511</v>
      </c>
      <c r="G717" s="28" t="s">
        <v>4346</v>
      </c>
    </row>
    <row r="718" spans="1:8">
      <c r="A718" s="92" t="s">
        <v>2371</v>
      </c>
      <c r="B718" s="345">
        <v>2001</v>
      </c>
      <c r="C718" s="92"/>
      <c r="D718" s="345">
        <v>11692298</v>
      </c>
      <c r="E718" s="278" t="str">
        <f t="shared" si="0"/>
        <v>https://pubmed.ncbi.nlm.nih.gov/?term=11692298</v>
      </c>
      <c r="H718" s="28" t="s">
        <v>511</v>
      </c>
    </row>
    <row r="719" spans="1:8">
      <c r="A719" s="92" t="s">
        <v>5387</v>
      </c>
      <c r="B719" s="345">
        <v>2009</v>
      </c>
      <c r="C719" s="92"/>
      <c r="D719" s="345">
        <v>19488785</v>
      </c>
      <c r="E719" s="278" t="str">
        <f t="shared" si="0"/>
        <v>https://pubmed.ncbi.nlm.nih.gov/?term=19488785</v>
      </c>
      <c r="F719" s="28" t="s">
        <v>511</v>
      </c>
      <c r="G719" s="28" t="s">
        <v>4346</v>
      </c>
    </row>
    <row r="720" spans="1:8">
      <c r="A720" s="92" t="s">
        <v>5388</v>
      </c>
      <c r="B720" s="345">
        <v>2009</v>
      </c>
      <c r="C720" s="92" t="s">
        <v>5389</v>
      </c>
      <c r="D720" s="345">
        <v>19797063</v>
      </c>
      <c r="E720" s="278" t="str">
        <f t="shared" si="0"/>
        <v>https://pubmed.ncbi.nlm.nih.gov/?term=19797063</v>
      </c>
      <c r="F720" s="28" t="s">
        <v>511</v>
      </c>
      <c r="G720" s="28" t="s">
        <v>4346</v>
      </c>
    </row>
    <row r="721" spans="1:8">
      <c r="A721" s="92" t="s">
        <v>4371</v>
      </c>
      <c r="B721" s="345">
        <v>2000</v>
      </c>
      <c r="C721" s="92"/>
      <c r="D721" s="345">
        <v>11130213</v>
      </c>
      <c r="E721" s="278" t="str">
        <f t="shared" si="0"/>
        <v>https://pubmed.ncbi.nlm.nih.gov/?term=11130213</v>
      </c>
      <c r="H721" s="28" t="s">
        <v>511</v>
      </c>
    </row>
    <row r="722" spans="1:8">
      <c r="A722" s="92" t="s">
        <v>5390</v>
      </c>
      <c r="B722" s="345">
        <v>2003</v>
      </c>
      <c r="C722" s="92"/>
      <c r="D722" s="345">
        <v>14648065</v>
      </c>
      <c r="E722" s="278" t="str">
        <f t="shared" si="0"/>
        <v>https://pubmed.ncbi.nlm.nih.gov/?term=14648065</v>
      </c>
      <c r="F722" s="28" t="s">
        <v>511</v>
      </c>
      <c r="G722" s="28" t="s">
        <v>8395</v>
      </c>
    </row>
    <row r="723" spans="1:8">
      <c r="A723" s="92" t="s">
        <v>2213</v>
      </c>
      <c r="B723" s="345">
        <v>2000</v>
      </c>
      <c r="C723" s="92"/>
      <c r="D723" s="345">
        <v>10608746</v>
      </c>
      <c r="E723" s="278" t="str">
        <f t="shared" si="0"/>
        <v>https://pubmed.ncbi.nlm.nih.gov/?term=10608746</v>
      </c>
      <c r="H723" s="28" t="s">
        <v>511</v>
      </c>
    </row>
    <row r="724" spans="1:8">
      <c r="A724" s="92" t="s">
        <v>5391</v>
      </c>
      <c r="B724" s="345">
        <v>2006</v>
      </c>
      <c r="C724" s="92"/>
      <c r="D724" s="345">
        <v>16459029</v>
      </c>
      <c r="E724" s="278" t="str">
        <f t="shared" si="0"/>
        <v>https://pubmed.ncbi.nlm.nih.gov/?term=16459029</v>
      </c>
      <c r="F724" s="28" t="s">
        <v>511</v>
      </c>
      <c r="G724" s="28" t="s">
        <v>4346</v>
      </c>
    </row>
    <row r="725" spans="1:8">
      <c r="A725" s="92" t="s">
        <v>4255</v>
      </c>
      <c r="B725" s="345">
        <v>2000</v>
      </c>
      <c r="C725" s="92"/>
      <c r="D725" s="345">
        <v>10781777</v>
      </c>
      <c r="E725" s="278" t="str">
        <f t="shared" si="0"/>
        <v>https://pubmed.ncbi.nlm.nih.gov/?term=10781777</v>
      </c>
      <c r="H725" s="28" t="s">
        <v>511</v>
      </c>
    </row>
    <row r="726" spans="1:8">
      <c r="A726" s="92" t="s">
        <v>5392</v>
      </c>
      <c r="B726" s="345">
        <v>2009</v>
      </c>
      <c r="C726" s="92"/>
      <c r="D726" s="345">
        <v>19395735</v>
      </c>
      <c r="E726" s="278" t="str">
        <f t="shared" si="0"/>
        <v>https://pubmed.ncbi.nlm.nih.gov/?term=19395735</v>
      </c>
      <c r="F726" s="28" t="s">
        <v>511</v>
      </c>
      <c r="G726" s="28" t="s">
        <v>4346</v>
      </c>
    </row>
    <row r="727" spans="1:8">
      <c r="A727" s="92" t="s">
        <v>5393</v>
      </c>
      <c r="B727" s="345">
        <v>2009</v>
      </c>
      <c r="C727" s="92" t="s">
        <v>5394</v>
      </c>
      <c r="D727" s="345">
        <v>19235917</v>
      </c>
      <c r="E727" s="278" t="str">
        <f t="shared" si="0"/>
        <v>https://pubmed.ncbi.nlm.nih.gov/?term=19235917</v>
      </c>
      <c r="F727" s="28" t="s">
        <v>511</v>
      </c>
      <c r="G727" s="28" t="s">
        <v>4346</v>
      </c>
    </row>
    <row r="728" spans="1:8">
      <c r="A728" s="92" t="s">
        <v>5395</v>
      </c>
      <c r="B728" s="345">
        <v>2003</v>
      </c>
      <c r="C728" s="92"/>
      <c r="D728" s="345">
        <v>12966125</v>
      </c>
      <c r="E728" s="278" t="str">
        <f t="shared" si="0"/>
        <v>https://pubmed.ncbi.nlm.nih.gov/?term=12966125</v>
      </c>
      <c r="F728" s="28" t="s">
        <v>511</v>
      </c>
      <c r="G728" s="28" t="s">
        <v>5349</v>
      </c>
    </row>
    <row r="729" spans="1:8">
      <c r="A729" s="92" t="s">
        <v>5396</v>
      </c>
      <c r="B729" s="345">
        <v>2008</v>
      </c>
      <c r="C729" s="92" t="s">
        <v>5397</v>
      </c>
      <c r="D729" s="345">
        <v>18577209</v>
      </c>
      <c r="E729" s="278" t="str">
        <f t="shared" si="0"/>
        <v>https://pubmed.ncbi.nlm.nih.gov/?term=18577209</v>
      </c>
      <c r="F729" s="28" t="s">
        <v>511</v>
      </c>
      <c r="G729" s="28" t="s">
        <v>5349</v>
      </c>
    </row>
    <row r="730" spans="1:8">
      <c r="A730" s="92" t="s">
        <v>5398</v>
      </c>
      <c r="B730" s="345">
        <v>2004</v>
      </c>
      <c r="C730" s="92"/>
      <c r="D730" s="345">
        <v>15166422</v>
      </c>
      <c r="E730" s="278" t="str">
        <f t="shared" si="0"/>
        <v>https://pubmed.ncbi.nlm.nih.gov/?term=15166422</v>
      </c>
      <c r="F730" s="28" t="s">
        <v>511</v>
      </c>
      <c r="G730" s="28" t="s">
        <v>5349</v>
      </c>
    </row>
    <row r="731" spans="1:8">
      <c r="A731" s="92" t="s">
        <v>5399</v>
      </c>
      <c r="B731" s="345">
        <v>2003</v>
      </c>
      <c r="C731" s="92"/>
      <c r="D731" s="345">
        <v>14971250</v>
      </c>
      <c r="E731" s="278" t="str">
        <f t="shared" si="0"/>
        <v>https://pubmed.ncbi.nlm.nih.gov/?term=14971250</v>
      </c>
      <c r="F731" s="28" t="s">
        <v>511</v>
      </c>
      <c r="G731" s="28" t="s">
        <v>4592</v>
      </c>
    </row>
    <row r="732" spans="1:8">
      <c r="A732" s="92" t="s">
        <v>5400</v>
      </c>
      <c r="B732" s="345">
        <v>2007</v>
      </c>
      <c r="C732" s="92"/>
      <c r="D732" s="345">
        <v>17376565</v>
      </c>
      <c r="E732" s="278" t="str">
        <f t="shared" si="0"/>
        <v>https://pubmed.ncbi.nlm.nih.gov/?term=17376565</v>
      </c>
      <c r="F732" s="28" t="s">
        <v>511</v>
      </c>
      <c r="G732" s="28" t="s">
        <v>4592</v>
      </c>
    </row>
    <row r="733" spans="1:8">
      <c r="A733" s="92" t="s">
        <v>5401</v>
      </c>
      <c r="B733" s="345">
        <v>2008</v>
      </c>
      <c r="C733" s="92"/>
      <c r="D733" s="345">
        <v>18840492</v>
      </c>
      <c r="E733" s="278" t="str">
        <f t="shared" si="0"/>
        <v>https://pubmed.ncbi.nlm.nih.gov/?term=18840492</v>
      </c>
      <c r="F733" s="28" t="s">
        <v>511</v>
      </c>
      <c r="G733" s="28" t="s">
        <v>4346</v>
      </c>
    </row>
    <row r="734" spans="1:8">
      <c r="A734" s="92" t="s">
        <v>5402</v>
      </c>
      <c r="B734" s="345">
        <v>2007</v>
      </c>
      <c r="C734" s="92"/>
      <c r="D734" s="345">
        <v>17513796</v>
      </c>
      <c r="E734" s="278" t="str">
        <f t="shared" si="0"/>
        <v>https://pubmed.ncbi.nlm.nih.gov/?term=17513796</v>
      </c>
      <c r="F734" s="28" t="s">
        <v>511</v>
      </c>
      <c r="G734" s="28" t="s">
        <v>4346</v>
      </c>
    </row>
    <row r="735" spans="1:8">
      <c r="A735" s="92" t="s">
        <v>5403</v>
      </c>
      <c r="B735" s="345">
        <v>2005</v>
      </c>
      <c r="C735" s="92"/>
      <c r="D735" s="345">
        <v>16255669</v>
      </c>
      <c r="E735" s="278" t="str">
        <f t="shared" si="0"/>
        <v>https://pubmed.ncbi.nlm.nih.gov/?term=16255669</v>
      </c>
      <c r="F735" s="28" t="s">
        <v>511</v>
      </c>
      <c r="G735" s="28" t="s">
        <v>4592</v>
      </c>
    </row>
    <row r="736" spans="1:8">
      <c r="A736" s="92" t="s">
        <v>5404</v>
      </c>
      <c r="B736" s="345">
        <v>2007</v>
      </c>
      <c r="C736" s="92"/>
      <c r="D736" s="345">
        <v>17575228</v>
      </c>
      <c r="E736" s="278" t="str">
        <f t="shared" si="0"/>
        <v>https://pubmed.ncbi.nlm.nih.gov/?term=17575228</v>
      </c>
      <c r="F736" s="28" t="s">
        <v>511</v>
      </c>
      <c r="G736" s="28" t="s">
        <v>5349</v>
      </c>
    </row>
    <row r="737" spans="1:8">
      <c r="A737" s="92" t="s">
        <v>5405</v>
      </c>
      <c r="B737" s="345">
        <v>2010</v>
      </c>
      <c r="C737" s="92"/>
      <c r="D737" s="345">
        <v>20347874</v>
      </c>
      <c r="E737" s="278" t="str">
        <f t="shared" si="0"/>
        <v>https://pubmed.ncbi.nlm.nih.gov/?term=20347874</v>
      </c>
      <c r="F737" s="28" t="s">
        <v>511</v>
      </c>
      <c r="G737" s="28" t="s">
        <v>4346</v>
      </c>
    </row>
    <row r="738" spans="1:8">
      <c r="A738" s="92" t="s">
        <v>5406</v>
      </c>
      <c r="B738" s="345">
        <v>2009</v>
      </c>
      <c r="C738" s="92"/>
      <c r="D738" s="345">
        <v>19349870</v>
      </c>
      <c r="E738" s="278" t="str">
        <f t="shared" si="0"/>
        <v>https://pubmed.ncbi.nlm.nih.gov/?term=19349870</v>
      </c>
      <c r="F738" s="28" t="s">
        <v>511</v>
      </c>
      <c r="G738" s="28" t="s">
        <v>5349</v>
      </c>
    </row>
    <row r="739" spans="1:8">
      <c r="A739" s="92" t="s">
        <v>5407</v>
      </c>
      <c r="B739" s="345">
        <v>2004</v>
      </c>
      <c r="C739" s="92"/>
      <c r="D739" s="345">
        <v>15623588</v>
      </c>
      <c r="E739" s="278" t="str">
        <f t="shared" si="0"/>
        <v>https://pubmed.ncbi.nlm.nih.gov/?term=15623588</v>
      </c>
      <c r="F739" s="28" t="s">
        <v>511</v>
      </c>
      <c r="G739" s="28" t="s">
        <v>4592</v>
      </c>
    </row>
    <row r="740" spans="1:8">
      <c r="A740" s="92" t="s">
        <v>5408</v>
      </c>
      <c r="B740" s="345">
        <v>2007</v>
      </c>
      <c r="C740" s="92"/>
      <c r="D740" s="345">
        <v>16580730</v>
      </c>
      <c r="E740" s="278" t="str">
        <f t="shared" si="0"/>
        <v>https://pubmed.ncbi.nlm.nih.gov/?term=16580730</v>
      </c>
      <c r="F740" s="28" t="s">
        <v>511</v>
      </c>
      <c r="G740" s="28" t="s">
        <v>4346</v>
      </c>
    </row>
    <row r="741" spans="1:8">
      <c r="A741" s="92" t="s">
        <v>5409</v>
      </c>
      <c r="B741" s="345">
        <v>2001</v>
      </c>
      <c r="C741" s="92"/>
      <c r="D741" s="345">
        <v>11715169</v>
      </c>
      <c r="E741" s="278" t="str">
        <f t="shared" si="0"/>
        <v>https://pubmed.ncbi.nlm.nih.gov/?term=11715169</v>
      </c>
      <c r="F741" s="28" t="s">
        <v>511</v>
      </c>
      <c r="G741" s="28" t="s">
        <v>4628</v>
      </c>
    </row>
    <row r="742" spans="1:8">
      <c r="A742" s="92" t="s">
        <v>5410</v>
      </c>
      <c r="B742" s="345">
        <v>2008</v>
      </c>
      <c r="C742" s="92"/>
      <c r="D742" s="345">
        <v>19057821</v>
      </c>
      <c r="E742" s="278" t="str">
        <f t="shared" si="0"/>
        <v>https://pubmed.ncbi.nlm.nih.gov/?term=19057821</v>
      </c>
      <c r="F742" s="28" t="s">
        <v>511</v>
      </c>
      <c r="G742" s="28" t="s">
        <v>4346</v>
      </c>
    </row>
    <row r="743" spans="1:8">
      <c r="A743" s="92" t="s">
        <v>5411</v>
      </c>
      <c r="B743" s="345">
        <v>2009</v>
      </c>
      <c r="C743" s="92"/>
      <c r="D743" s="345">
        <v>18498299</v>
      </c>
      <c r="E743" s="278" t="str">
        <f t="shared" si="0"/>
        <v>https://pubmed.ncbi.nlm.nih.gov/?term=18498299</v>
      </c>
      <c r="F743" s="28" t="s">
        <v>511</v>
      </c>
      <c r="G743" s="28" t="s">
        <v>4346</v>
      </c>
    </row>
    <row r="744" spans="1:8">
      <c r="A744" s="92" t="s">
        <v>4396</v>
      </c>
      <c r="B744" s="345">
        <v>2003</v>
      </c>
      <c r="C744" s="92"/>
      <c r="D744" s="345">
        <v>15088780</v>
      </c>
      <c r="E744" s="278" t="str">
        <f t="shared" si="0"/>
        <v>https://pubmed.ncbi.nlm.nih.gov/?term=15088780</v>
      </c>
      <c r="H744" s="28" t="s">
        <v>511</v>
      </c>
    </row>
    <row r="745" spans="1:8">
      <c r="A745" s="92" t="s">
        <v>5412</v>
      </c>
      <c r="B745" s="345">
        <v>2004</v>
      </c>
      <c r="C745" s="92" t="s">
        <v>5413</v>
      </c>
      <c r="D745" s="345">
        <v>15501766</v>
      </c>
      <c r="E745" s="278" t="str">
        <f t="shared" si="0"/>
        <v>https://pubmed.ncbi.nlm.nih.gov/?term=15501766</v>
      </c>
      <c r="F745" s="28" t="s">
        <v>511</v>
      </c>
      <c r="G745" s="28" t="s">
        <v>4346</v>
      </c>
    </row>
    <row r="746" spans="1:8">
      <c r="A746" s="92" t="s">
        <v>5414</v>
      </c>
      <c r="B746" s="345">
        <v>2001</v>
      </c>
      <c r="C746" s="92"/>
      <c r="D746" s="345">
        <v>11673584</v>
      </c>
      <c r="E746" s="278" t="str">
        <f t="shared" si="0"/>
        <v>https://pubmed.ncbi.nlm.nih.gov/?term=11673584</v>
      </c>
      <c r="F746" s="28" t="s">
        <v>511</v>
      </c>
      <c r="G746" s="28" t="s">
        <v>5415</v>
      </c>
    </row>
    <row r="747" spans="1:8">
      <c r="A747" s="92" t="s">
        <v>5416</v>
      </c>
      <c r="B747" s="345">
        <v>2008</v>
      </c>
      <c r="C747" s="92"/>
      <c r="D747" s="345">
        <v>18376302</v>
      </c>
      <c r="E747" s="278" t="str">
        <f t="shared" si="0"/>
        <v>https://pubmed.ncbi.nlm.nih.gov/?term=18376302</v>
      </c>
      <c r="F747" s="28" t="s">
        <v>511</v>
      </c>
      <c r="G747" s="28" t="s">
        <v>4346</v>
      </c>
    </row>
    <row r="748" spans="1:8">
      <c r="A748" s="92" t="s">
        <v>5417</v>
      </c>
      <c r="B748" s="345">
        <v>2003</v>
      </c>
      <c r="C748" s="92"/>
      <c r="D748" s="345">
        <v>14551489</v>
      </c>
      <c r="E748" s="278" t="str">
        <f t="shared" si="0"/>
        <v>https://pubmed.ncbi.nlm.nih.gov/?term=14551489</v>
      </c>
      <c r="F748" s="28" t="s">
        <v>511</v>
      </c>
      <c r="G748" s="28" t="s">
        <v>5349</v>
      </c>
    </row>
    <row r="749" spans="1:8">
      <c r="A749" s="92" t="s">
        <v>5418</v>
      </c>
      <c r="B749" s="345">
        <v>2001</v>
      </c>
      <c r="C749" s="92"/>
      <c r="D749" s="345">
        <v>11305513</v>
      </c>
      <c r="E749" s="278" t="str">
        <f t="shared" si="0"/>
        <v>https://pubmed.ncbi.nlm.nih.gov/?term=11305513</v>
      </c>
      <c r="F749" s="28" t="s">
        <v>511</v>
      </c>
      <c r="G749" s="28" t="s">
        <v>5349</v>
      </c>
    </row>
    <row r="750" spans="1:8">
      <c r="A750" s="92" t="s">
        <v>4829</v>
      </c>
      <c r="B750" s="345">
        <v>2000</v>
      </c>
      <c r="C750" s="92"/>
      <c r="D750" s="345">
        <v>10727839</v>
      </c>
      <c r="E750" s="278" t="str">
        <f t="shared" si="0"/>
        <v>https://pubmed.ncbi.nlm.nih.gov/?term=10727839</v>
      </c>
      <c r="F750" s="28" t="s">
        <v>511</v>
      </c>
      <c r="G750" s="28" t="s">
        <v>4346</v>
      </c>
    </row>
    <row r="751" spans="1:8">
      <c r="A751" s="92" t="s">
        <v>5419</v>
      </c>
      <c r="B751" s="345">
        <v>2006</v>
      </c>
      <c r="C751" s="92"/>
      <c r="D751" s="345">
        <v>16899099</v>
      </c>
      <c r="E751" s="278" t="str">
        <f t="shared" si="0"/>
        <v>https://pubmed.ncbi.nlm.nih.gov/?term=16899099</v>
      </c>
      <c r="F751" s="28" t="s">
        <v>511</v>
      </c>
      <c r="G751" s="28" t="s">
        <v>5349</v>
      </c>
    </row>
    <row r="752" spans="1:8">
      <c r="A752" s="92" t="s">
        <v>4304</v>
      </c>
      <c r="B752" s="345">
        <v>2009</v>
      </c>
      <c r="C752" s="92"/>
      <c r="D752" s="345">
        <v>19563295</v>
      </c>
      <c r="E752" s="278" t="str">
        <f t="shared" si="0"/>
        <v>https://pubmed.ncbi.nlm.nih.gov/?term=19563295</v>
      </c>
      <c r="H752" s="28" t="s">
        <v>511</v>
      </c>
    </row>
    <row r="753" spans="1:7">
      <c r="A753" s="92" t="s">
        <v>5420</v>
      </c>
      <c r="B753" s="345">
        <v>2006</v>
      </c>
      <c r="C753" s="92"/>
      <c r="D753" s="345">
        <v>16732720</v>
      </c>
      <c r="E753" s="278" t="str">
        <f t="shared" si="0"/>
        <v>https://pubmed.ncbi.nlm.nih.gov/?term=16732720</v>
      </c>
      <c r="F753" s="28" t="s">
        <v>511</v>
      </c>
      <c r="G753" s="28" t="s">
        <v>5349</v>
      </c>
    </row>
    <row r="754" spans="1:7">
      <c r="A754" s="92" t="s">
        <v>5421</v>
      </c>
      <c r="B754" s="345">
        <v>2007</v>
      </c>
      <c r="C754" s="92"/>
      <c r="D754" s="345">
        <v>17091240</v>
      </c>
      <c r="E754" s="278" t="str">
        <f t="shared" si="0"/>
        <v>https://pubmed.ncbi.nlm.nih.gov/?term=17091240</v>
      </c>
      <c r="F754" s="28" t="s">
        <v>511</v>
      </c>
      <c r="G754" s="28" t="s">
        <v>5349</v>
      </c>
    </row>
    <row r="755" spans="1:7">
      <c r="A755" s="92" t="s">
        <v>5422</v>
      </c>
      <c r="B755" s="345">
        <v>2008</v>
      </c>
      <c r="C755" s="92"/>
      <c r="D755" s="345">
        <v>18701826</v>
      </c>
      <c r="E755" s="278" t="str">
        <f t="shared" si="0"/>
        <v>https://pubmed.ncbi.nlm.nih.gov/?term=18701826</v>
      </c>
      <c r="F755" s="28" t="s">
        <v>511</v>
      </c>
      <c r="G755" s="28" t="s">
        <v>5299</v>
      </c>
    </row>
    <row r="756" spans="1:7">
      <c r="A756" s="92" t="s">
        <v>5423</v>
      </c>
      <c r="B756" s="345">
        <v>2008</v>
      </c>
      <c r="C756" s="92" t="s">
        <v>5424</v>
      </c>
      <c r="D756" s="345">
        <v>18467696</v>
      </c>
      <c r="E756" s="278" t="str">
        <f t="shared" si="0"/>
        <v>https://pubmed.ncbi.nlm.nih.gov/?term=18467696</v>
      </c>
      <c r="F756" s="28" t="s">
        <v>511</v>
      </c>
      <c r="G756" s="28" t="s">
        <v>4346</v>
      </c>
    </row>
    <row r="757" spans="1:7">
      <c r="A757" s="92" t="s">
        <v>5425</v>
      </c>
      <c r="B757" s="345">
        <v>2002</v>
      </c>
      <c r="C757" s="92"/>
      <c r="D757" s="345">
        <v>12186830</v>
      </c>
      <c r="E757" s="278" t="str">
        <f t="shared" si="0"/>
        <v>https://pubmed.ncbi.nlm.nih.gov/?term=12186830</v>
      </c>
      <c r="F757" s="28" t="s">
        <v>511</v>
      </c>
      <c r="G757" s="28" t="s">
        <v>4346</v>
      </c>
    </row>
    <row r="758" spans="1:7">
      <c r="A758" s="92" t="s">
        <v>4833</v>
      </c>
      <c r="B758" s="345">
        <v>2000</v>
      </c>
      <c r="C758" s="92"/>
      <c r="D758" s="345">
        <v>11039151</v>
      </c>
      <c r="E758" s="278" t="str">
        <f t="shared" si="0"/>
        <v>https://pubmed.ncbi.nlm.nih.gov/?term=11039151</v>
      </c>
      <c r="F758" s="28" t="s">
        <v>511</v>
      </c>
      <c r="G758" s="28" t="s">
        <v>5349</v>
      </c>
    </row>
    <row r="759" spans="1:7">
      <c r="A759" s="92" t="s">
        <v>5426</v>
      </c>
      <c r="B759" s="345">
        <v>2003</v>
      </c>
      <c r="C759" s="92"/>
      <c r="D759" s="345">
        <v>12888650</v>
      </c>
      <c r="E759" s="278" t="str">
        <f t="shared" si="0"/>
        <v>https://pubmed.ncbi.nlm.nih.gov/?term=12888650</v>
      </c>
      <c r="F759" s="28" t="s">
        <v>511</v>
      </c>
      <c r="G759" s="28" t="s">
        <v>4346</v>
      </c>
    </row>
    <row r="760" spans="1:7">
      <c r="A760" s="92" t="s">
        <v>5427</v>
      </c>
      <c r="B760" s="345">
        <v>2007</v>
      </c>
      <c r="C760" s="92"/>
      <c r="D760" s="345">
        <v>17637332</v>
      </c>
      <c r="E760" s="278" t="str">
        <f t="shared" si="0"/>
        <v>https://pubmed.ncbi.nlm.nih.gov/?term=17637332</v>
      </c>
      <c r="F760" s="28" t="s">
        <v>511</v>
      </c>
      <c r="G760" s="28" t="s">
        <v>4346</v>
      </c>
    </row>
    <row r="761" spans="1:7">
      <c r="A761" s="92" t="s">
        <v>5428</v>
      </c>
      <c r="B761" s="345">
        <v>2010</v>
      </c>
      <c r="C761" s="92" t="s">
        <v>5429</v>
      </c>
      <c r="D761" s="345">
        <v>20727205</v>
      </c>
      <c r="E761" s="278" t="str">
        <f t="shared" si="0"/>
        <v>https://pubmed.ncbi.nlm.nih.gov/?term=20727205</v>
      </c>
      <c r="F761" s="28" t="s">
        <v>511</v>
      </c>
      <c r="G761" s="28" t="s">
        <v>4346</v>
      </c>
    </row>
    <row r="762" spans="1:7">
      <c r="A762" s="92" t="s">
        <v>4835</v>
      </c>
      <c r="B762" s="345">
        <v>2000</v>
      </c>
      <c r="C762" s="92"/>
      <c r="D762" s="345">
        <v>10930120</v>
      </c>
      <c r="E762" s="278" t="str">
        <f t="shared" si="0"/>
        <v>https://pubmed.ncbi.nlm.nih.gov/?term=10930120</v>
      </c>
      <c r="F762" s="28" t="s">
        <v>511</v>
      </c>
      <c r="G762" s="28" t="s">
        <v>4346</v>
      </c>
    </row>
    <row r="763" spans="1:7">
      <c r="A763" s="92" t="s">
        <v>5430</v>
      </c>
      <c r="B763" s="345">
        <v>2011</v>
      </c>
      <c r="C763" s="92"/>
      <c r="D763" s="345">
        <v>20971106</v>
      </c>
      <c r="E763" s="278" t="str">
        <f t="shared" si="0"/>
        <v>https://pubmed.ncbi.nlm.nih.gov/?term=20971106</v>
      </c>
      <c r="F763" s="28" t="s">
        <v>511</v>
      </c>
      <c r="G763" s="28" t="s">
        <v>5349</v>
      </c>
    </row>
    <row r="764" spans="1:7">
      <c r="A764" s="92" t="s">
        <v>4828</v>
      </c>
      <c r="B764" s="345">
        <v>2000</v>
      </c>
      <c r="C764" s="92"/>
      <c r="D764" s="345">
        <v>10932333</v>
      </c>
      <c r="E764" s="278" t="str">
        <f t="shared" si="0"/>
        <v>https://pubmed.ncbi.nlm.nih.gov/?term=10932333</v>
      </c>
      <c r="F764" s="28" t="s">
        <v>511</v>
      </c>
      <c r="G764" s="28" t="s">
        <v>5349</v>
      </c>
    </row>
    <row r="765" spans="1:7">
      <c r="A765" s="92" t="s">
        <v>5431</v>
      </c>
      <c r="B765" s="345">
        <v>2009</v>
      </c>
      <c r="C765" s="92" t="s">
        <v>5432</v>
      </c>
      <c r="D765" s="345">
        <v>19386802</v>
      </c>
      <c r="E765" s="278" t="str">
        <f t="shared" si="0"/>
        <v>https://pubmed.ncbi.nlm.nih.gov/?term=19386802</v>
      </c>
      <c r="F765" s="28" t="s">
        <v>511</v>
      </c>
      <c r="G765" s="28" t="s">
        <v>5349</v>
      </c>
    </row>
    <row r="766" spans="1:7">
      <c r="A766" s="92" t="s">
        <v>5433</v>
      </c>
      <c r="B766" s="345">
        <v>2010</v>
      </c>
      <c r="C766" s="92" t="s">
        <v>5434</v>
      </c>
      <c r="D766" s="345">
        <v>20007363</v>
      </c>
      <c r="E766" s="278" t="str">
        <f t="shared" si="0"/>
        <v>https://pubmed.ncbi.nlm.nih.gov/?term=20007363</v>
      </c>
      <c r="F766" s="28" t="s">
        <v>511</v>
      </c>
      <c r="G766" s="28" t="s">
        <v>4346</v>
      </c>
    </row>
    <row r="767" spans="1:7">
      <c r="A767" s="92" t="s">
        <v>5435</v>
      </c>
      <c r="B767" s="345">
        <v>2008</v>
      </c>
      <c r="C767" s="92"/>
      <c r="D767" s="345">
        <v>18226814</v>
      </c>
      <c r="E767" s="278" t="str">
        <f t="shared" si="0"/>
        <v>https://pubmed.ncbi.nlm.nih.gov/?term=18226814</v>
      </c>
      <c r="F767" s="28" t="s">
        <v>511</v>
      </c>
      <c r="G767" s="28" t="s">
        <v>4346</v>
      </c>
    </row>
    <row r="768" spans="1:7">
      <c r="A768" s="92" t="s">
        <v>5436</v>
      </c>
      <c r="B768" s="345">
        <v>2009</v>
      </c>
      <c r="C768" s="92"/>
      <c r="D768" s="345">
        <v>19796562</v>
      </c>
      <c r="E768" s="278" t="str">
        <f t="shared" si="0"/>
        <v>https://pubmed.ncbi.nlm.nih.gov/?term=19796562</v>
      </c>
      <c r="F768" s="28" t="s">
        <v>511</v>
      </c>
      <c r="G768" s="28" t="s">
        <v>5349</v>
      </c>
    </row>
    <row r="769" spans="1:7">
      <c r="A769" s="92" t="s">
        <v>5437</v>
      </c>
      <c r="B769" s="345">
        <v>2010</v>
      </c>
      <c r="C769" s="92"/>
      <c r="D769" s="345">
        <v>19967396</v>
      </c>
      <c r="E769" s="278" t="str">
        <f t="shared" si="0"/>
        <v>https://pubmed.ncbi.nlm.nih.gov/?term=19967396</v>
      </c>
      <c r="F769" s="28" t="s">
        <v>511</v>
      </c>
      <c r="G769" s="28" t="s">
        <v>4346</v>
      </c>
    </row>
    <row r="770" spans="1:7">
      <c r="A770" s="92" t="s">
        <v>4862</v>
      </c>
      <c r="B770" s="345">
        <v>2000</v>
      </c>
      <c r="C770" s="92"/>
      <c r="D770" s="345">
        <v>11038126</v>
      </c>
      <c r="E770" s="278" t="str">
        <f t="shared" si="0"/>
        <v>https://pubmed.ncbi.nlm.nih.gov/?term=11038126</v>
      </c>
      <c r="F770" s="28" t="s">
        <v>511</v>
      </c>
      <c r="G770" s="28" t="s">
        <v>4346</v>
      </c>
    </row>
    <row r="771" spans="1:7">
      <c r="A771" s="92" t="s">
        <v>5438</v>
      </c>
      <c r="B771" s="345">
        <v>2001</v>
      </c>
      <c r="C771" s="92"/>
      <c r="D771" s="345">
        <v>11252468</v>
      </c>
      <c r="E771" s="278" t="str">
        <f t="shared" si="0"/>
        <v>https://pubmed.ncbi.nlm.nih.gov/?term=11252468</v>
      </c>
      <c r="F771" s="28" t="s">
        <v>511</v>
      </c>
      <c r="G771" s="28" t="s">
        <v>4346</v>
      </c>
    </row>
    <row r="772" spans="1:7">
      <c r="A772" s="92" t="s">
        <v>5439</v>
      </c>
      <c r="B772" s="345">
        <v>2007</v>
      </c>
      <c r="C772" s="92" t="s">
        <v>5440</v>
      </c>
      <c r="D772" s="345">
        <v>17905228</v>
      </c>
      <c r="E772" s="278" t="str">
        <f t="shared" si="0"/>
        <v>https://pubmed.ncbi.nlm.nih.gov/?term=17905228</v>
      </c>
      <c r="F772" s="28" t="s">
        <v>511</v>
      </c>
      <c r="G772" s="28" t="s">
        <v>4346</v>
      </c>
    </row>
    <row r="773" spans="1:7">
      <c r="A773" s="92" t="s">
        <v>5441</v>
      </c>
      <c r="B773" s="345">
        <v>2008</v>
      </c>
      <c r="C773" s="92"/>
      <c r="D773" s="345">
        <v>18399904</v>
      </c>
      <c r="E773" s="278" t="str">
        <f t="shared" si="0"/>
        <v>https://pubmed.ncbi.nlm.nih.gov/?term=18399904</v>
      </c>
      <c r="F773" s="28" t="s">
        <v>511</v>
      </c>
      <c r="G773" s="28" t="s">
        <v>4346</v>
      </c>
    </row>
    <row r="774" spans="1:7">
      <c r="A774" s="92" t="s">
        <v>5442</v>
      </c>
      <c r="B774" s="345">
        <v>2004</v>
      </c>
      <c r="C774" s="92"/>
      <c r="D774" s="345">
        <v>15552897</v>
      </c>
      <c r="E774" s="278" t="str">
        <f t="shared" si="0"/>
        <v>https://pubmed.ncbi.nlm.nih.gov/?term=15552897</v>
      </c>
      <c r="F774" s="28" t="s">
        <v>511</v>
      </c>
      <c r="G774" s="28" t="s">
        <v>5349</v>
      </c>
    </row>
    <row r="775" spans="1:7">
      <c r="A775" s="92" t="s">
        <v>5443</v>
      </c>
      <c r="B775" s="345">
        <v>2009</v>
      </c>
      <c r="C775" s="92"/>
      <c r="D775" s="345">
        <v>18608175</v>
      </c>
      <c r="E775" s="278" t="str">
        <f t="shared" si="0"/>
        <v>https://pubmed.ncbi.nlm.nih.gov/?term=18608175</v>
      </c>
      <c r="F775" s="28" t="s">
        <v>511</v>
      </c>
      <c r="G775" s="28" t="s">
        <v>4346</v>
      </c>
    </row>
    <row r="776" spans="1:7">
      <c r="A776" s="92" t="s">
        <v>5444</v>
      </c>
      <c r="B776" s="345">
        <v>2008</v>
      </c>
      <c r="C776" s="92"/>
      <c r="D776" s="345">
        <v>18698050</v>
      </c>
      <c r="E776" s="278" t="str">
        <f t="shared" si="0"/>
        <v>https://pubmed.ncbi.nlm.nih.gov/?term=18698050</v>
      </c>
      <c r="F776" s="28" t="s">
        <v>511</v>
      </c>
      <c r="G776" s="28" t="s">
        <v>5349</v>
      </c>
    </row>
    <row r="777" spans="1:7">
      <c r="A777" s="92" t="s">
        <v>5445</v>
      </c>
      <c r="B777" s="345">
        <v>2001</v>
      </c>
      <c r="C777" s="92"/>
      <c r="D777" s="345">
        <v>11574768</v>
      </c>
      <c r="E777" s="278" t="str">
        <f t="shared" si="0"/>
        <v>https://pubmed.ncbi.nlm.nih.gov/?term=11574768</v>
      </c>
      <c r="F777" s="28" t="s">
        <v>511</v>
      </c>
      <c r="G777" s="28" t="s">
        <v>5349</v>
      </c>
    </row>
    <row r="778" spans="1:7">
      <c r="A778" s="92" t="s">
        <v>5446</v>
      </c>
      <c r="B778" s="345">
        <v>2010</v>
      </c>
      <c r="C778" s="92" t="s">
        <v>5447</v>
      </c>
      <c r="D778" s="345">
        <v>21178410</v>
      </c>
      <c r="E778" s="278" t="str">
        <f t="shared" si="0"/>
        <v>https://pubmed.ncbi.nlm.nih.gov/?term=21178410</v>
      </c>
      <c r="F778" s="28" t="s">
        <v>511</v>
      </c>
      <c r="G778" s="28" t="s">
        <v>4346</v>
      </c>
    </row>
    <row r="779" spans="1:7">
      <c r="A779" s="92" t="s">
        <v>5448</v>
      </c>
      <c r="B779" s="345">
        <v>2009</v>
      </c>
      <c r="C779" s="92"/>
      <c r="D779" s="345">
        <v>20099460</v>
      </c>
      <c r="E779" s="278" t="str">
        <f t="shared" si="0"/>
        <v>https://pubmed.ncbi.nlm.nih.gov/?term=20099460</v>
      </c>
      <c r="F779" s="28" t="s">
        <v>511</v>
      </c>
      <c r="G779" s="28" t="s">
        <v>4346</v>
      </c>
    </row>
    <row r="780" spans="1:7">
      <c r="A780" s="92" t="s">
        <v>5449</v>
      </c>
      <c r="B780" s="345">
        <v>2009</v>
      </c>
      <c r="C780" s="92"/>
      <c r="D780" s="345">
        <v>19012942</v>
      </c>
      <c r="E780" s="278" t="str">
        <f t="shared" si="0"/>
        <v>https://pubmed.ncbi.nlm.nih.gov/?term=19012942</v>
      </c>
      <c r="F780" s="28" t="s">
        <v>511</v>
      </c>
      <c r="G780" s="28" t="s">
        <v>4346</v>
      </c>
    </row>
    <row r="781" spans="1:7">
      <c r="A781" s="92" t="s">
        <v>5450</v>
      </c>
      <c r="B781" s="345">
        <v>2005</v>
      </c>
      <c r="C781" s="92"/>
      <c r="D781" s="345">
        <v>16338490</v>
      </c>
      <c r="E781" s="278" t="str">
        <f t="shared" si="0"/>
        <v>https://pubmed.ncbi.nlm.nih.gov/?term=16338490</v>
      </c>
      <c r="F781" s="28" t="s">
        <v>511</v>
      </c>
      <c r="G781" s="28" t="s">
        <v>4346</v>
      </c>
    </row>
    <row r="782" spans="1:7">
      <c r="A782" s="92" t="s">
        <v>5451</v>
      </c>
      <c r="B782" s="345">
        <v>2009</v>
      </c>
      <c r="C782" s="92"/>
      <c r="D782" s="345">
        <v>19815632</v>
      </c>
      <c r="E782" s="278" t="str">
        <f t="shared" si="0"/>
        <v>https://pubmed.ncbi.nlm.nih.gov/?term=19815632</v>
      </c>
      <c r="F782" s="28" t="s">
        <v>511</v>
      </c>
      <c r="G782" s="28" t="s">
        <v>4346</v>
      </c>
    </row>
    <row r="783" spans="1:7">
      <c r="A783" s="92" t="s">
        <v>5452</v>
      </c>
      <c r="B783" s="345">
        <v>2006</v>
      </c>
      <c r="C783" s="92"/>
      <c r="D783" s="345">
        <v>17072120</v>
      </c>
      <c r="E783" s="278" t="str">
        <f t="shared" si="0"/>
        <v>https://pubmed.ncbi.nlm.nih.gov/?term=17072120</v>
      </c>
      <c r="F783" s="28" t="s">
        <v>511</v>
      </c>
      <c r="G783" s="28" t="s">
        <v>5349</v>
      </c>
    </row>
    <row r="784" spans="1:7">
      <c r="A784" s="92" t="s">
        <v>5453</v>
      </c>
      <c r="B784" s="345">
        <v>2007</v>
      </c>
      <c r="C784" s="92"/>
      <c r="D784" s="345">
        <v>18029064</v>
      </c>
      <c r="E784" s="278" t="str">
        <f t="shared" si="0"/>
        <v>https://pubmed.ncbi.nlm.nih.gov/?term=18029064</v>
      </c>
      <c r="F784" s="28" t="s">
        <v>511</v>
      </c>
      <c r="G784" s="28" t="s">
        <v>4346</v>
      </c>
    </row>
    <row r="785" spans="1:7">
      <c r="A785" s="92" t="s">
        <v>5454</v>
      </c>
      <c r="B785" s="345">
        <v>2006</v>
      </c>
      <c r="C785" s="92"/>
      <c r="D785" s="345">
        <v>16455120</v>
      </c>
      <c r="E785" s="278" t="str">
        <f t="shared" si="0"/>
        <v>https://pubmed.ncbi.nlm.nih.gov/?term=16455120</v>
      </c>
      <c r="F785" s="28" t="s">
        <v>511</v>
      </c>
      <c r="G785" s="28" t="s">
        <v>4346</v>
      </c>
    </row>
    <row r="786" spans="1:7">
      <c r="A786" s="92" t="s">
        <v>5455</v>
      </c>
      <c r="B786" s="345">
        <v>2004</v>
      </c>
      <c r="C786" s="92"/>
      <c r="D786" s="345">
        <v>15575364</v>
      </c>
      <c r="E786" s="278" t="str">
        <f t="shared" si="0"/>
        <v>https://pubmed.ncbi.nlm.nih.gov/?term=15575364</v>
      </c>
      <c r="F786" s="28" t="s">
        <v>511</v>
      </c>
      <c r="G786" s="28" t="s">
        <v>4346</v>
      </c>
    </row>
    <row r="787" spans="1:7">
      <c r="A787" s="92" t="s">
        <v>5456</v>
      </c>
      <c r="B787" s="345">
        <v>2007</v>
      </c>
      <c r="C787" s="92"/>
      <c r="D787" s="345">
        <v>17600275</v>
      </c>
      <c r="E787" s="278" t="str">
        <f t="shared" si="0"/>
        <v>https://pubmed.ncbi.nlm.nih.gov/?term=17600275</v>
      </c>
      <c r="F787" s="28" t="s">
        <v>511</v>
      </c>
      <c r="G787" s="28" t="s">
        <v>5457</v>
      </c>
    </row>
    <row r="788" spans="1:7">
      <c r="A788" s="92" t="s">
        <v>5458</v>
      </c>
      <c r="B788" s="345">
        <v>2004</v>
      </c>
      <c r="C788" s="92"/>
      <c r="D788" s="345">
        <v>15483406</v>
      </c>
      <c r="E788" s="278" t="str">
        <f t="shared" si="0"/>
        <v>https://pubmed.ncbi.nlm.nih.gov/?term=15483406</v>
      </c>
      <c r="F788" s="28" t="s">
        <v>511</v>
      </c>
      <c r="G788" s="28" t="s">
        <v>4346</v>
      </c>
    </row>
    <row r="789" spans="1:7">
      <c r="A789" s="92" t="s">
        <v>5459</v>
      </c>
      <c r="B789" s="345">
        <v>2008</v>
      </c>
      <c r="C789" s="92" t="s">
        <v>5460</v>
      </c>
      <c r="D789" s="345">
        <v>18439291</v>
      </c>
      <c r="E789" s="278" t="str">
        <f t="shared" si="0"/>
        <v>https://pubmed.ncbi.nlm.nih.gov/?term=18439291</v>
      </c>
      <c r="F789" s="28" t="s">
        <v>511</v>
      </c>
      <c r="G789" s="28" t="s">
        <v>4346</v>
      </c>
    </row>
    <row r="790" spans="1:7">
      <c r="A790" s="92" t="s">
        <v>5461</v>
      </c>
      <c r="B790" s="345">
        <v>2002</v>
      </c>
      <c r="C790" s="92"/>
      <c r="D790" s="345">
        <v>12365660</v>
      </c>
      <c r="E790" s="278" t="str">
        <f t="shared" si="0"/>
        <v>https://pubmed.ncbi.nlm.nih.gov/?term=12365660</v>
      </c>
      <c r="F790" s="28" t="s">
        <v>511</v>
      </c>
      <c r="G790" s="28" t="s">
        <v>4592</v>
      </c>
    </row>
    <row r="791" spans="1:7">
      <c r="A791" s="92" t="s">
        <v>5462</v>
      </c>
      <c r="B791" s="345">
        <v>2006</v>
      </c>
      <c r="C791" s="92"/>
      <c r="D791" s="345">
        <v>16965648</v>
      </c>
      <c r="E791" s="278" t="str">
        <f t="shared" si="0"/>
        <v>https://pubmed.ncbi.nlm.nih.gov/?term=16965648</v>
      </c>
      <c r="F791" s="28" t="s">
        <v>511</v>
      </c>
      <c r="G791" s="28" t="s">
        <v>4587</v>
      </c>
    </row>
    <row r="792" spans="1:7">
      <c r="A792" s="92" t="s">
        <v>5463</v>
      </c>
      <c r="B792" s="345">
        <v>2001</v>
      </c>
      <c r="C792" s="92"/>
      <c r="D792" s="345">
        <v>11305516</v>
      </c>
      <c r="E792" s="278" t="str">
        <f t="shared" si="0"/>
        <v>https://pubmed.ncbi.nlm.nih.gov/?term=11305516</v>
      </c>
      <c r="F792" s="28" t="s">
        <v>511</v>
      </c>
      <c r="G792" s="28" t="s">
        <v>4346</v>
      </c>
    </row>
    <row r="793" spans="1:7">
      <c r="A793" s="92" t="s">
        <v>5464</v>
      </c>
      <c r="B793" s="345">
        <v>2008</v>
      </c>
      <c r="C793" s="92"/>
      <c r="D793" s="345">
        <v>18322553</v>
      </c>
      <c r="E793" s="278" t="str">
        <f t="shared" si="0"/>
        <v>https://pubmed.ncbi.nlm.nih.gov/?term=18322553</v>
      </c>
      <c r="F793" s="28" t="s">
        <v>511</v>
      </c>
      <c r="G793" s="28" t="s">
        <v>4346</v>
      </c>
    </row>
    <row r="794" spans="1:7">
      <c r="A794" s="92" t="s">
        <v>5465</v>
      </c>
      <c r="B794" s="345">
        <v>2003</v>
      </c>
      <c r="C794" s="92"/>
      <c r="D794" s="345">
        <v>12887185</v>
      </c>
      <c r="E794" s="278" t="str">
        <f t="shared" si="0"/>
        <v>https://pubmed.ncbi.nlm.nih.gov/?term=12887185</v>
      </c>
      <c r="F794" s="28" t="s">
        <v>511</v>
      </c>
      <c r="G794" s="28" t="s">
        <v>4346</v>
      </c>
    </row>
    <row r="795" spans="1:7">
      <c r="A795" s="92" t="s">
        <v>5466</v>
      </c>
      <c r="B795" s="345">
        <v>2003</v>
      </c>
      <c r="C795" s="92"/>
      <c r="D795" s="345">
        <v>12545341</v>
      </c>
      <c r="E795" s="278" t="str">
        <f t="shared" si="0"/>
        <v>https://pubmed.ncbi.nlm.nih.gov/?term=12545341</v>
      </c>
      <c r="F795" s="28" t="s">
        <v>511</v>
      </c>
      <c r="G795" s="28" t="s">
        <v>4867</v>
      </c>
    </row>
    <row r="796" spans="1:7">
      <c r="A796" s="92" t="s">
        <v>5467</v>
      </c>
      <c r="B796" s="345">
        <v>2004</v>
      </c>
      <c r="C796" s="92"/>
      <c r="D796" s="345">
        <v>15147226</v>
      </c>
      <c r="E796" s="278" t="str">
        <f t="shared" si="0"/>
        <v>https://pubmed.ncbi.nlm.nih.gov/?term=15147226</v>
      </c>
      <c r="F796" s="28" t="s">
        <v>511</v>
      </c>
      <c r="G796" s="28" t="s">
        <v>4834</v>
      </c>
    </row>
    <row r="797" spans="1:7">
      <c r="A797" s="92" t="s">
        <v>5468</v>
      </c>
      <c r="B797" s="345">
        <v>2008</v>
      </c>
      <c r="C797" s="92"/>
      <c r="D797" s="345">
        <v>18298931</v>
      </c>
      <c r="E797" s="278" t="str">
        <f t="shared" si="0"/>
        <v>https://pubmed.ncbi.nlm.nih.gov/?term=18298931</v>
      </c>
      <c r="F797" s="28" t="s">
        <v>511</v>
      </c>
      <c r="G797" s="28" t="s">
        <v>4346</v>
      </c>
    </row>
    <row r="798" spans="1:7">
      <c r="A798" s="92" t="s">
        <v>5469</v>
      </c>
      <c r="B798" s="345">
        <v>2008</v>
      </c>
      <c r="C798" s="92"/>
      <c r="D798" s="345">
        <v>18419533</v>
      </c>
      <c r="E798" s="278" t="str">
        <f t="shared" si="0"/>
        <v>https://pubmed.ncbi.nlm.nih.gov/?term=18419533</v>
      </c>
      <c r="F798" s="28" t="s">
        <v>511</v>
      </c>
      <c r="G798" s="28" t="s">
        <v>4346</v>
      </c>
    </row>
    <row r="799" spans="1:7">
      <c r="A799" s="92" t="s">
        <v>5470</v>
      </c>
      <c r="B799" s="345">
        <v>2001</v>
      </c>
      <c r="C799" s="92"/>
      <c r="D799" s="345">
        <v>11845817</v>
      </c>
      <c r="E799" s="278" t="str">
        <f t="shared" si="0"/>
        <v>https://pubmed.ncbi.nlm.nih.gov/?term=11845817</v>
      </c>
      <c r="F799" s="28" t="s">
        <v>511</v>
      </c>
      <c r="G799" s="28" t="s">
        <v>4592</v>
      </c>
    </row>
    <row r="800" spans="1:7">
      <c r="A800" s="92" t="s">
        <v>5471</v>
      </c>
      <c r="B800" s="345">
        <v>2005</v>
      </c>
      <c r="C800" s="92"/>
      <c r="D800" s="345">
        <v>15756405</v>
      </c>
      <c r="E800" s="278" t="str">
        <f t="shared" si="0"/>
        <v>https://pubmed.ncbi.nlm.nih.gov/?term=15756405</v>
      </c>
      <c r="F800" s="28" t="s">
        <v>511</v>
      </c>
      <c r="G800" s="28" t="s">
        <v>4587</v>
      </c>
    </row>
    <row r="801" spans="1:8">
      <c r="A801" s="92" t="s">
        <v>5472</v>
      </c>
      <c r="B801" s="345">
        <v>2006</v>
      </c>
      <c r="C801" s="92"/>
      <c r="D801" s="345">
        <v>16538883</v>
      </c>
      <c r="E801" s="278" t="str">
        <f t="shared" si="0"/>
        <v>https://pubmed.ncbi.nlm.nih.gov/?term=16538883</v>
      </c>
      <c r="F801" s="28" t="s">
        <v>511</v>
      </c>
      <c r="G801" s="28" t="s">
        <v>5473</v>
      </c>
    </row>
    <row r="802" spans="1:8">
      <c r="A802" s="92" t="s">
        <v>5474</v>
      </c>
      <c r="B802" s="345">
        <v>2009</v>
      </c>
      <c r="C802" s="92" t="s">
        <v>5475</v>
      </c>
      <c r="D802" s="345">
        <v>19129468</v>
      </c>
      <c r="E802" s="278" t="str">
        <f t="shared" si="0"/>
        <v>https://pubmed.ncbi.nlm.nih.gov/?term=19129468</v>
      </c>
      <c r="F802" s="28" t="s">
        <v>511</v>
      </c>
      <c r="G802" s="28" t="s">
        <v>4346</v>
      </c>
    </row>
    <row r="803" spans="1:8">
      <c r="A803" s="92" t="s">
        <v>5055</v>
      </c>
      <c r="B803" s="345">
        <v>2003</v>
      </c>
      <c r="C803" s="92"/>
      <c r="D803" s="345">
        <v>12793843</v>
      </c>
      <c r="E803" s="278" t="str">
        <f t="shared" si="0"/>
        <v>https://pubmed.ncbi.nlm.nih.gov/?term=12793843</v>
      </c>
      <c r="F803" s="28" t="s">
        <v>511</v>
      </c>
      <c r="G803" s="28" t="s">
        <v>4867</v>
      </c>
    </row>
    <row r="804" spans="1:8">
      <c r="A804" s="92" t="s">
        <v>1750</v>
      </c>
      <c r="B804" s="345">
        <v>2008</v>
      </c>
      <c r="C804" s="92"/>
      <c r="D804" s="345">
        <v>17625517</v>
      </c>
      <c r="E804" s="278" t="str">
        <f t="shared" si="0"/>
        <v>https://pubmed.ncbi.nlm.nih.gov/?term=17625517</v>
      </c>
      <c r="H804" s="28" t="s">
        <v>511</v>
      </c>
    </row>
    <row r="805" spans="1:8">
      <c r="A805" s="92" t="s">
        <v>5476</v>
      </c>
      <c r="B805" s="345">
        <v>2009</v>
      </c>
      <c r="C805" s="92" t="s">
        <v>5477</v>
      </c>
      <c r="D805" s="345">
        <v>19786565</v>
      </c>
      <c r="E805" s="278" t="str">
        <f t="shared" si="0"/>
        <v>https://pubmed.ncbi.nlm.nih.gov/?term=19786565</v>
      </c>
      <c r="F805" s="28" t="s">
        <v>511</v>
      </c>
      <c r="G805" s="28" t="s">
        <v>5339</v>
      </c>
    </row>
    <row r="806" spans="1:8">
      <c r="A806" s="92" t="s">
        <v>5478</v>
      </c>
      <c r="B806" s="345">
        <v>2009</v>
      </c>
      <c r="C806" s="92" t="s">
        <v>5479</v>
      </c>
      <c r="D806" s="345">
        <v>19773593</v>
      </c>
      <c r="E806" s="278" t="str">
        <f t="shared" si="0"/>
        <v>https://pubmed.ncbi.nlm.nih.gov/?term=19773593</v>
      </c>
      <c r="F806" s="28" t="s">
        <v>511</v>
      </c>
      <c r="G806" s="28" t="s">
        <v>4536</v>
      </c>
    </row>
    <row r="807" spans="1:8">
      <c r="A807" s="92" t="s">
        <v>5480</v>
      </c>
      <c r="B807" s="345">
        <v>2002</v>
      </c>
      <c r="C807" s="92"/>
      <c r="D807" s="345">
        <v>12428663</v>
      </c>
      <c r="E807" s="278" t="str">
        <f t="shared" si="0"/>
        <v>https://pubmed.ncbi.nlm.nih.gov/?term=12428663</v>
      </c>
      <c r="F807" s="28" t="s">
        <v>511</v>
      </c>
      <c r="G807" s="28" t="s">
        <v>4346</v>
      </c>
    </row>
    <row r="808" spans="1:8">
      <c r="A808" s="92" t="s">
        <v>4872</v>
      </c>
      <c r="B808" s="345">
        <v>2000</v>
      </c>
      <c r="C808" s="92"/>
      <c r="D808" s="345">
        <v>10976979</v>
      </c>
      <c r="E808" s="278" t="str">
        <f t="shared" si="0"/>
        <v>https://pubmed.ncbi.nlm.nih.gov/?term=10976979</v>
      </c>
      <c r="F808" s="28" t="s">
        <v>511</v>
      </c>
      <c r="G808" s="28" t="s">
        <v>4811</v>
      </c>
    </row>
    <row r="809" spans="1:8">
      <c r="A809" s="92" t="s">
        <v>5481</v>
      </c>
      <c r="B809" s="345">
        <v>2006</v>
      </c>
      <c r="C809" s="92"/>
      <c r="D809" s="345">
        <v>17276364</v>
      </c>
      <c r="E809" s="278" t="str">
        <f t="shared" si="0"/>
        <v>https://pubmed.ncbi.nlm.nih.gov/?term=17276364</v>
      </c>
      <c r="F809" s="28" t="s">
        <v>511</v>
      </c>
      <c r="G809" s="28" t="s">
        <v>5482</v>
      </c>
    </row>
    <row r="810" spans="1:8">
      <c r="A810" s="92" t="s">
        <v>5483</v>
      </c>
      <c r="B810" s="345">
        <v>2004</v>
      </c>
      <c r="C810" s="92" t="s">
        <v>5484</v>
      </c>
      <c r="D810" s="345">
        <v>15458574</v>
      </c>
      <c r="E810" s="278" t="str">
        <f t="shared" si="0"/>
        <v>https://pubmed.ncbi.nlm.nih.gov/?term=15458574</v>
      </c>
      <c r="F810" s="28" t="s">
        <v>511</v>
      </c>
      <c r="G810" s="28" t="s">
        <v>8396</v>
      </c>
    </row>
    <row r="811" spans="1:8">
      <c r="A811" s="92" t="s">
        <v>5486</v>
      </c>
      <c r="B811" s="345">
        <v>2009</v>
      </c>
      <c r="C811" s="92"/>
      <c r="D811" s="345">
        <v>19541567</v>
      </c>
      <c r="E811" s="278" t="str">
        <f t="shared" si="0"/>
        <v>https://pubmed.ncbi.nlm.nih.gov/?term=19541567</v>
      </c>
      <c r="F811" s="28" t="s">
        <v>511</v>
      </c>
      <c r="G811" s="28" t="s">
        <v>4811</v>
      </c>
    </row>
    <row r="812" spans="1:8">
      <c r="A812" s="92" t="s">
        <v>1788</v>
      </c>
      <c r="B812" s="345">
        <v>2001</v>
      </c>
      <c r="C812" s="92"/>
      <c r="D812" s="345">
        <v>11734429</v>
      </c>
      <c r="E812" s="278" t="str">
        <f t="shared" si="0"/>
        <v>https://pubmed.ncbi.nlm.nih.gov/?term=11734429</v>
      </c>
      <c r="H812" s="28" t="s">
        <v>511</v>
      </c>
    </row>
    <row r="813" spans="1:8">
      <c r="A813" s="92" t="s">
        <v>4870</v>
      </c>
      <c r="B813" s="345">
        <v>2000</v>
      </c>
      <c r="C813" s="92"/>
      <c r="D813" s="345">
        <v>10768562</v>
      </c>
      <c r="E813" s="278" t="str">
        <f t="shared" si="0"/>
        <v>https://pubmed.ncbi.nlm.nih.gov/?term=10768562</v>
      </c>
      <c r="F813" s="28" t="s">
        <v>511</v>
      </c>
      <c r="G813" s="28" t="s">
        <v>5487</v>
      </c>
    </row>
    <row r="814" spans="1:8">
      <c r="A814" s="92" t="s">
        <v>5488</v>
      </c>
      <c r="B814" s="345">
        <v>2001</v>
      </c>
      <c r="C814" s="92" t="s">
        <v>5489</v>
      </c>
      <c r="D814" s="345">
        <v>11368195</v>
      </c>
      <c r="E814" s="278" t="str">
        <f t="shared" si="0"/>
        <v>https://pubmed.ncbi.nlm.nih.gov/?term=11368195</v>
      </c>
      <c r="F814" s="28" t="s">
        <v>511</v>
      </c>
      <c r="G814" s="28" t="s">
        <v>4867</v>
      </c>
    </row>
    <row r="815" spans="1:8">
      <c r="A815" s="92" t="s">
        <v>5490</v>
      </c>
      <c r="B815" s="345">
        <v>2008</v>
      </c>
      <c r="C815" s="92" t="s">
        <v>5491</v>
      </c>
      <c r="D815" s="345">
        <v>18094110</v>
      </c>
      <c r="E815" s="278" t="str">
        <f t="shared" si="0"/>
        <v>https://pubmed.ncbi.nlm.nih.gov/?term=18094110</v>
      </c>
      <c r="F815" s="28" t="s">
        <v>511</v>
      </c>
      <c r="G815" s="28" t="s">
        <v>4898</v>
      </c>
    </row>
    <row r="816" spans="1:8">
      <c r="A816" s="92" t="s">
        <v>5492</v>
      </c>
      <c r="B816" s="345">
        <v>2001</v>
      </c>
      <c r="C816" s="92"/>
      <c r="D816" s="345">
        <v>11486115</v>
      </c>
      <c r="E816" s="278" t="str">
        <f t="shared" si="0"/>
        <v>https://pubmed.ncbi.nlm.nih.gov/?term=11486115</v>
      </c>
      <c r="F816" s="28" t="s">
        <v>511</v>
      </c>
      <c r="G816" s="28" t="s">
        <v>4867</v>
      </c>
    </row>
    <row r="817" spans="1:8">
      <c r="A817" s="92" t="s">
        <v>5493</v>
      </c>
      <c r="B817" s="345">
        <v>2010</v>
      </c>
      <c r="C817" s="92" t="s">
        <v>5494</v>
      </c>
      <c r="D817" s="345">
        <v>19911974</v>
      </c>
      <c r="E817" s="278" t="str">
        <f t="shared" si="0"/>
        <v>https://pubmed.ncbi.nlm.nih.gov/?term=19911974</v>
      </c>
      <c r="F817" s="28" t="s">
        <v>511</v>
      </c>
      <c r="G817" s="28" t="s">
        <v>5495</v>
      </c>
    </row>
    <row r="818" spans="1:8">
      <c r="A818" s="92" t="s">
        <v>5496</v>
      </c>
      <c r="B818" s="345">
        <v>2006</v>
      </c>
      <c r="C818" s="92"/>
      <c r="D818" s="345">
        <v>17152649</v>
      </c>
      <c r="E818" s="278" t="str">
        <f t="shared" si="0"/>
        <v>https://pubmed.ncbi.nlm.nih.gov/?term=17152649</v>
      </c>
      <c r="F818" s="28" t="s">
        <v>511</v>
      </c>
      <c r="G818" s="28" t="s">
        <v>4592</v>
      </c>
    </row>
    <row r="819" spans="1:8">
      <c r="A819" s="92" t="s">
        <v>5497</v>
      </c>
      <c r="B819" s="345">
        <v>2001</v>
      </c>
      <c r="C819" s="92"/>
      <c r="D819" s="345">
        <v>11345389</v>
      </c>
      <c r="E819" s="278" t="str">
        <f t="shared" si="0"/>
        <v>https://pubmed.ncbi.nlm.nih.gov/?term=11345389</v>
      </c>
      <c r="F819" s="28" t="s">
        <v>511</v>
      </c>
      <c r="G819" s="28" t="s">
        <v>5495</v>
      </c>
    </row>
    <row r="820" spans="1:8">
      <c r="A820" s="92" t="s">
        <v>4876</v>
      </c>
      <c r="B820" s="345">
        <v>2000</v>
      </c>
      <c r="C820" s="92"/>
      <c r="D820" s="345">
        <v>10877367</v>
      </c>
      <c r="E820" s="278" t="str">
        <f t="shared" si="0"/>
        <v>https://pubmed.ncbi.nlm.nih.gov/?term=10877367</v>
      </c>
      <c r="F820" s="28" t="s">
        <v>511</v>
      </c>
      <c r="G820" s="28" t="s">
        <v>5495</v>
      </c>
    </row>
    <row r="821" spans="1:8">
      <c r="A821" s="92" t="s">
        <v>5498</v>
      </c>
      <c r="B821" s="345">
        <v>2010</v>
      </c>
      <c r="C821" s="92"/>
      <c r="D821" s="345">
        <v>20537410</v>
      </c>
      <c r="E821" s="278" t="str">
        <f t="shared" si="0"/>
        <v>https://pubmed.ncbi.nlm.nih.gov/?term=20537410</v>
      </c>
      <c r="F821" s="28" t="s">
        <v>511</v>
      </c>
      <c r="G821" s="28" t="s">
        <v>5495</v>
      </c>
    </row>
    <row r="822" spans="1:8">
      <c r="A822" s="92" t="s">
        <v>5499</v>
      </c>
      <c r="B822" s="345">
        <v>2006</v>
      </c>
      <c r="C822" s="92"/>
      <c r="D822" s="345">
        <v>17370439</v>
      </c>
      <c r="E822" s="278" t="str">
        <f t="shared" si="0"/>
        <v>https://pubmed.ncbi.nlm.nih.gov/?term=17370439</v>
      </c>
      <c r="F822" s="28" t="s">
        <v>511</v>
      </c>
      <c r="G822" s="28" t="s">
        <v>5500</v>
      </c>
    </row>
    <row r="823" spans="1:8">
      <c r="A823" s="92" t="s">
        <v>5501</v>
      </c>
      <c r="B823" s="345">
        <v>2004</v>
      </c>
      <c r="C823" s="92"/>
      <c r="D823" s="345">
        <v>15305847</v>
      </c>
      <c r="E823" s="278" t="str">
        <f t="shared" si="0"/>
        <v>https://pubmed.ncbi.nlm.nih.gov/?term=15305847</v>
      </c>
      <c r="F823" s="28" t="s">
        <v>511</v>
      </c>
      <c r="G823" s="28" t="s">
        <v>5495</v>
      </c>
    </row>
    <row r="824" spans="1:8">
      <c r="A824" s="92" t="s">
        <v>5502</v>
      </c>
      <c r="B824" s="345">
        <v>2009</v>
      </c>
      <c r="C824" s="92" t="s">
        <v>5503</v>
      </c>
      <c r="D824" s="345">
        <v>19180511</v>
      </c>
      <c r="E824" s="278" t="str">
        <f t="shared" si="0"/>
        <v>https://pubmed.ncbi.nlm.nih.gov/?term=19180511</v>
      </c>
      <c r="F824" s="28" t="s">
        <v>511</v>
      </c>
      <c r="G824" s="28" t="s">
        <v>5339</v>
      </c>
    </row>
    <row r="825" spans="1:8">
      <c r="A825" s="92" t="s">
        <v>5504</v>
      </c>
      <c r="B825" s="345">
        <v>2007</v>
      </c>
      <c r="C825" s="92"/>
      <c r="D825" s="345">
        <v>18024918</v>
      </c>
      <c r="E825" s="278" t="str">
        <f t="shared" si="0"/>
        <v>https://pubmed.ncbi.nlm.nih.gov/?term=18024918</v>
      </c>
      <c r="F825" s="28" t="s">
        <v>511</v>
      </c>
      <c r="G825" s="28" t="s">
        <v>5495</v>
      </c>
    </row>
    <row r="826" spans="1:8">
      <c r="A826" s="92" t="s">
        <v>1724</v>
      </c>
      <c r="B826" s="345">
        <v>2000</v>
      </c>
      <c r="C826" s="92" t="s">
        <v>4893</v>
      </c>
      <c r="D826" s="345">
        <v>11134688</v>
      </c>
      <c r="E826" s="278" t="str">
        <f t="shared" si="0"/>
        <v>https://pubmed.ncbi.nlm.nih.gov/?term=11134688</v>
      </c>
      <c r="H826" s="28" t="s">
        <v>511</v>
      </c>
    </row>
    <row r="827" spans="1:8">
      <c r="A827" s="92" t="s">
        <v>5505</v>
      </c>
      <c r="B827" s="345">
        <v>2006</v>
      </c>
      <c r="C827" s="92"/>
      <c r="D827" s="345">
        <v>16699144</v>
      </c>
      <c r="E827" s="278" t="str">
        <f t="shared" si="0"/>
        <v>https://pubmed.ncbi.nlm.nih.gov/?term=16699144</v>
      </c>
      <c r="F827" s="28" t="s">
        <v>511</v>
      </c>
      <c r="G827" s="28" t="s">
        <v>4346</v>
      </c>
    </row>
    <row r="828" spans="1:8">
      <c r="A828" s="92" t="s">
        <v>5506</v>
      </c>
      <c r="B828" s="345">
        <v>2011</v>
      </c>
      <c r="C828" s="92" t="s">
        <v>5507</v>
      </c>
      <c r="D828" s="345">
        <v>20925688</v>
      </c>
      <c r="E828" s="278" t="str">
        <f t="shared" si="0"/>
        <v>https://pubmed.ncbi.nlm.nih.gov/?term=20925688</v>
      </c>
      <c r="F828" s="28" t="s">
        <v>511</v>
      </c>
      <c r="G828" s="28" t="s">
        <v>4867</v>
      </c>
    </row>
    <row r="829" spans="1:8">
      <c r="A829" s="92" t="s">
        <v>5508</v>
      </c>
      <c r="B829" s="345">
        <v>2009</v>
      </c>
      <c r="C829" s="92"/>
      <c r="D829" s="345">
        <v>19203846</v>
      </c>
      <c r="E829" s="278" t="str">
        <f t="shared" si="0"/>
        <v>https://pubmed.ncbi.nlm.nih.gov/?term=19203846</v>
      </c>
      <c r="F829" s="28" t="s">
        <v>511</v>
      </c>
      <c r="G829" s="28" t="s">
        <v>4346</v>
      </c>
    </row>
    <row r="830" spans="1:8">
      <c r="A830" s="92" t="s">
        <v>5509</v>
      </c>
      <c r="B830" s="345">
        <v>2003</v>
      </c>
      <c r="C830" s="92"/>
      <c r="D830" s="345">
        <v>12784197</v>
      </c>
      <c r="E830" s="278" t="str">
        <f t="shared" si="0"/>
        <v>https://pubmed.ncbi.nlm.nih.gov/?term=12784197</v>
      </c>
      <c r="F830" s="28" t="s">
        <v>511</v>
      </c>
      <c r="G830" s="28" t="s">
        <v>5510</v>
      </c>
    </row>
    <row r="831" spans="1:8">
      <c r="A831" s="92" t="s">
        <v>5511</v>
      </c>
      <c r="B831" s="345">
        <v>2004</v>
      </c>
      <c r="C831" s="92"/>
      <c r="D831" s="345">
        <v>15316164</v>
      </c>
      <c r="E831" s="278" t="str">
        <f t="shared" si="0"/>
        <v>https://pubmed.ncbi.nlm.nih.gov/?term=15316164</v>
      </c>
      <c r="F831" s="28" t="s">
        <v>511</v>
      </c>
      <c r="G831" s="28" t="s">
        <v>4346</v>
      </c>
    </row>
    <row r="832" spans="1:8">
      <c r="A832" s="92" t="s">
        <v>5512</v>
      </c>
      <c r="B832" s="345">
        <v>2001</v>
      </c>
      <c r="C832" s="92"/>
      <c r="D832" s="345">
        <v>11153185</v>
      </c>
      <c r="E832" s="278" t="str">
        <f t="shared" si="0"/>
        <v>https://pubmed.ncbi.nlm.nih.gov/?term=11153185</v>
      </c>
      <c r="F832" s="28" t="s">
        <v>511</v>
      </c>
      <c r="G832" s="28" t="s">
        <v>4867</v>
      </c>
    </row>
    <row r="833" spans="1:8">
      <c r="A833" s="92" t="s">
        <v>5513</v>
      </c>
      <c r="B833" s="345">
        <v>2004</v>
      </c>
      <c r="C833" s="92" t="s">
        <v>5514</v>
      </c>
      <c r="D833" s="345">
        <v>15385516</v>
      </c>
      <c r="E833" s="278" t="str">
        <f t="shared" si="0"/>
        <v>https://pubmed.ncbi.nlm.nih.gov/?term=15385516</v>
      </c>
      <c r="F833" s="28" t="s">
        <v>511</v>
      </c>
      <c r="G833" s="28" t="s">
        <v>4346</v>
      </c>
    </row>
    <row r="834" spans="1:8">
      <c r="A834" s="92" t="s">
        <v>5515</v>
      </c>
      <c r="B834" s="345">
        <v>2010</v>
      </c>
      <c r="C834" s="92"/>
      <c r="D834" s="345">
        <v>19836903</v>
      </c>
      <c r="E834" s="278" t="str">
        <f t="shared" si="0"/>
        <v>https://pubmed.ncbi.nlm.nih.gov/?term=19836903</v>
      </c>
      <c r="F834" s="28" t="s">
        <v>511</v>
      </c>
      <c r="G834" s="28" t="s">
        <v>4592</v>
      </c>
    </row>
    <row r="835" spans="1:8">
      <c r="A835" s="92" t="s">
        <v>5516</v>
      </c>
      <c r="B835" s="345">
        <v>2007</v>
      </c>
      <c r="C835" s="92"/>
      <c r="D835" s="345">
        <v>29319954</v>
      </c>
      <c r="E835" s="278" t="str">
        <f t="shared" si="0"/>
        <v>https://pubmed.ncbi.nlm.nih.gov/?term=29319954</v>
      </c>
      <c r="F835" s="28" t="s">
        <v>511</v>
      </c>
      <c r="G835" s="28" t="s">
        <v>4592</v>
      </c>
    </row>
    <row r="836" spans="1:8">
      <c r="A836" s="92" t="s">
        <v>5517</v>
      </c>
      <c r="B836" s="345">
        <v>2001</v>
      </c>
      <c r="C836" s="92"/>
      <c r="D836" s="345">
        <v>11569731</v>
      </c>
      <c r="E836" s="278" t="str">
        <f t="shared" si="0"/>
        <v>https://pubmed.ncbi.nlm.nih.gov/?term=11569731</v>
      </c>
      <c r="F836" s="28" t="s">
        <v>511</v>
      </c>
      <c r="G836" s="28" t="s">
        <v>4346</v>
      </c>
    </row>
    <row r="837" spans="1:8">
      <c r="A837" s="92" t="s">
        <v>5518</v>
      </c>
      <c r="B837" s="345">
        <v>2004</v>
      </c>
      <c r="C837" s="92"/>
      <c r="D837" s="345">
        <v>15185569</v>
      </c>
      <c r="E837" s="278" t="str">
        <f t="shared" si="0"/>
        <v>https://pubmed.ncbi.nlm.nih.gov/?term=15185569</v>
      </c>
      <c r="F837" s="28" t="s">
        <v>511</v>
      </c>
      <c r="G837" s="28" t="s">
        <v>4346</v>
      </c>
    </row>
    <row r="838" spans="1:8">
      <c r="A838" s="92" t="s">
        <v>5519</v>
      </c>
      <c r="B838" s="345">
        <v>2003</v>
      </c>
      <c r="C838" s="92"/>
      <c r="D838" s="345">
        <v>12698018</v>
      </c>
      <c r="E838" s="278" t="str">
        <f t="shared" si="0"/>
        <v>https://pubmed.ncbi.nlm.nih.gov/?term=12698018</v>
      </c>
      <c r="F838" s="28" t="s">
        <v>511</v>
      </c>
      <c r="G838" s="28" t="s">
        <v>5339</v>
      </c>
    </row>
    <row r="839" spans="1:8">
      <c r="A839" s="92" t="s">
        <v>5520</v>
      </c>
      <c r="B839" s="345">
        <v>2002</v>
      </c>
      <c r="C839" s="92"/>
      <c r="D839" s="345">
        <v>11790667</v>
      </c>
      <c r="E839" s="278" t="str">
        <f t="shared" si="0"/>
        <v>https://pubmed.ncbi.nlm.nih.gov/?term=11790667</v>
      </c>
      <c r="F839" s="28" t="s">
        <v>511</v>
      </c>
      <c r="G839" s="28" t="s">
        <v>4867</v>
      </c>
    </row>
    <row r="840" spans="1:8">
      <c r="A840" s="92" t="s">
        <v>5521</v>
      </c>
      <c r="B840" s="345">
        <v>2006</v>
      </c>
      <c r="C840" s="92"/>
      <c r="D840" s="345">
        <v>16929910</v>
      </c>
      <c r="E840" s="278" t="str">
        <f t="shared" si="0"/>
        <v>https://pubmed.ncbi.nlm.nih.gov/?term=16929910</v>
      </c>
      <c r="F840" s="28" t="s">
        <v>511</v>
      </c>
      <c r="G840" s="28" t="s">
        <v>4587</v>
      </c>
    </row>
    <row r="841" spans="1:8">
      <c r="A841" s="92" t="s">
        <v>4906</v>
      </c>
      <c r="B841" s="345">
        <v>2000</v>
      </c>
      <c r="C841" s="92"/>
      <c r="D841" s="345">
        <v>11153621</v>
      </c>
      <c r="E841" s="278" t="str">
        <f t="shared" si="0"/>
        <v>https://pubmed.ncbi.nlm.nih.gov/?term=11153621</v>
      </c>
      <c r="F841" s="28" t="s">
        <v>511</v>
      </c>
      <c r="G841" s="28" t="s">
        <v>4867</v>
      </c>
    </row>
    <row r="842" spans="1:8">
      <c r="A842" s="92" t="s">
        <v>5522</v>
      </c>
      <c r="B842" s="345">
        <v>2001</v>
      </c>
      <c r="C842" s="92"/>
      <c r="D842" s="345">
        <v>11419827</v>
      </c>
      <c r="E842" s="278" t="str">
        <f t="shared" si="0"/>
        <v>https://pubmed.ncbi.nlm.nih.gov/?term=11419827</v>
      </c>
      <c r="F842" s="28" t="s">
        <v>511</v>
      </c>
      <c r="G842" s="28" t="s">
        <v>4867</v>
      </c>
    </row>
    <row r="843" spans="1:8">
      <c r="A843" s="92" t="s">
        <v>5523</v>
      </c>
      <c r="B843" s="345">
        <v>2004</v>
      </c>
      <c r="C843" s="92"/>
      <c r="D843" s="345">
        <v>14688360</v>
      </c>
      <c r="E843" s="278" t="str">
        <f t="shared" si="0"/>
        <v>https://pubmed.ncbi.nlm.nih.gov/?term=14688360</v>
      </c>
      <c r="F843" s="28" t="s">
        <v>511</v>
      </c>
      <c r="G843" s="28" t="s">
        <v>4346</v>
      </c>
    </row>
    <row r="844" spans="1:8">
      <c r="A844" s="92" t="s">
        <v>5524</v>
      </c>
      <c r="B844" s="345">
        <v>2001</v>
      </c>
      <c r="C844" s="92"/>
      <c r="D844" s="345">
        <v>11592918</v>
      </c>
      <c r="E844" s="278" t="str">
        <f t="shared" si="0"/>
        <v>https://pubmed.ncbi.nlm.nih.gov/?term=11592918</v>
      </c>
      <c r="F844" s="28" t="s">
        <v>511</v>
      </c>
      <c r="G844" s="28" t="s">
        <v>4628</v>
      </c>
    </row>
    <row r="845" spans="1:8">
      <c r="A845" s="92" t="s">
        <v>2472</v>
      </c>
      <c r="B845" s="345">
        <v>2010</v>
      </c>
      <c r="C845" s="92"/>
      <c r="D845" s="345">
        <v>21244738</v>
      </c>
      <c r="E845" s="278" t="str">
        <f t="shared" si="0"/>
        <v>https://pubmed.ncbi.nlm.nih.gov/?term=21244738</v>
      </c>
      <c r="H845" s="28" t="s">
        <v>511</v>
      </c>
    </row>
    <row r="846" spans="1:8">
      <c r="A846" s="92" t="s">
        <v>4354</v>
      </c>
      <c r="B846" s="345">
        <v>2009</v>
      </c>
      <c r="C846" s="92"/>
      <c r="D846" s="345">
        <v>18643847</v>
      </c>
      <c r="E846" s="278" t="str">
        <f t="shared" si="0"/>
        <v>https://pubmed.ncbi.nlm.nih.gov/?term=18643847</v>
      </c>
      <c r="H846" s="28" t="s">
        <v>511</v>
      </c>
    </row>
    <row r="847" spans="1:8">
      <c r="A847" s="92" t="s">
        <v>5525</v>
      </c>
      <c r="B847" s="345">
        <v>2011</v>
      </c>
      <c r="C847" s="92"/>
      <c r="D847" s="345">
        <v>20970433</v>
      </c>
      <c r="E847" s="278" t="str">
        <f t="shared" si="0"/>
        <v>https://pubmed.ncbi.nlm.nih.gov/?term=20970433</v>
      </c>
      <c r="F847" s="28" t="s">
        <v>511</v>
      </c>
      <c r="G847" s="28" t="s">
        <v>8397</v>
      </c>
    </row>
    <row r="848" spans="1:8">
      <c r="A848" s="92" t="s">
        <v>5527</v>
      </c>
      <c r="B848" s="345">
        <v>2007</v>
      </c>
      <c r="C848" s="92"/>
      <c r="D848" s="345">
        <v>18004256</v>
      </c>
      <c r="E848" s="278" t="str">
        <f t="shared" si="0"/>
        <v>https://pubmed.ncbi.nlm.nih.gov/?term=18004256</v>
      </c>
      <c r="F848" s="28" t="s">
        <v>511</v>
      </c>
      <c r="G848" s="28" t="s">
        <v>5349</v>
      </c>
    </row>
    <row r="849" spans="1:7">
      <c r="A849" s="92" t="s">
        <v>5528</v>
      </c>
      <c r="B849" s="345">
        <v>2008</v>
      </c>
      <c r="C849" s="92" t="s">
        <v>5529</v>
      </c>
      <c r="D849" s="345">
        <v>18195059</v>
      </c>
      <c r="E849" s="278" t="str">
        <f t="shared" si="0"/>
        <v>https://pubmed.ncbi.nlm.nih.gov/?term=18195059</v>
      </c>
      <c r="F849" s="28" t="s">
        <v>511</v>
      </c>
      <c r="G849" s="28" t="s">
        <v>4346</v>
      </c>
    </row>
    <row r="850" spans="1:7">
      <c r="A850" s="92" t="s">
        <v>5530</v>
      </c>
      <c r="B850" s="345">
        <v>2003</v>
      </c>
      <c r="C850" s="92" t="s">
        <v>5531</v>
      </c>
      <c r="D850" s="345">
        <v>14633632</v>
      </c>
      <c r="E850" s="278" t="str">
        <f t="shared" si="0"/>
        <v>https://pubmed.ncbi.nlm.nih.gov/?term=14633632</v>
      </c>
      <c r="F850" s="28" t="s">
        <v>511</v>
      </c>
      <c r="G850" s="28" t="s">
        <v>4346</v>
      </c>
    </row>
    <row r="851" spans="1:7">
      <c r="A851" s="92" t="s">
        <v>5532</v>
      </c>
      <c r="B851" s="345">
        <v>2008</v>
      </c>
      <c r="C851" s="92" t="s">
        <v>5533</v>
      </c>
      <c r="D851" s="345">
        <v>17964595</v>
      </c>
      <c r="E851" s="278" t="str">
        <f t="shared" si="0"/>
        <v>https://pubmed.ncbi.nlm.nih.gov/?term=17964595</v>
      </c>
      <c r="F851" s="28" t="s">
        <v>511</v>
      </c>
      <c r="G851" s="28" t="s">
        <v>5349</v>
      </c>
    </row>
    <row r="852" spans="1:7">
      <c r="A852" s="92" t="s">
        <v>5534</v>
      </c>
      <c r="B852" s="345">
        <v>2008</v>
      </c>
      <c r="C852" s="92"/>
      <c r="D852" s="345">
        <v>18272752</v>
      </c>
      <c r="E852" s="278" t="str">
        <f t="shared" si="0"/>
        <v>https://pubmed.ncbi.nlm.nih.gov/?term=18272752</v>
      </c>
      <c r="F852" s="28" t="s">
        <v>511</v>
      </c>
      <c r="G852" s="28" t="s">
        <v>4346</v>
      </c>
    </row>
    <row r="853" spans="1:7">
      <c r="A853" s="92" t="s">
        <v>5535</v>
      </c>
      <c r="B853" s="345">
        <v>2009</v>
      </c>
      <c r="C853" s="92"/>
      <c r="D853" s="345">
        <v>18635321</v>
      </c>
      <c r="E853" s="278" t="str">
        <f t="shared" si="0"/>
        <v>https://pubmed.ncbi.nlm.nih.gov/?term=18635321</v>
      </c>
      <c r="F853" s="28" t="s">
        <v>511</v>
      </c>
      <c r="G853" s="28" t="s">
        <v>4346</v>
      </c>
    </row>
    <row r="854" spans="1:7">
      <c r="A854" s="92" t="s">
        <v>5536</v>
      </c>
      <c r="B854" s="345">
        <v>2006</v>
      </c>
      <c r="C854" s="92"/>
      <c r="D854" s="345">
        <v>17242486</v>
      </c>
      <c r="E854" s="278" t="str">
        <f t="shared" si="0"/>
        <v>https://pubmed.ncbi.nlm.nih.gov/?term=17242486</v>
      </c>
      <c r="F854" s="28" t="s">
        <v>511</v>
      </c>
      <c r="G854" s="28" t="s">
        <v>5349</v>
      </c>
    </row>
    <row r="855" spans="1:7">
      <c r="A855" s="92" t="s">
        <v>5525</v>
      </c>
      <c r="B855" s="345">
        <v>2010</v>
      </c>
      <c r="C855" s="92" t="s">
        <v>5537</v>
      </c>
      <c r="D855" s="345">
        <v>21124892</v>
      </c>
      <c r="E855" s="278" t="str">
        <f t="shared" si="0"/>
        <v>https://pubmed.ncbi.nlm.nih.gov/?term=21124892</v>
      </c>
      <c r="F855" s="28" t="s">
        <v>511</v>
      </c>
      <c r="G855" s="28" t="s">
        <v>5349</v>
      </c>
    </row>
    <row r="856" spans="1:7">
      <c r="A856" s="92" t="s">
        <v>5538</v>
      </c>
      <c r="B856" s="345">
        <v>2005</v>
      </c>
      <c r="C856" s="92"/>
      <c r="D856" s="345">
        <v>16284329</v>
      </c>
      <c r="E856" s="278" t="str">
        <f t="shared" si="0"/>
        <v>https://pubmed.ncbi.nlm.nih.gov/?term=16284329</v>
      </c>
      <c r="F856" s="28" t="s">
        <v>511</v>
      </c>
      <c r="G856" s="28" t="s">
        <v>4346</v>
      </c>
    </row>
    <row r="857" spans="1:7">
      <c r="A857" s="92" t="s">
        <v>5539</v>
      </c>
      <c r="B857" s="345">
        <v>2008</v>
      </c>
      <c r="C857" s="92"/>
      <c r="D857" s="345">
        <v>19086692</v>
      </c>
      <c r="E857" s="278" t="str">
        <f t="shared" si="0"/>
        <v>https://pubmed.ncbi.nlm.nih.gov/?term=19086692</v>
      </c>
      <c r="F857" s="28" t="s">
        <v>511</v>
      </c>
      <c r="G857" s="28" t="s">
        <v>4346</v>
      </c>
    </row>
    <row r="858" spans="1:7">
      <c r="A858" s="92" t="s">
        <v>5540</v>
      </c>
      <c r="B858" s="345">
        <v>2004</v>
      </c>
      <c r="C858" s="92"/>
      <c r="D858" s="345">
        <v>15193917</v>
      </c>
      <c r="E858" s="278" t="str">
        <f t="shared" si="0"/>
        <v>https://pubmed.ncbi.nlm.nih.gov/?term=15193917</v>
      </c>
      <c r="F858" s="28" t="s">
        <v>511</v>
      </c>
      <c r="G858" s="28" t="s">
        <v>5339</v>
      </c>
    </row>
    <row r="859" spans="1:7">
      <c r="A859" s="92" t="s">
        <v>5541</v>
      </c>
      <c r="B859" s="345">
        <v>2006</v>
      </c>
      <c r="C859" s="92"/>
      <c r="D859" s="345">
        <v>16671442</v>
      </c>
      <c r="E859" s="278" t="str">
        <f t="shared" si="0"/>
        <v>https://pubmed.ncbi.nlm.nih.gov/?term=16671442</v>
      </c>
      <c r="F859" s="28" t="s">
        <v>511</v>
      </c>
      <c r="G859" s="28" t="s">
        <v>4346</v>
      </c>
    </row>
    <row r="860" spans="1:7">
      <c r="A860" s="92" t="s">
        <v>5542</v>
      </c>
      <c r="B860" s="345">
        <v>2006</v>
      </c>
      <c r="C860" s="92"/>
      <c r="D860" s="345">
        <v>16854590</v>
      </c>
      <c r="E860" s="278" t="str">
        <f t="shared" si="0"/>
        <v>https://pubmed.ncbi.nlm.nih.gov/?term=16854590</v>
      </c>
      <c r="F860" s="28" t="s">
        <v>511</v>
      </c>
      <c r="G860" s="28" t="s">
        <v>4346</v>
      </c>
    </row>
    <row r="861" spans="1:7">
      <c r="A861" s="92" t="s">
        <v>5543</v>
      </c>
      <c r="B861" s="345">
        <v>2004</v>
      </c>
      <c r="C861" s="92"/>
      <c r="D861" s="345">
        <v>15291120</v>
      </c>
      <c r="E861" s="278" t="str">
        <f t="shared" si="0"/>
        <v>https://pubmed.ncbi.nlm.nih.gov/?term=15291120</v>
      </c>
      <c r="F861" s="28" t="s">
        <v>511</v>
      </c>
      <c r="G861" s="28" t="s">
        <v>4346</v>
      </c>
    </row>
    <row r="862" spans="1:7">
      <c r="A862" s="92" t="s">
        <v>5544</v>
      </c>
      <c r="B862" s="345">
        <v>2001</v>
      </c>
      <c r="C862" s="92"/>
      <c r="D862" s="345">
        <v>11249088</v>
      </c>
      <c r="E862" s="278" t="str">
        <f t="shared" si="0"/>
        <v>https://pubmed.ncbi.nlm.nih.gov/?term=11249088</v>
      </c>
      <c r="F862" s="28" t="s">
        <v>511</v>
      </c>
      <c r="G862" s="28" t="s">
        <v>4346</v>
      </c>
    </row>
    <row r="863" spans="1:7">
      <c r="A863" s="92" t="s">
        <v>5464</v>
      </c>
      <c r="B863" s="345">
        <v>2007</v>
      </c>
      <c r="C863" s="92"/>
      <c r="D863" s="345">
        <v>17339913</v>
      </c>
      <c r="E863" s="278" t="str">
        <f t="shared" si="0"/>
        <v>https://pubmed.ncbi.nlm.nih.gov/?term=17339913</v>
      </c>
      <c r="F863" s="28" t="s">
        <v>511</v>
      </c>
      <c r="G863" s="28" t="s">
        <v>4346</v>
      </c>
    </row>
    <row r="864" spans="1:7">
      <c r="A864" s="92" t="s">
        <v>5545</v>
      </c>
      <c r="B864" s="345">
        <v>2005</v>
      </c>
      <c r="C864" s="92"/>
      <c r="D864" s="345">
        <v>15759157</v>
      </c>
      <c r="E864" s="278" t="str">
        <f t="shared" si="0"/>
        <v>https://pubmed.ncbi.nlm.nih.gov/?term=15759157</v>
      </c>
      <c r="F864" s="28" t="s">
        <v>511</v>
      </c>
      <c r="G864" s="28" t="s">
        <v>4346</v>
      </c>
    </row>
    <row r="865" spans="1:8">
      <c r="A865" s="92" t="s">
        <v>2091</v>
      </c>
      <c r="B865" s="345">
        <v>2000</v>
      </c>
      <c r="C865" s="92"/>
      <c r="D865" s="345">
        <v>10998316</v>
      </c>
      <c r="E865" s="278" t="str">
        <f t="shared" si="0"/>
        <v>https://pubmed.ncbi.nlm.nih.gov/?term=10998316</v>
      </c>
      <c r="H865" s="28" t="s">
        <v>511</v>
      </c>
    </row>
    <row r="866" spans="1:8">
      <c r="A866" s="92" t="s">
        <v>5546</v>
      </c>
      <c r="B866" s="345">
        <v>2007</v>
      </c>
      <c r="C866" s="92"/>
      <c r="D866" s="345">
        <v>17984254</v>
      </c>
      <c r="E866" s="278" t="str">
        <f t="shared" si="0"/>
        <v>https://pubmed.ncbi.nlm.nih.gov/?term=17984254</v>
      </c>
      <c r="F866" s="28" t="s">
        <v>511</v>
      </c>
      <c r="G866" s="28" t="s">
        <v>4346</v>
      </c>
    </row>
    <row r="867" spans="1:8">
      <c r="A867" s="92" t="s">
        <v>5547</v>
      </c>
      <c r="B867" s="345">
        <v>2010</v>
      </c>
      <c r="C867" s="92"/>
      <c r="D867" s="345">
        <v>20381635</v>
      </c>
      <c r="E867" s="278" t="str">
        <f t="shared" si="0"/>
        <v>https://pubmed.ncbi.nlm.nih.gov/?term=20381635</v>
      </c>
      <c r="F867" s="28" t="s">
        <v>511</v>
      </c>
      <c r="G867" s="28" t="s">
        <v>4346</v>
      </c>
    </row>
    <row r="868" spans="1:8">
      <c r="A868" s="92" t="s">
        <v>5548</v>
      </c>
      <c r="B868" s="345">
        <v>2001</v>
      </c>
      <c r="C868" s="92"/>
      <c r="D868" s="345">
        <v>11833296</v>
      </c>
      <c r="E868" s="278" t="str">
        <f t="shared" si="0"/>
        <v>https://pubmed.ncbi.nlm.nih.gov/?term=11833296</v>
      </c>
      <c r="F868" s="28" t="s">
        <v>511</v>
      </c>
      <c r="G868" s="28" t="s">
        <v>4346</v>
      </c>
    </row>
    <row r="869" spans="1:8">
      <c r="A869" s="92" t="s">
        <v>5549</v>
      </c>
      <c r="B869" s="345">
        <v>2001</v>
      </c>
      <c r="C869" s="92"/>
      <c r="D869" s="345">
        <v>11222014</v>
      </c>
      <c r="E869" s="278" t="str">
        <f t="shared" si="0"/>
        <v>https://pubmed.ncbi.nlm.nih.gov/?term=11222014</v>
      </c>
      <c r="F869" s="28" t="s">
        <v>511</v>
      </c>
      <c r="G869" s="28" t="s">
        <v>4346</v>
      </c>
    </row>
    <row r="870" spans="1:8">
      <c r="A870" s="92" t="s">
        <v>5550</v>
      </c>
      <c r="B870" s="345">
        <v>2009</v>
      </c>
      <c r="C870" s="92"/>
      <c r="D870" s="345">
        <v>19240531</v>
      </c>
      <c r="E870" s="278" t="str">
        <f t="shared" si="0"/>
        <v>https://pubmed.ncbi.nlm.nih.gov/?term=19240531</v>
      </c>
      <c r="F870" s="28" t="s">
        <v>511</v>
      </c>
      <c r="G870" s="28" t="s">
        <v>4346</v>
      </c>
    </row>
    <row r="871" spans="1:8">
      <c r="A871" s="92" t="s">
        <v>5551</v>
      </c>
      <c r="B871" s="345">
        <v>2008</v>
      </c>
      <c r="C871" s="92"/>
      <c r="D871" s="345">
        <v>18538851</v>
      </c>
      <c r="E871" s="278" t="str">
        <f t="shared" si="0"/>
        <v>https://pubmed.ncbi.nlm.nih.gov/?term=18538851</v>
      </c>
      <c r="F871" s="28" t="s">
        <v>511</v>
      </c>
      <c r="G871" s="28" t="s">
        <v>4346</v>
      </c>
    </row>
    <row r="872" spans="1:8">
      <c r="A872" s="92" t="s">
        <v>5552</v>
      </c>
      <c r="B872" s="345">
        <v>2010</v>
      </c>
      <c r="C872" s="92" t="s">
        <v>5553</v>
      </c>
      <c r="D872" s="345">
        <v>23074408</v>
      </c>
      <c r="E872" s="278" t="str">
        <f t="shared" si="0"/>
        <v>https://pubmed.ncbi.nlm.nih.gov/?term=23074408</v>
      </c>
      <c r="F872" s="28" t="s">
        <v>511</v>
      </c>
      <c r="G872" s="28" t="s">
        <v>5554</v>
      </c>
    </row>
    <row r="873" spans="1:8">
      <c r="A873" s="92" t="s">
        <v>5055</v>
      </c>
      <c r="B873" s="345">
        <v>2002</v>
      </c>
      <c r="C873" s="92"/>
      <c r="D873" s="345">
        <v>12431867</v>
      </c>
      <c r="E873" s="278" t="str">
        <f t="shared" si="0"/>
        <v>https://pubmed.ncbi.nlm.nih.gov/?term=12431867</v>
      </c>
      <c r="F873" s="28" t="s">
        <v>511</v>
      </c>
      <c r="G873" s="28" t="s">
        <v>5555</v>
      </c>
    </row>
    <row r="874" spans="1:8">
      <c r="A874" s="92" t="s">
        <v>5556</v>
      </c>
      <c r="B874" s="345">
        <v>2005</v>
      </c>
      <c r="C874" s="92"/>
      <c r="D874" s="345">
        <v>16094566</v>
      </c>
      <c r="E874" s="278" t="str">
        <f t="shared" si="0"/>
        <v>https://pubmed.ncbi.nlm.nih.gov/?term=16094566</v>
      </c>
      <c r="F874" s="28" t="s">
        <v>511</v>
      </c>
      <c r="G874" s="28" t="s">
        <v>4346</v>
      </c>
    </row>
    <row r="875" spans="1:8">
      <c r="A875" s="92" t="s">
        <v>5557</v>
      </c>
      <c r="B875" s="345">
        <v>2005</v>
      </c>
      <c r="C875" s="92"/>
      <c r="D875" s="345">
        <v>21631747</v>
      </c>
      <c r="E875" s="278" t="str">
        <f t="shared" si="0"/>
        <v>https://pubmed.ncbi.nlm.nih.gov/?term=21631747</v>
      </c>
      <c r="F875" s="28" t="s">
        <v>511</v>
      </c>
      <c r="G875" s="28" t="s">
        <v>5349</v>
      </c>
    </row>
    <row r="876" spans="1:8">
      <c r="A876" s="92" t="s">
        <v>5557</v>
      </c>
      <c r="B876" s="345">
        <v>2005</v>
      </c>
      <c r="C876" s="92"/>
      <c r="D876" s="345">
        <v>27819973</v>
      </c>
      <c r="E876" s="278" t="str">
        <f t="shared" si="0"/>
        <v>https://pubmed.ncbi.nlm.nih.gov/?term=27819973</v>
      </c>
      <c r="F876" s="28" t="s">
        <v>511</v>
      </c>
      <c r="G876" s="28" t="s">
        <v>8398</v>
      </c>
    </row>
    <row r="877" spans="1:8">
      <c r="A877" s="92" t="s">
        <v>5558</v>
      </c>
      <c r="B877" s="345">
        <v>2002</v>
      </c>
      <c r="C877" s="92"/>
      <c r="D877" s="345">
        <v>12468368</v>
      </c>
      <c r="E877" s="278" t="str">
        <f t="shared" si="0"/>
        <v>https://pubmed.ncbi.nlm.nih.gov/?term=12468368</v>
      </c>
      <c r="F877" s="28" t="s">
        <v>511</v>
      </c>
      <c r="G877" s="28" t="s">
        <v>4346</v>
      </c>
    </row>
    <row r="878" spans="1:8">
      <c r="A878" s="92" t="s">
        <v>5559</v>
      </c>
      <c r="B878" s="345">
        <v>2007</v>
      </c>
      <c r="C878" s="92"/>
      <c r="D878" s="345">
        <v>17620623</v>
      </c>
      <c r="E878" s="278" t="str">
        <f t="shared" si="0"/>
        <v>https://pubmed.ncbi.nlm.nih.gov/?term=17620623</v>
      </c>
      <c r="F878" s="28" t="s">
        <v>511</v>
      </c>
      <c r="G878" s="28" t="s">
        <v>4346</v>
      </c>
    </row>
    <row r="879" spans="1:8">
      <c r="A879" s="92" t="s">
        <v>4882</v>
      </c>
      <c r="B879" s="345">
        <v>2002</v>
      </c>
      <c r="C879" s="92" t="s">
        <v>5560</v>
      </c>
      <c r="D879" s="345">
        <v>12010570</v>
      </c>
      <c r="E879" s="278" t="str">
        <f t="shared" si="0"/>
        <v>https://pubmed.ncbi.nlm.nih.gov/?term=12010570</v>
      </c>
      <c r="F879" s="28" t="s">
        <v>511</v>
      </c>
      <c r="G879" s="28" t="s">
        <v>5561</v>
      </c>
    </row>
    <row r="880" spans="1:8">
      <c r="A880" s="92" t="s">
        <v>5562</v>
      </c>
      <c r="B880" s="345">
        <v>2002</v>
      </c>
      <c r="C880" s="92"/>
      <c r="D880" s="345">
        <v>12008010</v>
      </c>
      <c r="E880" s="278" t="str">
        <f t="shared" si="0"/>
        <v>https://pubmed.ncbi.nlm.nih.gov/?term=12008010</v>
      </c>
      <c r="F880" s="28" t="s">
        <v>511</v>
      </c>
      <c r="G880" s="28" t="s">
        <v>4346</v>
      </c>
    </row>
    <row r="881" spans="1:7">
      <c r="A881" s="92" t="s">
        <v>5563</v>
      </c>
      <c r="B881" s="345">
        <v>2005</v>
      </c>
      <c r="C881" s="92"/>
      <c r="D881" s="345">
        <v>16094558</v>
      </c>
      <c r="E881" s="278" t="str">
        <f t="shared" si="0"/>
        <v>https://pubmed.ncbi.nlm.nih.gov/?term=16094558</v>
      </c>
      <c r="F881" s="28" t="s">
        <v>511</v>
      </c>
      <c r="G881" s="28" t="s">
        <v>4346</v>
      </c>
    </row>
    <row r="882" spans="1:7">
      <c r="A882" s="92" t="s">
        <v>5564</v>
      </c>
      <c r="B882" s="345">
        <v>2005</v>
      </c>
      <c r="C882" s="92"/>
      <c r="D882" s="345">
        <v>16053399</v>
      </c>
      <c r="E882" s="278" t="str">
        <f t="shared" si="0"/>
        <v>https://pubmed.ncbi.nlm.nih.gov/?term=16053399</v>
      </c>
      <c r="F882" s="28" t="s">
        <v>511</v>
      </c>
      <c r="G882" s="28" t="s">
        <v>5565</v>
      </c>
    </row>
    <row r="883" spans="1:7">
      <c r="A883" s="92" t="s">
        <v>5566</v>
      </c>
      <c r="B883" s="345">
        <v>2008</v>
      </c>
      <c r="C883" s="92"/>
      <c r="D883" s="345">
        <v>18697428</v>
      </c>
      <c r="E883" s="278" t="str">
        <f t="shared" si="0"/>
        <v>https://pubmed.ncbi.nlm.nih.gov/?term=18697428</v>
      </c>
      <c r="F883" s="28" t="s">
        <v>511</v>
      </c>
      <c r="G883" s="28" t="s">
        <v>8386</v>
      </c>
    </row>
    <row r="884" spans="1:7">
      <c r="A884" s="92" t="s">
        <v>5567</v>
      </c>
      <c r="B884" s="345">
        <v>2003</v>
      </c>
      <c r="C884" s="92"/>
      <c r="D884" s="345">
        <v>12923655</v>
      </c>
      <c r="E884" s="278" t="str">
        <f t="shared" si="0"/>
        <v>https://pubmed.ncbi.nlm.nih.gov/?term=12923655</v>
      </c>
      <c r="F884" s="28" t="s">
        <v>511</v>
      </c>
      <c r="G884" s="28" t="s">
        <v>5568</v>
      </c>
    </row>
    <row r="885" spans="1:7">
      <c r="A885" s="92" t="s">
        <v>5000</v>
      </c>
      <c r="B885" s="345">
        <v>2000</v>
      </c>
      <c r="C885" s="92"/>
      <c r="D885" s="345">
        <v>10864514</v>
      </c>
      <c r="E885" s="278" t="str">
        <f t="shared" si="0"/>
        <v>https://pubmed.ncbi.nlm.nih.gov/?term=10864514</v>
      </c>
      <c r="F885" s="28" t="s">
        <v>511</v>
      </c>
      <c r="G885" s="28" t="s">
        <v>4346</v>
      </c>
    </row>
    <row r="886" spans="1:7">
      <c r="A886" s="92" t="s">
        <v>5569</v>
      </c>
      <c r="B886" s="345">
        <v>2003</v>
      </c>
      <c r="C886" s="92"/>
      <c r="D886" s="345">
        <v>12939589</v>
      </c>
      <c r="E886" s="278" t="str">
        <f t="shared" si="0"/>
        <v>https://pubmed.ncbi.nlm.nih.gov/?term=12939589</v>
      </c>
      <c r="F886" s="28" t="s">
        <v>511</v>
      </c>
      <c r="G886" s="28" t="s">
        <v>4346</v>
      </c>
    </row>
    <row r="887" spans="1:7">
      <c r="A887" s="92" t="s">
        <v>5570</v>
      </c>
      <c r="B887" s="345">
        <v>2008</v>
      </c>
      <c r="C887" s="92"/>
      <c r="D887" s="345">
        <v>18672736</v>
      </c>
      <c r="E887" s="278" t="str">
        <f t="shared" si="0"/>
        <v>https://pubmed.ncbi.nlm.nih.gov/?term=18672736</v>
      </c>
      <c r="F887" s="28" t="s">
        <v>511</v>
      </c>
      <c r="G887" s="28" t="s">
        <v>8386</v>
      </c>
    </row>
    <row r="888" spans="1:7">
      <c r="A888" s="92" t="s">
        <v>5571</v>
      </c>
      <c r="B888" s="345">
        <v>2003</v>
      </c>
      <c r="C888" s="92"/>
      <c r="D888" s="345">
        <v>14636969</v>
      </c>
      <c r="E888" s="278" t="str">
        <f t="shared" si="0"/>
        <v>https://pubmed.ncbi.nlm.nih.gov/?term=14636969</v>
      </c>
      <c r="F888" s="28" t="s">
        <v>511</v>
      </c>
      <c r="G888" s="28" t="s">
        <v>4346</v>
      </c>
    </row>
    <row r="889" spans="1:7">
      <c r="A889" s="92" t="s">
        <v>4927</v>
      </c>
      <c r="B889" s="345">
        <v>2003</v>
      </c>
      <c r="C889" s="92"/>
      <c r="D889" s="345">
        <v>12724006</v>
      </c>
      <c r="E889" s="278" t="str">
        <f t="shared" si="0"/>
        <v>https://pubmed.ncbi.nlm.nih.gov/?term=12724006</v>
      </c>
      <c r="F889" s="28" t="s">
        <v>511</v>
      </c>
      <c r="G889" s="28" t="s">
        <v>5565</v>
      </c>
    </row>
    <row r="890" spans="1:7">
      <c r="A890" s="92" t="s">
        <v>5572</v>
      </c>
      <c r="B890" s="345">
        <v>2001</v>
      </c>
      <c r="C890" s="92"/>
      <c r="D890" s="345">
        <v>11583478</v>
      </c>
      <c r="E890" s="278" t="str">
        <f t="shared" si="0"/>
        <v>https://pubmed.ncbi.nlm.nih.gov/?term=11583478</v>
      </c>
      <c r="F890" s="28" t="s">
        <v>511</v>
      </c>
      <c r="G890" s="28" t="s">
        <v>8399</v>
      </c>
    </row>
    <row r="891" spans="1:7">
      <c r="A891" s="92" t="s">
        <v>5028</v>
      </c>
      <c r="B891" s="345">
        <v>2000</v>
      </c>
      <c r="C891" s="92"/>
      <c r="D891" s="345">
        <v>11964790</v>
      </c>
      <c r="E891" s="278" t="str">
        <f t="shared" si="0"/>
        <v>https://pubmed.ncbi.nlm.nih.gov/?term=11964790</v>
      </c>
      <c r="F891" s="28" t="s">
        <v>511</v>
      </c>
      <c r="G891" s="28" t="s">
        <v>5349</v>
      </c>
    </row>
    <row r="892" spans="1:7">
      <c r="A892" s="92" t="s">
        <v>5574</v>
      </c>
      <c r="B892" s="345">
        <v>2006</v>
      </c>
      <c r="C892" s="92"/>
      <c r="D892" s="345">
        <v>17293985</v>
      </c>
      <c r="E892" s="278" t="str">
        <f t="shared" si="0"/>
        <v>https://pubmed.ncbi.nlm.nih.gov/?term=17293985</v>
      </c>
      <c r="F892" s="28" t="s">
        <v>511</v>
      </c>
      <c r="G892" s="28" t="s">
        <v>4346</v>
      </c>
    </row>
    <row r="893" spans="1:7">
      <c r="A893" s="92" t="s">
        <v>5575</v>
      </c>
      <c r="B893" s="345">
        <v>2009</v>
      </c>
      <c r="C893" s="92"/>
      <c r="D893" s="345">
        <v>19480823</v>
      </c>
      <c r="E893" s="278" t="str">
        <f t="shared" si="0"/>
        <v>https://pubmed.ncbi.nlm.nih.gov/?term=19480823</v>
      </c>
      <c r="F893" s="28" t="s">
        <v>511</v>
      </c>
      <c r="G893" s="28" t="s">
        <v>8386</v>
      </c>
    </row>
    <row r="894" spans="1:7">
      <c r="A894" s="92" t="s">
        <v>5576</v>
      </c>
      <c r="B894" s="345">
        <v>2009</v>
      </c>
      <c r="C894" s="92"/>
      <c r="D894" s="345">
        <v>19189246</v>
      </c>
      <c r="E894" s="278" t="str">
        <f t="shared" si="0"/>
        <v>https://pubmed.ncbi.nlm.nih.gov/?term=19189246</v>
      </c>
      <c r="F894" s="28" t="s">
        <v>511</v>
      </c>
      <c r="G894" s="28" t="s">
        <v>5577</v>
      </c>
    </row>
    <row r="895" spans="1:7">
      <c r="A895" s="92" t="s">
        <v>5578</v>
      </c>
      <c r="B895" s="345">
        <v>2009</v>
      </c>
      <c r="C895" s="92" t="s">
        <v>5579</v>
      </c>
      <c r="D895" s="345">
        <v>19740417</v>
      </c>
      <c r="E895" s="278" t="str">
        <f t="shared" si="0"/>
        <v>https://pubmed.ncbi.nlm.nih.gov/?term=19740417</v>
      </c>
      <c r="F895" s="28" t="s">
        <v>511</v>
      </c>
      <c r="G895" s="28" t="s">
        <v>4346</v>
      </c>
    </row>
    <row r="896" spans="1:7">
      <c r="A896" s="92" t="s">
        <v>5580</v>
      </c>
      <c r="B896" s="345">
        <v>2010</v>
      </c>
      <c r="C896" s="92"/>
      <c r="D896" s="345">
        <v>20219156</v>
      </c>
      <c r="E896" s="278" t="str">
        <f t="shared" si="0"/>
        <v>https://pubmed.ncbi.nlm.nih.gov/?term=20219156</v>
      </c>
      <c r="F896" s="28" t="s">
        <v>511</v>
      </c>
      <c r="G896" s="28" t="s">
        <v>4346</v>
      </c>
    </row>
    <row r="897" spans="1:7">
      <c r="A897" s="92" t="s">
        <v>5581</v>
      </c>
      <c r="B897" s="345">
        <v>2010</v>
      </c>
      <c r="C897" s="92"/>
      <c r="D897" s="345">
        <v>20026374</v>
      </c>
      <c r="E897" s="278" t="str">
        <f t="shared" si="0"/>
        <v>https://pubmed.ncbi.nlm.nih.gov/?term=20026374</v>
      </c>
      <c r="F897" s="28" t="s">
        <v>511</v>
      </c>
      <c r="G897" s="28" t="s">
        <v>4592</v>
      </c>
    </row>
    <row r="898" spans="1:7">
      <c r="A898" s="92" t="s">
        <v>5582</v>
      </c>
      <c r="B898" s="345">
        <v>2004</v>
      </c>
      <c r="C898" s="92" t="s">
        <v>5583</v>
      </c>
      <c r="D898" s="345">
        <v>14695775</v>
      </c>
      <c r="E898" s="278" t="str">
        <f t="shared" si="0"/>
        <v>https://pubmed.ncbi.nlm.nih.gov/?term=14695775</v>
      </c>
      <c r="F898" s="28" t="s">
        <v>511</v>
      </c>
      <c r="G898" s="28" t="s">
        <v>4346</v>
      </c>
    </row>
    <row r="899" spans="1:7">
      <c r="A899" s="92" t="s">
        <v>5584</v>
      </c>
      <c r="B899" s="345">
        <v>2004</v>
      </c>
      <c r="C899" s="92"/>
      <c r="D899" s="345">
        <v>15268797</v>
      </c>
      <c r="E899" s="278" t="str">
        <f t="shared" si="0"/>
        <v>https://pubmed.ncbi.nlm.nih.gov/?term=15268797</v>
      </c>
      <c r="F899" s="28" t="s">
        <v>511</v>
      </c>
      <c r="G899" s="28" t="s">
        <v>8400</v>
      </c>
    </row>
    <row r="900" spans="1:7">
      <c r="A900" s="92" t="s">
        <v>5586</v>
      </c>
      <c r="B900" s="345">
        <v>2004</v>
      </c>
      <c r="C900" s="92"/>
      <c r="D900" s="345">
        <v>15173543</v>
      </c>
      <c r="E900" s="278" t="str">
        <f t="shared" si="0"/>
        <v>https://pubmed.ncbi.nlm.nih.gov/?term=15173543</v>
      </c>
      <c r="F900" s="28" t="s">
        <v>511</v>
      </c>
      <c r="G900" s="28" t="s">
        <v>8401</v>
      </c>
    </row>
    <row r="901" spans="1:7">
      <c r="A901" s="92" t="s">
        <v>5588</v>
      </c>
      <c r="B901" s="345">
        <v>2004</v>
      </c>
      <c r="C901" s="92"/>
      <c r="D901" s="345">
        <v>15074873</v>
      </c>
      <c r="E901" s="278" t="str">
        <f t="shared" si="0"/>
        <v>https://pubmed.ncbi.nlm.nih.gov/?term=15074873</v>
      </c>
      <c r="F901" s="28" t="s">
        <v>511</v>
      </c>
      <c r="G901" s="28" t="s">
        <v>8402</v>
      </c>
    </row>
  </sheetData>
  <hyperlinks>
    <hyperlink ref="I522" r:id="rId1" xr:uid="{00000000-0004-0000-12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ummaryRight="0"/>
  </sheetPr>
  <dimension ref="A1:I419"/>
  <sheetViews>
    <sheetView workbookViewId="0">
      <pane ySplit="2" topLeftCell="A3" activePane="bottomLeft" state="frozen"/>
      <selection pane="bottomLeft"/>
    </sheetView>
  </sheetViews>
  <sheetFormatPr defaultColWidth="14.42578125" defaultRowHeight="15.75" customHeight="1"/>
  <cols>
    <col min="1" max="1" width="18.42578125" customWidth="1"/>
    <col min="2" max="2" width="12.7109375" customWidth="1"/>
    <col min="3" max="3" width="5.140625" customWidth="1"/>
    <col min="4" max="4" width="10.7109375" customWidth="1"/>
    <col min="5" max="5" width="9.42578125" customWidth="1"/>
    <col min="6" max="6" width="15.140625" customWidth="1"/>
    <col min="7" max="7" width="16.42578125" customWidth="1"/>
    <col min="8" max="8" width="17.85546875" customWidth="1"/>
  </cols>
  <sheetData>
    <row r="1" spans="1:9" ht="16.5" customHeight="1">
      <c r="A1" s="276">
        <f>899+415</f>
        <v>1314</v>
      </c>
      <c r="B1" s="279" t="s">
        <v>3985</v>
      </c>
      <c r="C1" s="359">
        <f>COUNTA(B3:B1000)</f>
        <v>417</v>
      </c>
      <c r="D1" s="28" t="s">
        <v>8359</v>
      </c>
      <c r="E1" s="360">
        <f>(COUNTA(E3:E1000)+COUNTA(G3:G1000))/C1</f>
        <v>1</v>
      </c>
      <c r="F1" s="28" t="s">
        <v>8360</v>
      </c>
      <c r="G1" s="360">
        <f>COUNTA(G3:G1000)/COUNTA(E3:E1000)</f>
        <v>0.24477611940298508</v>
      </c>
      <c r="H1" s="273" t="s">
        <v>3988</v>
      </c>
      <c r="I1" s="274" t="s">
        <v>8368</v>
      </c>
    </row>
    <row r="2" spans="1:9" ht="16.5" customHeight="1">
      <c r="A2" s="276" t="s">
        <v>247</v>
      </c>
      <c r="B2" s="275" t="s">
        <v>4582</v>
      </c>
      <c r="C2" s="275" t="s">
        <v>251</v>
      </c>
      <c r="D2" s="28" t="s">
        <v>3991</v>
      </c>
      <c r="E2" s="28" t="s">
        <v>3994</v>
      </c>
      <c r="F2" s="28" t="s">
        <v>3995</v>
      </c>
      <c r="G2" s="28" t="s">
        <v>4584</v>
      </c>
      <c r="H2" s="273" t="s">
        <v>8369</v>
      </c>
      <c r="I2" s="274" t="s">
        <v>8361</v>
      </c>
    </row>
    <row r="3" spans="1:9" ht="12.75">
      <c r="A3" s="276" t="s">
        <v>5590</v>
      </c>
      <c r="B3" s="276" t="s">
        <v>5591</v>
      </c>
      <c r="C3" s="278" t="str">
        <f t="shared" ref="C3:C145" si="0">"https://pubmed.ncbi.nlm.nih.gov/?term="&amp;B3</f>
        <v>https://pubmed.ncbi.nlm.nih.gov/?term=PMC7597597</v>
      </c>
      <c r="D3" s="351">
        <v>44136</v>
      </c>
      <c r="E3" s="28" t="s">
        <v>511</v>
      </c>
      <c r="F3" s="28" t="s">
        <v>4592</v>
      </c>
      <c r="H3" s="28" t="s">
        <v>8403</v>
      </c>
      <c r="I3" s="45">
        <f>COUNTA(G3:G1000)</f>
        <v>82</v>
      </c>
    </row>
    <row r="4" spans="1:9" ht="12.75">
      <c r="A4" s="276" t="s">
        <v>5592</v>
      </c>
      <c r="B4" s="276" t="s">
        <v>5593</v>
      </c>
      <c r="C4" s="278" t="str">
        <f t="shared" si="0"/>
        <v>https://pubmed.ncbi.nlm.nih.gov/?term=PMC7700100</v>
      </c>
      <c r="D4" s="351">
        <v>44044</v>
      </c>
      <c r="E4" s="28" t="s">
        <v>511</v>
      </c>
      <c r="F4" s="28" t="s">
        <v>4592</v>
      </c>
    </row>
    <row r="5" spans="1:9" ht="12.75">
      <c r="A5" s="276" t="s">
        <v>5594</v>
      </c>
      <c r="B5" s="276" t="s">
        <v>5595</v>
      </c>
      <c r="C5" s="278" t="str">
        <f t="shared" si="0"/>
        <v>https://pubmed.ncbi.nlm.nih.gov/?term=PMC6494485</v>
      </c>
      <c r="D5" s="352">
        <v>43221</v>
      </c>
      <c r="E5" s="28" t="s">
        <v>511</v>
      </c>
      <c r="F5" s="28" t="s">
        <v>5273</v>
      </c>
    </row>
    <row r="6" spans="1:9" ht="12.75">
      <c r="A6" s="276" t="s">
        <v>5596</v>
      </c>
      <c r="B6" s="276" t="s">
        <v>4112</v>
      </c>
      <c r="C6" s="278" t="str">
        <f t="shared" si="0"/>
        <v>https://pubmed.ncbi.nlm.nih.gov/?term=PMC7598925</v>
      </c>
      <c r="D6" s="351">
        <v>44105</v>
      </c>
      <c r="G6" s="28" t="s">
        <v>511</v>
      </c>
    </row>
    <row r="7" spans="1:9" ht="12.75">
      <c r="A7" s="276" t="s">
        <v>5597</v>
      </c>
      <c r="B7" s="276" t="s">
        <v>5598</v>
      </c>
      <c r="C7" s="278" t="str">
        <f t="shared" si="0"/>
        <v>https://pubmed.ncbi.nlm.nih.gov/?term=PMC6899432</v>
      </c>
      <c r="D7" s="351">
        <v>43800</v>
      </c>
      <c r="E7" s="28" t="s">
        <v>511</v>
      </c>
      <c r="F7" s="28" t="s">
        <v>8404</v>
      </c>
    </row>
    <row r="8" spans="1:9" ht="12.75">
      <c r="A8" s="276" t="s">
        <v>5600</v>
      </c>
      <c r="B8" s="276" t="s">
        <v>4161</v>
      </c>
      <c r="C8" s="278" t="str">
        <f t="shared" si="0"/>
        <v>https://pubmed.ncbi.nlm.nih.gov/?term=PMC5720597</v>
      </c>
      <c r="D8" s="351">
        <v>43070</v>
      </c>
      <c r="G8" s="28" t="s">
        <v>511</v>
      </c>
    </row>
    <row r="9" spans="1:9" ht="12.75">
      <c r="A9" s="276" t="s">
        <v>5601</v>
      </c>
      <c r="B9" s="276" t="s">
        <v>4102</v>
      </c>
      <c r="C9" s="278" t="str">
        <f t="shared" si="0"/>
        <v>https://pubmed.ncbi.nlm.nih.gov/?term=PMC4988630</v>
      </c>
      <c r="D9" s="351">
        <v>42583</v>
      </c>
      <c r="G9" s="28" t="s">
        <v>511</v>
      </c>
    </row>
    <row r="10" spans="1:9" ht="12.75">
      <c r="A10" s="276" t="s">
        <v>5602</v>
      </c>
      <c r="B10" s="276" t="s">
        <v>4205</v>
      </c>
      <c r="C10" s="278" t="str">
        <f t="shared" si="0"/>
        <v>https://pubmed.ncbi.nlm.nih.gov/?term=PMC7194502</v>
      </c>
      <c r="D10" s="351">
        <v>43922</v>
      </c>
      <c r="G10" s="28" t="s">
        <v>511</v>
      </c>
    </row>
    <row r="11" spans="1:9" ht="12.75">
      <c r="A11" s="276" t="s">
        <v>5600</v>
      </c>
      <c r="B11" s="276" t="s">
        <v>4163</v>
      </c>
      <c r="C11" s="278" t="str">
        <f t="shared" si="0"/>
        <v>https://pubmed.ncbi.nlm.nih.gov/?term=PMC6948818</v>
      </c>
      <c r="D11" s="351">
        <v>43800</v>
      </c>
      <c r="G11" s="28" t="s">
        <v>511</v>
      </c>
    </row>
    <row r="12" spans="1:9" ht="12.75">
      <c r="A12" s="276" t="s">
        <v>5603</v>
      </c>
      <c r="B12" s="276" t="s">
        <v>5604</v>
      </c>
      <c r="C12" s="278" t="str">
        <f t="shared" si="0"/>
        <v>https://pubmed.ncbi.nlm.nih.gov/?term=PMC7670910</v>
      </c>
      <c r="D12" s="351">
        <v>44044</v>
      </c>
      <c r="E12" s="28" t="s">
        <v>511</v>
      </c>
      <c r="F12" s="28" t="s">
        <v>4592</v>
      </c>
      <c r="H12" s="28" t="s">
        <v>5605</v>
      </c>
    </row>
    <row r="13" spans="1:9" ht="12.75">
      <c r="A13" s="276" t="s">
        <v>5606</v>
      </c>
      <c r="B13" s="276" t="s">
        <v>5607</v>
      </c>
      <c r="C13" s="278" t="str">
        <f t="shared" si="0"/>
        <v>https://pubmed.ncbi.nlm.nih.gov/?term=PMC4581890</v>
      </c>
      <c r="D13" s="351">
        <v>42248</v>
      </c>
      <c r="E13" s="28" t="s">
        <v>511</v>
      </c>
      <c r="F13" s="28" t="s">
        <v>4592</v>
      </c>
    </row>
    <row r="14" spans="1:9" ht="12.75">
      <c r="A14" s="276" t="s">
        <v>5608</v>
      </c>
      <c r="B14" s="276" t="s">
        <v>5609</v>
      </c>
      <c r="C14" s="278" t="str">
        <f t="shared" si="0"/>
        <v>https://pubmed.ncbi.nlm.nih.gov/?term=PMC7754704</v>
      </c>
      <c r="D14" s="351">
        <v>44228</v>
      </c>
      <c r="E14" s="28" t="s">
        <v>511</v>
      </c>
      <c r="F14" s="28" t="s">
        <v>4592</v>
      </c>
    </row>
    <row r="15" spans="1:9" ht="12.75">
      <c r="A15" s="276" t="s">
        <v>5610</v>
      </c>
      <c r="B15" s="276" t="s">
        <v>5611</v>
      </c>
      <c r="C15" s="278" t="str">
        <f t="shared" si="0"/>
        <v>https://pubmed.ncbi.nlm.nih.gov/?term=PMC7280638</v>
      </c>
      <c r="D15" s="351">
        <v>44013</v>
      </c>
      <c r="E15" s="28" t="s">
        <v>511</v>
      </c>
      <c r="F15" s="28" t="s">
        <v>8390</v>
      </c>
    </row>
    <row r="16" spans="1:9" ht="12.75">
      <c r="A16" s="276" t="s">
        <v>5612</v>
      </c>
      <c r="B16" s="276" t="s">
        <v>5613</v>
      </c>
      <c r="C16" s="278" t="str">
        <f t="shared" si="0"/>
        <v>https://pubmed.ncbi.nlm.nih.gov/?term=PMC5989336</v>
      </c>
      <c r="D16" s="351">
        <v>43252</v>
      </c>
      <c r="E16" s="28" t="s">
        <v>511</v>
      </c>
      <c r="F16" s="28" t="s">
        <v>4592</v>
      </c>
    </row>
    <row r="17" spans="1:6" ht="12.75">
      <c r="A17" s="276" t="s">
        <v>5614</v>
      </c>
      <c r="B17" s="276" t="s">
        <v>5615</v>
      </c>
      <c r="C17" s="278" t="str">
        <f t="shared" si="0"/>
        <v>https://pubmed.ncbi.nlm.nih.gov/?term=PMC4293939</v>
      </c>
      <c r="D17" s="351">
        <v>41883</v>
      </c>
      <c r="E17" s="28" t="s">
        <v>511</v>
      </c>
      <c r="F17" s="28" t="s">
        <v>4592</v>
      </c>
    </row>
    <row r="18" spans="1:6" ht="12.75">
      <c r="A18" s="276" t="s">
        <v>5616</v>
      </c>
      <c r="B18" s="276" t="s">
        <v>5617</v>
      </c>
      <c r="C18" s="278" t="str">
        <f t="shared" si="0"/>
        <v>https://pubmed.ncbi.nlm.nih.gov/?term=PMC4820512</v>
      </c>
      <c r="D18" s="351">
        <v>42461</v>
      </c>
      <c r="E18" s="28" t="s">
        <v>511</v>
      </c>
      <c r="F18" s="28" t="s">
        <v>8405</v>
      </c>
    </row>
    <row r="19" spans="1:6" ht="12.75">
      <c r="A19" s="276" t="s">
        <v>5619</v>
      </c>
      <c r="B19" s="276" t="s">
        <v>5620</v>
      </c>
      <c r="C19" s="278" t="str">
        <f t="shared" si="0"/>
        <v>https://pubmed.ncbi.nlm.nih.gov/?term=PMC7223304</v>
      </c>
      <c r="D19" s="351">
        <v>43983</v>
      </c>
      <c r="E19" s="28" t="s">
        <v>511</v>
      </c>
      <c r="F19" s="28" t="s">
        <v>4592</v>
      </c>
    </row>
    <row r="20" spans="1:6" ht="12.75">
      <c r="A20" s="276" t="s">
        <v>5621</v>
      </c>
      <c r="B20" s="276" t="s">
        <v>5622</v>
      </c>
      <c r="C20" s="278" t="str">
        <f t="shared" si="0"/>
        <v>https://pubmed.ncbi.nlm.nih.gov/?term=PMC7735377</v>
      </c>
      <c r="D20" s="351">
        <v>44197</v>
      </c>
      <c r="E20" s="28" t="s">
        <v>511</v>
      </c>
      <c r="F20" s="28" t="s">
        <v>4592</v>
      </c>
    </row>
    <row r="21" spans="1:6" ht="12.75">
      <c r="A21" s="276" t="s">
        <v>5623</v>
      </c>
      <c r="B21" s="276" t="s">
        <v>5624</v>
      </c>
      <c r="C21" s="278" t="str">
        <f t="shared" si="0"/>
        <v>https://pubmed.ncbi.nlm.nih.gov/?term=PMC7754925</v>
      </c>
      <c r="D21" s="351">
        <v>44166</v>
      </c>
      <c r="E21" s="28" t="s">
        <v>511</v>
      </c>
      <c r="F21" s="28" t="s">
        <v>4592</v>
      </c>
    </row>
    <row r="22" spans="1:6" ht="12.75">
      <c r="A22" s="276" t="s">
        <v>5625</v>
      </c>
      <c r="B22" s="276" t="s">
        <v>5626</v>
      </c>
      <c r="C22" s="278" t="str">
        <f t="shared" si="0"/>
        <v>https://pubmed.ncbi.nlm.nih.gov/?term=PMC7831807</v>
      </c>
      <c r="D22" s="351">
        <v>44197</v>
      </c>
      <c r="E22" s="28" t="s">
        <v>511</v>
      </c>
      <c r="F22" s="28" t="s">
        <v>5627</v>
      </c>
    </row>
    <row r="23" spans="1:6" ht="12.75">
      <c r="A23" s="276" t="s">
        <v>5628</v>
      </c>
      <c r="B23" s="276" t="s">
        <v>5629</v>
      </c>
      <c r="C23" s="278" t="str">
        <f t="shared" si="0"/>
        <v>https://pubmed.ncbi.nlm.nih.gov/?term=PMC6785806</v>
      </c>
      <c r="D23" s="351">
        <v>43800</v>
      </c>
      <c r="E23" s="28" t="s">
        <v>511</v>
      </c>
      <c r="F23" s="28" t="s">
        <v>4867</v>
      </c>
    </row>
    <row r="24" spans="1:6" ht="12.75">
      <c r="A24" s="276" t="s">
        <v>5630</v>
      </c>
      <c r="B24" s="276" t="s">
        <v>5631</v>
      </c>
      <c r="C24" s="278" t="str">
        <f t="shared" si="0"/>
        <v>https://pubmed.ncbi.nlm.nih.gov/?term=PMC5924688</v>
      </c>
      <c r="D24" s="351">
        <v>42948</v>
      </c>
      <c r="E24" s="28" t="s">
        <v>511</v>
      </c>
      <c r="F24" s="28" t="s">
        <v>4592</v>
      </c>
    </row>
    <row r="25" spans="1:6" ht="12.75">
      <c r="A25" s="276" t="s">
        <v>5632</v>
      </c>
      <c r="B25" s="276" t="s">
        <v>5633</v>
      </c>
      <c r="C25" s="278" t="str">
        <f t="shared" si="0"/>
        <v>https://pubmed.ncbi.nlm.nih.gov/?term=PMC7431783</v>
      </c>
      <c r="D25" s="351">
        <v>44044</v>
      </c>
      <c r="E25" s="28" t="s">
        <v>511</v>
      </c>
      <c r="F25" s="28" t="s">
        <v>4592</v>
      </c>
    </row>
    <row r="26" spans="1:6" ht="12.75">
      <c r="A26" s="276" t="s">
        <v>5634</v>
      </c>
      <c r="B26" s="276" t="s">
        <v>5635</v>
      </c>
      <c r="C26" s="278" t="str">
        <f t="shared" si="0"/>
        <v>https://pubmed.ncbi.nlm.nih.gov/?term=PMC6162149</v>
      </c>
      <c r="D26" s="351">
        <v>43374</v>
      </c>
      <c r="E26" s="28" t="s">
        <v>511</v>
      </c>
      <c r="F26" s="28" t="s">
        <v>4592</v>
      </c>
    </row>
    <row r="27" spans="1:6" ht="12.75">
      <c r="A27" s="276" t="s">
        <v>5636</v>
      </c>
      <c r="B27" s="276" t="s">
        <v>5637</v>
      </c>
      <c r="C27" s="278" t="str">
        <f t="shared" si="0"/>
        <v>https://pubmed.ncbi.nlm.nih.gov/?term=PMC7418641</v>
      </c>
      <c r="D27" s="351">
        <v>44075</v>
      </c>
      <c r="E27" s="28" t="s">
        <v>511</v>
      </c>
      <c r="F27" s="28" t="s">
        <v>4592</v>
      </c>
    </row>
    <row r="28" spans="1:6" ht="12.75">
      <c r="A28" s="276" t="s">
        <v>5638</v>
      </c>
      <c r="B28" s="276" t="s">
        <v>5639</v>
      </c>
      <c r="C28" s="278" t="str">
        <f t="shared" si="0"/>
        <v>https://pubmed.ncbi.nlm.nih.gov/?term=PMC5627502</v>
      </c>
      <c r="D28" s="351">
        <v>42948</v>
      </c>
      <c r="E28" s="28" t="s">
        <v>511</v>
      </c>
      <c r="F28" s="28" t="s">
        <v>8387</v>
      </c>
    </row>
    <row r="29" spans="1:6" ht="12.75">
      <c r="A29" s="276" t="s">
        <v>5641</v>
      </c>
      <c r="B29" s="276" t="s">
        <v>5642</v>
      </c>
      <c r="C29" s="278" t="str">
        <f t="shared" si="0"/>
        <v>https://pubmed.ncbi.nlm.nih.gov/?term=PMC7837315</v>
      </c>
      <c r="D29" s="351">
        <v>44228</v>
      </c>
      <c r="E29" s="28" t="s">
        <v>511</v>
      </c>
      <c r="F29" s="28" t="s">
        <v>4592</v>
      </c>
    </row>
    <row r="30" spans="1:6" ht="12.75">
      <c r="A30" s="276" t="s">
        <v>5643</v>
      </c>
      <c r="B30" s="276" t="s">
        <v>5644</v>
      </c>
      <c r="C30" s="278" t="str">
        <f t="shared" si="0"/>
        <v>https://pubmed.ncbi.nlm.nih.gov/?term=PMC7901974</v>
      </c>
      <c r="D30" s="351">
        <v>44197</v>
      </c>
      <c r="E30" s="28" t="s">
        <v>511</v>
      </c>
      <c r="F30" s="28" t="s">
        <v>4592</v>
      </c>
    </row>
    <row r="31" spans="1:6" ht="12.75">
      <c r="A31" s="276" t="s">
        <v>5645</v>
      </c>
      <c r="B31" s="276" t="s">
        <v>5646</v>
      </c>
      <c r="C31" s="278" t="str">
        <f t="shared" si="0"/>
        <v>https://pubmed.ncbi.nlm.nih.gov/?term=PMC7259898</v>
      </c>
      <c r="D31" s="351">
        <v>44044</v>
      </c>
      <c r="E31" s="28" t="s">
        <v>511</v>
      </c>
      <c r="F31" s="28" t="s">
        <v>4592</v>
      </c>
    </row>
    <row r="32" spans="1:6" ht="12.75">
      <c r="A32" s="276" t="s">
        <v>5647</v>
      </c>
      <c r="B32" s="276" t="s">
        <v>5648</v>
      </c>
      <c r="C32" s="278" t="str">
        <f t="shared" si="0"/>
        <v>https://pubmed.ncbi.nlm.nih.gov/?term=PMC7566192</v>
      </c>
      <c r="D32" s="351">
        <v>44105</v>
      </c>
      <c r="E32" s="28" t="s">
        <v>511</v>
      </c>
      <c r="F32" s="28" t="s">
        <v>4592</v>
      </c>
    </row>
    <row r="33" spans="1:7" ht="12.75">
      <c r="A33" s="276" t="s">
        <v>5649</v>
      </c>
      <c r="B33" s="276" t="s">
        <v>5650</v>
      </c>
      <c r="C33" s="278" t="str">
        <f t="shared" si="0"/>
        <v>https://pubmed.ncbi.nlm.nih.gov/?term=PMC7733686</v>
      </c>
      <c r="D33" s="351">
        <v>44228</v>
      </c>
      <c r="E33" s="28" t="s">
        <v>511</v>
      </c>
      <c r="F33" s="28" t="s">
        <v>4592</v>
      </c>
    </row>
    <row r="34" spans="1:7" ht="12.75">
      <c r="A34" s="276" t="s">
        <v>5651</v>
      </c>
      <c r="B34" s="276" t="s">
        <v>5652</v>
      </c>
      <c r="C34" s="278" t="str">
        <f t="shared" si="0"/>
        <v>https://pubmed.ncbi.nlm.nih.gov/?term=PMC6005168</v>
      </c>
      <c r="D34" s="351">
        <v>43252</v>
      </c>
      <c r="E34" s="28" t="s">
        <v>511</v>
      </c>
      <c r="F34" s="28" t="s">
        <v>4867</v>
      </c>
    </row>
    <row r="35" spans="1:7" ht="12.75">
      <c r="A35" s="276" t="s">
        <v>5653</v>
      </c>
      <c r="B35" s="276" t="s">
        <v>5654</v>
      </c>
      <c r="C35" s="278" t="str">
        <f t="shared" si="0"/>
        <v>https://pubmed.ncbi.nlm.nih.gov/?term=PMC6820821</v>
      </c>
      <c r="D35" s="351">
        <v>43709</v>
      </c>
      <c r="E35" s="28" t="s">
        <v>511</v>
      </c>
      <c r="F35" s="28" t="s">
        <v>8387</v>
      </c>
    </row>
    <row r="36" spans="1:7" ht="12.75">
      <c r="A36" s="276" t="s">
        <v>5655</v>
      </c>
      <c r="B36" s="276" t="s">
        <v>5656</v>
      </c>
      <c r="C36" s="278" t="str">
        <f t="shared" si="0"/>
        <v>https://pubmed.ncbi.nlm.nih.gov/?term=PMC7152424</v>
      </c>
      <c r="D36" s="28">
        <v>2018</v>
      </c>
      <c r="E36" s="28" t="s">
        <v>511</v>
      </c>
      <c r="F36" s="28" t="s">
        <v>4592</v>
      </c>
    </row>
    <row r="37" spans="1:7" ht="12.75">
      <c r="A37" s="276" t="s">
        <v>5657</v>
      </c>
      <c r="B37" s="276" t="s">
        <v>5658</v>
      </c>
      <c r="C37" s="278" t="str">
        <f t="shared" si="0"/>
        <v>https://pubmed.ncbi.nlm.nih.gov/?term=PMC6921376</v>
      </c>
      <c r="D37" s="351">
        <v>43800</v>
      </c>
      <c r="E37" s="28" t="s">
        <v>511</v>
      </c>
      <c r="F37" s="28" t="s">
        <v>4592</v>
      </c>
    </row>
    <row r="38" spans="1:7" ht="12.75">
      <c r="A38" s="276" t="s">
        <v>5659</v>
      </c>
      <c r="B38" s="276" t="s">
        <v>5660</v>
      </c>
      <c r="C38" s="278" t="str">
        <f t="shared" si="0"/>
        <v>https://pubmed.ncbi.nlm.nih.gov/?term=PMC4944327</v>
      </c>
      <c r="D38" s="351">
        <v>42430</v>
      </c>
      <c r="E38" s="28" t="s">
        <v>511</v>
      </c>
      <c r="F38" s="28" t="s">
        <v>4592</v>
      </c>
    </row>
    <row r="39" spans="1:7" ht="12.75">
      <c r="A39" s="276" t="s">
        <v>5596</v>
      </c>
      <c r="B39" s="276" t="s">
        <v>4114</v>
      </c>
      <c r="C39" s="278" t="str">
        <f t="shared" si="0"/>
        <v>https://pubmed.ncbi.nlm.nih.gov/?term=PMC6892374</v>
      </c>
      <c r="D39" s="351">
        <v>43647</v>
      </c>
      <c r="G39" s="28" t="s">
        <v>511</v>
      </c>
    </row>
    <row r="40" spans="1:7" ht="12.75">
      <c r="A40" s="276" t="s">
        <v>5661</v>
      </c>
      <c r="B40" s="276" t="s">
        <v>5662</v>
      </c>
      <c r="C40" s="278" t="str">
        <f t="shared" si="0"/>
        <v>https://pubmed.ncbi.nlm.nih.gov/?term=PMC5861793</v>
      </c>
      <c r="D40" s="351">
        <v>43160</v>
      </c>
      <c r="E40" s="28" t="s">
        <v>511</v>
      </c>
      <c r="F40" s="28" t="s">
        <v>4592</v>
      </c>
    </row>
    <row r="41" spans="1:7" ht="12.75">
      <c r="A41" s="276" t="s">
        <v>5663</v>
      </c>
      <c r="B41" s="276" t="s">
        <v>4222</v>
      </c>
      <c r="C41" s="278" t="str">
        <f t="shared" si="0"/>
        <v>https://pubmed.ncbi.nlm.nih.gov/?term=PMC6844497</v>
      </c>
      <c r="D41" s="351">
        <v>43739</v>
      </c>
      <c r="G41" s="28" t="s">
        <v>511</v>
      </c>
    </row>
    <row r="42" spans="1:7" ht="12.75">
      <c r="A42" s="276" t="s">
        <v>5664</v>
      </c>
      <c r="B42" s="276" t="s">
        <v>5665</v>
      </c>
      <c r="C42" s="278" t="str">
        <f t="shared" si="0"/>
        <v>https://pubmed.ncbi.nlm.nih.gov/?term=PMC6492041</v>
      </c>
      <c r="D42" s="352">
        <v>43586</v>
      </c>
      <c r="E42" s="28" t="s">
        <v>511</v>
      </c>
      <c r="F42" s="28" t="s">
        <v>8387</v>
      </c>
    </row>
    <row r="43" spans="1:7" ht="12.75">
      <c r="A43" s="276" t="s">
        <v>5666</v>
      </c>
      <c r="B43" s="276" t="s">
        <v>5667</v>
      </c>
      <c r="C43" s="278" t="str">
        <f t="shared" si="0"/>
        <v>https://pubmed.ncbi.nlm.nih.gov/?term=PMC6501966</v>
      </c>
      <c r="D43" s="352">
        <v>43586</v>
      </c>
      <c r="E43" s="28" t="s">
        <v>511</v>
      </c>
      <c r="F43" s="28" t="s">
        <v>5668</v>
      </c>
    </row>
    <row r="44" spans="1:7" ht="12.75">
      <c r="A44" s="276" t="s">
        <v>5669</v>
      </c>
      <c r="B44" s="276" t="s">
        <v>5670</v>
      </c>
      <c r="C44" s="278" t="str">
        <f t="shared" si="0"/>
        <v>https://pubmed.ncbi.nlm.nih.gov/?term=PMC7428779</v>
      </c>
      <c r="D44" s="351">
        <v>44075</v>
      </c>
      <c r="E44" s="28" t="s">
        <v>511</v>
      </c>
      <c r="F44" s="28" t="s">
        <v>4592</v>
      </c>
    </row>
    <row r="45" spans="1:7" ht="12.75">
      <c r="A45" s="276" t="s">
        <v>5671</v>
      </c>
      <c r="B45" s="276" t="s">
        <v>5672</v>
      </c>
      <c r="C45" s="278" t="str">
        <f t="shared" si="0"/>
        <v>https://pubmed.ncbi.nlm.nih.gov/?term=PMC7564369</v>
      </c>
      <c r="D45" s="351">
        <v>44044</v>
      </c>
      <c r="E45" s="28" t="s">
        <v>511</v>
      </c>
      <c r="F45" s="28" t="s">
        <v>4592</v>
      </c>
    </row>
    <row r="46" spans="1:7" ht="12.75">
      <c r="A46" s="276" t="s">
        <v>5619</v>
      </c>
      <c r="B46" s="276" t="s">
        <v>5673</v>
      </c>
      <c r="C46" s="278" t="str">
        <f t="shared" si="0"/>
        <v>https://pubmed.ncbi.nlm.nih.gov/?term=PMC7564142</v>
      </c>
      <c r="D46" s="351">
        <v>44075</v>
      </c>
      <c r="E46" s="28" t="s">
        <v>511</v>
      </c>
      <c r="F46" s="28" t="s">
        <v>4592</v>
      </c>
    </row>
    <row r="47" spans="1:7" ht="12.75">
      <c r="A47" s="276" t="s">
        <v>5674</v>
      </c>
      <c r="B47" s="276" t="s">
        <v>5675</v>
      </c>
      <c r="C47" s="278" t="str">
        <f t="shared" si="0"/>
        <v>https://pubmed.ncbi.nlm.nih.gov/?term=PMC7591699</v>
      </c>
      <c r="D47" s="351">
        <v>44105</v>
      </c>
      <c r="E47" s="28" t="s">
        <v>511</v>
      </c>
      <c r="F47" s="28" t="s">
        <v>4592</v>
      </c>
    </row>
    <row r="48" spans="1:7" ht="12.75">
      <c r="A48" s="276" t="s">
        <v>5676</v>
      </c>
      <c r="B48" s="276" t="s">
        <v>5677</v>
      </c>
      <c r="C48" s="278" t="str">
        <f t="shared" si="0"/>
        <v>https://pubmed.ncbi.nlm.nih.gov/?term=PMC5652574</v>
      </c>
      <c r="D48" s="351">
        <v>43009</v>
      </c>
      <c r="E48" s="28" t="s">
        <v>511</v>
      </c>
      <c r="F48" s="28" t="s">
        <v>5668</v>
      </c>
    </row>
    <row r="49" spans="1:8" ht="12.75">
      <c r="A49" s="276" t="s">
        <v>5678</v>
      </c>
      <c r="B49" s="276" t="s">
        <v>5679</v>
      </c>
      <c r="C49" s="278" t="str">
        <f t="shared" si="0"/>
        <v>https://pubmed.ncbi.nlm.nih.gov/?term=PMC6822991</v>
      </c>
      <c r="D49" s="351">
        <v>43739</v>
      </c>
      <c r="E49" s="28" t="s">
        <v>511</v>
      </c>
      <c r="F49" s="28" t="s">
        <v>4592</v>
      </c>
    </row>
    <row r="50" spans="1:8" ht="12.75">
      <c r="A50" s="276" t="s">
        <v>5645</v>
      </c>
      <c r="B50" s="276" t="s">
        <v>5680</v>
      </c>
      <c r="C50" s="278" t="str">
        <f t="shared" si="0"/>
        <v>https://pubmed.ncbi.nlm.nih.gov/?term=PMC7598752</v>
      </c>
      <c r="D50" s="351">
        <v>44197</v>
      </c>
      <c r="E50" s="28" t="s">
        <v>511</v>
      </c>
      <c r="F50" s="28" t="s">
        <v>8387</v>
      </c>
    </row>
    <row r="51" spans="1:8" ht="12.75">
      <c r="A51" s="276" t="s">
        <v>5681</v>
      </c>
      <c r="B51" s="276" t="s">
        <v>5682</v>
      </c>
      <c r="C51" s="278" t="str">
        <f t="shared" si="0"/>
        <v>https://pubmed.ncbi.nlm.nih.gov/?term=PMC7329983</v>
      </c>
      <c r="D51" s="351">
        <v>43983</v>
      </c>
      <c r="E51" s="28" t="s">
        <v>511</v>
      </c>
      <c r="F51" s="28" t="s">
        <v>4592</v>
      </c>
    </row>
    <row r="52" spans="1:8" ht="12.75">
      <c r="A52" s="276" t="s">
        <v>5683</v>
      </c>
      <c r="B52" s="276" t="s">
        <v>5684</v>
      </c>
      <c r="C52" s="278" t="str">
        <f t="shared" si="0"/>
        <v>https://pubmed.ncbi.nlm.nih.gov/?term=PMC3286401</v>
      </c>
      <c r="D52" s="351">
        <v>40909</v>
      </c>
      <c r="E52" s="28" t="s">
        <v>511</v>
      </c>
      <c r="F52" s="28" t="s">
        <v>4592</v>
      </c>
    </row>
    <row r="53" spans="1:8" ht="12.75">
      <c r="A53" s="276" t="s">
        <v>5685</v>
      </c>
      <c r="B53" s="276" t="s">
        <v>5686</v>
      </c>
      <c r="C53" s="278" t="str">
        <f t="shared" si="0"/>
        <v>https://pubmed.ncbi.nlm.nih.gov/?term=PMC5628252</v>
      </c>
      <c r="D53" s="351">
        <v>42675</v>
      </c>
      <c r="E53" s="28" t="s">
        <v>511</v>
      </c>
      <c r="F53" s="28" t="s">
        <v>4592</v>
      </c>
    </row>
    <row r="54" spans="1:8" ht="12.75">
      <c r="A54" s="276" t="s">
        <v>5687</v>
      </c>
      <c r="B54" s="276" t="s">
        <v>5688</v>
      </c>
      <c r="C54" s="278" t="str">
        <f t="shared" si="0"/>
        <v>https://pubmed.ncbi.nlm.nih.gov/?term=PMC7152379</v>
      </c>
      <c r="D54" s="28">
        <v>2018</v>
      </c>
      <c r="E54" s="28" t="s">
        <v>511</v>
      </c>
      <c r="F54" s="28" t="s">
        <v>4592</v>
      </c>
    </row>
    <row r="55" spans="1:8" ht="12.75">
      <c r="A55" s="276" t="s">
        <v>5689</v>
      </c>
      <c r="B55" s="276" t="s">
        <v>5690</v>
      </c>
      <c r="C55" s="278" t="str">
        <f t="shared" si="0"/>
        <v>https://pubmed.ncbi.nlm.nih.gov/?term=PMC7553736</v>
      </c>
      <c r="D55" s="351">
        <v>43405</v>
      </c>
      <c r="E55" s="28" t="s">
        <v>511</v>
      </c>
      <c r="F55" s="28" t="s">
        <v>4592</v>
      </c>
    </row>
    <row r="56" spans="1:8" ht="12.75">
      <c r="A56" s="276" t="s">
        <v>5691</v>
      </c>
      <c r="B56" s="276" t="s">
        <v>5692</v>
      </c>
      <c r="C56" s="278" t="str">
        <f t="shared" si="0"/>
        <v>https://pubmed.ncbi.nlm.nih.gov/?term=PMC6027361</v>
      </c>
      <c r="D56" s="351">
        <v>43191</v>
      </c>
      <c r="E56" s="28" t="s">
        <v>511</v>
      </c>
      <c r="F56" s="28" t="s">
        <v>4592</v>
      </c>
    </row>
    <row r="57" spans="1:8" ht="12.75">
      <c r="A57" s="276" t="s">
        <v>5693</v>
      </c>
      <c r="B57" s="276" t="s">
        <v>5694</v>
      </c>
      <c r="C57" s="278" t="str">
        <f t="shared" si="0"/>
        <v>https://pubmed.ncbi.nlm.nih.gov/?term=PMC6489464</v>
      </c>
      <c r="D57" s="351">
        <v>43556</v>
      </c>
      <c r="E57" s="28" t="s">
        <v>511</v>
      </c>
      <c r="F57" s="28" t="s">
        <v>5273</v>
      </c>
    </row>
    <row r="58" spans="1:8" ht="12.75">
      <c r="A58" s="276" t="s">
        <v>5695</v>
      </c>
      <c r="B58" s="276" t="s">
        <v>5696</v>
      </c>
      <c r="C58" s="278" t="str">
        <f t="shared" si="0"/>
        <v>https://pubmed.ncbi.nlm.nih.gov/?term=PMC6901126</v>
      </c>
      <c r="D58" s="351">
        <v>43800</v>
      </c>
      <c r="E58" s="28" t="s">
        <v>511</v>
      </c>
      <c r="F58" s="28" t="s">
        <v>8387</v>
      </c>
    </row>
    <row r="59" spans="1:8" ht="12.75">
      <c r="A59" s="276" t="s">
        <v>5697</v>
      </c>
      <c r="B59" s="276" t="s">
        <v>5698</v>
      </c>
      <c r="C59" s="278" t="str">
        <f t="shared" si="0"/>
        <v>https://pubmed.ncbi.nlm.nih.gov/?term=PMC4494348</v>
      </c>
      <c r="D59" s="351">
        <v>42095</v>
      </c>
      <c r="E59" s="28" t="s">
        <v>511</v>
      </c>
      <c r="F59" s="28" t="s">
        <v>4592</v>
      </c>
    </row>
    <row r="60" spans="1:8" ht="12.75">
      <c r="A60" s="276" t="s">
        <v>5699</v>
      </c>
      <c r="B60" s="276" t="s">
        <v>5700</v>
      </c>
      <c r="C60" s="278" t="str">
        <f t="shared" si="0"/>
        <v>https://pubmed.ncbi.nlm.nih.gov/?term=PMC7591467</v>
      </c>
      <c r="D60" s="351">
        <v>44105</v>
      </c>
      <c r="E60" s="28" t="s">
        <v>511</v>
      </c>
      <c r="F60" s="28" t="s">
        <v>4592</v>
      </c>
    </row>
    <row r="61" spans="1:8" ht="12.75">
      <c r="A61" s="276" t="s">
        <v>5701</v>
      </c>
      <c r="B61" s="276" t="s">
        <v>5702</v>
      </c>
      <c r="C61" s="278" t="str">
        <f t="shared" si="0"/>
        <v>https://pubmed.ncbi.nlm.nih.gov/?term=PMC6663142</v>
      </c>
      <c r="D61" s="28">
        <v>2019</v>
      </c>
      <c r="E61" s="28" t="s">
        <v>511</v>
      </c>
      <c r="F61" s="28" t="s">
        <v>4592</v>
      </c>
    </row>
    <row r="62" spans="1:8" ht="12.75">
      <c r="A62" s="276" t="s">
        <v>5703</v>
      </c>
      <c r="B62" s="276" t="s">
        <v>5704</v>
      </c>
      <c r="C62" s="278" t="str">
        <f t="shared" si="0"/>
        <v>https://pubmed.ncbi.nlm.nih.gov/?term=PMC7589362</v>
      </c>
      <c r="D62" s="351">
        <v>44105</v>
      </c>
      <c r="E62" s="28" t="s">
        <v>511</v>
      </c>
      <c r="F62" s="28" t="s">
        <v>5273</v>
      </c>
      <c r="H62" s="28" t="s">
        <v>5705</v>
      </c>
    </row>
    <row r="63" spans="1:8" ht="12.75">
      <c r="A63" s="276" t="s">
        <v>5706</v>
      </c>
      <c r="B63" s="276" t="s">
        <v>5707</v>
      </c>
      <c r="C63" s="278" t="str">
        <f t="shared" si="0"/>
        <v>https://pubmed.ncbi.nlm.nih.gov/?term=PMC6124525</v>
      </c>
      <c r="D63" s="351">
        <v>43282</v>
      </c>
      <c r="E63" s="28" t="s">
        <v>511</v>
      </c>
      <c r="F63" s="28" t="s">
        <v>5708</v>
      </c>
    </row>
    <row r="64" spans="1:8" ht="12.75">
      <c r="A64" s="276" t="s">
        <v>5709</v>
      </c>
      <c r="B64" s="276" t="s">
        <v>5710</v>
      </c>
      <c r="C64" s="278" t="str">
        <f t="shared" si="0"/>
        <v>https://pubmed.ncbi.nlm.nih.gov/?term=PMC4480031</v>
      </c>
      <c r="D64" s="351">
        <v>42156</v>
      </c>
      <c r="E64" s="28" t="s">
        <v>511</v>
      </c>
      <c r="F64" s="28" t="s">
        <v>5668</v>
      </c>
    </row>
    <row r="65" spans="1:6" ht="12.75">
      <c r="A65" s="276" t="s">
        <v>5711</v>
      </c>
      <c r="B65" s="276" t="s">
        <v>5712</v>
      </c>
      <c r="C65" s="278" t="str">
        <f t="shared" si="0"/>
        <v>https://pubmed.ncbi.nlm.nih.gov/?term=PMC6376107</v>
      </c>
      <c r="D65" s="351">
        <v>43497</v>
      </c>
      <c r="E65" s="28" t="s">
        <v>511</v>
      </c>
      <c r="F65" s="28" t="s">
        <v>4592</v>
      </c>
    </row>
    <row r="66" spans="1:6" ht="12.75">
      <c r="A66" s="276" t="s">
        <v>5713</v>
      </c>
      <c r="B66" s="276" t="s">
        <v>5714</v>
      </c>
      <c r="C66" s="278" t="str">
        <f t="shared" si="0"/>
        <v>https://pubmed.ncbi.nlm.nih.gov/?term=PMC4514277</v>
      </c>
      <c r="D66" s="28">
        <v>2015</v>
      </c>
      <c r="E66" s="28" t="s">
        <v>511</v>
      </c>
      <c r="F66" s="28" t="s">
        <v>4592</v>
      </c>
    </row>
    <row r="67" spans="1:6" ht="12.75">
      <c r="A67" s="276" t="s">
        <v>5715</v>
      </c>
      <c r="B67" s="276" t="s">
        <v>5716</v>
      </c>
      <c r="C67" s="278" t="str">
        <f t="shared" si="0"/>
        <v>https://pubmed.ncbi.nlm.nih.gov/?term=PMC7190794</v>
      </c>
      <c r="D67" s="351">
        <v>43922</v>
      </c>
      <c r="E67" s="28" t="s">
        <v>511</v>
      </c>
      <c r="F67" s="28" t="s">
        <v>4592</v>
      </c>
    </row>
    <row r="68" spans="1:6" ht="12.75">
      <c r="A68" s="276" t="s">
        <v>5717</v>
      </c>
      <c r="B68" s="276" t="s">
        <v>5718</v>
      </c>
      <c r="C68" s="278" t="str">
        <f t="shared" si="0"/>
        <v>https://pubmed.ncbi.nlm.nih.gov/?term=PMC6027304</v>
      </c>
      <c r="D68" s="351">
        <v>43191</v>
      </c>
      <c r="E68" s="28" t="s">
        <v>511</v>
      </c>
      <c r="F68" s="28" t="s">
        <v>4592</v>
      </c>
    </row>
    <row r="69" spans="1:6" ht="12.75">
      <c r="A69" s="276" t="s">
        <v>5719</v>
      </c>
      <c r="B69" s="276" t="s">
        <v>5720</v>
      </c>
      <c r="C69" s="278" t="str">
        <f t="shared" si="0"/>
        <v>https://pubmed.ncbi.nlm.nih.gov/?term=PMC7719900</v>
      </c>
      <c r="D69" s="351">
        <v>44166</v>
      </c>
      <c r="E69" s="28" t="s">
        <v>511</v>
      </c>
      <c r="F69" s="28" t="s">
        <v>4592</v>
      </c>
    </row>
    <row r="70" spans="1:6" ht="12.75">
      <c r="A70" s="276" t="s">
        <v>5721</v>
      </c>
      <c r="B70" s="276" t="s">
        <v>5722</v>
      </c>
      <c r="C70" s="278" t="str">
        <f t="shared" si="0"/>
        <v>https://pubmed.ncbi.nlm.nih.gov/?term=PMC7388714</v>
      </c>
      <c r="D70" s="351">
        <v>44013</v>
      </c>
      <c r="E70" s="28" t="s">
        <v>511</v>
      </c>
      <c r="F70" s="28" t="s">
        <v>4592</v>
      </c>
    </row>
    <row r="71" spans="1:6" ht="12.75">
      <c r="A71" s="276" t="s">
        <v>5723</v>
      </c>
      <c r="B71" s="276" t="s">
        <v>5724</v>
      </c>
      <c r="C71" s="278" t="str">
        <f t="shared" si="0"/>
        <v>https://pubmed.ncbi.nlm.nih.gov/?term=PMC7094556</v>
      </c>
      <c r="D71" s="351">
        <v>43800</v>
      </c>
      <c r="E71" s="28" t="s">
        <v>511</v>
      </c>
      <c r="F71" s="28" t="s">
        <v>4592</v>
      </c>
    </row>
    <row r="72" spans="1:6" ht="12.75">
      <c r="A72" s="276" t="s">
        <v>5725</v>
      </c>
      <c r="B72" s="276" t="s">
        <v>5726</v>
      </c>
      <c r="C72" s="278" t="str">
        <f t="shared" si="0"/>
        <v>https://pubmed.ncbi.nlm.nih.gov/?term=PMC7576547</v>
      </c>
      <c r="D72" s="351">
        <v>44105</v>
      </c>
      <c r="E72" s="28" t="s">
        <v>511</v>
      </c>
      <c r="F72" s="28" t="s">
        <v>5727</v>
      </c>
    </row>
    <row r="73" spans="1:6" ht="12.75">
      <c r="A73" s="276" t="s">
        <v>5728</v>
      </c>
      <c r="B73" s="276" t="s">
        <v>5729</v>
      </c>
      <c r="C73" s="278" t="str">
        <f t="shared" si="0"/>
        <v>https://pubmed.ncbi.nlm.nih.gov/?term=PMC7126290</v>
      </c>
      <c r="D73" s="351">
        <v>43313</v>
      </c>
      <c r="E73" s="28" t="s">
        <v>511</v>
      </c>
      <c r="F73" s="28" t="s">
        <v>4592</v>
      </c>
    </row>
    <row r="74" spans="1:6" ht="12.75">
      <c r="A74" s="276" t="s">
        <v>5730</v>
      </c>
      <c r="B74" s="276" t="s">
        <v>5731</v>
      </c>
      <c r="C74" s="278" t="str">
        <f t="shared" si="0"/>
        <v>https://pubmed.ncbi.nlm.nih.gov/?term=PMC7411487</v>
      </c>
      <c r="D74" s="351">
        <v>44044</v>
      </c>
      <c r="E74" s="28" t="s">
        <v>511</v>
      </c>
      <c r="F74" s="28" t="s">
        <v>4592</v>
      </c>
    </row>
    <row r="75" spans="1:6" ht="12.75">
      <c r="A75" s="276" t="s">
        <v>5732</v>
      </c>
      <c r="B75" s="276" t="s">
        <v>5733</v>
      </c>
      <c r="C75" s="278" t="str">
        <f t="shared" si="0"/>
        <v>https://pubmed.ncbi.nlm.nih.gov/?term=PMC7286271</v>
      </c>
      <c r="D75" s="351">
        <v>44166</v>
      </c>
      <c r="E75" s="28" t="s">
        <v>511</v>
      </c>
      <c r="F75" s="28" t="s">
        <v>4592</v>
      </c>
    </row>
    <row r="76" spans="1:6" ht="12.75">
      <c r="A76" s="276" t="s">
        <v>5734</v>
      </c>
      <c r="B76" s="276" t="s">
        <v>5735</v>
      </c>
      <c r="C76" s="278" t="str">
        <f t="shared" si="0"/>
        <v>https://pubmed.ncbi.nlm.nih.gov/?term=PMC3906276</v>
      </c>
      <c r="D76" s="351">
        <v>41487</v>
      </c>
      <c r="E76" s="28" t="s">
        <v>511</v>
      </c>
      <c r="F76" s="28" t="s">
        <v>5736</v>
      </c>
    </row>
    <row r="77" spans="1:6" ht="12.75">
      <c r="A77" s="276" t="s">
        <v>5723</v>
      </c>
      <c r="B77" s="276" t="s">
        <v>5737</v>
      </c>
      <c r="C77" s="278" t="str">
        <f t="shared" si="0"/>
        <v>https://pubmed.ncbi.nlm.nih.gov/?term=PMC7392072</v>
      </c>
      <c r="D77" s="351">
        <v>44105</v>
      </c>
      <c r="E77" s="28" t="s">
        <v>511</v>
      </c>
      <c r="F77" s="28" t="s">
        <v>5273</v>
      </c>
    </row>
    <row r="78" spans="1:6" ht="12.75">
      <c r="A78" s="276" t="s">
        <v>5738</v>
      </c>
      <c r="B78" s="276" t="s">
        <v>5739</v>
      </c>
      <c r="C78" s="278" t="str">
        <f t="shared" si="0"/>
        <v>https://pubmed.ncbi.nlm.nih.gov/?term=PMC3773977</v>
      </c>
      <c r="D78" s="351">
        <v>41487</v>
      </c>
      <c r="E78" s="28" t="s">
        <v>511</v>
      </c>
      <c r="F78" s="28" t="s">
        <v>4592</v>
      </c>
    </row>
    <row r="79" spans="1:6" ht="12.75">
      <c r="A79" s="276" t="s">
        <v>5740</v>
      </c>
      <c r="B79" s="276" t="s">
        <v>5741</v>
      </c>
      <c r="C79" s="278" t="str">
        <f t="shared" si="0"/>
        <v>https://pubmed.ncbi.nlm.nih.gov/?term=PMC7286646</v>
      </c>
      <c r="D79" s="351">
        <v>44044</v>
      </c>
      <c r="E79" s="28" t="s">
        <v>511</v>
      </c>
      <c r="F79" s="28" t="s">
        <v>8406</v>
      </c>
    </row>
    <row r="80" spans="1:6" ht="12.75">
      <c r="A80" s="276" t="s">
        <v>5743</v>
      </c>
      <c r="B80" s="276" t="s">
        <v>5744</v>
      </c>
      <c r="C80" s="278" t="str">
        <f t="shared" si="0"/>
        <v>https://pubmed.ncbi.nlm.nih.gov/?term=PMC6928577</v>
      </c>
      <c r="D80" s="351">
        <v>43831</v>
      </c>
      <c r="E80" s="28" t="s">
        <v>511</v>
      </c>
      <c r="F80" s="28" t="s">
        <v>5708</v>
      </c>
    </row>
    <row r="81" spans="1:7" ht="12.75">
      <c r="A81" s="276" t="s">
        <v>5610</v>
      </c>
      <c r="B81" s="276" t="s">
        <v>5745</v>
      </c>
      <c r="C81" s="278" t="str">
        <f t="shared" si="0"/>
        <v>https://pubmed.ncbi.nlm.nih.gov/?term=PMC7787506</v>
      </c>
      <c r="D81" s="351">
        <v>44256</v>
      </c>
      <c r="E81" s="28" t="s">
        <v>511</v>
      </c>
      <c r="F81" s="28" t="s">
        <v>4592</v>
      </c>
    </row>
    <row r="82" spans="1:7" ht="12.75">
      <c r="A82" s="276" t="s">
        <v>5746</v>
      </c>
      <c r="B82" s="276" t="s">
        <v>5747</v>
      </c>
      <c r="C82" s="278" t="str">
        <f t="shared" si="0"/>
        <v>https://pubmed.ncbi.nlm.nih.gov/?term=PMC7606873</v>
      </c>
      <c r="D82" s="351">
        <v>44105</v>
      </c>
      <c r="E82" s="28" t="s">
        <v>511</v>
      </c>
      <c r="F82" s="28" t="s">
        <v>4592</v>
      </c>
    </row>
    <row r="83" spans="1:7" ht="12.75">
      <c r="A83" s="276" t="s">
        <v>5663</v>
      </c>
      <c r="B83" s="276" t="s">
        <v>4223</v>
      </c>
      <c r="C83" s="278" t="str">
        <f t="shared" si="0"/>
        <v>https://pubmed.ncbi.nlm.nih.gov/?term=PMC6630672</v>
      </c>
      <c r="D83" s="351">
        <v>43617</v>
      </c>
      <c r="G83" s="28" t="s">
        <v>511</v>
      </c>
    </row>
    <row r="84" spans="1:7" ht="12.75">
      <c r="A84" s="276" t="s">
        <v>5748</v>
      </c>
      <c r="B84" s="276" t="s">
        <v>5749</v>
      </c>
      <c r="C84" s="278" t="str">
        <f t="shared" si="0"/>
        <v>https://pubmed.ncbi.nlm.nih.gov/?term=PMC7520880</v>
      </c>
      <c r="D84" s="351">
        <v>44105</v>
      </c>
      <c r="E84" s="28" t="s">
        <v>511</v>
      </c>
      <c r="F84" s="28" t="s">
        <v>8390</v>
      </c>
    </row>
    <row r="85" spans="1:7" ht="12.75">
      <c r="A85" s="276" t="s">
        <v>5750</v>
      </c>
      <c r="B85" s="276" t="s">
        <v>4557</v>
      </c>
      <c r="C85" s="278" t="str">
        <f t="shared" si="0"/>
        <v>https://pubmed.ncbi.nlm.nih.gov/?term=PMC3732056</v>
      </c>
      <c r="D85" s="351">
        <v>41214</v>
      </c>
      <c r="G85" s="28" t="s">
        <v>511</v>
      </c>
    </row>
    <row r="86" spans="1:7" ht="12.75">
      <c r="A86" s="276" t="s">
        <v>5751</v>
      </c>
      <c r="B86" s="276" t="s">
        <v>5752</v>
      </c>
      <c r="C86" s="278" t="str">
        <f t="shared" si="0"/>
        <v>https://pubmed.ncbi.nlm.nih.gov/?term=PMC7675299</v>
      </c>
      <c r="D86" s="351">
        <v>44197</v>
      </c>
      <c r="E86" s="28" t="s">
        <v>511</v>
      </c>
      <c r="F86" s="28" t="s">
        <v>4592</v>
      </c>
    </row>
    <row r="87" spans="1:7" ht="12.75">
      <c r="A87" s="276" t="s">
        <v>5753</v>
      </c>
      <c r="B87" s="276" t="s">
        <v>5754</v>
      </c>
      <c r="C87" s="278" t="str">
        <f t="shared" si="0"/>
        <v>https://pubmed.ncbi.nlm.nih.gov/?term=PMC7682548</v>
      </c>
      <c r="D87" s="351">
        <v>44136</v>
      </c>
      <c r="E87" s="28" t="s">
        <v>511</v>
      </c>
      <c r="F87" s="28" t="s">
        <v>8390</v>
      </c>
    </row>
    <row r="88" spans="1:7" ht="12.75">
      <c r="A88" s="276" t="s">
        <v>5755</v>
      </c>
      <c r="B88" s="276" t="s">
        <v>5756</v>
      </c>
      <c r="C88" s="278" t="str">
        <f t="shared" si="0"/>
        <v>https://pubmed.ncbi.nlm.nih.gov/?term=PMC4669850</v>
      </c>
      <c r="D88" s="351">
        <v>42217</v>
      </c>
      <c r="E88" s="28" t="s">
        <v>511</v>
      </c>
      <c r="F88" s="28" t="s">
        <v>4867</v>
      </c>
    </row>
    <row r="89" spans="1:7" ht="12.75">
      <c r="A89" s="276" t="s">
        <v>5757</v>
      </c>
      <c r="B89" s="276" t="s">
        <v>5758</v>
      </c>
      <c r="C89" s="278" t="str">
        <f t="shared" si="0"/>
        <v>https://pubmed.ncbi.nlm.nih.gov/?term=PMC5230743</v>
      </c>
      <c r="D89" s="351">
        <v>42736</v>
      </c>
      <c r="E89" s="28" t="s">
        <v>511</v>
      </c>
      <c r="F89" s="28" t="s">
        <v>5759</v>
      </c>
    </row>
    <row r="90" spans="1:7" ht="12.75">
      <c r="A90" s="276" t="s">
        <v>5760</v>
      </c>
      <c r="B90" s="276" t="s">
        <v>5761</v>
      </c>
      <c r="C90" s="278" t="str">
        <f t="shared" si="0"/>
        <v>https://pubmed.ncbi.nlm.nih.gov/?term=PMC5436874</v>
      </c>
      <c r="D90" s="352">
        <v>42856</v>
      </c>
      <c r="E90" s="28" t="s">
        <v>511</v>
      </c>
      <c r="F90" s="28" t="s">
        <v>4867</v>
      </c>
    </row>
    <row r="91" spans="1:7" ht="12.75">
      <c r="A91" s="276" t="s">
        <v>5762</v>
      </c>
      <c r="B91" s="276" t="s">
        <v>5763</v>
      </c>
      <c r="C91" s="278" t="str">
        <f t="shared" si="0"/>
        <v>https://pubmed.ncbi.nlm.nih.gov/?term=PMC6777997</v>
      </c>
      <c r="D91" s="28">
        <v>2020</v>
      </c>
      <c r="E91" s="28" t="s">
        <v>511</v>
      </c>
      <c r="F91" s="28" t="s">
        <v>4592</v>
      </c>
    </row>
    <row r="92" spans="1:7" ht="12.75">
      <c r="A92" s="276" t="s">
        <v>5764</v>
      </c>
      <c r="B92" s="276" t="s">
        <v>5765</v>
      </c>
      <c r="C92" s="278" t="str">
        <f t="shared" si="0"/>
        <v>https://pubmed.ncbi.nlm.nih.gov/?term=PMC7159495</v>
      </c>
      <c r="D92" s="351">
        <v>43101</v>
      </c>
      <c r="E92" s="28" t="s">
        <v>511</v>
      </c>
      <c r="F92" s="28" t="s">
        <v>4592</v>
      </c>
    </row>
    <row r="93" spans="1:7" ht="12.75">
      <c r="A93" s="276" t="s">
        <v>5766</v>
      </c>
      <c r="B93" s="276" t="s">
        <v>5767</v>
      </c>
      <c r="C93" s="278" t="str">
        <f t="shared" si="0"/>
        <v>https://pubmed.ncbi.nlm.nih.gov/?term=PMC7591868</v>
      </c>
      <c r="D93" s="351">
        <v>44044</v>
      </c>
      <c r="E93" s="28" t="s">
        <v>511</v>
      </c>
      <c r="F93" s="28" t="s">
        <v>4592</v>
      </c>
    </row>
    <row r="94" spans="1:7" ht="12.75">
      <c r="A94" s="276" t="s">
        <v>5768</v>
      </c>
      <c r="B94" s="276" t="s">
        <v>5769</v>
      </c>
      <c r="C94" s="278" t="str">
        <f t="shared" si="0"/>
        <v>https://pubmed.ncbi.nlm.nih.gov/?term=PMC7786643</v>
      </c>
      <c r="D94" s="351">
        <v>44044</v>
      </c>
      <c r="E94" s="28" t="s">
        <v>511</v>
      </c>
      <c r="F94" s="28" t="s">
        <v>4592</v>
      </c>
    </row>
    <row r="95" spans="1:7" ht="12.75">
      <c r="A95" s="276" t="s">
        <v>5770</v>
      </c>
      <c r="B95" s="276" t="s">
        <v>5771</v>
      </c>
      <c r="C95" s="278" t="str">
        <f t="shared" si="0"/>
        <v>https://pubmed.ncbi.nlm.nih.gov/?term=PMC7749647</v>
      </c>
      <c r="D95" s="351">
        <v>44228</v>
      </c>
      <c r="E95" s="28" t="s">
        <v>511</v>
      </c>
      <c r="F95" s="28" t="s">
        <v>4592</v>
      </c>
    </row>
    <row r="96" spans="1:7" ht="12.75">
      <c r="A96" s="276" t="s">
        <v>5772</v>
      </c>
      <c r="B96" s="276" t="s">
        <v>5773</v>
      </c>
      <c r="C96" s="278" t="str">
        <f t="shared" si="0"/>
        <v>https://pubmed.ncbi.nlm.nih.gov/?term=PMC8035613</v>
      </c>
      <c r="D96" s="351">
        <v>44287</v>
      </c>
      <c r="E96" s="28" t="s">
        <v>511</v>
      </c>
      <c r="F96" s="28" t="s">
        <v>4592</v>
      </c>
    </row>
    <row r="97" spans="1:7" ht="12.75">
      <c r="A97" s="276" t="s">
        <v>5774</v>
      </c>
      <c r="B97" s="276" t="s">
        <v>5775</v>
      </c>
      <c r="C97" s="278" t="str">
        <f t="shared" si="0"/>
        <v>https://pubmed.ncbi.nlm.nih.gov/?term=PMC4527391</v>
      </c>
      <c r="D97" s="351">
        <v>42156</v>
      </c>
      <c r="E97" s="28" t="s">
        <v>511</v>
      </c>
      <c r="F97" s="28" t="s">
        <v>4592</v>
      </c>
    </row>
    <row r="98" spans="1:7" ht="12.75">
      <c r="A98" s="276" t="s">
        <v>5776</v>
      </c>
      <c r="B98" s="276" t="s">
        <v>4119</v>
      </c>
      <c r="C98" s="278" t="str">
        <f t="shared" si="0"/>
        <v>https://pubmed.ncbi.nlm.nih.gov/?term=PMC6434318</v>
      </c>
      <c r="D98" s="351">
        <v>43525</v>
      </c>
      <c r="G98" s="28" t="s">
        <v>511</v>
      </c>
    </row>
    <row r="99" spans="1:7" ht="12.75">
      <c r="A99" s="276" t="s">
        <v>5777</v>
      </c>
      <c r="B99" s="276" t="s">
        <v>5778</v>
      </c>
      <c r="C99" s="278" t="str">
        <f t="shared" si="0"/>
        <v>https://pubmed.ncbi.nlm.nih.gov/?term=PMC6405268</v>
      </c>
      <c r="D99" s="351">
        <v>43525</v>
      </c>
      <c r="E99" s="28" t="s">
        <v>511</v>
      </c>
      <c r="F99" s="28" t="s">
        <v>4867</v>
      </c>
    </row>
    <row r="100" spans="1:7" ht="12.75">
      <c r="A100" s="276" t="s">
        <v>5779</v>
      </c>
      <c r="B100" s="276" t="s">
        <v>5780</v>
      </c>
      <c r="C100" s="278" t="str">
        <f t="shared" si="0"/>
        <v>https://pubmed.ncbi.nlm.nih.gov/?term=PMC7383945</v>
      </c>
      <c r="D100" s="351">
        <v>44013</v>
      </c>
      <c r="E100" s="28" t="s">
        <v>511</v>
      </c>
      <c r="F100" s="28" t="s">
        <v>5781</v>
      </c>
    </row>
    <row r="101" spans="1:7" ht="12.75">
      <c r="A101" s="276" t="s">
        <v>5782</v>
      </c>
      <c r="B101" s="276" t="s">
        <v>5783</v>
      </c>
      <c r="C101" s="278" t="str">
        <f t="shared" si="0"/>
        <v>https://pubmed.ncbi.nlm.nih.gov/?term=PMC7385234</v>
      </c>
      <c r="D101" s="351">
        <v>44013</v>
      </c>
      <c r="E101" s="28" t="s">
        <v>511</v>
      </c>
      <c r="F101" s="28" t="s">
        <v>4592</v>
      </c>
    </row>
    <row r="102" spans="1:7" ht="12.75">
      <c r="A102" s="276" t="s">
        <v>5784</v>
      </c>
      <c r="B102" s="276" t="s">
        <v>5785</v>
      </c>
      <c r="C102" s="278" t="str">
        <f t="shared" si="0"/>
        <v>https://pubmed.ncbi.nlm.nih.gov/?term=PMC6921433</v>
      </c>
      <c r="D102" s="351">
        <v>43800</v>
      </c>
      <c r="E102" s="28" t="s">
        <v>511</v>
      </c>
      <c r="F102" s="28" t="s">
        <v>4592</v>
      </c>
    </row>
    <row r="103" spans="1:7" ht="12.75">
      <c r="A103" s="276" t="s">
        <v>5786</v>
      </c>
      <c r="B103" s="276" t="s">
        <v>5787</v>
      </c>
      <c r="C103" s="278" t="str">
        <f t="shared" si="0"/>
        <v>https://pubmed.ncbi.nlm.nih.gov/?term=PMC7578316</v>
      </c>
      <c r="D103" s="351">
        <v>44136</v>
      </c>
      <c r="E103" s="28" t="s">
        <v>511</v>
      </c>
      <c r="F103" s="28" t="s">
        <v>4592</v>
      </c>
    </row>
    <row r="104" spans="1:7" ht="12.75">
      <c r="A104" s="276" t="s">
        <v>5788</v>
      </c>
      <c r="B104" s="276" t="s">
        <v>5789</v>
      </c>
      <c r="C104" s="278" t="str">
        <f t="shared" si="0"/>
        <v>https://pubmed.ncbi.nlm.nih.gov/?term=PMC4162066</v>
      </c>
      <c r="D104" s="351">
        <v>41609</v>
      </c>
      <c r="E104" s="28" t="s">
        <v>511</v>
      </c>
      <c r="F104" s="28" t="s">
        <v>4867</v>
      </c>
    </row>
    <row r="105" spans="1:7" ht="12.75">
      <c r="A105" s="276" t="s">
        <v>5790</v>
      </c>
      <c r="B105" s="276" t="s">
        <v>5791</v>
      </c>
      <c r="C105" s="278" t="str">
        <f t="shared" si="0"/>
        <v>https://pubmed.ncbi.nlm.nih.gov/?term=PMC5287309</v>
      </c>
      <c r="D105" s="351">
        <v>42736</v>
      </c>
      <c r="E105" s="28" t="s">
        <v>511</v>
      </c>
      <c r="F105" s="28" t="s">
        <v>4592</v>
      </c>
    </row>
    <row r="106" spans="1:7" ht="12.75">
      <c r="A106" s="276" t="s">
        <v>5792</v>
      </c>
      <c r="B106" s="276" t="s">
        <v>5793</v>
      </c>
      <c r="C106" s="278" t="str">
        <f t="shared" si="0"/>
        <v>https://pubmed.ncbi.nlm.nih.gov/?term=PMC5137239</v>
      </c>
      <c r="D106" s="351">
        <v>42705</v>
      </c>
      <c r="E106" s="28" t="s">
        <v>511</v>
      </c>
      <c r="F106" s="28" t="s">
        <v>4592</v>
      </c>
    </row>
    <row r="107" spans="1:7" ht="12.75">
      <c r="A107" s="276" t="s">
        <v>5794</v>
      </c>
      <c r="B107" s="276" t="s">
        <v>5795</v>
      </c>
      <c r="C107" s="278" t="str">
        <f t="shared" si="0"/>
        <v>https://pubmed.ncbi.nlm.nih.gov/?term=PMC7325986</v>
      </c>
      <c r="D107" s="351">
        <v>43983</v>
      </c>
      <c r="E107" s="28" t="s">
        <v>511</v>
      </c>
      <c r="F107" s="28" t="s">
        <v>4592</v>
      </c>
    </row>
    <row r="108" spans="1:7" ht="12.75">
      <c r="A108" s="276" t="s">
        <v>5796</v>
      </c>
      <c r="B108" s="276" t="s">
        <v>5797</v>
      </c>
      <c r="C108" s="278" t="str">
        <f t="shared" si="0"/>
        <v>https://pubmed.ncbi.nlm.nih.gov/?term=PMC7529958</v>
      </c>
      <c r="D108" s="351">
        <v>44075</v>
      </c>
      <c r="E108" s="28" t="s">
        <v>511</v>
      </c>
      <c r="F108" s="28" t="s">
        <v>4592</v>
      </c>
    </row>
    <row r="109" spans="1:7" ht="12.75">
      <c r="A109" s="276" t="s">
        <v>5798</v>
      </c>
      <c r="B109" s="276" t="s">
        <v>5799</v>
      </c>
      <c r="C109" s="278" t="str">
        <f t="shared" si="0"/>
        <v>https://pubmed.ncbi.nlm.nih.gov/?term=PMC5853280</v>
      </c>
      <c r="D109" s="351">
        <v>43070</v>
      </c>
      <c r="E109" s="28" t="s">
        <v>511</v>
      </c>
      <c r="F109" s="28" t="s">
        <v>4592</v>
      </c>
    </row>
    <row r="110" spans="1:7" ht="12.75">
      <c r="A110" s="276" t="s">
        <v>5800</v>
      </c>
      <c r="B110" s="276" t="s">
        <v>5801</v>
      </c>
      <c r="C110" s="278" t="str">
        <f t="shared" si="0"/>
        <v>https://pubmed.ncbi.nlm.nih.gov/?term=PMC6160957</v>
      </c>
      <c r="D110" s="351">
        <v>43282</v>
      </c>
      <c r="E110" s="28" t="s">
        <v>511</v>
      </c>
      <c r="F110" s="28" t="s">
        <v>4592</v>
      </c>
    </row>
    <row r="111" spans="1:7" ht="12.75">
      <c r="A111" s="276" t="s">
        <v>5669</v>
      </c>
      <c r="B111" s="276" t="s">
        <v>5802</v>
      </c>
      <c r="C111" s="278" t="str">
        <f t="shared" si="0"/>
        <v>https://pubmed.ncbi.nlm.nih.gov/?term=PMC7309765</v>
      </c>
      <c r="D111" s="351">
        <v>44013</v>
      </c>
      <c r="E111" s="28" t="s">
        <v>511</v>
      </c>
      <c r="F111" s="28" t="s">
        <v>8387</v>
      </c>
    </row>
    <row r="112" spans="1:7" ht="12.75">
      <c r="A112" s="276" t="s">
        <v>5803</v>
      </c>
      <c r="B112" s="276" t="s">
        <v>5804</v>
      </c>
      <c r="C112" s="278" t="str">
        <f t="shared" si="0"/>
        <v>https://pubmed.ncbi.nlm.nih.gov/?term=PMC6013893</v>
      </c>
      <c r="D112" s="351">
        <v>43252</v>
      </c>
      <c r="E112" s="28" t="s">
        <v>511</v>
      </c>
      <c r="F112" s="28" t="s">
        <v>4592</v>
      </c>
    </row>
    <row r="113" spans="1:7" ht="12.75">
      <c r="A113" s="276" t="s">
        <v>5805</v>
      </c>
      <c r="B113" s="276" t="s">
        <v>5806</v>
      </c>
      <c r="C113" s="278" t="str">
        <f t="shared" si="0"/>
        <v>https://pubmed.ncbi.nlm.nih.gov/?term=PMC6112613</v>
      </c>
      <c r="D113" s="351">
        <v>43282</v>
      </c>
      <c r="E113" s="28" t="s">
        <v>511</v>
      </c>
      <c r="F113" s="28" t="s">
        <v>4592</v>
      </c>
    </row>
    <row r="114" spans="1:7" ht="12.75">
      <c r="A114" s="276" t="s">
        <v>5623</v>
      </c>
      <c r="B114" s="276" t="s">
        <v>5807</v>
      </c>
      <c r="C114" s="278" t="str">
        <f t="shared" si="0"/>
        <v>https://pubmed.ncbi.nlm.nih.gov/?term=PMC7055164</v>
      </c>
      <c r="D114" s="351">
        <v>43831</v>
      </c>
      <c r="E114" s="28" t="s">
        <v>511</v>
      </c>
      <c r="F114" s="28" t="s">
        <v>4592</v>
      </c>
    </row>
    <row r="115" spans="1:7" ht="12.75">
      <c r="A115" s="276" t="s">
        <v>5808</v>
      </c>
      <c r="B115" s="276" t="s">
        <v>5809</v>
      </c>
      <c r="C115" s="278" t="str">
        <f t="shared" si="0"/>
        <v>https://pubmed.ncbi.nlm.nih.gov/?term=PMC7607543</v>
      </c>
      <c r="D115" s="351">
        <v>40969</v>
      </c>
      <c r="E115" s="28" t="s">
        <v>511</v>
      </c>
      <c r="F115" s="28" t="s">
        <v>8390</v>
      </c>
    </row>
    <row r="116" spans="1:7" ht="12.75">
      <c r="A116" s="276" t="s">
        <v>5810</v>
      </c>
      <c r="B116" s="276" t="s">
        <v>5811</v>
      </c>
      <c r="C116" s="278" t="str">
        <f t="shared" si="0"/>
        <v>https://pubmed.ncbi.nlm.nih.gov/?term=PMC5863092</v>
      </c>
      <c r="D116" s="351">
        <v>43160</v>
      </c>
      <c r="E116" s="28" t="s">
        <v>511</v>
      </c>
      <c r="F116" s="28" t="s">
        <v>4592</v>
      </c>
    </row>
    <row r="117" spans="1:7" ht="12.75">
      <c r="A117" s="276" t="s">
        <v>5812</v>
      </c>
      <c r="B117" s="276" t="s">
        <v>4109</v>
      </c>
      <c r="C117" s="278" t="str">
        <f t="shared" si="0"/>
        <v>https://pubmed.ncbi.nlm.nih.gov/?term=PMC4711822</v>
      </c>
      <c r="D117" s="351">
        <v>42370</v>
      </c>
      <c r="G117" s="28" t="s">
        <v>511</v>
      </c>
    </row>
    <row r="118" spans="1:7" ht="12.75">
      <c r="A118" s="276" t="s">
        <v>5813</v>
      </c>
      <c r="B118" s="276" t="s">
        <v>5814</v>
      </c>
      <c r="C118" s="278" t="str">
        <f t="shared" si="0"/>
        <v>https://pubmed.ncbi.nlm.nih.gov/?term=PMC7881292</v>
      </c>
      <c r="D118" s="351">
        <v>44228</v>
      </c>
      <c r="E118" s="28" t="s">
        <v>511</v>
      </c>
      <c r="F118" s="28" t="s">
        <v>8390</v>
      </c>
    </row>
    <row r="119" spans="1:7" ht="12.75">
      <c r="A119" s="276" t="s">
        <v>4248</v>
      </c>
      <c r="B119" s="276" t="s">
        <v>4216</v>
      </c>
      <c r="C119" s="278" t="str">
        <f t="shared" si="0"/>
        <v>https://pubmed.ncbi.nlm.nih.gov/?term=PMC3372522</v>
      </c>
      <c r="D119" s="28">
        <v>2012</v>
      </c>
      <c r="G119" s="28" t="s">
        <v>511</v>
      </c>
    </row>
    <row r="120" spans="1:7" ht="12.75">
      <c r="A120" s="276" t="s">
        <v>5815</v>
      </c>
      <c r="B120" s="276" t="s">
        <v>5816</v>
      </c>
      <c r="C120" s="278" t="str">
        <f t="shared" si="0"/>
        <v>https://pubmed.ncbi.nlm.nih.gov/?term=PMC6281356</v>
      </c>
      <c r="D120" s="351">
        <v>42614</v>
      </c>
      <c r="E120" s="28" t="s">
        <v>511</v>
      </c>
      <c r="F120" s="28" t="s">
        <v>4867</v>
      </c>
    </row>
    <row r="121" spans="1:7" ht="12.75">
      <c r="A121" s="276" t="s">
        <v>5817</v>
      </c>
      <c r="B121" s="276" t="s">
        <v>4231</v>
      </c>
      <c r="C121" s="278" t="str">
        <f t="shared" si="0"/>
        <v>https://pubmed.ncbi.nlm.nih.gov/?term=PMC7710093</v>
      </c>
      <c r="D121" s="351">
        <v>44166</v>
      </c>
      <c r="G121" s="28" t="s">
        <v>511</v>
      </c>
    </row>
    <row r="122" spans="1:7" ht="12.75">
      <c r="A122" s="276" t="s">
        <v>5818</v>
      </c>
      <c r="B122" s="276" t="s">
        <v>5819</v>
      </c>
      <c r="C122" s="278" t="str">
        <f t="shared" si="0"/>
        <v>https://pubmed.ncbi.nlm.nih.gov/?term=PMC6901351</v>
      </c>
      <c r="D122" s="351">
        <v>43678</v>
      </c>
      <c r="E122" s="28" t="s">
        <v>511</v>
      </c>
      <c r="F122" s="28" t="s">
        <v>5820</v>
      </c>
    </row>
    <row r="123" spans="1:7" ht="12.75">
      <c r="A123" s="276" t="s">
        <v>5821</v>
      </c>
      <c r="B123" s="276" t="s">
        <v>5822</v>
      </c>
      <c r="C123" s="278" t="str">
        <f t="shared" si="0"/>
        <v>https://pubmed.ncbi.nlm.nih.gov/?term=PMC7290594</v>
      </c>
      <c r="D123" s="352">
        <v>43952</v>
      </c>
      <c r="E123" s="28" t="s">
        <v>511</v>
      </c>
      <c r="F123" s="28" t="s">
        <v>4592</v>
      </c>
    </row>
    <row r="124" spans="1:7" ht="12.75">
      <c r="A124" s="276" t="s">
        <v>5823</v>
      </c>
      <c r="B124" s="276" t="s">
        <v>5824</v>
      </c>
      <c r="C124" s="278" t="str">
        <f t="shared" si="0"/>
        <v>https://pubmed.ncbi.nlm.nih.gov/?term=PMC3910924</v>
      </c>
      <c r="D124" s="351">
        <v>41640</v>
      </c>
      <c r="E124" s="28" t="s">
        <v>511</v>
      </c>
      <c r="F124" s="28" t="s">
        <v>4867</v>
      </c>
    </row>
    <row r="125" spans="1:7" ht="12.75">
      <c r="A125" s="276" t="s">
        <v>5825</v>
      </c>
      <c r="B125" s="276" t="s">
        <v>5826</v>
      </c>
      <c r="C125" s="278" t="str">
        <f t="shared" si="0"/>
        <v>https://pubmed.ncbi.nlm.nih.gov/?term=PMC6405280</v>
      </c>
      <c r="D125" s="351">
        <v>43525</v>
      </c>
      <c r="E125" s="28" t="s">
        <v>511</v>
      </c>
      <c r="F125" s="28" t="s">
        <v>5827</v>
      </c>
    </row>
    <row r="126" spans="1:7" ht="12.75">
      <c r="A126" s="276" t="s">
        <v>5828</v>
      </c>
      <c r="B126" s="276" t="s">
        <v>4211</v>
      </c>
      <c r="C126" s="278" t="str">
        <f t="shared" si="0"/>
        <v>https://pubmed.ncbi.nlm.nih.gov/?term=PMC4857475</v>
      </c>
      <c r="D126" s="351">
        <v>43617</v>
      </c>
      <c r="G126" s="28" t="s">
        <v>511</v>
      </c>
    </row>
    <row r="127" spans="1:7" ht="12.75">
      <c r="A127" s="276" t="s">
        <v>5829</v>
      </c>
      <c r="B127" s="276" t="s">
        <v>5830</v>
      </c>
      <c r="C127" s="278" t="str">
        <f t="shared" si="0"/>
        <v>https://pubmed.ncbi.nlm.nih.gov/?term=PMC5954342</v>
      </c>
      <c r="D127" s="351">
        <v>43374</v>
      </c>
      <c r="E127" s="28" t="s">
        <v>511</v>
      </c>
      <c r="F127" s="28" t="s">
        <v>5831</v>
      </c>
    </row>
    <row r="128" spans="1:7" ht="12.75">
      <c r="A128" s="276" t="s">
        <v>5832</v>
      </c>
      <c r="B128" s="276" t="s">
        <v>5833</v>
      </c>
      <c r="C128" s="278" t="str">
        <f t="shared" si="0"/>
        <v>https://pubmed.ncbi.nlm.nih.gov/?term=PMC7997052</v>
      </c>
      <c r="D128" s="351">
        <v>44256</v>
      </c>
      <c r="E128" s="28" t="s">
        <v>511</v>
      </c>
      <c r="F128" s="28" t="s">
        <v>4592</v>
      </c>
    </row>
    <row r="129" spans="1:7" ht="12.75">
      <c r="A129" s="276" t="s">
        <v>5834</v>
      </c>
      <c r="B129" s="276" t="s">
        <v>5835</v>
      </c>
      <c r="C129" s="278" t="str">
        <f t="shared" si="0"/>
        <v>https://pubmed.ncbi.nlm.nih.gov/?term=PMC4648374</v>
      </c>
      <c r="D129" s="28">
        <v>2015</v>
      </c>
      <c r="E129" s="28" t="s">
        <v>511</v>
      </c>
      <c r="F129" s="28" t="s">
        <v>4592</v>
      </c>
    </row>
    <row r="130" spans="1:7" ht="12.75">
      <c r="A130" s="276" t="s">
        <v>5836</v>
      </c>
      <c r="B130" s="276" t="s">
        <v>5837</v>
      </c>
      <c r="C130" s="278" t="str">
        <f t="shared" si="0"/>
        <v>https://pubmed.ncbi.nlm.nih.gov/?term=PMC5576498</v>
      </c>
      <c r="D130" s="351">
        <v>42826</v>
      </c>
      <c r="E130" s="28" t="s">
        <v>511</v>
      </c>
      <c r="F130" s="28" t="s">
        <v>4592</v>
      </c>
    </row>
    <row r="131" spans="1:7" ht="12.75">
      <c r="A131" s="276" t="s">
        <v>5838</v>
      </c>
      <c r="B131" s="276" t="s">
        <v>5839</v>
      </c>
      <c r="C131" s="278" t="str">
        <f t="shared" si="0"/>
        <v>https://pubmed.ncbi.nlm.nih.gov/?term=PMC4912855</v>
      </c>
      <c r="D131" s="351">
        <v>42522</v>
      </c>
      <c r="E131" s="28" t="s">
        <v>511</v>
      </c>
      <c r="F131" s="28" t="s">
        <v>4592</v>
      </c>
    </row>
    <row r="132" spans="1:7" ht="12.75">
      <c r="A132" s="276" t="s">
        <v>5840</v>
      </c>
      <c r="B132" s="276" t="s">
        <v>5841</v>
      </c>
      <c r="C132" s="278" t="str">
        <f t="shared" si="0"/>
        <v>https://pubmed.ncbi.nlm.nih.gov/?term=PMC3719499</v>
      </c>
      <c r="D132" s="351">
        <v>41456</v>
      </c>
      <c r="E132" s="28" t="s">
        <v>511</v>
      </c>
      <c r="F132" s="28" t="s">
        <v>4592</v>
      </c>
    </row>
    <row r="133" spans="1:7" ht="12.75">
      <c r="A133" s="276" t="s">
        <v>5842</v>
      </c>
      <c r="B133" s="276" t="s">
        <v>5843</v>
      </c>
      <c r="C133" s="278" t="str">
        <f t="shared" si="0"/>
        <v>https://pubmed.ncbi.nlm.nih.gov/?term=PMC6789600</v>
      </c>
      <c r="D133" s="351">
        <v>43647</v>
      </c>
      <c r="E133" s="28" t="s">
        <v>511</v>
      </c>
      <c r="F133" s="28" t="s">
        <v>4592</v>
      </c>
    </row>
    <row r="134" spans="1:7" ht="12.75">
      <c r="A134" s="276" t="s">
        <v>5844</v>
      </c>
      <c r="B134" s="276" t="s">
        <v>5845</v>
      </c>
      <c r="C134" s="278" t="str">
        <f t="shared" si="0"/>
        <v>https://pubmed.ncbi.nlm.nih.gov/?term=PMC5853300</v>
      </c>
      <c r="D134" s="351">
        <v>43101</v>
      </c>
      <c r="E134" s="28" t="s">
        <v>511</v>
      </c>
      <c r="F134" s="28" t="s">
        <v>4867</v>
      </c>
    </row>
    <row r="135" spans="1:7" ht="12.75">
      <c r="A135" s="276" t="s">
        <v>5846</v>
      </c>
      <c r="B135" s="276" t="s">
        <v>5847</v>
      </c>
      <c r="C135" s="278" t="str">
        <f t="shared" si="0"/>
        <v>https://pubmed.ncbi.nlm.nih.gov/?term=PMC7768410</v>
      </c>
      <c r="D135" s="351">
        <v>44166</v>
      </c>
      <c r="E135" s="28" t="s">
        <v>511</v>
      </c>
      <c r="F135" s="28" t="s">
        <v>4592</v>
      </c>
    </row>
    <row r="136" spans="1:7" ht="12.75">
      <c r="A136" s="276" t="s">
        <v>5848</v>
      </c>
      <c r="B136" s="276" t="s">
        <v>5849</v>
      </c>
      <c r="C136" s="278" t="str">
        <f t="shared" si="0"/>
        <v>https://pubmed.ncbi.nlm.nih.gov/?term=PMC5885027</v>
      </c>
      <c r="D136" s="351">
        <v>43191</v>
      </c>
      <c r="E136" s="28" t="s">
        <v>511</v>
      </c>
      <c r="F136" s="28" t="s">
        <v>4592</v>
      </c>
    </row>
    <row r="137" spans="1:7" ht="12.75">
      <c r="A137" s="276" t="s">
        <v>5850</v>
      </c>
      <c r="B137" s="276" t="s">
        <v>5851</v>
      </c>
      <c r="C137" s="278" t="str">
        <f t="shared" si="0"/>
        <v>https://pubmed.ncbi.nlm.nih.gov/?term=PMC7581376</v>
      </c>
      <c r="D137" s="28">
        <v>2020</v>
      </c>
      <c r="E137" s="28" t="s">
        <v>511</v>
      </c>
      <c r="F137" s="28" t="s">
        <v>4592</v>
      </c>
    </row>
    <row r="138" spans="1:7" ht="12.75">
      <c r="A138" s="276" t="s">
        <v>5852</v>
      </c>
      <c r="B138" s="276" t="s">
        <v>5853</v>
      </c>
      <c r="C138" s="278" t="str">
        <f t="shared" si="0"/>
        <v>https://pubmed.ncbi.nlm.nih.gov/?term=PMC7762715</v>
      </c>
      <c r="D138" s="351">
        <v>44197</v>
      </c>
      <c r="E138" s="28" t="s">
        <v>511</v>
      </c>
      <c r="F138" s="28" t="s">
        <v>4867</v>
      </c>
    </row>
    <row r="139" spans="1:7" ht="12.75">
      <c r="A139" s="276" t="s">
        <v>5854</v>
      </c>
      <c r="B139" s="276" t="s">
        <v>5855</v>
      </c>
      <c r="C139" s="278" t="str">
        <f t="shared" si="0"/>
        <v>https://pubmed.ncbi.nlm.nih.gov/?term=PMC5357134</v>
      </c>
      <c r="D139" s="351">
        <v>42767</v>
      </c>
      <c r="E139" s="28" t="s">
        <v>511</v>
      </c>
      <c r="F139" s="28" t="s">
        <v>4592</v>
      </c>
    </row>
    <row r="140" spans="1:7" ht="12.75">
      <c r="A140" s="276" t="s">
        <v>5856</v>
      </c>
      <c r="B140" s="276" t="s">
        <v>5857</v>
      </c>
      <c r="C140" s="278" t="str">
        <f t="shared" si="0"/>
        <v>https://pubmed.ncbi.nlm.nih.gov/?term=PMC7131820</v>
      </c>
      <c r="D140" s="351">
        <v>43739</v>
      </c>
      <c r="E140" s="28" t="s">
        <v>511</v>
      </c>
      <c r="F140" s="28" t="s">
        <v>8406</v>
      </c>
    </row>
    <row r="141" spans="1:7" ht="12.75">
      <c r="A141" s="276" t="s">
        <v>5825</v>
      </c>
      <c r="B141" s="276" t="s">
        <v>5858</v>
      </c>
      <c r="C141" s="278" t="str">
        <f t="shared" si="0"/>
        <v>https://pubmed.ncbi.nlm.nih.gov/?term=PMC6405281</v>
      </c>
      <c r="D141" s="351">
        <v>43525</v>
      </c>
      <c r="E141" s="28" t="s">
        <v>511</v>
      </c>
      <c r="F141" s="28" t="s">
        <v>5827</v>
      </c>
    </row>
    <row r="142" spans="1:7" ht="12.75">
      <c r="A142" s="276" t="s">
        <v>5859</v>
      </c>
      <c r="B142" s="276" t="s">
        <v>4101</v>
      </c>
      <c r="C142" s="278" t="str">
        <f t="shared" si="0"/>
        <v>https://pubmed.ncbi.nlm.nih.gov/?term=PMC3535858</v>
      </c>
      <c r="D142" s="351">
        <v>41244</v>
      </c>
      <c r="G142" s="28" t="s">
        <v>511</v>
      </c>
    </row>
    <row r="143" spans="1:7" ht="12.75">
      <c r="A143" s="276" t="s">
        <v>5776</v>
      </c>
      <c r="B143" s="276" t="s">
        <v>4120</v>
      </c>
      <c r="C143" s="278" t="str">
        <f t="shared" si="0"/>
        <v>https://pubmed.ncbi.nlm.nih.gov/?term=PMC3232709</v>
      </c>
      <c r="D143" s="351">
        <v>40878</v>
      </c>
      <c r="G143" s="28" t="s">
        <v>511</v>
      </c>
    </row>
    <row r="144" spans="1:7" ht="12.75">
      <c r="A144" s="276" t="s">
        <v>5860</v>
      </c>
      <c r="B144" s="276" t="s">
        <v>5861</v>
      </c>
      <c r="C144" s="278" t="str">
        <f t="shared" si="0"/>
        <v>https://pubmed.ncbi.nlm.nih.gov/?term=PMC7371490</v>
      </c>
      <c r="D144" s="351">
        <v>44166</v>
      </c>
      <c r="E144" s="28" t="s">
        <v>511</v>
      </c>
      <c r="F144" s="28" t="s">
        <v>8390</v>
      </c>
    </row>
    <row r="145" spans="1:7" ht="12.75">
      <c r="A145" s="276" t="s">
        <v>5862</v>
      </c>
      <c r="B145" s="276" t="s">
        <v>5863</v>
      </c>
      <c r="C145" s="278" t="str">
        <f t="shared" si="0"/>
        <v>https://pubmed.ncbi.nlm.nih.gov/?term=PMC5971199</v>
      </c>
      <c r="D145" s="28">
        <v>2018</v>
      </c>
      <c r="E145" s="28" t="s">
        <v>511</v>
      </c>
      <c r="F145" s="28" t="s">
        <v>5273</v>
      </c>
    </row>
    <row r="146" spans="1:7" ht="12.75">
      <c r="A146" s="276" t="s">
        <v>5864</v>
      </c>
      <c r="B146" s="276" t="s">
        <v>5865</v>
      </c>
      <c r="C146" s="281" t="s">
        <v>5866</v>
      </c>
      <c r="D146" s="28">
        <v>2015</v>
      </c>
      <c r="E146" s="28" t="s">
        <v>511</v>
      </c>
      <c r="F146" s="28" t="s">
        <v>4592</v>
      </c>
    </row>
    <row r="147" spans="1:7" ht="12.75">
      <c r="A147" s="276" t="s">
        <v>5867</v>
      </c>
      <c r="B147" s="276" t="s">
        <v>5868</v>
      </c>
      <c r="C147" s="278" t="str">
        <f t="shared" ref="C147:C175" si="1">"https://pubmed.ncbi.nlm.nih.gov/?term="&amp;B147</f>
        <v>https://pubmed.ncbi.nlm.nih.gov/?term=PMC7563509</v>
      </c>
      <c r="D147" s="351">
        <v>44013</v>
      </c>
      <c r="E147" s="28" t="s">
        <v>511</v>
      </c>
      <c r="F147" s="28" t="s">
        <v>4592</v>
      </c>
    </row>
    <row r="148" spans="1:7" ht="12.75">
      <c r="A148" s="276" t="s">
        <v>5869</v>
      </c>
      <c r="B148" s="276" t="s">
        <v>5870</v>
      </c>
      <c r="C148" s="278" t="str">
        <f t="shared" si="1"/>
        <v>https://pubmed.ncbi.nlm.nih.gov/?term=PMC4583570</v>
      </c>
      <c r="D148" s="351">
        <v>42278</v>
      </c>
      <c r="E148" s="28" t="s">
        <v>511</v>
      </c>
      <c r="F148" s="28" t="s">
        <v>4592</v>
      </c>
    </row>
    <row r="149" spans="1:7" ht="12.75">
      <c r="A149" s="276" t="s">
        <v>5871</v>
      </c>
      <c r="B149" s="276" t="s">
        <v>4215</v>
      </c>
      <c r="C149" s="278" t="str">
        <f t="shared" si="1"/>
        <v>https://pubmed.ncbi.nlm.nih.gov/?term=PMC5828662</v>
      </c>
      <c r="D149" s="351">
        <v>43132</v>
      </c>
      <c r="G149" s="28" t="s">
        <v>511</v>
      </c>
    </row>
    <row r="150" spans="1:7" ht="12.75">
      <c r="A150" s="276" t="s">
        <v>5776</v>
      </c>
      <c r="B150" s="276" t="s">
        <v>4123</v>
      </c>
      <c r="C150" s="278" t="str">
        <f t="shared" si="1"/>
        <v>https://pubmed.ncbi.nlm.nih.gov/?term=PMC3187035</v>
      </c>
      <c r="D150" s="351">
        <v>40817</v>
      </c>
      <c r="G150" s="28" t="s">
        <v>511</v>
      </c>
    </row>
    <row r="151" spans="1:7" ht="12.75">
      <c r="A151" s="276" t="s">
        <v>5872</v>
      </c>
      <c r="B151" s="276" t="s">
        <v>5873</v>
      </c>
      <c r="C151" s="278" t="str">
        <f t="shared" si="1"/>
        <v>https://pubmed.ncbi.nlm.nih.gov/?term=PMC7012186</v>
      </c>
      <c r="D151" s="28">
        <v>2020</v>
      </c>
      <c r="E151" s="28" t="s">
        <v>511</v>
      </c>
      <c r="F151" s="28" t="s">
        <v>4592</v>
      </c>
    </row>
    <row r="152" spans="1:7" ht="12.75">
      <c r="A152" s="276" t="s">
        <v>5874</v>
      </c>
      <c r="B152" s="276" t="s">
        <v>5875</v>
      </c>
      <c r="C152" s="278" t="str">
        <f t="shared" si="1"/>
        <v>https://pubmed.ncbi.nlm.nih.gov/?term=PMC4687503</v>
      </c>
      <c r="D152" s="351">
        <v>42370</v>
      </c>
      <c r="E152" s="28" t="s">
        <v>511</v>
      </c>
      <c r="F152" s="28" t="s">
        <v>4592</v>
      </c>
    </row>
    <row r="153" spans="1:7" ht="12.75">
      <c r="A153" s="276" t="s">
        <v>5876</v>
      </c>
      <c r="B153" s="276" t="s">
        <v>5877</v>
      </c>
      <c r="C153" s="278" t="str">
        <f t="shared" si="1"/>
        <v>https://pubmed.ncbi.nlm.nih.gov/?term=PMC7445324</v>
      </c>
      <c r="D153" s="351">
        <v>44013</v>
      </c>
      <c r="E153" s="28" t="s">
        <v>511</v>
      </c>
      <c r="F153" s="28" t="s">
        <v>4592</v>
      </c>
    </row>
    <row r="154" spans="1:7" ht="12.75">
      <c r="A154" s="276" t="s">
        <v>5878</v>
      </c>
      <c r="B154" s="276" t="s">
        <v>4182</v>
      </c>
      <c r="C154" s="278" t="str">
        <f t="shared" si="1"/>
        <v>https://pubmed.ncbi.nlm.nih.gov/?term=PMC7050988</v>
      </c>
      <c r="D154" s="351">
        <v>43891</v>
      </c>
      <c r="G154" s="28" t="s">
        <v>511</v>
      </c>
    </row>
    <row r="155" spans="1:7" ht="12.75">
      <c r="A155" s="276" t="s">
        <v>5879</v>
      </c>
      <c r="B155" s="276" t="s">
        <v>5880</v>
      </c>
      <c r="C155" s="278" t="str">
        <f t="shared" si="1"/>
        <v>https://pubmed.ncbi.nlm.nih.gov/?term=PMC3823848</v>
      </c>
      <c r="D155" s="351">
        <v>41579</v>
      </c>
      <c r="E155" s="28" t="s">
        <v>511</v>
      </c>
      <c r="F155" s="28" t="s">
        <v>4867</v>
      </c>
    </row>
    <row r="156" spans="1:7" ht="12.75">
      <c r="A156" s="276" t="s">
        <v>5881</v>
      </c>
      <c r="B156" s="276" t="s">
        <v>5882</v>
      </c>
      <c r="C156" s="278" t="str">
        <f t="shared" si="1"/>
        <v>https://pubmed.ncbi.nlm.nih.gov/?term=PMC5805912</v>
      </c>
      <c r="D156" s="351">
        <v>43132</v>
      </c>
      <c r="E156" s="28" t="s">
        <v>511</v>
      </c>
      <c r="F156" s="28" t="s">
        <v>4867</v>
      </c>
    </row>
    <row r="157" spans="1:7" ht="12.75">
      <c r="A157" s="276" t="s">
        <v>5883</v>
      </c>
      <c r="B157" s="276" t="s">
        <v>5884</v>
      </c>
      <c r="C157" s="278" t="str">
        <f t="shared" si="1"/>
        <v>https://pubmed.ncbi.nlm.nih.gov/?term=PMC6964911</v>
      </c>
      <c r="D157" s="351">
        <v>43831</v>
      </c>
      <c r="E157" s="28" t="s">
        <v>511</v>
      </c>
      <c r="F157" s="28" t="s">
        <v>4867</v>
      </c>
    </row>
    <row r="158" spans="1:7" ht="12.75">
      <c r="A158" s="276" t="s">
        <v>5885</v>
      </c>
      <c r="B158" s="276" t="s">
        <v>5886</v>
      </c>
      <c r="C158" s="278" t="str">
        <f t="shared" si="1"/>
        <v>https://pubmed.ncbi.nlm.nih.gov/?term=PMC4820506</v>
      </c>
      <c r="D158" s="351">
        <v>42461</v>
      </c>
      <c r="E158" s="28" t="s">
        <v>511</v>
      </c>
      <c r="F158" s="28" t="s">
        <v>4867</v>
      </c>
    </row>
    <row r="159" spans="1:7" ht="12.75">
      <c r="A159" s="276" t="s">
        <v>5887</v>
      </c>
      <c r="B159" s="276" t="s">
        <v>5888</v>
      </c>
      <c r="C159" s="278" t="str">
        <f t="shared" si="1"/>
        <v>https://pubmed.ncbi.nlm.nih.gov/?term=PMC7646453</v>
      </c>
      <c r="D159" s="351">
        <v>44136</v>
      </c>
      <c r="E159" s="28" t="s">
        <v>511</v>
      </c>
      <c r="F159" s="28" t="s">
        <v>4592</v>
      </c>
    </row>
    <row r="160" spans="1:7" ht="12.75">
      <c r="A160" s="276" t="s">
        <v>5889</v>
      </c>
      <c r="B160" s="276" t="s">
        <v>5890</v>
      </c>
      <c r="C160" s="278" t="str">
        <f t="shared" si="1"/>
        <v>https://pubmed.ncbi.nlm.nih.gov/?term=PMC6040172</v>
      </c>
      <c r="D160" s="28">
        <v>2018</v>
      </c>
      <c r="E160" s="28" t="s">
        <v>511</v>
      </c>
      <c r="F160" s="28" t="s">
        <v>4592</v>
      </c>
    </row>
    <row r="161" spans="1:7" ht="12.75">
      <c r="A161" s="276" t="s">
        <v>5891</v>
      </c>
      <c r="B161" s="276" t="s">
        <v>5892</v>
      </c>
      <c r="C161" s="278" t="str">
        <f t="shared" si="1"/>
        <v>https://pubmed.ncbi.nlm.nih.gov/?term=PMC7550607</v>
      </c>
      <c r="D161" s="351">
        <v>44105</v>
      </c>
      <c r="E161" s="28" t="s">
        <v>511</v>
      </c>
      <c r="F161" s="28" t="s">
        <v>5893</v>
      </c>
    </row>
    <row r="162" spans="1:7" ht="12.75">
      <c r="A162" s="276" t="s">
        <v>5894</v>
      </c>
      <c r="B162" s="276" t="s">
        <v>5895</v>
      </c>
      <c r="C162" s="278" t="str">
        <f t="shared" si="1"/>
        <v>https://pubmed.ncbi.nlm.nih.gov/?term=PMC7003337</v>
      </c>
      <c r="D162" s="351">
        <v>43862</v>
      </c>
      <c r="E162" s="28" t="s">
        <v>511</v>
      </c>
      <c r="F162" s="28" t="s">
        <v>5896</v>
      </c>
    </row>
    <row r="163" spans="1:7" ht="12.75">
      <c r="A163" s="276" t="s">
        <v>5897</v>
      </c>
      <c r="B163" s="276" t="s">
        <v>5898</v>
      </c>
      <c r="C163" s="278" t="str">
        <f t="shared" si="1"/>
        <v>https://pubmed.ncbi.nlm.nih.gov/?term=PMC7857678</v>
      </c>
      <c r="D163" s="351">
        <v>44228</v>
      </c>
      <c r="E163" s="28" t="s">
        <v>511</v>
      </c>
      <c r="F163" s="28" t="s">
        <v>5899</v>
      </c>
    </row>
    <row r="164" spans="1:7" ht="12.75">
      <c r="A164" s="276" t="s">
        <v>5900</v>
      </c>
      <c r="B164" s="276" t="s">
        <v>5901</v>
      </c>
      <c r="C164" s="278" t="str">
        <f t="shared" si="1"/>
        <v>https://pubmed.ncbi.nlm.nih.gov/?term=PMC6832755</v>
      </c>
      <c r="D164" s="351">
        <v>43709</v>
      </c>
      <c r="E164" s="28" t="s">
        <v>511</v>
      </c>
      <c r="F164" s="28" t="s">
        <v>4592</v>
      </c>
    </row>
    <row r="165" spans="1:7" ht="12.75">
      <c r="A165" s="276" t="s">
        <v>5902</v>
      </c>
      <c r="B165" s="276" t="s">
        <v>5903</v>
      </c>
      <c r="C165" s="278" t="str">
        <f t="shared" si="1"/>
        <v>https://pubmed.ncbi.nlm.nih.gov/?term=PMC6663145</v>
      </c>
      <c r="D165" s="28">
        <v>2019</v>
      </c>
      <c r="E165" s="28" t="s">
        <v>511</v>
      </c>
      <c r="F165" s="28" t="s">
        <v>4867</v>
      </c>
    </row>
    <row r="166" spans="1:7" ht="12.75">
      <c r="A166" s="276" t="s">
        <v>5904</v>
      </c>
      <c r="B166" s="276" t="s">
        <v>5905</v>
      </c>
      <c r="C166" s="278" t="str">
        <f t="shared" si="1"/>
        <v>https://pubmed.ncbi.nlm.nih.gov/?term=PMC5902661</v>
      </c>
      <c r="D166" s="351">
        <v>43313</v>
      </c>
      <c r="E166" s="28" t="s">
        <v>511</v>
      </c>
      <c r="F166" s="28" t="s">
        <v>4592</v>
      </c>
    </row>
    <row r="167" spans="1:7" ht="12.75">
      <c r="A167" s="276" t="s">
        <v>5906</v>
      </c>
      <c r="B167" s="276" t="s">
        <v>4116</v>
      </c>
      <c r="C167" s="278" t="str">
        <f t="shared" si="1"/>
        <v>https://pubmed.ncbi.nlm.nih.gov/?term=PMC7045083</v>
      </c>
      <c r="D167" s="351">
        <v>43862</v>
      </c>
      <c r="G167" s="28" t="s">
        <v>511</v>
      </c>
    </row>
    <row r="168" spans="1:7" ht="12.75">
      <c r="A168" s="276" t="s">
        <v>5907</v>
      </c>
      <c r="B168" s="276" t="s">
        <v>5908</v>
      </c>
      <c r="C168" s="278" t="str">
        <f t="shared" si="1"/>
        <v>https://pubmed.ncbi.nlm.nih.gov/?term=PMC7166079</v>
      </c>
      <c r="D168" s="351">
        <v>43922</v>
      </c>
      <c r="E168" s="28" t="s">
        <v>511</v>
      </c>
      <c r="F168" s="28" t="s">
        <v>5909</v>
      </c>
    </row>
    <row r="169" spans="1:7" ht="12.75">
      <c r="A169" s="276" t="s">
        <v>5910</v>
      </c>
      <c r="B169" s="276" t="s">
        <v>5911</v>
      </c>
      <c r="C169" s="278" t="str">
        <f t="shared" si="1"/>
        <v>https://pubmed.ncbi.nlm.nih.gov/?term=PMC6313919</v>
      </c>
      <c r="D169" s="351">
        <v>43374</v>
      </c>
      <c r="E169" s="28" t="s">
        <v>511</v>
      </c>
      <c r="F169" s="28" t="s">
        <v>4592</v>
      </c>
    </row>
    <row r="170" spans="1:7" ht="12.75">
      <c r="A170" s="276" t="s">
        <v>5912</v>
      </c>
      <c r="B170" s="276" t="s">
        <v>5913</v>
      </c>
      <c r="C170" s="278" t="str">
        <f t="shared" si="1"/>
        <v>https://pubmed.ncbi.nlm.nih.gov/?term=PMC7233336</v>
      </c>
      <c r="D170" s="352">
        <v>43952</v>
      </c>
      <c r="E170" s="28" t="s">
        <v>511</v>
      </c>
      <c r="F170" s="28" t="s">
        <v>8390</v>
      </c>
    </row>
    <row r="171" spans="1:7" ht="12.75">
      <c r="A171" s="276" t="s">
        <v>5914</v>
      </c>
      <c r="B171" s="276" t="s">
        <v>5915</v>
      </c>
      <c r="C171" s="278" t="str">
        <f t="shared" si="1"/>
        <v>https://pubmed.ncbi.nlm.nih.gov/?term=PMC3700201</v>
      </c>
      <c r="D171" s="351">
        <v>41456</v>
      </c>
      <c r="E171" s="28" t="s">
        <v>511</v>
      </c>
      <c r="F171" s="28" t="s">
        <v>5916</v>
      </c>
    </row>
    <row r="172" spans="1:7" ht="12.75">
      <c r="A172" s="276" t="s">
        <v>5917</v>
      </c>
      <c r="B172" s="276" t="s">
        <v>5918</v>
      </c>
      <c r="C172" s="278" t="str">
        <f t="shared" si="1"/>
        <v>https://pubmed.ncbi.nlm.nih.gov/?term=PMC5443534</v>
      </c>
      <c r="D172" s="352">
        <v>42856</v>
      </c>
      <c r="E172" s="28" t="s">
        <v>511</v>
      </c>
      <c r="F172" s="28" t="s">
        <v>4867</v>
      </c>
    </row>
    <row r="173" spans="1:7" ht="12.75">
      <c r="A173" s="276" t="s">
        <v>5919</v>
      </c>
      <c r="B173" s="276" t="s">
        <v>5920</v>
      </c>
      <c r="C173" s="278" t="str">
        <f t="shared" si="1"/>
        <v>https://pubmed.ncbi.nlm.nih.gov/?term=PMC6410563</v>
      </c>
      <c r="D173" s="351">
        <v>43344</v>
      </c>
      <c r="E173" s="28" t="s">
        <v>511</v>
      </c>
      <c r="F173" s="28" t="s">
        <v>4592</v>
      </c>
    </row>
    <row r="174" spans="1:7" ht="12.75">
      <c r="A174" s="276" t="s">
        <v>5921</v>
      </c>
      <c r="B174" s="276" t="s">
        <v>5922</v>
      </c>
      <c r="C174" s="278" t="str">
        <f t="shared" si="1"/>
        <v>https://pubmed.ncbi.nlm.nih.gov/?term=PMC5989627</v>
      </c>
      <c r="D174" s="351">
        <v>43252</v>
      </c>
      <c r="E174" s="28" t="s">
        <v>511</v>
      </c>
      <c r="F174" s="28" t="s">
        <v>4592</v>
      </c>
    </row>
    <row r="175" spans="1:7" ht="12.75">
      <c r="A175" s="276" t="s">
        <v>5923</v>
      </c>
      <c r="B175" s="276" t="s">
        <v>5924</v>
      </c>
      <c r="C175" s="278" t="str">
        <f t="shared" si="1"/>
        <v>https://pubmed.ncbi.nlm.nih.gov/?term=PMC3630160</v>
      </c>
      <c r="D175" s="351">
        <v>41365</v>
      </c>
      <c r="E175" s="28" t="s">
        <v>511</v>
      </c>
      <c r="F175" s="28" t="s">
        <v>4867</v>
      </c>
    </row>
    <row r="176" spans="1:7" ht="12.75">
      <c r="A176" s="276" t="s">
        <v>5925</v>
      </c>
      <c r="B176" s="276" t="s">
        <v>5926</v>
      </c>
      <c r="C176" s="281" t="s">
        <v>5927</v>
      </c>
      <c r="D176" s="28">
        <v>2013</v>
      </c>
      <c r="E176" s="28" t="s">
        <v>511</v>
      </c>
      <c r="F176" s="28" t="s">
        <v>4592</v>
      </c>
    </row>
    <row r="177" spans="1:7" ht="12.75">
      <c r="A177" s="276" t="s">
        <v>5928</v>
      </c>
      <c r="B177" s="276" t="s">
        <v>5929</v>
      </c>
      <c r="C177" s="278" t="str">
        <f>"https://pubmed.ncbi.nlm.nih.gov/?term="&amp;B177</f>
        <v>https://pubmed.ncbi.nlm.nih.gov/?term=PMC5139601</v>
      </c>
      <c r="D177" s="351">
        <v>42705</v>
      </c>
      <c r="E177" s="28" t="s">
        <v>511</v>
      </c>
      <c r="F177" s="28" t="s">
        <v>4867</v>
      </c>
    </row>
    <row r="178" spans="1:7" ht="12.75">
      <c r="A178" s="276" t="s">
        <v>5930</v>
      </c>
      <c r="B178" s="276" t="s">
        <v>5931</v>
      </c>
      <c r="C178" s="281" t="s">
        <v>5932</v>
      </c>
      <c r="D178" s="28">
        <v>2013</v>
      </c>
      <c r="E178" s="28" t="s">
        <v>511</v>
      </c>
      <c r="F178" s="28" t="s">
        <v>4592</v>
      </c>
    </row>
    <row r="179" spans="1:7" ht="12.75">
      <c r="A179" s="276" t="s">
        <v>5933</v>
      </c>
      <c r="B179" s="276" t="s">
        <v>5934</v>
      </c>
      <c r="C179" s="278" t="str">
        <f t="shared" ref="C179:C210" si="2">"https://pubmed.ncbi.nlm.nih.gov/?term="&amp;B179</f>
        <v>https://pubmed.ncbi.nlm.nih.gov/?term=PMC5371740</v>
      </c>
      <c r="D179" s="351">
        <v>42736</v>
      </c>
      <c r="E179" s="28" t="s">
        <v>511</v>
      </c>
      <c r="F179" s="28" t="s">
        <v>4592</v>
      </c>
    </row>
    <row r="180" spans="1:7" ht="12.75">
      <c r="A180" s="276" t="s">
        <v>5935</v>
      </c>
      <c r="B180" s="276" t="s">
        <v>5936</v>
      </c>
      <c r="C180" s="278" t="str">
        <f t="shared" si="2"/>
        <v>https://pubmed.ncbi.nlm.nih.gov/?term=PMC5193006</v>
      </c>
      <c r="D180" s="351">
        <v>42614</v>
      </c>
      <c r="E180" s="28" t="s">
        <v>511</v>
      </c>
      <c r="F180" s="28" t="s">
        <v>4592</v>
      </c>
    </row>
    <row r="181" spans="1:7" ht="12.75">
      <c r="A181" s="276" t="s">
        <v>5937</v>
      </c>
      <c r="B181" s="276" t="s">
        <v>4553</v>
      </c>
      <c r="C181" s="278" t="str">
        <f t="shared" si="2"/>
        <v>https://pubmed.ncbi.nlm.nih.gov/?term=PMC5914500</v>
      </c>
      <c r="D181" s="351">
        <v>42064</v>
      </c>
      <c r="G181" s="28" t="s">
        <v>511</v>
      </c>
    </row>
    <row r="182" spans="1:7" ht="12.75">
      <c r="A182" s="276" t="s">
        <v>5938</v>
      </c>
      <c r="B182" s="276" t="s">
        <v>5939</v>
      </c>
      <c r="C182" s="278" t="str">
        <f t="shared" si="2"/>
        <v>https://pubmed.ncbi.nlm.nih.gov/?term=PMC7803150</v>
      </c>
      <c r="D182" s="351">
        <v>44228</v>
      </c>
      <c r="E182" s="28" t="s">
        <v>511</v>
      </c>
      <c r="F182" s="28" t="s">
        <v>4592</v>
      </c>
    </row>
    <row r="183" spans="1:7" ht="12.75">
      <c r="A183" s="276" t="s">
        <v>5848</v>
      </c>
      <c r="B183" s="276" t="s">
        <v>5940</v>
      </c>
      <c r="C183" s="278" t="str">
        <f t="shared" si="2"/>
        <v>https://pubmed.ncbi.nlm.nih.gov/?term=PMC6028071</v>
      </c>
      <c r="D183" s="351">
        <v>43282</v>
      </c>
      <c r="E183" s="28" t="s">
        <v>511</v>
      </c>
      <c r="F183" s="28" t="s">
        <v>4592</v>
      </c>
    </row>
    <row r="184" spans="1:7" ht="12.75">
      <c r="A184" s="276" t="s">
        <v>5669</v>
      </c>
      <c r="B184" s="276" t="s">
        <v>5941</v>
      </c>
      <c r="C184" s="278" t="str">
        <f t="shared" si="2"/>
        <v>https://pubmed.ncbi.nlm.nih.gov/?term=PMC7676373</v>
      </c>
      <c r="D184" s="351">
        <v>44197</v>
      </c>
      <c r="E184" s="28" t="s">
        <v>511</v>
      </c>
      <c r="F184" s="28" t="s">
        <v>4592</v>
      </c>
    </row>
    <row r="185" spans="1:7" ht="12.75">
      <c r="A185" s="276" t="s">
        <v>5838</v>
      </c>
      <c r="B185" s="276" t="s">
        <v>5942</v>
      </c>
      <c r="C185" s="278" t="str">
        <f t="shared" si="2"/>
        <v>https://pubmed.ncbi.nlm.nih.gov/?term=PMC7121045</v>
      </c>
      <c r="D185" s="28">
        <v>2013</v>
      </c>
      <c r="E185" s="28" t="s">
        <v>511</v>
      </c>
      <c r="F185" s="28" t="s">
        <v>4592</v>
      </c>
    </row>
    <row r="186" spans="1:7" ht="12.75">
      <c r="A186" s="276" t="s">
        <v>5838</v>
      </c>
      <c r="B186" s="276" t="s">
        <v>5943</v>
      </c>
      <c r="C186" s="278" t="str">
        <f t="shared" si="2"/>
        <v>https://pubmed.ncbi.nlm.nih.gov/?term=PMC3023887</v>
      </c>
      <c r="D186" s="351">
        <v>40544</v>
      </c>
      <c r="E186" s="28" t="s">
        <v>511</v>
      </c>
      <c r="F186" s="28" t="s">
        <v>4592</v>
      </c>
    </row>
    <row r="187" spans="1:7" ht="12.75">
      <c r="A187" s="276" t="s">
        <v>5944</v>
      </c>
      <c r="B187" s="276" t="s">
        <v>4232</v>
      </c>
      <c r="C187" s="278" t="str">
        <f t="shared" si="2"/>
        <v>https://pubmed.ncbi.nlm.nih.gov/?term=PMC7524165</v>
      </c>
      <c r="D187" s="351">
        <v>44136</v>
      </c>
      <c r="G187" s="28" t="s">
        <v>511</v>
      </c>
    </row>
    <row r="188" spans="1:7" ht="12.75">
      <c r="A188" s="276" t="s">
        <v>5945</v>
      </c>
      <c r="B188" s="276" t="s">
        <v>5946</v>
      </c>
      <c r="C188" s="278" t="str">
        <f t="shared" si="2"/>
        <v>https://pubmed.ncbi.nlm.nih.gov/?term=PMC7314533</v>
      </c>
      <c r="D188" s="351">
        <v>43983</v>
      </c>
      <c r="E188" s="28" t="s">
        <v>511</v>
      </c>
      <c r="F188" s="28" t="s">
        <v>5947</v>
      </c>
    </row>
    <row r="189" spans="1:7" ht="12.75">
      <c r="A189" s="276" t="s">
        <v>5948</v>
      </c>
      <c r="B189" s="276" t="s">
        <v>4127</v>
      </c>
      <c r="C189" s="278" t="str">
        <f t="shared" si="2"/>
        <v>https://pubmed.ncbi.nlm.nih.gov/?term=PMC4354983</v>
      </c>
      <c r="D189" s="351">
        <v>42095</v>
      </c>
      <c r="G189" s="28" t="s">
        <v>511</v>
      </c>
    </row>
    <row r="190" spans="1:7" ht="12.75">
      <c r="A190" s="276" t="s">
        <v>5949</v>
      </c>
      <c r="B190" s="276" t="s">
        <v>5950</v>
      </c>
      <c r="C190" s="278" t="str">
        <f t="shared" si="2"/>
        <v>https://pubmed.ncbi.nlm.nih.gov/?term=PMC7560054</v>
      </c>
      <c r="D190" s="351">
        <v>44105</v>
      </c>
      <c r="E190" s="28" t="s">
        <v>511</v>
      </c>
      <c r="F190" s="28" t="s">
        <v>4867</v>
      </c>
    </row>
    <row r="191" spans="1:7" ht="12.75">
      <c r="A191" s="276" t="s">
        <v>5951</v>
      </c>
      <c r="B191" s="276" t="s">
        <v>5952</v>
      </c>
      <c r="C191" s="278" t="str">
        <f t="shared" si="2"/>
        <v>https://pubmed.ncbi.nlm.nih.gov/?term=PMC6785344</v>
      </c>
      <c r="D191" s="351">
        <v>43435</v>
      </c>
      <c r="E191" s="28" t="s">
        <v>511</v>
      </c>
      <c r="F191" s="28" t="s">
        <v>4592</v>
      </c>
    </row>
    <row r="192" spans="1:7" ht="12.75">
      <c r="A192" s="276" t="s">
        <v>5885</v>
      </c>
      <c r="B192" s="276" t="s">
        <v>4094</v>
      </c>
      <c r="C192" s="278" t="str">
        <f t="shared" si="2"/>
        <v>https://pubmed.ncbi.nlm.nih.gov/?term=PMC5942845</v>
      </c>
      <c r="D192" s="351">
        <v>43191</v>
      </c>
      <c r="G192" s="28" t="s">
        <v>511</v>
      </c>
    </row>
    <row r="193" spans="1:7" ht="12.75">
      <c r="A193" s="276" t="s">
        <v>5676</v>
      </c>
      <c r="B193" s="276" t="s">
        <v>4103</v>
      </c>
      <c r="C193" s="278" t="str">
        <f t="shared" si="2"/>
        <v>https://pubmed.ncbi.nlm.nih.gov/?term=PMC7353841</v>
      </c>
      <c r="D193" s="351">
        <v>44013</v>
      </c>
      <c r="G193" s="28" t="s">
        <v>511</v>
      </c>
    </row>
    <row r="194" spans="1:7" ht="12.75">
      <c r="A194" s="276" t="s">
        <v>5953</v>
      </c>
      <c r="B194" s="276" t="s">
        <v>5954</v>
      </c>
      <c r="C194" s="278" t="str">
        <f t="shared" si="2"/>
        <v>https://pubmed.ncbi.nlm.nih.gov/?term=PMC6550445</v>
      </c>
      <c r="D194" s="351">
        <v>43617</v>
      </c>
      <c r="E194" s="28" t="s">
        <v>511</v>
      </c>
      <c r="F194" s="28" t="s">
        <v>4867</v>
      </c>
    </row>
    <row r="195" spans="1:7" ht="12.75">
      <c r="A195" s="276" t="s">
        <v>5955</v>
      </c>
      <c r="B195" s="276" t="s">
        <v>5956</v>
      </c>
      <c r="C195" s="278" t="str">
        <f t="shared" si="2"/>
        <v>https://pubmed.ncbi.nlm.nih.gov/?term=PMC5471729</v>
      </c>
      <c r="D195" s="351">
        <v>42675</v>
      </c>
      <c r="E195" s="28" t="s">
        <v>511</v>
      </c>
      <c r="F195" s="28" t="s">
        <v>4592</v>
      </c>
    </row>
    <row r="196" spans="1:7" ht="12.75">
      <c r="A196" s="276" t="s">
        <v>5957</v>
      </c>
      <c r="B196" s="276" t="s">
        <v>5958</v>
      </c>
      <c r="C196" s="278" t="str">
        <f t="shared" si="2"/>
        <v>https://pubmed.ncbi.nlm.nih.gov/?term=PMC3722871</v>
      </c>
      <c r="D196" s="351">
        <v>40513</v>
      </c>
      <c r="E196" s="28" t="s">
        <v>511</v>
      </c>
      <c r="F196" s="28" t="s">
        <v>4867</v>
      </c>
    </row>
    <row r="197" spans="1:7" ht="12.75">
      <c r="A197" s="276" t="s">
        <v>5959</v>
      </c>
      <c r="B197" s="276" t="s">
        <v>5960</v>
      </c>
      <c r="C197" s="278" t="str">
        <f t="shared" si="2"/>
        <v>https://pubmed.ncbi.nlm.nih.gov/?term=PMC7872131</v>
      </c>
      <c r="D197" s="351">
        <v>44075</v>
      </c>
      <c r="E197" s="28" t="s">
        <v>511</v>
      </c>
      <c r="F197" s="28" t="s">
        <v>4592</v>
      </c>
    </row>
    <row r="198" spans="1:7" ht="12.75">
      <c r="A198" s="276" t="s">
        <v>5961</v>
      </c>
      <c r="B198" s="276" t="s">
        <v>5962</v>
      </c>
      <c r="C198" s="278" t="str">
        <f t="shared" si="2"/>
        <v>https://pubmed.ncbi.nlm.nih.gov/?term=PMC7993625</v>
      </c>
      <c r="D198" s="351">
        <v>44228</v>
      </c>
      <c r="E198" s="28" t="s">
        <v>511</v>
      </c>
      <c r="F198" s="28" t="s">
        <v>8387</v>
      </c>
    </row>
    <row r="199" spans="1:7" ht="12.75">
      <c r="A199" s="276" t="s">
        <v>5963</v>
      </c>
      <c r="B199" s="276" t="s">
        <v>5964</v>
      </c>
      <c r="C199" s="278" t="str">
        <f t="shared" si="2"/>
        <v>https://pubmed.ncbi.nlm.nih.gov/?term=PMC4111282</v>
      </c>
      <c r="D199" s="351">
        <v>41791</v>
      </c>
      <c r="E199" s="28" t="s">
        <v>511</v>
      </c>
      <c r="F199" s="28" t="s">
        <v>4592</v>
      </c>
    </row>
    <row r="200" spans="1:7" ht="12.75">
      <c r="A200" s="276" t="s">
        <v>5965</v>
      </c>
      <c r="B200" s="276" t="s">
        <v>4212</v>
      </c>
      <c r="C200" s="278" t="str">
        <f t="shared" si="2"/>
        <v>https://pubmed.ncbi.nlm.nih.gov/?term=PMC4933782</v>
      </c>
      <c r="D200" s="351">
        <v>42552</v>
      </c>
      <c r="G200" s="28" t="s">
        <v>511</v>
      </c>
    </row>
    <row r="201" spans="1:7" ht="12.75">
      <c r="A201" s="276" t="s">
        <v>5823</v>
      </c>
      <c r="B201" s="276" t="s">
        <v>5966</v>
      </c>
      <c r="C201" s="278" t="str">
        <f t="shared" si="2"/>
        <v>https://pubmed.ncbi.nlm.nih.gov/?term=PMC4278929</v>
      </c>
      <c r="D201" s="351">
        <v>42005</v>
      </c>
      <c r="E201" s="28" t="s">
        <v>511</v>
      </c>
      <c r="F201" s="28" t="s">
        <v>4744</v>
      </c>
    </row>
    <row r="202" spans="1:7" ht="12.75">
      <c r="A202" s="276" t="s">
        <v>5967</v>
      </c>
      <c r="B202" s="276" t="s">
        <v>5968</v>
      </c>
      <c r="C202" s="278" t="str">
        <f t="shared" si="2"/>
        <v>https://pubmed.ncbi.nlm.nih.gov/?term=PMC7543275</v>
      </c>
      <c r="D202" s="351">
        <v>44228</v>
      </c>
      <c r="E202" s="28" t="s">
        <v>511</v>
      </c>
      <c r="F202" s="28" t="s">
        <v>8390</v>
      </c>
    </row>
    <row r="203" spans="1:7" ht="12.75">
      <c r="A203" s="276" t="s">
        <v>5969</v>
      </c>
      <c r="B203" s="276" t="s">
        <v>856</v>
      </c>
      <c r="C203" s="278" t="str">
        <f t="shared" si="2"/>
        <v>https://pubmed.ncbi.nlm.nih.gov/?term=PMC3969545</v>
      </c>
      <c r="D203" s="351">
        <v>41730</v>
      </c>
      <c r="G203" s="28" t="s">
        <v>511</v>
      </c>
    </row>
    <row r="204" spans="1:7" ht="12.75">
      <c r="A204" s="276" t="s">
        <v>5970</v>
      </c>
      <c r="B204" s="276" t="s">
        <v>5971</v>
      </c>
      <c r="C204" s="278" t="str">
        <f t="shared" si="2"/>
        <v>https://pubmed.ncbi.nlm.nih.gov/?term=PMC2809736</v>
      </c>
      <c r="D204" s="351">
        <v>40179</v>
      </c>
      <c r="E204" s="28" t="s">
        <v>511</v>
      </c>
      <c r="F204" s="28" t="s">
        <v>4744</v>
      </c>
    </row>
    <row r="205" spans="1:7" ht="12.75">
      <c r="A205" s="276" t="s">
        <v>5972</v>
      </c>
      <c r="B205" s="276" t="s">
        <v>4550</v>
      </c>
      <c r="C205" s="278" t="str">
        <f t="shared" si="2"/>
        <v>https://pubmed.ncbi.nlm.nih.gov/?term=PMC7286377</v>
      </c>
      <c r="D205" s="351">
        <v>43983</v>
      </c>
      <c r="G205" s="28" t="s">
        <v>511</v>
      </c>
    </row>
    <row r="206" spans="1:7" ht="12.75">
      <c r="A206" s="276" t="s">
        <v>5973</v>
      </c>
      <c r="B206" s="276" t="s">
        <v>5974</v>
      </c>
      <c r="C206" s="278" t="str">
        <f t="shared" si="2"/>
        <v>https://pubmed.ncbi.nlm.nih.gov/?term=PMC6381545</v>
      </c>
      <c r="D206" s="351">
        <v>43344</v>
      </c>
      <c r="E206" s="28" t="s">
        <v>511</v>
      </c>
      <c r="F206" s="28" t="s">
        <v>4592</v>
      </c>
    </row>
    <row r="207" spans="1:7" ht="12.75">
      <c r="A207" s="276" t="s">
        <v>5975</v>
      </c>
      <c r="B207" s="276" t="s">
        <v>5976</v>
      </c>
      <c r="C207" s="278" t="str">
        <f t="shared" si="2"/>
        <v>https://pubmed.ncbi.nlm.nih.gov/?term=PMC6188552</v>
      </c>
      <c r="D207" s="351">
        <v>43374</v>
      </c>
      <c r="E207" s="28" t="s">
        <v>511</v>
      </c>
      <c r="F207" s="28" t="s">
        <v>4592</v>
      </c>
    </row>
    <row r="208" spans="1:7" ht="12.75">
      <c r="A208" s="276" t="s">
        <v>5977</v>
      </c>
      <c r="B208" s="276" t="s">
        <v>5978</v>
      </c>
      <c r="C208" s="278" t="str">
        <f t="shared" si="2"/>
        <v>https://pubmed.ncbi.nlm.nih.gov/?term=PMC4353319</v>
      </c>
      <c r="D208" s="351">
        <v>42064</v>
      </c>
      <c r="E208" s="28" t="s">
        <v>511</v>
      </c>
      <c r="F208" s="28" t="s">
        <v>4744</v>
      </c>
    </row>
    <row r="209" spans="1:7" ht="12.75">
      <c r="A209" s="276" t="s">
        <v>5979</v>
      </c>
      <c r="B209" s="276" t="s">
        <v>5980</v>
      </c>
      <c r="C209" s="278" t="str">
        <f t="shared" si="2"/>
        <v>https://pubmed.ncbi.nlm.nih.gov/?term=PMC7790068</v>
      </c>
      <c r="D209" s="351">
        <v>44197</v>
      </c>
      <c r="E209" s="28" t="s">
        <v>511</v>
      </c>
      <c r="F209" s="28" t="s">
        <v>4744</v>
      </c>
    </row>
    <row r="210" spans="1:7" ht="12.75">
      <c r="A210" s="276" t="s">
        <v>5981</v>
      </c>
      <c r="B210" s="276" t="s">
        <v>5982</v>
      </c>
      <c r="C210" s="278" t="str">
        <f t="shared" si="2"/>
        <v>https://pubmed.ncbi.nlm.nih.gov/?term=PMC6090158</v>
      </c>
      <c r="D210" s="351">
        <v>43282</v>
      </c>
      <c r="E210" s="28" t="s">
        <v>511</v>
      </c>
      <c r="F210" s="28" t="s">
        <v>8405</v>
      </c>
    </row>
    <row r="211" spans="1:7" ht="12.75">
      <c r="A211" s="276" t="s">
        <v>5983</v>
      </c>
      <c r="B211" s="276" t="s">
        <v>5984</v>
      </c>
      <c r="C211" s="281" t="s">
        <v>5985</v>
      </c>
      <c r="D211" s="351">
        <v>44256</v>
      </c>
      <c r="E211" s="28" t="s">
        <v>511</v>
      </c>
      <c r="F211" s="28" t="s">
        <v>4592</v>
      </c>
    </row>
    <row r="212" spans="1:7" ht="12.75">
      <c r="A212" s="276" t="s">
        <v>5986</v>
      </c>
      <c r="B212" s="276" t="s">
        <v>4208</v>
      </c>
      <c r="C212" s="278" t="str">
        <f t="shared" ref="C212:C217" si="3">"https://pubmed.ncbi.nlm.nih.gov/?term="&amp;B212</f>
        <v>https://pubmed.ncbi.nlm.nih.gov/?term=PMC5853383</v>
      </c>
      <c r="D212" s="351">
        <v>43132</v>
      </c>
      <c r="G212" s="28" t="s">
        <v>511</v>
      </c>
    </row>
    <row r="213" spans="1:7" ht="12.75">
      <c r="A213" s="276" t="s">
        <v>5987</v>
      </c>
      <c r="B213" s="276" t="s">
        <v>4214</v>
      </c>
      <c r="C213" s="278" t="str">
        <f t="shared" si="3"/>
        <v>https://pubmed.ncbi.nlm.nih.gov/?term=PMC7069936</v>
      </c>
      <c r="D213" s="351">
        <v>43891</v>
      </c>
      <c r="G213" s="28" t="s">
        <v>511</v>
      </c>
    </row>
    <row r="214" spans="1:7" ht="12.75">
      <c r="A214" s="276" t="s">
        <v>5988</v>
      </c>
      <c r="B214" s="276" t="s">
        <v>4229</v>
      </c>
      <c r="C214" s="278" t="str">
        <f t="shared" si="3"/>
        <v>https://pubmed.ncbi.nlm.nih.gov/?term=PMC4165915</v>
      </c>
      <c r="D214" s="351">
        <v>41883</v>
      </c>
      <c r="G214" s="28" t="s">
        <v>511</v>
      </c>
    </row>
    <row r="215" spans="1:7" ht="12.75">
      <c r="A215" s="276" t="s">
        <v>5989</v>
      </c>
      <c r="B215" s="276" t="s">
        <v>5990</v>
      </c>
      <c r="C215" s="278" t="str">
        <f t="shared" si="3"/>
        <v>https://pubmed.ncbi.nlm.nih.gov/?term=PMC5845111</v>
      </c>
      <c r="D215" s="351">
        <v>43160</v>
      </c>
      <c r="E215" s="28" t="s">
        <v>511</v>
      </c>
      <c r="F215" s="28" t="s">
        <v>4592</v>
      </c>
    </row>
    <row r="216" spans="1:7" ht="12.75">
      <c r="A216" s="276" t="s">
        <v>5991</v>
      </c>
      <c r="B216" s="276" t="s">
        <v>4251</v>
      </c>
      <c r="C216" s="278" t="str">
        <f t="shared" si="3"/>
        <v>https://pubmed.ncbi.nlm.nih.gov/?term=PMC4322439</v>
      </c>
      <c r="D216" s="351">
        <v>42036</v>
      </c>
      <c r="G216" s="28" t="s">
        <v>511</v>
      </c>
    </row>
    <row r="217" spans="1:7" ht="12.75">
      <c r="A217" s="276" t="s">
        <v>5992</v>
      </c>
      <c r="B217" s="276" t="s">
        <v>5993</v>
      </c>
      <c r="C217" s="278" t="str">
        <f t="shared" si="3"/>
        <v>https://pubmed.ncbi.nlm.nih.gov/?term=PMC7349415</v>
      </c>
      <c r="D217" s="351">
        <v>43922</v>
      </c>
      <c r="E217" s="28" t="s">
        <v>511</v>
      </c>
      <c r="F217" s="28" t="s">
        <v>8387</v>
      </c>
    </row>
    <row r="218" spans="1:7" ht="12.75">
      <c r="A218" s="276" t="s">
        <v>5994</v>
      </c>
      <c r="B218" s="276" t="s">
        <v>5995</v>
      </c>
      <c r="C218" s="281" t="s">
        <v>5996</v>
      </c>
      <c r="D218" s="351">
        <v>41426</v>
      </c>
      <c r="E218" s="28" t="s">
        <v>511</v>
      </c>
      <c r="F218" s="28" t="s">
        <v>4592</v>
      </c>
    </row>
    <row r="219" spans="1:7" ht="12.75">
      <c r="A219" s="276" t="s">
        <v>5997</v>
      </c>
      <c r="B219" s="276" t="s">
        <v>4188</v>
      </c>
      <c r="C219" s="278" t="str">
        <f t="shared" ref="C219:C232" si="4">"https://pubmed.ncbi.nlm.nih.gov/?term="&amp;B219</f>
        <v>https://pubmed.ncbi.nlm.nih.gov/?term=PMC5216439</v>
      </c>
      <c r="D219" s="351">
        <v>42736</v>
      </c>
      <c r="G219" s="28" t="s">
        <v>511</v>
      </c>
    </row>
    <row r="220" spans="1:7" ht="12.75">
      <c r="A220" s="276" t="s">
        <v>5998</v>
      </c>
      <c r="B220" s="276" t="s">
        <v>5999</v>
      </c>
      <c r="C220" s="278" t="str">
        <f t="shared" si="4"/>
        <v>https://pubmed.ncbi.nlm.nih.gov/?term=PMC2631916</v>
      </c>
      <c r="D220" s="351">
        <v>37226</v>
      </c>
      <c r="E220" s="28" t="s">
        <v>511</v>
      </c>
      <c r="F220" s="28" t="s">
        <v>4592</v>
      </c>
    </row>
    <row r="221" spans="1:7" ht="12.75">
      <c r="A221" s="276" t="s">
        <v>5803</v>
      </c>
      <c r="B221" s="276" t="s">
        <v>4166</v>
      </c>
      <c r="C221" s="278" t="str">
        <f t="shared" si="4"/>
        <v>https://pubmed.ncbi.nlm.nih.gov/?term=PMC5179046</v>
      </c>
      <c r="D221" s="351">
        <v>42705</v>
      </c>
      <c r="G221" s="28" t="s">
        <v>511</v>
      </c>
    </row>
    <row r="222" spans="1:7" ht="12.75">
      <c r="A222" s="276" t="s">
        <v>6000</v>
      </c>
      <c r="B222" s="276" t="s">
        <v>4233</v>
      </c>
      <c r="C222" s="278" t="str">
        <f t="shared" si="4"/>
        <v>https://pubmed.ncbi.nlm.nih.gov/?term=PMC4236046</v>
      </c>
      <c r="D222" s="351">
        <v>41944</v>
      </c>
      <c r="G222" s="28" t="s">
        <v>511</v>
      </c>
    </row>
    <row r="223" spans="1:7" ht="12.75">
      <c r="A223" s="276" t="s">
        <v>6001</v>
      </c>
      <c r="B223" s="276" t="s">
        <v>6002</v>
      </c>
      <c r="C223" s="278" t="str">
        <f t="shared" si="4"/>
        <v>https://pubmed.ncbi.nlm.nih.gov/?term=PMC7817873</v>
      </c>
      <c r="D223" s="351">
        <v>44197</v>
      </c>
      <c r="E223" s="28" t="s">
        <v>511</v>
      </c>
      <c r="F223" s="28" t="s">
        <v>6003</v>
      </c>
    </row>
    <row r="224" spans="1:7" ht="12.75">
      <c r="A224" s="276" t="s">
        <v>6004</v>
      </c>
      <c r="B224" s="276" t="s">
        <v>6005</v>
      </c>
      <c r="C224" s="278" t="str">
        <f t="shared" si="4"/>
        <v>https://pubmed.ncbi.nlm.nih.gov/?term=PMC7087945</v>
      </c>
      <c r="D224" s="351">
        <v>41426</v>
      </c>
      <c r="E224" s="28" t="s">
        <v>511</v>
      </c>
      <c r="F224" s="28" t="s">
        <v>4592</v>
      </c>
    </row>
    <row r="225" spans="1:7" ht="12.75">
      <c r="A225" s="276" t="s">
        <v>6006</v>
      </c>
      <c r="B225" s="276" t="s">
        <v>6007</v>
      </c>
      <c r="C225" s="278" t="str">
        <f t="shared" si="4"/>
        <v>https://pubmed.ncbi.nlm.nih.gov/?term=PMC3997009</v>
      </c>
      <c r="D225" s="351">
        <v>41730</v>
      </c>
      <c r="E225" s="28" t="s">
        <v>511</v>
      </c>
      <c r="F225" s="28" t="s">
        <v>4592</v>
      </c>
    </row>
    <row r="226" spans="1:7" ht="12.75">
      <c r="A226" s="276" t="s">
        <v>6008</v>
      </c>
      <c r="B226" s="276" t="s">
        <v>6009</v>
      </c>
      <c r="C226" s="278" t="str">
        <f t="shared" si="4"/>
        <v>https://pubmed.ncbi.nlm.nih.gov/?term=PMC3071884</v>
      </c>
      <c r="D226" s="351">
        <v>40634</v>
      </c>
      <c r="E226" s="28" t="s">
        <v>511</v>
      </c>
      <c r="F226" s="28" t="s">
        <v>4867</v>
      </c>
    </row>
    <row r="227" spans="1:7" ht="12.75">
      <c r="A227" s="276" t="s">
        <v>6010</v>
      </c>
      <c r="B227" s="276" t="s">
        <v>6011</v>
      </c>
      <c r="C227" s="278" t="str">
        <f t="shared" si="4"/>
        <v>https://pubmed.ncbi.nlm.nih.gov/?term=PMC321603</v>
      </c>
      <c r="D227" s="351">
        <v>38018</v>
      </c>
      <c r="E227" s="28" t="s">
        <v>511</v>
      </c>
      <c r="F227" s="28" t="s">
        <v>6012</v>
      </c>
    </row>
    <row r="228" spans="1:7" ht="12.75">
      <c r="A228" s="276" t="s">
        <v>6013</v>
      </c>
      <c r="B228" s="276" t="s">
        <v>4209</v>
      </c>
      <c r="C228" s="278" t="str">
        <f t="shared" si="4"/>
        <v>https://pubmed.ncbi.nlm.nih.gov/?term=PMC7390452</v>
      </c>
      <c r="D228" s="351">
        <v>44013</v>
      </c>
      <c r="G228" s="28" t="s">
        <v>511</v>
      </c>
    </row>
    <row r="229" spans="1:7" ht="12.75">
      <c r="A229" s="276" t="s">
        <v>6014</v>
      </c>
      <c r="B229" s="276" t="s">
        <v>6015</v>
      </c>
      <c r="C229" s="278" t="str">
        <f t="shared" si="4"/>
        <v>https://pubmed.ncbi.nlm.nih.gov/?term=PMC2814950</v>
      </c>
      <c r="D229" s="351">
        <v>40179</v>
      </c>
      <c r="E229" s="28" t="s">
        <v>511</v>
      </c>
      <c r="F229" s="28" t="s">
        <v>6016</v>
      </c>
    </row>
    <row r="230" spans="1:7" ht="12.75">
      <c r="A230" s="276" t="s">
        <v>6017</v>
      </c>
      <c r="B230" s="276" t="s">
        <v>4108</v>
      </c>
      <c r="C230" s="278" t="str">
        <f t="shared" si="4"/>
        <v>https://pubmed.ncbi.nlm.nih.gov/?term=PMC3707375</v>
      </c>
      <c r="D230" s="351">
        <v>41365</v>
      </c>
      <c r="G230" s="28" t="s">
        <v>511</v>
      </c>
    </row>
    <row r="231" spans="1:7" ht="12.75">
      <c r="A231" s="276" t="s">
        <v>6018</v>
      </c>
      <c r="B231" s="276" t="s">
        <v>6019</v>
      </c>
      <c r="C231" s="278" t="str">
        <f t="shared" si="4"/>
        <v>https://pubmed.ncbi.nlm.nih.gov/?term=PMC7133686</v>
      </c>
      <c r="D231" s="351">
        <v>43101</v>
      </c>
      <c r="E231" s="28" t="s">
        <v>511</v>
      </c>
      <c r="F231" s="28" t="s">
        <v>8405</v>
      </c>
    </row>
    <row r="232" spans="1:7" ht="12.75">
      <c r="A232" s="276" t="s">
        <v>6020</v>
      </c>
      <c r="B232" s="276" t="s">
        <v>4200</v>
      </c>
      <c r="C232" s="278" t="str">
        <f t="shared" si="4"/>
        <v>https://pubmed.ncbi.nlm.nih.gov/?term=PMC524376</v>
      </c>
      <c r="D232" s="351">
        <v>38292</v>
      </c>
      <c r="G232" s="28" t="s">
        <v>511</v>
      </c>
    </row>
    <row r="233" spans="1:7" ht="12.75">
      <c r="A233" s="276" t="s">
        <v>6021</v>
      </c>
      <c r="B233" s="276" t="s">
        <v>6022</v>
      </c>
      <c r="C233" s="281" t="s">
        <v>6023</v>
      </c>
      <c r="D233" s="28">
        <v>2019</v>
      </c>
      <c r="E233" s="28" t="s">
        <v>511</v>
      </c>
      <c r="F233" s="28" t="s">
        <v>8407</v>
      </c>
    </row>
    <row r="234" spans="1:7" ht="12.75">
      <c r="A234" s="276" t="s">
        <v>6025</v>
      </c>
      <c r="B234" s="276" t="s">
        <v>6026</v>
      </c>
      <c r="C234" s="278" t="str">
        <f t="shared" ref="C234:C252" si="5">"https://pubmed.ncbi.nlm.nih.gov/?term="&amp;B234</f>
        <v>https://pubmed.ncbi.nlm.nih.gov/?term=PMC5062765</v>
      </c>
      <c r="D234" s="351">
        <v>42644</v>
      </c>
      <c r="E234" s="28" t="s">
        <v>511</v>
      </c>
      <c r="F234" s="28" t="s">
        <v>8408</v>
      </c>
    </row>
    <row r="235" spans="1:7" ht="12.75">
      <c r="A235" s="276" t="s">
        <v>6028</v>
      </c>
      <c r="B235" s="276" t="s">
        <v>6029</v>
      </c>
      <c r="C235" s="278" t="str">
        <f t="shared" si="5"/>
        <v>https://pubmed.ncbi.nlm.nih.gov/?term=PMC4054385</v>
      </c>
      <c r="D235" s="351">
        <v>41791</v>
      </c>
      <c r="E235" s="28" t="s">
        <v>511</v>
      </c>
      <c r="F235" s="28" t="s">
        <v>6030</v>
      </c>
    </row>
    <row r="236" spans="1:7" ht="12.75">
      <c r="A236" s="276" t="s">
        <v>6031</v>
      </c>
      <c r="B236" s="276" t="s">
        <v>4198</v>
      </c>
      <c r="C236" s="278" t="str">
        <f t="shared" si="5"/>
        <v>https://pubmed.ncbi.nlm.nih.gov/?term=PMC4747614</v>
      </c>
      <c r="D236" s="351">
        <v>42430</v>
      </c>
      <c r="G236" s="28" t="s">
        <v>511</v>
      </c>
    </row>
    <row r="237" spans="1:7" ht="12.75">
      <c r="A237" s="276" t="s">
        <v>6032</v>
      </c>
      <c r="B237" s="276" t="s">
        <v>6033</v>
      </c>
      <c r="C237" s="278" t="str">
        <f t="shared" si="5"/>
        <v>https://pubmed.ncbi.nlm.nih.gov/?term=PMC5237200</v>
      </c>
      <c r="D237" s="351">
        <v>42736</v>
      </c>
      <c r="E237" s="28" t="s">
        <v>511</v>
      </c>
      <c r="F237" s="28" t="s">
        <v>4592</v>
      </c>
    </row>
    <row r="238" spans="1:7" ht="12.75">
      <c r="A238" s="276" t="s">
        <v>6034</v>
      </c>
      <c r="B238" s="276" t="s">
        <v>6035</v>
      </c>
      <c r="C238" s="278" t="str">
        <f t="shared" si="5"/>
        <v>https://pubmed.ncbi.nlm.nih.gov/?term=PMC3608534</v>
      </c>
      <c r="D238" s="28">
        <v>2013</v>
      </c>
      <c r="E238" s="28" t="s">
        <v>511</v>
      </c>
      <c r="F238" s="28" t="s">
        <v>6036</v>
      </c>
    </row>
    <row r="239" spans="1:7" ht="12.75">
      <c r="A239" s="276" t="s">
        <v>6025</v>
      </c>
      <c r="B239" s="276" t="s">
        <v>6037</v>
      </c>
      <c r="C239" s="278" t="str">
        <f t="shared" si="5"/>
        <v>https://pubmed.ncbi.nlm.nih.gov/?term=PMC5983193</v>
      </c>
      <c r="D239" s="351">
        <v>43252</v>
      </c>
      <c r="E239" s="28" t="s">
        <v>511</v>
      </c>
      <c r="F239" s="28" t="s">
        <v>4592</v>
      </c>
    </row>
    <row r="240" spans="1:7" ht="12.75">
      <c r="A240" s="276" t="s">
        <v>6038</v>
      </c>
      <c r="B240" s="276" t="s">
        <v>6039</v>
      </c>
      <c r="C240" s="278" t="str">
        <f t="shared" si="5"/>
        <v>https://pubmed.ncbi.nlm.nih.gov/?term=PMC7307844</v>
      </c>
      <c r="D240" s="351">
        <v>44044</v>
      </c>
      <c r="E240" s="28" t="s">
        <v>511</v>
      </c>
      <c r="F240" s="28" t="s">
        <v>4592</v>
      </c>
    </row>
    <row r="241" spans="1:7" ht="12.75">
      <c r="A241" s="276" t="s">
        <v>6040</v>
      </c>
      <c r="B241" s="276" t="s">
        <v>6041</v>
      </c>
      <c r="C241" s="278" t="str">
        <f t="shared" si="5"/>
        <v>https://pubmed.ncbi.nlm.nih.gov/?term=PMC7532744</v>
      </c>
      <c r="D241" s="351">
        <v>44136</v>
      </c>
      <c r="E241" s="28" t="s">
        <v>511</v>
      </c>
      <c r="F241" s="28" t="s">
        <v>6042</v>
      </c>
    </row>
    <row r="242" spans="1:7" ht="12.75">
      <c r="A242" s="276" t="s">
        <v>6043</v>
      </c>
      <c r="B242" s="276" t="s">
        <v>6044</v>
      </c>
      <c r="C242" s="278" t="str">
        <f t="shared" si="5"/>
        <v>https://pubmed.ncbi.nlm.nih.gov/?term=PMC4112517</v>
      </c>
      <c r="D242" s="351">
        <v>40057</v>
      </c>
      <c r="E242" s="28" t="s">
        <v>511</v>
      </c>
      <c r="F242" s="28" t="s">
        <v>4592</v>
      </c>
    </row>
    <row r="243" spans="1:7" ht="12.75">
      <c r="A243" s="276" t="s">
        <v>6045</v>
      </c>
      <c r="B243" s="276" t="s">
        <v>6046</v>
      </c>
      <c r="C243" s="278" t="str">
        <f t="shared" si="5"/>
        <v>https://pubmed.ncbi.nlm.nih.gov/?term=PMC6859645</v>
      </c>
      <c r="D243" s="352">
        <v>42491</v>
      </c>
      <c r="E243" s="28" t="s">
        <v>511</v>
      </c>
      <c r="F243" s="28" t="s">
        <v>6047</v>
      </c>
    </row>
    <row r="244" spans="1:7" ht="12.75">
      <c r="A244" s="276" t="s">
        <v>6048</v>
      </c>
      <c r="B244" s="276" t="s">
        <v>6049</v>
      </c>
      <c r="C244" s="278" t="str">
        <f t="shared" si="5"/>
        <v>https://pubmed.ncbi.nlm.nih.gov/?term=PMC7167553</v>
      </c>
      <c r="D244" s="352">
        <v>43952</v>
      </c>
      <c r="E244" s="28" t="s">
        <v>511</v>
      </c>
      <c r="F244" s="28" t="s">
        <v>4592</v>
      </c>
    </row>
    <row r="245" spans="1:7" ht="12.75">
      <c r="A245" s="276" t="s">
        <v>6050</v>
      </c>
      <c r="B245" s="276" t="s">
        <v>4192</v>
      </c>
      <c r="C245" s="278" t="str">
        <f t="shared" si="5"/>
        <v>https://pubmed.ncbi.nlm.nih.gov/?term=PMC4879391</v>
      </c>
      <c r="D245" s="352">
        <v>42491</v>
      </c>
      <c r="G245" s="28" t="s">
        <v>511</v>
      </c>
    </row>
    <row r="246" spans="1:7" ht="12.75">
      <c r="A246" s="276" t="s">
        <v>6051</v>
      </c>
      <c r="B246" s="276" t="s">
        <v>4236</v>
      </c>
      <c r="C246" s="278" t="str">
        <f t="shared" si="5"/>
        <v>https://pubmed.ncbi.nlm.nih.gov/?term=PMC7960709</v>
      </c>
      <c r="D246" s="351">
        <v>44256</v>
      </c>
      <c r="G246" s="28" t="s">
        <v>511</v>
      </c>
    </row>
    <row r="247" spans="1:7" ht="12.75">
      <c r="A247" s="276" t="s">
        <v>6052</v>
      </c>
      <c r="B247" s="276" t="s">
        <v>6053</v>
      </c>
      <c r="C247" s="278" t="str">
        <f t="shared" si="5"/>
        <v>https://pubmed.ncbi.nlm.nih.gov/?term=PMC4634548</v>
      </c>
      <c r="D247" s="351">
        <v>40725</v>
      </c>
      <c r="E247" s="28" t="s">
        <v>511</v>
      </c>
      <c r="F247" s="28" t="s">
        <v>8387</v>
      </c>
    </row>
    <row r="248" spans="1:7" ht="12.75">
      <c r="A248" s="276" t="s">
        <v>6054</v>
      </c>
      <c r="B248" s="276" t="s">
        <v>6055</v>
      </c>
      <c r="C248" s="278" t="str">
        <f t="shared" si="5"/>
        <v>https://pubmed.ncbi.nlm.nih.gov/?term=PMC7000814</v>
      </c>
      <c r="D248" s="351">
        <v>43862</v>
      </c>
      <c r="E248" s="28" t="s">
        <v>511</v>
      </c>
      <c r="F248" s="28" t="s">
        <v>4592</v>
      </c>
    </row>
    <row r="249" spans="1:7" ht="12.75">
      <c r="A249" s="276" t="s">
        <v>6056</v>
      </c>
      <c r="B249" s="276" t="s">
        <v>6057</v>
      </c>
      <c r="C249" s="278" t="str">
        <f t="shared" si="5"/>
        <v>https://pubmed.ncbi.nlm.nih.gov/?term=PMC7563445</v>
      </c>
      <c r="D249" s="351">
        <v>44044</v>
      </c>
      <c r="E249" s="28" t="s">
        <v>511</v>
      </c>
      <c r="F249" s="28" t="s">
        <v>8390</v>
      </c>
    </row>
    <row r="250" spans="1:7" ht="12.75">
      <c r="A250" s="276" t="s">
        <v>6058</v>
      </c>
      <c r="B250" s="276" t="s">
        <v>6059</v>
      </c>
      <c r="C250" s="278" t="str">
        <f t="shared" si="5"/>
        <v>https://pubmed.ncbi.nlm.nih.gov/?term=PMC6632022</v>
      </c>
      <c r="D250" s="351">
        <v>43556</v>
      </c>
      <c r="E250" s="28" t="s">
        <v>511</v>
      </c>
      <c r="F250" s="28" t="s">
        <v>4592</v>
      </c>
    </row>
    <row r="251" spans="1:7" ht="12.75">
      <c r="A251" s="276" t="s">
        <v>6060</v>
      </c>
      <c r="B251" s="276" t="s">
        <v>6061</v>
      </c>
      <c r="C251" s="278" t="str">
        <f t="shared" si="5"/>
        <v>https://pubmed.ncbi.nlm.nih.gov/?term=PMC7388715</v>
      </c>
      <c r="D251" s="351">
        <v>44013</v>
      </c>
      <c r="E251" s="28" t="s">
        <v>511</v>
      </c>
      <c r="F251" s="28" t="s">
        <v>6062</v>
      </c>
    </row>
    <row r="252" spans="1:7" ht="12.75">
      <c r="A252" s="276" t="s">
        <v>6063</v>
      </c>
      <c r="B252" s="276" t="s">
        <v>6064</v>
      </c>
      <c r="C252" s="278" t="str">
        <f t="shared" si="5"/>
        <v>https://pubmed.ncbi.nlm.nih.gov/?term=PMC98531</v>
      </c>
      <c r="D252" s="351">
        <v>37073</v>
      </c>
      <c r="E252" s="28" t="s">
        <v>511</v>
      </c>
      <c r="F252" s="28" t="s">
        <v>4744</v>
      </c>
    </row>
    <row r="253" spans="1:7" ht="12.75">
      <c r="A253" s="276" t="s">
        <v>6065</v>
      </c>
      <c r="B253" s="276" t="s">
        <v>729</v>
      </c>
      <c r="C253" s="281" t="s">
        <v>4561</v>
      </c>
      <c r="D253" s="351">
        <v>43739</v>
      </c>
      <c r="G253" s="28" t="s">
        <v>511</v>
      </c>
    </row>
    <row r="254" spans="1:7" ht="12.75">
      <c r="A254" s="276" t="s">
        <v>6066</v>
      </c>
      <c r="B254" s="276" t="s">
        <v>6067</v>
      </c>
      <c r="C254" s="278" t="str">
        <f t="shared" ref="C254:C305" si="6">"https://pubmed.ncbi.nlm.nih.gov/?term="&amp;B254</f>
        <v>https://pubmed.ncbi.nlm.nih.gov/?term=PMC5410715</v>
      </c>
      <c r="D254" s="352">
        <v>42856</v>
      </c>
      <c r="E254" s="28" t="s">
        <v>511</v>
      </c>
      <c r="F254" s="28" t="s">
        <v>4592</v>
      </c>
    </row>
    <row r="255" spans="1:7" ht="12.75">
      <c r="A255" s="276" t="s">
        <v>6068</v>
      </c>
      <c r="B255" s="276" t="s">
        <v>6069</v>
      </c>
      <c r="C255" s="278" t="str">
        <f t="shared" si="6"/>
        <v>https://pubmed.ncbi.nlm.nih.gov/?term=PMC7373149</v>
      </c>
      <c r="D255" s="351">
        <v>44013</v>
      </c>
      <c r="E255" s="28" t="s">
        <v>511</v>
      </c>
      <c r="F255" s="28" t="s">
        <v>8409</v>
      </c>
    </row>
    <row r="256" spans="1:7" ht="12.75">
      <c r="A256" s="276" t="s">
        <v>6071</v>
      </c>
      <c r="B256" s="276" t="s">
        <v>6072</v>
      </c>
      <c r="C256" s="278" t="str">
        <f t="shared" si="6"/>
        <v>https://pubmed.ncbi.nlm.nih.gov/?term=PMC6818494</v>
      </c>
      <c r="D256" s="351">
        <v>43739</v>
      </c>
      <c r="E256" s="28" t="s">
        <v>511</v>
      </c>
      <c r="F256" s="28" t="s">
        <v>4656</v>
      </c>
    </row>
    <row r="257" spans="1:7" ht="12.75">
      <c r="A257" s="276" t="s">
        <v>6073</v>
      </c>
      <c r="B257" s="276" t="s">
        <v>6074</v>
      </c>
      <c r="C257" s="278" t="str">
        <f t="shared" si="6"/>
        <v>https://pubmed.ncbi.nlm.nih.gov/?term=PMC5555223</v>
      </c>
      <c r="D257" s="352">
        <v>41030</v>
      </c>
      <c r="E257" s="28" t="s">
        <v>511</v>
      </c>
      <c r="F257" s="28" t="s">
        <v>4592</v>
      </c>
    </row>
    <row r="258" spans="1:7" ht="12.75">
      <c r="A258" s="276" t="s">
        <v>6075</v>
      </c>
      <c r="B258" s="276" t="s">
        <v>6076</v>
      </c>
      <c r="C258" s="278" t="str">
        <f t="shared" si="6"/>
        <v>https://pubmed.ncbi.nlm.nih.gov/?term=PMC3349743</v>
      </c>
      <c r="D258" s="28">
        <v>2012</v>
      </c>
      <c r="E258" s="28" t="s">
        <v>511</v>
      </c>
      <c r="F258" s="28" t="s">
        <v>4592</v>
      </c>
    </row>
    <row r="259" spans="1:7" ht="12.75">
      <c r="A259" s="276" t="s">
        <v>6077</v>
      </c>
      <c r="B259" s="276" t="s">
        <v>6078</v>
      </c>
      <c r="C259" s="278" t="str">
        <f t="shared" si="6"/>
        <v>https://pubmed.ncbi.nlm.nih.gov/?term=PMC5736798</v>
      </c>
      <c r="D259" s="351">
        <v>43070</v>
      </c>
      <c r="E259" s="28" t="s">
        <v>511</v>
      </c>
      <c r="F259" s="28" t="s">
        <v>4592</v>
      </c>
    </row>
    <row r="260" spans="1:7" ht="12.75">
      <c r="A260" s="276" t="s">
        <v>6079</v>
      </c>
      <c r="B260" s="276" t="s">
        <v>6080</v>
      </c>
      <c r="C260" s="278" t="str">
        <f t="shared" si="6"/>
        <v>https://pubmed.ncbi.nlm.nih.gov/?term=PMC8014061</v>
      </c>
      <c r="D260" s="351">
        <v>44228</v>
      </c>
      <c r="E260" s="28" t="s">
        <v>511</v>
      </c>
      <c r="F260" s="28" t="s">
        <v>8390</v>
      </c>
    </row>
    <row r="261" spans="1:7" ht="12.75">
      <c r="A261" s="276" t="s">
        <v>6081</v>
      </c>
      <c r="B261" s="276" t="s">
        <v>4168</v>
      </c>
      <c r="C261" s="278" t="str">
        <f t="shared" si="6"/>
        <v>https://pubmed.ncbi.nlm.nih.gov/?term=PMC3712927</v>
      </c>
      <c r="D261" s="351">
        <v>41456</v>
      </c>
      <c r="G261" s="28" t="s">
        <v>511</v>
      </c>
    </row>
    <row r="262" spans="1:7" ht="12.75">
      <c r="A262" s="276" t="s">
        <v>6082</v>
      </c>
      <c r="B262" s="276" t="s">
        <v>6083</v>
      </c>
      <c r="C262" s="278" t="str">
        <f t="shared" si="6"/>
        <v>https://pubmed.ncbi.nlm.nih.gov/?term=PMC3036168</v>
      </c>
      <c r="D262" s="351">
        <v>40544</v>
      </c>
      <c r="E262" s="28" t="s">
        <v>511</v>
      </c>
      <c r="F262" s="28" t="s">
        <v>4592</v>
      </c>
    </row>
    <row r="263" spans="1:7" ht="12.75">
      <c r="A263" s="276" t="s">
        <v>6084</v>
      </c>
      <c r="B263" s="276" t="s">
        <v>6085</v>
      </c>
      <c r="C263" s="278" t="str">
        <f t="shared" si="6"/>
        <v>https://pubmed.ncbi.nlm.nih.gov/?term=PMC2694350</v>
      </c>
      <c r="D263" s="351">
        <v>39965</v>
      </c>
      <c r="E263" s="28" t="s">
        <v>511</v>
      </c>
      <c r="F263" s="28" t="s">
        <v>6086</v>
      </c>
    </row>
    <row r="264" spans="1:7" ht="12.75">
      <c r="A264" s="276" t="s">
        <v>6087</v>
      </c>
      <c r="B264" s="276" t="s">
        <v>4203</v>
      </c>
      <c r="C264" s="278" t="str">
        <f t="shared" si="6"/>
        <v>https://pubmed.ncbi.nlm.nih.gov/?term=PMC4371633</v>
      </c>
      <c r="D264" s="351">
        <v>42064</v>
      </c>
      <c r="G264" s="28" t="s">
        <v>511</v>
      </c>
    </row>
    <row r="265" spans="1:7" ht="12.75">
      <c r="A265" s="276" t="s">
        <v>6088</v>
      </c>
      <c r="B265" s="276" t="s">
        <v>6089</v>
      </c>
      <c r="C265" s="278" t="str">
        <f t="shared" si="6"/>
        <v>https://pubmed.ncbi.nlm.nih.gov/?term=PMC6871356</v>
      </c>
      <c r="D265" s="351">
        <v>43770</v>
      </c>
      <c r="E265" s="28" t="s">
        <v>511</v>
      </c>
      <c r="F265" s="28" t="s">
        <v>5668</v>
      </c>
    </row>
    <row r="266" spans="1:7" ht="12.75">
      <c r="A266" s="276" t="s">
        <v>6090</v>
      </c>
      <c r="B266" s="276" t="s">
        <v>6091</v>
      </c>
      <c r="C266" s="278" t="str">
        <f t="shared" si="6"/>
        <v>https://pubmed.ncbi.nlm.nih.gov/?term=PMC5853416</v>
      </c>
      <c r="D266" s="351">
        <v>43101</v>
      </c>
      <c r="E266" s="28" t="s">
        <v>8410</v>
      </c>
    </row>
    <row r="267" spans="1:7" ht="12.75">
      <c r="A267" s="276" t="s">
        <v>6092</v>
      </c>
      <c r="B267" s="276" t="s">
        <v>6093</v>
      </c>
      <c r="C267" s="278" t="str">
        <f t="shared" si="6"/>
        <v>https://pubmed.ncbi.nlm.nih.gov/?term=PMC6553913</v>
      </c>
      <c r="D267" s="351">
        <v>43617</v>
      </c>
      <c r="E267" s="28" t="s">
        <v>511</v>
      </c>
      <c r="F267" s="28" t="s">
        <v>6094</v>
      </c>
    </row>
    <row r="268" spans="1:7" ht="12.75">
      <c r="A268" s="276" t="s">
        <v>6095</v>
      </c>
      <c r="B268" s="276" t="s">
        <v>6096</v>
      </c>
      <c r="C268" s="278" t="str">
        <f t="shared" si="6"/>
        <v>https://pubmed.ncbi.nlm.nih.gov/?term=PMC116529</v>
      </c>
      <c r="D268" s="351">
        <v>36342</v>
      </c>
      <c r="E268" s="28" t="s">
        <v>511</v>
      </c>
      <c r="F268" s="28" t="s">
        <v>8408</v>
      </c>
    </row>
    <row r="269" spans="1:7" ht="12.75">
      <c r="A269" s="276" t="s">
        <v>6097</v>
      </c>
      <c r="B269" s="276" t="s">
        <v>6098</v>
      </c>
      <c r="C269" s="278" t="str">
        <f t="shared" si="6"/>
        <v>https://pubmed.ncbi.nlm.nih.gov/?term=PMC7108134</v>
      </c>
      <c r="D269" s="351">
        <v>44166</v>
      </c>
      <c r="E269" s="28" t="s">
        <v>511</v>
      </c>
      <c r="F269" s="28" t="s">
        <v>4744</v>
      </c>
    </row>
    <row r="270" spans="1:7" ht="12.75">
      <c r="A270" s="276" t="s">
        <v>6099</v>
      </c>
      <c r="B270" s="276" t="s">
        <v>4176</v>
      </c>
      <c r="C270" s="278" t="str">
        <f t="shared" si="6"/>
        <v>https://pubmed.ncbi.nlm.nih.gov/?term=PMC2958836</v>
      </c>
      <c r="D270" s="351">
        <v>40452</v>
      </c>
      <c r="G270" s="28" t="s">
        <v>511</v>
      </c>
    </row>
    <row r="271" spans="1:7" ht="12.75">
      <c r="A271" s="276" t="s">
        <v>6100</v>
      </c>
      <c r="B271" s="276" t="s">
        <v>6101</v>
      </c>
      <c r="C271" s="278" t="str">
        <f t="shared" si="6"/>
        <v>https://pubmed.ncbi.nlm.nih.gov/?term=PMC6676504</v>
      </c>
      <c r="D271" s="351">
        <v>43647</v>
      </c>
      <c r="E271" s="28" t="s">
        <v>511</v>
      </c>
      <c r="F271" s="28" t="s">
        <v>4592</v>
      </c>
    </row>
    <row r="272" spans="1:7" ht="12.75">
      <c r="A272" s="276" t="s">
        <v>6102</v>
      </c>
      <c r="B272" s="276" t="s">
        <v>4126</v>
      </c>
      <c r="C272" s="278" t="str">
        <f t="shared" si="6"/>
        <v>https://pubmed.ncbi.nlm.nih.gov/?term=PMC3032484</v>
      </c>
      <c r="D272" s="351">
        <v>40575</v>
      </c>
      <c r="G272" s="28" t="s">
        <v>511</v>
      </c>
    </row>
    <row r="273" spans="1:7" ht="12.75">
      <c r="A273" s="276" t="s">
        <v>6103</v>
      </c>
      <c r="B273" s="276" t="s">
        <v>6104</v>
      </c>
      <c r="C273" s="278" t="str">
        <f t="shared" si="6"/>
        <v>https://pubmed.ncbi.nlm.nih.gov/?term=PMC3532833</v>
      </c>
      <c r="D273" s="351">
        <v>41275</v>
      </c>
      <c r="E273" s="28" t="s">
        <v>511</v>
      </c>
      <c r="F273" s="28" t="s">
        <v>6105</v>
      </c>
    </row>
    <row r="274" spans="1:7" ht="12.75">
      <c r="A274" s="276" t="s">
        <v>6106</v>
      </c>
      <c r="B274" s="276" t="s">
        <v>4088</v>
      </c>
      <c r="C274" s="278" t="str">
        <f t="shared" si="6"/>
        <v>https://pubmed.ncbi.nlm.nih.gov/?term=PMC8017236</v>
      </c>
      <c r="D274" s="351">
        <v>44256</v>
      </c>
      <c r="G274" s="28" t="s">
        <v>511</v>
      </c>
    </row>
    <row r="275" spans="1:7" ht="12.75">
      <c r="A275" s="276" t="s">
        <v>6107</v>
      </c>
      <c r="B275" s="276" t="s">
        <v>6108</v>
      </c>
      <c r="C275" s="278" t="str">
        <f t="shared" si="6"/>
        <v>https://pubmed.ncbi.nlm.nih.gov/?term=PMC5388294</v>
      </c>
      <c r="D275" s="351">
        <v>42767</v>
      </c>
      <c r="E275" s="28" t="s">
        <v>511</v>
      </c>
      <c r="F275" s="28" t="s">
        <v>4744</v>
      </c>
    </row>
    <row r="276" spans="1:7" ht="12.75">
      <c r="A276" s="276" t="s">
        <v>6109</v>
      </c>
      <c r="B276" s="276" t="s">
        <v>6110</v>
      </c>
      <c r="C276" s="278" t="str">
        <f t="shared" si="6"/>
        <v>https://pubmed.ncbi.nlm.nih.gov/?term=PMC6538625</v>
      </c>
      <c r="D276" s="352">
        <v>43586</v>
      </c>
      <c r="E276" s="28" t="s">
        <v>511</v>
      </c>
      <c r="F276" s="28" t="s">
        <v>6111</v>
      </c>
    </row>
    <row r="277" spans="1:7" ht="12.75">
      <c r="A277" s="276" t="s">
        <v>6112</v>
      </c>
      <c r="B277" s="276" t="s">
        <v>6113</v>
      </c>
      <c r="C277" s="278" t="str">
        <f t="shared" si="6"/>
        <v>https://pubmed.ncbi.nlm.nih.gov/?term=PMC7217088</v>
      </c>
      <c r="D277" s="351">
        <v>43922</v>
      </c>
      <c r="E277" s="28" t="s">
        <v>511</v>
      </c>
      <c r="F277" s="28" t="s">
        <v>8409</v>
      </c>
    </row>
    <row r="278" spans="1:7" ht="12.75">
      <c r="A278" s="276" t="s">
        <v>6114</v>
      </c>
      <c r="B278" s="276" t="s">
        <v>6115</v>
      </c>
      <c r="C278" s="278" t="str">
        <f t="shared" si="6"/>
        <v>https://pubmed.ncbi.nlm.nih.gov/?term=PMC4166014</v>
      </c>
      <c r="D278" s="351">
        <v>41883</v>
      </c>
      <c r="E278" s="28" t="s">
        <v>511</v>
      </c>
      <c r="F278" s="28" t="s">
        <v>6116</v>
      </c>
    </row>
    <row r="279" spans="1:7" ht="12.75">
      <c r="A279" s="276" t="s">
        <v>6117</v>
      </c>
      <c r="B279" s="276" t="s">
        <v>4242</v>
      </c>
      <c r="C279" s="278" t="str">
        <f t="shared" si="6"/>
        <v>https://pubmed.ncbi.nlm.nih.gov/?term=PMC4974752</v>
      </c>
      <c r="D279" s="351">
        <v>42583</v>
      </c>
      <c r="G279" s="28" t="s">
        <v>511</v>
      </c>
    </row>
    <row r="280" spans="1:7" ht="12.75">
      <c r="A280" s="276" t="s">
        <v>6118</v>
      </c>
      <c r="B280" s="276" t="s">
        <v>6119</v>
      </c>
      <c r="C280" s="278" t="str">
        <f t="shared" si="6"/>
        <v>https://pubmed.ncbi.nlm.nih.gov/?term=PMC7800137</v>
      </c>
      <c r="D280" s="351">
        <v>44256</v>
      </c>
      <c r="E280" s="28" t="s">
        <v>511</v>
      </c>
      <c r="F280" s="28" t="s">
        <v>8390</v>
      </c>
    </row>
    <row r="281" spans="1:7" ht="12.75">
      <c r="A281" s="276" t="s">
        <v>6120</v>
      </c>
      <c r="B281" s="276" t="s">
        <v>6121</v>
      </c>
      <c r="C281" s="278" t="str">
        <f t="shared" si="6"/>
        <v>https://pubmed.ncbi.nlm.nih.gov/?term=PMC7299166</v>
      </c>
      <c r="D281" s="28">
        <v>2019</v>
      </c>
      <c r="E281" s="28" t="s">
        <v>511</v>
      </c>
      <c r="F281" s="28" t="s">
        <v>8411</v>
      </c>
    </row>
    <row r="282" spans="1:7" ht="12.75">
      <c r="A282" s="276" t="s">
        <v>6123</v>
      </c>
      <c r="B282" s="276" t="s">
        <v>4551</v>
      </c>
      <c r="C282" s="278" t="str">
        <f t="shared" si="6"/>
        <v>https://pubmed.ncbi.nlm.nih.gov/?term=PMC7924584</v>
      </c>
      <c r="D282" s="351">
        <v>44256</v>
      </c>
      <c r="G282" s="28" t="s">
        <v>511</v>
      </c>
    </row>
    <row r="283" spans="1:7" ht="12.75">
      <c r="A283" s="276" t="s">
        <v>6124</v>
      </c>
      <c r="B283" s="276" t="s">
        <v>4115</v>
      </c>
      <c r="C283" s="278" t="str">
        <f t="shared" si="6"/>
        <v>https://pubmed.ncbi.nlm.nih.gov/?term=PMC4527105</v>
      </c>
      <c r="D283" s="351">
        <v>42217</v>
      </c>
      <c r="G283" s="28" t="s">
        <v>511</v>
      </c>
    </row>
    <row r="284" spans="1:7" ht="12.75">
      <c r="A284" s="276" t="s">
        <v>6125</v>
      </c>
      <c r="B284" s="276" t="s">
        <v>6126</v>
      </c>
      <c r="C284" s="278" t="str">
        <f t="shared" si="6"/>
        <v>https://pubmed.ncbi.nlm.nih.gov/?term=PMC7836830</v>
      </c>
      <c r="D284" s="351">
        <v>44044</v>
      </c>
      <c r="E284" s="28" t="s">
        <v>511</v>
      </c>
      <c r="F284" s="28" t="s">
        <v>8390</v>
      </c>
    </row>
    <row r="285" spans="1:7" ht="12.75">
      <c r="A285" s="276" t="s">
        <v>5948</v>
      </c>
      <c r="B285" s="276" t="s">
        <v>4133</v>
      </c>
      <c r="C285" s="278" t="str">
        <f t="shared" si="6"/>
        <v>https://pubmed.ncbi.nlm.nih.gov/?term=PMC4264479</v>
      </c>
      <c r="D285" s="351">
        <v>41974</v>
      </c>
      <c r="G285" s="28" t="s">
        <v>511</v>
      </c>
    </row>
    <row r="286" spans="1:7" ht="12.75">
      <c r="A286" s="276" t="s">
        <v>6127</v>
      </c>
      <c r="B286" s="276" t="s">
        <v>6128</v>
      </c>
      <c r="C286" s="278" t="str">
        <f t="shared" si="6"/>
        <v>https://pubmed.ncbi.nlm.nih.gov/?term=PMC6201130</v>
      </c>
      <c r="D286" s="351">
        <v>43374</v>
      </c>
      <c r="E286" s="28" t="s">
        <v>511</v>
      </c>
      <c r="F286" s="28" t="s">
        <v>4744</v>
      </c>
    </row>
    <row r="287" spans="1:7" ht="12.75">
      <c r="A287" s="276" t="s">
        <v>6129</v>
      </c>
      <c r="B287" s="276" t="s">
        <v>6130</v>
      </c>
      <c r="C287" s="278" t="str">
        <f t="shared" si="6"/>
        <v>https://pubmed.ncbi.nlm.nih.gov/?term=PMC7733225</v>
      </c>
      <c r="D287" s="351">
        <v>44166</v>
      </c>
      <c r="E287" s="28" t="s">
        <v>511</v>
      </c>
      <c r="F287" s="28" t="s">
        <v>8390</v>
      </c>
    </row>
    <row r="288" spans="1:7" ht="12.75">
      <c r="A288" s="276" t="s">
        <v>6131</v>
      </c>
      <c r="B288" s="276" t="s">
        <v>6132</v>
      </c>
      <c r="C288" s="278" t="str">
        <f t="shared" si="6"/>
        <v>https://pubmed.ncbi.nlm.nih.gov/?term=PMC4519717</v>
      </c>
      <c r="D288" s="351">
        <v>42217</v>
      </c>
      <c r="E288" s="28" t="s">
        <v>511</v>
      </c>
      <c r="F288" s="28" t="s">
        <v>4592</v>
      </c>
    </row>
    <row r="289" spans="1:7" ht="12.75">
      <c r="A289" s="276" t="s">
        <v>4248</v>
      </c>
      <c r="B289" s="276" t="s">
        <v>4219</v>
      </c>
      <c r="C289" s="278" t="str">
        <f t="shared" si="6"/>
        <v>https://pubmed.ncbi.nlm.nih.gov/?term=PMC3541746</v>
      </c>
      <c r="D289" s="351">
        <v>41275</v>
      </c>
      <c r="G289" s="28" t="s">
        <v>511</v>
      </c>
    </row>
    <row r="290" spans="1:7" ht="12.75">
      <c r="A290" s="276" t="s">
        <v>6133</v>
      </c>
      <c r="B290" s="276" t="s">
        <v>4552</v>
      </c>
      <c r="C290" s="278" t="str">
        <f t="shared" si="6"/>
        <v>https://pubmed.ncbi.nlm.nih.gov/?term=PMC4775905</v>
      </c>
      <c r="D290" s="351">
        <v>42430</v>
      </c>
      <c r="G290" s="28" t="s">
        <v>511</v>
      </c>
    </row>
    <row r="291" spans="1:7" ht="12.75">
      <c r="A291" s="276" t="s">
        <v>6134</v>
      </c>
      <c r="B291" s="276" t="s">
        <v>6135</v>
      </c>
      <c r="C291" s="278" t="str">
        <f t="shared" si="6"/>
        <v>https://pubmed.ncbi.nlm.nih.gov/?term=PMC7983546</v>
      </c>
      <c r="D291" s="351">
        <v>44287</v>
      </c>
      <c r="E291" s="28" t="s">
        <v>511</v>
      </c>
      <c r="F291" s="28" t="s">
        <v>8390</v>
      </c>
    </row>
    <row r="292" spans="1:7" ht="12.75">
      <c r="A292" s="276" t="s">
        <v>6136</v>
      </c>
      <c r="B292" s="276" t="s">
        <v>6137</v>
      </c>
      <c r="C292" s="278" t="str">
        <f t="shared" si="6"/>
        <v>https://pubmed.ncbi.nlm.nih.gov/?term=PMC3944330</v>
      </c>
      <c r="D292" s="351">
        <v>41699</v>
      </c>
      <c r="E292" s="28" t="s">
        <v>511</v>
      </c>
      <c r="F292" s="28" t="s">
        <v>6138</v>
      </c>
    </row>
    <row r="293" spans="1:7" ht="12.75">
      <c r="A293" s="276" t="s">
        <v>6139</v>
      </c>
      <c r="B293" s="276" t="s">
        <v>4184</v>
      </c>
      <c r="C293" s="278" t="str">
        <f t="shared" si="6"/>
        <v>https://pubmed.ncbi.nlm.nih.gov/?term=PMC4392868</v>
      </c>
      <c r="D293" s="352">
        <v>42125</v>
      </c>
      <c r="G293" s="28" t="s">
        <v>511</v>
      </c>
    </row>
    <row r="294" spans="1:7" ht="12.75">
      <c r="A294" s="276" t="s">
        <v>6140</v>
      </c>
      <c r="B294" s="276" t="s">
        <v>6141</v>
      </c>
      <c r="C294" s="278" t="str">
        <f t="shared" si="6"/>
        <v>https://pubmed.ncbi.nlm.nih.gov/?term=PMC6592373</v>
      </c>
      <c r="D294" s="351">
        <v>43617</v>
      </c>
      <c r="E294" s="28" t="s">
        <v>511</v>
      </c>
      <c r="F294" s="28" t="s">
        <v>6142</v>
      </c>
    </row>
    <row r="295" spans="1:7" ht="12.75">
      <c r="A295" s="276" t="s">
        <v>6143</v>
      </c>
      <c r="B295" s="276" t="s">
        <v>6144</v>
      </c>
      <c r="C295" s="278" t="str">
        <f t="shared" si="6"/>
        <v>https://pubmed.ncbi.nlm.nih.gov/?term=PMC7472303</v>
      </c>
      <c r="D295" s="351">
        <v>44013</v>
      </c>
      <c r="E295" s="28" t="s">
        <v>511</v>
      </c>
      <c r="F295" s="28" t="s">
        <v>4592</v>
      </c>
    </row>
    <row r="296" spans="1:7" ht="12.75">
      <c r="A296" s="276" t="s">
        <v>6145</v>
      </c>
      <c r="B296" s="276" t="s">
        <v>6146</v>
      </c>
      <c r="C296" s="278" t="str">
        <f t="shared" si="6"/>
        <v>https://pubmed.ncbi.nlm.nih.gov/?term=PMC2627748</v>
      </c>
      <c r="D296" s="351">
        <v>36373</v>
      </c>
      <c r="E296" s="28" t="s">
        <v>511</v>
      </c>
      <c r="F296" s="28" t="s">
        <v>8390</v>
      </c>
    </row>
    <row r="297" spans="1:7" ht="12.75">
      <c r="A297" s="276" t="s">
        <v>6147</v>
      </c>
      <c r="B297" s="276" t="s">
        <v>6148</v>
      </c>
      <c r="C297" s="278" t="str">
        <f t="shared" si="6"/>
        <v>https://pubmed.ncbi.nlm.nih.gov/?term=PMC3855709</v>
      </c>
      <c r="D297" s="351">
        <v>41609</v>
      </c>
      <c r="E297" s="28" t="s">
        <v>511</v>
      </c>
      <c r="F297" s="28" t="s">
        <v>6149</v>
      </c>
    </row>
    <row r="298" spans="1:7" ht="12.75">
      <c r="A298" s="276" t="s">
        <v>6150</v>
      </c>
      <c r="B298" s="276" t="s">
        <v>6151</v>
      </c>
      <c r="C298" s="278" t="str">
        <f t="shared" si="6"/>
        <v>https://pubmed.ncbi.nlm.nih.gov/?term=PMC2600508</v>
      </c>
      <c r="D298" s="351">
        <v>39753</v>
      </c>
      <c r="E298" s="28" t="s">
        <v>511</v>
      </c>
      <c r="F298" s="28" t="s">
        <v>4592</v>
      </c>
    </row>
    <row r="299" spans="1:7" ht="12.75">
      <c r="A299" s="276" t="s">
        <v>6152</v>
      </c>
      <c r="B299" s="276" t="s">
        <v>4220</v>
      </c>
      <c r="C299" s="278" t="str">
        <f t="shared" si="6"/>
        <v>https://pubmed.ncbi.nlm.nih.gov/?term=PMC6515882</v>
      </c>
      <c r="D299" s="352">
        <v>43586</v>
      </c>
      <c r="G299" s="28" t="s">
        <v>511</v>
      </c>
    </row>
    <row r="300" spans="1:7" ht="12.75">
      <c r="A300" s="276" t="s">
        <v>6153</v>
      </c>
      <c r="B300" s="276" t="s">
        <v>6154</v>
      </c>
      <c r="C300" s="278" t="str">
        <f t="shared" si="6"/>
        <v>https://pubmed.ncbi.nlm.nih.gov/?term=PMC3740234</v>
      </c>
      <c r="D300" s="351">
        <v>41487</v>
      </c>
      <c r="E300" s="28" t="s">
        <v>511</v>
      </c>
      <c r="F300" s="28" t="s">
        <v>6155</v>
      </c>
    </row>
    <row r="301" spans="1:7" ht="12.75">
      <c r="A301" s="276" t="s">
        <v>6156</v>
      </c>
      <c r="B301" s="276" t="s">
        <v>4095</v>
      </c>
      <c r="C301" s="278" t="str">
        <f t="shared" si="6"/>
        <v>https://pubmed.ncbi.nlm.nih.gov/?term=PMC5873858</v>
      </c>
      <c r="D301" s="351">
        <v>43191</v>
      </c>
      <c r="G301" s="28" t="s">
        <v>511</v>
      </c>
    </row>
    <row r="302" spans="1:7" ht="12.75">
      <c r="A302" s="276" t="s">
        <v>6157</v>
      </c>
      <c r="B302" s="276" t="s">
        <v>4105</v>
      </c>
      <c r="C302" s="278" t="str">
        <f t="shared" si="6"/>
        <v>https://pubmed.ncbi.nlm.nih.gov/?term=PMC7714523</v>
      </c>
      <c r="D302" s="351">
        <v>44136</v>
      </c>
      <c r="G302" s="28" t="s">
        <v>511</v>
      </c>
    </row>
    <row r="303" spans="1:7" ht="12.75">
      <c r="A303" s="276" t="s">
        <v>6158</v>
      </c>
      <c r="B303" s="276" t="s">
        <v>4104</v>
      </c>
      <c r="C303" s="278" t="str">
        <f t="shared" si="6"/>
        <v>https://pubmed.ncbi.nlm.nih.gov/?term=PMC6985722</v>
      </c>
      <c r="D303" s="351">
        <v>43831</v>
      </c>
      <c r="G303" s="28" t="s">
        <v>511</v>
      </c>
    </row>
    <row r="304" spans="1:7" ht="12.75">
      <c r="A304" s="276" t="s">
        <v>6159</v>
      </c>
      <c r="B304" s="276" t="s">
        <v>4135</v>
      </c>
      <c r="C304" s="278" t="str">
        <f t="shared" si="6"/>
        <v>https://pubmed.ncbi.nlm.nih.gov/?term=PMC2682218</v>
      </c>
      <c r="D304" s="351">
        <v>39965</v>
      </c>
      <c r="G304" s="28" t="s">
        <v>511</v>
      </c>
    </row>
    <row r="305" spans="1:7" ht="12.75">
      <c r="A305" s="276" t="s">
        <v>5828</v>
      </c>
      <c r="B305" s="276" t="s">
        <v>6160</v>
      </c>
      <c r="C305" s="278" t="str">
        <f t="shared" si="6"/>
        <v>https://pubmed.ncbi.nlm.nih.gov/?term=PMC5270241</v>
      </c>
      <c r="D305" s="351">
        <v>42767</v>
      </c>
      <c r="E305" s="28" t="s">
        <v>511</v>
      </c>
      <c r="F305" s="28" t="s">
        <v>4592</v>
      </c>
    </row>
    <row r="306" spans="1:7" ht="12.75">
      <c r="A306" s="276" t="s">
        <v>6161</v>
      </c>
      <c r="B306" s="276" t="s">
        <v>6162</v>
      </c>
      <c r="C306" s="281" t="s">
        <v>6163</v>
      </c>
      <c r="D306" s="28">
        <v>2009</v>
      </c>
      <c r="E306" s="28" t="s">
        <v>511</v>
      </c>
      <c r="F306" s="28" t="s">
        <v>4592</v>
      </c>
    </row>
    <row r="307" spans="1:7" ht="12.75">
      <c r="A307" s="276" t="s">
        <v>6021</v>
      </c>
      <c r="B307" s="276" t="s">
        <v>6164</v>
      </c>
      <c r="C307" s="278" t="str">
        <f t="shared" ref="C307:C331" si="7">"https://pubmed.ncbi.nlm.nih.gov/?term="&amp;B307</f>
        <v>https://pubmed.ncbi.nlm.nih.gov/?term=PMC5718783</v>
      </c>
      <c r="D307" s="351">
        <v>43070</v>
      </c>
      <c r="E307" s="28" t="s">
        <v>511</v>
      </c>
      <c r="F307" s="28" t="s">
        <v>8390</v>
      </c>
    </row>
    <row r="308" spans="1:7" ht="12.75">
      <c r="A308" s="276" t="s">
        <v>6165</v>
      </c>
      <c r="B308" s="276" t="s">
        <v>6166</v>
      </c>
      <c r="C308" s="278" t="str">
        <f t="shared" si="7"/>
        <v>https://pubmed.ncbi.nlm.nih.gov/?term=PMC5006216</v>
      </c>
      <c r="D308" s="351">
        <v>42583</v>
      </c>
      <c r="E308" s="28" t="s">
        <v>511</v>
      </c>
      <c r="F308" s="28" t="s">
        <v>4592</v>
      </c>
    </row>
    <row r="309" spans="1:7" ht="12.75">
      <c r="A309" s="276" t="s">
        <v>5850</v>
      </c>
      <c r="B309" s="276" t="s">
        <v>6167</v>
      </c>
      <c r="C309" s="278" t="str">
        <f t="shared" si="7"/>
        <v>https://pubmed.ncbi.nlm.nih.gov/?term=PMC7521561</v>
      </c>
      <c r="D309" s="351">
        <v>44136</v>
      </c>
      <c r="E309" s="28" t="s">
        <v>511</v>
      </c>
      <c r="F309" s="28" t="s">
        <v>8393</v>
      </c>
    </row>
    <row r="310" spans="1:7" ht="12.75">
      <c r="A310" s="276" t="s">
        <v>6169</v>
      </c>
      <c r="B310" s="276" t="s">
        <v>6170</v>
      </c>
      <c r="C310" s="278" t="str">
        <f t="shared" si="7"/>
        <v>https://pubmed.ncbi.nlm.nih.gov/?term=PMC7117347</v>
      </c>
      <c r="D310" s="351">
        <v>42767</v>
      </c>
      <c r="E310" s="28" t="s">
        <v>511</v>
      </c>
      <c r="F310" s="28" t="s">
        <v>6171</v>
      </c>
    </row>
    <row r="311" spans="1:7" ht="12.75">
      <c r="A311" s="276" t="s">
        <v>5641</v>
      </c>
      <c r="B311" s="276" t="s">
        <v>4130</v>
      </c>
      <c r="C311" s="278" t="str">
        <f t="shared" si="7"/>
        <v>https://pubmed.ncbi.nlm.nih.gov/?term=PMC4416324</v>
      </c>
      <c r="D311" s="351">
        <v>42095</v>
      </c>
      <c r="G311" s="28" t="s">
        <v>511</v>
      </c>
    </row>
    <row r="312" spans="1:7" ht="12.75">
      <c r="A312" s="276" t="s">
        <v>6172</v>
      </c>
      <c r="B312" s="276" t="s">
        <v>6173</v>
      </c>
      <c r="C312" s="278" t="str">
        <f t="shared" si="7"/>
        <v>https://pubmed.ncbi.nlm.nih.gov/?term=PMC1088568</v>
      </c>
      <c r="D312" s="351">
        <v>37226</v>
      </c>
      <c r="E312" s="28" t="s">
        <v>511</v>
      </c>
      <c r="F312" s="28" t="s">
        <v>4592</v>
      </c>
    </row>
    <row r="313" spans="1:7" ht="12.75">
      <c r="A313" s="276" t="s">
        <v>6174</v>
      </c>
      <c r="B313" s="276" t="s">
        <v>6175</v>
      </c>
      <c r="C313" s="278" t="str">
        <f t="shared" si="7"/>
        <v>https://pubmed.ncbi.nlm.nih.gov/?term=PMC6248228</v>
      </c>
      <c r="D313" s="351">
        <v>43405</v>
      </c>
      <c r="E313" s="28" t="s">
        <v>511</v>
      </c>
      <c r="F313" s="28" t="s">
        <v>4744</v>
      </c>
    </row>
    <row r="314" spans="1:7" ht="12.75">
      <c r="A314" s="276" t="s">
        <v>6176</v>
      </c>
      <c r="B314" s="276" t="s">
        <v>6177</v>
      </c>
      <c r="C314" s="278" t="str">
        <f t="shared" si="7"/>
        <v>https://pubmed.ncbi.nlm.nih.gov/?term=PMC7670994</v>
      </c>
      <c r="D314" s="351">
        <v>44136</v>
      </c>
      <c r="E314" s="28" t="s">
        <v>511</v>
      </c>
      <c r="F314" s="28" t="s">
        <v>4592</v>
      </c>
    </row>
    <row r="315" spans="1:7" ht="12.75">
      <c r="A315" s="276" t="s">
        <v>6178</v>
      </c>
      <c r="B315" s="276" t="s">
        <v>6179</v>
      </c>
      <c r="C315" s="278" t="str">
        <f t="shared" si="7"/>
        <v>https://pubmed.ncbi.nlm.nih.gov/?term=PMC5608565</v>
      </c>
      <c r="D315" s="351">
        <v>42979</v>
      </c>
      <c r="E315" s="28" t="s">
        <v>511</v>
      </c>
      <c r="F315" s="28" t="s">
        <v>4744</v>
      </c>
    </row>
    <row r="316" spans="1:7" ht="12.75">
      <c r="A316" s="276" t="s">
        <v>6112</v>
      </c>
      <c r="B316" s="276" t="s">
        <v>6180</v>
      </c>
      <c r="C316" s="278" t="str">
        <f t="shared" si="7"/>
        <v>https://pubmed.ncbi.nlm.nih.gov/?term=PMC7499300</v>
      </c>
      <c r="D316" s="351">
        <v>44075</v>
      </c>
      <c r="E316" s="28" t="s">
        <v>511</v>
      </c>
      <c r="F316" s="28" t="s">
        <v>5273</v>
      </c>
    </row>
    <row r="317" spans="1:7" ht="12.75">
      <c r="A317" s="276" t="s">
        <v>5812</v>
      </c>
      <c r="B317" s="276" t="s">
        <v>4110</v>
      </c>
      <c r="C317" s="278" t="str">
        <f t="shared" si="7"/>
        <v>https://pubmed.ncbi.nlm.nih.gov/?term=PMC5147828</v>
      </c>
      <c r="D317" s="351">
        <v>42705</v>
      </c>
      <c r="G317" s="28" t="s">
        <v>511</v>
      </c>
    </row>
    <row r="318" spans="1:7" ht="12.75">
      <c r="A318" s="276" t="s">
        <v>6181</v>
      </c>
      <c r="B318" s="276" t="s">
        <v>4235</v>
      </c>
      <c r="C318" s="278" t="str">
        <f t="shared" si="7"/>
        <v>https://pubmed.ncbi.nlm.nih.gov/?term=PMC3549599</v>
      </c>
      <c r="D318" s="351">
        <v>41306</v>
      </c>
      <c r="G318" s="28" t="s">
        <v>511</v>
      </c>
    </row>
    <row r="319" spans="1:7" ht="12.75">
      <c r="A319" s="276" t="s">
        <v>6182</v>
      </c>
      <c r="B319" s="276" t="s">
        <v>6183</v>
      </c>
      <c r="C319" s="278" t="str">
        <f t="shared" si="7"/>
        <v>https://pubmed.ncbi.nlm.nih.gov/?term=PMC6066571</v>
      </c>
      <c r="D319" s="351">
        <v>43282</v>
      </c>
      <c r="E319" s="28" t="s">
        <v>511</v>
      </c>
      <c r="F319" s="28" t="s">
        <v>6184</v>
      </c>
    </row>
    <row r="320" spans="1:7" ht="12.75">
      <c r="A320" s="276" t="s">
        <v>6185</v>
      </c>
      <c r="B320" s="276" t="s">
        <v>4226</v>
      </c>
      <c r="C320" s="278" t="str">
        <f t="shared" si="7"/>
        <v>https://pubmed.ncbi.nlm.nih.gov/?term=PMC3688861</v>
      </c>
      <c r="D320" s="351">
        <v>41426</v>
      </c>
      <c r="G320" s="28" t="s">
        <v>511</v>
      </c>
    </row>
    <row r="321" spans="1:7" ht="12.75">
      <c r="A321" s="276" t="s">
        <v>6186</v>
      </c>
      <c r="B321" s="276" t="s">
        <v>4558</v>
      </c>
      <c r="C321" s="278" t="str">
        <f t="shared" si="7"/>
        <v>https://pubmed.ncbi.nlm.nih.gov/?term=PMC4403409</v>
      </c>
      <c r="D321" s="351">
        <v>42095</v>
      </c>
      <c r="G321" s="28" t="s">
        <v>511</v>
      </c>
    </row>
    <row r="322" spans="1:7" ht="12.75">
      <c r="A322" s="276" t="s">
        <v>6187</v>
      </c>
      <c r="B322" s="276" t="s">
        <v>6188</v>
      </c>
      <c r="C322" s="278" t="str">
        <f t="shared" si="7"/>
        <v>https://pubmed.ncbi.nlm.nih.gov/?term=PMC4795782</v>
      </c>
      <c r="D322" s="351">
        <v>42430</v>
      </c>
      <c r="E322" s="28" t="s">
        <v>511</v>
      </c>
      <c r="F322" s="28" t="s">
        <v>8390</v>
      </c>
    </row>
    <row r="323" spans="1:7" ht="12.75">
      <c r="A323" s="276" t="s">
        <v>6189</v>
      </c>
      <c r="B323" s="276" t="s">
        <v>4554</v>
      </c>
      <c r="C323" s="278" t="str">
        <f t="shared" si="7"/>
        <v>https://pubmed.ncbi.nlm.nih.gov/?term=PMC4208622</v>
      </c>
      <c r="D323" s="351">
        <v>41944</v>
      </c>
      <c r="G323" s="28" t="s">
        <v>511</v>
      </c>
    </row>
    <row r="324" spans="1:7" ht="12.75">
      <c r="A324" s="276" t="s">
        <v>6190</v>
      </c>
      <c r="B324" s="276" t="s">
        <v>6191</v>
      </c>
      <c r="C324" s="278" t="str">
        <f t="shared" si="7"/>
        <v>https://pubmed.ncbi.nlm.nih.gov/?term=PMC4391613</v>
      </c>
      <c r="D324" s="28">
        <v>2015</v>
      </c>
      <c r="E324" s="28" t="s">
        <v>511</v>
      </c>
      <c r="F324" s="28" t="s">
        <v>4744</v>
      </c>
    </row>
    <row r="325" spans="1:7" ht="12.75">
      <c r="A325" s="276" t="s">
        <v>6192</v>
      </c>
      <c r="B325" s="276" t="s">
        <v>6193</v>
      </c>
      <c r="C325" s="278" t="str">
        <f t="shared" si="7"/>
        <v>https://pubmed.ncbi.nlm.nih.gov/?term=PMC7670927</v>
      </c>
      <c r="D325" s="351">
        <v>44044</v>
      </c>
      <c r="E325" s="28" t="s">
        <v>511</v>
      </c>
      <c r="F325" s="28" t="s">
        <v>4592</v>
      </c>
    </row>
    <row r="326" spans="1:7" ht="12.75">
      <c r="A326" s="276" t="s">
        <v>6194</v>
      </c>
      <c r="B326" s="276" t="s">
        <v>6195</v>
      </c>
      <c r="C326" s="278" t="str">
        <f t="shared" si="7"/>
        <v>https://pubmed.ncbi.nlm.nih.gov/?term=PMC1865773</v>
      </c>
      <c r="D326" s="352">
        <v>39203</v>
      </c>
      <c r="E326" s="28" t="s">
        <v>511</v>
      </c>
      <c r="F326" s="28" t="s">
        <v>4744</v>
      </c>
    </row>
    <row r="327" spans="1:7" ht="12.75">
      <c r="A327" s="276" t="s">
        <v>6196</v>
      </c>
      <c r="B327" s="276" t="s">
        <v>6197</v>
      </c>
      <c r="C327" s="278" t="str">
        <f t="shared" si="7"/>
        <v>https://pubmed.ncbi.nlm.nih.gov/?term=PMC3909449</v>
      </c>
      <c r="D327" s="351">
        <v>41640</v>
      </c>
      <c r="E327" s="28" t="s">
        <v>511</v>
      </c>
      <c r="F327" s="28" t="s">
        <v>4536</v>
      </c>
    </row>
    <row r="328" spans="1:7" ht="12.75">
      <c r="A328" s="276" t="s">
        <v>6189</v>
      </c>
      <c r="B328" s="276" t="s">
        <v>4556</v>
      </c>
      <c r="C328" s="278" t="str">
        <f t="shared" si="7"/>
        <v>https://pubmed.ncbi.nlm.nih.gov/?term=PMC3651438</v>
      </c>
      <c r="D328" s="352">
        <v>41395</v>
      </c>
      <c r="G328" s="28" t="s">
        <v>511</v>
      </c>
    </row>
    <row r="329" spans="1:7" ht="12.75">
      <c r="A329" s="276" t="s">
        <v>6050</v>
      </c>
      <c r="B329" s="276" t="s">
        <v>4195</v>
      </c>
      <c r="C329" s="278" t="str">
        <f t="shared" si="7"/>
        <v>https://pubmed.ncbi.nlm.nih.gov/?term=PMC3888148</v>
      </c>
      <c r="D329" s="351">
        <v>41579</v>
      </c>
      <c r="G329" s="28" t="s">
        <v>511</v>
      </c>
    </row>
    <row r="330" spans="1:7" ht="12.75">
      <c r="A330" s="276" t="s">
        <v>6198</v>
      </c>
      <c r="B330" s="276" t="s">
        <v>6199</v>
      </c>
      <c r="C330" s="278" t="str">
        <f t="shared" si="7"/>
        <v>https://pubmed.ncbi.nlm.nih.gov/?term=PMC97395</v>
      </c>
      <c r="D330" s="351">
        <v>36617</v>
      </c>
      <c r="E330" s="28" t="s">
        <v>511</v>
      </c>
      <c r="F330" s="28" t="s">
        <v>6200</v>
      </c>
    </row>
    <row r="331" spans="1:7" ht="12.75">
      <c r="A331" s="276" t="s">
        <v>6201</v>
      </c>
      <c r="B331" s="276" t="s">
        <v>6202</v>
      </c>
      <c r="C331" s="278" t="str">
        <f t="shared" si="7"/>
        <v>https://pubmed.ncbi.nlm.nih.gov/?term=PMC7132446</v>
      </c>
      <c r="D331" s="351">
        <v>43647</v>
      </c>
      <c r="E331" s="28" t="s">
        <v>511</v>
      </c>
      <c r="F331" s="28" t="s">
        <v>8405</v>
      </c>
    </row>
    <row r="332" spans="1:7" ht="12.75">
      <c r="A332" s="276" t="s">
        <v>6204</v>
      </c>
      <c r="B332" s="276" t="s">
        <v>6205</v>
      </c>
      <c r="C332" s="281" t="s">
        <v>6206</v>
      </c>
      <c r="D332" s="28">
        <v>2019</v>
      </c>
      <c r="E332" s="28" t="s">
        <v>511</v>
      </c>
      <c r="F332" s="28" t="s">
        <v>4592</v>
      </c>
    </row>
    <row r="333" spans="1:7" ht="12.75">
      <c r="A333" s="276" t="s">
        <v>6207</v>
      </c>
      <c r="B333" s="276" t="s">
        <v>4125</v>
      </c>
      <c r="C333" s="278" t="str">
        <f t="shared" ref="C333:C358" si="8">"https://pubmed.ncbi.nlm.nih.gov/?term="&amp;B333</f>
        <v>https://pubmed.ncbi.nlm.nih.gov/?term=PMC7486848</v>
      </c>
      <c r="D333" s="351">
        <v>44075</v>
      </c>
      <c r="G333" s="28" t="s">
        <v>511</v>
      </c>
    </row>
    <row r="334" spans="1:7" ht="12.75">
      <c r="A334" s="276" t="s">
        <v>6208</v>
      </c>
      <c r="B334" s="276" t="s">
        <v>6209</v>
      </c>
      <c r="C334" s="278" t="str">
        <f t="shared" si="8"/>
        <v>https://pubmed.ncbi.nlm.nih.gov/?term=PMC7388713</v>
      </c>
      <c r="D334" s="351">
        <v>44013</v>
      </c>
      <c r="E334" s="28" t="s">
        <v>511</v>
      </c>
      <c r="F334" s="28" t="s">
        <v>8387</v>
      </c>
    </row>
    <row r="335" spans="1:7" ht="12.75">
      <c r="A335" s="276" t="s">
        <v>6211</v>
      </c>
      <c r="B335" s="276" t="s">
        <v>6212</v>
      </c>
      <c r="C335" s="278" t="str">
        <f t="shared" si="8"/>
        <v>https://pubmed.ncbi.nlm.nih.gov/?term=PMC5233505</v>
      </c>
      <c r="D335" s="351">
        <v>42705</v>
      </c>
      <c r="E335" s="28" t="s">
        <v>511</v>
      </c>
      <c r="F335" s="28" t="s">
        <v>8390</v>
      </c>
    </row>
    <row r="336" spans="1:7" ht="12.75">
      <c r="A336" s="276" t="s">
        <v>6213</v>
      </c>
      <c r="B336" s="276" t="s">
        <v>6214</v>
      </c>
      <c r="C336" s="278" t="str">
        <f t="shared" si="8"/>
        <v>https://pubmed.ncbi.nlm.nih.gov/?term=PMC4468738</v>
      </c>
      <c r="D336" s="351">
        <v>42186</v>
      </c>
      <c r="E336" s="28" t="s">
        <v>511</v>
      </c>
      <c r="F336" s="28" t="s">
        <v>6215</v>
      </c>
    </row>
    <row r="337" spans="1:7" ht="12.75">
      <c r="A337" s="276" t="s">
        <v>6216</v>
      </c>
      <c r="B337" s="276" t="s">
        <v>6217</v>
      </c>
      <c r="C337" s="278" t="str">
        <f t="shared" si="8"/>
        <v>https://pubmed.ncbi.nlm.nih.gov/?term=PMC4075043</v>
      </c>
      <c r="D337" s="28">
        <v>2014</v>
      </c>
      <c r="E337" s="28" t="s">
        <v>511</v>
      </c>
      <c r="F337" s="28" t="s">
        <v>4592</v>
      </c>
    </row>
    <row r="338" spans="1:7" ht="12.75">
      <c r="A338" s="276" t="s">
        <v>6218</v>
      </c>
      <c r="B338" s="276" t="s">
        <v>6219</v>
      </c>
      <c r="C338" s="278" t="str">
        <f t="shared" si="8"/>
        <v>https://pubmed.ncbi.nlm.nih.gov/?term=PMC7968658</v>
      </c>
      <c r="D338" s="351">
        <v>44256</v>
      </c>
      <c r="E338" s="28" t="s">
        <v>511</v>
      </c>
      <c r="F338" s="28" t="s">
        <v>8412</v>
      </c>
    </row>
    <row r="339" spans="1:7" ht="12.75">
      <c r="A339" s="276" t="s">
        <v>6221</v>
      </c>
      <c r="B339" s="276" t="s">
        <v>6222</v>
      </c>
      <c r="C339" s="278" t="str">
        <f t="shared" si="8"/>
        <v>https://pubmed.ncbi.nlm.nih.gov/?term=PMC3685552</v>
      </c>
      <c r="D339" s="351">
        <v>41426</v>
      </c>
      <c r="E339" s="28" t="s">
        <v>511</v>
      </c>
      <c r="F339" s="28" t="s">
        <v>4592</v>
      </c>
    </row>
    <row r="340" spans="1:7" ht="12.75">
      <c r="A340" s="276" t="s">
        <v>6223</v>
      </c>
      <c r="B340" s="276" t="s">
        <v>6224</v>
      </c>
      <c r="C340" s="278" t="str">
        <f t="shared" si="8"/>
        <v>https://pubmed.ncbi.nlm.nih.gov/?term=PMC3472257</v>
      </c>
      <c r="D340" s="351">
        <v>41153</v>
      </c>
      <c r="E340" s="28" t="s">
        <v>511</v>
      </c>
      <c r="F340" s="28" t="s">
        <v>4592</v>
      </c>
    </row>
    <row r="341" spans="1:7" ht="12.75">
      <c r="A341" s="276" t="s">
        <v>6225</v>
      </c>
      <c r="B341" s="276" t="s">
        <v>6226</v>
      </c>
      <c r="C341" s="278" t="str">
        <f t="shared" si="8"/>
        <v>https://pubmed.ncbi.nlm.nih.gov/?term=PMC6941345</v>
      </c>
      <c r="D341" s="351">
        <v>43770</v>
      </c>
      <c r="E341" s="28" t="s">
        <v>511</v>
      </c>
      <c r="F341" s="28" t="s">
        <v>6227</v>
      </c>
    </row>
    <row r="342" spans="1:7" ht="12.75">
      <c r="A342" s="276" t="s">
        <v>6228</v>
      </c>
      <c r="B342" s="276" t="s">
        <v>6229</v>
      </c>
      <c r="C342" s="278" t="str">
        <f t="shared" si="8"/>
        <v>https://pubmed.ncbi.nlm.nih.gov/?term=PMC7356411</v>
      </c>
      <c r="D342" s="351">
        <v>44013</v>
      </c>
      <c r="E342" s="28" t="s">
        <v>511</v>
      </c>
      <c r="F342" s="28" t="s">
        <v>8387</v>
      </c>
    </row>
    <row r="343" spans="1:7" ht="12.75">
      <c r="A343" s="276" t="s">
        <v>6230</v>
      </c>
      <c r="B343" s="276" t="s">
        <v>4179</v>
      </c>
      <c r="C343" s="278" t="str">
        <f t="shared" si="8"/>
        <v>https://pubmed.ncbi.nlm.nih.gov/?term=PMC7108198</v>
      </c>
      <c r="D343" s="351">
        <v>44166</v>
      </c>
      <c r="G343" s="28" t="s">
        <v>511</v>
      </c>
    </row>
    <row r="344" spans="1:7" ht="12.75">
      <c r="A344" s="276" t="s">
        <v>6231</v>
      </c>
      <c r="B344" s="276" t="s">
        <v>6232</v>
      </c>
      <c r="C344" s="278" t="str">
        <f t="shared" si="8"/>
        <v>https://pubmed.ncbi.nlm.nih.gov/?term=PMC5759971</v>
      </c>
      <c r="D344" s="351">
        <v>41061</v>
      </c>
      <c r="E344" s="28" t="s">
        <v>511</v>
      </c>
      <c r="F344" s="28" t="s">
        <v>4592</v>
      </c>
    </row>
    <row r="345" spans="1:7" ht="12.75">
      <c r="A345" s="276" t="s">
        <v>6233</v>
      </c>
      <c r="B345" s="276" t="s">
        <v>6234</v>
      </c>
      <c r="C345" s="278" t="str">
        <f t="shared" si="8"/>
        <v>https://pubmed.ncbi.nlm.nih.gov/?term=PMC6635362</v>
      </c>
      <c r="D345" s="351">
        <v>43647</v>
      </c>
      <c r="E345" s="28" t="s">
        <v>511</v>
      </c>
      <c r="F345" s="28" t="s">
        <v>6235</v>
      </c>
    </row>
    <row r="346" spans="1:7" ht="12.75">
      <c r="A346" s="276" t="s">
        <v>6236</v>
      </c>
      <c r="B346" s="276" t="s">
        <v>6237</v>
      </c>
      <c r="C346" s="278" t="str">
        <f t="shared" si="8"/>
        <v>https://pubmed.ncbi.nlm.nih.gov/?term=PMC6871897</v>
      </c>
      <c r="D346" s="351">
        <v>43770</v>
      </c>
      <c r="E346" s="28" t="s">
        <v>511</v>
      </c>
      <c r="F346" s="28" t="s">
        <v>4592</v>
      </c>
    </row>
    <row r="347" spans="1:7" ht="12.75">
      <c r="A347" s="276" t="s">
        <v>6238</v>
      </c>
      <c r="B347" s="276" t="s">
        <v>6239</v>
      </c>
      <c r="C347" s="278" t="str">
        <f t="shared" si="8"/>
        <v>https://pubmed.ncbi.nlm.nih.gov/?term=PMC7449176</v>
      </c>
      <c r="D347" s="351">
        <v>44044</v>
      </c>
      <c r="E347" s="28" t="s">
        <v>511</v>
      </c>
      <c r="F347" s="28" t="s">
        <v>6240</v>
      </c>
    </row>
    <row r="348" spans="1:7" ht="12.75">
      <c r="A348" s="276" t="s">
        <v>6241</v>
      </c>
      <c r="B348" s="276" t="s">
        <v>6242</v>
      </c>
      <c r="C348" s="278" t="str">
        <f t="shared" si="8"/>
        <v>https://pubmed.ncbi.nlm.nih.gov/?term=PMC7807416</v>
      </c>
      <c r="D348" s="351">
        <v>44197</v>
      </c>
      <c r="E348" s="28" t="s">
        <v>511</v>
      </c>
      <c r="F348" s="28" t="s">
        <v>6243</v>
      </c>
    </row>
    <row r="349" spans="1:7" ht="12.75">
      <c r="A349" s="276" t="s">
        <v>6244</v>
      </c>
      <c r="B349" s="276" t="s">
        <v>6245</v>
      </c>
      <c r="C349" s="278" t="str">
        <f t="shared" si="8"/>
        <v>https://pubmed.ncbi.nlm.nih.gov/?term=PMC4824166</v>
      </c>
      <c r="D349" s="351">
        <v>42186</v>
      </c>
      <c r="E349" s="28" t="s">
        <v>511</v>
      </c>
      <c r="F349" s="28" t="s">
        <v>4592</v>
      </c>
    </row>
    <row r="350" spans="1:7" ht="12.75">
      <c r="A350" s="276" t="s">
        <v>6246</v>
      </c>
      <c r="B350" s="276" t="s">
        <v>6247</v>
      </c>
      <c r="C350" s="278" t="str">
        <f t="shared" si="8"/>
        <v>https://pubmed.ncbi.nlm.nih.gov/?term=PMC3906303</v>
      </c>
      <c r="D350" s="351">
        <v>41609</v>
      </c>
      <c r="E350" s="28" t="s">
        <v>511</v>
      </c>
      <c r="F350" s="28" t="s">
        <v>5273</v>
      </c>
    </row>
    <row r="351" spans="1:7" ht="12.75">
      <c r="A351" s="276" t="s">
        <v>6248</v>
      </c>
      <c r="B351" s="276" t="s">
        <v>4170</v>
      </c>
      <c r="C351" s="278" t="str">
        <f t="shared" si="8"/>
        <v>https://pubmed.ncbi.nlm.nih.gov/?term=PMC5929186</v>
      </c>
      <c r="D351" s="351">
        <v>43132</v>
      </c>
      <c r="G351" s="28" t="s">
        <v>511</v>
      </c>
    </row>
    <row r="352" spans="1:7" ht="12.75">
      <c r="A352" s="276" t="s">
        <v>6249</v>
      </c>
      <c r="B352" s="276" t="s">
        <v>6250</v>
      </c>
      <c r="C352" s="278" t="str">
        <f t="shared" si="8"/>
        <v>https://pubmed.ncbi.nlm.nih.gov/?term=PMC2621393</v>
      </c>
      <c r="D352" s="351">
        <v>39661</v>
      </c>
      <c r="E352" s="28" t="s">
        <v>6251</v>
      </c>
      <c r="F352" s="28" t="s">
        <v>8405</v>
      </c>
    </row>
    <row r="353" spans="1:7" ht="12.75">
      <c r="A353" s="276" t="s">
        <v>6252</v>
      </c>
      <c r="B353" s="276" t="s">
        <v>6253</v>
      </c>
      <c r="C353" s="278" t="str">
        <f t="shared" si="8"/>
        <v>https://pubmed.ncbi.nlm.nih.gov/?term=PMC4765712</v>
      </c>
      <c r="D353" s="351">
        <v>42401</v>
      </c>
      <c r="E353" s="28" t="s">
        <v>6251</v>
      </c>
      <c r="F353" s="28" t="s">
        <v>4592</v>
      </c>
    </row>
    <row r="354" spans="1:7" ht="12.75">
      <c r="A354" s="276" t="s">
        <v>6254</v>
      </c>
      <c r="B354" s="276" t="s">
        <v>4167</v>
      </c>
      <c r="C354" s="278" t="str">
        <f t="shared" si="8"/>
        <v>https://pubmed.ncbi.nlm.nih.gov/?term=PMC6169176</v>
      </c>
      <c r="D354" s="351">
        <v>43344</v>
      </c>
      <c r="G354" s="28" t="s">
        <v>511</v>
      </c>
    </row>
    <row r="355" spans="1:7" ht="12.75">
      <c r="A355" s="276" t="s">
        <v>6255</v>
      </c>
      <c r="B355" s="276" t="s">
        <v>4174</v>
      </c>
      <c r="C355" s="278" t="str">
        <f t="shared" si="8"/>
        <v>https://pubmed.ncbi.nlm.nih.gov/?term=PMC7493140</v>
      </c>
      <c r="D355" s="351">
        <v>44075</v>
      </c>
      <c r="G355" s="28" t="s">
        <v>511</v>
      </c>
    </row>
    <row r="356" spans="1:7" ht="12.75">
      <c r="A356" s="276" t="s">
        <v>6256</v>
      </c>
      <c r="B356" s="276" t="s">
        <v>6257</v>
      </c>
      <c r="C356" s="278" t="str">
        <f t="shared" si="8"/>
        <v>https://pubmed.ncbi.nlm.nih.gov/?term=PMC4970641</v>
      </c>
      <c r="D356" s="351">
        <v>42552</v>
      </c>
      <c r="E356" s="28" t="s">
        <v>511</v>
      </c>
      <c r="F356" s="28" t="s">
        <v>4592</v>
      </c>
    </row>
    <row r="357" spans="1:7" ht="12.75">
      <c r="A357" s="276" t="s">
        <v>6258</v>
      </c>
      <c r="B357" s="276" t="s">
        <v>6259</v>
      </c>
      <c r="C357" s="278" t="str">
        <f t="shared" si="8"/>
        <v>https://pubmed.ncbi.nlm.nih.gov/?term=PMC4444337</v>
      </c>
      <c r="D357" s="352">
        <v>42125</v>
      </c>
      <c r="E357" s="28" t="s">
        <v>8413</v>
      </c>
    </row>
    <row r="358" spans="1:7" ht="12.75">
      <c r="A358" s="276" t="s">
        <v>6261</v>
      </c>
      <c r="B358" s="276" t="s">
        <v>6262</v>
      </c>
      <c r="C358" s="278" t="str">
        <f t="shared" si="8"/>
        <v>https://pubmed.ncbi.nlm.nih.gov/?term=PMC4598153</v>
      </c>
      <c r="D358" s="351">
        <v>42278</v>
      </c>
      <c r="E358" s="28" t="s">
        <v>511</v>
      </c>
      <c r="F358" s="28" t="s">
        <v>8390</v>
      </c>
    </row>
    <row r="359" spans="1:7" ht="12.75">
      <c r="A359" s="276" t="s">
        <v>6263</v>
      </c>
      <c r="B359" s="276" t="s">
        <v>6264</v>
      </c>
      <c r="C359" s="281" t="s">
        <v>6265</v>
      </c>
      <c r="D359" s="351">
        <v>43647</v>
      </c>
      <c r="E359" s="28" t="s">
        <v>511</v>
      </c>
      <c r="F359" s="28" t="s">
        <v>6266</v>
      </c>
    </row>
    <row r="360" spans="1:7" ht="12.75">
      <c r="A360" s="276" t="s">
        <v>6267</v>
      </c>
      <c r="B360" s="276" t="s">
        <v>6268</v>
      </c>
      <c r="C360" s="278" t="str">
        <f t="shared" ref="C360:C370" si="9">"https://pubmed.ncbi.nlm.nih.gov/?term="&amp;B360</f>
        <v>https://pubmed.ncbi.nlm.nih.gov/?term=PMC7134186</v>
      </c>
      <c r="D360" s="352">
        <v>36647</v>
      </c>
      <c r="E360" s="28" t="s">
        <v>511</v>
      </c>
      <c r="F360" s="28" t="s">
        <v>8405</v>
      </c>
    </row>
    <row r="361" spans="1:7" ht="12.75">
      <c r="A361" s="276" t="s">
        <v>6021</v>
      </c>
      <c r="B361" s="276" t="s">
        <v>6269</v>
      </c>
      <c r="C361" s="278" t="str">
        <f t="shared" si="9"/>
        <v>https://pubmed.ncbi.nlm.nih.gov/?term=PMC7092343</v>
      </c>
      <c r="D361" s="28">
        <v>2019</v>
      </c>
      <c r="E361" s="28" t="s">
        <v>511</v>
      </c>
      <c r="F361" s="28" t="s">
        <v>8407</v>
      </c>
    </row>
    <row r="362" spans="1:7" ht="12.75">
      <c r="A362" s="276" t="s">
        <v>6120</v>
      </c>
      <c r="B362" s="276" t="s">
        <v>6271</v>
      </c>
      <c r="C362" s="278" t="str">
        <f t="shared" si="9"/>
        <v>https://pubmed.ncbi.nlm.nih.gov/?term=PMC3119411</v>
      </c>
      <c r="D362" s="352">
        <v>40664</v>
      </c>
      <c r="E362" s="28" t="s">
        <v>511</v>
      </c>
      <c r="F362" s="28" t="s">
        <v>4592</v>
      </c>
    </row>
    <row r="363" spans="1:7" ht="12.75">
      <c r="A363" s="276" t="s">
        <v>6272</v>
      </c>
      <c r="B363" s="276" t="s">
        <v>6273</v>
      </c>
      <c r="C363" s="278" t="str">
        <f t="shared" si="9"/>
        <v>https://pubmed.ncbi.nlm.nih.gov/?term=PMC7944101</v>
      </c>
      <c r="D363" s="28">
        <v>2021</v>
      </c>
      <c r="E363" s="28" t="s">
        <v>511</v>
      </c>
      <c r="F363" s="28" t="s">
        <v>4592</v>
      </c>
    </row>
    <row r="364" spans="1:7" ht="12.75">
      <c r="A364" s="276" t="s">
        <v>6274</v>
      </c>
      <c r="B364" s="276" t="s">
        <v>6275</v>
      </c>
      <c r="C364" s="278" t="str">
        <f t="shared" si="9"/>
        <v>https://pubmed.ncbi.nlm.nih.gov/?term=PMC7103713</v>
      </c>
      <c r="D364" s="351">
        <v>42826</v>
      </c>
      <c r="E364" s="28" t="s">
        <v>511</v>
      </c>
      <c r="F364" s="28" t="s">
        <v>4592</v>
      </c>
    </row>
    <row r="365" spans="1:7" ht="12.75">
      <c r="A365" s="276" t="s">
        <v>6276</v>
      </c>
      <c r="B365" s="276" t="s">
        <v>6277</v>
      </c>
      <c r="C365" s="278" t="str">
        <f t="shared" si="9"/>
        <v>https://pubmed.ncbi.nlm.nih.gov/?term=PMC2292575</v>
      </c>
      <c r="D365" s="351">
        <v>39539</v>
      </c>
      <c r="E365" s="28" t="s">
        <v>511</v>
      </c>
      <c r="F365" s="28" t="s">
        <v>4592</v>
      </c>
    </row>
    <row r="366" spans="1:7" ht="12.75">
      <c r="A366" s="276" t="s">
        <v>6278</v>
      </c>
      <c r="B366" s="276" t="s">
        <v>6279</v>
      </c>
      <c r="C366" s="278" t="str">
        <f t="shared" si="9"/>
        <v>https://pubmed.ncbi.nlm.nih.gov/?term=PMC6013505</v>
      </c>
      <c r="D366" s="351">
        <v>43252</v>
      </c>
      <c r="E366" s="28" t="s">
        <v>511</v>
      </c>
      <c r="F366" s="28" t="s">
        <v>4592</v>
      </c>
    </row>
    <row r="367" spans="1:7" ht="12.75">
      <c r="A367" s="276" t="s">
        <v>6280</v>
      </c>
      <c r="B367" s="276" t="s">
        <v>6281</v>
      </c>
      <c r="C367" s="278" t="str">
        <f t="shared" si="9"/>
        <v>https://pubmed.ncbi.nlm.nih.gov/?term=PMC7168442</v>
      </c>
      <c r="D367" s="351">
        <v>40544</v>
      </c>
      <c r="E367" s="28" t="s">
        <v>511</v>
      </c>
      <c r="F367" s="28" t="s">
        <v>4592</v>
      </c>
    </row>
    <row r="368" spans="1:7" ht="12.75">
      <c r="A368" s="276" t="s">
        <v>6282</v>
      </c>
      <c r="B368" s="276" t="s">
        <v>6283</v>
      </c>
      <c r="C368" s="278" t="str">
        <f t="shared" si="9"/>
        <v>https://pubmed.ncbi.nlm.nih.gov/?term=PMC5145136</v>
      </c>
      <c r="D368" s="351">
        <v>42705</v>
      </c>
      <c r="E368" s="28" t="s">
        <v>511</v>
      </c>
      <c r="F368" s="28" t="s">
        <v>4867</v>
      </c>
    </row>
    <row r="369" spans="1:7" ht="12.75">
      <c r="A369" s="276" t="s">
        <v>6284</v>
      </c>
      <c r="B369" s="276" t="s">
        <v>4098</v>
      </c>
      <c r="C369" s="278" t="str">
        <f t="shared" si="9"/>
        <v>https://pubmed.ncbi.nlm.nih.gov/?term=PMC5531165</v>
      </c>
      <c r="D369" s="351">
        <v>43009</v>
      </c>
      <c r="G369" s="28" t="s">
        <v>511</v>
      </c>
    </row>
    <row r="370" spans="1:7" ht="12.75">
      <c r="A370" s="276" t="s">
        <v>6285</v>
      </c>
      <c r="B370" s="276" t="s">
        <v>6286</v>
      </c>
      <c r="C370" s="278" t="str">
        <f t="shared" si="9"/>
        <v>https://pubmed.ncbi.nlm.nih.gov/?term=PMC3395692</v>
      </c>
      <c r="D370" s="28">
        <v>2012</v>
      </c>
      <c r="E370" s="28" t="s">
        <v>511</v>
      </c>
      <c r="F370" s="28" t="s">
        <v>8387</v>
      </c>
    </row>
    <row r="371" spans="1:7" ht="12.75">
      <c r="A371" s="276" t="s">
        <v>6287</v>
      </c>
      <c r="B371" s="276" t="s">
        <v>6288</v>
      </c>
      <c r="C371" s="281" t="s">
        <v>6289</v>
      </c>
      <c r="D371" s="351">
        <v>44348</v>
      </c>
      <c r="E371" s="28" t="s">
        <v>511</v>
      </c>
      <c r="F371" s="28" t="s">
        <v>4592</v>
      </c>
    </row>
    <row r="372" spans="1:7" ht="12.75">
      <c r="A372" s="276" t="s">
        <v>6290</v>
      </c>
      <c r="B372" s="276" t="s">
        <v>6291</v>
      </c>
      <c r="C372" s="278" t="str">
        <f t="shared" ref="C372:C395" si="10">"https://pubmed.ncbi.nlm.nih.gov/?term="&amp;B372</f>
        <v>https://pubmed.ncbi.nlm.nih.gov/?term=PMC7318030</v>
      </c>
      <c r="D372" s="351">
        <v>43983</v>
      </c>
      <c r="E372" s="28" t="s">
        <v>511</v>
      </c>
      <c r="F372" s="28" t="s">
        <v>4744</v>
      </c>
    </row>
    <row r="373" spans="1:7" ht="12.75">
      <c r="A373" s="276" t="s">
        <v>6292</v>
      </c>
      <c r="B373" s="276" t="s">
        <v>6293</v>
      </c>
      <c r="C373" s="278" t="str">
        <f t="shared" si="10"/>
        <v>https://pubmed.ncbi.nlm.nih.gov/?term=PMC7744997</v>
      </c>
      <c r="D373" s="351">
        <v>44166</v>
      </c>
      <c r="E373" s="28" t="s">
        <v>511</v>
      </c>
      <c r="F373" s="28" t="s">
        <v>4744</v>
      </c>
    </row>
    <row r="374" spans="1:7" ht="12.75">
      <c r="A374" s="276" t="s">
        <v>6294</v>
      </c>
      <c r="B374" s="276" t="s">
        <v>6295</v>
      </c>
      <c r="C374" s="278" t="str">
        <f t="shared" si="10"/>
        <v>https://pubmed.ncbi.nlm.nih.gov/?term=PMC6411314</v>
      </c>
      <c r="D374" s="351">
        <v>43525</v>
      </c>
      <c r="E374" s="28" t="s">
        <v>511</v>
      </c>
      <c r="F374" s="28" t="s">
        <v>4592</v>
      </c>
    </row>
    <row r="375" spans="1:7" ht="12.75">
      <c r="A375" s="276" t="s">
        <v>6296</v>
      </c>
      <c r="B375" s="276" t="s">
        <v>6297</v>
      </c>
      <c r="C375" s="278" t="str">
        <f t="shared" si="10"/>
        <v>https://pubmed.ncbi.nlm.nih.gov/?term=PMC6499332</v>
      </c>
      <c r="D375" s="351">
        <v>41579</v>
      </c>
      <c r="E375" s="28" t="s">
        <v>511</v>
      </c>
      <c r="F375" s="28" t="s">
        <v>8405</v>
      </c>
    </row>
    <row r="376" spans="1:7" ht="12.75">
      <c r="A376" s="276" t="s">
        <v>6298</v>
      </c>
      <c r="B376" s="276" t="s">
        <v>4197</v>
      </c>
      <c r="C376" s="278" t="str">
        <f t="shared" si="10"/>
        <v>https://pubmed.ncbi.nlm.nih.gov/?term=PMC4750592</v>
      </c>
      <c r="D376" s="351">
        <v>42430</v>
      </c>
      <c r="G376" s="28" t="s">
        <v>511</v>
      </c>
    </row>
    <row r="377" spans="1:7" ht="12.75">
      <c r="A377" s="276" t="s">
        <v>6299</v>
      </c>
      <c r="B377" s="276" t="s">
        <v>4191</v>
      </c>
      <c r="C377" s="278" t="str">
        <f t="shared" si="10"/>
        <v>https://pubmed.ncbi.nlm.nih.gov/?term=PMC5655070</v>
      </c>
      <c r="D377" s="351">
        <v>43009</v>
      </c>
      <c r="G377" s="28" t="s">
        <v>511</v>
      </c>
    </row>
    <row r="378" spans="1:7" ht="12.75">
      <c r="A378" s="276" t="s">
        <v>6300</v>
      </c>
      <c r="B378" s="276" t="s">
        <v>4253</v>
      </c>
      <c r="C378" s="278" t="str">
        <f t="shared" si="10"/>
        <v>https://pubmed.ncbi.nlm.nih.gov/?term=PMC7444516</v>
      </c>
      <c r="D378" s="351">
        <v>44044</v>
      </c>
      <c r="G378" s="28" t="s">
        <v>511</v>
      </c>
    </row>
    <row r="379" spans="1:7" ht="12.75">
      <c r="A379" s="276" t="s">
        <v>6301</v>
      </c>
      <c r="B379" s="276" t="s">
        <v>6302</v>
      </c>
      <c r="C379" s="278" t="str">
        <f t="shared" si="10"/>
        <v>https://pubmed.ncbi.nlm.nih.gov/?term=PMC6129172</v>
      </c>
      <c r="D379" s="351">
        <v>43282</v>
      </c>
      <c r="E379" s="28" t="s">
        <v>511</v>
      </c>
      <c r="F379" s="28" t="s">
        <v>4592</v>
      </c>
    </row>
    <row r="380" spans="1:7" ht="12.75">
      <c r="A380" s="276" t="s">
        <v>6303</v>
      </c>
      <c r="B380" s="276" t="s">
        <v>6304</v>
      </c>
      <c r="C380" s="278" t="str">
        <f t="shared" si="10"/>
        <v>https://pubmed.ncbi.nlm.nih.gov/?term=PMC3525835</v>
      </c>
      <c r="D380" s="351">
        <v>41275</v>
      </c>
      <c r="E380" s="28" t="s">
        <v>511</v>
      </c>
      <c r="F380" s="28" t="s">
        <v>6305</v>
      </c>
    </row>
    <row r="381" spans="1:7" ht="12.75">
      <c r="A381" s="276" t="s">
        <v>6306</v>
      </c>
      <c r="B381" s="276" t="s">
        <v>6307</v>
      </c>
      <c r="C381" s="278" t="str">
        <f t="shared" si="10"/>
        <v>https://pubmed.ncbi.nlm.nih.gov/?term=PMC516399</v>
      </c>
      <c r="D381" s="351">
        <v>38261</v>
      </c>
      <c r="E381" s="28" t="s">
        <v>511</v>
      </c>
      <c r="F381" s="28" t="s">
        <v>4592</v>
      </c>
    </row>
    <row r="382" spans="1:7" ht="12.75">
      <c r="A382" s="276" t="s">
        <v>6308</v>
      </c>
      <c r="B382" s="276" t="s">
        <v>6309</v>
      </c>
      <c r="C382" s="278" t="str">
        <f t="shared" si="10"/>
        <v>https://pubmed.ncbi.nlm.nih.gov/?term=PMC3147477</v>
      </c>
      <c r="D382" s="351">
        <v>40756</v>
      </c>
      <c r="E382" s="28" t="s">
        <v>511</v>
      </c>
      <c r="F382" s="28" t="s">
        <v>8414</v>
      </c>
    </row>
    <row r="383" spans="1:7" ht="12.75">
      <c r="A383" s="276" t="s">
        <v>6311</v>
      </c>
      <c r="B383" s="276" t="s">
        <v>6312</v>
      </c>
      <c r="C383" s="278" t="str">
        <f t="shared" si="10"/>
        <v>https://pubmed.ncbi.nlm.nih.gov/?term=PMC7131036</v>
      </c>
      <c r="D383" s="351">
        <v>42795</v>
      </c>
      <c r="E383" s="28" t="s">
        <v>511</v>
      </c>
      <c r="F383" s="28" t="s">
        <v>4592</v>
      </c>
    </row>
    <row r="384" spans="1:7" ht="12.75">
      <c r="A384" s="276" t="s">
        <v>6313</v>
      </c>
      <c r="B384" s="276" t="s">
        <v>6314</v>
      </c>
      <c r="C384" s="278" t="str">
        <f t="shared" si="10"/>
        <v>https://pubmed.ncbi.nlm.nih.gov/?term=PMC5147802</v>
      </c>
      <c r="D384" s="351">
        <v>42705</v>
      </c>
      <c r="E384" s="28" t="s">
        <v>511</v>
      </c>
      <c r="F384" s="28" t="s">
        <v>4744</v>
      </c>
    </row>
    <row r="385" spans="1:7" ht="12.75">
      <c r="A385" s="276" t="s">
        <v>6315</v>
      </c>
      <c r="B385" s="276" t="s">
        <v>6316</v>
      </c>
      <c r="C385" s="278" t="str">
        <f t="shared" si="10"/>
        <v>https://pubmed.ncbi.nlm.nih.gov/?term=PMC6186863</v>
      </c>
      <c r="D385" s="351">
        <v>43374</v>
      </c>
      <c r="E385" s="28" t="s">
        <v>511</v>
      </c>
      <c r="F385" s="28" t="s">
        <v>4744</v>
      </c>
    </row>
    <row r="386" spans="1:7" ht="12.75">
      <c r="A386" s="276" t="s">
        <v>6317</v>
      </c>
      <c r="B386" s="276" t="s">
        <v>6318</v>
      </c>
      <c r="C386" s="278" t="str">
        <f t="shared" si="10"/>
        <v>https://pubmed.ncbi.nlm.nih.gov/?term=PMC1422543</v>
      </c>
      <c r="D386" s="351">
        <v>37438</v>
      </c>
      <c r="E386" s="28" t="s">
        <v>511</v>
      </c>
      <c r="F386" s="28" t="s">
        <v>4592</v>
      </c>
    </row>
    <row r="387" spans="1:7" ht="12.75">
      <c r="A387" s="276" t="s">
        <v>6319</v>
      </c>
      <c r="B387" s="276" t="s">
        <v>6320</v>
      </c>
      <c r="C387" s="278" t="str">
        <f t="shared" si="10"/>
        <v>https://pubmed.ncbi.nlm.nih.gov/?term=PMC6910941</v>
      </c>
      <c r="D387" s="351">
        <v>43800</v>
      </c>
      <c r="E387" s="28" t="s">
        <v>511</v>
      </c>
      <c r="F387" s="28" t="s">
        <v>4592</v>
      </c>
    </row>
    <row r="388" spans="1:7" ht="12.75">
      <c r="A388" s="276" t="s">
        <v>6321</v>
      </c>
      <c r="B388" s="276" t="s">
        <v>4238</v>
      </c>
      <c r="C388" s="278" t="str">
        <f t="shared" si="10"/>
        <v>https://pubmed.ncbi.nlm.nih.gov/?term=PMC5681833</v>
      </c>
      <c r="D388" s="351">
        <v>43040</v>
      </c>
      <c r="G388" s="28" t="s">
        <v>511</v>
      </c>
    </row>
    <row r="389" spans="1:7" ht="12.75">
      <c r="A389" s="276" t="s">
        <v>6322</v>
      </c>
      <c r="B389" s="276" t="s">
        <v>6323</v>
      </c>
      <c r="C389" s="278" t="str">
        <f t="shared" si="10"/>
        <v>https://pubmed.ncbi.nlm.nih.gov/?term=PMC5278730</v>
      </c>
      <c r="D389" s="351">
        <v>42736</v>
      </c>
      <c r="E389" s="28" t="s">
        <v>511</v>
      </c>
      <c r="F389" s="28" t="s">
        <v>4744</v>
      </c>
    </row>
    <row r="390" spans="1:7" ht="12.75">
      <c r="A390" s="276" t="s">
        <v>6324</v>
      </c>
      <c r="B390" s="276" t="s">
        <v>6325</v>
      </c>
      <c r="C390" s="278" t="str">
        <f t="shared" si="10"/>
        <v>https://pubmed.ncbi.nlm.nih.gov/?term=PMC6243017</v>
      </c>
      <c r="D390" s="351">
        <v>43101</v>
      </c>
      <c r="E390" s="28" t="s">
        <v>511</v>
      </c>
      <c r="F390" s="28" t="s">
        <v>8387</v>
      </c>
    </row>
    <row r="391" spans="1:7" ht="12.75">
      <c r="A391" s="276" t="s">
        <v>6246</v>
      </c>
      <c r="B391" s="276" t="s">
        <v>6326</v>
      </c>
      <c r="C391" s="278" t="str">
        <f t="shared" si="10"/>
        <v>https://pubmed.ncbi.nlm.nih.gov/?term=PMC2632633</v>
      </c>
      <c r="D391" s="351">
        <v>39783</v>
      </c>
      <c r="E391" s="28" t="s">
        <v>511</v>
      </c>
      <c r="F391" s="28" t="s">
        <v>4592</v>
      </c>
    </row>
    <row r="392" spans="1:7" ht="12.75">
      <c r="A392" s="276" t="s">
        <v>6327</v>
      </c>
      <c r="B392" s="276" t="s">
        <v>4172</v>
      </c>
      <c r="C392" s="278" t="str">
        <f t="shared" si="10"/>
        <v>https://pubmed.ncbi.nlm.nih.gov/?term=PMC3778896</v>
      </c>
      <c r="D392" s="351">
        <v>41091</v>
      </c>
      <c r="G392" s="28" t="s">
        <v>511</v>
      </c>
    </row>
    <row r="393" spans="1:7" ht="12.75">
      <c r="A393" s="276" t="s">
        <v>6328</v>
      </c>
      <c r="B393" s="276" t="s">
        <v>6329</v>
      </c>
      <c r="C393" s="278" t="str">
        <f t="shared" si="10"/>
        <v>https://pubmed.ncbi.nlm.nih.gov/?term=PMC3459659</v>
      </c>
      <c r="D393" s="28">
        <v>2012</v>
      </c>
      <c r="E393" s="28" t="s">
        <v>511</v>
      </c>
      <c r="F393" s="28" t="s">
        <v>4592</v>
      </c>
    </row>
    <row r="394" spans="1:7" ht="12.75">
      <c r="A394" s="276" t="s">
        <v>6330</v>
      </c>
      <c r="B394" s="276" t="s">
        <v>4224</v>
      </c>
      <c r="C394" s="278" t="str">
        <f t="shared" si="10"/>
        <v>https://pubmed.ncbi.nlm.nih.gov/?term=PMC3187119</v>
      </c>
      <c r="D394" s="351">
        <v>40817</v>
      </c>
      <c r="G394" s="28" t="s">
        <v>511</v>
      </c>
    </row>
    <row r="395" spans="1:7" ht="12.75">
      <c r="A395" s="276" t="s">
        <v>6331</v>
      </c>
      <c r="B395" s="276" t="s">
        <v>4165</v>
      </c>
      <c r="C395" s="278" t="str">
        <f t="shared" si="10"/>
        <v>https://pubmed.ncbi.nlm.nih.gov/?term=PMC4972157</v>
      </c>
      <c r="D395" s="351">
        <v>42583</v>
      </c>
      <c r="G395" s="28" t="s">
        <v>511</v>
      </c>
    </row>
    <row r="396" spans="1:7" ht="12.75">
      <c r="A396" s="276" t="s">
        <v>6021</v>
      </c>
      <c r="B396" s="276" t="s">
        <v>6332</v>
      </c>
      <c r="C396" s="281" t="s">
        <v>6333</v>
      </c>
      <c r="D396" s="351">
        <v>43405</v>
      </c>
      <c r="E396" s="28" t="s">
        <v>511</v>
      </c>
      <c r="F396" s="28" t="s">
        <v>8407</v>
      </c>
    </row>
    <row r="397" spans="1:7" ht="12.75">
      <c r="A397" s="276" t="s">
        <v>6334</v>
      </c>
      <c r="B397" s="354" t="s">
        <v>6335</v>
      </c>
      <c r="C397" s="281" t="s">
        <v>6336</v>
      </c>
      <c r="D397" s="351">
        <v>44166</v>
      </c>
      <c r="E397" s="28" t="s">
        <v>511</v>
      </c>
      <c r="F397" s="28" t="s">
        <v>4744</v>
      </c>
    </row>
    <row r="398" spans="1:7" ht="12.75">
      <c r="A398" s="276" t="s">
        <v>6050</v>
      </c>
      <c r="B398" s="276" t="s">
        <v>4194</v>
      </c>
      <c r="C398" s="278" t="str">
        <f t="shared" ref="C398:C416" si="11">"https://pubmed.ncbi.nlm.nih.gov/?term="&amp;B398</f>
        <v>https://pubmed.ncbi.nlm.nih.gov/?term=PMC4992851</v>
      </c>
      <c r="D398" s="351">
        <v>42614</v>
      </c>
      <c r="G398" s="28" t="s">
        <v>511</v>
      </c>
    </row>
    <row r="399" spans="1:7" ht="12.75">
      <c r="A399" s="276" t="s">
        <v>6337</v>
      </c>
      <c r="B399" s="276" t="s">
        <v>6338</v>
      </c>
      <c r="C399" s="278" t="str">
        <f t="shared" si="11"/>
        <v>https://pubmed.ncbi.nlm.nih.gov/?term=PMC5986686</v>
      </c>
      <c r="D399" s="351">
        <v>43252</v>
      </c>
      <c r="E399" s="28" t="s">
        <v>511</v>
      </c>
      <c r="F399" s="28" t="s">
        <v>4744</v>
      </c>
    </row>
    <row r="400" spans="1:7" ht="12.75">
      <c r="A400" s="276" t="s">
        <v>6339</v>
      </c>
      <c r="B400" s="276" t="s">
        <v>6340</v>
      </c>
      <c r="C400" s="278" t="str">
        <f t="shared" si="11"/>
        <v>https://pubmed.ncbi.nlm.nih.gov/?term=PMC6925668</v>
      </c>
      <c r="D400" s="351">
        <v>43435</v>
      </c>
      <c r="E400" s="28" t="s">
        <v>511</v>
      </c>
      <c r="F400" s="28" t="s">
        <v>4592</v>
      </c>
    </row>
    <row r="401" spans="1:7" ht="12.75">
      <c r="A401" s="276" t="s">
        <v>6341</v>
      </c>
      <c r="B401" s="276" t="s">
        <v>6342</v>
      </c>
      <c r="C401" s="278" t="str">
        <f t="shared" si="11"/>
        <v>https://pubmed.ncbi.nlm.nih.gov/?term=PMC6843725</v>
      </c>
      <c r="D401" s="351">
        <v>43770</v>
      </c>
      <c r="E401" s="28" t="s">
        <v>511</v>
      </c>
      <c r="F401" s="28" t="s">
        <v>4592</v>
      </c>
    </row>
    <row r="402" spans="1:7" ht="12.75">
      <c r="A402" s="276" t="s">
        <v>6343</v>
      </c>
      <c r="B402" s="276" t="s">
        <v>6344</v>
      </c>
      <c r="C402" s="278" t="str">
        <f t="shared" si="11"/>
        <v>https://pubmed.ncbi.nlm.nih.gov/?term=PMC4291346</v>
      </c>
      <c r="D402" s="351">
        <v>42005</v>
      </c>
      <c r="E402" s="28" t="s">
        <v>511</v>
      </c>
      <c r="F402" s="28" t="s">
        <v>6345</v>
      </c>
    </row>
    <row r="403" spans="1:7" ht="12.75">
      <c r="A403" s="276" t="s">
        <v>6346</v>
      </c>
      <c r="B403" s="276" t="s">
        <v>6347</v>
      </c>
      <c r="C403" s="278" t="str">
        <f t="shared" si="11"/>
        <v>https://pubmed.ncbi.nlm.nih.gov/?term=PMC5201219</v>
      </c>
      <c r="D403" s="351">
        <v>42705</v>
      </c>
      <c r="E403" s="28" t="s">
        <v>511</v>
      </c>
      <c r="F403" s="28" t="s">
        <v>4592</v>
      </c>
    </row>
    <row r="404" spans="1:7" ht="12.75">
      <c r="A404" s="276" t="s">
        <v>6348</v>
      </c>
      <c r="B404" s="276" t="s">
        <v>6349</v>
      </c>
      <c r="C404" s="278" t="str">
        <f t="shared" si="11"/>
        <v>https://pubmed.ncbi.nlm.nih.gov/?term=PMC6750137</v>
      </c>
      <c r="D404" s="351">
        <v>43647</v>
      </c>
      <c r="E404" s="28" t="s">
        <v>511</v>
      </c>
      <c r="F404" s="28" t="s">
        <v>4592</v>
      </c>
    </row>
    <row r="405" spans="1:7" ht="12.75">
      <c r="A405" s="276" t="s">
        <v>6350</v>
      </c>
      <c r="B405" s="276" t="s">
        <v>4227</v>
      </c>
      <c r="C405" s="278" t="str">
        <f t="shared" si="11"/>
        <v>https://pubmed.ncbi.nlm.nih.gov/?term=PMC6877087</v>
      </c>
      <c r="D405" s="351">
        <v>43770</v>
      </c>
      <c r="G405" s="28" t="s">
        <v>511</v>
      </c>
    </row>
    <row r="406" spans="1:7" ht="12.75">
      <c r="A406" s="276" t="s">
        <v>6351</v>
      </c>
      <c r="B406" s="276" t="s">
        <v>6352</v>
      </c>
      <c r="C406" s="278" t="str">
        <f t="shared" si="11"/>
        <v>https://pubmed.ncbi.nlm.nih.gov/?term=PMC7429918</v>
      </c>
      <c r="D406" s="351">
        <v>44256</v>
      </c>
      <c r="E406" s="28" t="s">
        <v>511</v>
      </c>
      <c r="F406" s="28" t="s">
        <v>6353</v>
      </c>
    </row>
    <row r="407" spans="1:7" ht="12.75">
      <c r="A407" s="276" t="s">
        <v>6354</v>
      </c>
      <c r="B407" s="276" t="s">
        <v>6355</v>
      </c>
      <c r="C407" s="278" t="str">
        <f t="shared" si="11"/>
        <v>https://pubmed.ncbi.nlm.nih.gov/?term=PMC7172491</v>
      </c>
      <c r="D407" s="351">
        <v>41671</v>
      </c>
      <c r="E407" s="28" t="s">
        <v>511</v>
      </c>
      <c r="F407" s="28" t="s">
        <v>4592</v>
      </c>
    </row>
    <row r="408" spans="1:7" ht="12.75">
      <c r="A408" s="276" t="s">
        <v>6356</v>
      </c>
      <c r="B408" s="276" t="s">
        <v>6357</v>
      </c>
      <c r="C408" s="278" t="str">
        <f t="shared" si="11"/>
        <v>https://pubmed.ncbi.nlm.nih.gov/?term=PMC6712604</v>
      </c>
      <c r="D408" s="351">
        <v>43678</v>
      </c>
      <c r="E408" s="28" t="s">
        <v>511</v>
      </c>
      <c r="F408" s="28" t="s">
        <v>6358</v>
      </c>
    </row>
    <row r="409" spans="1:7" ht="12.75">
      <c r="A409" s="276" t="s">
        <v>6359</v>
      </c>
      <c r="B409" s="276" t="s">
        <v>6360</v>
      </c>
      <c r="C409" s="278" t="str">
        <f t="shared" si="11"/>
        <v>https://pubmed.ncbi.nlm.nih.gov/?term=PMC7505590</v>
      </c>
      <c r="D409" s="351">
        <v>44075</v>
      </c>
      <c r="E409" s="28" t="s">
        <v>511</v>
      </c>
      <c r="F409" s="28" t="s">
        <v>6361</v>
      </c>
    </row>
    <row r="410" spans="1:7" ht="12.75">
      <c r="A410" s="276" t="s">
        <v>6362</v>
      </c>
      <c r="B410" s="276" t="s">
        <v>6363</v>
      </c>
      <c r="C410" s="278" t="str">
        <f t="shared" si="11"/>
        <v>https://pubmed.ncbi.nlm.nih.gov/?term=PMC1747425</v>
      </c>
      <c r="D410" s="351">
        <v>38504</v>
      </c>
      <c r="E410" s="28" t="s">
        <v>511</v>
      </c>
      <c r="F410" s="28" t="s">
        <v>8390</v>
      </c>
    </row>
    <row r="411" spans="1:7" ht="12.75">
      <c r="A411" s="276" t="s">
        <v>6364</v>
      </c>
      <c r="B411" s="276" t="s">
        <v>6365</v>
      </c>
      <c r="C411" s="278" t="str">
        <f t="shared" si="11"/>
        <v>https://pubmed.ncbi.nlm.nih.gov/?term=PMC5946089</v>
      </c>
      <c r="D411" s="352">
        <v>43221</v>
      </c>
      <c r="E411" s="28" t="s">
        <v>511</v>
      </c>
      <c r="F411" s="28" t="s">
        <v>6366</v>
      </c>
    </row>
    <row r="412" spans="1:7" ht="12.75">
      <c r="A412" s="276" t="s">
        <v>6367</v>
      </c>
      <c r="B412" s="276" t="s">
        <v>6368</v>
      </c>
      <c r="C412" s="278" t="str">
        <f t="shared" si="11"/>
        <v>https://pubmed.ncbi.nlm.nih.gov/?term=PMC3280410</v>
      </c>
      <c r="D412" s="351">
        <v>40940</v>
      </c>
      <c r="E412" s="28" t="s">
        <v>511</v>
      </c>
      <c r="F412" s="28" t="s">
        <v>6369</v>
      </c>
    </row>
    <row r="413" spans="1:7" ht="12.75">
      <c r="A413" s="276" t="s">
        <v>6370</v>
      </c>
      <c r="B413" s="276" t="s">
        <v>6371</v>
      </c>
      <c r="C413" s="278" t="str">
        <f t="shared" si="11"/>
        <v>https://pubmed.ncbi.nlm.nih.gov/?term=PMC5768049</v>
      </c>
      <c r="D413" s="351">
        <v>43101</v>
      </c>
      <c r="E413" s="28" t="s">
        <v>511</v>
      </c>
      <c r="F413" s="28" t="s">
        <v>4592</v>
      </c>
    </row>
    <row r="414" spans="1:7" ht="12.75">
      <c r="A414" s="276" t="s">
        <v>6372</v>
      </c>
      <c r="B414" s="276" t="s">
        <v>6373</v>
      </c>
      <c r="C414" s="278" t="str">
        <f t="shared" si="11"/>
        <v>https://pubmed.ncbi.nlm.nih.gov/?term=PMC6037283</v>
      </c>
      <c r="D414" s="351">
        <v>43252</v>
      </c>
      <c r="E414" s="28" t="s">
        <v>511</v>
      </c>
      <c r="F414" s="28" t="s">
        <v>4592</v>
      </c>
    </row>
    <row r="415" spans="1:7" ht="12.75">
      <c r="A415" s="276" t="s">
        <v>6374</v>
      </c>
      <c r="B415" s="276" t="s">
        <v>6375</v>
      </c>
      <c r="C415" s="278" t="str">
        <f t="shared" si="11"/>
        <v>https://pubmed.ncbi.nlm.nih.gov/?term=PMC5701446</v>
      </c>
      <c r="D415" s="351">
        <v>43070</v>
      </c>
      <c r="E415" s="28" t="s">
        <v>511</v>
      </c>
      <c r="F415" s="28" t="s">
        <v>8415</v>
      </c>
    </row>
    <row r="416" spans="1:7" ht="12.75">
      <c r="A416" s="276" t="s">
        <v>6377</v>
      </c>
      <c r="B416" s="276" t="s">
        <v>6378</v>
      </c>
      <c r="C416" s="278" t="str">
        <f t="shared" si="11"/>
        <v>https://pubmed.ncbi.nlm.nih.gov/?term=PMC7355764</v>
      </c>
      <c r="D416" s="351">
        <v>43983</v>
      </c>
      <c r="E416" s="28" t="s">
        <v>511</v>
      </c>
      <c r="F416" s="28" t="s">
        <v>8416</v>
      </c>
    </row>
    <row r="417" spans="1:6" ht="12.75">
      <c r="A417" s="276" t="s">
        <v>6021</v>
      </c>
      <c r="B417" s="276" t="s">
        <v>6380</v>
      </c>
      <c r="C417" s="281" t="s">
        <v>6381</v>
      </c>
      <c r="D417" s="28">
        <v>2010</v>
      </c>
      <c r="E417" s="28" t="s">
        <v>511</v>
      </c>
      <c r="F417" s="28" t="s">
        <v>8405</v>
      </c>
    </row>
    <row r="418" spans="1:6" ht="12.75">
      <c r="A418" s="28" t="s">
        <v>6382</v>
      </c>
      <c r="B418" s="28" t="s">
        <v>6383</v>
      </c>
      <c r="C418" s="281" t="s">
        <v>6384</v>
      </c>
      <c r="D418" s="28">
        <v>2021</v>
      </c>
      <c r="E418" s="28" t="s">
        <v>308</v>
      </c>
      <c r="F418" s="28" t="s">
        <v>8152</v>
      </c>
    </row>
    <row r="419" spans="1:6" ht="12.75">
      <c r="A419" s="28" t="s">
        <v>6386</v>
      </c>
      <c r="B419" s="28" t="s">
        <v>6387</v>
      </c>
      <c r="C419" s="281" t="s">
        <v>6388</v>
      </c>
      <c r="D419" s="28">
        <v>2020</v>
      </c>
      <c r="E419" s="28" t="s">
        <v>308</v>
      </c>
      <c r="F419" s="28" t="s">
        <v>8152</v>
      </c>
    </row>
  </sheetData>
  <hyperlinks>
    <hyperlink ref="C146" r:id="rId1" xr:uid="{00000000-0004-0000-1300-000000000000}"/>
    <hyperlink ref="C176" r:id="rId2" xr:uid="{00000000-0004-0000-1300-000001000000}"/>
    <hyperlink ref="C178" r:id="rId3" xr:uid="{00000000-0004-0000-1300-000002000000}"/>
    <hyperlink ref="C211" r:id="rId4" xr:uid="{00000000-0004-0000-1300-000003000000}"/>
    <hyperlink ref="C218" r:id="rId5" xr:uid="{00000000-0004-0000-1300-000004000000}"/>
    <hyperlink ref="C233" r:id="rId6" xr:uid="{00000000-0004-0000-1300-000005000000}"/>
    <hyperlink ref="C253" r:id="rId7" xr:uid="{00000000-0004-0000-1300-000006000000}"/>
    <hyperlink ref="C306" r:id="rId8" xr:uid="{00000000-0004-0000-1300-000007000000}"/>
    <hyperlink ref="C332" r:id="rId9" xr:uid="{00000000-0004-0000-1300-000008000000}"/>
    <hyperlink ref="C359" r:id="rId10" xr:uid="{00000000-0004-0000-1300-000009000000}"/>
    <hyperlink ref="C371" r:id="rId11" xr:uid="{00000000-0004-0000-1300-00000A000000}"/>
    <hyperlink ref="C396" r:id="rId12" xr:uid="{00000000-0004-0000-1300-00000B000000}"/>
    <hyperlink ref="C397" r:id="rId13" xr:uid="{00000000-0004-0000-1300-00000C000000}"/>
    <hyperlink ref="C417" r:id="rId14" xr:uid="{00000000-0004-0000-1300-00000D000000}"/>
    <hyperlink ref="C418" r:id="rId15" xr:uid="{00000000-0004-0000-1300-00000E000000}"/>
    <hyperlink ref="C419" r:id="rId16" xr:uid="{00000000-0004-0000-1300-00000F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ummaryRight="0"/>
  </sheetPr>
  <dimension ref="A1:Z1322"/>
  <sheetViews>
    <sheetView workbookViewId="0">
      <pane ySplit="2" topLeftCell="A3" activePane="bottomLeft" state="frozen"/>
      <selection pane="bottomLeft"/>
    </sheetView>
  </sheetViews>
  <sheetFormatPr defaultColWidth="14.42578125" defaultRowHeight="15.75" customHeight="1"/>
  <cols>
    <col min="1" max="1" width="18.42578125" customWidth="1"/>
    <col min="2" max="2" width="12.7109375" customWidth="1"/>
    <col min="3" max="3" width="5.140625" customWidth="1"/>
    <col min="4" max="4" width="10.7109375" customWidth="1"/>
    <col min="5" max="5" width="7.7109375" customWidth="1"/>
    <col min="6" max="6" width="15.140625" customWidth="1"/>
    <col min="7" max="7" width="16.42578125" customWidth="1"/>
    <col min="8" max="8" width="17.85546875" customWidth="1"/>
  </cols>
  <sheetData>
    <row r="1" spans="1:26" ht="16.5" customHeight="1">
      <c r="A1" s="21"/>
      <c r="B1" s="367" t="s">
        <v>3985</v>
      </c>
      <c r="C1" s="368">
        <f>COUNT(C3:C1222)</f>
        <v>1220</v>
      </c>
      <c r="D1" s="92"/>
      <c r="E1" s="369" t="s">
        <v>8359</v>
      </c>
      <c r="F1" s="369">
        <f>(COUNTA(F3:F1222)+COUNTA(H3:H1222))/COUNT(C3:C1222)</f>
        <v>1</v>
      </c>
      <c r="G1" s="369" t="s">
        <v>8360</v>
      </c>
      <c r="H1" s="369">
        <f>COUNTA(H3:H1222)/COUNTA(F3:F1222)</f>
        <v>2.0066889632107024E-2</v>
      </c>
      <c r="I1" s="370" t="s">
        <v>3988</v>
      </c>
      <c r="J1" s="371" t="s">
        <v>8417</v>
      </c>
      <c r="K1" s="21"/>
      <c r="L1" s="21"/>
      <c r="M1" s="21"/>
      <c r="N1" s="21"/>
      <c r="O1" s="21"/>
      <c r="P1" s="21"/>
      <c r="Q1" s="21"/>
      <c r="R1" s="21"/>
      <c r="S1" s="21"/>
      <c r="T1" s="21"/>
      <c r="U1" s="21"/>
      <c r="V1" s="21"/>
      <c r="W1" s="21"/>
      <c r="X1" s="92"/>
      <c r="Y1" s="92"/>
      <c r="Z1" s="92"/>
    </row>
    <row r="2" spans="1:26" ht="16.5" customHeight="1">
      <c r="A2" s="92" t="s">
        <v>247</v>
      </c>
      <c r="B2" s="248" t="s">
        <v>4581</v>
      </c>
      <c r="C2" s="248" t="s">
        <v>4583</v>
      </c>
      <c r="D2" s="92" t="s">
        <v>4582</v>
      </c>
      <c r="E2" s="92" t="s">
        <v>251</v>
      </c>
      <c r="F2" s="92" t="s">
        <v>3994</v>
      </c>
      <c r="G2" s="92" t="s">
        <v>3995</v>
      </c>
      <c r="H2" s="248" t="s">
        <v>8418</v>
      </c>
      <c r="I2" s="370" t="s">
        <v>3998</v>
      </c>
      <c r="J2" s="371" t="s">
        <v>8361</v>
      </c>
      <c r="K2" s="21"/>
      <c r="L2" s="21"/>
      <c r="M2" s="21"/>
      <c r="N2" s="21"/>
      <c r="O2" s="21"/>
      <c r="P2" s="21"/>
      <c r="Q2" s="21"/>
      <c r="R2" s="92"/>
      <c r="S2" s="92"/>
      <c r="T2" s="92"/>
      <c r="U2" s="92"/>
      <c r="V2" s="92"/>
      <c r="W2" s="92"/>
      <c r="X2" s="92"/>
      <c r="Y2" s="92"/>
      <c r="Z2" s="92"/>
    </row>
    <row r="3" spans="1:26" ht="12.75">
      <c r="A3" s="92" t="s">
        <v>6389</v>
      </c>
      <c r="B3" s="372">
        <v>1996</v>
      </c>
      <c r="C3" s="372">
        <v>8630718</v>
      </c>
      <c r="D3" s="373"/>
      <c r="E3" s="261" t="str">
        <f t="shared" ref="E3:E1222" si="0">"https://pubmed.ncbi.nlm.nih.gov/"&amp;C3</f>
        <v>https://pubmed.ncbi.nlm.nih.gov/8630718</v>
      </c>
      <c r="F3" s="92" t="s">
        <v>511</v>
      </c>
      <c r="G3" s="374" t="s">
        <v>4744</v>
      </c>
      <c r="H3" s="21"/>
      <c r="I3" s="92"/>
      <c r="J3" s="92"/>
      <c r="K3" s="92"/>
      <c r="L3" s="92"/>
      <c r="M3" s="92"/>
      <c r="N3" s="92"/>
      <c r="O3" s="92"/>
      <c r="P3" s="92"/>
      <c r="Q3" s="92"/>
      <c r="R3" s="92"/>
      <c r="S3" s="92"/>
      <c r="T3" s="92"/>
      <c r="U3" s="92"/>
      <c r="V3" s="92"/>
      <c r="W3" s="92"/>
      <c r="X3" s="92"/>
      <c r="Y3" s="92"/>
      <c r="Z3" s="92"/>
    </row>
    <row r="4" spans="1:26" ht="12.75">
      <c r="A4" s="92" t="s">
        <v>6390</v>
      </c>
      <c r="B4" s="372">
        <v>2019</v>
      </c>
      <c r="C4" s="372">
        <v>31640300</v>
      </c>
      <c r="D4" s="373" t="s">
        <v>6391</v>
      </c>
      <c r="E4" s="261" t="str">
        <f t="shared" si="0"/>
        <v>https://pubmed.ncbi.nlm.nih.gov/31640300</v>
      </c>
      <c r="F4" s="92" t="s">
        <v>511</v>
      </c>
      <c r="G4" s="374" t="s">
        <v>6392</v>
      </c>
      <c r="H4" s="21"/>
      <c r="I4" s="21"/>
      <c r="J4" s="92"/>
      <c r="K4" s="92"/>
      <c r="L4" s="92"/>
      <c r="M4" s="92"/>
      <c r="N4" s="92"/>
      <c r="O4" s="92"/>
      <c r="P4" s="92"/>
      <c r="Q4" s="92"/>
      <c r="R4" s="92"/>
      <c r="S4" s="92"/>
      <c r="T4" s="92"/>
      <c r="U4" s="92"/>
      <c r="V4" s="92"/>
      <c r="W4" s="92"/>
      <c r="X4" s="92"/>
      <c r="Y4" s="92"/>
      <c r="Z4" s="92"/>
    </row>
    <row r="5" spans="1:26" ht="12.75">
      <c r="A5" s="92" t="s">
        <v>6393</v>
      </c>
      <c r="B5" s="372">
        <v>2011</v>
      </c>
      <c r="C5" s="372">
        <v>22161394</v>
      </c>
      <c r="D5" s="375" t="s">
        <v>6394</v>
      </c>
      <c r="E5" s="261" t="str">
        <f t="shared" si="0"/>
        <v>https://pubmed.ncbi.nlm.nih.gov/22161394</v>
      </c>
      <c r="F5" s="92" t="s">
        <v>511</v>
      </c>
      <c r="G5" s="92" t="s">
        <v>4592</v>
      </c>
      <c r="H5" s="92"/>
      <c r="I5" s="92"/>
      <c r="J5" s="92"/>
      <c r="K5" s="92"/>
      <c r="L5" s="92"/>
      <c r="M5" s="92"/>
      <c r="N5" s="92"/>
      <c r="O5" s="92"/>
      <c r="P5" s="92"/>
      <c r="Q5" s="92"/>
      <c r="R5" s="92"/>
      <c r="S5" s="92"/>
      <c r="T5" s="92"/>
      <c r="U5" s="92"/>
      <c r="V5" s="92"/>
      <c r="W5" s="92"/>
      <c r="X5" s="92"/>
      <c r="Y5" s="92"/>
      <c r="Z5" s="92"/>
    </row>
    <row r="6" spans="1:26" ht="12.75">
      <c r="A6" s="92" t="s">
        <v>4000</v>
      </c>
      <c r="B6" s="372">
        <v>2004</v>
      </c>
      <c r="C6" s="372">
        <v>14996516</v>
      </c>
      <c r="D6" s="373"/>
      <c r="E6" s="261" t="str">
        <f t="shared" si="0"/>
        <v>https://pubmed.ncbi.nlm.nih.gov/14996516</v>
      </c>
      <c r="F6" s="92" t="s">
        <v>511</v>
      </c>
      <c r="G6" s="374" t="s">
        <v>6395</v>
      </c>
      <c r="H6" s="21"/>
      <c r="I6" s="21"/>
      <c r="J6" s="92"/>
      <c r="K6" s="92"/>
      <c r="L6" s="92"/>
      <c r="M6" s="92"/>
      <c r="N6" s="92"/>
      <c r="O6" s="92"/>
      <c r="P6" s="92"/>
      <c r="Q6" s="92"/>
      <c r="R6" s="92"/>
      <c r="S6" s="92"/>
      <c r="T6" s="92"/>
      <c r="U6" s="92"/>
      <c r="V6" s="92"/>
      <c r="W6" s="92"/>
      <c r="X6" s="92"/>
      <c r="Y6" s="92"/>
      <c r="Z6" s="92"/>
    </row>
    <row r="7" spans="1:26" ht="12.75">
      <c r="A7" s="92" t="s">
        <v>4000</v>
      </c>
      <c r="B7" s="372">
        <v>2009</v>
      </c>
      <c r="C7" s="372">
        <v>19843481</v>
      </c>
      <c r="D7" s="373"/>
      <c r="E7" s="376" t="str">
        <f t="shared" si="0"/>
        <v>https://pubmed.ncbi.nlm.nih.gov/19843481</v>
      </c>
      <c r="F7" s="21"/>
      <c r="G7" s="92"/>
      <c r="H7" s="92" t="s">
        <v>511</v>
      </c>
      <c r="I7" s="92"/>
      <c r="J7" s="92"/>
      <c r="K7" s="92"/>
      <c r="L7" s="92"/>
      <c r="M7" s="92"/>
      <c r="N7" s="92"/>
      <c r="O7" s="92"/>
      <c r="P7" s="92"/>
      <c r="Q7" s="92"/>
      <c r="R7" s="92"/>
      <c r="S7" s="92"/>
      <c r="T7" s="92"/>
      <c r="U7" s="92"/>
      <c r="V7" s="92"/>
      <c r="W7" s="92"/>
      <c r="X7" s="92"/>
      <c r="Y7" s="92"/>
      <c r="Z7" s="92"/>
    </row>
    <row r="8" spans="1:26" ht="12.75">
      <c r="A8" s="92" t="s">
        <v>6396</v>
      </c>
      <c r="B8" s="372">
        <v>1999</v>
      </c>
      <c r="C8" s="372">
        <v>10411849</v>
      </c>
      <c r="D8" s="373"/>
      <c r="E8" s="261" t="str">
        <f t="shared" si="0"/>
        <v>https://pubmed.ncbi.nlm.nih.gov/10411849</v>
      </c>
      <c r="F8" s="92" t="s">
        <v>511</v>
      </c>
      <c r="G8" s="374" t="s">
        <v>4744</v>
      </c>
      <c r="H8" s="21"/>
      <c r="I8" s="92"/>
      <c r="J8" s="92"/>
      <c r="K8" s="92"/>
      <c r="L8" s="92"/>
      <c r="M8" s="92"/>
      <c r="N8" s="92"/>
      <c r="O8" s="92"/>
      <c r="P8" s="92"/>
      <c r="Q8" s="92"/>
      <c r="R8" s="92"/>
      <c r="S8" s="92"/>
      <c r="T8" s="92"/>
      <c r="U8" s="92"/>
      <c r="V8" s="92"/>
      <c r="W8" s="92"/>
      <c r="X8" s="92"/>
      <c r="Y8" s="92"/>
      <c r="Z8" s="92"/>
    </row>
    <row r="9" spans="1:26" ht="12.75">
      <c r="A9" s="92" t="s">
        <v>4737</v>
      </c>
      <c r="B9" s="372">
        <v>1997</v>
      </c>
      <c r="C9" s="372">
        <v>9153367</v>
      </c>
      <c r="D9" s="373"/>
      <c r="E9" s="261" t="str">
        <f t="shared" si="0"/>
        <v>https://pubmed.ncbi.nlm.nih.gov/9153367</v>
      </c>
      <c r="F9" s="92" t="s">
        <v>511</v>
      </c>
      <c r="G9" s="374" t="s">
        <v>4867</v>
      </c>
      <c r="H9" s="21"/>
      <c r="I9" s="92"/>
      <c r="J9" s="92"/>
      <c r="K9" s="92"/>
      <c r="L9" s="92"/>
      <c r="M9" s="92"/>
      <c r="N9" s="92"/>
      <c r="O9" s="92"/>
      <c r="P9" s="92"/>
      <c r="Q9" s="92"/>
      <c r="R9" s="92"/>
      <c r="S9" s="92"/>
      <c r="T9" s="92"/>
      <c r="U9" s="92"/>
      <c r="V9" s="92"/>
      <c r="W9" s="92"/>
      <c r="X9" s="92"/>
      <c r="Y9" s="92"/>
      <c r="Z9" s="92"/>
    </row>
    <row r="10" spans="1:26" ht="12.75">
      <c r="A10" s="92" t="s">
        <v>4737</v>
      </c>
      <c r="B10" s="372">
        <v>2001</v>
      </c>
      <c r="C10" s="372">
        <v>11700399</v>
      </c>
      <c r="D10" s="373"/>
      <c r="E10" s="261" t="str">
        <f t="shared" si="0"/>
        <v>https://pubmed.ncbi.nlm.nih.gov/11700399</v>
      </c>
      <c r="F10" s="92" t="s">
        <v>511</v>
      </c>
      <c r="G10" s="374" t="s">
        <v>4744</v>
      </c>
      <c r="H10" s="21"/>
      <c r="I10" s="92"/>
      <c r="J10" s="92"/>
      <c r="K10" s="92"/>
      <c r="L10" s="92"/>
      <c r="M10" s="92"/>
      <c r="N10" s="92"/>
      <c r="O10" s="92"/>
      <c r="P10" s="92"/>
      <c r="Q10" s="92"/>
      <c r="R10" s="92"/>
      <c r="S10" s="92"/>
      <c r="T10" s="92"/>
      <c r="U10" s="92"/>
      <c r="V10" s="92"/>
      <c r="W10" s="92"/>
      <c r="X10" s="92"/>
      <c r="Y10" s="92"/>
      <c r="Z10" s="92"/>
    </row>
    <row r="11" spans="1:26" ht="12.75">
      <c r="A11" s="92" t="s">
        <v>6397</v>
      </c>
      <c r="B11" s="372">
        <v>2019</v>
      </c>
      <c r="C11" s="372">
        <v>31668021</v>
      </c>
      <c r="D11" s="373" t="s">
        <v>6398</v>
      </c>
      <c r="E11" s="261" t="str">
        <f t="shared" si="0"/>
        <v>https://pubmed.ncbi.nlm.nih.gov/31668021</v>
      </c>
      <c r="F11" s="92" t="s">
        <v>511</v>
      </c>
      <c r="G11" s="374" t="s">
        <v>8419</v>
      </c>
      <c r="H11" s="21"/>
      <c r="I11" s="92"/>
      <c r="J11" s="92"/>
      <c r="K11" s="92"/>
      <c r="L11" s="92"/>
      <c r="M11" s="92"/>
      <c r="N11" s="92"/>
      <c r="O11" s="92"/>
      <c r="P11" s="92"/>
      <c r="Q11" s="92"/>
      <c r="R11" s="92"/>
      <c r="S11" s="92"/>
      <c r="T11" s="92"/>
      <c r="U11" s="92"/>
      <c r="V11" s="92"/>
      <c r="W11" s="92"/>
      <c r="X11" s="92"/>
      <c r="Y11" s="92"/>
      <c r="Z11" s="92"/>
    </row>
    <row r="12" spans="1:26" ht="12.75">
      <c r="A12" s="92" t="s">
        <v>6400</v>
      </c>
      <c r="B12" s="372">
        <v>2017</v>
      </c>
      <c r="C12" s="372">
        <v>29183280</v>
      </c>
      <c r="D12" s="373" t="s">
        <v>6401</v>
      </c>
      <c r="E12" s="261" t="str">
        <f t="shared" si="0"/>
        <v>https://pubmed.ncbi.nlm.nih.gov/29183280</v>
      </c>
      <c r="F12" s="92" t="s">
        <v>511</v>
      </c>
      <c r="G12" s="374" t="s">
        <v>6402</v>
      </c>
      <c r="H12" s="21"/>
      <c r="I12" s="21"/>
      <c r="J12" s="92"/>
      <c r="K12" s="92"/>
      <c r="L12" s="92"/>
      <c r="M12" s="92"/>
      <c r="N12" s="92"/>
      <c r="O12" s="92"/>
      <c r="P12" s="92"/>
      <c r="Q12" s="92"/>
      <c r="R12" s="92"/>
      <c r="S12" s="92"/>
      <c r="T12" s="92"/>
      <c r="U12" s="92"/>
      <c r="V12" s="92"/>
      <c r="W12" s="92"/>
      <c r="X12" s="92"/>
      <c r="Y12" s="92"/>
      <c r="Z12" s="92"/>
    </row>
    <row r="13" spans="1:26" ht="12.75">
      <c r="A13" s="92" t="s">
        <v>6403</v>
      </c>
      <c r="B13" s="372">
        <v>2020</v>
      </c>
      <c r="C13" s="372">
        <v>31982148</v>
      </c>
      <c r="D13" s="373"/>
      <c r="E13" s="261" t="str">
        <f t="shared" si="0"/>
        <v>https://pubmed.ncbi.nlm.nih.gov/31982148</v>
      </c>
      <c r="F13" s="92" t="s">
        <v>511</v>
      </c>
      <c r="G13" s="374" t="s">
        <v>4867</v>
      </c>
      <c r="H13" s="21"/>
      <c r="I13" s="92"/>
      <c r="J13" s="92"/>
      <c r="K13" s="92"/>
      <c r="L13" s="92"/>
      <c r="M13" s="92"/>
      <c r="N13" s="92"/>
      <c r="O13" s="92"/>
      <c r="P13" s="92"/>
      <c r="Q13" s="92"/>
      <c r="R13" s="92"/>
      <c r="S13" s="92"/>
      <c r="T13" s="92"/>
      <c r="U13" s="92"/>
      <c r="V13" s="92"/>
      <c r="W13" s="92"/>
      <c r="X13" s="92"/>
      <c r="Y13" s="92"/>
      <c r="Z13" s="92"/>
    </row>
    <row r="14" spans="1:26" ht="12.75">
      <c r="A14" s="92" t="s">
        <v>6404</v>
      </c>
      <c r="B14" s="372">
        <v>2021</v>
      </c>
      <c r="C14" s="372">
        <v>32926834</v>
      </c>
      <c r="D14" s="373"/>
      <c r="E14" s="261" t="str">
        <f t="shared" si="0"/>
        <v>https://pubmed.ncbi.nlm.nih.gov/32926834</v>
      </c>
      <c r="F14" s="92" t="s">
        <v>511</v>
      </c>
      <c r="G14" s="374" t="s">
        <v>4744</v>
      </c>
      <c r="H14" s="21"/>
      <c r="I14" s="92"/>
      <c r="J14" s="92"/>
      <c r="K14" s="92"/>
      <c r="L14" s="92"/>
      <c r="M14" s="92"/>
      <c r="N14" s="92"/>
      <c r="O14" s="92"/>
      <c r="P14" s="92"/>
      <c r="Q14" s="92"/>
      <c r="R14" s="92"/>
      <c r="S14" s="92"/>
      <c r="T14" s="92"/>
      <c r="U14" s="92"/>
      <c r="V14" s="92"/>
      <c r="W14" s="92"/>
      <c r="X14" s="92"/>
      <c r="Y14" s="92"/>
      <c r="Z14" s="92"/>
    </row>
    <row r="15" spans="1:26" ht="12.75">
      <c r="A15" s="92" t="s">
        <v>6405</v>
      </c>
      <c r="B15" s="372">
        <v>2016</v>
      </c>
      <c r="C15" s="372">
        <v>26780742</v>
      </c>
      <c r="D15" s="373" t="s">
        <v>6406</v>
      </c>
      <c r="E15" s="261" t="str">
        <f t="shared" si="0"/>
        <v>https://pubmed.ncbi.nlm.nih.gov/26780742</v>
      </c>
      <c r="F15" s="92" t="s">
        <v>511</v>
      </c>
      <c r="G15" s="92" t="s">
        <v>4592</v>
      </c>
      <c r="H15" s="92"/>
      <c r="I15" s="92"/>
      <c r="J15" s="92"/>
      <c r="K15" s="92"/>
      <c r="L15" s="92"/>
      <c r="M15" s="92"/>
      <c r="N15" s="92"/>
      <c r="O15" s="92"/>
      <c r="P15" s="92"/>
      <c r="Q15" s="92"/>
      <c r="R15" s="92"/>
      <c r="S15" s="92"/>
      <c r="T15" s="92"/>
      <c r="U15" s="92"/>
      <c r="V15" s="92"/>
      <c r="W15" s="92"/>
      <c r="X15" s="92"/>
      <c r="Y15" s="92"/>
      <c r="Z15" s="92"/>
    </row>
    <row r="16" spans="1:26" ht="12.75">
      <c r="A16" s="92" t="s">
        <v>6407</v>
      </c>
      <c r="B16" s="372">
        <v>2020</v>
      </c>
      <c r="C16" s="372">
        <v>33252045</v>
      </c>
      <c r="D16" s="373"/>
      <c r="E16" s="261" t="str">
        <f t="shared" si="0"/>
        <v>https://pubmed.ncbi.nlm.nih.gov/33252045</v>
      </c>
      <c r="F16" s="92" t="s">
        <v>511</v>
      </c>
      <c r="G16" s="92" t="s">
        <v>4587</v>
      </c>
      <c r="H16" s="92"/>
      <c r="I16" s="92"/>
      <c r="J16" s="92"/>
      <c r="K16" s="92"/>
      <c r="L16" s="92"/>
      <c r="M16" s="92"/>
      <c r="N16" s="92"/>
      <c r="O16" s="92"/>
      <c r="P16" s="92"/>
      <c r="Q16" s="92"/>
      <c r="R16" s="92"/>
      <c r="S16" s="92"/>
      <c r="T16" s="92"/>
      <c r="U16" s="92"/>
      <c r="V16" s="92"/>
      <c r="W16" s="92"/>
      <c r="X16" s="92"/>
      <c r="Y16" s="92"/>
      <c r="Z16" s="92"/>
    </row>
    <row r="17" spans="1:26" ht="12.75">
      <c r="A17" s="92" t="s">
        <v>6408</v>
      </c>
      <c r="B17" s="372">
        <v>1990</v>
      </c>
      <c r="C17" s="372">
        <v>2193497</v>
      </c>
      <c r="D17" s="373"/>
      <c r="E17" s="261" t="str">
        <f t="shared" si="0"/>
        <v>https://pubmed.ncbi.nlm.nih.gov/2193497</v>
      </c>
      <c r="F17" s="92" t="s">
        <v>511</v>
      </c>
      <c r="G17" s="374" t="s">
        <v>4867</v>
      </c>
      <c r="H17" s="21"/>
      <c r="I17" s="92"/>
      <c r="J17" s="92"/>
      <c r="K17" s="92"/>
      <c r="L17" s="92"/>
      <c r="M17" s="92"/>
      <c r="N17" s="92"/>
      <c r="O17" s="92"/>
      <c r="P17" s="92"/>
      <c r="Q17" s="92"/>
      <c r="R17" s="92"/>
      <c r="S17" s="92"/>
      <c r="T17" s="92"/>
      <c r="U17" s="92"/>
      <c r="V17" s="92"/>
      <c r="W17" s="92"/>
      <c r="X17" s="92"/>
      <c r="Y17" s="92"/>
      <c r="Z17" s="92"/>
    </row>
    <row r="18" spans="1:26" ht="12.75">
      <c r="A18" s="92" t="s">
        <v>6409</v>
      </c>
      <c r="B18" s="372">
        <v>2005</v>
      </c>
      <c r="C18" s="372">
        <v>15673386</v>
      </c>
      <c r="D18" s="373"/>
      <c r="E18" s="261" t="str">
        <f t="shared" si="0"/>
        <v>https://pubmed.ncbi.nlm.nih.gov/15673386</v>
      </c>
      <c r="F18" s="92" t="s">
        <v>511</v>
      </c>
      <c r="G18" s="374" t="s">
        <v>4744</v>
      </c>
      <c r="H18" s="21"/>
      <c r="I18" s="92"/>
      <c r="J18" s="92"/>
      <c r="K18" s="92"/>
      <c r="L18" s="92"/>
      <c r="M18" s="92"/>
      <c r="N18" s="92"/>
      <c r="O18" s="92"/>
      <c r="P18" s="92"/>
      <c r="Q18" s="92"/>
      <c r="R18" s="92"/>
      <c r="S18" s="92"/>
      <c r="T18" s="92"/>
      <c r="U18" s="92"/>
      <c r="V18" s="92"/>
      <c r="W18" s="92"/>
      <c r="X18" s="92"/>
      <c r="Y18" s="92"/>
      <c r="Z18" s="92"/>
    </row>
    <row r="19" spans="1:26" ht="12.75">
      <c r="A19" s="92" t="s">
        <v>6410</v>
      </c>
      <c r="B19" s="372">
        <v>2015</v>
      </c>
      <c r="C19" s="372">
        <v>25577042</v>
      </c>
      <c r="D19" s="373" t="s">
        <v>6411</v>
      </c>
      <c r="E19" s="261" t="str">
        <f t="shared" si="0"/>
        <v>https://pubmed.ncbi.nlm.nih.gov/25577042</v>
      </c>
      <c r="F19" s="92" t="s">
        <v>511</v>
      </c>
      <c r="G19" s="374" t="s">
        <v>6412</v>
      </c>
      <c r="H19" s="21"/>
      <c r="I19" s="92"/>
      <c r="J19" s="92"/>
      <c r="K19" s="92"/>
      <c r="L19" s="92"/>
      <c r="M19" s="92"/>
      <c r="N19" s="92"/>
      <c r="O19" s="92"/>
      <c r="P19" s="92"/>
      <c r="Q19" s="92"/>
      <c r="R19" s="92"/>
      <c r="S19" s="92"/>
      <c r="T19" s="92"/>
      <c r="U19" s="92"/>
      <c r="V19" s="92"/>
      <c r="W19" s="92"/>
      <c r="X19" s="92"/>
      <c r="Y19" s="92"/>
      <c r="Z19" s="92"/>
    </row>
    <row r="20" spans="1:26" ht="12.75">
      <c r="A20" s="92" t="s">
        <v>6413</v>
      </c>
      <c r="B20" s="372">
        <v>2017</v>
      </c>
      <c r="C20" s="372">
        <v>30787745</v>
      </c>
      <c r="D20" s="373" t="s">
        <v>6414</v>
      </c>
      <c r="E20" s="261" t="str">
        <f t="shared" si="0"/>
        <v>https://pubmed.ncbi.nlm.nih.gov/30787745</v>
      </c>
      <c r="F20" s="92" t="s">
        <v>511</v>
      </c>
      <c r="G20" s="92" t="s">
        <v>4592</v>
      </c>
      <c r="H20" s="92"/>
      <c r="I20" s="92"/>
      <c r="J20" s="92"/>
      <c r="K20" s="92"/>
      <c r="L20" s="92"/>
      <c r="M20" s="92"/>
      <c r="N20" s="92"/>
      <c r="O20" s="92"/>
      <c r="P20" s="92"/>
      <c r="Q20" s="92"/>
      <c r="R20" s="92"/>
      <c r="S20" s="92"/>
      <c r="T20" s="92"/>
      <c r="U20" s="92"/>
      <c r="V20" s="92"/>
      <c r="W20" s="92"/>
      <c r="X20" s="92"/>
      <c r="Y20" s="92"/>
      <c r="Z20" s="92"/>
    </row>
    <row r="21" spans="1:26" ht="12.75">
      <c r="A21" s="92" t="s">
        <v>6415</v>
      </c>
      <c r="B21" s="372">
        <v>2004</v>
      </c>
      <c r="C21" s="372">
        <v>15266443</v>
      </c>
      <c r="D21" s="373" t="s">
        <v>6416</v>
      </c>
      <c r="E21" s="261" t="str">
        <f t="shared" si="0"/>
        <v>https://pubmed.ncbi.nlm.nih.gov/15266443</v>
      </c>
      <c r="F21" s="92" t="s">
        <v>511</v>
      </c>
      <c r="G21" s="92" t="s">
        <v>4592</v>
      </c>
      <c r="H21" s="92"/>
      <c r="I21" s="92"/>
      <c r="J21" s="92"/>
      <c r="K21" s="92"/>
      <c r="L21" s="92"/>
      <c r="M21" s="92"/>
      <c r="N21" s="92"/>
      <c r="O21" s="92"/>
      <c r="P21" s="92"/>
      <c r="Q21" s="92"/>
      <c r="R21" s="92"/>
      <c r="S21" s="92"/>
      <c r="T21" s="92"/>
      <c r="U21" s="92"/>
      <c r="V21" s="92"/>
      <c r="W21" s="92"/>
      <c r="X21" s="92"/>
      <c r="Y21" s="92"/>
      <c r="Z21" s="92"/>
    </row>
    <row r="22" spans="1:26" ht="12.75">
      <c r="A22" s="92" t="s">
        <v>6417</v>
      </c>
      <c r="B22" s="372">
        <v>2017</v>
      </c>
      <c r="C22" s="372">
        <v>27664969</v>
      </c>
      <c r="D22" s="373"/>
      <c r="E22" s="261" t="str">
        <f t="shared" si="0"/>
        <v>https://pubmed.ncbi.nlm.nih.gov/27664969</v>
      </c>
      <c r="F22" s="92" t="s">
        <v>511</v>
      </c>
      <c r="G22" s="374" t="s">
        <v>5299</v>
      </c>
      <c r="H22" s="21"/>
      <c r="I22" s="92"/>
      <c r="J22" s="92"/>
      <c r="K22" s="92"/>
      <c r="L22" s="92"/>
      <c r="M22" s="92"/>
      <c r="N22" s="92"/>
      <c r="O22" s="92"/>
      <c r="P22" s="92"/>
      <c r="Q22" s="92"/>
      <c r="R22" s="92"/>
      <c r="S22" s="92"/>
      <c r="T22" s="92"/>
      <c r="U22" s="92"/>
      <c r="V22" s="92"/>
      <c r="W22" s="92"/>
      <c r="X22" s="92"/>
      <c r="Y22" s="92"/>
      <c r="Z22" s="92"/>
    </row>
    <row r="23" spans="1:26" ht="12.75">
      <c r="A23" s="92" t="s">
        <v>6418</v>
      </c>
      <c r="B23" s="372">
        <v>2003</v>
      </c>
      <c r="C23" s="372">
        <v>14515117</v>
      </c>
      <c r="D23" s="373"/>
      <c r="E23" s="261" t="str">
        <f t="shared" si="0"/>
        <v>https://pubmed.ncbi.nlm.nih.gov/14515117</v>
      </c>
      <c r="F23" s="92" t="s">
        <v>511</v>
      </c>
      <c r="G23" s="92" t="s">
        <v>4592</v>
      </c>
      <c r="H23" s="92"/>
      <c r="I23" s="92"/>
      <c r="J23" s="92"/>
      <c r="K23" s="92"/>
      <c r="L23" s="92"/>
      <c r="M23" s="92"/>
      <c r="N23" s="92"/>
      <c r="O23" s="92"/>
      <c r="P23" s="92"/>
      <c r="Q23" s="92"/>
      <c r="R23" s="92"/>
      <c r="S23" s="92"/>
      <c r="T23" s="92"/>
      <c r="U23" s="92"/>
      <c r="V23" s="92"/>
      <c r="W23" s="92"/>
      <c r="X23" s="92"/>
      <c r="Y23" s="92"/>
      <c r="Z23" s="92"/>
    </row>
    <row r="24" spans="1:26" ht="12.75">
      <c r="A24" s="92" t="s">
        <v>6419</v>
      </c>
      <c r="B24" s="372">
        <v>2018</v>
      </c>
      <c r="C24" s="372">
        <v>29372930</v>
      </c>
      <c r="D24" s="373" t="s">
        <v>6420</v>
      </c>
      <c r="E24" s="261" t="str">
        <f t="shared" si="0"/>
        <v>https://pubmed.ncbi.nlm.nih.gov/29372930</v>
      </c>
      <c r="F24" s="92" t="s">
        <v>511</v>
      </c>
      <c r="G24" s="92" t="s">
        <v>4592</v>
      </c>
      <c r="H24" s="92"/>
      <c r="I24" s="92"/>
      <c r="J24" s="92"/>
      <c r="K24" s="92"/>
      <c r="L24" s="92"/>
      <c r="M24" s="92"/>
      <c r="N24" s="92"/>
      <c r="O24" s="92"/>
      <c r="P24" s="92"/>
      <c r="Q24" s="92"/>
      <c r="R24" s="92"/>
      <c r="S24" s="92"/>
      <c r="T24" s="92"/>
      <c r="U24" s="92"/>
      <c r="V24" s="92"/>
      <c r="W24" s="92"/>
      <c r="X24" s="92"/>
      <c r="Y24" s="92"/>
      <c r="Z24" s="92"/>
    </row>
    <row r="25" spans="1:26" ht="12.75">
      <c r="A25" s="92" t="s">
        <v>6421</v>
      </c>
      <c r="B25" s="372">
        <v>2016</v>
      </c>
      <c r="C25" s="372">
        <v>26862016</v>
      </c>
      <c r="D25" s="373" t="s">
        <v>6422</v>
      </c>
      <c r="E25" s="261" t="str">
        <f t="shared" si="0"/>
        <v>https://pubmed.ncbi.nlm.nih.gov/26862016</v>
      </c>
      <c r="F25" s="92" t="s">
        <v>511</v>
      </c>
      <c r="G25" s="92" t="s">
        <v>4592</v>
      </c>
      <c r="H25" s="92"/>
      <c r="I25" s="92"/>
      <c r="J25" s="92"/>
      <c r="K25" s="92"/>
      <c r="L25" s="92"/>
      <c r="M25" s="92"/>
      <c r="N25" s="92"/>
      <c r="O25" s="92"/>
      <c r="P25" s="92"/>
      <c r="Q25" s="92"/>
      <c r="R25" s="92"/>
      <c r="S25" s="92"/>
      <c r="T25" s="92"/>
      <c r="U25" s="92"/>
      <c r="V25" s="92"/>
      <c r="W25" s="92"/>
      <c r="X25" s="92"/>
      <c r="Y25" s="92"/>
      <c r="Z25" s="92"/>
    </row>
    <row r="26" spans="1:26" ht="12.75">
      <c r="A26" s="92" t="s">
        <v>6423</v>
      </c>
      <c r="B26" s="372">
        <v>2019</v>
      </c>
      <c r="C26" s="372">
        <v>31221539</v>
      </c>
      <c r="D26" s="373"/>
      <c r="E26" s="261" t="str">
        <f t="shared" si="0"/>
        <v>https://pubmed.ncbi.nlm.nih.gov/31221539</v>
      </c>
      <c r="F26" s="92" t="s">
        <v>511</v>
      </c>
      <c r="G26" s="92" t="s">
        <v>8412</v>
      </c>
      <c r="H26" s="92"/>
      <c r="I26" s="92"/>
      <c r="J26" s="92"/>
      <c r="K26" s="92"/>
      <c r="L26" s="92"/>
      <c r="M26" s="92"/>
      <c r="N26" s="92"/>
      <c r="O26" s="92"/>
      <c r="P26" s="92"/>
      <c r="Q26" s="92"/>
      <c r="R26" s="92"/>
      <c r="S26" s="92"/>
      <c r="T26" s="92"/>
      <c r="U26" s="92"/>
      <c r="V26" s="92"/>
      <c r="W26" s="92"/>
      <c r="X26" s="92"/>
      <c r="Y26" s="92"/>
      <c r="Z26" s="92"/>
    </row>
    <row r="27" spans="1:26" ht="12.75">
      <c r="A27" s="92" t="s">
        <v>6423</v>
      </c>
      <c r="B27" s="372">
        <v>2018</v>
      </c>
      <c r="C27" s="372">
        <v>29804736</v>
      </c>
      <c r="D27" s="373"/>
      <c r="E27" s="261" t="str">
        <f t="shared" si="0"/>
        <v>https://pubmed.ncbi.nlm.nih.gov/29804736</v>
      </c>
      <c r="F27" s="92" t="s">
        <v>511</v>
      </c>
      <c r="G27" s="92" t="s">
        <v>4592</v>
      </c>
      <c r="H27" s="92"/>
      <c r="I27" s="92"/>
      <c r="J27" s="92"/>
      <c r="K27" s="92"/>
      <c r="L27" s="92"/>
      <c r="M27" s="92"/>
      <c r="N27" s="92"/>
      <c r="O27" s="92"/>
      <c r="P27" s="92"/>
      <c r="Q27" s="92"/>
      <c r="R27" s="92"/>
      <c r="S27" s="92"/>
      <c r="T27" s="92"/>
      <c r="U27" s="92"/>
      <c r="V27" s="92"/>
      <c r="W27" s="92"/>
      <c r="X27" s="92"/>
      <c r="Y27" s="92"/>
      <c r="Z27" s="92"/>
    </row>
    <row r="28" spans="1:26" ht="12.75">
      <c r="A28" s="92" t="s">
        <v>6423</v>
      </c>
      <c r="B28" s="372">
        <v>2019</v>
      </c>
      <c r="C28" s="372">
        <v>31159976</v>
      </c>
      <c r="D28" s="373"/>
      <c r="E28" s="261" t="str">
        <f t="shared" si="0"/>
        <v>https://pubmed.ncbi.nlm.nih.gov/31159976</v>
      </c>
      <c r="F28" s="92" t="s">
        <v>511</v>
      </c>
      <c r="G28" s="92" t="s">
        <v>8412</v>
      </c>
      <c r="H28" s="92"/>
      <c r="I28" s="92"/>
      <c r="J28" s="92"/>
      <c r="K28" s="92"/>
      <c r="L28" s="92"/>
      <c r="M28" s="92"/>
      <c r="N28" s="92"/>
      <c r="O28" s="92"/>
      <c r="P28" s="92"/>
      <c r="Q28" s="92"/>
      <c r="R28" s="92"/>
      <c r="S28" s="92"/>
      <c r="T28" s="92"/>
      <c r="U28" s="92"/>
      <c r="V28" s="92"/>
      <c r="W28" s="92"/>
      <c r="X28" s="92"/>
      <c r="Y28" s="92"/>
      <c r="Z28" s="92"/>
    </row>
    <row r="29" spans="1:26" ht="12.75">
      <c r="A29" s="92" t="s">
        <v>6424</v>
      </c>
      <c r="B29" s="372">
        <v>2011</v>
      </c>
      <c r="C29" s="372">
        <v>21884857</v>
      </c>
      <c r="D29" s="373"/>
      <c r="E29" s="261" t="str">
        <f t="shared" si="0"/>
        <v>https://pubmed.ncbi.nlm.nih.gov/21884857</v>
      </c>
      <c r="F29" s="92" t="s">
        <v>511</v>
      </c>
      <c r="G29" s="374" t="s">
        <v>4867</v>
      </c>
      <c r="H29" s="21"/>
      <c r="I29" s="92"/>
      <c r="J29" s="92"/>
      <c r="K29" s="92"/>
      <c r="L29" s="92"/>
      <c r="M29" s="92"/>
      <c r="N29" s="92"/>
      <c r="O29" s="92"/>
      <c r="P29" s="92"/>
      <c r="Q29" s="92"/>
      <c r="R29" s="92"/>
      <c r="S29" s="92"/>
      <c r="T29" s="92"/>
      <c r="U29" s="92"/>
      <c r="V29" s="92"/>
      <c r="W29" s="92"/>
      <c r="X29" s="92"/>
      <c r="Y29" s="92"/>
      <c r="Z29" s="92"/>
    </row>
    <row r="30" spans="1:26" ht="12.75">
      <c r="A30" s="92" t="s">
        <v>6425</v>
      </c>
      <c r="B30" s="372">
        <v>2018</v>
      </c>
      <c r="C30" s="372">
        <v>29482936</v>
      </c>
      <c r="D30" s="373" t="s">
        <v>6426</v>
      </c>
      <c r="E30" s="261" t="str">
        <f t="shared" si="0"/>
        <v>https://pubmed.ncbi.nlm.nih.gov/29482936</v>
      </c>
      <c r="F30" s="92" t="s">
        <v>511</v>
      </c>
      <c r="G30" s="374" t="s">
        <v>5157</v>
      </c>
      <c r="H30" s="21"/>
      <c r="I30" s="21"/>
      <c r="J30" s="92"/>
      <c r="K30" s="92"/>
      <c r="L30" s="92"/>
      <c r="M30" s="92"/>
      <c r="N30" s="92"/>
      <c r="O30" s="92"/>
      <c r="P30" s="92"/>
      <c r="Q30" s="92"/>
      <c r="R30" s="92"/>
      <c r="S30" s="92"/>
      <c r="T30" s="92"/>
      <c r="U30" s="92"/>
      <c r="V30" s="92"/>
      <c r="W30" s="92"/>
      <c r="X30" s="92"/>
      <c r="Y30" s="92"/>
      <c r="Z30" s="92"/>
    </row>
    <row r="31" spans="1:26" ht="12.75">
      <c r="A31" s="92" t="s">
        <v>6427</v>
      </c>
      <c r="B31" s="372">
        <v>2019</v>
      </c>
      <c r="C31" s="372">
        <v>30488367</v>
      </c>
      <c r="D31" s="373"/>
      <c r="E31" s="261" t="str">
        <f t="shared" si="0"/>
        <v>https://pubmed.ncbi.nlm.nih.gov/30488367</v>
      </c>
      <c r="F31" s="92" t="s">
        <v>511</v>
      </c>
      <c r="G31" s="374" t="s">
        <v>5157</v>
      </c>
      <c r="H31" s="21"/>
      <c r="I31" s="21"/>
      <c r="J31" s="92"/>
      <c r="K31" s="92"/>
      <c r="L31" s="92"/>
      <c r="M31" s="92"/>
      <c r="N31" s="92"/>
      <c r="O31" s="92"/>
      <c r="P31" s="92"/>
      <c r="Q31" s="92"/>
      <c r="R31" s="92"/>
      <c r="S31" s="92"/>
      <c r="T31" s="92"/>
      <c r="U31" s="92"/>
      <c r="V31" s="92"/>
      <c r="W31" s="92"/>
      <c r="X31" s="92"/>
      <c r="Y31" s="92"/>
      <c r="Z31" s="92"/>
    </row>
    <row r="32" spans="1:26" ht="12.75">
      <c r="A32" s="92" t="s">
        <v>6428</v>
      </c>
      <c r="B32" s="372">
        <v>2011</v>
      </c>
      <c r="C32" s="372">
        <v>21414048</v>
      </c>
      <c r="D32" s="373"/>
      <c r="E32" s="261" t="str">
        <f t="shared" si="0"/>
        <v>https://pubmed.ncbi.nlm.nih.gov/21414048</v>
      </c>
      <c r="F32" s="92" t="s">
        <v>511</v>
      </c>
      <c r="G32" s="374" t="s">
        <v>4744</v>
      </c>
      <c r="H32" s="92"/>
      <c r="I32" s="374" t="s">
        <v>6429</v>
      </c>
      <c r="J32" s="92"/>
      <c r="K32" s="92"/>
      <c r="L32" s="92"/>
      <c r="M32" s="92"/>
      <c r="N32" s="92"/>
      <c r="O32" s="92"/>
      <c r="P32" s="92"/>
      <c r="Q32" s="92"/>
      <c r="R32" s="92"/>
      <c r="S32" s="92"/>
      <c r="T32" s="92"/>
      <c r="U32" s="92"/>
      <c r="V32" s="92"/>
      <c r="W32" s="92"/>
      <c r="X32" s="92"/>
      <c r="Y32" s="92"/>
      <c r="Z32" s="92"/>
    </row>
    <row r="33" spans="1:26" ht="12.75">
      <c r="A33" s="92" t="s">
        <v>6430</v>
      </c>
      <c r="B33" s="372">
        <v>2015</v>
      </c>
      <c r="C33" s="372">
        <v>26380384</v>
      </c>
      <c r="D33" s="373"/>
      <c r="E33" s="261" t="str">
        <f t="shared" si="0"/>
        <v>https://pubmed.ncbi.nlm.nih.gov/26380384</v>
      </c>
      <c r="F33" s="92" t="s">
        <v>511</v>
      </c>
      <c r="G33" s="374" t="s">
        <v>6431</v>
      </c>
      <c r="H33" s="21"/>
      <c r="I33" s="92"/>
      <c r="J33" s="92"/>
      <c r="K33" s="92"/>
      <c r="L33" s="92"/>
      <c r="M33" s="92"/>
      <c r="N33" s="92"/>
      <c r="O33" s="92"/>
      <c r="P33" s="92"/>
      <c r="Q33" s="92"/>
      <c r="R33" s="92"/>
      <c r="S33" s="92"/>
      <c r="T33" s="92"/>
      <c r="U33" s="92"/>
      <c r="V33" s="92"/>
      <c r="W33" s="92"/>
      <c r="X33" s="92"/>
      <c r="Y33" s="92"/>
      <c r="Z33" s="92"/>
    </row>
    <row r="34" spans="1:26" ht="12.75">
      <c r="A34" s="92" t="s">
        <v>6432</v>
      </c>
      <c r="B34" s="372">
        <v>2018</v>
      </c>
      <c r="C34" s="372">
        <v>29242014</v>
      </c>
      <c r="D34" s="373" t="s">
        <v>6433</v>
      </c>
      <c r="E34" s="261" t="str">
        <f t="shared" si="0"/>
        <v>https://pubmed.ncbi.nlm.nih.gov/29242014</v>
      </c>
      <c r="F34" s="92" t="s">
        <v>511</v>
      </c>
      <c r="G34" s="374" t="s">
        <v>4744</v>
      </c>
      <c r="H34" s="92"/>
      <c r="I34" s="374" t="s">
        <v>6429</v>
      </c>
      <c r="J34" s="92"/>
      <c r="K34" s="92"/>
      <c r="L34" s="92"/>
      <c r="M34" s="92"/>
      <c r="N34" s="92"/>
      <c r="O34" s="92"/>
      <c r="P34" s="92"/>
      <c r="Q34" s="92"/>
      <c r="R34" s="92"/>
      <c r="S34" s="92"/>
      <c r="T34" s="92"/>
      <c r="U34" s="92"/>
      <c r="V34" s="92"/>
      <c r="W34" s="92"/>
      <c r="X34" s="92"/>
      <c r="Y34" s="92"/>
      <c r="Z34" s="92"/>
    </row>
    <row r="35" spans="1:26" ht="12.75">
      <c r="A35" s="92" t="s">
        <v>6434</v>
      </c>
      <c r="B35" s="372">
        <v>2017</v>
      </c>
      <c r="C35" s="372">
        <v>28586918</v>
      </c>
      <c r="D35" s="373" t="s">
        <v>6435</v>
      </c>
      <c r="E35" s="261" t="str">
        <f t="shared" si="0"/>
        <v>https://pubmed.ncbi.nlm.nih.gov/28586918</v>
      </c>
      <c r="F35" s="92" t="s">
        <v>511</v>
      </c>
      <c r="G35" s="374" t="s">
        <v>5157</v>
      </c>
      <c r="H35" s="21"/>
      <c r="I35" s="21"/>
      <c r="J35" s="92"/>
      <c r="K35" s="92"/>
      <c r="L35" s="92"/>
      <c r="M35" s="92"/>
      <c r="N35" s="92"/>
      <c r="O35" s="92"/>
      <c r="P35" s="92"/>
      <c r="Q35" s="92"/>
      <c r="R35" s="92"/>
      <c r="S35" s="92"/>
      <c r="T35" s="92"/>
      <c r="U35" s="92"/>
      <c r="V35" s="92"/>
      <c r="W35" s="92"/>
      <c r="X35" s="92"/>
      <c r="Y35" s="92"/>
      <c r="Z35" s="92"/>
    </row>
    <row r="36" spans="1:26" ht="12.75">
      <c r="A36" s="92" t="s">
        <v>6436</v>
      </c>
      <c r="B36" s="372">
        <v>2020</v>
      </c>
      <c r="C36" s="372">
        <v>32876697</v>
      </c>
      <c r="D36" s="92" t="s">
        <v>6437</v>
      </c>
      <c r="E36" s="261" t="str">
        <f t="shared" si="0"/>
        <v>https://pubmed.ncbi.nlm.nih.gov/32876697</v>
      </c>
      <c r="F36" s="92" t="s">
        <v>511</v>
      </c>
      <c r="G36" s="374" t="s">
        <v>4744</v>
      </c>
      <c r="H36" s="21"/>
      <c r="I36" s="92"/>
      <c r="J36" s="92"/>
      <c r="K36" s="92"/>
      <c r="L36" s="92"/>
      <c r="M36" s="92"/>
      <c r="N36" s="92"/>
      <c r="O36" s="92"/>
      <c r="P36" s="92"/>
      <c r="Q36" s="92"/>
      <c r="R36" s="92"/>
      <c r="S36" s="92"/>
      <c r="T36" s="92"/>
      <c r="U36" s="92"/>
      <c r="V36" s="92"/>
      <c r="W36" s="92"/>
      <c r="X36" s="92"/>
      <c r="Y36" s="92"/>
      <c r="Z36" s="92"/>
    </row>
    <row r="37" spans="1:26" ht="12.75">
      <c r="A37" s="92" t="s">
        <v>6438</v>
      </c>
      <c r="B37" s="372">
        <v>2002</v>
      </c>
      <c r="C37" s="372">
        <v>12186604</v>
      </c>
      <c r="D37" s="373"/>
      <c r="E37" s="261" t="str">
        <f t="shared" si="0"/>
        <v>https://pubmed.ncbi.nlm.nih.gov/12186604</v>
      </c>
      <c r="F37" s="92" t="s">
        <v>511</v>
      </c>
      <c r="G37" s="374" t="s">
        <v>4744</v>
      </c>
      <c r="H37" s="21"/>
      <c r="I37" s="92"/>
      <c r="J37" s="92"/>
      <c r="K37" s="92"/>
      <c r="L37" s="92"/>
      <c r="M37" s="92"/>
      <c r="N37" s="92"/>
      <c r="O37" s="92"/>
      <c r="P37" s="92"/>
      <c r="Q37" s="92"/>
      <c r="R37" s="92"/>
      <c r="S37" s="92"/>
      <c r="T37" s="92"/>
      <c r="U37" s="92"/>
      <c r="V37" s="92"/>
      <c r="W37" s="92"/>
      <c r="X37" s="92"/>
      <c r="Y37" s="92"/>
      <c r="Z37" s="92"/>
    </row>
    <row r="38" spans="1:26" ht="12.75">
      <c r="A38" s="92" t="s">
        <v>6439</v>
      </c>
      <c r="B38" s="372">
        <v>2012</v>
      </c>
      <c r="C38" s="372">
        <v>22192254</v>
      </c>
      <c r="D38" s="373" t="s">
        <v>6440</v>
      </c>
      <c r="E38" s="261" t="str">
        <f t="shared" si="0"/>
        <v>https://pubmed.ncbi.nlm.nih.gov/22192254</v>
      </c>
      <c r="F38" s="92" t="s">
        <v>511</v>
      </c>
      <c r="G38" s="92" t="s">
        <v>4592</v>
      </c>
      <c r="H38" s="92"/>
      <c r="I38" s="92"/>
      <c r="J38" s="92"/>
      <c r="K38" s="92"/>
      <c r="L38" s="92"/>
      <c r="M38" s="92"/>
      <c r="N38" s="92"/>
      <c r="O38" s="92"/>
      <c r="P38" s="92"/>
      <c r="Q38" s="92"/>
      <c r="R38" s="92"/>
      <c r="S38" s="92"/>
      <c r="T38" s="92"/>
      <c r="U38" s="92"/>
      <c r="V38" s="92"/>
      <c r="W38" s="92"/>
      <c r="X38" s="92"/>
      <c r="Y38" s="92"/>
      <c r="Z38" s="92"/>
    </row>
    <row r="39" spans="1:26" ht="12.75">
      <c r="A39" s="92" t="s">
        <v>6441</v>
      </c>
      <c r="B39" s="372">
        <v>2004</v>
      </c>
      <c r="C39" s="372">
        <v>15538306</v>
      </c>
      <c r="D39" s="373"/>
      <c r="E39" s="261" t="str">
        <f t="shared" si="0"/>
        <v>https://pubmed.ncbi.nlm.nih.gov/15538306</v>
      </c>
      <c r="F39" s="92" t="s">
        <v>511</v>
      </c>
      <c r="G39" s="92" t="s">
        <v>6442</v>
      </c>
      <c r="H39" s="92"/>
      <c r="I39" s="92"/>
      <c r="J39" s="92"/>
      <c r="K39" s="92"/>
      <c r="L39" s="92"/>
      <c r="M39" s="92"/>
      <c r="N39" s="92"/>
      <c r="O39" s="92"/>
      <c r="P39" s="92"/>
      <c r="Q39" s="92"/>
      <c r="R39" s="92"/>
      <c r="S39" s="92"/>
      <c r="T39" s="92"/>
      <c r="U39" s="92"/>
      <c r="V39" s="92"/>
      <c r="W39" s="92"/>
      <c r="X39" s="92"/>
      <c r="Y39" s="92"/>
      <c r="Z39" s="92"/>
    </row>
    <row r="40" spans="1:26" ht="12.75">
      <c r="A40" s="92" t="s">
        <v>6443</v>
      </c>
      <c r="B40" s="372">
        <v>2008</v>
      </c>
      <c r="C40" s="372">
        <v>18536575</v>
      </c>
      <c r="D40" s="373"/>
      <c r="E40" s="261" t="str">
        <f t="shared" si="0"/>
        <v>https://pubmed.ncbi.nlm.nih.gov/18536575</v>
      </c>
      <c r="F40" s="92" t="s">
        <v>511</v>
      </c>
      <c r="G40" s="92" t="s">
        <v>4592</v>
      </c>
      <c r="H40" s="92"/>
      <c r="I40" s="92"/>
      <c r="J40" s="92"/>
      <c r="K40" s="92"/>
      <c r="L40" s="92"/>
      <c r="M40" s="92"/>
      <c r="N40" s="92"/>
      <c r="O40" s="92"/>
      <c r="P40" s="92"/>
      <c r="Q40" s="92"/>
      <c r="R40" s="92"/>
      <c r="S40" s="92"/>
      <c r="T40" s="92"/>
      <c r="U40" s="92"/>
      <c r="V40" s="92"/>
      <c r="W40" s="92"/>
      <c r="X40" s="92"/>
      <c r="Y40" s="92"/>
      <c r="Z40" s="92"/>
    </row>
    <row r="41" spans="1:26" ht="12.75">
      <c r="A41" s="92" t="s">
        <v>6444</v>
      </c>
      <c r="B41" s="372">
        <v>2013</v>
      </c>
      <c r="C41" s="372">
        <v>23317632</v>
      </c>
      <c r="D41" s="373"/>
      <c r="E41" s="261" t="str">
        <f t="shared" si="0"/>
        <v>https://pubmed.ncbi.nlm.nih.gov/23317632</v>
      </c>
      <c r="F41" s="92" t="s">
        <v>511</v>
      </c>
      <c r="G41" s="374" t="s">
        <v>4744</v>
      </c>
      <c r="H41" s="21"/>
      <c r="I41" s="92"/>
      <c r="J41" s="92"/>
      <c r="K41" s="92"/>
      <c r="L41" s="92"/>
      <c r="M41" s="92"/>
      <c r="N41" s="92"/>
      <c r="O41" s="92"/>
      <c r="P41" s="92"/>
      <c r="Q41" s="92"/>
      <c r="R41" s="92"/>
      <c r="S41" s="92"/>
      <c r="T41" s="92"/>
      <c r="U41" s="92"/>
      <c r="V41" s="92"/>
      <c r="W41" s="92"/>
      <c r="X41" s="92"/>
      <c r="Y41" s="92"/>
      <c r="Z41" s="92"/>
    </row>
    <row r="42" spans="1:26" ht="12.75">
      <c r="A42" s="92" t="s">
        <v>6445</v>
      </c>
      <c r="B42" s="372">
        <v>2001</v>
      </c>
      <c r="C42" s="372">
        <v>11816438</v>
      </c>
      <c r="D42" s="375"/>
      <c r="E42" s="261" t="str">
        <f t="shared" si="0"/>
        <v>https://pubmed.ncbi.nlm.nih.gov/11816438</v>
      </c>
      <c r="F42" s="92" t="s">
        <v>511</v>
      </c>
      <c r="G42" s="92" t="s">
        <v>8412</v>
      </c>
      <c r="H42" s="92"/>
      <c r="I42" s="92"/>
      <c r="J42" s="92"/>
      <c r="K42" s="92"/>
      <c r="L42" s="92"/>
      <c r="M42" s="92"/>
      <c r="N42" s="92"/>
      <c r="O42" s="92"/>
      <c r="P42" s="92"/>
      <c r="Q42" s="92"/>
      <c r="R42" s="92"/>
      <c r="S42" s="92"/>
      <c r="T42" s="92"/>
      <c r="U42" s="92"/>
      <c r="V42" s="92"/>
      <c r="W42" s="92"/>
      <c r="X42" s="92"/>
      <c r="Y42" s="92"/>
      <c r="Z42" s="92"/>
    </row>
    <row r="43" spans="1:26" ht="12.75">
      <c r="A43" s="92" t="s">
        <v>6446</v>
      </c>
      <c r="B43" s="372">
        <v>2009</v>
      </c>
      <c r="C43" s="372">
        <v>19650816</v>
      </c>
      <c r="D43" s="375"/>
      <c r="E43" s="261" t="str">
        <f t="shared" si="0"/>
        <v>https://pubmed.ncbi.nlm.nih.gov/19650816</v>
      </c>
      <c r="F43" s="92" t="s">
        <v>511</v>
      </c>
      <c r="G43" s="374" t="s">
        <v>8420</v>
      </c>
      <c r="H43" s="21"/>
      <c r="I43" s="92"/>
      <c r="J43" s="92"/>
      <c r="K43" s="92"/>
      <c r="L43" s="92"/>
      <c r="M43" s="92"/>
      <c r="N43" s="92"/>
      <c r="O43" s="92"/>
      <c r="P43" s="92"/>
      <c r="Q43" s="92"/>
      <c r="R43" s="92"/>
      <c r="S43" s="92"/>
      <c r="T43" s="92"/>
      <c r="U43" s="92"/>
      <c r="V43" s="92"/>
      <c r="W43" s="92"/>
      <c r="X43" s="92"/>
      <c r="Y43" s="92"/>
      <c r="Z43" s="92"/>
    </row>
    <row r="44" spans="1:26" ht="12.75">
      <c r="A44" s="92" t="s">
        <v>6448</v>
      </c>
      <c r="B44" s="372">
        <v>2019</v>
      </c>
      <c r="C44" s="372">
        <v>30311743</v>
      </c>
      <c r="D44" s="373" t="s">
        <v>6449</v>
      </c>
      <c r="E44" s="261" t="str">
        <f t="shared" si="0"/>
        <v>https://pubmed.ncbi.nlm.nih.gov/30311743</v>
      </c>
      <c r="F44" s="92" t="s">
        <v>511</v>
      </c>
      <c r="G44" s="92" t="s">
        <v>8412</v>
      </c>
      <c r="H44" s="92"/>
      <c r="I44" s="92"/>
      <c r="J44" s="92"/>
      <c r="K44" s="92"/>
      <c r="L44" s="92"/>
      <c r="M44" s="92"/>
      <c r="N44" s="92"/>
      <c r="O44" s="92"/>
      <c r="P44" s="92"/>
      <c r="Q44" s="92"/>
      <c r="R44" s="92"/>
      <c r="S44" s="92"/>
      <c r="T44" s="92"/>
      <c r="U44" s="92"/>
      <c r="V44" s="92"/>
      <c r="W44" s="92"/>
      <c r="X44" s="92"/>
      <c r="Y44" s="92"/>
      <c r="Z44" s="92"/>
    </row>
    <row r="45" spans="1:26" ht="12.75">
      <c r="A45" s="92" t="s">
        <v>6450</v>
      </c>
      <c r="B45" s="372">
        <v>2004</v>
      </c>
      <c r="C45" s="372">
        <v>15134469</v>
      </c>
      <c r="D45" s="373"/>
      <c r="E45" s="261" t="str">
        <f t="shared" si="0"/>
        <v>https://pubmed.ncbi.nlm.nih.gov/15134469</v>
      </c>
      <c r="F45" s="92" t="s">
        <v>511</v>
      </c>
      <c r="G45" s="92" t="s">
        <v>4592</v>
      </c>
      <c r="H45" s="92"/>
      <c r="I45" s="92"/>
      <c r="J45" s="92"/>
      <c r="K45" s="92"/>
      <c r="L45" s="92"/>
      <c r="M45" s="92"/>
      <c r="N45" s="92"/>
      <c r="O45" s="92"/>
      <c r="P45" s="92"/>
      <c r="Q45" s="92"/>
      <c r="R45" s="92"/>
      <c r="S45" s="92"/>
      <c r="T45" s="92"/>
      <c r="U45" s="92"/>
      <c r="V45" s="92"/>
      <c r="W45" s="92"/>
      <c r="X45" s="92"/>
      <c r="Y45" s="92"/>
      <c r="Z45" s="92"/>
    </row>
    <row r="46" spans="1:26" ht="12.75">
      <c r="A46" s="92" t="s">
        <v>6451</v>
      </c>
      <c r="B46" s="372">
        <v>2011</v>
      </c>
      <c r="C46" s="372">
        <v>21457235</v>
      </c>
      <c r="D46" s="373"/>
      <c r="E46" s="261" t="str">
        <f t="shared" si="0"/>
        <v>https://pubmed.ncbi.nlm.nih.gov/21457235</v>
      </c>
      <c r="F46" s="92" t="s">
        <v>511</v>
      </c>
      <c r="G46" s="374" t="s">
        <v>5299</v>
      </c>
      <c r="H46" s="21"/>
      <c r="I46" s="92"/>
      <c r="J46" s="92"/>
      <c r="K46" s="92"/>
      <c r="L46" s="92"/>
      <c r="M46" s="92"/>
      <c r="N46" s="92"/>
      <c r="O46" s="92"/>
      <c r="P46" s="92"/>
      <c r="Q46" s="92"/>
      <c r="R46" s="92"/>
      <c r="S46" s="92"/>
      <c r="T46" s="92"/>
      <c r="U46" s="92"/>
      <c r="V46" s="92"/>
      <c r="W46" s="92"/>
      <c r="X46" s="92"/>
      <c r="Y46" s="92"/>
      <c r="Z46" s="92"/>
    </row>
    <row r="47" spans="1:26" ht="12.75">
      <c r="A47" s="92" t="s">
        <v>6452</v>
      </c>
      <c r="B47" s="372">
        <v>2010</v>
      </c>
      <c r="C47" s="372">
        <v>20156911</v>
      </c>
      <c r="D47" s="373" t="s">
        <v>6453</v>
      </c>
      <c r="E47" s="261" t="str">
        <f t="shared" si="0"/>
        <v>https://pubmed.ncbi.nlm.nih.gov/20156911</v>
      </c>
      <c r="F47" s="92" t="s">
        <v>511</v>
      </c>
      <c r="G47" s="92" t="s">
        <v>8412</v>
      </c>
      <c r="H47" s="92"/>
      <c r="I47" s="92"/>
      <c r="J47" s="92"/>
      <c r="K47" s="92"/>
      <c r="L47" s="92"/>
      <c r="M47" s="92"/>
      <c r="N47" s="92"/>
      <c r="O47" s="92"/>
      <c r="P47" s="92"/>
      <c r="Q47" s="92"/>
      <c r="R47" s="92"/>
      <c r="S47" s="92"/>
      <c r="T47" s="92"/>
      <c r="U47" s="92"/>
      <c r="V47" s="92"/>
      <c r="W47" s="92"/>
      <c r="X47" s="92"/>
      <c r="Y47" s="92"/>
      <c r="Z47" s="92"/>
    </row>
    <row r="48" spans="1:26" ht="12.75">
      <c r="A48" s="92" t="s">
        <v>6454</v>
      </c>
      <c r="B48" s="372">
        <v>2017</v>
      </c>
      <c r="C48" s="372">
        <v>28715157</v>
      </c>
      <c r="D48" s="373" t="s">
        <v>6455</v>
      </c>
      <c r="E48" s="261" t="str">
        <f t="shared" si="0"/>
        <v>https://pubmed.ncbi.nlm.nih.gov/28715157</v>
      </c>
      <c r="F48" s="92" t="s">
        <v>511</v>
      </c>
      <c r="G48" s="374" t="s">
        <v>4744</v>
      </c>
      <c r="H48" s="21"/>
      <c r="I48" s="92"/>
      <c r="J48" s="92"/>
      <c r="K48" s="92"/>
      <c r="L48" s="92"/>
      <c r="M48" s="92"/>
      <c r="N48" s="92"/>
      <c r="O48" s="92"/>
      <c r="P48" s="92"/>
      <c r="Q48" s="92"/>
      <c r="R48" s="92"/>
      <c r="S48" s="92"/>
      <c r="T48" s="92"/>
      <c r="U48" s="92"/>
      <c r="V48" s="92"/>
      <c r="W48" s="92"/>
      <c r="X48" s="92"/>
      <c r="Y48" s="92"/>
      <c r="Z48" s="92"/>
    </row>
    <row r="49" spans="1:26" ht="12.75">
      <c r="A49" s="92" t="s">
        <v>6456</v>
      </c>
      <c r="B49" s="372">
        <v>2001</v>
      </c>
      <c r="C49" s="372">
        <v>11297595</v>
      </c>
      <c r="D49" s="373"/>
      <c r="E49" s="261" t="str">
        <f t="shared" si="0"/>
        <v>https://pubmed.ncbi.nlm.nih.gov/11297595</v>
      </c>
      <c r="F49" s="92" t="s">
        <v>511</v>
      </c>
      <c r="G49" s="374" t="s">
        <v>4867</v>
      </c>
      <c r="H49" s="21"/>
      <c r="I49" s="92"/>
      <c r="J49" s="92"/>
      <c r="K49" s="92"/>
      <c r="L49" s="92"/>
      <c r="M49" s="92"/>
      <c r="N49" s="92"/>
      <c r="O49" s="92"/>
      <c r="P49" s="92"/>
      <c r="Q49" s="92"/>
      <c r="R49" s="92"/>
      <c r="S49" s="92"/>
      <c r="T49" s="92"/>
      <c r="U49" s="92"/>
      <c r="V49" s="92"/>
      <c r="W49" s="92"/>
      <c r="X49" s="92"/>
      <c r="Y49" s="92"/>
      <c r="Z49" s="92"/>
    </row>
    <row r="50" spans="1:26" ht="12.75">
      <c r="A50" s="92" t="s">
        <v>6457</v>
      </c>
      <c r="B50" s="372">
        <v>2012</v>
      </c>
      <c r="C50" s="372">
        <v>22504775</v>
      </c>
      <c r="D50" s="373"/>
      <c r="E50" s="261" t="str">
        <f t="shared" si="0"/>
        <v>https://pubmed.ncbi.nlm.nih.gov/22504775</v>
      </c>
      <c r="F50" s="92" t="s">
        <v>511</v>
      </c>
      <c r="G50" s="374" t="s">
        <v>6458</v>
      </c>
      <c r="H50" s="21"/>
      <c r="I50" s="92"/>
      <c r="J50" s="92"/>
      <c r="K50" s="92"/>
      <c r="L50" s="92"/>
      <c r="M50" s="92"/>
      <c r="N50" s="92"/>
      <c r="O50" s="92"/>
      <c r="P50" s="92"/>
      <c r="Q50" s="92"/>
      <c r="R50" s="92"/>
      <c r="S50" s="92"/>
      <c r="T50" s="92"/>
      <c r="U50" s="92"/>
      <c r="V50" s="92"/>
      <c r="W50" s="92"/>
      <c r="X50" s="92"/>
      <c r="Y50" s="92"/>
      <c r="Z50" s="92"/>
    </row>
    <row r="51" spans="1:26" ht="12.75">
      <c r="A51" s="92" t="s">
        <v>6459</v>
      </c>
      <c r="B51" s="372">
        <v>1996</v>
      </c>
      <c r="C51" s="372">
        <v>8938880</v>
      </c>
      <c r="D51" s="373"/>
      <c r="E51" s="261" t="str">
        <f t="shared" si="0"/>
        <v>https://pubmed.ncbi.nlm.nih.gov/8938880</v>
      </c>
      <c r="F51" s="92" t="s">
        <v>511</v>
      </c>
      <c r="G51" s="374" t="s">
        <v>4744</v>
      </c>
      <c r="H51" s="92"/>
      <c r="I51" s="92" t="s">
        <v>6460</v>
      </c>
      <c r="J51" s="92"/>
      <c r="K51" s="92"/>
      <c r="L51" s="92"/>
      <c r="M51" s="92"/>
      <c r="N51" s="92"/>
      <c r="O51" s="92"/>
      <c r="P51" s="92"/>
      <c r="Q51" s="92"/>
      <c r="R51" s="92"/>
      <c r="S51" s="92"/>
      <c r="T51" s="92"/>
      <c r="U51" s="92"/>
      <c r="V51" s="92"/>
      <c r="W51" s="92"/>
      <c r="X51" s="92"/>
      <c r="Y51" s="92"/>
      <c r="Z51" s="92"/>
    </row>
    <row r="52" spans="1:26" ht="12.75">
      <c r="A52" s="92" t="s">
        <v>6461</v>
      </c>
      <c r="B52" s="372">
        <v>2020</v>
      </c>
      <c r="C52" s="372">
        <v>32034026</v>
      </c>
      <c r="D52" s="373" t="s">
        <v>6462</v>
      </c>
      <c r="E52" s="261" t="str">
        <f t="shared" si="0"/>
        <v>https://pubmed.ncbi.nlm.nih.gov/32034026</v>
      </c>
      <c r="F52" s="92" t="s">
        <v>511</v>
      </c>
      <c r="G52" s="374" t="s">
        <v>8421</v>
      </c>
      <c r="H52" s="92"/>
      <c r="I52" s="92"/>
      <c r="J52" s="92"/>
      <c r="K52" s="92"/>
      <c r="L52" s="92"/>
      <c r="M52" s="92"/>
      <c r="N52" s="92"/>
      <c r="O52" s="92"/>
      <c r="P52" s="92"/>
      <c r="Q52" s="92"/>
      <c r="R52" s="92"/>
      <c r="S52" s="92"/>
      <c r="T52" s="92"/>
      <c r="U52" s="92"/>
      <c r="V52" s="92"/>
      <c r="W52" s="92"/>
      <c r="X52" s="92"/>
      <c r="Y52" s="92"/>
      <c r="Z52" s="92"/>
    </row>
    <row r="53" spans="1:26" ht="12.75">
      <c r="A53" s="92" t="s">
        <v>6464</v>
      </c>
      <c r="B53" s="372">
        <v>2006</v>
      </c>
      <c r="C53" s="372">
        <v>16714917</v>
      </c>
      <c r="D53" s="373"/>
      <c r="E53" s="261" t="str">
        <f t="shared" si="0"/>
        <v>https://pubmed.ncbi.nlm.nih.gov/16714917</v>
      </c>
      <c r="F53" s="92" t="s">
        <v>511</v>
      </c>
      <c r="G53" s="92" t="s">
        <v>4592</v>
      </c>
      <c r="H53" s="92"/>
      <c r="I53" s="92"/>
      <c r="J53" s="92"/>
      <c r="K53" s="92"/>
      <c r="L53" s="92"/>
      <c r="M53" s="92"/>
      <c r="N53" s="92"/>
      <c r="O53" s="92"/>
      <c r="P53" s="92"/>
      <c r="Q53" s="92"/>
      <c r="R53" s="92"/>
      <c r="S53" s="92"/>
      <c r="T53" s="92"/>
      <c r="U53" s="92"/>
      <c r="V53" s="92"/>
      <c r="W53" s="92"/>
      <c r="X53" s="92"/>
      <c r="Y53" s="92"/>
      <c r="Z53" s="92"/>
    </row>
    <row r="54" spans="1:26" ht="12.75">
      <c r="A54" s="92" t="s">
        <v>6465</v>
      </c>
      <c r="B54" s="372">
        <v>2010</v>
      </c>
      <c r="C54" s="372">
        <v>20629597</v>
      </c>
      <c r="D54" s="92"/>
      <c r="E54" s="261" t="str">
        <f t="shared" si="0"/>
        <v>https://pubmed.ncbi.nlm.nih.gov/20629597</v>
      </c>
      <c r="F54" s="92" t="s">
        <v>511</v>
      </c>
      <c r="G54" s="374" t="s">
        <v>5157</v>
      </c>
      <c r="H54" s="21"/>
      <c r="I54" s="21"/>
      <c r="J54" s="92"/>
      <c r="K54" s="92"/>
      <c r="L54" s="92"/>
      <c r="M54" s="92"/>
      <c r="N54" s="92"/>
      <c r="O54" s="92"/>
      <c r="P54" s="92"/>
      <c r="Q54" s="92"/>
      <c r="R54" s="92"/>
      <c r="S54" s="92"/>
      <c r="T54" s="92"/>
      <c r="U54" s="92"/>
      <c r="V54" s="92"/>
      <c r="W54" s="92"/>
      <c r="X54" s="92"/>
      <c r="Y54" s="92"/>
      <c r="Z54" s="92"/>
    </row>
    <row r="55" spans="1:26" ht="12.75">
      <c r="A55" s="92" t="s">
        <v>4003</v>
      </c>
      <c r="B55" s="372">
        <v>2017</v>
      </c>
      <c r="C55" s="372">
        <v>28457665</v>
      </c>
      <c r="D55" s="373" t="s">
        <v>6466</v>
      </c>
      <c r="E55" s="376" t="str">
        <f t="shared" si="0"/>
        <v>https://pubmed.ncbi.nlm.nih.gov/28457665</v>
      </c>
      <c r="F55" s="21"/>
      <c r="G55" s="92"/>
      <c r="H55" s="92" t="s">
        <v>511</v>
      </c>
      <c r="I55" s="92"/>
      <c r="J55" s="92"/>
      <c r="K55" s="92"/>
      <c r="L55" s="92"/>
      <c r="M55" s="92"/>
      <c r="N55" s="92"/>
      <c r="O55" s="92"/>
      <c r="P55" s="92"/>
      <c r="Q55" s="92"/>
      <c r="R55" s="92"/>
      <c r="S55" s="92"/>
      <c r="T55" s="92"/>
      <c r="U55" s="92"/>
      <c r="V55" s="92"/>
      <c r="W55" s="92"/>
      <c r="X55" s="92"/>
      <c r="Y55" s="92"/>
      <c r="Z55" s="92"/>
    </row>
    <row r="56" spans="1:26" ht="12.75">
      <c r="A56" s="92" t="s">
        <v>6467</v>
      </c>
      <c r="B56" s="372">
        <v>2020</v>
      </c>
      <c r="C56" s="372">
        <v>32605578</v>
      </c>
      <c r="D56" s="373" t="s">
        <v>6468</v>
      </c>
      <c r="E56" s="261" t="str">
        <f t="shared" si="0"/>
        <v>https://pubmed.ncbi.nlm.nih.gov/32605578</v>
      </c>
      <c r="F56" s="92" t="s">
        <v>511</v>
      </c>
      <c r="G56" s="374" t="s">
        <v>8422</v>
      </c>
      <c r="H56" s="92"/>
      <c r="I56" s="92"/>
      <c r="J56" s="92"/>
      <c r="K56" s="92"/>
      <c r="L56" s="92"/>
      <c r="M56" s="92"/>
      <c r="N56" s="92"/>
      <c r="O56" s="92"/>
      <c r="P56" s="92"/>
      <c r="Q56" s="92"/>
      <c r="R56" s="92"/>
      <c r="S56" s="92"/>
      <c r="T56" s="92"/>
      <c r="U56" s="92"/>
      <c r="V56" s="92"/>
      <c r="W56" s="92"/>
      <c r="X56" s="92"/>
      <c r="Y56" s="92"/>
      <c r="Z56" s="92"/>
    </row>
    <row r="57" spans="1:26" ht="12.75">
      <c r="A57" s="92" t="s">
        <v>6470</v>
      </c>
      <c r="B57" s="372">
        <v>2013</v>
      </c>
      <c r="C57" s="372">
        <v>23425012</v>
      </c>
      <c r="D57" s="373" t="s">
        <v>6471</v>
      </c>
      <c r="E57" s="261" t="str">
        <f t="shared" si="0"/>
        <v>https://pubmed.ncbi.nlm.nih.gov/23425012</v>
      </c>
      <c r="F57" s="92" t="s">
        <v>511</v>
      </c>
      <c r="G57" s="374" t="s">
        <v>4867</v>
      </c>
      <c r="H57" s="21"/>
      <c r="I57" s="92"/>
      <c r="J57" s="92"/>
      <c r="K57" s="92"/>
      <c r="L57" s="92"/>
      <c r="M57" s="92"/>
      <c r="N57" s="92"/>
      <c r="O57" s="92"/>
      <c r="P57" s="92"/>
      <c r="Q57" s="92"/>
      <c r="R57" s="92"/>
      <c r="S57" s="92"/>
      <c r="T57" s="92"/>
      <c r="U57" s="92"/>
      <c r="V57" s="92"/>
      <c r="W57" s="92"/>
      <c r="X57" s="92"/>
      <c r="Y57" s="92"/>
      <c r="Z57" s="92"/>
    </row>
    <row r="58" spans="1:26" ht="12.75">
      <c r="A58" s="92" t="s">
        <v>6472</v>
      </c>
      <c r="B58" s="372">
        <v>2015</v>
      </c>
      <c r="C58" s="372">
        <v>26647887</v>
      </c>
      <c r="D58" s="373"/>
      <c r="E58" s="261" t="str">
        <f t="shared" si="0"/>
        <v>https://pubmed.ncbi.nlm.nih.gov/26647887</v>
      </c>
      <c r="F58" s="92" t="s">
        <v>511</v>
      </c>
      <c r="G58" s="92" t="s">
        <v>4587</v>
      </c>
      <c r="H58" s="92"/>
      <c r="I58" s="92"/>
      <c r="J58" s="92"/>
      <c r="K58" s="92"/>
      <c r="L58" s="92"/>
      <c r="M58" s="92"/>
      <c r="N58" s="92"/>
      <c r="O58" s="92"/>
      <c r="P58" s="92"/>
      <c r="Q58" s="92"/>
      <c r="R58" s="92"/>
      <c r="S58" s="92"/>
      <c r="T58" s="92"/>
      <c r="U58" s="92"/>
      <c r="V58" s="92"/>
      <c r="W58" s="92"/>
      <c r="X58" s="92"/>
      <c r="Y58" s="92"/>
      <c r="Z58" s="92"/>
    </row>
    <row r="59" spans="1:26" ht="12.75">
      <c r="A59" s="92" t="s">
        <v>6473</v>
      </c>
      <c r="B59" s="372">
        <v>2013</v>
      </c>
      <c r="C59" s="372">
        <v>23257948</v>
      </c>
      <c r="D59" s="373"/>
      <c r="E59" s="261" t="str">
        <f t="shared" si="0"/>
        <v>https://pubmed.ncbi.nlm.nih.gov/23257948</v>
      </c>
      <c r="F59" s="92" t="s">
        <v>511</v>
      </c>
      <c r="G59" s="92" t="s">
        <v>8412</v>
      </c>
      <c r="H59" s="92"/>
      <c r="I59" s="92"/>
      <c r="J59" s="92"/>
      <c r="K59" s="92"/>
      <c r="L59" s="92"/>
      <c r="M59" s="92"/>
      <c r="N59" s="92"/>
      <c r="O59" s="92"/>
      <c r="P59" s="92"/>
      <c r="Q59" s="92"/>
      <c r="R59" s="92"/>
      <c r="S59" s="92"/>
      <c r="T59" s="92"/>
      <c r="U59" s="92"/>
      <c r="V59" s="92"/>
      <c r="W59" s="92"/>
      <c r="X59" s="92"/>
      <c r="Y59" s="92"/>
      <c r="Z59" s="92"/>
    </row>
    <row r="60" spans="1:26" ht="12.75">
      <c r="A60" s="92" t="s">
        <v>6474</v>
      </c>
      <c r="B60" s="372">
        <v>2015</v>
      </c>
      <c r="C60" s="372">
        <v>26604728</v>
      </c>
      <c r="D60" s="373" t="s">
        <v>6475</v>
      </c>
      <c r="E60" s="261" t="str">
        <f t="shared" si="0"/>
        <v>https://pubmed.ncbi.nlm.nih.gov/26604728</v>
      </c>
      <c r="F60" s="92" t="s">
        <v>511</v>
      </c>
      <c r="G60" s="374" t="s">
        <v>4744</v>
      </c>
      <c r="H60" s="21"/>
      <c r="I60" s="92"/>
      <c r="J60" s="92"/>
      <c r="K60" s="92"/>
      <c r="L60" s="92"/>
      <c r="M60" s="92"/>
      <c r="N60" s="92"/>
      <c r="O60" s="92"/>
      <c r="P60" s="92"/>
      <c r="Q60" s="92"/>
      <c r="R60" s="92"/>
      <c r="S60" s="92"/>
      <c r="T60" s="92"/>
      <c r="U60" s="92"/>
      <c r="V60" s="92"/>
      <c r="W60" s="92"/>
      <c r="X60" s="92"/>
      <c r="Y60" s="92"/>
      <c r="Z60" s="92"/>
    </row>
    <row r="61" spans="1:26" ht="12.75">
      <c r="A61" s="92" t="s">
        <v>6476</v>
      </c>
      <c r="B61" s="372">
        <v>2004</v>
      </c>
      <c r="C61" s="372">
        <v>15218439</v>
      </c>
      <c r="D61" s="92"/>
      <c r="E61" s="261" t="str">
        <f t="shared" si="0"/>
        <v>https://pubmed.ncbi.nlm.nih.gov/15218439</v>
      </c>
      <c r="F61" s="92" t="s">
        <v>511</v>
      </c>
      <c r="G61" s="374" t="s">
        <v>4867</v>
      </c>
      <c r="H61" s="21"/>
      <c r="I61" s="92"/>
      <c r="J61" s="92"/>
      <c r="K61" s="92"/>
      <c r="L61" s="92"/>
      <c r="M61" s="92"/>
      <c r="N61" s="92"/>
      <c r="O61" s="92"/>
      <c r="P61" s="92"/>
      <c r="Q61" s="92"/>
      <c r="R61" s="92"/>
      <c r="S61" s="92"/>
      <c r="T61" s="92"/>
      <c r="U61" s="92"/>
      <c r="V61" s="92"/>
      <c r="W61" s="92"/>
      <c r="X61" s="92"/>
      <c r="Y61" s="92"/>
      <c r="Z61" s="92"/>
    </row>
    <row r="62" spans="1:26" ht="12.75">
      <c r="A62" s="92" t="s">
        <v>6477</v>
      </c>
      <c r="B62" s="372">
        <v>2020</v>
      </c>
      <c r="C62" s="372">
        <v>32813272</v>
      </c>
      <c r="D62" s="373" t="s">
        <v>6478</v>
      </c>
      <c r="E62" s="261" t="str">
        <f t="shared" si="0"/>
        <v>https://pubmed.ncbi.nlm.nih.gov/32813272</v>
      </c>
      <c r="F62" s="92" t="s">
        <v>511</v>
      </c>
      <c r="G62" s="92" t="s">
        <v>8412</v>
      </c>
      <c r="H62" s="92"/>
      <c r="I62" s="92"/>
      <c r="J62" s="92"/>
      <c r="K62" s="92"/>
      <c r="L62" s="92"/>
      <c r="M62" s="92"/>
      <c r="N62" s="92"/>
      <c r="O62" s="92"/>
      <c r="P62" s="92"/>
      <c r="Q62" s="92"/>
      <c r="R62" s="92"/>
      <c r="S62" s="92"/>
      <c r="T62" s="92"/>
      <c r="U62" s="92"/>
      <c r="V62" s="92"/>
      <c r="W62" s="92"/>
      <c r="X62" s="92"/>
      <c r="Y62" s="92"/>
      <c r="Z62" s="92"/>
    </row>
    <row r="63" spans="1:26" ht="12.75">
      <c r="A63" s="92" t="s">
        <v>6479</v>
      </c>
      <c r="B63" s="372">
        <v>2010</v>
      </c>
      <c r="C63" s="372">
        <v>20806986</v>
      </c>
      <c r="D63" s="373"/>
      <c r="E63" s="261" t="str">
        <f t="shared" si="0"/>
        <v>https://pubmed.ncbi.nlm.nih.gov/20806986</v>
      </c>
      <c r="F63" s="92" t="s">
        <v>511</v>
      </c>
      <c r="G63" s="92" t="s">
        <v>4592</v>
      </c>
      <c r="H63" s="92"/>
      <c r="I63" s="92"/>
      <c r="J63" s="92"/>
      <c r="K63" s="92"/>
      <c r="L63" s="92"/>
      <c r="M63" s="92"/>
      <c r="N63" s="92"/>
      <c r="O63" s="92"/>
      <c r="P63" s="92"/>
      <c r="Q63" s="92"/>
      <c r="R63" s="92"/>
      <c r="S63" s="92"/>
      <c r="T63" s="92"/>
      <c r="U63" s="92"/>
      <c r="V63" s="92"/>
      <c r="W63" s="92"/>
      <c r="X63" s="92"/>
      <c r="Y63" s="92"/>
      <c r="Z63" s="92"/>
    </row>
    <row r="64" spans="1:26" ht="12.75">
      <c r="A64" s="92" t="s">
        <v>6480</v>
      </c>
      <c r="B64" s="372">
        <v>2012</v>
      </c>
      <c r="C64" s="372">
        <v>23102749</v>
      </c>
      <c r="D64" s="373"/>
      <c r="E64" s="261" t="str">
        <f t="shared" si="0"/>
        <v>https://pubmed.ncbi.nlm.nih.gov/23102749</v>
      </c>
      <c r="F64" s="92" t="s">
        <v>511</v>
      </c>
      <c r="G64" s="92" t="s">
        <v>8412</v>
      </c>
      <c r="H64" s="92"/>
      <c r="I64" s="92"/>
      <c r="J64" s="92"/>
      <c r="K64" s="92"/>
      <c r="L64" s="92"/>
      <c r="M64" s="92"/>
      <c r="N64" s="92"/>
      <c r="O64" s="92"/>
      <c r="P64" s="92"/>
      <c r="Q64" s="92"/>
      <c r="R64" s="92"/>
      <c r="S64" s="92"/>
      <c r="T64" s="92"/>
      <c r="U64" s="92"/>
      <c r="V64" s="92"/>
      <c r="W64" s="92"/>
      <c r="X64" s="92"/>
      <c r="Y64" s="92"/>
      <c r="Z64" s="92"/>
    </row>
    <row r="65" spans="1:26" ht="12.75">
      <c r="A65" s="92" t="s">
        <v>6481</v>
      </c>
      <c r="B65" s="372">
        <v>2019</v>
      </c>
      <c r="C65" s="372">
        <v>31394914</v>
      </c>
      <c r="D65" s="373" t="s">
        <v>6482</v>
      </c>
      <c r="E65" s="261" t="str">
        <f t="shared" si="0"/>
        <v>https://pubmed.ncbi.nlm.nih.gov/31394914</v>
      </c>
      <c r="F65" s="92" t="s">
        <v>511</v>
      </c>
      <c r="G65" s="374" t="s">
        <v>5157</v>
      </c>
      <c r="H65" s="21"/>
      <c r="I65" s="21"/>
      <c r="J65" s="92"/>
      <c r="K65" s="92"/>
      <c r="L65" s="92"/>
      <c r="M65" s="92"/>
      <c r="N65" s="92"/>
      <c r="O65" s="92"/>
      <c r="P65" s="92"/>
      <c r="Q65" s="92"/>
      <c r="R65" s="92"/>
      <c r="S65" s="92"/>
      <c r="T65" s="92"/>
      <c r="U65" s="92"/>
      <c r="V65" s="92"/>
      <c r="W65" s="92"/>
      <c r="X65" s="92"/>
      <c r="Y65" s="92"/>
      <c r="Z65" s="92"/>
    </row>
    <row r="66" spans="1:26" ht="12.75">
      <c r="A66" s="92" t="s">
        <v>6483</v>
      </c>
      <c r="B66" s="372">
        <v>2013</v>
      </c>
      <c r="C66" s="372">
        <v>23213075</v>
      </c>
      <c r="D66" s="92"/>
      <c r="E66" s="261" t="str">
        <f t="shared" si="0"/>
        <v>https://pubmed.ncbi.nlm.nih.gov/23213075</v>
      </c>
      <c r="F66" s="92" t="s">
        <v>511</v>
      </c>
      <c r="G66" s="374" t="s">
        <v>4744</v>
      </c>
      <c r="H66" s="21"/>
      <c r="I66" s="92"/>
      <c r="J66" s="92"/>
      <c r="K66" s="92"/>
      <c r="L66" s="92"/>
      <c r="M66" s="92"/>
      <c r="N66" s="92"/>
      <c r="O66" s="92"/>
      <c r="P66" s="92"/>
      <c r="Q66" s="92"/>
      <c r="R66" s="92"/>
      <c r="S66" s="92"/>
      <c r="T66" s="92"/>
      <c r="U66" s="92"/>
      <c r="V66" s="92"/>
      <c r="W66" s="92"/>
      <c r="X66" s="92"/>
      <c r="Y66" s="92"/>
      <c r="Z66" s="92"/>
    </row>
    <row r="67" spans="1:26" ht="12.75">
      <c r="A67" s="92" t="s">
        <v>6484</v>
      </c>
      <c r="B67" s="372">
        <v>2019</v>
      </c>
      <c r="C67" s="372">
        <v>30336497</v>
      </c>
      <c r="D67" s="373"/>
      <c r="E67" s="261" t="str">
        <f t="shared" si="0"/>
        <v>https://pubmed.ncbi.nlm.nih.gov/30336497</v>
      </c>
      <c r="F67" s="92" t="s">
        <v>511</v>
      </c>
      <c r="G67" s="92" t="s">
        <v>4592</v>
      </c>
      <c r="H67" s="92"/>
      <c r="I67" s="92"/>
      <c r="J67" s="92"/>
      <c r="K67" s="92"/>
      <c r="L67" s="92"/>
      <c r="M67" s="92"/>
      <c r="N67" s="92"/>
      <c r="O67" s="92"/>
      <c r="P67" s="92"/>
      <c r="Q67" s="92"/>
      <c r="R67" s="92"/>
      <c r="S67" s="92"/>
      <c r="T67" s="92"/>
      <c r="U67" s="92"/>
      <c r="V67" s="92"/>
      <c r="W67" s="92"/>
      <c r="X67" s="92"/>
      <c r="Y67" s="92"/>
      <c r="Z67" s="92"/>
    </row>
    <row r="68" spans="1:26" ht="12.75">
      <c r="A68" s="92" t="s">
        <v>6485</v>
      </c>
      <c r="B68" s="372">
        <v>2000</v>
      </c>
      <c r="C68" s="372">
        <v>11022799</v>
      </c>
      <c r="D68" s="373"/>
      <c r="E68" s="261" t="str">
        <f t="shared" si="0"/>
        <v>https://pubmed.ncbi.nlm.nih.gov/11022799</v>
      </c>
      <c r="F68" s="92" t="s">
        <v>511</v>
      </c>
      <c r="G68" s="92" t="s">
        <v>4592</v>
      </c>
      <c r="H68" s="92"/>
      <c r="I68" s="92"/>
      <c r="J68" s="92"/>
      <c r="K68" s="92"/>
      <c r="L68" s="92"/>
      <c r="M68" s="92"/>
      <c r="N68" s="92"/>
      <c r="O68" s="92"/>
      <c r="P68" s="92"/>
      <c r="Q68" s="92"/>
      <c r="R68" s="92"/>
      <c r="S68" s="92"/>
      <c r="T68" s="92"/>
      <c r="U68" s="92"/>
      <c r="V68" s="92"/>
      <c r="W68" s="92"/>
      <c r="X68" s="92"/>
      <c r="Y68" s="92"/>
      <c r="Z68" s="92"/>
    </row>
    <row r="69" spans="1:26" ht="12.75">
      <c r="A69" s="92" t="s">
        <v>6486</v>
      </c>
      <c r="B69" s="372">
        <v>1994</v>
      </c>
      <c r="C69" s="372">
        <v>7516250</v>
      </c>
      <c r="D69" s="373"/>
      <c r="E69" s="261" t="str">
        <f t="shared" si="0"/>
        <v>https://pubmed.ncbi.nlm.nih.gov/7516250</v>
      </c>
      <c r="F69" s="92" t="s">
        <v>511</v>
      </c>
      <c r="G69" s="374" t="s">
        <v>4744</v>
      </c>
      <c r="H69" s="21"/>
      <c r="I69" s="92"/>
      <c r="J69" s="92"/>
      <c r="K69" s="92"/>
      <c r="L69" s="92"/>
      <c r="M69" s="92"/>
      <c r="N69" s="92"/>
      <c r="O69" s="92"/>
      <c r="P69" s="92"/>
      <c r="Q69" s="92"/>
      <c r="R69" s="92"/>
      <c r="S69" s="92"/>
      <c r="T69" s="92"/>
      <c r="U69" s="92"/>
      <c r="V69" s="92"/>
      <c r="W69" s="92"/>
      <c r="X69" s="92"/>
      <c r="Y69" s="92"/>
      <c r="Z69" s="92"/>
    </row>
    <row r="70" spans="1:26" ht="12.75">
      <c r="A70" s="92" t="s">
        <v>6487</v>
      </c>
      <c r="B70" s="372">
        <v>2018</v>
      </c>
      <c r="C70" s="372">
        <v>30205844</v>
      </c>
      <c r="D70" s="373" t="s">
        <v>6488</v>
      </c>
      <c r="E70" s="261" t="str">
        <f t="shared" si="0"/>
        <v>https://pubmed.ncbi.nlm.nih.gov/30205844</v>
      </c>
      <c r="F70" s="92" t="s">
        <v>511</v>
      </c>
      <c r="G70" s="374" t="s">
        <v>8421</v>
      </c>
      <c r="H70" s="92"/>
      <c r="I70" s="92"/>
      <c r="J70" s="92"/>
      <c r="K70" s="92"/>
      <c r="L70" s="92"/>
      <c r="M70" s="92"/>
      <c r="N70" s="92"/>
      <c r="O70" s="92"/>
      <c r="P70" s="92"/>
      <c r="Q70" s="92"/>
      <c r="R70" s="92"/>
      <c r="S70" s="92"/>
      <c r="T70" s="92"/>
      <c r="U70" s="92"/>
      <c r="V70" s="92"/>
      <c r="W70" s="92"/>
      <c r="X70" s="92"/>
      <c r="Y70" s="92"/>
      <c r="Z70" s="92"/>
    </row>
    <row r="71" spans="1:26" ht="12.75">
      <c r="A71" s="92" t="s">
        <v>6489</v>
      </c>
      <c r="B71" s="372">
        <v>2016</v>
      </c>
      <c r="C71" s="372">
        <v>26886513</v>
      </c>
      <c r="D71" s="373" t="s">
        <v>6490</v>
      </c>
      <c r="E71" s="261" t="str">
        <f t="shared" si="0"/>
        <v>https://pubmed.ncbi.nlm.nih.gov/26886513</v>
      </c>
      <c r="F71" s="92" t="s">
        <v>511</v>
      </c>
      <c r="G71" s="374" t="s">
        <v>4346</v>
      </c>
      <c r="H71" s="92"/>
      <c r="I71" s="92"/>
      <c r="J71" s="92"/>
      <c r="K71" s="92"/>
      <c r="L71" s="92"/>
      <c r="M71" s="92"/>
      <c r="N71" s="92"/>
      <c r="O71" s="92"/>
      <c r="P71" s="92"/>
      <c r="Q71" s="92"/>
      <c r="R71" s="92"/>
      <c r="S71" s="92"/>
      <c r="T71" s="92"/>
      <c r="U71" s="92"/>
      <c r="V71" s="92"/>
      <c r="W71" s="92"/>
      <c r="X71" s="92"/>
      <c r="Y71" s="92"/>
      <c r="Z71" s="92"/>
    </row>
    <row r="72" spans="1:26" ht="12.75">
      <c r="A72" s="92" t="s">
        <v>6491</v>
      </c>
      <c r="B72" s="372">
        <v>2019</v>
      </c>
      <c r="C72" s="372">
        <v>31287523</v>
      </c>
      <c r="D72" s="373" t="s">
        <v>6492</v>
      </c>
      <c r="E72" s="261" t="str">
        <f t="shared" si="0"/>
        <v>https://pubmed.ncbi.nlm.nih.gov/31287523</v>
      </c>
      <c r="F72" s="92" t="s">
        <v>511</v>
      </c>
      <c r="G72" s="374" t="s">
        <v>4744</v>
      </c>
      <c r="H72" s="21"/>
      <c r="I72" s="92"/>
      <c r="J72" s="92"/>
      <c r="K72" s="92"/>
      <c r="L72" s="92"/>
      <c r="M72" s="92"/>
      <c r="N72" s="92"/>
      <c r="O72" s="92"/>
      <c r="P72" s="92"/>
      <c r="Q72" s="92"/>
      <c r="R72" s="92"/>
      <c r="S72" s="92"/>
      <c r="T72" s="92"/>
      <c r="U72" s="92"/>
      <c r="V72" s="92"/>
      <c r="W72" s="92"/>
      <c r="X72" s="92"/>
      <c r="Y72" s="92"/>
      <c r="Z72" s="92"/>
    </row>
    <row r="73" spans="1:26" ht="12.75">
      <c r="A73" s="92" t="s">
        <v>6493</v>
      </c>
      <c r="B73" s="372">
        <v>2016</v>
      </c>
      <c r="C73" s="372">
        <v>27885969</v>
      </c>
      <c r="D73" s="373" t="s">
        <v>6494</v>
      </c>
      <c r="E73" s="261" t="str">
        <f t="shared" si="0"/>
        <v>https://pubmed.ncbi.nlm.nih.gov/27885969</v>
      </c>
      <c r="F73" s="92" t="s">
        <v>511</v>
      </c>
      <c r="G73" s="374" t="s">
        <v>6495</v>
      </c>
      <c r="H73" s="21"/>
      <c r="I73" s="92"/>
      <c r="J73" s="92"/>
      <c r="K73" s="92"/>
      <c r="L73" s="92"/>
      <c r="M73" s="92"/>
      <c r="N73" s="92"/>
      <c r="O73" s="92"/>
      <c r="P73" s="92"/>
      <c r="Q73" s="92"/>
      <c r="R73" s="92"/>
      <c r="S73" s="92"/>
      <c r="T73" s="92"/>
      <c r="U73" s="92"/>
      <c r="V73" s="92"/>
      <c r="W73" s="92"/>
      <c r="X73" s="92"/>
      <c r="Y73" s="92"/>
      <c r="Z73" s="92"/>
    </row>
    <row r="74" spans="1:26" ht="12.75">
      <c r="A74" s="92" t="s">
        <v>6496</v>
      </c>
      <c r="B74" s="372">
        <v>2015</v>
      </c>
      <c r="C74" s="372">
        <v>26694748</v>
      </c>
      <c r="D74" s="373" t="s">
        <v>6497</v>
      </c>
      <c r="E74" s="261" t="str">
        <f t="shared" si="0"/>
        <v>https://pubmed.ncbi.nlm.nih.gov/26694748</v>
      </c>
      <c r="F74" s="92" t="s">
        <v>511</v>
      </c>
      <c r="G74" s="374" t="s">
        <v>5157</v>
      </c>
      <c r="H74" s="21"/>
      <c r="I74" s="21"/>
      <c r="J74" s="92"/>
      <c r="K74" s="92"/>
      <c r="L74" s="92"/>
      <c r="M74" s="92"/>
      <c r="N74" s="92"/>
      <c r="O74" s="92"/>
      <c r="P74" s="92"/>
      <c r="Q74" s="92"/>
      <c r="R74" s="92"/>
      <c r="S74" s="92"/>
      <c r="T74" s="92"/>
      <c r="U74" s="92"/>
      <c r="V74" s="92"/>
      <c r="W74" s="92"/>
      <c r="X74" s="92"/>
      <c r="Y74" s="92"/>
      <c r="Z74" s="92"/>
    </row>
    <row r="75" spans="1:26" ht="12.75">
      <c r="A75" s="92" t="s">
        <v>6498</v>
      </c>
      <c r="B75" s="372">
        <v>2021</v>
      </c>
      <c r="C75" s="372">
        <v>33577770</v>
      </c>
      <c r="D75" s="373" t="s">
        <v>6499</v>
      </c>
      <c r="E75" s="261" t="str">
        <f t="shared" si="0"/>
        <v>https://pubmed.ncbi.nlm.nih.gov/33577770</v>
      </c>
      <c r="F75" s="92" t="s">
        <v>511</v>
      </c>
      <c r="G75" s="374" t="s">
        <v>5157</v>
      </c>
      <c r="H75" s="21"/>
      <c r="I75" s="21"/>
      <c r="J75" s="92"/>
      <c r="K75" s="92"/>
      <c r="L75" s="92"/>
      <c r="M75" s="92"/>
      <c r="N75" s="92"/>
      <c r="O75" s="92"/>
      <c r="P75" s="92"/>
      <c r="Q75" s="92"/>
      <c r="R75" s="92"/>
      <c r="S75" s="92"/>
      <c r="T75" s="92"/>
      <c r="U75" s="92"/>
      <c r="V75" s="92"/>
      <c r="W75" s="92"/>
      <c r="X75" s="92"/>
      <c r="Y75" s="92"/>
      <c r="Z75" s="92"/>
    </row>
    <row r="76" spans="1:26" ht="12.75">
      <c r="A76" s="92" t="s">
        <v>6500</v>
      </c>
      <c r="B76" s="372">
        <v>2008</v>
      </c>
      <c r="C76" s="372">
        <v>18769636</v>
      </c>
      <c r="D76" s="373" t="s">
        <v>6501</v>
      </c>
      <c r="E76" s="261" t="str">
        <f t="shared" si="0"/>
        <v>https://pubmed.ncbi.nlm.nih.gov/18769636</v>
      </c>
      <c r="F76" s="92" t="s">
        <v>511</v>
      </c>
      <c r="G76" s="92" t="s">
        <v>4592</v>
      </c>
      <c r="H76" s="92"/>
      <c r="I76" s="92"/>
      <c r="J76" s="92"/>
      <c r="K76" s="92"/>
      <c r="L76" s="92"/>
      <c r="M76" s="92"/>
      <c r="N76" s="92"/>
      <c r="O76" s="92"/>
      <c r="P76" s="92"/>
      <c r="Q76" s="92"/>
      <c r="R76" s="92"/>
      <c r="S76" s="92"/>
      <c r="T76" s="92"/>
      <c r="U76" s="92"/>
      <c r="V76" s="92"/>
      <c r="W76" s="92"/>
      <c r="X76" s="92"/>
      <c r="Y76" s="92"/>
      <c r="Z76" s="92"/>
    </row>
    <row r="77" spans="1:26" ht="12.75">
      <c r="A77" s="92" t="s">
        <v>6502</v>
      </c>
      <c r="B77" s="372">
        <v>2012</v>
      </c>
      <c r="C77" s="372">
        <v>22450948</v>
      </c>
      <c r="D77" s="373"/>
      <c r="E77" s="261" t="str">
        <f t="shared" si="0"/>
        <v>https://pubmed.ncbi.nlm.nih.gov/22450948</v>
      </c>
      <c r="F77" s="92" t="s">
        <v>511</v>
      </c>
      <c r="G77" s="374" t="s">
        <v>4867</v>
      </c>
      <c r="H77" s="21"/>
      <c r="I77" s="92"/>
      <c r="J77" s="92"/>
      <c r="K77" s="92"/>
      <c r="L77" s="92"/>
      <c r="M77" s="92"/>
      <c r="N77" s="92"/>
      <c r="O77" s="92"/>
      <c r="P77" s="92"/>
      <c r="Q77" s="92"/>
      <c r="R77" s="92"/>
      <c r="S77" s="92"/>
      <c r="T77" s="92"/>
      <c r="U77" s="92"/>
      <c r="V77" s="92"/>
      <c r="W77" s="92"/>
      <c r="X77" s="92"/>
      <c r="Y77" s="92"/>
      <c r="Z77" s="92"/>
    </row>
    <row r="78" spans="1:26" ht="12.75">
      <c r="A78" s="92" t="s">
        <v>6503</v>
      </c>
      <c r="B78" s="372">
        <v>2000</v>
      </c>
      <c r="C78" s="372">
        <v>11060682</v>
      </c>
      <c r="D78" s="373"/>
      <c r="E78" s="261" t="str">
        <f t="shared" si="0"/>
        <v>https://pubmed.ncbi.nlm.nih.gov/11060682</v>
      </c>
      <c r="F78" s="92" t="s">
        <v>511</v>
      </c>
      <c r="G78" s="92" t="s">
        <v>4592</v>
      </c>
      <c r="H78" s="92"/>
      <c r="I78" s="92"/>
      <c r="J78" s="92"/>
      <c r="K78" s="92"/>
      <c r="L78" s="92"/>
      <c r="M78" s="92"/>
      <c r="N78" s="92"/>
      <c r="O78" s="92"/>
      <c r="P78" s="92"/>
      <c r="Q78" s="92"/>
      <c r="R78" s="92"/>
      <c r="S78" s="92"/>
      <c r="T78" s="92"/>
      <c r="U78" s="92"/>
      <c r="V78" s="92"/>
      <c r="W78" s="92"/>
      <c r="X78" s="92"/>
      <c r="Y78" s="92"/>
      <c r="Z78" s="92"/>
    </row>
    <row r="79" spans="1:26" ht="12.75">
      <c r="A79" s="92" t="s">
        <v>6504</v>
      </c>
      <c r="B79" s="372">
        <v>2009</v>
      </c>
      <c r="C79" s="372">
        <v>19436693</v>
      </c>
      <c r="D79" s="373" t="s">
        <v>6505</v>
      </c>
      <c r="E79" s="261" t="str">
        <f t="shared" si="0"/>
        <v>https://pubmed.ncbi.nlm.nih.gov/19436693</v>
      </c>
      <c r="F79" s="92" t="s">
        <v>511</v>
      </c>
      <c r="G79" s="374" t="s">
        <v>8422</v>
      </c>
      <c r="H79" s="92"/>
      <c r="I79" s="92"/>
      <c r="J79" s="92"/>
      <c r="K79" s="92"/>
      <c r="L79" s="92"/>
      <c r="M79" s="92"/>
      <c r="N79" s="92"/>
      <c r="O79" s="92"/>
      <c r="P79" s="92"/>
      <c r="Q79" s="92"/>
      <c r="R79" s="92"/>
      <c r="S79" s="92"/>
      <c r="T79" s="92"/>
      <c r="U79" s="92"/>
      <c r="V79" s="92"/>
      <c r="W79" s="92"/>
      <c r="X79" s="92"/>
      <c r="Y79" s="92"/>
      <c r="Z79" s="92"/>
    </row>
    <row r="80" spans="1:26" ht="12.75">
      <c r="A80" s="92" t="s">
        <v>6506</v>
      </c>
      <c r="B80" s="372">
        <v>2014</v>
      </c>
      <c r="C80" s="372">
        <v>25399621</v>
      </c>
      <c r="D80" s="373"/>
      <c r="E80" s="261" t="str">
        <f t="shared" si="0"/>
        <v>https://pubmed.ncbi.nlm.nih.gov/25399621</v>
      </c>
      <c r="F80" s="92" t="s">
        <v>511</v>
      </c>
      <c r="G80" s="374" t="s">
        <v>5157</v>
      </c>
      <c r="H80" s="21"/>
      <c r="I80" s="21"/>
      <c r="J80" s="92"/>
      <c r="K80" s="92"/>
      <c r="L80" s="92"/>
      <c r="M80" s="92"/>
      <c r="N80" s="92"/>
      <c r="O80" s="92"/>
      <c r="P80" s="92"/>
      <c r="Q80" s="92"/>
      <c r="R80" s="92"/>
      <c r="S80" s="92"/>
      <c r="T80" s="92"/>
      <c r="U80" s="92"/>
      <c r="V80" s="92"/>
      <c r="W80" s="92"/>
      <c r="X80" s="92"/>
      <c r="Y80" s="92"/>
      <c r="Z80" s="92"/>
    </row>
    <row r="81" spans="1:26" ht="12.75">
      <c r="A81" s="92" t="s">
        <v>6507</v>
      </c>
      <c r="B81" s="372">
        <v>2019</v>
      </c>
      <c r="C81" s="372">
        <v>31582360</v>
      </c>
      <c r="D81" s="373" t="s">
        <v>6226</v>
      </c>
      <c r="E81" s="261" t="str">
        <f t="shared" si="0"/>
        <v>https://pubmed.ncbi.nlm.nih.gov/31582360</v>
      </c>
      <c r="F81" s="92" t="s">
        <v>511</v>
      </c>
      <c r="G81" s="374" t="s">
        <v>4867</v>
      </c>
      <c r="H81" s="21"/>
      <c r="I81" s="92"/>
      <c r="J81" s="92"/>
      <c r="K81" s="92"/>
      <c r="L81" s="92"/>
      <c r="M81" s="92"/>
      <c r="N81" s="92"/>
      <c r="O81" s="92"/>
      <c r="P81" s="92"/>
      <c r="Q81" s="92"/>
      <c r="R81" s="92"/>
      <c r="S81" s="92"/>
      <c r="T81" s="92"/>
      <c r="U81" s="92"/>
      <c r="V81" s="92"/>
      <c r="W81" s="92"/>
      <c r="X81" s="92"/>
      <c r="Y81" s="92"/>
      <c r="Z81" s="92"/>
    </row>
    <row r="82" spans="1:26" ht="12.75">
      <c r="A82" s="92" t="s">
        <v>6507</v>
      </c>
      <c r="B82" s="372">
        <v>2018</v>
      </c>
      <c r="C82" s="372">
        <v>28929521</v>
      </c>
      <c r="D82" s="373" t="s">
        <v>6508</v>
      </c>
      <c r="E82" s="261" t="str">
        <f t="shared" si="0"/>
        <v>https://pubmed.ncbi.nlm.nih.gov/28929521</v>
      </c>
      <c r="F82" s="92" t="s">
        <v>511</v>
      </c>
      <c r="G82" s="374" t="s">
        <v>6509</v>
      </c>
      <c r="H82" s="21"/>
      <c r="I82" s="92"/>
      <c r="J82" s="92"/>
      <c r="K82" s="92"/>
      <c r="L82" s="92"/>
      <c r="M82" s="92"/>
      <c r="N82" s="92"/>
      <c r="O82" s="92"/>
      <c r="P82" s="92"/>
      <c r="Q82" s="92"/>
      <c r="R82" s="92"/>
      <c r="S82" s="92"/>
      <c r="T82" s="92"/>
      <c r="U82" s="92"/>
      <c r="V82" s="92"/>
      <c r="W82" s="92"/>
      <c r="X82" s="92"/>
      <c r="Y82" s="92"/>
      <c r="Z82" s="92"/>
    </row>
    <row r="83" spans="1:26" ht="12.75">
      <c r="A83" s="92" t="s">
        <v>6507</v>
      </c>
      <c r="B83" s="372">
        <v>2020</v>
      </c>
      <c r="C83" s="372">
        <v>32445440</v>
      </c>
      <c r="D83" s="373" t="s">
        <v>6510</v>
      </c>
      <c r="E83" s="261" t="str">
        <f t="shared" si="0"/>
        <v>https://pubmed.ncbi.nlm.nih.gov/32445440</v>
      </c>
      <c r="F83" s="92" t="s">
        <v>511</v>
      </c>
      <c r="G83" s="374" t="s">
        <v>4744</v>
      </c>
      <c r="H83" s="21"/>
      <c r="I83" s="92"/>
      <c r="J83" s="92"/>
      <c r="K83" s="92"/>
      <c r="L83" s="92"/>
      <c r="M83" s="92"/>
      <c r="N83" s="92"/>
      <c r="O83" s="92"/>
      <c r="P83" s="92"/>
      <c r="Q83" s="92"/>
      <c r="R83" s="92"/>
      <c r="S83" s="92"/>
      <c r="T83" s="92"/>
      <c r="U83" s="92"/>
      <c r="V83" s="92"/>
      <c r="W83" s="92"/>
      <c r="X83" s="92"/>
      <c r="Y83" s="92"/>
      <c r="Z83" s="92"/>
    </row>
    <row r="84" spans="1:26" ht="12.75">
      <c r="A84" s="92" t="s">
        <v>6507</v>
      </c>
      <c r="B84" s="372">
        <v>2018</v>
      </c>
      <c r="C84" s="372">
        <v>29329957</v>
      </c>
      <c r="D84" s="373" t="s">
        <v>6511</v>
      </c>
      <c r="E84" s="261" t="str">
        <f t="shared" si="0"/>
        <v>https://pubmed.ncbi.nlm.nih.gov/29329957</v>
      </c>
      <c r="F84" s="92" t="s">
        <v>511</v>
      </c>
      <c r="G84" s="374" t="s">
        <v>4765</v>
      </c>
      <c r="H84" s="21"/>
      <c r="I84" s="92"/>
      <c r="J84" s="92"/>
      <c r="K84" s="92"/>
      <c r="L84" s="92"/>
      <c r="M84" s="92"/>
      <c r="N84" s="92"/>
      <c r="O84" s="92"/>
      <c r="P84" s="92"/>
      <c r="Q84" s="92"/>
      <c r="R84" s="92"/>
      <c r="S84" s="92"/>
      <c r="T84" s="92"/>
      <c r="U84" s="92"/>
      <c r="V84" s="92"/>
      <c r="W84" s="92"/>
      <c r="X84" s="92"/>
      <c r="Y84" s="92"/>
      <c r="Z84" s="92"/>
    </row>
    <row r="85" spans="1:26" ht="12.75">
      <c r="A85" s="92" t="s">
        <v>6512</v>
      </c>
      <c r="B85" s="372">
        <v>2014</v>
      </c>
      <c r="C85" s="372">
        <v>25241554</v>
      </c>
      <c r="D85" s="373"/>
      <c r="E85" s="261" t="str">
        <f t="shared" si="0"/>
        <v>https://pubmed.ncbi.nlm.nih.gov/25241554</v>
      </c>
      <c r="F85" s="92" t="s">
        <v>511</v>
      </c>
      <c r="G85" s="92" t="s">
        <v>4587</v>
      </c>
      <c r="H85" s="92"/>
      <c r="I85" s="92"/>
      <c r="J85" s="92"/>
      <c r="K85" s="92"/>
      <c r="L85" s="92"/>
      <c r="M85" s="92"/>
      <c r="N85" s="92"/>
      <c r="O85" s="92"/>
      <c r="P85" s="92"/>
      <c r="Q85" s="92"/>
      <c r="R85" s="92"/>
      <c r="S85" s="92"/>
      <c r="T85" s="92"/>
      <c r="U85" s="92"/>
      <c r="V85" s="92"/>
      <c r="W85" s="92"/>
      <c r="X85" s="92"/>
      <c r="Y85" s="92"/>
      <c r="Z85" s="92"/>
    </row>
    <row r="86" spans="1:26" ht="12.75">
      <c r="A86" s="92" t="s">
        <v>6513</v>
      </c>
      <c r="B86" s="372">
        <v>2013</v>
      </c>
      <c r="C86" s="372">
        <v>22490340</v>
      </c>
      <c r="D86" s="373"/>
      <c r="E86" s="261" t="str">
        <f t="shared" si="0"/>
        <v>https://pubmed.ncbi.nlm.nih.gov/22490340</v>
      </c>
      <c r="F86" s="92" t="s">
        <v>511</v>
      </c>
      <c r="G86" s="92" t="s">
        <v>5273</v>
      </c>
      <c r="H86" s="92"/>
      <c r="I86" s="92"/>
      <c r="J86" s="92"/>
      <c r="K86" s="92"/>
      <c r="L86" s="92"/>
      <c r="M86" s="92"/>
      <c r="N86" s="92"/>
      <c r="O86" s="92"/>
      <c r="P86" s="92"/>
      <c r="Q86" s="92"/>
      <c r="R86" s="92"/>
      <c r="S86" s="92"/>
      <c r="T86" s="92"/>
      <c r="U86" s="92"/>
      <c r="V86" s="92"/>
      <c r="W86" s="92"/>
      <c r="X86" s="92"/>
      <c r="Y86" s="92"/>
      <c r="Z86" s="92"/>
    </row>
    <row r="87" spans="1:26" ht="12.75">
      <c r="A87" s="92" t="s">
        <v>6514</v>
      </c>
      <c r="B87" s="372">
        <v>2021</v>
      </c>
      <c r="C87" s="372">
        <v>33453783</v>
      </c>
      <c r="D87" s="373"/>
      <c r="E87" s="261" t="str">
        <f t="shared" si="0"/>
        <v>https://pubmed.ncbi.nlm.nih.gov/33453783</v>
      </c>
      <c r="F87" s="92" t="s">
        <v>511</v>
      </c>
      <c r="G87" s="374" t="s">
        <v>5157</v>
      </c>
      <c r="H87" s="21"/>
      <c r="I87" s="21"/>
      <c r="J87" s="92"/>
      <c r="K87" s="92"/>
      <c r="L87" s="92"/>
      <c r="M87" s="92"/>
      <c r="N87" s="92"/>
      <c r="O87" s="92"/>
      <c r="P87" s="92"/>
      <c r="Q87" s="92"/>
      <c r="R87" s="92"/>
      <c r="S87" s="92"/>
      <c r="T87" s="92"/>
      <c r="U87" s="92"/>
      <c r="V87" s="92"/>
      <c r="W87" s="92"/>
      <c r="X87" s="92"/>
      <c r="Y87" s="92"/>
      <c r="Z87" s="92"/>
    </row>
    <row r="88" spans="1:26" ht="12.75">
      <c r="A88" s="92" t="s">
        <v>6515</v>
      </c>
      <c r="B88" s="372">
        <v>2009</v>
      </c>
      <c r="C88" s="372">
        <v>19711034</v>
      </c>
      <c r="D88" s="373"/>
      <c r="E88" s="261" t="str">
        <f t="shared" si="0"/>
        <v>https://pubmed.ncbi.nlm.nih.gov/19711034</v>
      </c>
      <c r="F88" s="92" t="s">
        <v>511</v>
      </c>
      <c r="G88" s="92" t="s">
        <v>8423</v>
      </c>
      <c r="H88" s="92"/>
      <c r="I88" s="92"/>
      <c r="J88" s="92"/>
      <c r="K88" s="92"/>
      <c r="L88" s="92"/>
      <c r="M88" s="92"/>
      <c r="N88" s="92"/>
      <c r="O88" s="92"/>
      <c r="P88" s="92"/>
      <c r="Q88" s="92"/>
      <c r="R88" s="92"/>
      <c r="S88" s="92"/>
      <c r="T88" s="92"/>
      <c r="U88" s="92"/>
      <c r="V88" s="92"/>
      <c r="W88" s="92"/>
      <c r="X88" s="92"/>
      <c r="Y88" s="92"/>
      <c r="Z88" s="92"/>
    </row>
    <row r="89" spans="1:26" ht="12.75">
      <c r="A89" s="92" t="s">
        <v>6516</v>
      </c>
      <c r="B89" s="372">
        <v>2011</v>
      </c>
      <c r="C89" s="372">
        <v>21428031</v>
      </c>
      <c r="D89" s="373"/>
      <c r="E89" s="261" t="str">
        <f t="shared" si="0"/>
        <v>https://pubmed.ncbi.nlm.nih.gov/21428031</v>
      </c>
      <c r="F89" s="92" t="s">
        <v>511</v>
      </c>
      <c r="G89" s="92" t="s">
        <v>4587</v>
      </c>
      <c r="H89" s="92"/>
      <c r="I89" s="92"/>
      <c r="J89" s="92"/>
      <c r="K89" s="92"/>
      <c r="L89" s="92"/>
      <c r="M89" s="92"/>
      <c r="N89" s="92"/>
      <c r="O89" s="92"/>
      <c r="P89" s="92"/>
      <c r="Q89" s="92"/>
      <c r="R89" s="92"/>
      <c r="S89" s="92"/>
      <c r="T89" s="92"/>
      <c r="U89" s="92"/>
      <c r="V89" s="92"/>
      <c r="W89" s="92"/>
      <c r="X89" s="92"/>
      <c r="Y89" s="92"/>
      <c r="Z89" s="92"/>
    </row>
    <row r="90" spans="1:26" ht="12.75">
      <c r="A90" s="92" t="s">
        <v>551</v>
      </c>
      <c r="B90" s="372">
        <v>2005</v>
      </c>
      <c r="C90" s="372">
        <v>16107978</v>
      </c>
      <c r="D90" s="375"/>
      <c r="E90" s="261" t="str">
        <f t="shared" si="0"/>
        <v>https://pubmed.ncbi.nlm.nih.gov/16107978</v>
      </c>
      <c r="F90" s="92" t="s">
        <v>511</v>
      </c>
      <c r="G90" s="374" t="s">
        <v>4744</v>
      </c>
      <c r="H90" s="21"/>
      <c r="I90" s="92"/>
      <c r="J90" s="92"/>
      <c r="K90" s="92"/>
      <c r="L90" s="92"/>
      <c r="M90" s="92"/>
      <c r="N90" s="92"/>
      <c r="O90" s="92"/>
      <c r="P90" s="92"/>
      <c r="Q90" s="92"/>
      <c r="R90" s="92"/>
      <c r="S90" s="92"/>
      <c r="T90" s="92"/>
      <c r="U90" s="92"/>
      <c r="V90" s="92"/>
      <c r="W90" s="92"/>
      <c r="X90" s="92"/>
      <c r="Y90" s="92"/>
      <c r="Z90" s="92"/>
    </row>
    <row r="91" spans="1:26" ht="12.75">
      <c r="A91" s="92" t="s">
        <v>6517</v>
      </c>
      <c r="B91" s="372">
        <v>2017</v>
      </c>
      <c r="C91" s="372">
        <v>28616094</v>
      </c>
      <c r="D91" s="92" t="s">
        <v>6518</v>
      </c>
      <c r="E91" s="261" t="str">
        <f t="shared" si="0"/>
        <v>https://pubmed.ncbi.nlm.nih.gov/28616094</v>
      </c>
      <c r="F91" s="92" t="s">
        <v>511</v>
      </c>
      <c r="G91" s="374" t="s">
        <v>4744</v>
      </c>
      <c r="H91" s="21"/>
      <c r="I91" s="92"/>
      <c r="J91" s="92"/>
      <c r="K91" s="92"/>
      <c r="L91" s="92"/>
      <c r="M91" s="92"/>
      <c r="N91" s="92"/>
      <c r="O91" s="92"/>
      <c r="P91" s="92"/>
      <c r="Q91" s="92"/>
      <c r="R91" s="92"/>
      <c r="S91" s="92"/>
      <c r="T91" s="92"/>
      <c r="U91" s="92"/>
      <c r="V91" s="92"/>
      <c r="W91" s="92"/>
      <c r="X91" s="92"/>
      <c r="Y91" s="92"/>
      <c r="Z91" s="92"/>
    </row>
    <row r="92" spans="1:26" ht="12.75">
      <c r="A92" s="92" t="s">
        <v>6519</v>
      </c>
      <c r="B92" s="372">
        <v>2019</v>
      </c>
      <c r="C92" s="372">
        <v>31488213</v>
      </c>
      <c r="D92" s="373" t="s">
        <v>6520</v>
      </c>
      <c r="E92" s="261" t="str">
        <f t="shared" si="0"/>
        <v>https://pubmed.ncbi.nlm.nih.gov/31488213</v>
      </c>
      <c r="F92" s="92" t="s">
        <v>511</v>
      </c>
      <c r="G92" s="374" t="s">
        <v>4744</v>
      </c>
      <c r="H92" s="21"/>
      <c r="I92" s="92"/>
      <c r="J92" s="92"/>
      <c r="K92" s="92"/>
      <c r="L92" s="92"/>
      <c r="M92" s="92"/>
      <c r="N92" s="92"/>
      <c r="O92" s="92"/>
      <c r="P92" s="92"/>
      <c r="Q92" s="92"/>
      <c r="R92" s="92"/>
      <c r="S92" s="92"/>
      <c r="T92" s="92"/>
      <c r="U92" s="92"/>
      <c r="V92" s="92"/>
      <c r="W92" s="92"/>
      <c r="X92" s="92"/>
      <c r="Y92" s="92"/>
      <c r="Z92" s="92"/>
    </row>
    <row r="93" spans="1:26" ht="12.75">
      <c r="A93" s="92" t="s">
        <v>6521</v>
      </c>
      <c r="B93" s="372">
        <v>2007</v>
      </c>
      <c r="C93" s="372">
        <v>17257877</v>
      </c>
      <c r="D93" s="373"/>
      <c r="E93" s="261" t="str">
        <f t="shared" si="0"/>
        <v>https://pubmed.ncbi.nlm.nih.gov/17257877</v>
      </c>
      <c r="F93" s="92" t="s">
        <v>511</v>
      </c>
      <c r="G93" s="374" t="s">
        <v>6522</v>
      </c>
      <c r="H93" s="21"/>
      <c r="I93" s="92"/>
      <c r="J93" s="92"/>
      <c r="K93" s="92"/>
      <c r="L93" s="92"/>
      <c r="M93" s="92"/>
      <c r="N93" s="92"/>
      <c r="O93" s="92"/>
      <c r="P93" s="92"/>
      <c r="Q93" s="92"/>
      <c r="R93" s="92"/>
      <c r="S93" s="92"/>
      <c r="T93" s="92"/>
      <c r="U93" s="92"/>
      <c r="V93" s="92"/>
      <c r="W93" s="92"/>
      <c r="X93" s="92"/>
      <c r="Y93" s="92"/>
      <c r="Z93" s="92"/>
    </row>
    <row r="94" spans="1:26" ht="12.75">
      <c r="A94" s="92" t="s">
        <v>6523</v>
      </c>
      <c r="B94" s="372">
        <v>2017</v>
      </c>
      <c r="C94" s="372">
        <v>28983908</v>
      </c>
      <c r="D94" s="373" t="s">
        <v>6524</v>
      </c>
      <c r="E94" s="261" t="str">
        <f t="shared" si="0"/>
        <v>https://pubmed.ncbi.nlm.nih.gov/28983908</v>
      </c>
      <c r="F94" s="92" t="s">
        <v>511</v>
      </c>
      <c r="G94" s="92" t="s">
        <v>4592</v>
      </c>
      <c r="H94" s="92"/>
      <c r="I94" s="92"/>
      <c r="J94" s="92"/>
      <c r="K94" s="92"/>
      <c r="L94" s="92"/>
      <c r="M94" s="92"/>
      <c r="N94" s="92"/>
      <c r="O94" s="92"/>
      <c r="P94" s="92"/>
      <c r="Q94" s="92"/>
      <c r="R94" s="92"/>
      <c r="S94" s="92"/>
      <c r="T94" s="92"/>
      <c r="U94" s="92"/>
      <c r="V94" s="92"/>
      <c r="W94" s="92"/>
      <c r="X94" s="92"/>
      <c r="Y94" s="92"/>
      <c r="Z94" s="92"/>
    </row>
    <row r="95" spans="1:26" ht="12.75">
      <c r="A95" s="92" t="s">
        <v>6525</v>
      </c>
      <c r="B95" s="372">
        <v>2014</v>
      </c>
      <c r="C95" s="372">
        <v>24746600</v>
      </c>
      <c r="D95" s="373"/>
      <c r="E95" s="261" t="str">
        <f t="shared" si="0"/>
        <v>https://pubmed.ncbi.nlm.nih.gov/24746600</v>
      </c>
      <c r="F95" s="92" t="s">
        <v>511</v>
      </c>
      <c r="G95" s="374" t="s">
        <v>4744</v>
      </c>
      <c r="H95" s="21"/>
      <c r="I95" s="92"/>
      <c r="J95" s="92"/>
      <c r="K95" s="92"/>
      <c r="L95" s="92"/>
      <c r="M95" s="92"/>
      <c r="N95" s="92"/>
      <c r="O95" s="92"/>
      <c r="P95" s="92"/>
      <c r="Q95" s="92"/>
      <c r="R95" s="92"/>
      <c r="S95" s="92"/>
      <c r="T95" s="92"/>
      <c r="U95" s="92"/>
      <c r="V95" s="92"/>
      <c r="W95" s="92"/>
      <c r="X95" s="92"/>
      <c r="Y95" s="92"/>
      <c r="Z95" s="92"/>
    </row>
    <row r="96" spans="1:26" ht="12.75">
      <c r="A96" s="92" t="s">
        <v>6526</v>
      </c>
      <c r="B96" s="372">
        <v>2005</v>
      </c>
      <c r="C96" s="372">
        <v>15899734</v>
      </c>
      <c r="D96" s="373"/>
      <c r="E96" s="261" t="str">
        <f t="shared" si="0"/>
        <v>https://pubmed.ncbi.nlm.nih.gov/15899734</v>
      </c>
      <c r="F96" s="92" t="s">
        <v>511</v>
      </c>
      <c r="G96" s="92" t="s">
        <v>4592</v>
      </c>
      <c r="H96" s="92"/>
      <c r="I96" s="92"/>
      <c r="J96" s="92"/>
      <c r="K96" s="92"/>
      <c r="L96" s="92"/>
      <c r="M96" s="92"/>
      <c r="N96" s="92"/>
      <c r="O96" s="92"/>
      <c r="P96" s="92"/>
      <c r="Q96" s="92"/>
      <c r="R96" s="92"/>
      <c r="S96" s="92"/>
      <c r="T96" s="92"/>
      <c r="U96" s="92"/>
      <c r="V96" s="92"/>
      <c r="W96" s="92"/>
      <c r="X96" s="92"/>
      <c r="Y96" s="92"/>
      <c r="Z96" s="92"/>
    </row>
    <row r="97" spans="1:26" ht="12.75">
      <c r="A97" s="92" t="s">
        <v>6527</v>
      </c>
      <c r="B97" s="372">
        <v>2005</v>
      </c>
      <c r="C97" s="372">
        <v>16447468</v>
      </c>
      <c r="D97" s="373"/>
      <c r="E97" s="261" t="str">
        <f t="shared" si="0"/>
        <v>https://pubmed.ncbi.nlm.nih.gov/16447468</v>
      </c>
      <c r="F97" s="92" t="s">
        <v>511</v>
      </c>
      <c r="G97" s="374" t="s">
        <v>8424</v>
      </c>
      <c r="H97" s="21"/>
      <c r="I97" s="21"/>
      <c r="J97" s="21"/>
      <c r="K97" s="92"/>
      <c r="L97" s="92"/>
      <c r="M97" s="92"/>
      <c r="N97" s="92"/>
      <c r="O97" s="92"/>
      <c r="P97" s="92"/>
      <c r="Q97" s="92"/>
      <c r="R97" s="92"/>
      <c r="S97" s="92"/>
      <c r="T97" s="92"/>
      <c r="U97" s="92"/>
      <c r="V97" s="92"/>
      <c r="W97" s="92"/>
      <c r="X97" s="92"/>
      <c r="Y97" s="92"/>
      <c r="Z97" s="92"/>
    </row>
    <row r="98" spans="1:26" ht="12.75">
      <c r="A98" s="92" t="s">
        <v>6529</v>
      </c>
      <c r="B98" s="372">
        <v>2020</v>
      </c>
      <c r="C98" s="372">
        <v>32077553</v>
      </c>
      <c r="D98" s="373"/>
      <c r="E98" s="261" t="str">
        <f t="shared" si="0"/>
        <v>https://pubmed.ncbi.nlm.nih.gov/32077553</v>
      </c>
      <c r="F98" s="92" t="s">
        <v>511</v>
      </c>
      <c r="G98" s="374" t="s">
        <v>5157</v>
      </c>
      <c r="H98" s="21"/>
      <c r="I98" s="21"/>
      <c r="J98" s="92"/>
      <c r="K98" s="92"/>
      <c r="L98" s="92"/>
      <c r="M98" s="92"/>
      <c r="N98" s="92"/>
      <c r="O98" s="92"/>
      <c r="P98" s="92"/>
      <c r="Q98" s="92"/>
      <c r="R98" s="92"/>
      <c r="S98" s="92"/>
      <c r="T98" s="92"/>
      <c r="U98" s="92"/>
      <c r="V98" s="92"/>
      <c r="W98" s="92"/>
      <c r="X98" s="92"/>
      <c r="Y98" s="92"/>
      <c r="Z98" s="92"/>
    </row>
    <row r="99" spans="1:26" ht="12.75">
      <c r="A99" s="92" t="s">
        <v>6530</v>
      </c>
      <c r="B99" s="372">
        <v>2020</v>
      </c>
      <c r="C99" s="372">
        <v>32992075</v>
      </c>
      <c r="D99" s="373" t="s">
        <v>6531</v>
      </c>
      <c r="E99" s="261" t="str">
        <f t="shared" si="0"/>
        <v>https://pubmed.ncbi.nlm.nih.gov/32992075</v>
      </c>
      <c r="F99" s="92" t="s">
        <v>511</v>
      </c>
      <c r="G99" s="374" t="s">
        <v>6532</v>
      </c>
      <c r="H99" s="21"/>
      <c r="I99" s="92"/>
      <c r="J99" s="92"/>
      <c r="K99" s="92"/>
      <c r="L99" s="92"/>
      <c r="M99" s="92"/>
      <c r="N99" s="92"/>
      <c r="O99" s="92"/>
      <c r="P99" s="92"/>
      <c r="Q99" s="92"/>
      <c r="R99" s="92"/>
      <c r="S99" s="92"/>
      <c r="T99" s="92"/>
      <c r="U99" s="92"/>
      <c r="V99" s="92"/>
      <c r="W99" s="92"/>
      <c r="X99" s="92"/>
      <c r="Y99" s="92"/>
      <c r="Z99" s="92"/>
    </row>
    <row r="100" spans="1:26" ht="12.75">
      <c r="A100" s="92" t="s">
        <v>6533</v>
      </c>
      <c r="B100" s="372">
        <v>2015</v>
      </c>
      <c r="C100" s="372">
        <v>26318715</v>
      </c>
      <c r="D100" s="373"/>
      <c r="E100" s="261" t="str">
        <f t="shared" si="0"/>
        <v>https://pubmed.ncbi.nlm.nih.gov/26318715</v>
      </c>
      <c r="F100" s="92" t="s">
        <v>511</v>
      </c>
      <c r="G100" s="374" t="s">
        <v>6534</v>
      </c>
      <c r="H100" s="21"/>
      <c r="I100" s="92"/>
      <c r="J100" s="92"/>
      <c r="K100" s="92"/>
      <c r="L100" s="92"/>
      <c r="M100" s="92"/>
      <c r="N100" s="92"/>
      <c r="O100" s="92"/>
      <c r="P100" s="92"/>
      <c r="Q100" s="92"/>
      <c r="R100" s="92"/>
      <c r="S100" s="92"/>
      <c r="T100" s="92"/>
      <c r="U100" s="92"/>
      <c r="V100" s="92"/>
      <c r="W100" s="92"/>
      <c r="X100" s="92"/>
      <c r="Y100" s="92"/>
      <c r="Z100" s="92"/>
    </row>
    <row r="101" spans="1:26" ht="12.75">
      <c r="A101" s="92" t="s">
        <v>6533</v>
      </c>
      <c r="B101" s="372">
        <v>2005</v>
      </c>
      <c r="C101" s="372">
        <v>15687880</v>
      </c>
      <c r="D101" s="373"/>
      <c r="E101" s="261" t="str">
        <f t="shared" si="0"/>
        <v>https://pubmed.ncbi.nlm.nih.gov/15687880</v>
      </c>
      <c r="F101" s="92" t="s">
        <v>511</v>
      </c>
      <c r="G101" s="92" t="s">
        <v>4592</v>
      </c>
      <c r="H101" s="92"/>
      <c r="I101" s="92"/>
      <c r="J101" s="92"/>
      <c r="K101" s="92"/>
      <c r="L101" s="92"/>
      <c r="M101" s="92"/>
      <c r="N101" s="92"/>
      <c r="O101" s="92"/>
      <c r="P101" s="92"/>
      <c r="Q101" s="92"/>
      <c r="R101" s="92"/>
      <c r="S101" s="92"/>
      <c r="T101" s="92"/>
      <c r="U101" s="92"/>
      <c r="V101" s="92"/>
      <c r="W101" s="92"/>
      <c r="X101" s="92"/>
      <c r="Y101" s="92"/>
      <c r="Z101" s="92"/>
    </row>
    <row r="102" spans="1:26" ht="12.75">
      <c r="A102" s="92" t="s">
        <v>6535</v>
      </c>
      <c r="B102" s="372">
        <v>2008</v>
      </c>
      <c r="C102" s="372">
        <v>18989104</v>
      </c>
      <c r="D102" s="373"/>
      <c r="E102" s="261" t="str">
        <f t="shared" si="0"/>
        <v>https://pubmed.ncbi.nlm.nih.gov/18989104</v>
      </c>
      <c r="F102" s="92" t="s">
        <v>511</v>
      </c>
      <c r="G102" s="92" t="s">
        <v>4592</v>
      </c>
      <c r="H102" s="92"/>
      <c r="I102" s="92"/>
      <c r="J102" s="92"/>
      <c r="K102" s="92"/>
      <c r="L102" s="92"/>
      <c r="M102" s="92"/>
      <c r="N102" s="92"/>
      <c r="O102" s="92"/>
      <c r="P102" s="92"/>
      <c r="Q102" s="92"/>
      <c r="R102" s="92"/>
      <c r="S102" s="92"/>
      <c r="T102" s="92"/>
      <c r="U102" s="92"/>
      <c r="V102" s="92"/>
      <c r="W102" s="92"/>
      <c r="X102" s="92"/>
      <c r="Y102" s="92"/>
      <c r="Z102" s="92"/>
    </row>
    <row r="103" spans="1:26" ht="12.75">
      <c r="A103" s="92" t="s">
        <v>6536</v>
      </c>
      <c r="B103" s="372">
        <v>2018</v>
      </c>
      <c r="C103" s="372">
        <v>29092786</v>
      </c>
      <c r="D103" s="373"/>
      <c r="E103" s="261" t="str">
        <f t="shared" si="0"/>
        <v>https://pubmed.ncbi.nlm.nih.gov/29092786</v>
      </c>
      <c r="F103" s="92" t="s">
        <v>511</v>
      </c>
      <c r="G103" s="374" t="s">
        <v>4744</v>
      </c>
      <c r="H103" s="92"/>
      <c r="I103" s="374" t="s">
        <v>6429</v>
      </c>
      <c r="J103" s="92"/>
      <c r="K103" s="92"/>
      <c r="L103" s="92"/>
      <c r="M103" s="92"/>
      <c r="N103" s="92"/>
      <c r="O103" s="92"/>
      <c r="P103" s="92"/>
      <c r="Q103" s="92"/>
      <c r="R103" s="92"/>
      <c r="S103" s="92"/>
      <c r="T103" s="92"/>
      <c r="U103" s="92"/>
      <c r="V103" s="92"/>
      <c r="W103" s="92"/>
      <c r="X103" s="92"/>
      <c r="Y103" s="92"/>
      <c r="Z103" s="92"/>
    </row>
    <row r="104" spans="1:26" ht="12.75">
      <c r="A104" s="92" t="s">
        <v>6537</v>
      </c>
      <c r="B104" s="372">
        <v>2003</v>
      </c>
      <c r="C104" s="372">
        <v>14641355</v>
      </c>
      <c r="D104" s="373"/>
      <c r="E104" s="261" t="str">
        <f t="shared" si="0"/>
        <v>https://pubmed.ncbi.nlm.nih.gov/14641355</v>
      </c>
      <c r="F104" s="92" t="s">
        <v>511</v>
      </c>
      <c r="G104" s="374" t="s">
        <v>4744</v>
      </c>
      <c r="H104" s="21"/>
      <c r="I104" s="92"/>
      <c r="J104" s="92"/>
      <c r="K104" s="92"/>
      <c r="L104" s="92"/>
      <c r="M104" s="92"/>
      <c r="N104" s="92"/>
      <c r="O104" s="92"/>
      <c r="P104" s="92"/>
      <c r="Q104" s="92"/>
      <c r="R104" s="92"/>
      <c r="S104" s="92"/>
      <c r="T104" s="92"/>
      <c r="U104" s="92"/>
      <c r="V104" s="92"/>
      <c r="W104" s="92"/>
      <c r="X104" s="92"/>
      <c r="Y104" s="92"/>
      <c r="Z104" s="92"/>
    </row>
    <row r="105" spans="1:26" ht="12.75">
      <c r="A105" s="92" t="s">
        <v>6538</v>
      </c>
      <c r="B105" s="372">
        <v>2018</v>
      </c>
      <c r="C105" s="372">
        <v>29674251</v>
      </c>
      <c r="D105" s="373"/>
      <c r="E105" s="261" t="str">
        <f t="shared" si="0"/>
        <v>https://pubmed.ncbi.nlm.nih.gov/29674251</v>
      </c>
      <c r="F105" s="92" t="s">
        <v>511</v>
      </c>
      <c r="G105" s="374" t="s">
        <v>4744</v>
      </c>
      <c r="H105" s="21"/>
      <c r="I105" s="92"/>
      <c r="J105" s="92"/>
      <c r="K105" s="92"/>
      <c r="L105" s="92"/>
      <c r="M105" s="92"/>
      <c r="N105" s="92"/>
      <c r="O105" s="92"/>
      <c r="P105" s="92"/>
      <c r="Q105" s="92"/>
      <c r="R105" s="92"/>
      <c r="S105" s="92"/>
      <c r="T105" s="92"/>
      <c r="U105" s="92"/>
      <c r="V105" s="92"/>
      <c r="W105" s="92"/>
      <c r="X105" s="92"/>
      <c r="Y105" s="92"/>
      <c r="Z105" s="92"/>
    </row>
    <row r="106" spans="1:26" ht="12.75">
      <c r="A106" s="92" t="s">
        <v>6539</v>
      </c>
      <c r="B106" s="372">
        <v>2014</v>
      </c>
      <c r="C106" s="372">
        <v>24456625</v>
      </c>
      <c r="D106" s="373"/>
      <c r="E106" s="261" t="str">
        <f t="shared" si="0"/>
        <v>https://pubmed.ncbi.nlm.nih.gov/24456625</v>
      </c>
      <c r="F106" s="92" t="s">
        <v>511</v>
      </c>
      <c r="G106" s="374" t="s">
        <v>6540</v>
      </c>
      <c r="H106" s="21"/>
      <c r="I106" s="21"/>
      <c r="J106" s="21"/>
      <c r="K106" s="92"/>
      <c r="L106" s="92"/>
      <c r="M106" s="92"/>
      <c r="N106" s="92"/>
      <c r="O106" s="92"/>
      <c r="P106" s="92"/>
      <c r="Q106" s="92"/>
      <c r="R106" s="92"/>
      <c r="S106" s="92"/>
      <c r="T106" s="92"/>
      <c r="U106" s="92"/>
      <c r="V106" s="92"/>
      <c r="W106" s="92"/>
      <c r="X106" s="92"/>
      <c r="Y106" s="92"/>
      <c r="Z106" s="92"/>
    </row>
    <row r="107" spans="1:26" ht="12.75">
      <c r="A107" s="92" t="s">
        <v>6541</v>
      </c>
      <c r="B107" s="372">
        <v>2013</v>
      </c>
      <c r="C107" s="372">
        <v>23336849</v>
      </c>
      <c r="D107" s="373"/>
      <c r="E107" s="261" t="str">
        <f t="shared" si="0"/>
        <v>https://pubmed.ncbi.nlm.nih.gov/23336849</v>
      </c>
      <c r="F107" s="92" t="s">
        <v>511</v>
      </c>
      <c r="G107" s="374" t="s">
        <v>4744</v>
      </c>
      <c r="H107" s="21"/>
      <c r="I107" s="92"/>
      <c r="J107" s="92"/>
      <c r="K107" s="92"/>
      <c r="L107" s="92"/>
      <c r="M107" s="92"/>
      <c r="N107" s="92"/>
      <c r="O107" s="92"/>
      <c r="P107" s="92"/>
      <c r="Q107" s="92"/>
      <c r="R107" s="92"/>
      <c r="S107" s="92"/>
      <c r="T107" s="92"/>
      <c r="U107" s="92"/>
      <c r="V107" s="92"/>
      <c r="W107" s="92"/>
      <c r="X107" s="92"/>
      <c r="Y107" s="92"/>
      <c r="Z107" s="92"/>
    </row>
    <row r="108" spans="1:26" ht="12.75">
      <c r="A108" s="92" t="s">
        <v>6542</v>
      </c>
      <c r="B108" s="372">
        <v>2010</v>
      </c>
      <c r="C108" s="372">
        <v>20078249</v>
      </c>
      <c r="D108" s="373"/>
      <c r="E108" s="261" t="str">
        <f t="shared" si="0"/>
        <v>https://pubmed.ncbi.nlm.nih.gov/20078249</v>
      </c>
      <c r="F108" s="92" t="s">
        <v>511</v>
      </c>
      <c r="G108" s="92" t="s">
        <v>4592</v>
      </c>
      <c r="H108" s="92"/>
      <c r="I108" s="92"/>
      <c r="J108" s="92"/>
      <c r="K108" s="92"/>
      <c r="L108" s="92"/>
      <c r="M108" s="92"/>
      <c r="N108" s="92"/>
      <c r="O108" s="92"/>
      <c r="P108" s="92"/>
      <c r="Q108" s="92"/>
      <c r="R108" s="92"/>
      <c r="S108" s="92"/>
      <c r="T108" s="92"/>
      <c r="U108" s="92"/>
      <c r="V108" s="92"/>
      <c r="W108" s="92"/>
      <c r="X108" s="92"/>
      <c r="Y108" s="92"/>
      <c r="Z108" s="92"/>
    </row>
    <row r="109" spans="1:26" ht="12.75">
      <c r="A109" s="92" t="s">
        <v>6543</v>
      </c>
      <c r="B109" s="372">
        <v>2019</v>
      </c>
      <c r="C109" s="372">
        <v>30423449</v>
      </c>
      <c r="D109" s="373"/>
      <c r="E109" s="261" t="str">
        <f t="shared" si="0"/>
        <v>https://pubmed.ncbi.nlm.nih.gov/30423449</v>
      </c>
      <c r="F109" s="92" t="s">
        <v>511</v>
      </c>
      <c r="G109" s="374" t="s">
        <v>5299</v>
      </c>
      <c r="H109" s="92"/>
      <c r="I109" s="374" t="s">
        <v>6429</v>
      </c>
      <c r="J109" s="92"/>
      <c r="K109" s="92"/>
      <c r="L109" s="92"/>
      <c r="M109" s="92"/>
      <c r="N109" s="92"/>
      <c r="O109" s="92"/>
      <c r="P109" s="92"/>
      <c r="Q109" s="92"/>
      <c r="R109" s="92"/>
      <c r="S109" s="92"/>
      <c r="T109" s="92"/>
      <c r="U109" s="92"/>
      <c r="V109" s="92"/>
      <c r="W109" s="92"/>
      <c r="X109" s="92"/>
      <c r="Y109" s="92"/>
      <c r="Z109" s="92"/>
    </row>
    <row r="110" spans="1:26" ht="12.75">
      <c r="A110" s="92" t="s">
        <v>6544</v>
      </c>
      <c r="B110" s="372">
        <v>1995</v>
      </c>
      <c r="C110" s="372">
        <v>7652502</v>
      </c>
      <c r="D110" s="373"/>
      <c r="E110" s="261" t="str">
        <f t="shared" si="0"/>
        <v>https://pubmed.ncbi.nlm.nih.gov/7652502</v>
      </c>
      <c r="F110" s="92" t="s">
        <v>511</v>
      </c>
      <c r="G110" s="92" t="s">
        <v>4592</v>
      </c>
      <c r="H110" s="92"/>
      <c r="I110" s="92"/>
      <c r="J110" s="92"/>
      <c r="K110" s="92"/>
      <c r="L110" s="92"/>
      <c r="M110" s="92"/>
      <c r="N110" s="92"/>
      <c r="O110" s="92"/>
      <c r="P110" s="92"/>
      <c r="Q110" s="92"/>
      <c r="R110" s="92"/>
      <c r="S110" s="92"/>
      <c r="T110" s="92"/>
      <c r="U110" s="92"/>
      <c r="V110" s="92"/>
      <c r="W110" s="92"/>
      <c r="X110" s="92"/>
      <c r="Y110" s="92"/>
      <c r="Z110" s="92"/>
    </row>
    <row r="111" spans="1:26" ht="12.75">
      <c r="A111" s="92" t="s">
        <v>6545</v>
      </c>
      <c r="B111" s="372">
        <v>2015</v>
      </c>
      <c r="C111" s="372">
        <v>26490344</v>
      </c>
      <c r="D111" s="373"/>
      <c r="E111" s="261" t="str">
        <f t="shared" si="0"/>
        <v>https://pubmed.ncbi.nlm.nih.gov/26490344</v>
      </c>
      <c r="F111" s="92" t="s">
        <v>511</v>
      </c>
      <c r="G111" s="374" t="s">
        <v>5299</v>
      </c>
      <c r="H111" s="21"/>
      <c r="I111" s="92"/>
      <c r="J111" s="92"/>
      <c r="K111" s="92"/>
      <c r="L111" s="92"/>
      <c r="M111" s="92"/>
      <c r="N111" s="92"/>
      <c r="O111" s="92"/>
      <c r="P111" s="92"/>
      <c r="Q111" s="92"/>
      <c r="R111" s="92"/>
      <c r="S111" s="92"/>
      <c r="T111" s="92"/>
      <c r="U111" s="92"/>
      <c r="V111" s="92"/>
      <c r="W111" s="92"/>
      <c r="X111" s="92"/>
      <c r="Y111" s="92"/>
      <c r="Z111" s="92"/>
    </row>
    <row r="112" spans="1:26" ht="12.75">
      <c r="A112" s="92" t="s">
        <v>6546</v>
      </c>
      <c r="B112" s="372">
        <v>1999</v>
      </c>
      <c r="C112" s="372">
        <v>10546007</v>
      </c>
      <c r="D112" s="373"/>
      <c r="E112" s="261" t="str">
        <f t="shared" si="0"/>
        <v>https://pubmed.ncbi.nlm.nih.gov/10546007</v>
      </c>
      <c r="F112" s="92" t="s">
        <v>511</v>
      </c>
      <c r="G112" s="374" t="s">
        <v>4867</v>
      </c>
      <c r="H112" s="21"/>
      <c r="I112" s="92"/>
      <c r="J112" s="92"/>
      <c r="K112" s="92"/>
      <c r="L112" s="92"/>
      <c r="M112" s="92"/>
      <c r="N112" s="92"/>
      <c r="O112" s="92"/>
      <c r="P112" s="92"/>
      <c r="Q112" s="92"/>
      <c r="R112" s="92"/>
      <c r="S112" s="92"/>
      <c r="T112" s="92"/>
      <c r="U112" s="92"/>
      <c r="V112" s="92"/>
      <c r="W112" s="92"/>
      <c r="X112" s="92"/>
      <c r="Y112" s="92"/>
      <c r="Z112" s="92"/>
    </row>
    <row r="113" spans="1:26" ht="12.75">
      <c r="A113" s="92" t="s">
        <v>6547</v>
      </c>
      <c r="B113" s="372">
        <v>2015</v>
      </c>
      <c r="C113" s="372">
        <v>26269898</v>
      </c>
      <c r="D113" s="373"/>
      <c r="E113" s="261" t="str">
        <f t="shared" si="0"/>
        <v>https://pubmed.ncbi.nlm.nih.gov/26269898</v>
      </c>
      <c r="F113" s="92" t="s">
        <v>511</v>
      </c>
      <c r="G113" s="92" t="s">
        <v>4592</v>
      </c>
      <c r="H113" s="92"/>
      <c r="I113" s="92"/>
      <c r="J113" s="92"/>
      <c r="K113" s="92"/>
      <c r="L113" s="92"/>
      <c r="M113" s="92"/>
      <c r="N113" s="92"/>
      <c r="O113" s="92"/>
      <c r="P113" s="92"/>
      <c r="Q113" s="92"/>
      <c r="R113" s="92"/>
      <c r="S113" s="92"/>
      <c r="T113" s="92"/>
      <c r="U113" s="92"/>
      <c r="V113" s="92"/>
      <c r="W113" s="92"/>
      <c r="X113" s="92"/>
      <c r="Y113" s="92"/>
      <c r="Z113" s="92"/>
    </row>
    <row r="114" spans="1:26" ht="12.75">
      <c r="A114" s="92" t="s">
        <v>6548</v>
      </c>
      <c r="B114" s="372">
        <v>2014</v>
      </c>
      <c r="C114" s="372">
        <v>25386945</v>
      </c>
      <c r="D114" s="373" t="s">
        <v>6549</v>
      </c>
      <c r="E114" s="261" t="str">
        <f t="shared" si="0"/>
        <v>https://pubmed.ncbi.nlm.nih.gov/25386945</v>
      </c>
      <c r="F114" s="92" t="s">
        <v>511</v>
      </c>
      <c r="G114" s="374" t="s">
        <v>4867</v>
      </c>
      <c r="H114" s="21"/>
      <c r="I114" s="92"/>
      <c r="J114" s="92"/>
      <c r="K114" s="92"/>
      <c r="L114" s="92"/>
      <c r="M114" s="92"/>
      <c r="N114" s="92"/>
      <c r="O114" s="92"/>
      <c r="P114" s="92"/>
      <c r="Q114" s="92"/>
      <c r="R114" s="92"/>
      <c r="S114" s="92"/>
      <c r="T114" s="92"/>
      <c r="U114" s="92"/>
      <c r="V114" s="92"/>
      <c r="W114" s="92"/>
      <c r="X114" s="92"/>
      <c r="Y114" s="92"/>
      <c r="Z114" s="92"/>
    </row>
    <row r="115" spans="1:26" ht="12.75">
      <c r="A115" s="92" t="s">
        <v>6550</v>
      </c>
      <c r="B115" s="372">
        <v>2017</v>
      </c>
      <c r="C115" s="372">
        <v>28596448</v>
      </c>
      <c r="D115" s="373"/>
      <c r="E115" s="261" t="str">
        <f t="shared" si="0"/>
        <v>https://pubmed.ncbi.nlm.nih.gov/28596448</v>
      </c>
      <c r="F115" s="92" t="s">
        <v>511</v>
      </c>
      <c r="G115" s="374" t="s">
        <v>5299</v>
      </c>
      <c r="H115" s="21"/>
      <c r="I115" s="92"/>
      <c r="J115" s="92"/>
      <c r="K115" s="92"/>
      <c r="L115" s="92"/>
      <c r="M115" s="92"/>
      <c r="N115" s="92"/>
      <c r="O115" s="92"/>
      <c r="P115" s="92"/>
      <c r="Q115" s="92"/>
      <c r="R115" s="92"/>
      <c r="S115" s="92"/>
      <c r="T115" s="92"/>
      <c r="U115" s="92"/>
      <c r="V115" s="92"/>
      <c r="W115" s="92"/>
      <c r="X115" s="92"/>
      <c r="Y115" s="92"/>
      <c r="Z115" s="92"/>
    </row>
    <row r="116" spans="1:26" ht="12.75">
      <c r="A116" s="92" t="s">
        <v>6551</v>
      </c>
      <c r="B116" s="372">
        <v>2018</v>
      </c>
      <c r="C116" s="372">
        <v>30354508</v>
      </c>
      <c r="D116" s="373"/>
      <c r="E116" s="261" t="str">
        <f t="shared" si="0"/>
        <v>https://pubmed.ncbi.nlm.nih.gov/30354508</v>
      </c>
      <c r="F116" s="92" t="s">
        <v>511</v>
      </c>
      <c r="G116" s="92" t="s">
        <v>4592</v>
      </c>
      <c r="H116" s="92"/>
      <c r="I116" s="92"/>
      <c r="J116" s="92"/>
      <c r="K116" s="92"/>
      <c r="L116" s="92"/>
      <c r="M116" s="92"/>
      <c r="N116" s="92"/>
      <c r="O116" s="92"/>
      <c r="P116" s="92"/>
      <c r="Q116" s="92"/>
      <c r="R116" s="92"/>
      <c r="S116" s="92"/>
      <c r="T116" s="92"/>
      <c r="U116" s="92"/>
      <c r="V116" s="92"/>
      <c r="W116" s="92"/>
      <c r="X116" s="92"/>
      <c r="Y116" s="92"/>
      <c r="Z116" s="92"/>
    </row>
    <row r="117" spans="1:26" ht="12.75">
      <c r="A117" s="92" t="s">
        <v>6552</v>
      </c>
      <c r="B117" s="372">
        <v>2017</v>
      </c>
      <c r="C117" s="372">
        <v>29190037</v>
      </c>
      <c r="D117" s="373" t="s">
        <v>6553</v>
      </c>
      <c r="E117" s="261" t="str">
        <f t="shared" si="0"/>
        <v>https://pubmed.ncbi.nlm.nih.gov/29190037</v>
      </c>
      <c r="F117" s="92" t="s">
        <v>511</v>
      </c>
      <c r="G117" s="92" t="s">
        <v>4592</v>
      </c>
      <c r="H117" s="92"/>
      <c r="I117" s="92"/>
      <c r="J117" s="92"/>
      <c r="K117" s="92"/>
      <c r="L117" s="92"/>
      <c r="M117" s="92"/>
      <c r="N117" s="92"/>
      <c r="O117" s="92"/>
      <c r="P117" s="92"/>
      <c r="Q117" s="92"/>
      <c r="R117" s="92"/>
      <c r="S117" s="92"/>
      <c r="T117" s="92"/>
      <c r="U117" s="92"/>
      <c r="V117" s="92"/>
      <c r="W117" s="92"/>
      <c r="X117" s="92"/>
      <c r="Y117" s="92"/>
      <c r="Z117" s="92"/>
    </row>
    <row r="118" spans="1:26" ht="12.75">
      <c r="A118" s="92" t="s">
        <v>6554</v>
      </c>
      <c r="B118" s="372">
        <v>2018</v>
      </c>
      <c r="C118" s="372">
        <v>29288035</v>
      </c>
      <c r="D118" s="373"/>
      <c r="E118" s="261" t="str">
        <f t="shared" si="0"/>
        <v>https://pubmed.ncbi.nlm.nih.gov/29288035</v>
      </c>
      <c r="F118" s="92" t="s">
        <v>511</v>
      </c>
      <c r="G118" s="374" t="s">
        <v>5299</v>
      </c>
      <c r="H118" s="21"/>
      <c r="I118" s="92"/>
      <c r="J118" s="92"/>
      <c r="K118" s="92"/>
      <c r="L118" s="92"/>
      <c r="M118" s="92"/>
      <c r="N118" s="92"/>
      <c r="O118" s="92"/>
      <c r="P118" s="92"/>
      <c r="Q118" s="92"/>
      <c r="R118" s="92"/>
      <c r="S118" s="92"/>
      <c r="T118" s="92"/>
      <c r="U118" s="92"/>
      <c r="V118" s="92"/>
      <c r="W118" s="92"/>
      <c r="X118" s="92"/>
      <c r="Y118" s="92"/>
      <c r="Z118" s="92"/>
    </row>
    <row r="119" spans="1:26" ht="12.75">
      <c r="A119" s="92" t="s">
        <v>6555</v>
      </c>
      <c r="B119" s="372">
        <v>2020</v>
      </c>
      <c r="C119" s="372">
        <v>33225960</v>
      </c>
      <c r="D119" s="92" t="s">
        <v>6556</v>
      </c>
      <c r="E119" s="261" t="str">
        <f t="shared" si="0"/>
        <v>https://pubmed.ncbi.nlm.nih.gov/33225960</v>
      </c>
      <c r="F119" s="92" t="s">
        <v>511</v>
      </c>
      <c r="G119" s="374" t="s">
        <v>4744</v>
      </c>
      <c r="H119" s="21"/>
      <c r="I119" s="92"/>
      <c r="J119" s="92"/>
      <c r="K119" s="92"/>
      <c r="L119" s="92"/>
      <c r="M119" s="92"/>
      <c r="N119" s="92"/>
      <c r="O119" s="92"/>
      <c r="P119" s="92"/>
      <c r="Q119" s="92"/>
      <c r="R119" s="92"/>
      <c r="S119" s="92"/>
      <c r="T119" s="92"/>
      <c r="U119" s="92"/>
      <c r="V119" s="92"/>
      <c r="W119" s="92"/>
      <c r="X119" s="92"/>
      <c r="Y119" s="92"/>
      <c r="Z119" s="92"/>
    </row>
    <row r="120" spans="1:26" ht="12.75">
      <c r="A120" s="92" t="s">
        <v>6557</v>
      </c>
      <c r="B120" s="372">
        <v>2016</v>
      </c>
      <c r="C120" s="372">
        <v>26599983</v>
      </c>
      <c r="D120" s="373"/>
      <c r="E120" s="261" t="str">
        <f t="shared" si="0"/>
        <v>https://pubmed.ncbi.nlm.nih.gov/26599983</v>
      </c>
      <c r="F120" s="92" t="s">
        <v>511</v>
      </c>
      <c r="G120" s="374" t="s">
        <v>5299</v>
      </c>
      <c r="H120" s="21"/>
      <c r="I120" s="92"/>
      <c r="J120" s="92"/>
      <c r="K120" s="92"/>
      <c r="L120" s="92"/>
      <c r="M120" s="92"/>
      <c r="N120" s="92"/>
      <c r="O120" s="92"/>
      <c r="P120" s="92"/>
      <c r="Q120" s="92"/>
      <c r="R120" s="92"/>
      <c r="S120" s="92"/>
      <c r="T120" s="92"/>
      <c r="U120" s="92"/>
      <c r="V120" s="92"/>
      <c r="W120" s="92"/>
      <c r="X120" s="92"/>
      <c r="Y120" s="92"/>
      <c r="Z120" s="92"/>
    </row>
    <row r="121" spans="1:26" ht="12.75">
      <c r="A121" s="92" t="s">
        <v>6558</v>
      </c>
      <c r="B121" s="372">
        <v>2009</v>
      </c>
      <c r="C121" s="372">
        <v>19636030</v>
      </c>
      <c r="D121" s="373"/>
      <c r="E121" s="261" t="str">
        <f t="shared" si="0"/>
        <v>https://pubmed.ncbi.nlm.nih.gov/19636030</v>
      </c>
      <c r="F121" s="92" t="s">
        <v>511</v>
      </c>
      <c r="G121" s="374" t="s">
        <v>4744</v>
      </c>
      <c r="H121" s="21"/>
      <c r="I121" s="92"/>
      <c r="J121" s="92"/>
      <c r="K121" s="92"/>
      <c r="L121" s="92"/>
      <c r="M121" s="92"/>
      <c r="N121" s="92"/>
      <c r="O121" s="92"/>
      <c r="P121" s="92"/>
      <c r="Q121" s="92"/>
      <c r="R121" s="92"/>
      <c r="S121" s="92"/>
      <c r="T121" s="92"/>
      <c r="U121" s="92"/>
      <c r="V121" s="92"/>
      <c r="W121" s="92"/>
      <c r="X121" s="92"/>
      <c r="Y121" s="92"/>
      <c r="Z121" s="92"/>
    </row>
    <row r="122" spans="1:26" ht="12.75">
      <c r="A122" s="92" t="s">
        <v>6559</v>
      </c>
      <c r="B122" s="372">
        <v>2018</v>
      </c>
      <c r="C122" s="372">
        <v>30057900</v>
      </c>
      <c r="D122" s="373" t="s">
        <v>6560</v>
      </c>
      <c r="E122" s="261" t="str">
        <f t="shared" si="0"/>
        <v>https://pubmed.ncbi.nlm.nih.gov/30057900</v>
      </c>
      <c r="F122" s="92" t="s">
        <v>511</v>
      </c>
      <c r="G122" s="92" t="s">
        <v>4592</v>
      </c>
      <c r="H122" s="92"/>
      <c r="I122" s="92"/>
      <c r="J122" s="92"/>
      <c r="K122" s="92"/>
      <c r="L122" s="92"/>
      <c r="M122" s="92"/>
      <c r="N122" s="92"/>
      <c r="O122" s="92"/>
      <c r="P122" s="92"/>
      <c r="Q122" s="92"/>
      <c r="R122" s="92"/>
      <c r="S122" s="92"/>
      <c r="T122" s="92"/>
      <c r="U122" s="92"/>
      <c r="V122" s="92"/>
      <c r="W122" s="92"/>
      <c r="X122" s="92"/>
      <c r="Y122" s="92"/>
      <c r="Z122" s="92"/>
    </row>
    <row r="123" spans="1:26" ht="12.75">
      <c r="A123" s="92" t="s">
        <v>6561</v>
      </c>
      <c r="B123" s="372">
        <v>1993</v>
      </c>
      <c r="C123" s="372">
        <v>8482086</v>
      </c>
      <c r="D123" s="375"/>
      <c r="E123" s="261" t="str">
        <f t="shared" si="0"/>
        <v>https://pubmed.ncbi.nlm.nih.gov/8482086</v>
      </c>
      <c r="F123" s="92" t="s">
        <v>511</v>
      </c>
      <c r="G123" s="374" t="s">
        <v>6562</v>
      </c>
      <c r="H123" s="21"/>
      <c r="I123" s="21"/>
      <c r="J123" s="92"/>
      <c r="K123" s="92"/>
      <c r="L123" s="92"/>
      <c r="M123" s="92"/>
      <c r="N123" s="92"/>
      <c r="O123" s="92"/>
      <c r="P123" s="92"/>
      <c r="Q123" s="92"/>
      <c r="R123" s="92"/>
      <c r="S123" s="92"/>
      <c r="T123" s="92"/>
      <c r="U123" s="92"/>
      <c r="V123" s="92"/>
      <c r="W123" s="92"/>
      <c r="X123" s="92"/>
      <c r="Y123" s="92"/>
      <c r="Z123" s="92"/>
    </row>
    <row r="124" spans="1:26" ht="12.75">
      <c r="A124" s="92" t="s">
        <v>6563</v>
      </c>
      <c r="B124" s="372">
        <v>2019</v>
      </c>
      <c r="C124" s="372">
        <v>30935872</v>
      </c>
      <c r="D124" s="373" t="s">
        <v>6564</v>
      </c>
      <c r="E124" s="261" t="str">
        <f t="shared" si="0"/>
        <v>https://pubmed.ncbi.nlm.nih.gov/30935872</v>
      </c>
      <c r="F124" s="92" t="s">
        <v>511</v>
      </c>
      <c r="G124" s="374" t="s">
        <v>5157</v>
      </c>
      <c r="H124" s="21"/>
      <c r="I124" s="21"/>
      <c r="J124" s="92"/>
      <c r="K124" s="92"/>
      <c r="L124" s="92"/>
      <c r="M124" s="92"/>
      <c r="N124" s="92"/>
      <c r="O124" s="92"/>
      <c r="P124" s="92"/>
      <c r="Q124" s="92"/>
      <c r="R124" s="92"/>
      <c r="S124" s="92"/>
      <c r="T124" s="92"/>
      <c r="U124" s="92"/>
      <c r="V124" s="92"/>
      <c r="W124" s="92"/>
      <c r="X124" s="92"/>
      <c r="Y124" s="92"/>
      <c r="Z124" s="92"/>
    </row>
    <row r="125" spans="1:26" ht="12.75">
      <c r="A125" s="92" t="s">
        <v>4006</v>
      </c>
      <c r="B125" s="372">
        <v>2015</v>
      </c>
      <c r="C125" s="372">
        <v>26252534</v>
      </c>
      <c r="D125" s="373" t="s">
        <v>6565</v>
      </c>
      <c r="E125" s="376" t="str">
        <f t="shared" si="0"/>
        <v>https://pubmed.ncbi.nlm.nih.gov/26252534</v>
      </c>
      <c r="F125" s="21"/>
      <c r="G125" s="92"/>
      <c r="H125" s="92" t="s">
        <v>511</v>
      </c>
      <c r="I125" s="92"/>
      <c r="J125" s="92"/>
      <c r="K125" s="92"/>
      <c r="L125" s="92"/>
      <c r="M125" s="92"/>
      <c r="N125" s="92"/>
      <c r="O125" s="92"/>
      <c r="P125" s="92"/>
      <c r="Q125" s="92"/>
      <c r="R125" s="92"/>
      <c r="S125" s="92"/>
      <c r="T125" s="92"/>
      <c r="U125" s="92"/>
      <c r="V125" s="92"/>
      <c r="W125" s="92"/>
      <c r="X125" s="92"/>
      <c r="Y125" s="92"/>
      <c r="Z125" s="92"/>
    </row>
    <row r="126" spans="1:26" ht="12.75">
      <c r="A126" s="92" t="s">
        <v>6566</v>
      </c>
      <c r="B126" s="372">
        <v>2009</v>
      </c>
      <c r="C126" s="372">
        <v>19341608</v>
      </c>
      <c r="D126" s="373"/>
      <c r="E126" s="261" t="str">
        <f t="shared" si="0"/>
        <v>https://pubmed.ncbi.nlm.nih.gov/19341608</v>
      </c>
      <c r="F126" s="92" t="s">
        <v>511</v>
      </c>
      <c r="G126" s="92" t="s">
        <v>8390</v>
      </c>
      <c r="H126" s="92"/>
      <c r="I126" s="92"/>
      <c r="J126" s="92"/>
      <c r="K126" s="92"/>
      <c r="L126" s="92"/>
      <c r="M126" s="92"/>
      <c r="N126" s="92"/>
      <c r="O126" s="92"/>
      <c r="P126" s="92"/>
      <c r="Q126" s="92"/>
      <c r="R126" s="92"/>
      <c r="S126" s="92"/>
      <c r="T126" s="92"/>
      <c r="U126" s="92"/>
      <c r="V126" s="92"/>
      <c r="W126" s="92"/>
      <c r="X126" s="92"/>
      <c r="Y126" s="92"/>
      <c r="Z126" s="92"/>
    </row>
    <row r="127" spans="1:26" ht="12.75">
      <c r="A127" s="92" t="s">
        <v>6567</v>
      </c>
      <c r="B127" s="372">
        <v>2001</v>
      </c>
      <c r="C127" s="372">
        <v>11176767</v>
      </c>
      <c r="D127" s="373"/>
      <c r="E127" s="261" t="str">
        <f t="shared" si="0"/>
        <v>https://pubmed.ncbi.nlm.nih.gov/11176767</v>
      </c>
      <c r="F127" s="92" t="s">
        <v>511</v>
      </c>
      <c r="G127" s="374" t="s">
        <v>4744</v>
      </c>
      <c r="H127" s="21"/>
      <c r="I127" s="92"/>
      <c r="J127" s="92"/>
      <c r="K127" s="92"/>
      <c r="L127" s="92"/>
      <c r="M127" s="92"/>
      <c r="N127" s="92"/>
      <c r="O127" s="92"/>
      <c r="P127" s="92"/>
      <c r="Q127" s="92"/>
      <c r="R127" s="92"/>
      <c r="S127" s="92"/>
      <c r="T127" s="92"/>
      <c r="U127" s="92"/>
      <c r="V127" s="92"/>
      <c r="W127" s="92"/>
      <c r="X127" s="92"/>
      <c r="Y127" s="92"/>
      <c r="Z127" s="92"/>
    </row>
    <row r="128" spans="1:26" ht="12.75">
      <c r="A128" s="92" t="s">
        <v>6568</v>
      </c>
      <c r="B128" s="372">
        <v>2020</v>
      </c>
      <c r="C128" s="372">
        <v>33172504</v>
      </c>
      <c r="D128" s="373" t="s">
        <v>6569</v>
      </c>
      <c r="E128" s="261" t="str">
        <f t="shared" si="0"/>
        <v>https://pubmed.ncbi.nlm.nih.gov/33172504</v>
      </c>
      <c r="F128" s="92" t="s">
        <v>511</v>
      </c>
      <c r="G128" s="374" t="s">
        <v>5157</v>
      </c>
      <c r="H128" s="21"/>
      <c r="I128" s="21"/>
      <c r="J128" s="92"/>
      <c r="K128" s="92"/>
      <c r="L128" s="92"/>
      <c r="M128" s="92"/>
      <c r="N128" s="92"/>
      <c r="O128" s="92"/>
      <c r="P128" s="92"/>
      <c r="Q128" s="92"/>
      <c r="R128" s="92"/>
      <c r="S128" s="92"/>
      <c r="T128" s="92"/>
      <c r="U128" s="92"/>
      <c r="V128" s="92"/>
      <c r="W128" s="92"/>
      <c r="X128" s="92"/>
      <c r="Y128" s="92"/>
      <c r="Z128" s="92"/>
    </row>
    <row r="129" spans="1:26" ht="12.75">
      <c r="A129" s="92" t="s">
        <v>6570</v>
      </c>
      <c r="B129" s="372">
        <v>2003</v>
      </c>
      <c r="C129" s="372">
        <v>12635507</v>
      </c>
      <c r="D129" s="92"/>
      <c r="E129" s="261" t="str">
        <f t="shared" si="0"/>
        <v>https://pubmed.ncbi.nlm.nih.gov/12635507</v>
      </c>
      <c r="F129" s="92" t="s">
        <v>511</v>
      </c>
      <c r="G129" s="92" t="s">
        <v>4592</v>
      </c>
      <c r="H129" s="92"/>
      <c r="I129" s="92"/>
      <c r="J129" s="92"/>
      <c r="K129" s="92"/>
      <c r="L129" s="92"/>
      <c r="M129" s="92"/>
      <c r="N129" s="92"/>
      <c r="O129" s="92"/>
      <c r="P129" s="92"/>
      <c r="Q129" s="92"/>
      <c r="R129" s="92"/>
      <c r="S129" s="92"/>
      <c r="T129" s="92"/>
      <c r="U129" s="92"/>
      <c r="V129" s="92"/>
      <c r="W129" s="92"/>
      <c r="X129" s="92"/>
      <c r="Y129" s="92"/>
      <c r="Z129" s="92"/>
    </row>
    <row r="130" spans="1:26" ht="12.75">
      <c r="A130" s="92" t="s">
        <v>6571</v>
      </c>
      <c r="B130" s="372">
        <v>2012</v>
      </c>
      <c r="C130" s="372">
        <v>22336839</v>
      </c>
      <c r="D130" s="373"/>
      <c r="E130" s="261" t="str">
        <f t="shared" si="0"/>
        <v>https://pubmed.ncbi.nlm.nih.gov/22336839</v>
      </c>
      <c r="F130" s="92" t="s">
        <v>511</v>
      </c>
      <c r="G130" s="92" t="s">
        <v>5273</v>
      </c>
      <c r="H130" s="92"/>
      <c r="I130" s="92"/>
      <c r="J130" s="92"/>
      <c r="K130" s="92"/>
      <c r="L130" s="92"/>
      <c r="M130" s="92"/>
      <c r="N130" s="92"/>
      <c r="O130" s="92"/>
      <c r="P130" s="92"/>
      <c r="Q130" s="92"/>
      <c r="R130" s="92"/>
      <c r="S130" s="92"/>
      <c r="T130" s="92"/>
      <c r="U130" s="92"/>
      <c r="V130" s="92"/>
      <c r="W130" s="92"/>
      <c r="X130" s="92"/>
      <c r="Y130" s="92"/>
      <c r="Z130" s="92"/>
    </row>
    <row r="131" spans="1:26" ht="12.75">
      <c r="A131" s="92" t="s">
        <v>6572</v>
      </c>
      <c r="B131" s="372">
        <v>2013</v>
      </c>
      <c r="C131" s="372">
        <v>23395587</v>
      </c>
      <c r="D131" s="373"/>
      <c r="E131" s="261" t="str">
        <f t="shared" si="0"/>
        <v>https://pubmed.ncbi.nlm.nih.gov/23395587</v>
      </c>
      <c r="F131" s="92" t="s">
        <v>511</v>
      </c>
      <c r="G131" s="374" t="s">
        <v>6573</v>
      </c>
      <c r="H131" s="21"/>
      <c r="I131" s="92"/>
      <c r="J131" s="92"/>
      <c r="K131" s="92"/>
      <c r="L131" s="92"/>
      <c r="M131" s="92"/>
      <c r="N131" s="92"/>
      <c r="O131" s="92"/>
      <c r="P131" s="92"/>
      <c r="Q131" s="92"/>
      <c r="R131" s="92"/>
      <c r="S131" s="92"/>
      <c r="T131" s="92"/>
      <c r="U131" s="92"/>
      <c r="V131" s="92"/>
      <c r="W131" s="92"/>
      <c r="X131" s="92"/>
      <c r="Y131" s="92"/>
      <c r="Z131" s="92"/>
    </row>
    <row r="132" spans="1:26" ht="12.75">
      <c r="A132" s="92" t="s">
        <v>6574</v>
      </c>
      <c r="B132" s="372">
        <v>2014</v>
      </c>
      <c r="C132" s="372">
        <v>24696467</v>
      </c>
      <c r="D132" s="373" t="s">
        <v>6029</v>
      </c>
      <c r="E132" s="261" t="str">
        <f t="shared" si="0"/>
        <v>https://pubmed.ncbi.nlm.nih.gov/24696467</v>
      </c>
      <c r="F132" s="92" t="s">
        <v>511</v>
      </c>
      <c r="G132" s="374" t="s">
        <v>4346</v>
      </c>
      <c r="H132" s="92"/>
      <c r="I132" s="92"/>
      <c r="J132" s="92"/>
      <c r="K132" s="92"/>
      <c r="L132" s="92"/>
      <c r="M132" s="92"/>
      <c r="N132" s="92"/>
      <c r="O132" s="92"/>
      <c r="P132" s="92"/>
      <c r="Q132" s="92"/>
      <c r="R132" s="92"/>
      <c r="S132" s="92"/>
      <c r="T132" s="92"/>
      <c r="U132" s="92"/>
      <c r="V132" s="92"/>
      <c r="W132" s="92"/>
      <c r="X132" s="92"/>
      <c r="Y132" s="92"/>
      <c r="Z132" s="92"/>
    </row>
    <row r="133" spans="1:26" ht="12.75">
      <c r="A133" s="92" t="s">
        <v>6575</v>
      </c>
      <c r="B133" s="372">
        <v>2020</v>
      </c>
      <c r="C133" s="372">
        <v>31609787</v>
      </c>
      <c r="D133" s="373" t="s">
        <v>6576</v>
      </c>
      <c r="E133" s="261" t="str">
        <f t="shared" si="0"/>
        <v>https://pubmed.ncbi.nlm.nih.gov/31609787</v>
      </c>
      <c r="F133" s="92" t="s">
        <v>511</v>
      </c>
      <c r="G133" s="374" t="s">
        <v>4744</v>
      </c>
      <c r="H133" s="21"/>
      <c r="I133" s="92"/>
      <c r="J133" s="92"/>
      <c r="K133" s="92"/>
      <c r="L133" s="92"/>
      <c r="M133" s="92"/>
      <c r="N133" s="92"/>
      <c r="O133" s="92"/>
      <c r="P133" s="92"/>
      <c r="Q133" s="92"/>
      <c r="R133" s="92"/>
      <c r="S133" s="92"/>
      <c r="T133" s="92"/>
      <c r="U133" s="92"/>
      <c r="V133" s="92"/>
      <c r="W133" s="92"/>
      <c r="X133" s="92"/>
      <c r="Y133" s="92"/>
      <c r="Z133" s="92"/>
    </row>
    <row r="134" spans="1:26" ht="12.75">
      <c r="A134" s="92" t="s">
        <v>6577</v>
      </c>
      <c r="B134" s="372">
        <v>2010</v>
      </c>
      <c r="C134" s="372">
        <v>20091577</v>
      </c>
      <c r="D134" s="373"/>
      <c r="E134" s="261" t="str">
        <f t="shared" si="0"/>
        <v>https://pubmed.ncbi.nlm.nih.gov/20091577</v>
      </c>
      <c r="F134" s="92" t="s">
        <v>511</v>
      </c>
      <c r="G134" s="92" t="s">
        <v>4592</v>
      </c>
      <c r="H134" s="92"/>
      <c r="I134" s="92"/>
      <c r="J134" s="92"/>
      <c r="K134" s="92"/>
      <c r="L134" s="92"/>
      <c r="M134" s="92"/>
      <c r="N134" s="92"/>
      <c r="O134" s="92"/>
      <c r="P134" s="92"/>
      <c r="Q134" s="92"/>
      <c r="R134" s="92"/>
      <c r="S134" s="92"/>
      <c r="T134" s="92"/>
      <c r="U134" s="92"/>
      <c r="V134" s="92"/>
      <c r="W134" s="92"/>
      <c r="X134" s="92"/>
      <c r="Y134" s="92"/>
      <c r="Z134" s="92"/>
    </row>
    <row r="135" spans="1:26" ht="12.75">
      <c r="A135" s="92" t="s">
        <v>6578</v>
      </c>
      <c r="B135" s="372">
        <v>2014</v>
      </c>
      <c r="C135" s="372">
        <v>24713880</v>
      </c>
      <c r="D135" s="373" t="s">
        <v>6579</v>
      </c>
      <c r="E135" s="261" t="str">
        <f t="shared" si="0"/>
        <v>https://pubmed.ncbi.nlm.nih.gov/24713880</v>
      </c>
      <c r="F135" s="92" t="s">
        <v>511</v>
      </c>
      <c r="G135" s="374" t="s">
        <v>6580</v>
      </c>
      <c r="H135" s="21"/>
      <c r="I135" s="21"/>
      <c r="J135" s="92"/>
      <c r="K135" s="92"/>
      <c r="L135" s="92"/>
      <c r="M135" s="92"/>
      <c r="N135" s="92"/>
      <c r="O135" s="92"/>
      <c r="P135" s="92"/>
      <c r="Q135" s="92"/>
      <c r="R135" s="92"/>
      <c r="S135" s="92"/>
      <c r="T135" s="92"/>
      <c r="U135" s="92"/>
      <c r="V135" s="92"/>
      <c r="W135" s="92"/>
      <c r="X135" s="92"/>
      <c r="Y135" s="92"/>
      <c r="Z135" s="92"/>
    </row>
    <row r="136" spans="1:26" ht="12.75">
      <c r="A136" s="92" t="s">
        <v>6581</v>
      </c>
      <c r="B136" s="372">
        <v>2018</v>
      </c>
      <c r="C136" s="372">
        <v>29900829</v>
      </c>
      <c r="D136" s="373" t="s">
        <v>6582</v>
      </c>
      <c r="E136" s="261" t="str">
        <f t="shared" si="0"/>
        <v>https://pubmed.ncbi.nlm.nih.gov/29900829</v>
      </c>
      <c r="F136" s="92" t="s">
        <v>511</v>
      </c>
      <c r="G136" s="374" t="s">
        <v>4867</v>
      </c>
      <c r="H136" s="21"/>
      <c r="I136" s="92"/>
      <c r="J136" s="92"/>
      <c r="K136" s="92"/>
      <c r="L136" s="92"/>
      <c r="M136" s="92"/>
      <c r="N136" s="92"/>
      <c r="O136" s="92"/>
      <c r="P136" s="92"/>
      <c r="Q136" s="92"/>
      <c r="R136" s="92"/>
      <c r="S136" s="92"/>
      <c r="T136" s="92"/>
      <c r="U136" s="92"/>
      <c r="V136" s="92"/>
      <c r="W136" s="92"/>
      <c r="X136" s="92"/>
      <c r="Y136" s="92"/>
      <c r="Z136" s="92"/>
    </row>
    <row r="137" spans="1:26" ht="12.75">
      <c r="A137" s="92" t="s">
        <v>6583</v>
      </c>
      <c r="B137" s="372">
        <v>2012</v>
      </c>
      <c r="C137" s="372">
        <v>22727733</v>
      </c>
      <c r="D137" s="92"/>
      <c r="E137" s="261" t="str">
        <f t="shared" si="0"/>
        <v>https://pubmed.ncbi.nlm.nih.gov/22727733</v>
      </c>
      <c r="F137" s="92" t="s">
        <v>511</v>
      </c>
      <c r="G137" s="374" t="s">
        <v>4744</v>
      </c>
      <c r="H137" s="21"/>
      <c r="I137" s="92"/>
      <c r="J137" s="92"/>
      <c r="K137" s="92"/>
      <c r="L137" s="92"/>
      <c r="M137" s="92"/>
      <c r="N137" s="92"/>
      <c r="O137" s="92"/>
      <c r="P137" s="92"/>
      <c r="Q137" s="92"/>
      <c r="R137" s="92"/>
      <c r="S137" s="92"/>
      <c r="T137" s="92"/>
      <c r="U137" s="92"/>
      <c r="V137" s="92"/>
      <c r="W137" s="92"/>
      <c r="X137" s="92"/>
      <c r="Y137" s="92"/>
      <c r="Z137" s="92"/>
    </row>
    <row r="138" spans="1:26" ht="12.75">
      <c r="A138" s="92" t="s">
        <v>6584</v>
      </c>
      <c r="B138" s="372">
        <v>2018</v>
      </c>
      <c r="C138" s="372">
        <v>29730228</v>
      </c>
      <c r="D138" s="373"/>
      <c r="E138" s="261" t="str">
        <f t="shared" si="0"/>
        <v>https://pubmed.ncbi.nlm.nih.gov/29730228</v>
      </c>
      <c r="F138" s="92" t="s">
        <v>511</v>
      </c>
      <c r="G138" s="374" t="s">
        <v>6585</v>
      </c>
      <c r="H138" s="21"/>
      <c r="I138" s="92"/>
      <c r="J138" s="92"/>
      <c r="K138" s="92"/>
      <c r="L138" s="92"/>
      <c r="M138" s="92"/>
      <c r="N138" s="92"/>
      <c r="O138" s="92"/>
      <c r="P138" s="92"/>
      <c r="Q138" s="92"/>
      <c r="R138" s="92"/>
      <c r="S138" s="92"/>
      <c r="T138" s="92"/>
      <c r="U138" s="92"/>
      <c r="V138" s="92"/>
      <c r="W138" s="92"/>
      <c r="X138" s="92"/>
      <c r="Y138" s="92"/>
      <c r="Z138" s="92"/>
    </row>
    <row r="139" spans="1:26" ht="12.75">
      <c r="A139" s="92" t="s">
        <v>6586</v>
      </c>
      <c r="B139" s="372">
        <v>1993</v>
      </c>
      <c r="C139" s="372">
        <v>8445199</v>
      </c>
      <c r="D139" s="373"/>
      <c r="E139" s="261" t="str">
        <f t="shared" si="0"/>
        <v>https://pubmed.ncbi.nlm.nih.gov/8445199</v>
      </c>
      <c r="F139" s="92" t="s">
        <v>511</v>
      </c>
      <c r="G139" s="92" t="s">
        <v>4592</v>
      </c>
      <c r="H139" s="92"/>
      <c r="I139" s="92"/>
      <c r="J139" s="92"/>
      <c r="K139" s="92"/>
      <c r="L139" s="92"/>
      <c r="M139" s="92"/>
      <c r="N139" s="92"/>
      <c r="O139" s="92"/>
      <c r="P139" s="92"/>
      <c r="Q139" s="92"/>
      <c r="R139" s="92"/>
      <c r="S139" s="92"/>
      <c r="T139" s="92"/>
      <c r="U139" s="92"/>
      <c r="V139" s="92"/>
      <c r="W139" s="92"/>
      <c r="X139" s="92"/>
      <c r="Y139" s="92"/>
      <c r="Z139" s="92"/>
    </row>
    <row r="140" spans="1:26" ht="12.75">
      <c r="A140" s="92" t="s">
        <v>6587</v>
      </c>
      <c r="B140" s="372">
        <v>2011</v>
      </c>
      <c r="C140" s="372">
        <v>21329776</v>
      </c>
      <c r="D140" s="373"/>
      <c r="E140" s="261" t="str">
        <f t="shared" si="0"/>
        <v>https://pubmed.ncbi.nlm.nih.gov/21329776</v>
      </c>
      <c r="F140" s="92" t="s">
        <v>511</v>
      </c>
      <c r="G140" s="374" t="s">
        <v>4744</v>
      </c>
      <c r="H140" s="21"/>
      <c r="I140" s="92"/>
      <c r="J140" s="92"/>
      <c r="K140" s="92"/>
      <c r="L140" s="92"/>
      <c r="M140" s="92"/>
      <c r="N140" s="92"/>
      <c r="O140" s="92"/>
      <c r="P140" s="92"/>
      <c r="Q140" s="92"/>
      <c r="R140" s="92"/>
      <c r="S140" s="92"/>
      <c r="T140" s="92"/>
      <c r="U140" s="92"/>
      <c r="V140" s="92"/>
      <c r="W140" s="92"/>
      <c r="X140" s="92"/>
      <c r="Y140" s="92"/>
      <c r="Z140" s="92"/>
    </row>
    <row r="141" spans="1:26" ht="12.75">
      <c r="A141" s="92" t="s">
        <v>6588</v>
      </c>
      <c r="B141" s="372">
        <v>2020</v>
      </c>
      <c r="C141" s="372">
        <v>32297320</v>
      </c>
      <c r="D141" s="373" t="s">
        <v>6589</v>
      </c>
      <c r="E141" s="261" t="str">
        <f t="shared" si="0"/>
        <v>https://pubmed.ncbi.nlm.nih.gov/32297320</v>
      </c>
      <c r="F141" s="92" t="s">
        <v>511</v>
      </c>
      <c r="G141" s="92" t="s">
        <v>8412</v>
      </c>
      <c r="H141" s="92"/>
      <c r="I141" s="92"/>
      <c r="J141" s="92"/>
      <c r="K141" s="92"/>
      <c r="L141" s="92"/>
      <c r="M141" s="92"/>
      <c r="N141" s="92"/>
      <c r="O141" s="92"/>
      <c r="P141" s="92"/>
      <c r="Q141" s="92"/>
      <c r="R141" s="92"/>
      <c r="S141" s="92"/>
      <c r="T141" s="92"/>
      <c r="U141" s="92"/>
      <c r="V141" s="92"/>
      <c r="W141" s="92"/>
      <c r="X141" s="92"/>
      <c r="Y141" s="92"/>
      <c r="Z141" s="92"/>
    </row>
    <row r="142" spans="1:26" ht="12.75">
      <c r="A142" s="92" t="s">
        <v>6590</v>
      </c>
      <c r="B142" s="372">
        <v>2011</v>
      </c>
      <c r="C142" s="372">
        <v>21423006</v>
      </c>
      <c r="D142" s="373"/>
      <c r="E142" s="261" t="str">
        <f t="shared" si="0"/>
        <v>https://pubmed.ncbi.nlm.nih.gov/21423006</v>
      </c>
      <c r="F142" s="92" t="s">
        <v>511</v>
      </c>
      <c r="G142" s="92" t="s">
        <v>4592</v>
      </c>
      <c r="H142" s="92"/>
      <c r="I142" s="92"/>
      <c r="J142" s="92"/>
      <c r="K142" s="92"/>
      <c r="L142" s="92"/>
      <c r="M142" s="92"/>
      <c r="N142" s="92"/>
      <c r="O142" s="92"/>
      <c r="P142" s="92"/>
      <c r="Q142" s="92"/>
      <c r="R142" s="92"/>
      <c r="S142" s="92"/>
      <c r="T142" s="92"/>
      <c r="U142" s="92"/>
      <c r="V142" s="92"/>
      <c r="W142" s="92"/>
      <c r="X142" s="92"/>
      <c r="Y142" s="92"/>
      <c r="Z142" s="92"/>
    </row>
    <row r="143" spans="1:26" ht="12.75">
      <c r="A143" s="92" t="s">
        <v>6591</v>
      </c>
      <c r="B143" s="372">
        <v>2002</v>
      </c>
      <c r="C143" s="372">
        <v>12132490</v>
      </c>
      <c r="D143" s="373"/>
      <c r="E143" s="261" t="str">
        <f t="shared" si="0"/>
        <v>https://pubmed.ncbi.nlm.nih.gov/12132490</v>
      </c>
      <c r="F143" s="92" t="s">
        <v>511</v>
      </c>
      <c r="G143" s="92" t="s">
        <v>4592</v>
      </c>
      <c r="H143" s="92"/>
      <c r="I143" s="92"/>
      <c r="J143" s="92"/>
      <c r="K143" s="92"/>
      <c r="L143" s="92"/>
      <c r="M143" s="92"/>
      <c r="N143" s="92"/>
      <c r="O143" s="92"/>
      <c r="P143" s="92"/>
      <c r="Q143" s="92"/>
      <c r="R143" s="92"/>
      <c r="S143" s="92"/>
      <c r="T143" s="92"/>
      <c r="U143" s="92"/>
      <c r="V143" s="92"/>
      <c r="W143" s="92"/>
      <c r="X143" s="92"/>
      <c r="Y143" s="92"/>
      <c r="Z143" s="92"/>
    </row>
    <row r="144" spans="1:26" ht="12.75">
      <c r="A144" s="92" t="s">
        <v>6592</v>
      </c>
      <c r="B144" s="372">
        <v>2020</v>
      </c>
      <c r="C144" s="372">
        <v>32936949</v>
      </c>
      <c r="D144" s="373"/>
      <c r="E144" s="261" t="str">
        <f t="shared" si="0"/>
        <v>https://pubmed.ncbi.nlm.nih.gov/32936949</v>
      </c>
      <c r="F144" s="92" t="s">
        <v>511</v>
      </c>
      <c r="G144" s="92" t="s">
        <v>4592</v>
      </c>
      <c r="H144" s="92"/>
      <c r="I144" s="92"/>
      <c r="J144" s="92"/>
      <c r="K144" s="92"/>
      <c r="L144" s="92"/>
      <c r="M144" s="92"/>
      <c r="N144" s="92"/>
      <c r="O144" s="92"/>
      <c r="P144" s="92"/>
      <c r="Q144" s="92"/>
      <c r="R144" s="92"/>
      <c r="S144" s="92"/>
      <c r="T144" s="92"/>
      <c r="U144" s="92"/>
      <c r="V144" s="92"/>
      <c r="W144" s="92"/>
      <c r="X144" s="92"/>
      <c r="Y144" s="92"/>
      <c r="Z144" s="92"/>
    </row>
    <row r="145" spans="1:26" ht="12.75">
      <c r="A145" s="92" t="s">
        <v>6592</v>
      </c>
      <c r="B145" s="372">
        <v>2020</v>
      </c>
      <c r="C145" s="372">
        <v>32936948</v>
      </c>
      <c r="D145" s="92"/>
      <c r="E145" s="261" t="str">
        <f t="shared" si="0"/>
        <v>https://pubmed.ncbi.nlm.nih.gov/32936948</v>
      </c>
      <c r="F145" s="92" t="s">
        <v>511</v>
      </c>
      <c r="G145" s="92" t="s">
        <v>4592</v>
      </c>
      <c r="H145" s="92"/>
      <c r="I145" s="92"/>
      <c r="J145" s="92"/>
      <c r="K145" s="92"/>
      <c r="L145" s="92"/>
      <c r="M145" s="92"/>
      <c r="N145" s="92"/>
      <c r="O145" s="92"/>
      <c r="P145" s="92"/>
      <c r="Q145" s="92"/>
      <c r="R145" s="92"/>
      <c r="S145" s="92"/>
      <c r="T145" s="92"/>
      <c r="U145" s="92"/>
      <c r="V145" s="92"/>
      <c r="W145" s="92"/>
      <c r="X145" s="92"/>
      <c r="Y145" s="92"/>
      <c r="Z145" s="92"/>
    </row>
    <row r="146" spans="1:26" ht="12.75">
      <c r="A146" s="92" t="s">
        <v>6593</v>
      </c>
      <c r="B146" s="372">
        <v>2012</v>
      </c>
      <c r="C146" s="372">
        <v>22704398</v>
      </c>
      <c r="D146" s="92"/>
      <c r="E146" s="261" t="str">
        <f t="shared" si="0"/>
        <v>https://pubmed.ncbi.nlm.nih.gov/22704398</v>
      </c>
      <c r="F146" s="92" t="s">
        <v>511</v>
      </c>
      <c r="G146" s="374" t="s">
        <v>4867</v>
      </c>
      <c r="H146" s="21"/>
      <c r="I146" s="92"/>
      <c r="J146" s="92"/>
      <c r="K146" s="92"/>
      <c r="L146" s="92"/>
      <c r="M146" s="92"/>
      <c r="N146" s="92"/>
      <c r="O146" s="92"/>
      <c r="P146" s="92"/>
      <c r="Q146" s="92"/>
      <c r="R146" s="92"/>
      <c r="S146" s="92"/>
      <c r="T146" s="92"/>
      <c r="U146" s="92"/>
      <c r="V146" s="92"/>
      <c r="W146" s="92"/>
      <c r="X146" s="92"/>
      <c r="Y146" s="92"/>
      <c r="Z146" s="92"/>
    </row>
    <row r="147" spans="1:26" ht="12.75">
      <c r="A147" s="92" t="s">
        <v>6594</v>
      </c>
      <c r="B147" s="372">
        <v>2011</v>
      </c>
      <c r="C147" s="372">
        <v>21333346</v>
      </c>
      <c r="D147" s="373"/>
      <c r="E147" s="261" t="str">
        <f t="shared" si="0"/>
        <v>https://pubmed.ncbi.nlm.nih.gov/21333346</v>
      </c>
      <c r="F147" s="92" t="s">
        <v>511</v>
      </c>
      <c r="G147" s="374" t="s">
        <v>6595</v>
      </c>
      <c r="H147" s="21"/>
      <c r="I147" s="92"/>
      <c r="J147" s="92"/>
      <c r="K147" s="92"/>
      <c r="L147" s="92"/>
      <c r="M147" s="92"/>
      <c r="N147" s="92"/>
      <c r="O147" s="92"/>
      <c r="P147" s="92"/>
      <c r="Q147" s="92"/>
      <c r="R147" s="92"/>
      <c r="S147" s="92"/>
      <c r="T147" s="92"/>
      <c r="U147" s="92"/>
      <c r="V147" s="92"/>
      <c r="W147" s="92"/>
      <c r="X147" s="92"/>
      <c r="Y147" s="92"/>
      <c r="Z147" s="92"/>
    </row>
    <row r="148" spans="1:26" ht="12.75">
      <c r="A148" s="92" t="s">
        <v>6596</v>
      </c>
      <c r="B148" s="372">
        <v>2013</v>
      </c>
      <c r="C148" s="372">
        <v>23543569</v>
      </c>
      <c r="D148" s="373"/>
      <c r="E148" s="261" t="str">
        <f t="shared" si="0"/>
        <v>https://pubmed.ncbi.nlm.nih.gov/23543569</v>
      </c>
      <c r="F148" s="92" t="s">
        <v>511</v>
      </c>
      <c r="G148" s="92" t="s">
        <v>4592</v>
      </c>
      <c r="H148" s="92"/>
      <c r="I148" s="92"/>
      <c r="J148" s="92"/>
      <c r="K148" s="92"/>
      <c r="L148" s="92"/>
      <c r="M148" s="92"/>
      <c r="N148" s="92"/>
      <c r="O148" s="92"/>
      <c r="P148" s="92"/>
      <c r="Q148" s="92"/>
      <c r="R148" s="92"/>
      <c r="S148" s="92"/>
      <c r="T148" s="92"/>
      <c r="U148" s="92"/>
      <c r="V148" s="92"/>
      <c r="W148" s="92"/>
      <c r="X148" s="92"/>
      <c r="Y148" s="92"/>
      <c r="Z148" s="92"/>
    </row>
    <row r="149" spans="1:26" ht="12.75">
      <c r="A149" s="92" t="s">
        <v>6597</v>
      </c>
      <c r="B149" s="372">
        <v>2019</v>
      </c>
      <c r="C149" s="372">
        <v>31168411</v>
      </c>
      <c r="D149" s="373" t="s">
        <v>6598</v>
      </c>
      <c r="E149" s="261" t="str">
        <f t="shared" si="0"/>
        <v>https://pubmed.ncbi.nlm.nih.gov/31168411</v>
      </c>
      <c r="F149" s="92" t="s">
        <v>511</v>
      </c>
      <c r="G149" s="374" t="s">
        <v>4744</v>
      </c>
      <c r="H149" s="21"/>
      <c r="I149" s="92"/>
      <c r="J149" s="92"/>
      <c r="K149" s="92"/>
      <c r="L149" s="92"/>
      <c r="M149" s="92"/>
      <c r="N149" s="92"/>
      <c r="O149" s="92"/>
      <c r="P149" s="92"/>
      <c r="Q149" s="92"/>
      <c r="R149" s="92"/>
      <c r="S149" s="92"/>
      <c r="T149" s="92"/>
      <c r="U149" s="92"/>
      <c r="V149" s="92"/>
      <c r="W149" s="92"/>
      <c r="X149" s="92"/>
      <c r="Y149" s="92"/>
      <c r="Z149" s="92"/>
    </row>
    <row r="150" spans="1:26" ht="12.75">
      <c r="A150" s="92" t="s">
        <v>6599</v>
      </c>
      <c r="B150" s="372">
        <v>2017</v>
      </c>
      <c r="C150" s="372">
        <v>28915908</v>
      </c>
      <c r="D150" s="373" t="s">
        <v>6600</v>
      </c>
      <c r="E150" s="261" t="str">
        <f t="shared" si="0"/>
        <v>https://pubmed.ncbi.nlm.nih.gov/28915908</v>
      </c>
      <c r="F150" s="92" t="s">
        <v>511</v>
      </c>
      <c r="G150" s="92" t="s">
        <v>4592</v>
      </c>
      <c r="H150" s="92"/>
      <c r="I150" s="92"/>
      <c r="J150" s="92"/>
      <c r="K150" s="92"/>
      <c r="L150" s="92"/>
      <c r="M150" s="92"/>
      <c r="N150" s="92"/>
      <c r="O150" s="92"/>
      <c r="P150" s="92"/>
      <c r="Q150" s="92"/>
      <c r="R150" s="92"/>
      <c r="S150" s="92"/>
      <c r="T150" s="92"/>
      <c r="U150" s="92"/>
      <c r="V150" s="92"/>
      <c r="W150" s="92"/>
      <c r="X150" s="92"/>
      <c r="Y150" s="92"/>
      <c r="Z150" s="92"/>
    </row>
    <row r="151" spans="1:26" ht="12.75">
      <c r="A151" s="92" t="s">
        <v>6601</v>
      </c>
      <c r="B151" s="372">
        <v>2015</v>
      </c>
      <c r="C151" s="372">
        <v>25393157</v>
      </c>
      <c r="D151" s="92"/>
      <c r="E151" s="261" t="str">
        <f t="shared" si="0"/>
        <v>https://pubmed.ncbi.nlm.nih.gov/25393157</v>
      </c>
      <c r="F151" s="92" t="s">
        <v>511</v>
      </c>
      <c r="G151" s="374" t="s">
        <v>4744</v>
      </c>
      <c r="H151" s="21"/>
      <c r="I151" s="92"/>
      <c r="J151" s="92"/>
      <c r="K151" s="92"/>
      <c r="L151" s="92"/>
      <c r="M151" s="92"/>
      <c r="N151" s="92"/>
      <c r="O151" s="92"/>
      <c r="P151" s="92"/>
      <c r="Q151" s="92"/>
      <c r="R151" s="92"/>
      <c r="S151" s="92"/>
      <c r="T151" s="92"/>
      <c r="U151" s="92"/>
      <c r="V151" s="92"/>
      <c r="W151" s="92"/>
      <c r="X151" s="92"/>
      <c r="Y151" s="92"/>
      <c r="Z151" s="92"/>
    </row>
    <row r="152" spans="1:26" ht="12.75">
      <c r="A152" s="92" t="s">
        <v>6602</v>
      </c>
      <c r="B152" s="372">
        <v>2010</v>
      </c>
      <c r="C152" s="372">
        <v>21036294</v>
      </c>
      <c r="D152" s="373"/>
      <c r="E152" s="261" t="str">
        <f t="shared" si="0"/>
        <v>https://pubmed.ncbi.nlm.nih.gov/21036294</v>
      </c>
      <c r="F152" s="92" t="s">
        <v>511</v>
      </c>
      <c r="G152" s="92" t="s">
        <v>8387</v>
      </c>
      <c r="H152" s="92"/>
      <c r="I152" s="92"/>
      <c r="J152" s="92"/>
      <c r="K152" s="92"/>
      <c r="L152" s="92"/>
      <c r="M152" s="92"/>
      <c r="N152" s="92"/>
      <c r="O152" s="92"/>
      <c r="P152" s="92"/>
      <c r="Q152" s="92"/>
      <c r="R152" s="92"/>
      <c r="S152" s="92"/>
      <c r="T152" s="92"/>
      <c r="U152" s="92"/>
      <c r="V152" s="92"/>
      <c r="W152" s="92"/>
      <c r="X152" s="92"/>
      <c r="Y152" s="92"/>
      <c r="Z152" s="92"/>
    </row>
    <row r="153" spans="1:26" ht="12.75">
      <c r="A153" s="92" t="s">
        <v>6603</v>
      </c>
      <c r="B153" s="372">
        <v>2004</v>
      </c>
      <c r="C153" s="372">
        <v>14674941</v>
      </c>
      <c r="D153" s="373"/>
      <c r="E153" s="261" t="str">
        <f t="shared" si="0"/>
        <v>https://pubmed.ncbi.nlm.nih.gov/14674941</v>
      </c>
      <c r="F153" s="92" t="s">
        <v>511</v>
      </c>
      <c r="G153" s="374" t="s">
        <v>6604</v>
      </c>
      <c r="H153" s="21"/>
      <c r="I153" s="92"/>
      <c r="J153" s="92"/>
      <c r="K153" s="92"/>
      <c r="L153" s="92"/>
      <c r="M153" s="92"/>
      <c r="N153" s="92"/>
      <c r="O153" s="92"/>
      <c r="P153" s="92"/>
      <c r="Q153" s="92"/>
      <c r="R153" s="92"/>
      <c r="S153" s="92"/>
      <c r="T153" s="92"/>
      <c r="U153" s="92"/>
      <c r="V153" s="92"/>
      <c r="W153" s="92"/>
      <c r="X153" s="92"/>
      <c r="Y153" s="92"/>
      <c r="Z153" s="92"/>
    </row>
    <row r="154" spans="1:26" ht="12.75">
      <c r="A154" s="92" t="s">
        <v>6605</v>
      </c>
      <c r="B154" s="372">
        <v>2015</v>
      </c>
      <c r="C154" s="372">
        <v>25619164</v>
      </c>
      <c r="D154" s="373" t="s">
        <v>6606</v>
      </c>
      <c r="E154" s="261" t="str">
        <f t="shared" si="0"/>
        <v>https://pubmed.ncbi.nlm.nih.gov/25619164</v>
      </c>
      <c r="F154" s="92" t="s">
        <v>511</v>
      </c>
      <c r="G154" s="92" t="s">
        <v>4592</v>
      </c>
      <c r="H154" s="92"/>
      <c r="I154" s="92"/>
      <c r="J154" s="92"/>
      <c r="K154" s="92"/>
      <c r="L154" s="92"/>
      <c r="M154" s="92"/>
      <c r="N154" s="92"/>
      <c r="O154" s="92"/>
      <c r="P154" s="92"/>
      <c r="Q154" s="92"/>
      <c r="R154" s="92"/>
      <c r="S154" s="92"/>
      <c r="T154" s="92"/>
      <c r="U154" s="92"/>
      <c r="V154" s="92"/>
      <c r="W154" s="92"/>
      <c r="X154" s="92"/>
      <c r="Y154" s="92"/>
      <c r="Z154" s="92"/>
    </row>
    <row r="155" spans="1:26" ht="12.75">
      <c r="A155" s="92" t="s">
        <v>6607</v>
      </c>
      <c r="B155" s="372">
        <v>2020</v>
      </c>
      <c r="C155" s="372">
        <v>31843246</v>
      </c>
      <c r="D155" s="373"/>
      <c r="E155" s="261" t="str">
        <f t="shared" si="0"/>
        <v>https://pubmed.ncbi.nlm.nih.gov/31843246</v>
      </c>
      <c r="F155" s="92" t="s">
        <v>511</v>
      </c>
      <c r="G155" s="374" t="s">
        <v>5157</v>
      </c>
      <c r="H155" s="21"/>
      <c r="I155" s="21"/>
      <c r="J155" s="92"/>
      <c r="K155" s="92"/>
      <c r="L155" s="92"/>
      <c r="M155" s="92"/>
      <c r="N155" s="92"/>
      <c r="O155" s="92"/>
      <c r="P155" s="92"/>
      <c r="Q155" s="92"/>
      <c r="R155" s="92"/>
      <c r="S155" s="92"/>
      <c r="T155" s="92"/>
      <c r="U155" s="92"/>
      <c r="V155" s="92"/>
      <c r="W155" s="92"/>
      <c r="X155" s="92"/>
      <c r="Y155" s="92"/>
      <c r="Z155" s="92"/>
    </row>
    <row r="156" spans="1:26" ht="12.75">
      <c r="A156" s="92" t="s">
        <v>6608</v>
      </c>
      <c r="B156" s="372">
        <v>2013</v>
      </c>
      <c r="C156" s="372">
        <v>23818263</v>
      </c>
      <c r="D156" s="373"/>
      <c r="E156" s="261" t="str">
        <f t="shared" si="0"/>
        <v>https://pubmed.ncbi.nlm.nih.gov/23818263</v>
      </c>
      <c r="F156" s="92" t="s">
        <v>511</v>
      </c>
      <c r="G156" s="374" t="s">
        <v>4744</v>
      </c>
      <c r="H156" s="21"/>
      <c r="I156" s="92"/>
      <c r="J156" s="92"/>
      <c r="K156" s="92"/>
      <c r="L156" s="92"/>
      <c r="M156" s="92"/>
      <c r="N156" s="92"/>
      <c r="O156" s="92"/>
      <c r="P156" s="92"/>
      <c r="Q156" s="92"/>
      <c r="R156" s="92"/>
      <c r="S156" s="92"/>
      <c r="T156" s="92"/>
      <c r="U156" s="92"/>
      <c r="V156" s="92"/>
      <c r="W156" s="92"/>
      <c r="X156" s="92"/>
      <c r="Y156" s="92"/>
      <c r="Z156" s="92"/>
    </row>
    <row r="157" spans="1:26" ht="12.75">
      <c r="A157" s="92" t="s">
        <v>6609</v>
      </c>
      <c r="B157" s="372">
        <v>2014</v>
      </c>
      <c r="C157" s="372">
        <v>24240985</v>
      </c>
      <c r="D157" s="373"/>
      <c r="E157" s="261" t="str">
        <f t="shared" si="0"/>
        <v>https://pubmed.ncbi.nlm.nih.gov/24240985</v>
      </c>
      <c r="F157" s="92" t="s">
        <v>511</v>
      </c>
      <c r="G157" s="92" t="s">
        <v>4592</v>
      </c>
      <c r="H157" s="92"/>
      <c r="I157" s="92"/>
      <c r="J157" s="92"/>
      <c r="K157" s="92"/>
      <c r="L157" s="92"/>
      <c r="M157" s="92"/>
      <c r="N157" s="92"/>
      <c r="O157" s="92"/>
      <c r="P157" s="92"/>
      <c r="Q157" s="92"/>
      <c r="R157" s="92"/>
      <c r="S157" s="92"/>
      <c r="T157" s="92"/>
      <c r="U157" s="92"/>
      <c r="V157" s="92"/>
      <c r="W157" s="92"/>
      <c r="X157" s="92"/>
      <c r="Y157" s="92"/>
      <c r="Z157" s="92"/>
    </row>
    <row r="158" spans="1:26" ht="12.75">
      <c r="A158" s="92" t="s">
        <v>6610</v>
      </c>
      <c r="B158" s="372">
        <v>2020</v>
      </c>
      <c r="C158" s="372">
        <v>32187464</v>
      </c>
      <c r="D158" s="373" t="s">
        <v>6611</v>
      </c>
      <c r="E158" s="261" t="str">
        <f t="shared" si="0"/>
        <v>https://pubmed.ncbi.nlm.nih.gov/32187464</v>
      </c>
      <c r="F158" s="92" t="s">
        <v>511</v>
      </c>
      <c r="G158" s="374" t="s">
        <v>4744</v>
      </c>
      <c r="H158" s="21"/>
      <c r="I158" s="92"/>
      <c r="J158" s="92"/>
      <c r="K158" s="92"/>
      <c r="L158" s="92"/>
      <c r="M158" s="92"/>
      <c r="N158" s="92"/>
      <c r="O158" s="92"/>
      <c r="P158" s="92"/>
      <c r="Q158" s="92"/>
      <c r="R158" s="92"/>
      <c r="S158" s="92"/>
      <c r="T158" s="92"/>
      <c r="U158" s="92"/>
      <c r="V158" s="92"/>
      <c r="W158" s="92"/>
      <c r="X158" s="92"/>
      <c r="Y158" s="92"/>
      <c r="Z158" s="92"/>
    </row>
    <row r="159" spans="1:26" ht="12.75">
      <c r="A159" s="92" t="s">
        <v>6612</v>
      </c>
      <c r="B159" s="372">
        <v>2021</v>
      </c>
      <c r="C159" s="372">
        <v>33093279</v>
      </c>
      <c r="D159" s="373"/>
      <c r="E159" s="261" t="str">
        <f t="shared" si="0"/>
        <v>https://pubmed.ncbi.nlm.nih.gov/33093279</v>
      </c>
      <c r="F159" s="92" t="s">
        <v>511</v>
      </c>
      <c r="G159" s="374" t="s">
        <v>4867</v>
      </c>
      <c r="H159" s="21"/>
      <c r="I159" s="92"/>
      <c r="J159" s="92"/>
      <c r="K159" s="92"/>
      <c r="L159" s="92"/>
      <c r="M159" s="92"/>
      <c r="N159" s="92"/>
      <c r="O159" s="92"/>
      <c r="P159" s="92"/>
      <c r="Q159" s="92"/>
      <c r="R159" s="92"/>
      <c r="S159" s="92"/>
      <c r="T159" s="92"/>
      <c r="U159" s="92"/>
      <c r="V159" s="92"/>
      <c r="W159" s="92"/>
      <c r="X159" s="92"/>
      <c r="Y159" s="92"/>
      <c r="Z159" s="92"/>
    </row>
    <row r="160" spans="1:26" ht="12.75">
      <c r="A160" s="92" t="s">
        <v>6613</v>
      </c>
      <c r="B160" s="372">
        <v>2020</v>
      </c>
      <c r="C160" s="372">
        <v>32986537</v>
      </c>
      <c r="D160" s="92"/>
      <c r="E160" s="261" t="str">
        <f t="shared" si="0"/>
        <v>https://pubmed.ncbi.nlm.nih.gov/32986537</v>
      </c>
      <c r="F160" s="92" t="s">
        <v>511</v>
      </c>
      <c r="G160" s="374" t="s">
        <v>6614</v>
      </c>
      <c r="H160" s="21"/>
      <c r="I160" s="92"/>
      <c r="J160" s="92"/>
      <c r="K160" s="92"/>
      <c r="L160" s="92"/>
      <c r="M160" s="92"/>
      <c r="N160" s="92"/>
      <c r="O160" s="92"/>
      <c r="P160" s="92"/>
      <c r="Q160" s="92"/>
      <c r="R160" s="92"/>
      <c r="S160" s="92"/>
      <c r="T160" s="92"/>
      <c r="U160" s="92"/>
      <c r="V160" s="92"/>
      <c r="W160" s="92"/>
      <c r="X160" s="92"/>
      <c r="Y160" s="92"/>
      <c r="Z160" s="92"/>
    </row>
    <row r="161" spans="1:26" ht="12.75">
      <c r="A161" s="92" t="s">
        <v>6615</v>
      </c>
      <c r="B161" s="372">
        <v>2020</v>
      </c>
      <c r="C161" s="372">
        <v>32071183</v>
      </c>
      <c r="D161" s="373" t="s">
        <v>6616</v>
      </c>
      <c r="E161" s="261" t="str">
        <f t="shared" si="0"/>
        <v>https://pubmed.ncbi.nlm.nih.gov/32071183</v>
      </c>
      <c r="F161" s="92" t="s">
        <v>511</v>
      </c>
      <c r="G161" s="374" t="s">
        <v>5736</v>
      </c>
      <c r="H161" s="92"/>
      <c r="I161" s="92"/>
      <c r="J161" s="92"/>
      <c r="K161" s="92"/>
      <c r="L161" s="92"/>
      <c r="M161" s="92"/>
      <c r="N161" s="92"/>
      <c r="O161" s="92"/>
      <c r="P161" s="92"/>
      <c r="Q161" s="92"/>
      <c r="R161" s="92"/>
      <c r="S161" s="92"/>
      <c r="T161" s="92"/>
      <c r="U161" s="92"/>
      <c r="V161" s="92"/>
      <c r="W161" s="92"/>
      <c r="X161" s="92"/>
      <c r="Y161" s="92"/>
      <c r="Z161" s="92"/>
    </row>
    <row r="162" spans="1:26" ht="12.75">
      <c r="A162" s="92" t="s">
        <v>6617</v>
      </c>
      <c r="B162" s="372">
        <v>2008</v>
      </c>
      <c r="C162" s="372">
        <v>18778110</v>
      </c>
      <c r="D162" s="373"/>
      <c r="E162" s="261" t="str">
        <f t="shared" si="0"/>
        <v>https://pubmed.ncbi.nlm.nih.gov/18778110</v>
      </c>
      <c r="F162" s="92" t="s">
        <v>511</v>
      </c>
      <c r="G162" s="92" t="s">
        <v>4592</v>
      </c>
      <c r="H162" s="92"/>
      <c r="I162" s="92"/>
      <c r="J162" s="92"/>
      <c r="K162" s="92"/>
      <c r="L162" s="92"/>
      <c r="M162" s="92"/>
      <c r="N162" s="92"/>
      <c r="O162" s="92"/>
      <c r="P162" s="92"/>
      <c r="Q162" s="92"/>
      <c r="R162" s="92"/>
      <c r="S162" s="92"/>
      <c r="T162" s="92"/>
      <c r="U162" s="92"/>
      <c r="V162" s="92"/>
      <c r="W162" s="92"/>
      <c r="X162" s="92"/>
      <c r="Y162" s="92"/>
      <c r="Z162" s="92"/>
    </row>
    <row r="163" spans="1:26" ht="12.75">
      <c r="A163" s="92" t="s">
        <v>6618</v>
      </c>
      <c r="B163" s="372">
        <v>2006</v>
      </c>
      <c r="C163" s="372">
        <v>17069098</v>
      </c>
      <c r="D163" s="373"/>
      <c r="E163" s="261" t="str">
        <f t="shared" si="0"/>
        <v>https://pubmed.ncbi.nlm.nih.gov/17069098</v>
      </c>
      <c r="F163" s="92" t="s">
        <v>511</v>
      </c>
      <c r="G163" s="92"/>
      <c r="H163" s="92"/>
      <c r="I163" s="92" t="s">
        <v>6620</v>
      </c>
      <c r="J163" s="92"/>
      <c r="K163" s="92"/>
      <c r="L163" s="92"/>
      <c r="M163" s="92"/>
      <c r="N163" s="92"/>
      <c r="O163" s="92"/>
      <c r="P163" s="92"/>
      <c r="Q163" s="92"/>
      <c r="R163" s="92"/>
      <c r="S163" s="92"/>
      <c r="T163" s="92"/>
      <c r="U163" s="92"/>
      <c r="V163" s="92"/>
      <c r="W163" s="92"/>
      <c r="X163" s="92"/>
      <c r="Y163" s="92"/>
      <c r="Z163" s="92"/>
    </row>
    <row r="164" spans="1:26" ht="12.75">
      <c r="A164" s="92" t="s">
        <v>6621</v>
      </c>
      <c r="B164" s="372">
        <v>2009</v>
      </c>
      <c r="C164" s="372">
        <v>20031822</v>
      </c>
      <c r="D164" s="373"/>
      <c r="E164" s="261" t="str">
        <f t="shared" si="0"/>
        <v>https://pubmed.ncbi.nlm.nih.gov/20031822</v>
      </c>
      <c r="F164" s="92" t="s">
        <v>511</v>
      </c>
      <c r="G164" s="374" t="s">
        <v>6412</v>
      </c>
      <c r="H164" s="21"/>
      <c r="I164" s="92"/>
      <c r="J164" s="92"/>
      <c r="K164" s="92"/>
      <c r="L164" s="92"/>
      <c r="M164" s="92"/>
      <c r="N164" s="92"/>
      <c r="O164" s="92"/>
      <c r="P164" s="92"/>
      <c r="Q164" s="92"/>
      <c r="R164" s="92"/>
      <c r="S164" s="92"/>
      <c r="T164" s="92"/>
      <c r="U164" s="92"/>
      <c r="V164" s="92"/>
      <c r="W164" s="92"/>
      <c r="X164" s="92"/>
      <c r="Y164" s="92"/>
      <c r="Z164" s="92"/>
    </row>
    <row r="165" spans="1:26" ht="12.75">
      <c r="A165" s="92" t="s">
        <v>6622</v>
      </c>
      <c r="B165" s="372">
        <v>2000</v>
      </c>
      <c r="C165" s="372">
        <v>10731376</v>
      </c>
      <c r="D165" s="92"/>
      <c r="E165" s="261" t="str">
        <f t="shared" si="0"/>
        <v>https://pubmed.ncbi.nlm.nih.gov/10731376</v>
      </c>
      <c r="F165" s="92" t="s">
        <v>511</v>
      </c>
      <c r="G165" s="92" t="s">
        <v>6623</v>
      </c>
      <c r="H165" s="92"/>
      <c r="I165" s="92"/>
      <c r="J165" s="92"/>
      <c r="K165" s="92"/>
      <c r="L165" s="92"/>
      <c r="M165" s="92"/>
      <c r="N165" s="92"/>
      <c r="O165" s="92"/>
      <c r="P165" s="92"/>
      <c r="Q165" s="92"/>
      <c r="R165" s="92"/>
      <c r="S165" s="92"/>
      <c r="T165" s="92"/>
      <c r="U165" s="92"/>
      <c r="V165" s="92"/>
      <c r="W165" s="92"/>
      <c r="X165" s="92"/>
      <c r="Y165" s="92"/>
      <c r="Z165" s="92"/>
    </row>
    <row r="166" spans="1:26" ht="12.75">
      <c r="A166" s="92" t="s">
        <v>6624</v>
      </c>
      <c r="B166" s="372">
        <v>1999</v>
      </c>
      <c r="C166" s="372">
        <v>10383509</v>
      </c>
      <c r="D166" s="373"/>
      <c r="E166" s="261" t="str">
        <f t="shared" si="0"/>
        <v>https://pubmed.ncbi.nlm.nih.gov/10383509</v>
      </c>
      <c r="F166" s="92" t="s">
        <v>511</v>
      </c>
      <c r="G166" s="374" t="s">
        <v>4744</v>
      </c>
      <c r="H166" s="92"/>
      <c r="I166" s="92" t="s">
        <v>6625</v>
      </c>
      <c r="J166" s="92"/>
      <c r="K166" s="92"/>
      <c r="L166" s="92"/>
      <c r="M166" s="92"/>
      <c r="N166" s="92"/>
      <c r="O166" s="92"/>
      <c r="P166" s="92"/>
      <c r="Q166" s="92"/>
      <c r="R166" s="92"/>
      <c r="S166" s="92"/>
      <c r="T166" s="92"/>
      <c r="U166" s="92"/>
      <c r="V166" s="92"/>
      <c r="W166" s="92"/>
      <c r="X166" s="92"/>
      <c r="Y166" s="92"/>
      <c r="Z166" s="92"/>
    </row>
    <row r="167" spans="1:26" ht="12.75">
      <c r="A167" s="92" t="s">
        <v>6626</v>
      </c>
      <c r="B167" s="372">
        <v>2015</v>
      </c>
      <c r="C167" s="372">
        <v>26028608</v>
      </c>
      <c r="D167" s="373"/>
      <c r="E167" s="261" t="str">
        <f t="shared" si="0"/>
        <v>https://pubmed.ncbi.nlm.nih.gov/26028608</v>
      </c>
      <c r="F167" s="92" t="s">
        <v>511</v>
      </c>
      <c r="G167" s="92" t="s">
        <v>4592</v>
      </c>
      <c r="H167" s="92"/>
      <c r="I167" s="92"/>
      <c r="J167" s="92"/>
      <c r="K167" s="92"/>
      <c r="L167" s="92"/>
      <c r="M167" s="92"/>
      <c r="N167" s="92"/>
      <c r="O167" s="92"/>
      <c r="P167" s="92"/>
      <c r="Q167" s="92"/>
      <c r="R167" s="92"/>
      <c r="S167" s="92"/>
      <c r="T167" s="92"/>
      <c r="U167" s="92"/>
      <c r="V167" s="92"/>
      <c r="W167" s="92"/>
      <c r="X167" s="92"/>
      <c r="Y167" s="92"/>
      <c r="Z167" s="92"/>
    </row>
    <row r="168" spans="1:26" ht="12.75">
      <c r="A168" s="92" t="s">
        <v>6627</v>
      </c>
      <c r="B168" s="372">
        <v>2003</v>
      </c>
      <c r="C168" s="372">
        <v>12803883</v>
      </c>
      <c r="D168" s="373"/>
      <c r="E168" s="261" t="str">
        <f t="shared" si="0"/>
        <v>https://pubmed.ncbi.nlm.nih.gov/12803883</v>
      </c>
      <c r="F168" s="92" t="s">
        <v>511</v>
      </c>
      <c r="G168" s="92" t="s">
        <v>4592</v>
      </c>
      <c r="H168" s="92"/>
      <c r="I168" s="92"/>
      <c r="J168" s="92"/>
      <c r="K168" s="92"/>
      <c r="L168" s="92"/>
      <c r="M168" s="92"/>
      <c r="N168" s="92"/>
      <c r="O168" s="92"/>
      <c r="P168" s="92"/>
      <c r="Q168" s="92"/>
      <c r="R168" s="92"/>
      <c r="S168" s="92"/>
      <c r="T168" s="92"/>
      <c r="U168" s="92"/>
      <c r="V168" s="92"/>
      <c r="W168" s="92"/>
      <c r="X168" s="92"/>
      <c r="Y168" s="92"/>
      <c r="Z168" s="92"/>
    </row>
    <row r="169" spans="1:26" ht="12.75">
      <c r="A169" s="92" t="s">
        <v>6628</v>
      </c>
      <c r="B169" s="372">
        <v>2019</v>
      </c>
      <c r="C169" s="372">
        <v>30858502</v>
      </c>
      <c r="D169" s="373"/>
      <c r="E169" s="261" t="str">
        <f t="shared" si="0"/>
        <v>https://pubmed.ncbi.nlm.nih.gov/30858502</v>
      </c>
      <c r="F169" s="92" t="s">
        <v>511</v>
      </c>
      <c r="G169" s="92" t="s">
        <v>4592</v>
      </c>
      <c r="H169" s="92"/>
      <c r="I169" s="92"/>
      <c r="J169" s="92"/>
      <c r="K169" s="92"/>
      <c r="L169" s="92"/>
      <c r="M169" s="92"/>
      <c r="N169" s="92"/>
      <c r="O169" s="92"/>
      <c r="P169" s="92"/>
      <c r="Q169" s="92"/>
      <c r="R169" s="92"/>
      <c r="S169" s="92"/>
      <c r="T169" s="92"/>
      <c r="U169" s="92"/>
      <c r="V169" s="92"/>
      <c r="W169" s="92"/>
      <c r="X169" s="92"/>
      <c r="Y169" s="92"/>
      <c r="Z169" s="92"/>
    </row>
    <row r="170" spans="1:26" ht="12.75">
      <c r="A170" s="92" t="s">
        <v>6629</v>
      </c>
      <c r="B170" s="372">
        <v>2019</v>
      </c>
      <c r="C170" s="372">
        <v>31065872</v>
      </c>
      <c r="D170" s="375" t="s">
        <v>6630</v>
      </c>
      <c r="E170" s="261" t="str">
        <f t="shared" si="0"/>
        <v>https://pubmed.ncbi.nlm.nih.gov/31065872</v>
      </c>
      <c r="F170" s="92" t="s">
        <v>511</v>
      </c>
      <c r="G170" s="92" t="s">
        <v>4592</v>
      </c>
      <c r="H170" s="92"/>
      <c r="I170" s="92"/>
      <c r="J170" s="92"/>
      <c r="K170" s="92"/>
      <c r="L170" s="92"/>
      <c r="M170" s="92"/>
      <c r="N170" s="92"/>
      <c r="O170" s="92"/>
      <c r="P170" s="92"/>
      <c r="Q170" s="92"/>
      <c r="R170" s="92"/>
      <c r="S170" s="92"/>
      <c r="T170" s="92"/>
      <c r="U170" s="92"/>
      <c r="V170" s="92"/>
      <c r="W170" s="92"/>
      <c r="X170" s="92"/>
      <c r="Y170" s="92"/>
      <c r="Z170" s="92"/>
    </row>
    <row r="171" spans="1:26" ht="12.75">
      <c r="A171" s="92" t="s">
        <v>6631</v>
      </c>
      <c r="B171" s="372">
        <v>2007</v>
      </c>
      <c r="C171" s="372">
        <v>19124346</v>
      </c>
      <c r="D171" s="373"/>
      <c r="E171" s="261" t="str">
        <f t="shared" si="0"/>
        <v>https://pubmed.ncbi.nlm.nih.gov/19124346</v>
      </c>
      <c r="F171" s="92" t="s">
        <v>511</v>
      </c>
      <c r="G171" s="92" t="s">
        <v>4592</v>
      </c>
      <c r="H171" s="92"/>
      <c r="I171" s="92"/>
      <c r="J171" s="92"/>
      <c r="K171" s="92"/>
      <c r="L171" s="92"/>
      <c r="M171" s="92"/>
      <c r="N171" s="92"/>
      <c r="O171" s="92"/>
      <c r="P171" s="92"/>
      <c r="Q171" s="92"/>
      <c r="R171" s="92"/>
      <c r="S171" s="92"/>
      <c r="T171" s="92"/>
      <c r="U171" s="92"/>
      <c r="V171" s="92"/>
      <c r="W171" s="92"/>
      <c r="X171" s="92"/>
      <c r="Y171" s="92"/>
      <c r="Z171" s="92"/>
    </row>
    <row r="172" spans="1:26" ht="12.75">
      <c r="A172" s="92" t="s">
        <v>6632</v>
      </c>
      <c r="B172" s="372">
        <v>2014</v>
      </c>
      <c r="C172" s="372">
        <v>25272001</v>
      </c>
      <c r="D172" s="375"/>
      <c r="E172" s="261" t="str">
        <f t="shared" si="0"/>
        <v>https://pubmed.ncbi.nlm.nih.gov/25272001</v>
      </c>
      <c r="F172" s="92" t="s">
        <v>511</v>
      </c>
      <c r="G172" s="92" t="s">
        <v>8425</v>
      </c>
      <c r="H172" s="92"/>
      <c r="I172" s="92"/>
      <c r="J172" s="92"/>
      <c r="K172" s="92"/>
      <c r="L172" s="92"/>
      <c r="M172" s="92"/>
      <c r="N172" s="92"/>
      <c r="O172" s="92"/>
      <c r="P172" s="92"/>
      <c r="Q172" s="92"/>
      <c r="R172" s="92"/>
      <c r="S172" s="92"/>
      <c r="T172" s="92"/>
      <c r="U172" s="92"/>
      <c r="V172" s="92"/>
      <c r="W172" s="92"/>
      <c r="X172" s="92"/>
      <c r="Y172" s="92"/>
      <c r="Z172" s="92"/>
    </row>
    <row r="173" spans="1:26" ht="12.75">
      <c r="A173" s="92" t="s">
        <v>6634</v>
      </c>
      <c r="B173" s="372">
        <v>2018</v>
      </c>
      <c r="C173" s="372">
        <v>29673395</v>
      </c>
      <c r="D173" s="373" t="s">
        <v>6635</v>
      </c>
      <c r="E173" s="261" t="str">
        <f t="shared" si="0"/>
        <v>https://pubmed.ncbi.nlm.nih.gov/29673395</v>
      </c>
      <c r="F173" s="92" t="s">
        <v>511</v>
      </c>
      <c r="G173" s="374" t="s">
        <v>4867</v>
      </c>
      <c r="H173" s="21"/>
      <c r="I173" s="92"/>
      <c r="J173" s="92"/>
      <c r="K173" s="92"/>
      <c r="L173" s="92"/>
      <c r="M173" s="92"/>
      <c r="N173" s="92"/>
      <c r="O173" s="92"/>
      <c r="P173" s="92"/>
      <c r="Q173" s="92"/>
      <c r="R173" s="92"/>
      <c r="S173" s="92"/>
      <c r="T173" s="92"/>
      <c r="U173" s="92"/>
      <c r="V173" s="92"/>
      <c r="W173" s="92"/>
      <c r="X173" s="92"/>
      <c r="Y173" s="92"/>
      <c r="Z173" s="92"/>
    </row>
    <row r="174" spans="1:26" ht="12.75">
      <c r="A174" s="92" t="s">
        <v>6636</v>
      </c>
      <c r="B174" s="372">
        <v>2009</v>
      </c>
      <c r="C174" s="372">
        <v>20028569</v>
      </c>
      <c r="D174" s="373" t="s">
        <v>6637</v>
      </c>
      <c r="E174" s="261" t="str">
        <f t="shared" si="0"/>
        <v>https://pubmed.ncbi.nlm.nih.gov/20028569</v>
      </c>
      <c r="F174" s="92" t="s">
        <v>511</v>
      </c>
      <c r="G174" s="92" t="s">
        <v>4592</v>
      </c>
      <c r="H174" s="92"/>
      <c r="I174" s="92"/>
      <c r="J174" s="92"/>
      <c r="K174" s="92"/>
      <c r="L174" s="92"/>
      <c r="M174" s="92"/>
      <c r="N174" s="92"/>
      <c r="O174" s="92"/>
      <c r="P174" s="92"/>
      <c r="Q174" s="92"/>
      <c r="R174" s="92"/>
      <c r="S174" s="92"/>
      <c r="T174" s="92"/>
      <c r="U174" s="92"/>
      <c r="V174" s="92"/>
      <c r="W174" s="92"/>
      <c r="X174" s="92"/>
      <c r="Y174" s="92"/>
      <c r="Z174" s="92"/>
    </row>
    <row r="175" spans="1:26" ht="12.75">
      <c r="A175" s="92" t="s">
        <v>6638</v>
      </c>
      <c r="B175" s="372">
        <v>2020</v>
      </c>
      <c r="C175" s="372">
        <v>33044747</v>
      </c>
      <c r="D175" s="373"/>
      <c r="E175" s="261" t="str">
        <f t="shared" si="0"/>
        <v>https://pubmed.ncbi.nlm.nih.gov/33044747</v>
      </c>
      <c r="F175" s="92" t="s">
        <v>511</v>
      </c>
      <c r="G175" s="92" t="s">
        <v>8412</v>
      </c>
      <c r="H175" s="92"/>
      <c r="I175" s="92"/>
      <c r="J175" s="92"/>
      <c r="K175" s="92"/>
      <c r="L175" s="92"/>
      <c r="M175" s="92"/>
      <c r="N175" s="92"/>
      <c r="O175" s="92"/>
      <c r="P175" s="92"/>
      <c r="Q175" s="92"/>
      <c r="R175" s="92"/>
      <c r="S175" s="92"/>
      <c r="T175" s="92"/>
      <c r="U175" s="92"/>
      <c r="V175" s="92"/>
      <c r="W175" s="92"/>
      <c r="X175" s="92"/>
      <c r="Y175" s="92"/>
      <c r="Z175" s="92"/>
    </row>
    <row r="176" spans="1:26" ht="12.75">
      <c r="A176" s="92" t="s">
        <v>6639</v>
      </c>
      <c r="B176" s="372">
        <v>2014</v>
      </c>
      <c r="C176" s="372">
        <v>24852804</v>
      </c>
      <c r="D176" s="92"/>
      <c r="E176" s="261" t="str">
        <f t="shared" si="0"/>
        <v>https://pubmed.ncbi.nlm.nih.gov/24852804</v>
      </c>
      <c r="F176" s="92" t="s">
        <v>511</v>
      </c>
      <c r="G176" s="374" t="s">
        <v>4744</v>
      </c>
      <c r="H176" s="21"/>
      <c r="I176" s="92"/>
      <c r="J176" s="92"/>
      <c r="K176" s="92"/>
      <c r="L176" s="92"/>
      <c r="M176" s="92"/>
      <c r="N176" s="92"/>
      <c r="O176" s="92"/>
      <c r="P176" s="92"/>
      <c r="Q176" s="92"/>
      <c r="R176" s="92"/>
      <c r="S176" s="92"/>
      <c r="T176" s="92"/>
      <c r="U176" s="92"/>
      <c r="V176" s="92"/>
      <c r="W176" s="92"/>
      <c r="X176" s="92"/>
      <c r="Y176" s="92"/>
      <c r="Z176" s="92"/>
    </row>
    <row r="177" spans="1:26" ht="12.75">
      <c r="A177" s="92" t="s">
        <v>6640</v>
      </c>
      <c r="B177" s="372">
        <v>2003</v>
      </c>
      <c r="C177" s="372">
        <v>12957419</v>
      </c>
      <c r="D177" s="373"/>
      <c r="E177" s="261" t="str">
        <f t="shared" si="0"/>
        <v>https://pubmed.ncbi.nlm.nih.gov/12957419</v>
      </c>
      <c r="F177" s="92" t="s">
        <v>511</v>
      </c>
      <c r="G177" s="374" t="s">
        <v>4867</v>
      </c>
      <c r="H177" s="21"/>
      <c r="I177" s="92"/>
      <c r="J177" s="92"/>
      <c r="K177" s="92"/>
      <c r="L177" s="92"/>
      <c r="M177" s="92"/>
      <c r="N177" s="92"/>
      <c r="O177" s="92"/>
      <c r="P177" s="92"/>
      <c r="Q177" s="92"/>
      <c r="R177" s="92"/>
      <c r="S177" s="92"/>
      <c r="T177" s="92"/>
      <c r="U177" s="92"/>
      <c r="V177" s="92"/>
      <c r="W177" s="92"/>
      <c r="X177" s="92"/>
      <c r="Y177" s="92"/>
      <c r="Z177" s="92"/>
    </row>
    <row r="178" spans="1:26" ht="12.75">
      <c r="A178" s="92" t="s">
        <v>6641</v>
      </c>
      <c r="B178" s="372">
        <v>2008</v>
      </c>
      <c r="C178" s="372">
        <v>18616780</v>
      </c>
      <c r="D178" s="92"/>
      <c r="E178" s="261" t="str">
        <f t="shared" si="0"/>
        <v>https://pubmed.ncbi.nlm.nih.gov/18616780</v>
      </c>
      <c r="F178" s="92" t="s">
        <v>511</v>
      </c>
      <c r="G178" s="374" t="s">
        <v>5157</v>
      </c>
      <c r="H178" s="21"/>
      <c r="I178" s="21"/>
      <c r="J178" s="92"/>
      <c r="K178" s="92"/>
      <c r="L178" s="92"/>
      <c r="M178" s="92"/>
      <c r="N178" s="92"/>
      <c r="O178" s="92"/>
      <c r="P178" s="92"/>
      <c r="Q178" s="92"/>
      <c r="R178" s="92"/>
      <c r="S178" s="92"/>
      <c r="T178" s="92"/>
      <c r="U178" s="92"/>
      <c r="V178" s="92"/>
      <c r="W178" s="92"/>
      <c r="X178" s="92"/>
      <c r="Y178" s="92"/>
      <c r="Z178" s="92"/>
    </row>
    <row r="179" spans="1:26" ht="12.75">
      <c r="A179" s="92" t="s">
        <v>6642</v>
      </c>
      <c r="B179" s="372">
        <v>2020</v>
      </c>
      <c r="C179" s="372">
        <v>33159237</v>
      </c>
      <c r="D179" s="373"/>
      <c r="E179" s="261" t="str">
        <f t="shared" si="0"/>
        <v>https://pubmed.ncbi.nlm.nih.gov/33159237</v>
      </c>
      <c r="F179" s="92" t="s">
        <v>511</v>
      </c>
      <c r="G179" s="374" t="s">
        <v>6643</v>
      </c>
      <c r="H179" s="21"/>
      <c r="I179" s="21"/>
      <c r="J179" s="92"/>
      <c r="K179" s="92"/>
      <c r="L179" s="92"/>
      <c r="M179" s="92"/>
      <c r="N179" s="92"/>
      <c r="O179" s="92"/>
      <c r="P179" s="92"/>
      <c r="Q179" s="92"/>
      <c r="R179" s="92"/>
      <c r="S179" s="92"/>
      <c r="T179" s="92"/>
      <c r="U179" s="92"/>
      <c r="V179" s="92"/>
      <c r="W179" s="92"/>
      <c r="X179" s="92"/>
      <c r="Y179" s="92"/>
      <c r="Z179" s="92"/>
    </row>
    <row r="180" spans="1:26" ht="12.75">
      <c r="A180" s="92" t="s">
        <v>6644</v>
      </c>
      <c r="B180" s="372">
        <v>2020</v>
      </c>
      <c r="C180" s="372">
        <v>33170331</v>
      </c>
      <c r="D180" s="373" t="s">
        <v>6645</v>
      </c>
      <c r="E180" s="261" t="str">
        <f t="shared" si="0"/>
        <v>https://pubmed.ncbi.nlm.nih.gov/33170331</v>
      </c>
      <c r="F180" s="92" t="s">
        <v>511</v>
      </c>
      <c r="G180" s="92" t="s">
        <v>4592</v>
      </c>
      <c r="H180" s="92"/>
      <c r="I180" s="92"/>
      <c r="J180" s="92"/>
      <c r="K180" s="92"/>
      <c r="L180" s="92"/>
      <c r="M180" s="92"/>
      <c r="N180" s="92"/>
      <c r="O180" s="92"/>
      <c r="P180" s="92"/>
      <c r="Q180" s="92"/>
      <c r="R180" s="92"/>
      <c r="S180" s="92"/>
      <c r="T180" s="92"/>
      <c r="U180" s="92"/>
      <c r="V180" s="92"/>
      <c r="W180" s="92"/>
      <c r="X180" s="92"/>
      <c r="Y180" s="92"/>
      <c r="Z180" s="92"/>
    </row>
    <row r="181" spans="1:26" ht="12.75">
      <c r="A181" s="92" t="s">
        <v>6646</v>
      </c>
      <c r="B181" s="372">
        <v>2018</v>
      </c>
      <c r="C181" s="372">
        <v>29280783</v>
      </c>
      <c r="D181" s="373" t="s">
        <v>6647</v>
      </c>
      <c r="E181" s="261" t="str">
        <f t="shared" si="0"/>
        <v>https://pubmed.ncbi.nlm.nih.gov/29280783</v>
      </c>
      <c r="F181" s="92" t="s">
        <v>511</v>
      </c>
      <c r="G181" s="92" t="s">
        <v>8412</v>
      </c>
      <c r="H181" s="92"/>
      <c r="I181" s="92"/>
      <c r="J181" s="92"/>
      <c r="K181" s="92"/>
      <c r="L181" s="92"/>
      <c r="M181" s="92"/>
      <c r="N181" s="92"/>
      <c r="O181" s="92"/>
      <c r="P181" s="92"/>
      <c r="Q181" s="92"/>
      <c r="R181" s="92"/>
      <c r="S181" s="92"/>
      <c r="T181" s="92"/>
      <c r="U181" s="92"/>
      <c r="V181" s="92"/>
      <c r="W181" s="92"/>
      <c r="X181" s="92"/>
      <c r="Y181" s="92"/>
      <c r="Z181" s="92"/>
    </row>
    <row r="182" spans="1:26" ht="12.75">
      <c r="A182" s="92" t="s">
        <v>6648</v>
      </c>
      <c r="B182" s="372">
        <v>2007</v>
      </c>
      <c r="C182" s="372">
        <v>17517850</v>
      </c>
      <c r="D182" s="373" t="s">
        <v>6649</v>
      </c>
      <c r="E182" s="261" t="str">
        <f t="shared" si="0"/>
        <v>https://pubmed.ncbi.nlm.nih.gov/17517850</v>
      </c>
      <c r="F182" s="92" t="s">
        <v>511</v>
      </c>
      <c r="G182" s="374" t="s">
        <v>4744</v>
      </c>
      <c r="H182" s="21"/>
      <c r="I182" s="92"/>
      <c r="J182" s="92"/>
      <c r="K182" s="92"/>
      <c r="L182" s="92"/>
      <c r="M182" s="92"/>
      <c r="N182" s="92"/>
      <c r="O182" s="92"/>
      <c r="P182" s="92"/>
      <c r="Q182" s="92"/>
      <c r="R182" s="92"/>
      <c r="S182" s="92"/>
      <c r="T182" s="92"/>
      <c r="U182" s="92"/>
      <c r="V182" s="92"/>
      <c r="W182" s="92"/>
      <c r="X182" s="92"/>
      <c r="Y182" s="92"/>
      <c r="Z182" s="92"/>
    </row>
    <row r="183" spans="1:26" ht="12.75">
      <c r="A183" s="92" t="s">
        <v>6650</v>
      </c>
      <c r="B183" s="372">
        <v>2008</v>
      </c>
      <c r="C183" s="372">
        <v>18641578</v>
      </c>
      <c r="D183" s="373"/>
      <c r="E183" s="261" t="str">
        <f t="shared" si="0"/>
        <v>https://pubmed.ncbi.nlm.nih.gov/18641578</v>
      </c>
      <c r="F183" s="92" t="s">
        <v>511</v>
      </c>
      <c r="G183" s="92" t="s">
        <v>8423</v>
      </c>
      <c r="H183" s="92"/>
      <c r="I183" s="92"/>
      <c r="J183" s="92"/>
      <c r="K183" s="92"/>
      <c r="L183" s="92"/>
      <c r="M183" s="92"/>
      <c r="N183" s="92"/>
      <c r="O183" s="92"/>
      <c r="P183" s="92"/>
      <c r="Q183" s="92"/>
      <c r="R183" s="92"/>
      <c r="S183" s="92"/>
      <c r="T183" s="92"/>
      <c r="U183" s="92"/>
      <c r="V183" s="92"/>
      <c r="W183" s="92"/>
      <c r="X183" s="92"/>
      <c r="Y183" s="92"/>
      <c r="Z183" s="92"/>
    </row>
    <row r="184" spans="1:26" ht="12.75">
      <c r="A184" s="92" t="s">
        <v>296</v>
      </c>
      <c r="B184" s="372">
        <v>2016</v>
      </c>
      <c r="C184" s="372">
        <v>27001804</v>
      </c>
      <c r="D184" s="373" t="s">
        <v>6651</v>
      </c>
      <c r="E184" s="376" t="str">
        <f t="shared" si="0"/>
        <v>https://pubmed.ncbi.nlm.nih.gov/27001804</v>
      </c>
      <c r="F184" s="21"/>
      <c r="G184" s="92"/>
      <c r="H184" s="92" t="s">
        <v>511</v>
      </c>
      <c r="I184" s="92"/>
      <c r="J184" s="92"/>
      <c r="K184" s="92"/>
      <c r="L184" s="92"/>
      <c r="M184" s="92"/>
      <c r="N184" s="92"/>
      <c r="O184" s="92"/>
      <c r="P184" s="92"/>
      <c r="Q184" s="92"/>
      <c r="R184" s="92"/>
      <c r="S184" s="92"/>
      <c r="T184" s="92"/>
      <c r="U184" s="92"/>
      <c r="V184" s="92"/>
      <c r="W184" s="92"/>
      <c r="X184" s="92"/>
      <c r="Y184" s="92"/>
      <c r="Z184" s="92"/>
    </row>
    <row r="185" spans="1:26" ht="12.75">
      <c r="A185" s="92" t="s">
        <v>4464</v>
      </c>
      <c r="B185" s="372">
        <v>2019</v>
      </c>
      <c r="C185" s="372">
        <v>31335741</v>
      </c>
      <c r="D185" s="92" t="s">
        <v>6652</v>
      </c>
      <c r="E185" s="261" t="str">
        <f t="shared" si="0"/>
        <v>https://pubmed.ncbi.nlm.nih.gov/31335741</v>
      </c>
      <c r="F185" s="92" t="s">
        <v>511</v>
      </c>
      <c r="G185" s="374" t="s">
        <v>5157</v>
      </c>
      <c r="H185" s="21"/>
      <c r="I185" s="21"/>
      <c r="J185" s="92"/>
      <c r="K185" s="92"/>
      <c r="L185" s="92"/>
      <c r="M185" s="92"/>
      <c r="N185" s="92"/>
      <c r="O185" s="92"/>
      <c r="P185" s="92"/>
      <c r="Q185" s="92"/>
      <c r="R185" s="92"/>
      <c r="S185" s="92"/>
      <c r="T185" s="92"/>
      <c r="U185" s="92"/>
      <c r="V185" s="92"/>
      <c r="W185" s="92"/>
      <c r="X185" s="92"/>
      <c r="Y185" s="92"/>
      <c r="Z185" s="92"/>
    </row>
    <row r="186" spans="1:26" ht="12.75">
      <c r="A186" s="92" t="s">
        <v>6653</v>
      </c>
      <c r="B186" s="372">
        <v>2015</v>
      </c>
      <c r="C186" s="372">
        <v>25793740</v>
      </c>
      <c r="D186" s="373" t="s">
        <v>6654</v>
      </c>
      <c r="E186" s="261" t="str">
        <f t="shared" si="0"/>
        <v>https://pubmed.ncbi.nlm.nih.gov/25793740</v>
      </c>
      <c r="F186" s="92" t="s">
        <v>511</v>
      </c>
      <c r="G186" s="92" t="s">
        <v>4592</v>
      </c>
      <c r="H186" s="92"/>
      <c r="I186" s="92"/>
      <c r="J186" s="92"/>
      <c r="K186" s="92"/>
      <c r="L186" s="92"/>
      <c r="M186" s="92"/>
      <c r="N186" s="92"/>
      <c r="O186" s="92"/>
      <c r="P186" s="92"/>
      <c r="Q186" s="92"/>
      <c r="R186" s="92"/>
      <c r="S186" s="92"/>
      <c r="T186" s="92"/>
      <c r="U186" s="92"/>
      <c r="V186" s="92"/>
      <c r="W186" s="92"/>
      <c r="X186" s="92"/>
      <c r="Y186" s="92"/>
      <c r="Z186" s="92"/>
    </row>
    <row r="187" spans="1:26" ht="12.75">
      <c r="A187" s="92" t="s">
        <v>5040</v>
      </c>
      <c r="B187" s="372">
        <v>2013</v>
      </c>
      <c r="C187" s="372">
        <v>24081937</v>
      </c>
      <c r="D187" s="373"/>
      <c r="E187" s="261" t="str">
        <f t="shared" si="0"/>
        <v>https://pubmed.ncbi.nlm.nih.gov/24081937</v>
      </c>
      <c r="F187" s="92" t="s">
        <v>511</v>
      </c>
      <c r="G187" s="374" t="s">
        <v>4744</v>
      </c>
      <c r="H187" s="21"/>
      <c r="I187" s="92"/>
      <c r="J187" s="92"/>
      <c r="K187" s="92"/>
      <c r="L187" s="92"/>
      <c r="M187" s="92"/>
      <c r="N187" s="92"/>
      <c r="O187" s="92"/>
      <c r="P187" s="92"/>
      <c r="Q187" s="92"/>
      <c r="R187" s="92"/>
      <c r="S187" s="92"/>
      <c r="T187" s="92"/>
      <c r="U187" s="92"/>
      <c r="V187" s="92"/>
      <c r="W187" s="92"/>
      <c r="X187" s="92"/>
      <c r="Y187" s="92"/>
      <c r="Z187" s="92"/>
    </row>
    <row r="188" spans="1:26" ht="12.75">
      <c r="A188" s="92" t="s">
        <v>6655</v>
      </c>
      <c r="B188" s="372">
        <v>2006</v>
      </c>
      <c r="C188" s="372">
        <v>17019816</v>
      </c>
      <c r="D188" s="373"/>
      <c r="E188" s="261" t="str">
        <f t="shared" si="0"/>
        <v>https://pubmed.ncbi.nlm.nih.gov/17019816</v>
      </c>
      <c r="F188" s="92" t="s">
        <v>511</v>
      </c>
      <c r="G188" s="92" t="s">
        <v>4592</v>
      </c>
      <c r="H188" s="92"/>
      <c r="I188" s="92"/>
      <c r="J188" s="92"/>
      <c r="K188" s="92"/>
      <c r="L188" s="92"/>
      <c r="M188" s="92"/>
      <c r="N188" s="92"/>
      <c r="O188" s="92"/>
      <c r="P188" s="92"/>
      <c r="Q188" s="92"/>
      <c r="R188" s="92"/>
      <c r="S188" s="92"/>
      <c r="T188" s="92"/>
      <c r="U188" s="92"/>
      <c r="V188" s="92"/>
      <c r="W188" s="92"/>
      <c r="X188" s="92"/>
      <c r="Y188" s="92"/>
      <c r="Z188" s="92"/>
    </row>
    <row r="189" spans="1:26" ht="12.75">
      <c r="A189" s="92" t="s">
        <v>6656</v>
      </c>
      <c r="B189" s="372">
        <v>2021</v>
      </c>
      <c r="C189" s="372">
        <v>33657293</v>
      </c>
      <c r="D189" s="373"/>
      <c r="E189" s="261" t="str">
        <f t="shared" si="0"/>
        <v>https://pubmed.ncbi.nlm.nih.gov/33657293</v>
      </c>
      <c r="F189" s="92" t="s">
        <v>511</v>
      </c>
      <c r="G189" s="374" t="s">
        <v>5299</v>
      </c>
      <c r="H189" s="21"/>
      <c r="I189" s="92"/>
      <c r="J189" s="92"/>
      <c r="K189" s="92"/>
      <c r="L189" s="92"/>
      <c r="M189" s="92"/>
      <c r="N189" s="92"/>
      <c r="O189" s="92"/>
      <c r="P189" s="92"/>
      <c r="Q189" s="92"/>
      <c r="R189" s="92"/>
      <c r="S189" s="92"/>
      <c r="T189" s="92"/>
      <c r="U189" s="92"/>
      <c r="V189" s="92"/>
      <c r="W189" s="92"/>
      <c r="X189" s="92"/>
      <c r="Y189" s="92"/>
      <c r="Z189" s="92"/>
    </row>
    <row r="190" spans="1:26" ht="12.75">
      <c r="A190" s="92" t="s">
        <v>6657</v>
      </c>
      <c r="B190" s="372">
        <v>2007</v>
      </c>
      <c r="C190" s="372">
        <v>16949180</v>
      </c>
      <c r="D190" s="373"/>
      <c r="E190" s="261" t="str">
        <f t="shared" si="0"/>
        <v>https://pubmed.ncbi.nlm.nih.gov/16949180</v>
      </c>
      <c r="F190" s="92" t="s">
        <v>511</v>
      </c>
      <c r="G190" s="374" t="s">
        <v>5157</v>
      </c>
      <c r="H190" s="21"/>
      <c r="I190" s="21"/>
      <c r="J190" s="92"/>
      <c r="K190" s="92"/>
      <c r="L190" s="92"/>
      <c r="M190" s="92"/>
      <c r="N190" s="92"/>
      <c r="O190" s="92"/>
      <c r="P190" s="92"/>
      <c r="Q190" s="92"/>
      <c r="R190" s="92"/>
      <c r="S190" s="92"/>
      <c r="T190" s="92"/>
      <c r="U190" s="92"/>
      <c r="V190" s="92"/>
      <c r="W190" s="92"/>
      <c r="X190" s="92"/>
      <c r="Y190" s="92"/>
      <c r="Z190" s="92"/>
    </row>
    <row r="191" spans="1:26" ht="12.75">
      <c r="A191" s="92" t="s">
        <v>6658</v>
      </c>
      <c r="B191" s="372">
        <v>2017</v>
      </c>
      <c r="C191" s="372">
        <v>28906574</v>
      </c>
      <c r="D191" s="373"/>
      <c r="E191" s="261" t="str">
        <f t="shared" si="0"/>
        <v>https://pubmed.ncbi.nlm.nih.gov/28906574</v>
      </c>
      <c r="F191" s="92" t="s">
        <v>511</v>
      </c>
      <c r="G191" s="374" t="s">
        <v>4867</v>
      </c>
      <c r="H191" s="21"/>
      <c r="I191" s="92"/>
      <c r="J191" s="92"/>
      <c r="K191" s="92"/>
      <c r="L191" s="92"/>
      <c r="M191" s="92"/>
      <c r="N191" s="92"/>
      <c r="O191" s="92"/>
      <c r="P191" s="92"/>
      <c r="Q191" s="92"/>
      <c r="R191" s="92"/>
      <c r="S191" s="92"/>
      <c r="T191" s="92"/>
      <c r="U191" s="92"/>
      <c r="V191" s="92"/>
      <c r="W191" s="92"/>
      <c r="X191" s="92"/>
      <c r="Y191" s="92"/>
      <c r="Z191" s="92"/>
    </row>
    <row r="192" spans="1:26" ht="12.75">
      <c r="A192" s="92" t="s">
        <v>6659</v>
      </c>
      <c r="B192" s="372">
        <v>2015</v>
      </c>
      <c r="C192" s="372">
        <v>25659142</v>
      </c>
      <c r="D192" s="373" t="s">
        <v>6660</v>
      </c>
      <c r="E192" s="261" t="str">
        <f t="shared" si="0"/>
        <v>https://pubmed.ncbi.nlm.nih.gov/25659142</v>
      </c>
      <c r="F192" s="92" t="s">
        <v>511</v>
      </c>
      <c r="G192" s="374" t="s">
        <v>4744</v>
      </c>
      <c r="H192" s="21"/>
      <c r="I192" s="92"/>
      <c r="J192" s="92"/>
      <c r="K192" s="92"/>
      <c r="L192" s="92"/>
      <c r="M192" s="92"/>
      <c r="N192" s="92"/>
      <c r="O192" s="92"/>
      <c r="P192" s="92"/>
      <c r="Q192" s="92"/>
      <c r="R192" s="92"/>
      <c r="S192" s="92"/>
      <c r="T192" s="92"/>
      <c r="U192" s="92"/>
      <c r="V192" s="92"/>
      <c r="W192" s="92"/>
      <c r="X192" s="92"/>
      <c r="Y192" s="92"/>
      <c r="Z192" s="92"/>
    </row>
    <row r="193" spans="1:26" ht="12.75">
      <c r="A193" s="92" t="s">
        <v>338</v>
      </c>
      <c r="B193" s="372">
        <v>2013</v>
      </c>
      <c r="C193" s="372">
        <v>23457473</v>
      </c>
      <c r="D193" s="373" t="s">
        <v>6661</v>
      </c>
      <c r="E193" s="376" t="str">
        <f t="shared" si="0"/>
        <v>https://pubmed.ncbi.nlm.nih.gov/23457473</v>
      </c>
      <c r="F193" s="21"/>
      <c r="G193" s="92"/>
      <c r="H193" s="92" t="s">
        <v>511</v>
      </c>
      <c r="I193" s="92"/>
      <c r="J193" s="92"/>
      <c r="K193" s="92"/>
      <c r="L193" s="92"/>
      <c r="M193" s="92"/>
      <c r="N193" s="92"/>
      <c r="O193" s="92"/>
      <c r="P193" s="92"/>
      <c r="Q193" s="92"/>
      <c r="R193" s="92"/>
      <c r="S193" s="92"/>
      <c r="T193" s="92"/>
      <c r="U193" s="92"/>
      <c r="V193" s="92"/>
      <c r="W193" s="92"/>
      <c r="X193" s="92"/>
      <c r="Y193" s="92"/>
      <c r="Z193" s="92"/>
    </row>
    <row r="194" spans="1:26" ht="12.75">
      <c r="A194" s="92" t="s">
        <v>6662</v>
      </c>
      <c r="B194" s="372">
        <v>2018</v>
      </c>
      <c r="C194" s="372">
        <v>29987845</v>
      </c>
      <c r="D194" s="373" t="s">
        <v>6663</v>
      </c>
      <c r="E194" s="261" t="str">
        <f t="shared" si="0"/>
        <v>https://pubmed.ncbi.nlm.nih.gov/29987845</v>
      </c>
      <c r="F194" s="92" t="s">
        <v>511</v>
      </c>
      <c r="G194" s="92" t="s">
        <v>4592</v>
      </c>
      <c r="H194" s="92"/>
      <c r="I194" s="92"/>
      <c r="J194" s="92"/>
      <c r="K194" s="92"/>
      <c r="L194" s="92"/>
      <c r="M194" s="92"/>
      <c r="N194" s="92"/>
      <c r="O194" s="92"/>
      <c r="P194" s="92"/>
      <c r="Q194" s="92"/>
      <c r="R194" s="92"/>
      <c r="S194" s="92"/>
      <c r="T194" s="92"/>
      <c r="U194" s="92"/>
      <c r="V194" s="92"/>
      <c r="W194" s="92"/>
      <c r="X194" s="92"/>
      <c r="Y194" s="92"/>
      <c r="Z194" s="92"/>
    </row>
    <row r="195" spans="1:26" ht="12.75">
      <c r="A195" s="92" t="s">
        <v>6664</v>
      </c>
      <c r="B195" s="372">
        <v>1992</v>
      </c>
      <c r="C195" s="372">
        <v>1443450</v>
      </c>
      <c r="D195" s="373"/>
      <c r="E195" s="261" t="str">
        <f t="shared" si="0"/>
        <v>https://pubmed.ncbi.nlm.nih.gov/1443450</v>
      </c>
      <c r="F195" s="92" t="s">
        <v>511</v>
      </c>
      <c r="G195" s="374" t="s">
        <v>4744</v>
      </c>
      <c r="H195" s="92"/>
      <c r="I195" s="92" t="s">
        <v>6460</v>
      </c>
      <c r="J195" s="92"/>
      <c r="K195" s="92"/>
      <c r="L195" s="92"/>
      <c r="M195" s="92"/>
      <c r="N195" s="92"/>
      <c r="O195" s="92"/>
      <c r="P195" s="92"/>
      <c r="Q195" s="92"/>
      <c r="R195" s="92"/>
      <c r="S195" s="92"/>
      <c r="T195" s="92"/>
      <c r="U195" s="92"/>
      <c r="V195" s="92"/>
      <c r="W195" s="92"/>
      <c r="X195" s="92"/>
      <c r="Y195" s="92"/>
      <c r="Z195" s="92"/>
    </row>
    <row r="196" spans="1:26" ht="12.75">
      <c r="A196" s="92" t="s">
        <v>6664</v>
      </c>
      <c r="B196" s="372">
        <v>1993</v>
      </c>
      <c r="C196" s="372">
        <v>8267692</v>
      </c>
      <c r="D196" s="373"/>
      <c r="E196" s="261" t="str">
        <f t="shared" si="0"/>
        <v>https://pubmed.ncbi.nlm.nih.gov/8267692</v>
      </c>
      <c r="F196" s="92" t="s">
        <v>511</v>
      </c>
      <c r="G196" s="374" t="s">
        <v>4744</v>
      </c>
      <c r="H196" s="21"/>
      <c r="I196" s="92"/>
      <c r="J196" s="92"/>
      <c r="K196" s="92"/>
      <c r="L196" s="92"/>
      <c r="M196" s="92"/>
      <c r="N196" s="92"/>
      <c r="O196" s="92"/>
      <c r="P196" s="92"/>
      <c r="Q196" s="92"/>
      <c r="R196" s="92"/>
      <c r="S196" s="92"/>
      <c r="T196" s="92"/>
      <c r="U196" s="92"/>
      <c r="V196" s="92"/>
      <c r="W196" s="92"/>
      <c r="X196" s="92"/>
      <c r="Y196" s="92"/>
      <c r="Z196" s="92"/>
    </row>
    <row r="197" spans="1:26" ht="12.75">
      <c r="A197" s="92" t="s">
        <v>6664</v>
      </c>
      <c r="B197" s="372">
        <v>1991</v>
      </c>
      <c r="C197" s="372">
        <v>1687320</v>
      </c>
      <c r="D197" s="373"/>
      <c r="E197" s="261" t="str">
        <f t="shared" si="0"/>
        <v>https://pubmed.ncbi.nlm.nih.gov/1687320</v>
      </c>
      <c r="F197" s="92" t="s">
        <v>511</v>
      </c>
      <c r="G197" s="374" t="s">
        <v>4744</v>
      </c>
      <c r="H197" s="92"/>
      <c r="I197" s="92" t="s">
        <v>6460</v>
      </c>
      <c r="J197" s="92"/>
      <c r="K197" s="92"/>
      <c r="L197" s="92"/>
      <c r="M197" s="92"/>
      <c r="N197" s="92"/>
      <c r="O197" s="92"/>
      <c r="P197" s="92"/>
      <c r="Q197" s="92"/>
      <c r="R197" s="92"/>
      <c r="S197" s="92"/>
      <c r="T197" s="92"/>
      <c r="U197" s="92"/>
      <c r="V197" s="92"/>
      <c r="W197" s="92"/>
      <c r="X197" s="92"/>
      <c r="Y197" s="92"/>
      <c r="Z197" s="92"/>
    </row>
    <row r="198" spans="1:26" ht="12.75">
      <c r="A198" s="92" t="s">
        <v>6664</v>
      </c>
      <c r="B198" s="372">
        <v>1993</v>
      </c>
      <c r="C198" s="372">
        <v>8313933</v>
      </c>
      <c r="D198" s="373"/>
      <c r="E198" s="261" t="str">
        <f t="shared" si="0"/>
        <v>https://pubmed.ncbi.nlm.nih.gov/8313933</v>
      </c>
      <c r="F198" s="92" t="s">
        <v>511</v>
      </c>
      <c r="G198" s="374" t="s">
        <v>4744</v>
      </c>
      <c r="H198" s="21"/>
      <c r="I198" s="92"/>
      <c r="J198" s="92"/>
      <c r="K198" s="92"/>
      <c r="L198" s="92"/>
      <c r="M198" s="92"/>
      <c r="N198" s="92"/>
      <c r="O198" s="92"/>
      <c r="P198" s="92"/>
      <c r="Q198" s="92"/>
      <c r="R198" s="92"/>
      <c r="S198" s="92"/>
      <c r="T198" s="92"/>
      <c r="U198" s="92"/>
      <c r="V198" s="92"/>
      <c r="W198" s="92"/>
      <c r="X198" s="92"/>
      <c r="Y198" s="92"/>
      <c r="Z198" s="92"/>
    </row>
    <row r="199" spans="1:26" ht="12.75">
      <c r="A199" s="92" t="s">
        <v>6664</v>
      </c>
      <c r="B199" s="372">
        <v>2004</v>
      </c>
      <c r="C199" s="372">
        <v>15180356</v>
      </c>
      <c r="D199" s="373"/>
      <c r="E199" s="261" t="str">
        <f t="shared" si="0"/>
        <v>https://pubmed.ncbi.nlm.nih.gov/15180356</v>
      </c>
      <c r="F199" s="92" t="s">
        <v>511</v>
      </c>
      <c r="G199" s="374" t="s">
        <v>4867</v>
      </c>
      <c r="H199" s="92"/>
      <c r="I199" s="92" t="s">
        <v>6460</v>
      </c>
      <c r="J199" s="92"/>
      <c r="K199" s="92"/>
      <c r="L199" s="92"/>
      <c r="M199" s="92"/>
      <c r="N199" s="92"/>
      <c r="O199" s="92"/>
      <c r="P199" s="92"/>
      <c r="Q199" s="92"/>
      <c r="R199" s="92"/>
      <c r="S199" s="92"/>
      <c r="T199" s="92"/>
      <c r="U199" s="92"/>
      <c r="V199" s="92"/>
      <c r="W199" s="92"/>
      <c r="X199" s="92"/>
      <c r="Y199" s="92"/>
      <c r="Z199" s="92"/>
    </row>
    <row r="200" spans="1:26" ht="12.75">
      <c r="A200" s="92" t="s">
        <v>6665</v>
      </c>
      <c r="B200" s="372">
        <v>2019</v>
      </c>
      <c r="C200" s="372">
        <v>31652166</v>
      </c>
      <c r="D200" s="373"/>
      <c r="E200" s="261" t="str">
        <f t="shared" si="0"/>
        <v>https://pubmed.ncbi.nlm.nih.gov/31652166</v>
      </c>
      <c r="F200" s="92" t="s">
        <v>511</v>
      </c>
      <c r="G200" s="374" t="s">
        <v>5157</v>
      </c>
      <c r="H200" s="21"/>
      <c r="I200" s="21"/>
      <c r="J200" s="92"/>
      <c r="K200" s="92"/>
      <c r="L200" s="92"/>
      <c r="M200" s="92"/>
      <c r="N200" s="92"/>
      <c r="O200" s="92"/>
      <c r="P200" s="92"/>
      <c r="Q200" s="92"/>
      <c r="R200" s="92"/>
      <c r="S200" s="92"/>
      <c r="T200" s="92"/>
      <c r="U200" s="92"/>
      <c r="V200" s="92"/>
      <c r="W200" s="92"/>
      <c r="X200" s="92"/>
      <c r="Y200" s="92"/>
      <c r="Z200" s="92"/>
    </row>
    <row r="201" spans="1:26" ht="12.75">
      <c r="A201" s="92" t="s">
        <v>6666</v>
      </c>
      <c r="B201" s="372">
        <v>2019</v>
      </c>
      <c r="C201" s="372">
        <v>31178289</v>
      </c>
      <c r="D201" s="373" t="s">
        <v>6667</v>
      </c>
      <c r="E201" s="261" t="str">
        <f t="shared" si="0"/>
        <v>https://pubmed.ncbi.nlm.nih.gov/31178289</v>
      </c>
      <c r="F201" s="92" t="s">
        <v>511</v>
      </c>
      <c r="G201" s="92" t="s">
        <v>8412</v>
      </c>
      <c r="H201" s="92"/>
      <c r="I201" s="92"/>
      <c r="J201" s="92"/>
      <c r="K201" s="92"/>
      <c r="L201" s="92"/>
      <c r="M201" s="92"/>
      <c r="N201" s="92"/>
      <c r="O201" s="92"/>
      <c r="P201" s="92"/>
      <c r="Q201" s="92"/>
      <c r="R201" s="92"/>
      <c r="S201" s="92"/>
      <c r="T201" s="92"/>
      <c r="U201" s="92"/>
      <c r="V201" s="92"/>
      <c r="W201" s="92"/>
      <c r="X201" s="92"/>
      <c r="Y201" s="92"/>
      <c r="Z201" s="92"/>
    </row>
    <row r="202" spans="1:26" ht="12.75">
      <c r="A202" s="92" t="s">
        <v>6668</v>
      </c>
      <c r="B202" s="372">
        <v>2020</v>
      </c>
      <c r="C202" s="372">
        <v>31952923</v>
      </c>
      <c r="D202" s="373"/>
      <c r="E202" s="261" t="str">
        <f t="shared" si="0"/>
        <v>https://pubmed.ncbi.nlm.nih.gov/31952923</v>
      </c>
      <c r="F202" s="92" t="s">
        <v>511</v>
      </c>
      <c r="G202" s="374" t="s">
        <v>4867</v>
      </c>
      <c r="H202" s="21"/>
      <c r="I202" s="92"/>
      <c r="J202" s="92"/>
      <c r="K202" s="92"/>
      <c r="L202" s="92"/>
      <c r="M202" s="92"/>
      <c r="N202" s="92"/>
      <c r="O202" s="92"/>
      <c r="P202" s="92"/>
      <c r="Q202" s="92"/>
      <c r="R202" s="92"/>
      <c r="S202" s="92"/>
      <c r="T202" s="92"/>
      <c r="U202" s="92"/>
      <c r="V202" s="92"/>
      <c r="W202" s="92"/>
      <c r="X202" s="92"/>
      <c r="Y202" s="92"/>
      <c r="Z202" s="92"/>
    </row>
    <row r="203" spans="1:26" ht="12.75">
      <c r="A203" s="92" t="s">
        <v>6669</v>
      </c>
      <c r="B203" s="372">
        <v>2019</v>
      </c>
      <c r="C203" s="372">
        <v>31194252</v>
      </c>
      <c r="D203" s="373" t="s">
        <v>6670</v>
      </c>
      <c r="E203" s="261" t="str">
        <f t="shared" si="0"/>
        <v>https://pubmed.ncbi.nlm.nih.gov/31194252</v>
      </c>
      <c r="F203" s="92" t="s">
        <v>511</v>
      </c>
      <c r="G203" s="374" t="s">
        <v>6412</v>
      </c>
      <c r="H203" s="21"/>
      <c r="I203" s="92"/>
      <c r="J203" s="92"/>
      <c r="K203" s="92"/>
      <c r="L203" s="92"/>
      <c r="M203" s="92"/>
      <c r="N203" s="92"/>
      <c r="O203" s="92"/>
      <c r="P203" s="92"/>
      <c r="Q203" s="92"/>
      <c r="R203" s="92"/>
      <c r="S203" s="92"/>
      <c r="T203" s="92"/>
      <c r="U203" s="92"/>
      <c r="V203" s="92"/>
      <c r="W203" s="92"/>
      <c r="X203" s="92"/>
      <c r="Y203" s="92"/>
      <c r="Z203" s="92"/>
    </row>
    <row r="204" spans="1:26" ht="12.75">
      <c r="A204" s="92" t="s">
        <v>6671</v>
      </c>
      <c r="B204" s="372">
        <v>2017</v>
      </c>
      <c r="C204" s="372">
        <v>28653869</v>
      </c>
      <c r="D204" s="373" t="s">
        <v>6672</v>
      </c>
      <c r="E204" s="261" t="str">
        <f t="shared" si="0"/>
        <v>https://pubmed.ncbi.nlm.nih.gov/28653869</v>
      </c>
      <c r="F204" s="92" t="s">
        <v>511</v>
      </c>
      <c r="G204" s="374" t="s">
        <v>5157</v>
      </c>
      <c r="H204" s="21"/>
      <c r="I204" s="21"/>
      <c r="J204" s="92"/>
      <c r="K204" s="92"/>
      <c r="L204" s="92"/>
      <c r="M204" s="92"/>
      <c r="N204" s="92"/>
      <c r="O204" s="92"/>
      <c r="P204" s="92"/>
      <c r="Q204" s="92"/>
      <c r="R204" s="92"/>
      <c r="S204" s="92"/>
      <c r="T204" s="92"/>
      <c r="U204" s="92"/>
      <c r="V204" s="92"/>
      <c r="W204" s="92"/>
      <c r="X204" s="92"/>
      <c r="Y204" s="92"/>
      <c r="Z204" s="92"/>
    </row>
    <row r="205" spans="1:26" ht="12.75">
      <c r="A205" s="92" t="s">
        <v>6673</v>
      </c>
      <c r="B205" s="372">
        <v>2017</v>
      </c>
      <c r="C205" s="372">
        <v>29171774</v>
      </c>
      <c r="D205" s="373"/>
      <c r="E205" s="261" t="str">
        <f t="shared" si="0"/>
        <v>https://pubmed.ncbi.nlm.nih.gov/29171774</v>
      </c>
      <c r="F205" s="92" t="s">
        <v>511</v>
      </c>
      <c r="G205" s="92" t="s">
        <v>4592</v>
      </c>
      <c r="H205" s="92"/>
      <c r="I205" s="92"/>
      <c r="J205" s="92"/>
      <c r="K205" s="92"/>
      <c r="L205" s="92"/>
      <c r="M205" s="92"/>
      <c r="N205" s="92"/>
      <c r="O205" s="92"/>
      <c r="P205" s="92"/>
      <c r="Q205" s="92"/>
      <c r="R205" s="92"/>
      <c r="S205" s="92"/>
      <c r="T205" s="92"/>
      <c r="U205" s="92"/>
      <c r="V205" s="92"/>
      <c r="W205" s="92"/>
      <c r="X205" s="92"/>
      <c r="Y205" s="92"/>
      <c r="Z205" s="92"/>
    </row>
    <row r="206" spans="1:26" ht="12.75">
      <c r="A206" s="92" t="s">
        <v>6674</v>
      </c>
      <c r="B206" s="372">
        <v>2011</v>
      </c>
      <c r="C206" s="372">
        <v>21767103</v>
      </c>
      <c r="D206" s="373" t="s">
        <v>6675</v>
      </c>
      <c r="E206" s="261" t="str">
        <f t="shared" si="0"/>
        <v>https://pubmed.ncbi.nlm.nih.gov/21767103</v>
      </c>
      <c r="F206" s="92" t="s">
        <v>511</v>
      </c>
      <c r="G206" s="374" t="s">
        <v>4744</v>
      </c>
      <c r="H206" s="21"/>
      <c r="I206" s="92"/>
      <c r="J206" s="92"/>
      <c r="K206" s="92"/>
      <c r="L206" s="92"/>
      <c r="M206" s="92"/>
      <c r="N206" s="92"/>
      <c r="O206" s="92"/>
      <c r="P206" s="92"/>
      <c r="Q206" s="92"/>
      <c r="R206" s="92"/>
      <c r="S206" s="92"/>
      <c r="T206" s="92"/>
      <c r="U206" s="92"/>
      <c r="V206" s="92"/>
      <c r="W206" s="92"/>
      <c r="X206" s="92"/>
      <c r="Y206" s="92"/>
      <c r="Z206" s="92"/>
    </row>
    <row r="207" spans="1:26" ht="12.75">
      <c r="A207" s="92" t="s">
        <v>6676</v>
      </c>
      <c r="B207" s="372">
        <v>2005</v>
      </c>
      <c r="C207" s="372">
        <v>15868230</v>
      </c>
      <c r="D207" s="373"/>
      <c r="E207" s="261" t="str">
        <f t="shared" si="0"/>
        <v>https://pubmed.ncbi.nlm.nih.gov/15868230</v>
      </c>
      <c r="F207" s="92" t="s">
        <v>511</v>
      </c>
      <c r="G207" s="374" t="s">
        <v>4867</v>
      </c>
      <c r="H207" s="21"/>
      <c r="I207" s="92"/>
      <c r="J207" s="92"/>
      <c r="K207" s="92"/>
      <c r="L207" s="92"/>
      <c r="M207" s="92"/>
      <c r="N207" s="92"/>
      <c r="O207" s="92"/>
      <c r="P207" s="92"/>
      <c r="Q207" s="92"/>
      <c r="R207" s="92"/>
      <c r="S207" s="92"/>
      <c r="T207" s="92"/>
      <c r="U207" s="92"/>
      <c r="V207" s="92"/>
      <c r="W207" s="92"/>
      <c r="X207" s="92"/>
      <c r="Y207" s="92"/>
      <c r="Z207" s="92"/>
    </row>
    <row r="208" spans="1:26" ht="12.75">
      <c r="A208" s="92" t="s">
        <v>6677</v>
      </c>
      <c r="B208" s="372">
        <v>2014</v>
      </c>
      <c r="C208" s="372">
        <v>23564338</v>
      </c>
      <c r="D208" s="373" t="s">
        <v>6678</v>
      </c>
      <c r="E208" s="261" t="str">
        <f t="shared" si="0"/>
        <v>https://pubmed.ncbi.nlm.nih.gov/23564338</v>
      </c>
      <c r="F208" s="92" t="s">
        <v>511</v>
      </c>
      <c r="G208" s="92" t="s">
        <v>4592</v>
      </c>
      <c r="H208" s="92"/>
      <c r="I208" s="92"/>
      <c r="J208" s="92"/>
      <c r="K208" s="92"/>
      <c r="L208" s="92"/>
      <c r="M208" s="92"/>
      <c r="N208" s="92"/>
      <c r="O208" s="92"/>
      <c r="P208" s="92"/>
      <c r="Q208" s="92"/>
      <c r="R208" s="92"/>
      <c r="S208" s="92"/>
      <c r="T208" s="92"/>
      <c r="U208" s="92"/>
      <c r="V208" s="92"/>
      <c r="W208" s="92"/>
      <c r="X208" s="92"/>
      <c r="Y208" s="92"/>
      <c r="Z208" s="92"/>
    </row>
    <row r="209" spans="1:26" ht="12.75">
      <c r="A209" s="92" t="s">
        <v>632</v>
      </c>
      <c r="B209" s="372">
        <v>2018</v>
      </c>
      <c r="C209" s="372">
        <v>29389671</v>
      </c>
      <c r="D209" s="373" t="s">
        <v>4095</v>
      </c>
      <c r="E209" s="376" t="str">
        <f t="shared" si="0"/>
        <v>https://pubmed.ncbi.nlm.nih.gov/29389671</v>
      </c>
      <c r="F209" s="21"/>
      <c r="G209" s="92"/>
      <c r="H209" s="92" t="s">
        <v>511</v>
      </c>
      <c r="I209" s="92"/>
      <c r="J209" s="92"/>
      <c r="K209" s="92"/>
      <c r="L209" s="92"/>
      <c r="M209" s="92"/>
      <c r="N209" s="92"/>
      <c r="O209" s="92"/>
      <c r="P209" s="92"/>
      <c r="Q209" s="92"/>
      <c r="R209" s="92"/>
      <c r="S209" s="92"/>
      <c r="T209" s="92"/>
      <c r="U209" s="92"/>
      <c r="V209" s="92"/>
      <c r="W209" s="92"/>
      <c r="X209" s="92"/>
      <c r="Y209" s="92"/>
      <c r="Z209" s="92"/>
    </row>
    <row r="210" spans="1:26" ht="12.75">
      <c r="A210" s="92" t="s">
        <v>6679</v>
      </c>
      <c r="B210" s="372">
        <v>2018</v>
      </c>
      <c r="C210" s="372">
        <v>30488948</v>
      </c>
      <c r="D210" s="373" t="s">
        <v>6680</v>
      </c>
      <c r="E210" s="261" t="str">
        <f t="shared" si="0"/>
        <v>https://pubmed.ncbi.nlm.nih.gov/30488948</v>
      </c>
      <c r="F210" s="92" t="s">
        <v>511</v>
      </c>
      <c r="G210" s="92" t="s">
        <v>8412</v>
      </c>
      <c r="H210" s="92"/>
      <c r="I210" s="92"/>
      <c r="J210" s="92"/>
      <c r="K210" s="92"/>
      <c r="L210" s="92"/>
      <c r="M210" s="92"/>
      <c r="N210" s="92"/>
      <c r="O210" s="92"/>
      <c r="P210" s="92"/>
      <c r="Q210" s="92"/>
      <c r="R210" s="92"/>
      <c r="S210" s="92"/>
      <c r="T210" s="92"/>
      <c r="U210" s="92"/>
      <c r="V210" s="92"/>
      <c r="W210" s="92"/>
      <c r="X210" s="92"/>
      <c r="Y210" s="92"/>
      <c r="Z210" s="92"/>
    </row>
    <row r="211" spans="1:26" ht="12.75">
      <c r="A211" s="92" t="s">
        <v>6681</v>
      </c>
      <c r="B211" s="372">
        <v>2015</v>
      </c>
      <c r="C211" s="372">
        <v>26098746</v>
      </c>
      <c r="D211" s="373" t="s">
        <v>6682</v>
      </c>
      <c r="E211" s="261" t="str">
        <f t="shared" si="0"/>
        <v>https://pubmed.ncbi.nlm.nih.gov/26098746</v>
      </c>
      <c r="F211" s="92" t="s">
        <v>511</v>
      </c>
      <c r="G211" s="92" t="s">
        <v>4592</v>
      </c>
      <c r="H211" s="92"/>
      <c r="I211" s="92"/>
      <c r="J211" s="92"/>
      <c r="K211" s="92"/>
      <c r="L211" s="92"/>
      <c r="M211" s="92"/>
      <c r="N211" s="92"/>
      <c r="O211" s="92"/>
      <c r="P211" s="92"/>
      <c r="Q211" s="92"/>
      <c r="R211" s="92"/>
      <c r="S211" s="92"/>
      <c r="T211" s="92"/>
      <c r="U211" s="92"/>
      <c r="V211" s="92"/>
      <c r="W211" s="92"/>
      <c r="X211" s="92"/>
      <c r="Y211" s="92"/>
      <c r="Z211" s="92"/>
    </row>
    <row r="212" spans="1:26" ht="12.75">
      <c r="A212" s="92" t="s">
        <v>6683</v>
      </c>
      <c r="B212" s="372">
        <v>2006</v>
      </c>
      <c r="C212" s="372">
        <v>17283610</v>
      </c>
      <c r="D212" s="373" t="s">
        <v>6684</v>
      </c>
      <c r="E212" s="261" t="str">
        <f t="shared" si="0"/>
        <v>https://pubmed.ncbi.nlm.nih.gov/17283610</v>
      </c>
      <c r="F212" s="92" t="s">
        <v>511</v>
      </c>
      <c r="G212" s="92" t="s">
        <v>4592</v>
      </c>
      <c r="H212" s="92"/>
      <c r="I212" s="92"/>
      <c r="J212" s="92"/>
      <c r="K212" s="92"/>
      <c r="L212" s="92"/>
      <c r="M212" s="92"/>
      <c r="N212" s="92"/>
      <c r="O212" s="92"/>
      <c r="P212" s="92"/>
      <c r="Q212" s="92"/>
      <c r="R212" s="92"/>
      <c r="S212" s="92"/>
      <c r="T212" s="92"/>
      <c r="U212" s="92"/>
      <c r="V212" s="92"/>
      <c r="W212" s="92"/>
      <c r="X212" s="92"/>
      <c r="Y212" s="92"/>
      <c r="Z212" s="92"/>
    </row>
    <row r="213" spans="1:26" ht="12.75">
      <c r="A213" s="92" t="s">
        <v>6685</v>
      </c>
      <c r="B213" s="372">
        <v>2019</v>
      </c>
      <c r="C213" s="372">
        <v>31479100</v>
      </c>
      <c r="D213" s="373" t="s">
        <v>6686</v>
      </c>
      <c r="E213" s="261" t="str">
        <f t="shared" si="0"/>
        <v>https://pubmed.ncbi.nlm.nih.gov/31479100</v>
      </c>
      <c r="F213" s="92" t="s">
        <v>511</v>
      </c>
      <c r="G213" s="374" t="s">
        <v>6687</v>
      </c>
      <c r="H213" s="21"/>
      <c r="I213" s="92"/>
      <c r="J213" s="92"/>
      <c r="K213" s="92"/>
      <c r="L213" s="92"/>
      <c r="M213" s="92"/>
      <c r="N213" s="92"/>
      <c r="O213" s="92"/>
      <c r="P213" s="92"/>
      <c r="Q213" s="92"/>
      <c r="R213" s="92"/>
      <c r="S213" s="92"/>
      <c r="T213" s="92"/>
      <c r="U213" s="92"/>
      <c r="V213" s="92"/>
      <c r="W213" s="92"/>
      <c r="X213" s="92"/>
      <c r="Y213" s="92"/>
      <c r="Z213" s="92"/>
    </row>
    <row r="214" spans="1:26" ht="12.75">
      <c r="A214" s="92" t="s">
        <v>6688</v>
      </c>
      <c r="B214" s="372">
        <v>2002</v>
      </c>
      <c r="C214" s="372">
        <v>12122828</v>
      </c>
      <c r="D214" s="373"/>
      <c r="E214" s="261" t="str">
        <f t="shared" si="0"/>
        <v>https://pubmed.ncbi.nlm.nih.gov/12122828</v>
      </c>
      <c r="F214" s="92" t="s">
        <v>511</v>
      </c>
      <c r="G214" s="92" t="s">
        <v>4592</v>
      </c>
      <c r="H214" s="92"/>
      <c r="I214" s="92"/>
      <c r="J214" s="92"/>
      <c r="K214" s="92"/>
      <c r="L214" s="92"/>
      <c r="M214" s="92"/>
      <c r="N214" s="92"/>
      <c r="O214" s="92"/>
      <c r="P214" s="92"/>
      <c r="Q214" s="92"/>
      <c r="R214" s="92"/>
      <c r="S214" s="92"/>
      <c r="T214" s="92"/>
      <c r="U214" s="92"/>
      <c r="V214" s="92"/>
      <c r="W214" s="92"/>
      <c r="X214" s="92"/>
      <c r="Y214" s="92"/>
      <c r="Z214" s="92"/>
    </row>
    <row r="215" spans="1:26" ht="12.75">
      <c r="A215" s="92" t="s">
        <v>6689</v>
      </c>
      <c r="B215" s="372">
        <v>2013</v>
      </c>
      <c r="C215" s="372">
        <v>24014191</v>
      </c>
      <c r="D215" s="373"/>
      <c r="E215" s="261" t="str">
        <f t="shared" si="0"/>
        <v>https://pubmed.ncbi.nlm.nih.gov/24014191</v>
      </c>
      <c r="F215" s="92" t="s">
        <v>511</v>
      </c>
      <c r="G215" s="92" t="s">
        <v>4592</v>
      </c>
      <c r="H215" s="92"/>
      <c r="I215" s="92"/>
      <c r="J215" s="92"/>
      <c r="K215" s="92"/>
      <c r="L215" s="92"/>
      <c r="M215" s="92"/>
      <c r="N215" s="92"/>
      <c r="O215" s="92"/>
      <c r="P215" s="92"/>
      <c r="Q215" s="92"/>
      <c r="R215" s="92"/>
      <c r="S215" s="92"/>
      <c r="T215" s="92"/>
      <c r="U215" s="92"/>
      <c r="V215" s="92"/>
      <c r="W215" s="92"/>
      <c r="X215" s="92"/>
      <c r="Y215" s="92"/>
      <c r="Z215" s="92"/>
    </row>
    <row r="216" spans="1:26" ht="12.75">
      <c r="A216" s="92" t="s">
        <v>6689</v>
      </c>
      <c r="B216" s="372">
        <v>2009</v>
      </c>
      <c r="C216" s="372">
        <v>19588358</v>
      </c>
      <c r="D216" s="373"/>
      <c r="E216" s="261" t="str">
        <f t="shared" si="0"/>
        <v>https://pubmed.ncbi.nlm.nih.gov/19588358</v>
      </c>
      <c r="F216" s="92" t="s">
        <v>511</v>
      </c>
      <c r="G216" s="92" t="s">
        <v>4592</v>
      </c>
      <c r="H216" s="92"/>
      <c r="I216" s="92"/>
      <c r="J216" s="92"/>
      <c r="K216" s="92"/>
      <c r="L216" s="92"/>
      <c r="M216" s="92"/>
      <c r="N216" s="92"/>
      <c r="O216" s="92"/>
      <c r="P216" s="92"/>
      <c r="Q216" s="92"/>
      <c r="R216" s="92"/>
      <c r="S216" s="92"/>
      <c r="T216" s="92"/>
      <c r="U216" s="92"/>
      <c r="V216" s="92"/>
      <c r="W216" s="92"/>
      <c r="X216" s="92"/>
      <c r="Y216" s="92"/>
      <c r="Z216" s="92"/>
    </row>
    <row r="217" spans="1:26" ht="12.75">
      <c r="A217" s="92" t="s">
        <v>6690</v>
      </c>
      <c r="B217" s="372">
        <v>2007</v>
      </c>
      <c r="C217" s="372">
        <v>17684335</v>
      </c>
      <c r="D217" s="373"/>
      <c r="E217" s="261" t="str">
        <f t="shared" si="0"/>
        <v>https://pubmed.ncbi.nlm.nih.gov/17684335</v>
      </c>
      <c r="F217" s="92" t="s">
        <v>511</v>
      </c>
      <c r="G217" s="92" t="s">
        <v>4592</v>
      </c>
      <c r="H217" s="92"/>
      <c r="I217" s="92"/>
      <c r="J217" s="92"/>
      <c r="K217" s="92"/>
      <c r="L217" s="92"/>
      <c r="M217" s="92"/>
      <c r="N217" s="92"/>
      <c r="O217" s="92"/>
      <c r="P217" s="92"/>
      <c r="Q217" s="92"/>
      <c r="R217" s="92"/>
      <c r="S217" s="92"/>
      <c r="T217" s="92"/>
      <c r="U217" s="92"/>
      <c r="V217" s="92"/>
      <c r="W217" s="92"/>
      <c r="X217" s="92"/>
      <c r="Y217" s="92"/>
      <c r="Z217" s="92"/>
    </row>
    <row r="218" spans="1:26" ht="12.75">
      <c r="A218" s="92" t="s">
        <v>6691</v>
      </c>
      <c r="B218" s="372">
        <v>2017</v>
      </c>
      <c r="C218" s="372">
        <v>27884476</v>
      </c>
      <c r="D218" s="373"/>
      <c r="E218" s="261" t="str">
        <f t="shared" si="0"/>
        <v>https://pubmed.ncbi.nlm.nih.gov/27884476</v>
      </c>
      <c r="F218" s="92" t="s">
        <v>511</v>
      </c>
      <c r="G218" s="374" t="s">
        <v>6692</v>
      </c>
      <c r="H218" s="21"/>
      <c r="I218" s="92"/>
      <c r="J218" s="92"/>
      <c r="K218" s="92"/>
      <c r="L218" s="92"/>
      <c r="M218" s="92"/>
      <c r="N218" s="92"/>
      <c r="O218" s="92"/>
      <c r="P218" s="92"/>
      <c r="Q218" s="92"/>
      <c r="R218" s="92"/>
      <c r="S218" s="92"/>
      <c r="T218" s="92"/>
      <c r="U218" s="92"/>
      <c r="V218" s="92"/>
      <c r="W218" s="92"/>
      <c r="X218" s="92"/>
      <c r="Y218" s="92"/>
      <c r="Z218" s="92"/>
    </row>
    <row r="219" spans="1:26" ht="12.75">
      <c r="A219" s="92" t="s">
        <v>6693</v>
      </c>
      <c r="B219" s="372">
        <v>2009</v>
      </c>
      <c r="C219" s="372">
        <v>19327956</v>
      </c>
      <c r="D219" s="373"/>
      <c r="E219" s="261" t="str">
        <f t="shared" si="0"/>
        <v>https://pubmed.ncbi.nlm.nih.gov/19327956</v>
      </c>
      <c r="F219" s="92" t="s">
        <v>511</v>
      </c>
      <c r="G219" s="374" t="s">
        <v>6694</v>
      </c>
      <c r="H219" s="21"/>
      <c r="I219" s="21"/>
      <c r="J219" s="92"/>
      <c r="K219" s="92"/>
      <c r="L219" s="92"/>
      <c r="M219" s="92"/>
      <c r="N219" s="92"/>
      <c r="O219" s="92"/>
      <c r="P219" s="92"/>
      <c r="Q219" s="92"/>
      <c r="R219" s="92"/>
      <c r="S219" s="92"/>
      <c r="T219" s="92"/>
      <c r="U219" s="92"/>
      <c r="V219" s="92"/>
      <c r="W219" s="92"/>
      <c r="X219" s="92"/>
      <c r="Y219" s="92"/>
      <c r="Z219" s="92"/>
    </row>
    <row r="220" spans="1:26" ht="12.75">
      <c r="A220" s="92" t="s">
        <v>6695</v>
      </c>
      <c r="B220" s="372">
        <v>2015</v>
      </c>
      <c r="C220" s="372">
        <v>25922858</v>
      </c>
      <c r="D220" s="373"/>
      <c r="E220" s="261" t="str">
        <f t="shared" si="0"/>
        <v>https://pubmed.ncbi.nlm.nih.gov/25922858</v>
      </c>
      <c r="F220" s="92" t="s">
        <v>511</v>
      </c>
      <c r="G220" s="92" t="s">
        <v>5273</v>
      </c>
      <c r="H220" s="92"/>
      <c r="I220" s="92"/>
      <c r="J220" s="92"/>
      <c r="K220" s="92"/>
      <c r="L220" s="92"/>
      <c r="M220" s="92"/>
      <c r="N220" s="92"/>
      <c r="O220" s="92"/>
      <c r="P220" s="92"/>
      <c r="Q220" s="92"/>
      <c r="R220" s="92"/>
      <c r="S220" s="92"/>
      <c r="T220" s="92"/>
      <c r="U220" s="92"/>
      <c r="V220" s="92"/>
      <c r="W220" s="92"/>
      <c r="X220" s="92"/>
      <c r="Y220" s="92"/>
      <c r="Z220" s="92"/>
    </row>
    <row r="221" spans="1:26" ht="12.75">
      <c r="A221" s="92" t="s">
        <v>6696</v>
      </c>
      <c r="B221" s="372">
        <v>2016</v>
      </c>
      <c r="C221" s="372">
        <v>26772902</v>
      </c>
      <c r="D221" s="373" t="s">
        <v>6697</v>
      </c>
      <c r="E221" s="261" t="str">
        <f t="shared" si="0"/>
        <v>https://pubmed.ncbi.nlm.nih.gov/26772902</v>
      </c>
      <c r="F221" s="92" t="s">
        <v>511</v>
      </c>
      <c r="G221" s="92" t="s">
        <v>4592</v>
      </c>
      <c r="H221" s="92"/>
      <c r="I221" s="92"/>
      <c r="J221" s="92"/>
      <c r="K221" s="92"/>
      <c r="L221" s="92"/>
      <c r="M221" s="92"/>
      <c r="N221" s="92"/>
      <c r="O221" s="92"/>
      <c r="P221" s="92"/>
      <c r="Q221" s="92"/>
      <c r="R221" s="92"/>
      <c r="S221" s="92"/>
      <c r="T221" s="92"/>
      <c r="U221" s="92"/>
      <c r="V221" s="92"/>
      <c r="W221" s="92"/>
      <c r="X221" s="92"/>
      <c r="Y221" s="92"/>
      <c r="Z221" s="92"/>
    </row>
    <row r="222" spans="1:26" ht="12.75">
      <c r="A222" s="92" t="s">
        <v>6698</v>
      </c>
      <c r="B222" s="372">
        <v>2005</v>
      </c>
      <c r="C222" s="372">
        <v>16061267</v>
      </c>
      <c r="D222" s="373"/>
      <c r="E222" s="261" t="str">
        <f t="shared" si="0"/>
        <v>https://pubmed.ncbi.nlm.nih.gov/16061267</v>
      </c>
      <c r="F222" s="92" t="s">
        <v>511</v>
      </c>
      <c r="G222" s="374" t="s">
        <v>4346</v>
      </c>
      <c r="H222" s="92"/>
      <c r="I222" s="92"/>
      <c r="J222" s="92"/>
      <c r="K222" s="92"/>
      <c r="L222" s="92"/>
      <c r="M222" s="92"/>
      <c r="N222" s="92"/>
      <c r="O222" s="92"/>
      <c r="P222" s="92"/>
      <c r="Q222" s="92"/>
      <c r="R222" s="92"/>
      <c r="S222" s="92"/>
      <c r="T222" s="92"/>
      <c r="U222" s="92"/>
      <c r="V222" s="92"/>
      <c r="W222" s="92"/>
      <c r="X222" s="92"/>
      <c r="Y222" s="92"/>
      <c r="Z222" s="92"/>
    </row>
    <row r="223" spans="1:26" ht="12.75">
      <c r="A223" s="92" t="s">
        <v>6699</v>
      </c>
      <c r="B223" s="372">
        <v>2018</v>
      </c>
      <c r="C223" s="372">
        <v>29390169</v>
      </c>
      <c r="D223" s="373" t="s">
        <v>6700</v>
      </c>
      <c r="E223" s="261" t="str">
        <f t="shared" si="0"/>
        <v>https://pubmed.ncbi.nlm.nih.gov/29390169</v>
      </c>
      <c r="F223" s="92" t="s">
        <v>511</v>
      </c>
      <c r="G223" s="92" t="s">
        <v>4592</v>
      </c>
      <c r="H223" s="92"/>
      <c r="I223" s="92"/>
      <c r="J223" s="92"/>
      <c r="K223" s="92"/>
      <c r="L223" s="92"/>
      <c r="M223" s="92"/>
      <c r="N223" s="92"/>
      <c r="O223" s="92"/>
      <c r="P223" s="92"/>
      <c r="Q223" s="92"/>
      <c r="R223" s="92"/>
      <c r="S223" s="92"/>
      <c r="T223" s="92"/>
      <c r="U223" s="92"/>
      <c r="V223" s="92"/>
      <c r="W223" s="92"/>
      <c r="X223" s="92"/>
      <c r="Y223" s="92"/>
      <c r="Z223" s="92"/>
    </row>
    <row r="224" spans="1:26" ht="12.75">
      <c r="A224" s="92" t="s">
        <v>6701</v>
      </c>
      <c r="B224" s="372">
        <v>2020</v>
      </c>
      <c r="C224" s="372">
        <v>32859477</v>
      </c>
      <c r="D224" s="373" t="s">
        <v>6702</v>
      </c>
      <c r="E224" s="261" t="str">
        <f t="shared" si="0"/>
        <v>https://pubmed.ncbi.nlm.nih.gov/32859477</v>
      </c>
      <c r="F224" s="92" t="s">
        <v>511</v>
      </c>
      <c r="G224" s="374" t="s">
        <v>6703</v>
      </c>
      <c r="H224" s="21"/>
      <c r="I224" s="21"/>
      <c r="J224" s="92"/>
      <c r="K224" s="92"/>
      <c r="L224" s="92"/>
      <c r="M224" s="92"/>
      <c r="N224" s="92"/>
      <c r="O224" s="92"/>
      <c r="P224" s="92"/>
      <c r="Q224" s="92"/>
      <c r="R224" s="92"/>
      <c r="S224" s="92"/>
      <c r="T224" s="92"/>
      <c r="U224" s="92"/>
      <c r="V224" s="92"/>
      <c r="W224" s="92"/>
      <c r="X224" s="92"/>
      <c r="Y224" s="92"/>
      <c r="Z224" s="92"/>
    </row>
    <row r="225" spans="1:26" ht="12.75">
      <c r="A225" s="92" t="s">
        <v>6704</v>
      </c>
      <c r="B225" s="372">
        <v>2008</v>
      </c>
      <c r="C225" s="372">
        <v>18308908</v>
      </c>
      <c r="D225" s="373"/>
      <c r="E225" s="261" t="str">
        <f t="shared" si="0"/>
        <v>https://pubmed.ncbi.nlm.nih.gov/18308908</v>
      </c>
      <c r="F225" s="92" t="s">
        <v>511</v>
      </c>
      <c r="G225" s="374" t="s">
        <v>5299</v>
      </c>
      <c r="H225" s="21"/>
      <c r="I225" s="92"/>
      <c r="J225" s="92"/>
      <c r="K225" s="92"/>
      <c r="L225" s="92"/>
      <c r="M225" s="92"/>
      <c r="N225" s="92"/>
      <c r="O225" s="92"/>
      <c r="P225" s="92"/>
      <c r="Q225" s="92"/>
      <c r="R225" s="92"/>
      <c r="S225" s="92"/>
      <c r="T225" s="92"/>
      <c r="U225" s="92"/>
      <c r="V225" s="92"/>
      <c r="W225" s="92"/>
      <c r="X225" s="92"/>
      <c r="Y225" s="92"/>
      <c r="Z225" s="92"/>
    </row>
    <row r="226" spans="1:26" ht="12.75">
      <c r="A226" s="92" t="s">
        <v>6705</v>
      </c>
      <c r="B226" s="372">
        <v>2019</v>
      </c>
      <c r="C226" s="372">
        <v>31623894</v>
      </c>
      <c r="D226" s="373" t="s">
        <v>6706</v>
      </c>
      <c r="E226" s="261" t="str">
        <f t="shared" si="0"/>
        <v>https://pubmed.ncbi.nlm.nih.gov/31623894</v>
      </c>
      <c r="F226" s="92" t="s">
        <v>511</v>
      </c>
      <c r="G226" s="374" t="s">
        <v>4744</v>
      </c>
      <c r="H226" s="21"/>
      <c r="I226" s="92"/>
      <c r="J226" s="92"/>
      <c r="K226" s="92"/>
      <c r="L226" s="92"/>
      <c r="M226" s="92"/>
      <c r="N226" s="92"/>
      <c r="O226" s="92"/>
      <c r="P226" s="92"/>
      <c r="Q226" s="92"/>
      <c r="R226" s="92"/>
      <c r="S226" s="92"/>
      <c r="T226" s="92"/>
      <c r="U226" s="92"/>
      <c r="V226" s="92"/>
      <c r="W226" s="92"/>
      <c r="X226" s="92"/>
      <c r="Y226" s="92"/>
      <c r="Z226" s="92"/>
    </row>
    <row r="227" spans="1:26" ht="12.75">
      <c r="A227" s="92" t="s">
        <v>6707</v>
      </c>
      <c r="B227" s="372">
        <v>2017</v>
      </c>
      <c r="C227" s="372">
        <v>27866765</v>
      </c>
      <c r="D227" s="373"/>
      <c r="E227" s="261" t="str">
        <f t="shared" si="0"/>
        <v>https://pubmed.ncbi.nlm.nih.gov/27866765</v>
      </c>
      <c r="F227" s="92" t="s">
        <v>511</v>
      </c>
      <c r="G227" s="374" t="s">
        <v>6708</v>
      </c>
      <c r="H227" s="21"/>
      <c r="I227" s="92"/>
      <c r="J227" s="92"/>
      <c r="K227" s="92"/>
      <c r="L227" s="92"/>
      <c r="M227" s="92"/>
      <c r="N227" s="92"/>
      <c r="O227" s="92"/>
      <c r="P227" s="92"/>
      <c r="Q227" s="92"/>
      <c r="R227" s="92"/>
      <c r="S227" s="92"/>
      <c r="T227" s="92"/>
      <c r="U227" s="92"/>
      <c r="V227" s="92"/>
      <c r="W227" s="92"/>
      <c r="X227" s="92"/>
      <c r="Y227" s="92"/>
      <c r="Z227" s="92"/>
    </row>
    <row r="228" spans="1:26" ht="12.75">
      <c r="A228" s="92" t="s">
        <v>6709</v>
      </c>
      <c r="B228" s="372">
        <v>2009</v>
      </c>
      <c r="C228" s="372">
        <v>19566925</v>
      </c>
      <c r="D228" s="373" t="s">
        <v>6710</v>
      </c>
      <c r="E228" s="261" t="str">
        <f t="shared" si="0"/>
        <v>https://pubmed.ncbi.nlm.nih.gov/19566925</v>
      </c>
      <c r="F228" s="92" t="s">
        <v>511</v>
      </c>
      <c r="G228" s="374" t="s">
        <v>4744</v>
      </c>
      <c r="H228" s="21"/>
      <c r="I228" s="92"/>
      <c r="J228" s="92"/>
      <c r="K228" s="92"/>
      <c r="L228" s="92"/>
      <c r="M228" s="92"/>
      <c r="N228" s="92"/>
      <c r="O228" s="92"/>
      <c r="P228" s="92"/>
      <c r="Q228" s="92"/>
      <c r="R228" s="92"/>
      <c r="S228" s="92"/>
      <c r="T228" s="92"/>
      <c r="U228" s="92"/>
      <c r="V228" s="92"/>
      <c r="W228" s="92"/>
      <c r="X228" s="92"/>
      <c r="Y228" s="92"/>
      <c r="Z228" s="92"/>
    </row>
    <row r="229" spans="1:26" ht="12.75">
      <c r="A229" s="92" t="s">
        <v>6711</v>
      </c>
      <c r="B229" s="372">
        <v>2020</v>
      </c>
      <c r="C229" s="372">
        <v>32147025</v>
      </c>
      <c r="D229" s="373"/>
      <c r="E229" s="261" t="str">
        <f t="shared" si="0"/>
        <v>https://pubmed.ncbi.nlm.nih.gov/32147025</v>
      </c>
      <c r="F229" s="92" t="s">
        <v>511</v>
      </c>
      <c r="G229" s="374" t="s">
        <v>6712</v>
      </c>
      <c r="H229" s="21"/>
      <c r="I229" s="92"/>
      <c r="J229" s="92"/>
      <c r="K229" s="92"/>
      <c r="L229" s="92"/>
      <c r="M229" s="92"/>
      <c r="N229" s="92"/>
      <c r="O229" s="92"/>
      <c r="P229" s="92"/>
      <c r="Q229" s="92"/>
      <c r="R229" s="92"/>
      <c r="S229" s="92"/>
      <c r="T229" s="92"/>
      <c r="U229" s="92"/>
      <c r="V229" s="92"/>
      <c r="W229" s="92"/>
      <c r="X229" s="92"/>
      <c r="Y229" s="92"/>
      <c r="Z229" s="92"/>
    </row>
    <row r="230" spans="1:26" ht="12.75">
      <c r="A230" s="92" t="s">
        <v>6713</v>
      </c>
      <c r="B230" s="372">
        <v>2015</v>
      </c>
      <c r="C230" s="372">
        <v>25855760</v>
      </c>
      <c r="D230" s="373"/>
      <c r="E230" s="261" t="str">
        <f t="shared" si="0"/>
        <v>https://pubmed.ncbi.nlm.nih.gov/25855760</v>
      </c>
      <c r="F230" s="92" t="s">
        <v>511</v>
      </c>
      <c r="G230" s="374" t="s">
        <v>4867</v>
      </c>
      <c r="H230" s="21"/>
      <c r="I230" s="92"/>
      <c r="J230" s="92"/>
      <c r="K230" s="92"/>
      <c r="L230" s="92"/>
      <c r="M230" s="92"/>
      <c r="N230" s="92"/>
      <c r="O230" s="92"/>
      <c r="P230" s="92"/>
      <c r="Q230" s="92"/>
      <c r="R230" s="92"/>
      <c r="S230" s="92"/>
      <c r="T230" s="92"/>
      <c r="U230" s="92"/>
      <c r="V230" s="92"/>
      <c r="W230" s="92"/>
      <c r="X230" s="92"/>
      <c r="Y230" s="92"/>
      <c r="Z230" s="92"/>
    </row>
    <row r="231" spans="1:26" ht="12.75">
      <c r="A231" s="92" t="s">
        <v>6714</v>
      </c>
      <c r="B231" s="372">
        <v>2018</v>
      </c>
      <c r="C231" s="372">
        <v>29269418</v>
      </c>
      <c r="D231" s="373"/>
      <c r="E231" s="261" t="str">
        <f t="shared" si="0"/>
        <v>https://pubmed.ncbi.nlm.nih.gov/29269418</v>
      </c>
      <c r="F231" s="92" t="s">
        <v>511</v>
      </c>
      <c r="G231" s="374" t="s">
        <v>6715</v>
      </c>
      <c r="H231" s="21"/>
      <c r="I231" s="92"/>
      <c r="J231" s="92"/>
      <c r="K231" s="92"/>
      <c r="L231" s="92"/>
      <c r="M231" s="92"/>
      <c r="N231" s="92"/>
      <c r="O231" s="92"/>
      <c r="P231" s="92"/>
      <c r="Q231" s="92"/>
      <c r="R231" s="92"/>
      <c r="S231" s="92"/>
      <c r="T231" s="92"/>
      <c r="U231" s="92"/>
      <c r="V231" s="92"/>
      <c r="W231" s="92"/>
      <c r="X231" s="92"/>
      <c r="Y231" s="92"/>
      <c r="Z231" s="92"/>
    </row>
    <row r="232" spans="1:26" ht="12.75">
      <c r="A232" s="92" t="s">
        <v>6716</v>
      </c>
      <c r="B232" s="372">
        <v>2019</v>
      </c>
      <c r="C232" s="372">
        <v>31567928</v>
      </c>
      <c r="D232" s="373"/>
      <c r="E232" s="261" t="str">
        <f t="shared" si="0"/>
        <v>https://pubmed.ncbi.nlm.nih.gov/31567928</v>
      </c>
      <c r="F232" s="92" t="s">
        <v>511</v>
      </c>
      <c r="G232" s="374" t="s">
        <v>5157</v>
      </c>
      <c r="H232" s="21"/>
      <c r="I232" s="21"/>
      <c r="J232" s="92"/>
      <c r="K232" s="92"/>
      <c r="L232" s="92"/>
      <c r="M232" s="92"/>
      <c r="N232" s="92"/>
      <c r="O232" s="92"/>
      <c r="P232" s="92"/>
      <c r="Q232" s="92"/>
      <c r="R232" s="92"/>
      <c r="S232" s="92"/>
      <c r="T232" s="92"/>
      <c r="U232" s="92"/>
      <c r="V232" s="92"/>
      <c r="W232" s="92"/>
      <c r="X232" s="92"/>
      <c r="Y232" s="92"/>
      <c r="Z232" s="92"/>
    </row>
    <row r="233" spans="1:26" ht="12.75">
      <c r="A233" s="92" t="s">
        <v>6717</v>
      </c>
      <c r="B233" s="372">
        <v>2008</v>
      </c>
      <c r="C233" s="372">
        <v>18479659</v>
      </c>
      <c r="D233" s="92"/>
      <c r="E233" s="261" t="str">
        <f t="shared" si="0"/>
        <v>https://pubmed.ncbi.nlm.nih.gov/18479659</v>
      </c>
      <c r="F233" s="92" t="s">
        <v>511</v>
      </c>
      <c r="G233" s="374" t="s">
        <v>5157</v>
      </c>
      <c r="H233" s="21"/>
      <c r="I233" s="21"/>
      <c r="J233" s="92"/>
      <c r="K233" s="92"/>
      <c r="L233" s="92"/>
      <c r="M233" s="92"/>
      <c r="N233" s="92"/>
      <c r="O233" s="92"/>
      <c r="P233" s="92"/>
      <c r="Q233" s="92"/>
      <c r="R233" s="92"/>
      <c r="S233" s="92"/>
      <c r="T233" s="92"/>
      <c r="U233" s="92"/>
      <c r="V233" s="92"/>
      <c r="W233" s="92"/>
      <c r="X233" s="92"/>
      <c r="Y233" s="92"/>
      <c r="Z233" s="92"/>
    </row>
    <row r="234" spans="1:26" ht="12.75">
      <c r="A234" s="92" t="s">
        <v>6718</v>
      </c>
      <c r="B234" s="372">
        <v>2002</v>
      </c>
      <c r="C234" s="372">
        <v>11952024</v>
      </c>
      <c r="D234" s="373"/>
      <c r="E234" s="261" t="str">
        <f t="shared" si="0"/>
        <v>https://pubmed.ncbi.nlm.nih.gov/11952024</v>
      </c>
      <c r="F234" s="92" t="s">
        <v>511</v>
      </c>
      <c r="G234" s="374" t="s">
        <v>4867</v>
      </c>
      <c r="H234" s="92"/>
      <c r="I234" s="92" t="s">
        <v>6460</v>
      </c>
      <c r="J234" s="92"/>
      <c r="K234" s="92"/>
      <c r="L234" s="92"/>
      <c r="M234" s="92"/>
      <c r="N234" s="92"/>
      <c r="O234" s="92"/>
      <c r="P234" s="92"/>
      <c r="Q234" s="92"/>
      <c r="R234" s="92"/>
      <c r="S234" s="92"/>
      <c r="T234" s="92"/>
      <c r="U234" s="92"/>
      <c r="V234" s="92"/>
      <c r="W234" s="92"/>
      <c r="X234" s="92"/>
      <c r="Y234" s="92"/>
      <c r="Z234" s="92"/>
    </row>
    <row r="235" spans="1:26" ht="12.75">
      <c r="A235" s="92" t="s">
        <v>6719</v>
      </c>
      <c r="B235" s="372">
        <v>1999</v>
      </c>
      <c r="C235" s="372">
        <v>10524601</v>
      </c>
      <c r="D235" s="373" t="s">
        <v>6720</v>
      </c>
      <c r="E235" s="261" t="str">
        <f t="shared" si="0"/>
        <v>https://pubmed.ncbi.nlm.nih.gov/10524601</v>
      </c>
      <c r="F235" s="92" t="s">
        <v>511</v>
      </c>
      <c r="G235" s="374" t="s">
        <v>6721</v>
      </c>
      <c r="H235" s="21"/>
      <c r="I235" s="92"/>
      <c r="J235" s="92"/>
      <c r="K235" s="92"/>
      <c r="L235" s="92"/>
      <c r="M235" s="92"/>
      <c r="N235" s="92"/>
      <c r="O235" s="92"/>
      <c r="P235" s="92"/>
      <c r="Q235" s="92"/>
      <c r="R235" s="92"/>
      <c r="S235" s="92"/>
      <c r="T235" s="92"/>
      <c r="U235" s="92"/>
      <c r="V235" s="92"/>
      <c r="W235" s="92"/>
      <c r="X235" s="92"/>
      <c r="Y235" s="92"/>
      <c r="Z235" s="92"/>
    </row>
    <row r="236" spans="1:26" ht="12.75">
      <c r="A236" s="92" t="s">
        <v>6722</v>
      </c>
      <c r="B236" s="372">
        <v>2019</v>
      </c>
      <c r="C236" s="372">
        <v>30515970</v>
      </c>
      <c r="D236" s="373" t="s">
        <v>6723</v>
      </c>
      <c r="E236" s="261" t="str">
        <f t="shared" si="0"/>
        <v>https://pubmed.ncbi.nlm.nih.gov/30515970</v>
      </c>
      <c r="F236" s="92" t="s">
        <v>511</v>
      </c>
      <c r="G236" s="374" t="s">
        <v>5157</v>
      </c>
      <c r="H236" s="21"/>
      <c r="I236" s="21"/>
      <c r="J236" s="92"/>
      <c r="K236" s="92"/>
      <c r="L236" s="92"/>
      <c r="M236" s="92"/>
      <c r="N236" s="92"/>
      <c r="O236" s="92"/>
      <c r="P236" s="92"/>
      <c r="Q236" s="92"/>
      <c r="R236" s="92"/>
      <c r="S236" s="92"/>
      <c r="T236" s="92"/>
      <c r="U236" s="92"/>
      <c r="V236" s="92"/>
      <c r="W236" s="92"/>
      <c r="X236" s="92"/>
      <c r="Y236" s="92"/>
      <c r="Z236" s="92"/>
    </row>
    <row r="237" spans="1:26" ht="12.75">
      <c r="A237" s="92" t="s">
        <v>6724</v>
      </c>
      <c r="B237" s="372">
        <v>2009</v>
      </c>
      <c r="C237" s="372">
        <v>21289891</v>
      </c>
      <c r="D237" s="373" t="s">
        <v>6725</v>
      </c>
      <c r="E237" s="261" t="str">
        <f t="shared" si="0"/>
        <v>https://pubmed.ncbi.nlm.nih.gov/21289891</v>
      </c>
      <c r="F237" s="92" t="s">
        <v>511</v>
      </c>
      <c r="G237" s="92" t="s">
        <v>4592</v>
      </c>
      <c r="H237" s="92"/>
      <c r="I237" s="92"/>
      <c r="J237" s="92"/>
      <c r="K237" s="92"/>
      <c r="L237" s="92"/>
      <c r="M237" s="92"/>
      <c r="N237" s="92"/>
      <c r="O237" s="92"/>
      <c r="P237" s="92"/>
      <c r="Q237" s="92"/>
      <c r="R237" s="92"/>
      <c r="S237" s="92"/>
      <c r="T237" s="92"/>
      <c r="U237" s="92"/>
      <c r="V237" s="92"/>
      <c r="W237" s="92"/>
      <c r="X237" s="92"/>
      <c r="Y237" s="92"/>
      <c r="Z237" s="92"/>
    </row>
    <row r="238" spans="1:26" ht="12.75">
      <c r="A238" s="92" t="s">
        <v>6726</v>
      </c>
      <c r="B238" s="372">
        <v>2014</v>
      </c>
      <c r="C238" s="372">
        <v>24656411</v>
      </c>
      <c r="D238" s="92" t="s">
        <v>6727</v>
      </c>
      <c r="E238" s="261" t="str">
        <f t="shared" si="0"/>
        <v>https://pubmed.ncbi.nlm.nih.gov/24656411</v>
      </c>
      <c r="F238" s="92" t="s">
        <v>511</v>
      </c>
      <c r="G238" s="374" t="s">
        <v>4744</v>
      </c>
      <c r="H238" s="21"/>
      <c r="I238" s="92"/>
      <c r="J238" s="92"/>
      <c r="K238" s="92"/>
      <c r="L238" s="92"/>
      <c r="M238" s="92"/>
      <c r="N238" s="92"/>
      <c r="O238" s="92"/>
      <c r="P238" s="92"/>
      <c r="Q238" s="92"/>
      <c r="R238" s="92"/>
      <c r="S238" s="92"/>
      <c r="T238" s="92"/>
      <c r="U238" s="92"/>
      <c r="V238" s="92"/>
      <c r="W238" s="92"/>
      <c r="X238" s="92"/>
      <c r="Y238" s="92"/>
      <c r="Z238" s="92"/>
    </row>
    <row r="239" spans="1:26" ht="12.75">
      <c r="A239" s="92" t="s">
        <v>6728</v>
      </c>
      <c r="B239" s="372">
        <v>2021</v>
      </c>
      <c r="C239" s="372">
        <v>33499310</v>
      </c>
      <c r="D239" s="373" t="s">
        <v>6729</v>
      </c>
      <c r="E239" s="261" t="str">
        <f t="shared" si="0"/>
        <v>https://pubmed.ncbi.nlm.nih.gov/33499310</v>
      </c>
      <c r="F239" s="92" t="s">
        <v>511</v>
      </c>
      <c r="G239" s="92" t="s">
        <v>4592</v>
      </c>
      <c r="H239" s="92"/>
      <c r="I239" s="92"/>
      <c r="J239" s="92"/>
      <c r="K239" s="92"/>
      <c r="L239" s="92"/>
      <c r="M239" s="92"/>
      <c r="N239" s="92"/>
      <c r="O239" s="92"/>
      <c r="P239" s="92"/>
      <c r="Q239" s="92"/>
      <c r="R239" s="92"/>
      <c r="S239" s="92"/>
      <c r="T239" s="92"/>
      <c r="U239" s="92"/>
      <c r="V239" s="92"/>
      <c r="W239" s="92"/>
      <c r="X239" s="92"/>
      <c r="Y239" s="92"/>
      <c r="Z239" s="92"/>
    </row>
    <row r="240" spans="1:26" ht="12.75">
      <c r="A240" s="92" t="s">
        <v>6730</v>
      </c>
      <c r="B240" s="372">
        <v>2018</v>
      </c>
      <c r="C240" s="372">
        <v>30308319</v>
      </c>
      <c r="D240" s="373"/>
      <c r="E240" s="261" t="str">
        <f t="shared" si="0"/>
        <v>https://pubmed.ncbi.nlm.nih.gov/30308319</v>
      </c>
      <c r="F240" s="92" t="s">
        <v>511</v>
      </c>
      <c r="G240" s="92" t="s">
        <v>4592</v>
      </c>
      <c r="H240" s="92"/>
      <c r="I240" s="92"/>
      <c r="J240" s="92"/>
      <c r="K240" s="92"/>
      <c r="L240" s="92"/>
      <c r="M240" s="92"/>
      <c r="N240" s="92"/>
      <c r="O240" s="92"/>
      <c r="P240" s="92"/>
      <c r="Q240" s="92"/>
      <c r="R240" s="92"/>
      <c r="S240" s="92"/>
      <c r="T240" s="92"/>
      <c r="U240" s="92"/>
      <c r="V240" s="92"/>
      <c r="W240" s="92"/>
      <c r="X240" s="92"/>
      <c r="Y240" s="92"/>
      <c r="Z240" s="92"/>
    </row>
    <row r="241" spans="1:26" ht="12.75">
      <c r="A241" s="92" t="s">
        <v>6731</v>
      </c>
      <c r="B241" s="372">
        <v>2020</v>
      </c>
      <c r="C241" s="372">
        <v>31769533</v>
      </c>
      <c r="D241" s="373"/>
      <c r="E241" s="261" t="str">
        <f t="shared" si="0"/>
        <v>https://pubmed.ncbi.nlm.nih.gov/31769533</v>
      </c>
      <c r="F241" s="92" t="s">
        <v>511</v>
      </c>
      <c r="G241" s="374" t="s">
        <v>5299</v>
      </c>
      <c r="H241" s="21"/>
      <c r="I241" s="92"/>
      <c r="J241" s="92"/>
      <c r="K241" s="92"/>
      <c r="L241" s="92"/>
      <c r="M241" s="92"/>
      <c r="N241" s="92"/>
      <c r="O241" s="92"/>
      <c r="P241" s="92"/>
      <c r="Q241" s="92"/>
      <c r="R241" s="92"/>
      <c r="S241" s="92"/>
      <c r="T241" s="92"/>
      <c r="U241" s="92"/>
      <c r="V241" s="92"/>
      <c r="W241" s="92"/>
      <c r="X241" s="92"/>
      <c r="Y241" s="92"/>
      <c r="Z241" s="92"/>
    </row>
    <row r="242" spans="1:26" ht="12.75">
      <c r="A242" s="92" t="s">
        <v>6732</v>
      </c>
      <c r="B242" s="372">
        <v>2019</v>
      </c>
      <c r="C242" s="372">
        <v>31582358</v>
      </c>
      <c r="D242" s="373" t="s">
        <v>6733</v>
      </c>
      <c r="E242" s="261" t="str">
        <f t="shared" si="0"/>
        <v>https://pubmed.ncbi.nlm.nih.gov/31582358</v>
      </c>
      <c r="F242" s="92" t="s">
        <v>511</v>
      </c>
      <c r="G242" s="374" t="s">
        <v>4744</v>
      </c>
      <c r="H242" s="21"/>
      <c r="I242" s="92"/>
      <c r="J242" s="92"/>
      <c r="K242" s="92"/>
      <c r="L242" s="92"/>
      <c r="M242" s="92"/>
      <c r="N242" s="92"/>
      <c r="O242" s="92"/>
      <c r="P242" s="92"/>
      <c r="Q242" s="92"/>
      <c r="R242" s="92"/>
      <c r="S242" s="92"/>
      <c r="T242" s="92"/>
      <c r="U242" s="92"/>
      <c r="V242" s="92"/>
      <c r="W242" s="92"/>
      <c r="X242" s="92"/>
      <c r="Y242" s="92"/>
      <c r="Z242" s="92"/>
    </row>
    <row r="243" spans="1:26" ht="12.75">
      <c r="A243" s="92" t="s">
        <v>6734</v>
      </c>
      <c r="B243" s="372">
        <v>2007</v>
      </c>
      <c r="C243" s="372">
        <v>18035190</v>
      </c>
      <c r="D243" s="375"/>
      <c r="E243" s="261" t="str">
        <f t="shared" si="0"/>
        <v>https://pubmed.ncbi.nlm.nih.gov/18035190</v>
      </c>
      <c r="F243" s="92" t="s">
        <v>511</v>
      </c>
      <c r="G243" s="374" t="s">
        <v>5157</v>
      </c>
      <c r="H243" s="21"/>
      <c r="I243" s="21"/>
      <c r="J243" s="92"/>
      <c r="K243" s="92"/>
      <c r="L243" s="92"/>
      <c r="M243" s="92"/>
      <c r="N243" s="92"/>
      <c r="O243" s="92"/>
      <c r="P243" s="92"/>
      <c r="Q243" s="92"/>
      <c r="R243" s="92"/>
      <c r="S243" s="92"/>
      <c r="T243" s="92"/>
      <c r="U243" s="92"/>
      <c r="V243" s="92"/>
      <c r="W243" s="92"/>
      <c r="X243" s="92"/>
      <c r="Y243" s="92"/>
      <c r="Z243" s="92"/>
    </row>
    <row r="244" spans="1:26" ht="12.75">
      <c r="A244" s="92" t="s">
        <v>6735</v>
      </c>
      <c r="B244" s="372">
        <v>2004</v>
      </c>
      <c r="C244" s="372">
        <v>15178511</v>
      </c>
      <c r="D244" s="375"/>
      <c r="E244" s="261" t="str">
        <f t="shared" si="0"/>
        <v>https://pubmed.ncbi.nlm.nih.gov/15178511</v>
      </c>
      <c r="F244" s="92" t="s">
        <v>511</v>
      </c>
      <c r="G244" s="92" t="s">
        <v>4592</v>
      </c>
      <c r="H244" s="92"/>
      <c r="I244" s="92"/>
      <c r="J244" s="92"/>
      <c r="K244" s="92"/>
      <c r="L244" s="92"/>
      <c r="M244" s="92"/>
      <c r="N244" s="92"/>
      <c r="O244" s="92"/>
      <c r="P244" s="92"/>
      <c r="Q244" s="92"/>
      <c r="R244" s="92"/>
      <c r="S244" s="92"/>
      <c r="T244" s="92"/>
      <c r="U244" s="92"/>
      <c r="V244" s="92"/>
      <c r="W244" s="92"/>
      <c r="X244" s="92"/>
      <c r="Y244" s="92"/>
      <c r="Z244" s="92"/>
    </row>
    <row r="245" spans="1:26" ht="12.75">
      <c r="A245" s="92" t="s">
        <v>6736</v>
      </c>
      <c r="B245" s="372">
        <v>2008</v>
      </c>
      <c r="C245" s="372">
        <v>18333868</v>
      </c>
      <c r="D245" s="375" t="s">
        <v>6737</v>
      </c>
      <c r="E245" s="261" t="str">
        <f t="shared" si="0"/>
        <v>https://pubmed.ncbi.nlm.nih.gov/18333868</v>
      </c>
      <c r="F245" s="92" t="s">
        <v>511</v>
      </c>
      <c r="G245" s="374" t="s">
        <v>4744</v>
      </c>
      <c r="H245" s="21"/>
      <c r="I245" s="92"/>
      <c r="J245" s="92"/>
      <c r="K245" s="92"/>
      <c r="L245" s="92"/>
      <c r="M245" s="92"/>
      <c r="N245" s="92"/>
      <c r="O245" s="92"/>
      <c r="P245" s="92"/>
      <c r="Q245" s="92"/>
      <c r="R245" s="92"/>
      <c r="S245" s="92"/>
      <c r="T245" s="92"/>
      <c r="U245" s="92"/>
      <c r="V245" s="92"/>
      <c r="W245" s="92"/>
      <c r="X245" s="92"/>
      <c r="Y245" s="92"/>
      <c r="Z245" s="92"/>
    </row>
    <row r="246" spans="1:26" ht="12.75">
      <c r="A246" s="92" t="s">
        <v>6738</v>
      </c>
      <c r="B246" s="372">
        <v>2001</v>
      </c>
      <c r="C246" s="372">
        <v>11770694</v>
      </c>
      <c r="D246" s="373"/>
      <c r="E246" s="261" t="str">
        <f t="shared" si="0"/>
        <v>https://pubmed.ncbi.nlm.nih.gov/11770694</v>
      </c>
      <c r="F246" s="92" t="s">
        <v>511</v>
      </c>
      <c r="G246" s="374" t="s">
        <v>4744</v>
      </c>
      <c r="H246" s="92"/>
      <c r="I246" s="92" t="s">
        <v>6460</v>
      </c>
      <c r="J246" s="92"/>
      <c r="K246" s="92"/>
      <c r="L246" s="92"/>
      <c r="M246" s="92"/>
      <c r="N246" s="92"/>
      <c r="O246" s="92"/>
      <c r="P246" s="92"/>
      <c r="Q246" s="92"/>
      <c r="R246" s="92"/>
      <c r="S246" s="92"/>
      <c r="T246" s="92"/>
      <c r="U246" s="92"/>
      <c r="V246" s="92"/>
      <c r="W246" s="92"/>
      <c r="X246" s="92"/>
      <c r="Y246" s="92"/>
      <c r="Z246" s="92"/>
    </row>
    <row r="247" spans="1:26" ht="12.75">
      <c r="A247" s="92" t="s">
        <v>6738</v>
      </c>
      <c r="B247" s="372">
        <v>2004</v>
      </c>
      <c r="C247" s="372">
        <v>15055564</v>
      </c>
      <c r="D247" s="373"/>
      <c r="E247" s="261" t="str">
        <f t="shared" si="0"/>
        <v>https://pubmed.ncbi.nlm.nih.gov/15055564</v>
      </c>
      <c r="F247" s="92" t="s">
        <v>511</v>
      </c>
      <c r="G247" s="374" t="s">
        <v>4744</v>
      </c>
      <c r="H247" s="92"/>
      <c r="I247" s="92" t="s">
        <v>6460</v>
      </c>
      <c r="J247" s="92"/>
      <c r="K247" s="92"/>
      <c r="L247" s="92"/>
      <c r="M247" s="92"/>
      <c r="N247" s="92"/>
      <c r="O247" s="92"/>
      <c r="P247" s="92"/>
      <c r="Q247" s="92"/>
      <c r="R247" s="92"/>
      <c r="S247" s="92"/>
      <c r="T247" s="92"/>
      <c r="U247" s="92"/>
      <c r="V247" s="92"/>
      <c r="W247" s="92"/>
      <c r="X247" s="92"/>
      <c r="Y247" s="92"/>
      <c r="Z247" s="92"/>
    </row>
    <row r="248" spans="1:26" ht="12.75">
      <c r="A248" s="92" t="s">
        <v>6739</v>
      </c>
      <c r="B248" s="372">
        <v>2019</v>
      </c>
      <c r="C248" s="372">
        <v>30579443</v>
      </c>
      <c r="D248" s="373"/>
      <c r="E248" s="261" t="str">
        <f t="shared" si="0"/>
        <v>https://pubmed.ncbi.nlm.nih.gov/30579443</v>
      </c>
      <c r="F248" s="92" t="s">
        <v>511</v>
      </c>
      <c r="G248" s="374" t="s">
        <v>6585</v>
      </c>
      <c r="H248" s="21"/>
      <c r="I248" s="92"/>
      <c r="J248" s="92"/>
      <c r="K248" s="92"/>
      <c r="L248" s="92"/>
      <c r="M248" s="92"/>
      <c r="N248" s="92"/>
      <c r="O248" s="92"/>
      <c r="P248" s="92"/>
      <c r="Q248" s="92"/>
      <c r="R248" s="92"/>
      <c r="S248" s="92"/>
      <c r="T248" s="92"/>
      <c r="U248" s="92"/>
      <c r="V248" s="92"/>
      <c r="W248" s="92"/>
      <c r="X248" s="92"/>
      <c r="Y248" s="92"/>
      <c r="Z248" s="92"/>
    </row>
    <row r="249" spans="1:26" ht="12.75">
      <c r="A249" s="92" t="s">
        <v>6740</v>
      </c>
      <c r="B249" s="372">
        <v>2018</v>
      </c>
      <c r="C249" s="372">
        <v>29371475</v>
      </c>
      <c r="D249" s="373" t="s">
        <v>6741</v>
      </c>
      <c r="E249" s="261" t="str">
        <f t="shared" si="0"/>
        <v>https://pubmed.ncbi.nlm.nih.gov/29371475</v>
      </c>
      <c r="F249" s="92" t="s">
        <v>511</v>
      </c>
      <c r="G249" s="374" t="s">
        <v>4867</v>
      </c>
      <c r="H249" s="21"/>
      <c r="I249" s="92"/>
      <c r="J249" s="92"/>
      <c r="K249" s="92"/>
      <c r="L249" s="92"/>
      <c r="M249" s="92"/>
      <c r="N249" s="92"/>
      <c r="O249" s="92"/>
      <c r="P249" s="92"/>
      <c r="Q249" s="92"/>
      <c r="R249" s="92"/>
      <c r="S249" s="92"/>
      <c r="T249" s="92"/>
      <c r="U249" s="92"/>
      <c r="V249" s="92"/>
      <c r="W249" s="92"/>
      <c r="X249" s="92"/>
      <c r="Y249" s="92"/>
      <c r="Z249" s="92"/>
    </row>
    <row r="250" spans="1:26" ht="12.75">
      <c r="A250" s="92" t="s">
        <v>6742</v>
      </c>
      <c r="B250" s="372">
        <v>2013</v>
      </c>
      <c r="C250" s="372">
        <v>23348979</v>
      </c>
      <c r="D250" s="373"/>
      <c r="E250" s="261" t="str">
        <f t="shared" si="0"/>
        <v>https://pubmed.ncbi.nlm.nih.gov/23348979</v>
      </c>
      <c r="F250" s="92" t="s">
        <v>511</v>
      </c>
      <c r="G250" s="374" t="s">
        <v>4744</v>
      </c>
      <c r="H250" s="21"/>
      <c r="I250" s="92"/>
      <c r="J250" s="92"/>
      <c r="K250" s="92"/>
      <c r="L250" s="92"/>
      <c r="M250" s="92"/>
      <c r="N250" s="92"/>
      <c r="O250" s="92"/>
      <c r="P250" s="92"/>
      <c r="Q250" s="92"/>
      <c r="R250" s="92"/>
      <c r="S250" s="92"/>
      <c r="T250" s="92"/>
      <c r="U250" s="92"/>
      <c r="V250" s="92"/>
      <c r="W250" s="92"/>
      <c r="X250" s="92"/>
      <c r="Y250" s="92"/>
      <c r="Z250" s="92"/>
    </row>
    <row r="251" spans="1:26" ht="12.75">
      <c r="A251" s="92" t="s">
        <v>6743</v>
      </c>
      <c r="B251" s="372">
        <v>2014</v>
      </c>
      <c r="C251" s="372">
        <v>25115871</v>
      </c>
      <c r="D251" s="373"/>
      <c r="E251" s="261" t="str">
        <f t="shared" si="0"/>
        <v>https://pubmed.ncbi.nlm.nih.gov/25115871</v>
      </c>
      <c r="F251" s="92" t="s">
        <v>511</v>
      </c>
      <c r="G251" s="374" t="s">
        <v>5157</v>
      </c>
      <c r="H251" s="21"/>
      <c r="I251" s="21"/>
      <c r="J251" s="92"/>
      <c r="K251" s="92"/>
      <c r="L251" s="92"/>
      <c r="M251" s="92"/>
      <c r="N251" s="92"/>
      <c r="O251" s="92"/>
      <c r="P251" s="92"/>
      <c r="Q251" s="92"/>
      <c r="R251" s="92"/>
      <c r="S251" s="92"/>
      <c r="T251" s="92"/>
      <c r="U251" s="92"/>
      <c r="V251" s="92"/>
      <c r="W251" s="92"/>
      <c r="X251" s="92"/>
      <c r="Y251" s="92"/>
      <c r="Z251" s="92"/>
    </row>
    <row r="252" spans="1:26" ht="12.75">
      <c r="A252" s="92" t="s">
        <v>6744</v>
      </c>
      <c r="B252" s="372">
        <v>2013</v>
      </c>
      <c r="C252" s="372">
        <v>23053677</v>
      </c>
      <c r="D252" s="373"/>
      <c r="E252" s="261" t="str">
        <f t="shared" si="0"/>
        <v>https://pubmed.ncbi.nlm.nih.gov/23053677</v>
      </c>
      <c r="F252" s="92" t="s">
        <v>511</v>
      </c>
      <c r="G252" s="374" t="s">
        <v>4867</v>
      </c>
      <c r="H252" s="21"/>
      <c r="I252" s="92"/>
      <c r="J252" s="92"/>
      <c r="K252" s="92"/>
      <c r="L252" s="92"/>
      <c r="M252" s="92"/>
      <c r="N252" s="92"/>
      <c r="O252" s="92"/>
      <c r="P252" s="92"/>
      <c r="Q252" s="92"/>
      <c r="R252" s="92"/>
      <c r="S252" s="92"/>
      <c r="T252" s="92"/>
      <c r="U252" s="92"/>
      <c r="V252" s="92"/>
      <c r="W252" s="92"/>
      <c r="X252" s="92"/>
      <c r="Y252" s="92"/>
      <c r="Z252" s="92"/>
    </row>
    <row r="253" spans="1:26" ht="12.75">
      <c r="A253" s="92" t="s">
        <v>6745</v>
      </c>
      <c r="B253" s="372">
        <v>2008</v>
      </c>
      <c r="C253" s="372">
        <v>19137906</v>
      </c>
      <c r="D253" s="373"/>
      <c r="E253" s="261" t="str">
        <f t="shared" si="0"/>
        <v>https://pubmed.ncbi.nlm.nih.gov/19137906</v>
      </c>
      <c r="F253" s="92" t="s">
        <v>511</v>
      </c>
      <c r="G253" s="374" t="s">
        <v>4744</v>
      </c>
      <c r="H253" s="21"/>
      <c r="I253" s="92"/>
      <c r="J253" s="92"/>
      <c r="K253" s="92"/>
      <c r="L253" s="92"/>
      <c r="M253" s="92"/>
      <c r="N253" s="92"/>
      <c r="O253" s="92"/>
      <c r="P253" s="92"/>
      <c r="Q253" s="92"/>
      <c r="R253" s="92"/>
      <c r="S253" s="92"/>
      <c r="T253" s="92"/>
      <c r="U253" s="92"/>
      <c r="V253" s="92"/>
      <c r="W253" s="92"/>
      <c r="X253" s="92"/>
      <c r="Y253" s="92"/>
      <c r="Z253" s="92"/>
    </row>
    <row r="254" spans="1:26" ht="12.75">
      <c r="A254" s="92" t="s">
        <v>6746</v>
      </c>
      <c r="B254" s="372">
        <v>2020</v>
      </c>
      <c r="C254" s="372">
        <v>33256617</v>
      </c>
      <c r="D254" s="375" t="s">
        <v>6747</v>
      </c>
      <c r="E254" s="261" t="str">
        <f t="shared" si="0"/>
        <v>https://pubmed.ncbi.nlm.nih.gov/33256617</v>
      </c>
      <c r="F254" s="92" t="s">
        <v>511</v>
      </c>
      <c r="G254" s="374" t="s">
        <v>6458</v>
      </c>
      <c r="H254" s="21"/>
      <c r="I254" s="92"/>
      <c r="J254" s="92"/>
      <c r="K254" s="92"/>
      <c r="L254" s="92"/>
      <c r="M254" s="92"/>
      <c r="N254" s="92"/>
      <c r="O254" s="92"/>
      <c r="P254" s="92"/>
      <c r="Q254" s="92"/>
      <c r="R254" s="92"/>
      <c r="S254" s="92"/>
      <c r="T254" s="92"/>
      <c r="U254" s="92"/>
      <c r="V254" s="92"/>
      <c r="W254" s="92"/>
      <c r="X254" s="92"/>
      <c r="Y254" s="92"/>
      <c r="Z254" s="92"/>
    </row>
    <row r="255" spans="1:26" ht="12.75">
      <c r="A255" s="92" t="s">
        <v>6748</v>
      </c>
      <c r="B255" s="372">
        <v>2001</v>
      </c>
      <c r="C255" s="372">
        <v>11534883</v>
      </c>
      <c r="D255" s="373"/>
      <c r="E255" s="261" t="str">
        <f t="shared" si="0"/>
        <v>https://pubmed.ncbi.nlm.nih.gov/11534883</v>
      </c>
      <c r="F255" s="92" t="s">
        <v>511</v>
      </c>
      <c r="G255" s="374" t="s">
        <v>5157</v>
      </c>
      <c r="H255" s="21"/>
      <c r="I255" s="21"/>
      <c r="J255" s="92"/>
      <c r="K255" s="92"/>
      <c r="L255" s="92"/>
      <c r="M255" s="92"/>
      <c r="N255" s="92"/>
      <c r="O255" s="92"/>
      <c r="P255" s="92"/>
      <c r="Q255" s="92"/>
      <c r="R255" s="92"/>
      <c r="S255" s="92"/>
      <c r="T255" s="92"/>
      <c r="U255" s="92"/>
      <c r="V255" s="92"/>
      <c r="W255" s="92"/>
      <c r="X255" s="92"/>
      <c r="Y255" s="92"/>
      <c r="Z255" s="92"/>
    </row>
    <row r="256" spans="1:26" ht="12.75">
      <c r="A256" s="92" t="s">
        <v>6749</v>
      </c>
      <c r="B256" s="372">
        <v>2013</v>
      </c>
      <c r="C256" s="372">
        <v>23543664</v>
      </c>
      <c r="D256" s="373" t="s">
        <v>6750</v>
      </c>
      <c r="E256" s="261" t="str">
        <f t="shared" si="0"/>
        <v>https://pubmed.ncbi.nlm.nih.gov/23543664</v>
      </c>
      <c r="F256" s="92" t="s">
        <v>511</v>
      </c>
      <c r="G256" s="92" t="s">
        <v>4592</v>
      </c>
      <c r="H256" s="92"/>
      <c r="I256" s="92"/>
      <c r="J256" s="92"/>
      <c r="K256" s="92"/>
      <c r="L256" s="92"/>
      <c r="M256" s="92"/>
      <c r="N256" s="92"/>
      <c r="O256" s="92"/>
      <c r="P256" s="92"/>
      <c r="Q256" s="92"/>
      <c r="R256" s="92"/>
      <c r="S256" s="92"/>
      <c r="T256" s="92"/>
      <c r="U256" s="92"/>
      <c r="V256" s="92"/>
      <c r="W256" s="92"/>
      <c r="X256" s="92"/>
      <c r="Y256" s="92"/>
      <c r="Z256" s="92"/>
    </row>
    <row r="257" spans="1:26" ht="12.75">
      <c r="A257" s="92" t="s">
        <v>6751</v>
      </c>
      <c r="B257" s="372">
        <v>2017</v>
      </c>
      <c r="C257" s="372">
        <v>28050885</v>
      </c>
      <c r="D257" s="375" t="s">
        <v>6752</v>
      </c>
      <c r="E257" s="261" t="str">
        <f t="shared" si="0"/>
        <v>https://pubmed.ncbi.nlm.nih.gov/28050885</v>
      </c>
      <c r="F257" s="92" t="s">
        <v>511</v>
      </c>
      <c r="G257" s="374" t="s">
        <v>6753</v>
      </c>
      <c r="H257" s="21"/>
      <c r="I257" s="92"/>
      <c r="J257" s="92"/>
      <c r="K257" s="92"/>
      <c r="L257" s="92"/>
      <c r="M257" s="92"/>
      <c r="N257" s="92"/>
      <c r="O257" s="92"/>
      <c r="P257" s="92"/>
      <c r="Q257" s="92"/>
      <c r="R257" s="92"/>
      <c r="S257" s="92"/>
      <c r="T257" s="92"/>
      <c r="U257" s="92"/>
      <c r="V257" s="92"/>
      <c r="W257" s="92"/>
      <c r="X257" s="92"/>
      <c r="Y257" s="92"/>
      <c r="Z257" s="92"/>
    </row>
    <row r="258" spans="1:26" ht="12.75">
      <c r="A258" s="92" t="s">
        <v>6754</v>
      </c>
      <c r="B258" s="372">
        <v>2015</v>
      </c>
      <c r="C258" s="372">
        <v>26263297</v>
      </c>
      <c r="D258" s="92"/>
      <c r="E258" s="261" t="str">
        <f t="shared" si="0"/>
        <v>https://pubmed.ncbi.nlm.nih.gov/26263297</v>
      </c>
      <c r="F258" s="92" t="s">
        <v>511</v>
      </c>
      <c r="G258" s="92" t="s">
        <v>4592</v>
      </c>
      <c r="H258" s="92"/>
      <c r="I258" s="92"/>
      <c r="J258" s="92"/>
      <c r="K258" s="92"/>
      <c r="L258" s="92"/>
      <c r="M258" s="92"/>
      <c r="N258" s="92"/>
      <c r="O258" s="92"/>
      <c r="P258" s="92"/>
      <c r="Q258" s="92"/>
      <c r="R258" s="92"/>
      <c r="S258" s="92"/>
      <c r="T258" s="92"/>
      <c r="U258" s="92"/>
      <c r="V258" s="92"/>
      <c r="W258" s="92"/>
      <c r="X258" s="92"/>
      <c r="Y258" s="92"/>
      <c r="Z258" s="92"/>
    </row>
    <row r="259" spans="1:26" ht="12.75">
      <c r="A259" s="92" t="s">
        <v>6755</v>
      </c>
      <c r="B259" s="372">
        <v>2017</v>
      </c>
      <c r="C259" s="372">
        <v>27717113</v>
      </c>
      <c r="D259" s="373"/>
      <c r="E259" s="261" t="str">
        <f t="shared" si="0"/>
        <v>https://pubmed.ncbi.nlm.nih.gov/27717113</v>
      </c>
      <c r="F259" s="92" t="s">
        <v>511</v>
      </c>
      <c r="G259" s="374" t="s">
        <v>5157</v>
      </c>
      <c r="H259" s="21"/>
      <c r="I259" s="21"/>
      <c r="J259" s="92"/>
      <c r="K259" s="92"/>
      <c r="L259" s="92"/>
      <c r="M259" s="92"/>
      <c r="N259" s="92"/>
      <c r="O259" s="92"/>
      <c r="P259" s="92"/>
      <c r="Q259" s="92"/>
      <c r="R259" s="92"/>
      <c r="S259" s="92"/>
      <c r="T259" s="92"/>
      <c r="U259" s="92"/>
      <c r="V259" s="92"/>
      <c r="W259" s="92"/>
      <c r="X259" s="92"/>
      <c r="Y259" s="92"/>
      <c r="Z259" s="92"/>
    </row>
    <row r="260" spans="1:26" ht="12.75">
      <c r="A260" s="92" t="s">
        <v>6756</v>
      </c>
      <c r="B260" s="372">
        <v>2001</v>
      </c>
      <c r="C260" s="372">
        <v>11511404</v>
      </c>
      <c r="D260" s="373"/>
      <c r="E260" s="261" t="str">
        <f t="shared" si="0"/>
        <v>https://pubmed.ncbi.nlm.nih.gov/11511404</v>
      </c>
      <c r="F260" s="92" t="s">
        <v>511</v>
      </c>
      <c r="G260" s="374" t="s">
        <v>4744</v>
      </c>
      <c r="H260" s="21"/>
      <c r="I260" s="92"/>
      <c r="J260" s="92"/>
      <c r="K260" s="92"/>
      <c r="L260" s="92"/>
      <c r="M260" s="92"/>
      <c r="N260" s="92"/>
      <c r="O260" s="92"/>
      <c r="P260" s="92"/>
      <c r="Q260" s="92"/>
      <c r="R260" s="92"/>
      <c r="S260" s="92"/>
      <c r="T260" s="92"/>
      <c r="U260" s="92"/>
      <c r="V260" s="92"/>
      <c r="W260" s="92"/>
      <c r="X260" s="92"/>
      <c r="Y260" s="92"/>
      <c r="Z260" s="92"/>
    </row>
    <row r="261" spans="1:26" ht="12.75">
      <c r="A261" s="92" t="s">
        <v>6757</v>
      </c>
      <c r="B261" s="372">
        <v>2016</v>
      </c>
      <c r="C261" s="372">
        <v>27363652</v>
      </c>
      <c r="D261" s="373"/>
      <c r="E261" s="261" t="str">
        <f t="shared" si="0"/>
        <v>https://pubmed.ncbi.nlm.nih.gov/27363652</v>
      </c>
      <c r="F261" s="92" t="s">
        <v>511</v>
      </c>
      <c r="G261" s="92" t="s">
        <v>8412</v>
      </c>
      <c r="H261" s="92"/>
      <c r="I261" s="92"/>
      <c r="J261" s="92"/>
      <c r="K261" s="92"/>
      <c r="L261" s="92"/>
      <c r="M261" s="92"/>
      <c r="N261" s="92"/>
      <c r="O261" s="92"/>
      <c r="P261" s="92"/>
      <c r="Q261" s="92"/>
      <c r="R261" s="92"/>
      <c r="S261" s="92"/>
      <c r="T261" s="92"/>
      <c r="U261" s="92"/>
      <c r="V261" s="92"/>
      <c r="W261" s="92"/>
      <c r="X261" s="92"/>
      <c r="Y261" s="92"/>
      <c r="Z261" s="92"/>
    </row>
    <row r="262" spans="1:26" ht="12.75">
      <c r="A262" s="92" t="s">
        <v>6758</v>
      </c>
      <c r="B262" s="372">
        <v>2016</v>
      </c>
      <c r="C262" s="372">
        <v>27797129</v>
      </c>
      <c r="D262" s="373" t="s">
        <v>6759</v>
      </c>
      <c r="E262" s="261" t="str">
        <f t="shared" si="0"/>
        <v>https://pubmed.ncbi.nlm.nih.gov/27797129</v>
      </c>
      <c r="F262" s="92" t="s">
        <v>511</v>
      </c>
      <c r="G262" s="92" t="s">
        <v>4592</v>
      </c>
      <c r="H262" s="92"/>
      <c r="I262" s="92"/>
      <c r="J262" s="92"/>
      <c r="K262" s="92"/>
      <c r="L262" s="92"/>
      <c r="M262" s="92"/>
      <c r="N262" s="92"/>
      <c r="O262" s="92"/>
      <c r="P262" s="92"/>
      <c r="Q262" s="92"/>
      <c r="R262" s="92"/>
      <c r="S262" s="92"/>
      <c r="T262" s="92"/>
      <c r="U262" s="92"/>
      <c r="V262" s="92"/>
      <c r="W262" s="92"/>
      <c r="X262" s="92"/>
      <c r="Y262" s="92"/>
      <c r="Z262" s="92"/>
    </row>
    <row r="263" spans="1:26" ht="12.75">
      <c r="A263" s="92" t="s">
        <v>6760</v>
      </c>
      <c r="B263" s="372">
        <v>2006</v>
      </c>
      <c r="C263" s="372">
        <v>16801419</v>
      </c>
      <c r="D263" s="373" t="s">
        <v>6761</v>
      </c>
      <c r="E263" s="261" t="str">
        <f t="shared" si="0"/>
        <v>https://pubmed.ncbi.nlm.nih.gov/16801419</v>
      </c>
      <c r="F263" s="92" t="s">
        <v>511</v>
      </c>
      <c r="G263" s="374" t="s">
        <v>4744</v>
      </c>
      <c r="H263" s="21"/>
      <c r="I263" s="92"/>
      <c r="J263" s="92"/>
      <c r="K263" s="92"/>
      <c r="L263" s="92"/>
      <c r="M263" s="92"/>
      <c r="N263" s="92"/>
      <c r="O263" s="92"/>
      <c r="P263" s="92"/>
      <c r="Q263" s="92"/>
      <c r="R263" s="92"/>
      <c r="S263" s="92"/>
      <c r="T263" s="92"/>
      <c r="U263" s="92"/>
      <c r="V263" s="92"/>
      <c r="W263" s="92"/>
      <c r="X263" s="92"/>
      <c r="Y263" s="92"/>
      <c r="Z263" s="92"/>
    </row>
    <row r="264" spans="1:26" ht="12.75">
      <c r="A264" s="92" t="s">
        <v>6762</v>
      </c>
      <c r="B264" s="372">
        <v>2020</v>
      </c>
      <c r="C264" s="372">
        <v>32444482</v>
      </c>
      <c r="D264" s="373" t="s">
        <v>6763</v>
      </c>
      <c r="E264" s="261" t="str">
        <f t="shared" si="0"/>
        <v>https://pubmed.ncbi.nlm.nih.gov/32444482</v>
      </c>
      <c r="F264" s="92" t="s">
        <v>511</v>
      </c>
      <c r="G264" s="92" t="s">
        <v>8412</v>
      </c>
      <c r="H264" s="92"/>
      <c r="I264" s="92"/>
      <c r="J264" s="92"/>
      <c r="K264" s="92"/>
      <c r="L264" s="92"/>
      <c r="M264" s="92"/>
      <c r="N264" s="92"/>
      <c r="O264" s="92"/>
      <c r="P264" s="92"/>
      <c r="Q264" s="92"/>
      <c r="R264" s="92"/>
      <c r="S264" s="92"/>
      <c r="T264" s="92"/>
      <c r="U264" s="92"/>
      <c r="V264" s="92"/>
      <c r="W264" s="92"/>
      <c r="X264" s="92"/>
      <c r="Y264" s="92"/>
      <c r="Z264" s="92"/>
    </row>
    <row r="265" spans="1:26" ht="12.75">
      <c r="A265" s="92" t="s">
        <v>704</v>
      </c>
      <c r="B265" s="372">
        <v>2020</v>
      </c>
      <c r="C265" s="372">
        <v>31712214</v>
      </c>
      <c r="D265" s="373" t="s">
        <v>4104</v>
      </c>
      <c r="E265" s="376" t="str">
        <f t="shared" si="0"/>
        <v>https://pubmed.ncbi.nlm.nih.gov/31712214</v>
      </c>
      <c r="F265" s="21"/>
      <c r="G265" s="92"/>
      <c r="H265" s="92" t="s">
        <v>511</v>
      </c>
      <c r="I265" s="92"/>
      <c r="J265" s="92"/>
      <c r="K265" s="92"/>
      <c r="L265" s="92"/>
      <c r="M265" s="92"/>
      <c r="N265" s="92"/>
      <c r="O265" s="92"/>
      <c r="P265" s="92"/>
      <c r="Q265" s="92"/>
      <c r="R265" s="92"/>
      <c r="S265" s="92"/>
      <c r="T265" s="92"/>
      <c r="U265" s="92"/>
      <c r="V265" s="92"/>
      <c r="W265" s="92"/>
      <c r="X265" s="92"/>
      <c r="Y265" s="92"/>
      <c r="Z265" s="92"/>
    </row>
    <row r="266" spans="1:26" ht="12.75">
      <c r="A266" s="92" t="s">
        <v>358</v>
      </c>
      <c r="B266" s="372">
        <v>2015</v>
      </c>
      <c r="C266" s="372">
        <v>26580997</v>
      </c>
      <c r="D266" s="373"/>
      <c r="E266" s="376" t="str">
        <f t="shared" si="0"/>
        <v>https://pubmed.ncbi.nlm.nih.gov/26580997</v>
      </c>
      <c r="F266" s="21"/>
      <c r="G266" s="92"/>
      <c r="H266" s="92" t="s">
        <v>511</v>
      </c>
      <c r="I266" s="92"/>
      <c r="J266" s="92"/>
      <c r="K266" s="92"/>
      <c r="L266" s="92"/>
      <c r="M266" s="92"/>
      <c r="N266" s="92"/>
      <c r="O266" s="92"/>
      <c r="P266" s="92"/>
      <c r="Q266" s="92"/>
      <c r="R266" s="92"/>
      <c r="S266" s="92"/>
      <c r="T266" s="92"/>
      <c r="U266" s="92"/>
      <c r="V266" s="92"/>
      <c r="W266" s="92"/>
      <c r="X266" s="92"/>
      <c r="Y266" s="92"/>
      <c r="Z266" s="92"/>
    </row>
    <row r="267" spans="1:26" ht="12.75">
      <c r="A267" s="92" t="s">
        <v>358</v>
      </c>
      <c r="B267" s="372">
        <v>2014</v>
      </c>
      <c r="C267" s="372">
        <v>25140957</v>
      </c>
      <c r="D267" s="373"/>
      <c r="E267" s="376" t="str">
        <f t="shared" si="0"/>
        <v>https://pubmed.ncbi.nlm.nih.gov/25140957</v>
      </c>
      <c r="F267" s="21"/>
      <c r="G267" s="92"/>
      <c r="H267" s="92" t="s">
        <v>511</v>
      </c>
      <c r="I267" s="92"/>
      <c r="J267" s="92"/>
      <c r="K267" s="92"/>
      <c r="L267" s="92"/>
      <c r="M267" s="92"/>
      <c r="N267" s="92"/>
      <c r="O267" s="92"/>
      <c r="P267" s="92"/>
      <c r="Q267" s="92"/>
      <c r="R267" s="92"/>
      <c r="S267" s="92"/>
      <c r="T267" s="92"/>
      <c r="U267" s="92"/>
      <c r="V267" s="92"/>
      <c r="W267" s="92"/>
      <c r="X267" s="92"/>
      <c r="Y267" s="92"/>
      <c r="Z267" s="92"/>
    </row>
    <row r="268" spans="1:26" ht="12.75">
      <c r="A268" s="92" t="s">
        <v>6764</v>
      </c>
      <c r="B268" s="372">
        <v>2012</v>
      </c>
      <c r="C268" s="372">
        <v>22226086</v>
      </c>
      <c r="D268" s="373"/>
      <c r="E268" s="261" t="str">
        <f t="shared" si="0"/>
        <v>https://pubmed.ncbi.nlm.nih.gov/22226086</v>
      </c>
      <c r="F268" s="92" t="s">
        <v>511</v>
      </c>
      <c r="G268" s="374" t="s">
        <v>5157</v>
      </c>
      <c r="H268" s="21"/>
      <c r="I268" s="21"/>
      <c r="J268" s="92"/>
      <c r="K268" s="92"/>
      <c r="L268" s="92"/>
      <c r="M268" s="92"/>
      <c r="N268" s="92"/>
      <c r="O268" s="92"/>
      <c r="P268" s="92"/>
      <c r="Q268" s="92"/>
      <c r="R268" s="92"/>
      <c r="S268" s="92"/>
      <c r="T268" s="92"/>
      <c r="U268" s="92"/>
      <c r="V268" s="92"/>
      <c r="W268" s="92"/>
      <c r="X268" s="92"/>
      <c r="Y268" s="92"/>
      <c r="Z268" s="92"/>
    </row>
    <row r="269" spans="1:26" ht="12.75">
      <c r="A269" s="92" t="s">
        <v>6765</v>
      </c>
      <c r="B269" s="372">
        <v>1994</v>
      </c>
      <c r="C269" s="372">
        <v>7956274</v>
      </c>
      <c r="D269" s="373"/>
      <c r="E269" s="261" t="str">
        <f t="shared" si="0"/>
        <v>https://pubmed.ncbi.nlm.nih.gov/7956274</v>
      </c>
      <c r="F269" s="92" t="s">
        <v>511</v>
      </c>
      <c r="G269" s="374" t="s">
        <v>4744</v>
      </c>
      <c r="H269" s="21"/>
      <c r="I269" s="92"/>
      <c r="J269" s="92"/>
      <c r="K269" s="92"/>
      <c r="L269" s="92"/>
      <c r="M269" s="92"/>
      <c r="N269" s="92"/>
      <c r="O269" s="92"/>
      <c r="P269" s="92"/>
      <c r="Q269" s="92"/>
      <c r="R269" s="92"/>
      <c r="S269" s="92"/>
      <c r="T269" s="92"/>
      <c r="U269" s="92"/>
      <c r="V269" s="92"/>
      <c r="W269" s="92"/>
      <c r="X269" s="92"/>
      <c r="Y269" s="92"/>
      <c r="Z269" s="92"/>
    </row>
    <row r="270" spans="1:26" ht="12.75">
      <c r="A270" s="92" t="s">
        <v>6765</v>
      </c>
      <c r="B270" s="372">
        <v>2003</v>
      </c>
      <c r="C270" s="372">
        <v>12712239</v>
      </c>
      <c r="D270" s="373"/>
      <c r="E270" s="261" t="str">
        <f t="shared" si="0"/>
        <v>https://pubmed.ncbi.nlm.nih.gov/12712239</v>
      </c>
      <c r="F270" s="92" t="s">
        <v>511</v>
      </c>
      <c r="G270" s="374" t="s">
        <v>4744</v>
      </c>
      <c r="H270" s="21"/>
      <c r="I270" s="92"/>
      <c r="J270" s="92"/>
      <c r="K270" s="92"/>
      <c r="L270" s="92"/>
      <c r="M270" s="92"/>
      <c r="N270" s="92"/>
      <c r="O270" s="92"/>
      <c r="P270" s="92"/>
      <c r="Q270" s="92"/>
      <c r="R270" s="92"/>
      <c r="S270" s="92"/>
      <c r="T270" s="92"/>
      <c r="U270" s="92"/>
      <c r="V270" s="92"/>
      <c r="W270" s="92"/>
      <c r="X270" s="92"/>
      <c r="Y270" s="92"/>
      <c r="Z270" s="92"/>
    </row>
    <row r="271" spans="1:26" ht="12.75">
      <c r="A271" s="92" t="s">
        <v>6766</v>
      </c>
      <c r="B271" s="372">
        <v>2018</v>
      </c>
      <c r="C271" s="372">
        <v>29077527</v>
      </c>
      <c r="D271" s="373" t="s">
        <v>6767</v>
      </c>
      <c r="E271" s="261" t="str">
        <f t="shared" si="0"/>
        <v>https://pubmed.ncbi.nlm.nih.gov/29077527</v>
      </c>
      <c r="F271" s="92" t="s">
        <v>511</v>
      </c>
      <c r="G271" s="92" t="s">
        <v>4592</v>
      </c>
      <c r="H271" s="92"/>
      <c r="I271" s="92"/>
      <c r="J271" s="92"/>
      <c r="K271" s="92"/>
      <c r="L271" s="92"/>
      <c r="M271" s="92"/>
      <c r="N271" s="92"/>
      <c r="O271" s="92"/>
      <c r="P271" s="92"/>
      <c r="Q271" s="92"/>
      <c r="R271" s="92"/>
      <c r="S271" s="92"/>
      <c r="T271" s="92"/>
      <c r="U271" s="92"/>
      <c r="V271" s="92"/>
      <c r="W271" s="92"/>
      <c r="X271" s="92"/>
      <c r="Y271" s="92"/>
      <c r="Z271" s="92"/>
    </row>
    <row r="272" spans="1:26" ht="12.75">
      <c r="A272" s="92" t="s">
        <v>6768</v>
      </c>
      <c r="B272" s="372">
        <v>2018</v>
      </c>
      <c r="C272" s="372">
        <v>30032682</v>
      </c>
      <c r="D272" s="373"/>
      <c r="E272" s="261" t="str">
        <f t="shared" si="0"/>
        <v>https://pubmed.ncbi.nlm.nih.gov/30032682</v>
      </c>
      <c r="F272" s="92" t="s">
        <v>511</v>
      </c>
      <c r="G272" s="92" t="s">
        <v>4592</v>
      </c>
      <c r="H272" s="92"/>
      <c r="I272" s="92"/>
      <c r="J272" s="92"/>
      <c r="K272" s="92"/>
      <c r="L272" s="92"/>
      <c r="M272" s="92"/>
      <c r="N272" s="92"/>
      <c r="O272" s="92"/>
      <c r="P272" s="92"/>
      <c r="Q272" s="92"/>
      <c r="R272" s="92"/>
      <c r="S272" s="92"/>
      <c r="T272" s="92"/>
      <c r="U272" s="92"/>
      <c r="V272" s="92"/>
      <c r="W272" s="92"/>
      <c r="X272" s="92"/>
      <c r="Y272" s="92"/>
      <c r="Z272" s="92"/>
    </row>
    <row r="273" spans="1:26" ht="12.75">
      <c r="A273" s="92" t="s">
        <v>4014</v>
      </c>
      <c r="B273" s="372">
        <v>2017</v>
      </c>
      <c r="C273" s="372">
        <v>28464026</v>
      </c>
      <c r="D273" s="373" t="s">
        <v>6769</v>
      </c>
      <c r="E273" s="376" t="str">
        <f t="shared" si="0"/>
        <v>https://pubmed.ncbi.nlm.nih.gov/28464026</v>
      </c>
      <c r="F273" s="21"/>
      <c r="G273" s="92"/>
      <c r="H273" s="92" t="s">
        <v>511</v>
      </c>
      <c r="I273" s="92"/>
      <c r="J273" s="92"/>
      <c r="K273" s="92"/>
      <c r="L273" s="92"/>
      <c r="M273" s="92"/>
      <c r="N273" s="92"/>
      <c r="O273" s="92"/>
      <c r="P273" s="92"/>
      <c r="Q273" s="92"/>
      <c r="R273" s="92"/>
      <c r="S273" s="92"/>
      <c r="T273" s="92"/>
      <c r="U273" s="92"/>
      <c r="V273" s="92"/>
      <c r="W273" s="92"/>
      <c r="X273" s="92"/>
      <c r="Y273" s="92"/>
      <c r="Z273" s="92"/>
    </row>
    <row r="274" spans="1:26" ht="12.75">
      <c r="A274" s="92" t="s">
        <v>6770</v>
      </c>
      <c r="B274" s="372">
        <v>2020</v>
      </c>
      <c r="C274" s="372">
        <v>31899506</v>
      </c>
      <c r="D274" s="373"/>
      <c r="E274" s="261" t="str">
        <f t="shared" si="0"/>
        <v>https://pubmed.ncbi.nlm.nih.gov/31899506</v>
      </c>
      <c r="F274" s="92" t="s">
        <v>511</v>
      </c>
      <c r="G274" s="92" t="s">
        <v>8412</v>
      </c>
      <c r="H274" s="92"/>
      <c r="I274" s="92"/>
      <c r="J274" s="92"/>
      <c r="K274" s="92"/>
      <c r="L274" s="92"/>
      <c r="M274" s="92"/>
      <c r="N274" s="92"/>
      <c r="O274" s="92"/>
      <c r="P274" s="92"/>
      <c r="Q274" s="92"/>
      <c r="R274" s="92"/>
      <c r="S274" s="92"/>
      <c r="T274" s="92"/>
      <c r="U274" s="92"/>
      <c r="V274" s="92"/>
      <c r="W274" s="92"/>
      <c r="X274" s="92"/>
      <c r="Y274" s="92"/>
      <c r="Z274" s="92"/>
    </row>
    <row r="275" spans="1:26" ht="12.75">
      <c r="A275" s="92" t="s">
        <v>6771</v>
      </c>
      <c r="B275" s="372">
        <v>2008</v>
      </c>
      <c r="C275" s="372">
        <v>18729535</v>
      </c>
      <c r="D275" s="373"/>
      <c r="E275" s="261" t="str">
        <f t="shared" si="0"/>
        <v>https://pubmed.ncbi.nlm.nih.gov/18729535</v>
      </c>
      <c r="F275" s="92" t="s">
        <v>511</v>
      </c>
      <c r="G275" s="92" t="s">
        <v>8412</v>
      </c>
      <c r="H275" s="92"/>
      <c r="I275" s="92"/>
      <c r="J275" s="92"/>
      <c r="K275" s="92"/>
      <c r="L275" s="92"/>
      <c r="M275" s="92"/>
      <c r="N275" s="92"/>
      <c r="O275" s="92"/>
      <c r="P275" s="92"/>
      <c r="Q275" s="92"/>
      <c r="R275" s="92"/>
      <c r="S275" s="92"/>
      <c r="T275" s="92"/>
      <c r="U275" s="92"/>
      <c r="V275" s="92"/>
      <c r="W275" s="92"/>
      <c r="X275" s="92"/>
      <c r="Y275" s="92"/>
      <c r="Z275" s="92"/>
    </row>
    <row r="276" spans="1:26" ht="12.75">
      <c r="A276" s="92" t="s">
        <v>6772</v>
      </c>
      <c r="B276" s="372">
        <v>2020</v>
      </c>
      <c r="C276" s="372">
        <v>32791733</v>
      </c>
      <c r="D276" s="375" t="s">
        <v>6773</v>
      </c>
      <c r="E276" s="261" t="str">
        <f t="shared" si="0"/>
        <v>https://pubmed.ncbi.nlm.nih.gov/32791733</v>
      </c>
      <c r="F276" s="92" t="s">
        <v>511</v>
      </c>
      <c r="G276" s="374" t="s">
        <v>6458</v>
      </c>
      <c r="H276" s="21"/>
      <c r="I276" s="92"/>
      <c r="J276" s="92"/>
      <c r="K276" s="92"/>
      <c r="L276" s="92"/>
      <c r="M276" s="92"/>
      <c r="N276" s="92"/>
      <c r="O276" s="92"/>
      <c r="P276" s="92"/>
      <c r="Q276" s="92"/>
      <c r="R276" s="92"/>
      <c r="S276" s="92"/>
      <c r="T276" s="92"/>
      <c r="U276" s="92"/>
      <c r="V276" s="92"/>
      <c r="W276" s="92"/>
      <c r="X276" s="92"/>
      <c r="Y276" s="92"/>
      <c r="Z276" s="92"/>
    </row>
    <row r="277" spans="1:26" ht="12.75">
      <c r="A277" s="92" t="s">
        <v>6774</v>
      </c>
      <c r="B277" s="372">
        <v>2019</v>
      </c>
      <c r="C277" s="372">
        <v>30621791</v>
      </c>
      <c r="D277" s="373" t="s">
        <v>6775</v>
      </c>
      <c r="E277" s="261" t="str">
        <f t="shared" si="0"/>
        <v>https://pubmed.ncbi.nlm.nih.gov/30621791</v>
      </c>
      <c r="F277" s="92" t="s">
        <v>511</v>
      </c>
      <c r="G277" s="374" t="s">
        <v>5299</v>
      </c>
      <c r="H277" s="21"/>
      <c r="I277" s="92"/>
      <c r="J277" s="92"/>
      <c r="K277" s="92"/>
      <c r="L277" s="92"/>
      <c r="M277" s="92"/>
      <c r="N277" s="92"/>
      <c r="O277" s="92"/>
      <c r="P277" s="92"/>
      <c r="Q277" s="92"/>
      <c r="R277" s="92"/>
      <c r="S277" s="92"/>
      <c r="T277" s="92"/>
      <c r="U277" s="92"/>
      <c r="V277" s="92"/>
      <c r="W277" s="92"/>
      <c r="X277" s="92"/>
      <c r="Y277" s="92"/>
      <c r="Z277" s="92"/>
    </row>
    <row r="278" spans="1:26" ht="12.75">
      <c r="A278" s="92" t="s">
        <v>6776</v>
      </c>
      <c r="B278" s="372">
        <v>2020</v>
      </c>
      <c r="C278" s="372">
        <v>32674594</v>
      </c>
      <c r="D278" s="373"/>
      <c r="E278" s="261" t="str">
        <f t="shared" si="0"/>
        <v>https://pubmed.ncbi.nlm.nih.gov/32674594</v>
      </c>
      <c r="F278" s="92" t="s">
        <v>511</v>
      </c>
      <c r="G278" s="92" t="s">
        <v>4592</v>
      </c>
      <c r="H278" s="92"/>
      <c r="I278" s="92"/>
      <c r="J278" s="92"/>
      <c r="K278" s="92"/>
      <c r="L278" s="92"/>
      <c r="M278" s="92"/>
      <c r="N278" s="92"/>
      <c r="O278" s="92"/>
      <c r="P278" s="92"/>
      <c r="Q278" s="92"/>
      <c r="R278" s="92"/>
      <c r="S278" s="92"/>
      <c r="T278" s="92"/>
      <c r="U278" s="92"/>
      <c r="V278" s="92"/>
      <c r="W278" s="92"/>
      <c r="X278" s="92"/>
      <c r="Y278" s="92"/>
      <c r="Z278" s="92"/>
    </row>
    <row r="279" spans="1:26" ht="12.75">
      <c r="A279" s="92" t="s">
        <v>6777</v>
      </c>
      <c r="B279" s="372">
        <v>2014</v>
      </c>
      <c r="C279" s="372">
        <v>25053420</v>
      </c>
      <c r="D279" s="373" t="s">
        <v>6778</v>
      </c>
      <c r="E279" s="261" t="str">
        <f t="shared" si="0"/>
        <v>https://pubmed.ncbi.nlm.nih.gov/25053420</v>
      </c>
      <c r="F279" s="92" t="s">
        <v>511</v>
      </c>
      <c r="G279" s="374" t="s">
        <v>6779</v>
      </c>
      <c r="H279" s="21"/>
      <c r="I279" s="21"/>
      <c r="J279" s="21"/>
      <c r="K279" s="21"/>
      <c r="L279" s="92"/>
      <c r="M279" s="92"/>
      <c r="N279" s="92"/>
      <c r="O279" s="92"/>
      <c r="P279" s="92"/>
      <c r="Q279" s="92"/>
      <c r="R279" s="92"/>
      <c r="S279" s="92"/>
      <c r="T279" s="92"/>
      <c r="U279" s="92"/>
      <c r="V279" s="92"/>
      <c r="W279" s="92"/>
      <c r="X279" s="92"/>
      <c r="Y279" s="92"/>
      <c r="Z279" s="92"/>
    </row>
    <row r="280" spans="1:26" ht="12.75">
      <c r="A280" s="92" t="s">
        <v>6780</v>
      </c>
      <c r="B280" s="372">
        <v>2016</v>
      </c>
      <c r="C280" s="372">
        <v>27741339</v>
      </c>
      <c r="D280" s="373"/>
      <c r="E280" s="261" t="str">
        <f t="shared" si="0"/>
        <v>https://pubmed.ncbi.nlm.nih.gov/27741339</v>
      </c>
      <c r="F280" s="92" t="s">
        <v>511</v>
      </c>
      <c r="G280" s="374" t="s">
        <v>4867</v>
      </c>
      <c r="H280" s="21"/>
      <c r="I280" s="92"/>
      <c r="J280" s="92"/>
      <c r="K280" s="92"/>
      <c r="L280" s="92"/>
      <c r="M280" s="92"/>
      <c r="N280" s="92"/>
      <c r="O280" s="92"/>
      <c r="P280" s="92"/>
      <c r="Q280" s="92"/>
      <c r="R280" s="92"/>
      <c r="S280" s="92"/>
      <c r="T280" s="92"/>
      <c r="U280" s="92"/>
      <c r="V280" s="92"/>
      <c r="W280" s="92"/>
      <c r="X280" s="92"/>
      <c r="Y280" s="92"/>
      <c r="Z280" s="92"/>
    </row>
    <row r="281" spans="1:26" ht="12.75">
      <c r="A281" s="92" t="s">
        <v>6781</v>
      </c>
      <c r="B281" s="372">
        <v>2019</v>
      </c>
      <c r="C281" s="372">
        <v>31179779</v>
      </c>
      <c r="D281" s="92"/>
      <c r="E281" s="261" t="str">
        <f t="shared" si="0"/>
        <v>https://pubmed.ncbi.nlm.nih.gov/31179779</v>
      </c>
      <c r="F281" s="92" t="s">
        <v>511</v>
      </c>
      <c r="G281" s="374" t="s">
        <v>4867</v>
      </c>
      <c r="H281" s="21"/>
      <c r="I281" s="92"/>
      <c r="J281" s="92"/>
      <c r="K281" s="92"/>
      <c r="L281" s="92"/>
      <c r="M281" s="92"/>
      <c r="N281" s="92"/>
      <c r="O281" s="92"/>
      <c r="P281" s="92"/>
      <c r="Q281" s="92"/>
      <c r="R281" s="92"/>
      <c r="S281" s="92"/>
      <c r="T281" s="92"/>
      <c r="U281" s="92"/>
      <c r="V281" s="92"/>
      <c r="W281" s="92"/>
      <c r="X281" s="92"/>
      <c r="Y281" s="92"/>
      <c r="Z281" s="92"/>
    </row>
    <row r="282" spans="1:26" ht="12.75">
      <c r="A282" s="92" t="s">
        <v>6782</v>
      </c>
      <c r="B282" s="372">
        <v>2009</v>
      </c>
      <c r="C282" s="372">
        <v>19246990</v>
      </c>
      <c r="D282" s="373"/>
      <c r="E282" s="261" t="str">
        <f t="shared" si="0"/>
        <v>https://pubmed.ncbi.nlm.nih.gov/19246990</v>
      </c>
      <c r="F282" s="92" t="s">
        <v>511</v>
      </c>
      <c r="G282" s="374" t="s">
        <v>4744</v>
      </c>
      <c r="H282" s="21"/>
      <c r="I282" s="92"/>
      <c r="J282" s="92"/>
      <c r="K282" s="92"/>
      <c r="L282" s="92"/>
      <c r="M282" s="92"/>
      <c r="N282" s="92"/>
      <c r="O282" s="92"/>
      <c r="P282" s="92"/>
      <c r="Q282" s="92"/>
      <c r="R282" s="92"/>
      <c r="S282" s="92"/>
      <c r="T282" s="92"/>
      <c r="U282" s="92"/>
      <c r="V282" s="92"/>
      <c r="W282" s="92"/>
      <c r="X282" s="92"/>
      <c r="Y282" s="92"/>
      <c r="Z282" s="92"/>
    </row>
    <row r="283" spans="1:26" ht="12.75">
      <c r="A283" s="92" t="s">
        <v>6783</v>
      </c>
      <c r="B283" s="372">
        <v>2011</v>
      </c>
      <c r="C283" s="372">
        <v>21291629</v>
      </c>
      <c r="D283" s="373" t="s">
        <v>6784</v>
      </c>
      <c r="E283" s="261" t="str">
        <f t="shared" si="0"/>
        <v>https://pubmed.ncbi.nlm.nih.gov/21291629</v>
      </c>
      <c r="F283" s="92" t="s">
        <v>511</v>
      </c>
      <c r="G283" s="92" t="s">
        <v>4592</v>
      </c>
      <c r="H283" s="92"/>
      <c r="I283" s="92"/>
      <c r="J283" s="92"/>
      <c r="K283" s="92"/>
      <c r="L283" s="92"/>
      <c r="M283" s="92"/>
      <c r="N283" s="92"/>
      <c r="O283" s="92"/>
      <c r="P283" s="92"/>
      <c r="Q283" s="92"/>
      <c r="R283" s="92"/>
      <c r="S283" s="92"/>
      <c r="T283" s="92"/>
      <c r="U283" s="92"/>
      <c r="V283" s="92"/>
      <c r="W283" s="92"/>
      <c r="X283" s="92"/>
      <c r="Y283" s="92"/>
      <c r="Z283" s="92"/>
    </row>
    <row r="284" spans="1:26" ht="12.75">
      <c r="A284" s="92" t="s">
        <v>6785</v>
      </c>
      <c r="B284" s="372">
        <v>2001</v>
      </c>
      <c r="C284" s="372">
        <v>11310443</v>
      </c>
      <c r="D284" s="373"/>
      <c r="E284" s="261" t="str">
        <f t="shared" si="0"/>
        <v>https://pubmed.ncbi.nlm.nih.gov/11310443</v>
      </c>
      <c r="F284" s="92" t="s">
        <v>511</v>
      </c>
      <c r="G284" s="92" t="s">
        <v>4592</v>
      </c>
      <c r="H284" s="92"/>
      <c r="I284" s="92"/>
      <c r="J284" s="92"/>
      <c r="K284" s="92"/>
      <c r="L284" s="92"/>
      <c r="M284" s="92"/>
      <c r="N284" s="92"/>
      <c r="O284" s="92"/>
      <c r="P284" s="92"/>
      <c r="Q284" s="92"/>
      <c r="R284" s="92"/>
      <c r="S284" s="92"/>
      <c r="T284" s="92"/>
      <c r="U284" s="92"/>
      <c r="V284" s="92"/>
      <c r="W284" s="92"/>
      <c r="X284" s="92"/>
      <c r="Y284" s="92"/>
      <c r="Z284" s="92"/>
    </row>
    <row r="285" spans="1:26" ht="12.75">
      <c r="A285" s="92" t="s">
        <v>6786</v>
      </c>
      <c r="B285" s="372">
        <v>2000</v>
      </c>
      <c r="C285" s="372">
        <v>10632735</v>
      </c>
      <c r="D285" s="373"/>
      <c r="E285" s="261" t="str">
        <f t="shared" si="0"/>
        <v>https://pubmed.ncbi.nlm.nih.gov/10632735</v>
      </c>
      <c r="F285" s="92" t="s">
        <v>511</v>
      </c>
      <c r="G285" s="374" t="s">
        <v>4744</v>
      </c>
      <c r="H285" s="21"/>
      <c r="I285" s="92"/>
      <c r="J285" s="92"/>
      <c r="K285" s="92"/>
      <c r="L285" s="92"/>
      <c r="M285" s="92"/>
      <c r="N285" s="92"/>
      <c r="O285" s="92"/>
      <c r="P285" s="92"/>
      <c r="Q285" s="92"/>
      <c r="R285" s="92"/>
      <c r="S285" s="92"/>
      <c r="T285" s="92"/>
      <c r="U285" s="92"/>
      <c r="V285" s="92"/>
      <c r="W285" s="92"/>
      <c r="X285" s="92"/>
      <c r="Y285" s="92"/>
      <c r="Z285" s="92"/>
    </row>
    <row r="286" spans="1:26" ht="12.75">
      <c r="A286" s="92" t="s">
        <v>6787</v>
      </c>
      <c r="B286" s="372">
        <v>2017</v>
      </c>
      <c r="C286" s="372">
        <v>28906284</v>
      </c>
      <c r="D286" s="373"/>
      <c r="E286" s="261" t="str">
        <f t="shared" si="0"/>
        <v>https://pubmed.ncbi.nlm.nih.gov/28906284</v>
      </c>
      <c r="F286" s="92" t="s">
        <v>511</v>
      </c>
      <c r="G286" s="374" t="s">
        <v>6788</v>
      </c>
      <c r="H286" s="21"/>
      <c r="I286" s="92"/>
      <c r="J286" s="92"/>
      <c r="K286" s="92"/>
      <c r="L286" s="92"/>
      <c r="M286" s="92"/>
      <c r="N286" s="92"/>
      <c r="O286" s="92"/>
      <c r="P286" s="92"/>
      <c r="Q286" s="92"/>
      <c r="R286" s="92"/>
      <c r="S286" s="92"/>
      <c r="T286" s="92"/>
      <c r="U286" s="92"/>
      <c r="V286" s="92"/>
      <c r="W286" s="92"/>
      <c r="X286" s="92"/>
      <c r="Y286" s="92"/>
      <c r="Z286" s="92"/>
    </row>
    <row r="287" spans="1:26" ht="12.75">
      <c r="A287" s="92" t="s">
        <v>6789</v>
      </c>
      <c r="B287" s="372">
        <v>2013</v>
      </c>
      <c r="C287" s="372">
        <v>24100694</v>
      </c>
      <c r="D287" s="373" t="s">
        <v>6790</v>
      </c>
      <c r="E287" s="261" t="str">
        <f t="shared" si="0"/>
        <v>https://pubmed.ncbi.nlm.nih.gov/24100694</v>
      </c>
      <c r="F287" s="92" t="s">
        <v>511</v>
      </c>
      <c r="G287" s="92" t="s">
        <v>4592</v>
      </c>
      <c r="H287" s="92"/>
      <c r="I287" s="92"/>
      <c r="J287" s="92"/>
      <c r="K287" s="92"/>
      <c r="L287" s="92"/>
      <c r="M287" s="92"/>
      <c r="N287" s="92"/>
      <c r="O287" s="92"/>
      <c r="P287" s="92"/>
      <c r="Q287" s="92"/>
      <c r="R287" s="92"/>
      <c r="S287" s="92"/>
      <c r="T287" s="92"/>
      <c r="U287" s="92"/>
      <c r="V287" s="92"/>
      <c r="W287" s="92"/>
      <c r="X287" s="92"/>
      <c r="Y287" s="92"/>
      <c r="Z287" s="92"/>
    </row>
    <row r="288" spans="1:26" ht="12.75">
      <c r="A288" s="92" t="s">
        <v>6791</v>
      </c>
      <c r="B288" s="372">
        <v>2009</v>
      </c>
      <c r="C288" s="372">
        <v>19515590</v>
      </c>
      <c r="D288" s="373"/>
      <c r="E288" s="261" t="str">
        <f t="shared" si="0"/>
        <v>https://pubmed.ncbi.nlm.nih.gov/19515590</v>
      </c>
      <c r="F288" s="92" t="s">
        <v>511</v>
      </c>
      <c r="G288" s="92" t="s">
        <v>4592</v>
      </c>
      <c r="H288" s="92"/>
      <c r="I288" s="92"/>
      <c r="J288" s="92"/>
      <c r="K288" s="92"/>
      <c r="L288" s="92"/>
      <c r="M288" s="92"/>
      <c r="N288" s="92"/>
      <c r="O288" s="92"/>
      <c r="P288" s="92"/>
      <c r="Q288" s="92"/>
      <c r="R288" s="92"/>
      <c r="S288" s="92"/>
      <c r="T288" s="92"/>
      <c r="U288" s="92"/>
      <c r="V288" s="92"/>
      <c r="W288" s="92"/>
      <c r="X288" s="92"/>
      <c r="Y288" s="92"/>
      <c r="Z288" s="92"/>
    </row>
    <row r="289" spans="1:26" ht="12.75">
      <c r="A289" s="92" t="s">
        <v>6792</v>
      </c>
      <c r="B289" s="372">
        <v>2016</v>
      </c>
      <c r="C289" s="372">
        <v>27441483</v>
      </c>
      <c r="D289" s="373"/>
      <c r="E289" s="261" t="str">
        <f t="shared" si="0"/>
        <v>https://pubmed.ncbi.nlm.nih.gov/27441483</v>
      </c>
      <c r="F289" s="92" t="s">
        <v>511</v>
      </c>
      <c r="G289" s="374" t="s">
        <v>4744</v>
      </c>
      <c r="H289" s="21"/>
      <c r="I289" s="92"/>
      <c r="J289" s="92"/>
      <c r="K289" s="92"/>
      <c r="L289" s="92"/>
      <c r="M289" s="92"/>
      <c r="N289" s="92"/>
      <c r="O289" s="92"/>
      <c r="P289" s="92"/>
      <c r="Q289" s="92"/>
      <c r="R289" s="92"/>
      <c r="S289" s="92"/>
      <c r="T289" s="92"/>
      <c r="U289" s="92"/>
      <c r="V289" s="92"/>
      <c r="W289" s="92"/>
      <c r="X289" s="92"/>
      <c r="Y289" s="92"/>
      <c r="Z289" s="92"/>
    </row>
    <row r="290" spans="1:26" ht="12.75">
      <c r="A290" s="92" t="s">
        <v>6793</v>
      </c>
      <c r="B290" s="372">
        <v>2016</v>
      </c>
      <c r="C290" s="372">
        <v>27545697</v>
      </c>
      <c r="D290" s="373"/>
      <c r="E290" s="261" t="str">
        <f t="shared" si="0"/>
        <v>https://pubmed.ncbi.nlm.nih.gov/27545697</v>
      </c>
      <c r="F290" s="92" t="s">
        <v>511</v>
      </c>
      <c r="G290" s="374" t="s">
        <v>6794</v>
      </c>
      <c r="H290" s="21"/>
      <c r="I290" s="21"/>
      <c r="J290" s="92"/>
      <c r="K290" s="92"/>
      <c r="L290" s="92"/>
      <c r="M290" s="92"/>
      <c r="N290" s="92"/>
      <c r="O290" s="92"/>
      <c r="P290" s="92"/>
      <c r="Q290" s="92"/>
      <c r="R290" s="92"/>
      <c r="S290" s="92"/>
      <c r="T290" s="92"/>
      <c r="U290" s="92"/>
      <c r="V290" s="92"/>
      <c r="W290" s="92"/>
      <c r="X290" s="92"/>
      <c r="Y290" s="92"/>
      <c r="Z290" s="92"/>
    </row>
    <row r="291" spans="1:26" ht="12.75">
      <c r="A291" s="92" t="s">
        <v>6795</v>
      </c>
      <c r="B291" s="372">
        <v>2004</v>
      </c>
      <c r="C291" s="372">
        <v>14872017</v>
      </c>
      <c r="D291" s="373"/>
      <c r="E291" s="261" t="str">
        <f t="shared" si="0"/>
        <v>https://pubmed.ncbi.nlm.nih.gov/14872017</v>
      </c>
      <c r="F291" s="92" t="s">
        <v>511</v>
      </c>
      <c r="G291" s="374" t="s">
        <v>4744</v>
      </c>
      <c r="H291" s="21"/>
      <c r="I291" s="92"/>
      <c r="J291" s="92"/>
      <c r="K291" s="92"/>
      <c r="L291" s="92"/>
      <c r="M291" s="92"/>
      <c r="N291" s="92"/>
      <c r="O291" s="92"/>
      <c r="P291" s="92"/>
      <c r="Q291" s="92"/>
      <c r="R291" s="92"/>
      <c r="S291" s="92"/>
      <c r="T291" s="92"/>
      <c r="U291" s="92"/>
      <c r="V291" s="92"/>
      <c r="W291" s="92"/>
      <c r="X291" s="92"/>
      <c r="Y291" s="92"/>
      <c r="Z291" s="92"/>
    </row>
    <row r="292" spans="1:26" ht="12.75">
      <c r="A292" s="92" t="s">
        <v>6796</v>
      </c>
      <c r="B292" s="372">
        <v>2018</v>
      </c>
      <c r="C292" s="372">
        <v>29656903</v>
      </c>
      <c r="D292" s="373" t="s">
        <v>6797</v>
      </c>
      <c r="E292" s="261" t="str">
        <f t="shared" si="0"/>
        <v>https://pubmed.ncbi.nlm.nih.gov/29656903</v>
      </c>
      <c r="F292" s="92" t="s">
        <v>511</v>
      </c>
      <c r="G292" s="92" t="s">
        <v>8412</v>
      </c>
      <c r="H292" s="92"/>
      <c r="I292" s="92"/>
      <c r="J292" s="92"/>
      <c r="K292" s="92"/>
      <c r="L292" s="92"/>
      <c r="M292" s="92"/>
      <c r="N292" s="92"/>
      <c r="O292" s="92"/>
      <c r="P292" s="92"/>
      <c r="Q292" s="92"/>
      <c r="R292" s="92"/>
      <c r="S292" s="92"/>
      <c r="T292" s="92"/>
      <c r="U292" s="92"/>
      <c r="V292" s="92"/>
      <c r="W292" s="92"/>
      <c r="X292" s="92"/>
      <c r="Y292" s="92"/>
      <c r="Z292" s="92"/>
    </row>
    <row r="293" spans="1:26" ht="12.75">
      <c r="A293" s="92" t="s">
        <v>6798</v>
      </c>
      <c r="B293" s="372">
        <v>2017</v>
      </c>
      <c r="C293" s="372">
        <v>28167545</v>
      </c>
      <c r="D293" s="375" t="s">
        <v>6799</v>
      </c>
      <c r="E293" s="261" t="str">
        <f t="shared" si="0"/>
        <v>https://pubmed.ncbi.nlm.nih.gov/28167545</v>
      </c>
      <c r="F293" s="92" t="s">
        <v>511</v>
      </c>
      <c r="G293" s="374" t="s">
        <v>4867</v>
      </c>
      <c r="H293" s="21"/>
      <c r="I293" s="92"/>
      <c r="J293" s="92"/>
      <c r="K293" s="92"/>
      <c r="L293" s="92"/>
      <c r="M293" s="92"/>
      <c r="N293" s="92"/>
      <c r="O293" s="92"/>
      <c r="P293" s="92"/>
      <c r="Q293" s="92"/>
      <c r="R293" s="92"/>
      <c r="S293" s="92"/>
      <c r="T293" s="92"/>
      <c r="U293" s="92"/>
      <c r="V293" s="92"/>
      <c r="W293" s="92"/>
      <c r="X293" s="92"/>
      <c r="Y293" s="92"/>
      <c r="Z293" s="92"/>
    </row>
    <row r="294" spans="1:26" ht="12.75">
      <c r="A294" s="92" t="s">
        <v>6800</v>
      </c>
      <c r="B294" s="372">
        <v>2020</v>
      </c>
      <c r="C294" s="372">
        <v>32513308</v>
      </c>
      <c r="D294" s="373" t="s">
        <v>6801</v>
      </c>
      <c r="E294" s="261" t="str">
        <f t="shared" si="0"/>
        <v>https://pubmed.ncbi.nlm.nih.gov/32513308</v>
      </c>
      <c r="F294" s="92" t="s">
        <v>511</v>
      </c>
      <c r="G294" s="374" t="s">
        <v>8426</v>
      </c>
      <c r="H294" s="21"/>
      <c r="I294" s="92"/>
      <c r="J294" s="92"/>
      <c r="K294" s="92"/>
      <c r="L294" s="92"/>
      <c r="M294" s="92"/>
      <c r="N294" s="92"/>
      <c r="O294" s="92"/>
      <c r="P294" s="92"/>
      <c r="Q294" s="92"/>
      <c r="R294" s="92"/>
      <c r="S294" s="92"/>
      <c r="T294" s="92"/>
      <c r="U294" s="92"/>
      <c r="V294" s="92"/>
      <c r="W294" s="92"/>
      <c r="X294" s="92"/>
      <c r="Y294" s="92"/>
      <c r="Z294" s="92"/>
    </row>
    <row r="295" spans="1:26" ht="12.75">
      <c r="A295" s="92" t="s">
        <v>6803</v>
      </c>
      <c r="B295" s="372">
        <v>2018</v>
      </c>
      <c r="C295" s="372">
        <v>29275068</v>
      </c>
      <c r="D295" s="373"/>
      <c r="E295" s="261" t="str">
        <f t="shared" si="0"/>
        <v>https://pubmed.ncbi.nlm.nih.gov/29275068</v>
      </c>
      <c r="F295" s="92" t="s">
        <v>511</v>
      </c>
      <c r="G295" s="374" t="s">
        <v>5157</v>
      </c>
      <c r="H295" s="21"/>
      <c r="I295" s="21"/>
      <c r="J295" s="92"/>
      <c r="K295" s="92"/>
      <c r="L295" s="92"/>
      <c r="M295" s="92"/>
      <c r="N295" s="92"/>
      <c r="O295" s="92"/>
      <c r="P295" s="92"/>
      <c r="Q295" s="92"/>
      <c r="R295" s="92"/>
      <c r="S295" s="92"/>
      <c r="T295" s="92"/>
      <c r="U295" s="92"/>
      <c r="V295" s="92"/>
      <c r="W295" s="92"/>
      <c r="X295" s="92"/>
      <c r="Y295" s="92"/>
      <c r="Z295" s="92"/>
    </row>
    <row r="296" spans="1:26" ht="12.75">
      <c r="A296" s="92" t="s">
        <v>6804</v>
      </c>
      <c r="B296" s="372">
        <v>2005</v>
      </c>
      <c r="C296" s="372">
        <v>15969878</v>
      </c>
      <c r="D296" s="373"/>
      <c r="E296" s="261" t="str">
        <f t="shared" si="0"/>
        <v>https://pubmed.ncbi.nlm.nih.gov/15969878</v>
      </c>
      <c r="F296" s="92" t="s">
        <v>511</v>
      </c>
      <c r="G296" s="92" t="s">
        <v>5273</v>
      </c>
      <c r="H296" s="92"/>
      <c r="I296" s="92"/>
      <c r="J296" s="92"/>
      <c r="K296" s="92"/>
      <c r="L296" s="92"/>
      <c r="M296" s="92"/>
      <c r="N296" s="92"/>
      <c r="O296" s="92"/>
      <c r="P296" s="92"/>
      <c r="Q296" s="92"/>
      <c r="R296" s="92"/>
      <c r="S296" s="92"/>
      <c r="T296" s="92"/>
      <c r="U296" s="92"/>
      <c r="V296" s="92"/>
      <c r="W296" s="92"/>
      <c r="X296" s="92"/>
      <c r="Y296" s="92"/>
      <c r="Z296" s="92"/>
    </row>
    <row r="297" spans="1:26" ht="12.75">
      <c r="A297" s="92" t="s">
        <v>6805</v>
      </c>
      <c r="B297" s="372">
        <v>2015</v>
      </c>
      <c r="C297" s="372">
        <v>25510394</v>
      </c>
      <c r="D297" s="373"/>
      <c r="E297" s="261" t="str">
        <f t="shared" si="0"/>
        <v>https://pubmed.ncbi.nlm.nih.gov/25510394</v>
      </c>
      <c r="F297" s="92" t="s">
        <v>511</v>
      </c>
      <c r="G297" s="92" t="s">
        <v>4592</v>
      </c>
      <c r="H297" s="92"/>
      <c r="I297" s="92"/>
      <c r="J297" s="92"/>
      <c r="K297" s="92"/>
      <c r="L297" s="92"/>
      <c r="M297" s="92"/>
      <c r="N297" s="92"/>
      <c r="O297" s="92"/>
      <c r="P297" s="92"/>
      <c r="Q297" s="92"/>
      <c r="R297" s="92"/>
      <c r="S297" s="92"/>
      <c r="T297" s="92"/>
      <c r="U297" s="92"/>
      <c r="V297" s="92"/>
      <c r="W297" s="92"/>
      <c r="X297" s="92"/>
      <c r="Y297" s="92"/>
      <c r="Z297" s="92"/>
    </row>
    <row r="298" spans="1:26" ht="12.75">
      <c r="A298" s="92" t="s">
        <v>6806</v>
      </c>
      <c r="B298" s="372">
        <v>2016</v>
      </c>
      <c r="C298" s="372">
        <v>27537997</v>
      </c>
      <c r="D298" s="373"/>
      <c r="E298" s="261" t="str">
        <f t="shared" si="0"/>
        <v>https://pubmed.ncbi.nlm.nih.gov/27537997</v>
      </c>
      <c r="F298" s="92" t="s">
        <v>511</v>
      </c>
      <c r="G298" s="374" t="s">
        <v>4744</v>
      </c>
      <c r="H298" s="21"/>
      <c r="I298" s="92"/>
      <c r="J298" s="92"/>
      <c r="K298" s="92"/>
      <c r="L298" s="92"/>
      <c r="M298" s="92"/>
      <c r="N298" s="92"/>
      <c r="O298" s="92"/>
      <c r="P298" s="92"/>
      <c r="Q298" s="92"/>
      <c r="R298" s="92"/>
      <c r="S298" s="92"/>
      <c r="T298" s="92"/>
      <c r="U298" s="92"/>
      <c r="V298" s="92"/>
      <c r="W298" s="92"/>
      <c r="X298" s="92"/>
      <c r="Y298" s="92"/>
      <c r="Z298" s="92"/>
    </row>
    <row r="299" spans="1:26" ht="12.75">
      <c r="A299" s="92" t="s">
        <v>6807</v>
      </c>
      <c r="B299" s="372">
        <v>2019</v>
      </c>
      <c r="C299" s="372">
        <v>30832699</v>
      </c>
      <c r="D299" s="375" t="s">
        <v>6808</v>
      </c>
      <c r="E299" s="261" t="str">
        <f t="shared" si="0"/>
        <v>https://pubmed.ncbi.nlm.nih.gov/30832699</v>
      </c>
      <c r="F299" s="92" t="s">
        <v>511</v>
      </c>
      <c r="G299" s="374" t="s">
        <v>6809</v>
      </c>
      <c r="H299" s="21"/>
      <c r="I299" s="92"/>
      <c r="J299" s="92"/>
      <c r="K299" s="92"/>
      <c r="L299" s="92"/>
      <c r="M299" s="92"/>
      <c r="N299" s="92"/>
      <c r="O299" s="92"/>
      <c r="P299" s="92"/>
      <c r="Q299" s="92"/>
      <c r="R299" s="92"/>
      <c r="S299" s="92"/>
      <c r="T299" s="92"/>
      <c r="U299" s="92"/>
      <c r="V299" s="92"/>
      <c r="W299" s="92"/>
      <c r="X299" s="92"/>
      <c r="Y299" s="92"/>
      <c r="Z299" s="92"/>
    </row>
    <row r="300" spans="1:26" ht="12.75">
      <c r="A300" s="92" t="s">
        <v>6810</v>
      </c>
      <c r="B300" s="372">
        <v>2007</v>
      </c>
      <c r="C300" s="372">
        <v>17424701</v>
      </c>
      <c r="D300" s="373"/>
      <c r="E300" s="261" t="str">
        <f t="shared" si="0"/>
        <v>https://pubmed.ncbi.nlm.nih.gov/17424701</v>
      </c>
      <c r="F300" s="92" t="s">
        <v>511</v>
      </c>
      <c r="G300" s="92" t="s">
        <v>6623</v>
      </c>
      <c r="H300" s="92"/>
      <c r="I300" s="92"/>
      <c r="J300" s="92"/>
      <c r="K300" s="92"/>
      <c r="L300" s="92"/>
      <c r="M300" s="92"/>
      <c r="N300" s="92"/>
      <c r="O300" s="92"/>
      <c r="P300" s="92"/>
      <c r="Q300" s="92"/>
      <c r="R300" s="92"/>
      <c r="S300" s="92"/>
      <c r="T300" s="92"/>
      <c r="U300" s="92"/>
      <c r="V300" s="92"/>
      <c r="W300" s="92"/>
      <c r="X300" s="92"/>
      <c r="Y300" s="92"/>
      <c r="Z300" s="92"/>
    </row>
    <row r="301" spans="1:26" ht="12.75">
      <c r="A301" s="92" t="s">
        <v>6811</v>
      </c>
      <c r="B301" s="372">
        <v>2006</v>
      </c>
      <c r="C301" s="372">
        <v>16454836</v>
      </c>
      <c r="D301" s="373"/>
      <c r="E301" s="261" t="str">
        <f t="shared" si="0"/>
        <v>https://pubmed.ncbi.nlm.nih.gov/16454836</v>
      </c>
      <c r="F301" s="92" t="s">
        <v>511</v>
      </c>
      <c r="G301" s="374" t="s">
        <v>5299</v>
      </c>
      <c r="H301" s="21"/>
      <c r="I301" s="92"/>
      <c r="J301" s="92"/>
      <c r="K301" s="92"/>
      <c r="L301" s="92"/>
      <c r="M301" s="92"/>
      <c r="N301" s="92"/>
      <c r="O301" s="92"/>
      <c r="P301" s="92"/>
      <c r="Q301" s="92"/>
      <c r="R301" s="92"/>
      <c r="S301" s="92"/>
      <c r="T301" s="92"/>
      <c r="U301" s="92"/>
      <c r="V301" s="92"/>
      <c r="W301" s="92"/>
      <c r="X301" s="92"/>
      <c r="Y301" s="92"/>
      <c r="Z301" s="92"/>
    </row>
    <row r="302" spans="1:26" ht="12.75">
      <c r="A302" s="92" t="s">
        <v>6812</v>
      </c>
      <c r="B302" s="372">
        <v>2012</v>
      </c>
      <c r="C302" s="372">
        <v>22682133</v>
      </c>
      <c r="D302" s="373"/>
      <c r="E302" s="261" t="str">
        <f t="shared" si="0"/>
        <v>https://pubmed.ncbi.nlm.nih.gov/22682133</v>
      </c>
      <c r="F302" s="92" t="s">
        <v>511</v>
      </c>
      <c r="G302" s="92" t="s">
        <v>4592</v>
      </c>
      <c r="H302" s="92"/>
      <c r="I302" s="92"/>
      <c r="J302" s="92"/>
      <c r="K302" s="92"/>
      <c r="L302" s="92"/>
      <c r="M302" s="92"/>
      <c r="N302" s="92"/>
      <c r="O302" s="92"/>
      <c r="P302" s="92"/>
      <c r="Q302" s="92"/>
      <c r="R302" s="92"/>
      <c r="S302" s="92"/>
      <c r="T302" s="92"/>
      <c r="U302" s="92"/>
      <c r="V302" s="92"/>
      <c r="W302" s="92"/>
      <c r="X302" s="92"/>
      <c r="Y302" s="92"/>
      <c r="Z302" s="92"/>
    </row>
    <row r="303" spans="1:26" ht="12.75">
      <c r="A303" s="92" t="s">
        <v>6813</v>
      </c>
      <c r="B303" s="372">
        <v>2014</v>
      </c>
      <c r="C303" s="372">
        <v>23796195</v>
      </c>
      <c r="D303" s="373"/>
      <c r="E303" s="261" t="str">
        <f t="shared" si="0"/>
        <v>https://pubmed.ncbi.nlm.nih.gov/23796195</v>
      </c>
      <c r="F303" s="92" t="s">
        <v>511</v>
      </c>
      <c r="G303" s="92" t="s">
        <v>4592</v>
      </c>
      <c r="H303" s="92"/>
      <c r="I303" s="92"/>
      <c r="J303" s="92"/>
      <c r="K303" s="92"/>
      <c r="L303" s="92"/>
      <c r="M303" s="92"/>
      <c r="N303" s="92"/>
      <c r="O303" s="92"/>
      <c r="P303" s="92"/>
      <c r="Q303" s="92"/>
      <c r="R303" s="92"/>
      <c r="S303" s="92"/>
      <c r="T303" s="92"/>
      <c r="U303" s="92"/>
      <c r="V303" s="92"/>
      <c r="W303" s="92"/>
      <c r="X303" s="92"/>
      <c r="Y303" s="92"/>
      <c r="Z303" s="92"/>
    </row>
    <row r="304" spans="1:26" ht="12.75">
      <c r="A304" s="92" t="s">
        <v>6814</v>
      </c>
      <c r="B304" s="372">
        <v>2019</v>
      </c>
      <c r="C304" s="372">
        <v>30852528</v>
      </c>
      <c r="D304" s="373" t="s">
        <v>6815</v>
      </c>
      <c r="E304" s="261" t="str">
        <f t="shared" si="0"/>
        <v>https://pubmed.ncbi.nlm.nih.gov/30852528</v>
      </c>
      <c r="F304" s="92" t="s">
        <v>511</v>
      </c>
      <c r="G304" s="374" t="s">
        <v>5157</v>
      </c>
      <c r="H304" s="21"/>
      <c r="I304" s="21"/>
      <c r="J304" s="92"/>
      <c r="K304" s="92"/>
      <c r="L304" s="92"/>
      <c r="M304" s="92"/>
      <c r="N304" s="92"/>
      <c r="O304" s="92"/>
      <c r="P304" s="92"/>
      <c r="Q304" s="92"/>
      <c r="R304" s="92"/>
      <c r="S304" s="92"/>
      <c r="T304" s="92"/>
      <c r="U304" s="92"/>
      <c r="V304" s="92"/>
      <c r="W304" s="92"/>
      <c r="X304" s="92"/>
      <c r="Y304" s="92"/>
      <c r="Z304" s="92"/>
    </row>
    <row r="305" spans="1:26" ht="12.75">
      <c r="A305" s="92" t="s">
        <v>6816</v>
      </c>
      <c r="B305" s="372">
        <v>2003</v>
      </c>
      <c r="C305" s="372">
        <v>12544987</v>
      </c>
      <c r="D305" s="373"/>
      <c r="E305" s="261" t="str">
        <f t="shared" si="0"/>
        <v>https://pubmed.ncbi.nlm.nih.gov/12544987</v>
      </c>
      <c r="F305" s="92" t="s">
        <v>511</v>
      </c>
      <c r="G305" s="374" t="s">
        <v>4744</v>
      </c>
      <c r="H305" s="21"/>
      <c r="I305" s="92"/>
      <c r="J305" s="92"/>
      <c r="K305" s="92"/>
      <c r="L305" s="92"/>
      <c r="M305" s="92"/>
      <c r="N305" s="92"/>
      <c r="O305" s="92"/>
      <c r="P305" s="92"/>
      <c r="Q305" s="92"/>
      <c r="R305" s="92"/>
      <c r="S305" s="92"/>
      <c r="T305" s="92"/>
      <c r="U305" s="92"/>
      <c r="V305" s="92"/>
      <c r="W305" s="92"/>
      <c r="X305" s="92"/>
      <c r="Y305" s="92"/>
      <c r="Z305" s="92"/>
    </row>
    <row r="306" spans="1:26" ht="12.75">
      <c r="A306" s="92" t="s">
        <v>6817</v>
      </c>
      <c r="B306" s="372">
        <v>2009</v>
      </c>
      <c r="C306" s="372">
        <v>19476405</v>
      </c>
      <c r="D306" s="92"/>
      <c r="E306" s="261" t="str">
        <f t="shared" si="0"/>
        <v>https://pubmed.ncbi.nlm.nih.gov/19476405</v>
      </c>
      <c r="F306" s="92" t="s">
        <v>511</v>
      </c>
      <c r="G306" s="374" t="s">
        <v>4744</v>
      </c>
      <c r="H306" s="92"/>
      <c r="I306" s="92" t="s">
        <v>6460</v>
      </c>
      <c r="J306" s="92"/>
      <c r="K306" s="92"/>
      <c r="L306" s="92"/>
      <c r="M306" s="92"/>
      <c r="N306" s="92"/>
      <c r="O306" s="92"/>
      <c r="P306" s="92"/>
      <c r="Q306" s="92"/>
      <c r="R306" s="92"/>
      <c r="S306" s="92"/>
      <c r="T306" s="92"/>
      <c r="U306" s="92"/>
      <c r="V306" s="92"/>
      <c r="W306" s="92"/>
      <c r="X306" s="92"/>
      <c r="Y306" s="92"/>
      <c r="Z306" s="92"/>
    </row>
    <row r="307" spans="1:26" ht="12.75">
      <c r="A307" s="92" t="s">
        <v>6818</v>
      </c>
      <c r="B307" s="372">
        <v>2015</v>
      </c>
      <c r="C307" s="372">
        <v>25805741</v>
      </c>
      <c r="D307" s="373"/>
      <c r="E307" s="261" t="str">
        <f t="shared" si="0"/>
        <v>https://pubmed.ncbi.nlm.nih.gov/25805741</v>
      </c>
      <c r="F307" s="92" t="s">
        <v>511</v>
      </c>
      <c r="G307" s="92" t="s">
        <v>4592</v>
      </c>
      <c r="H307" s="92"/>
      <c r="I307" s="92"/>
      <c r="J307" s="92"/>
      <c r="K307" s="92"/>
      <c r="L307" s="92"/>
      <c r="M307" s="92"/>
      <c r="N307" s="92"/>
      <c r="O307" s="92"/>
      <c r="P307" s="92"/>
      <c r="Q307" s="92"/>
      <c r="R307" s="92"/>
      <c r="S307" s="92"/>
      <c r="T307" s="92"/>
      <c r="U307" s="92"/>
      <c r="V307" s="92"/>
      <c r="W307" s="92"/>
      <c r="X307" s="92"/>
      <c r="Y307" s="92"/>
      <c r="Z307" s="92"/>
    </row>
    <row r="308" spans="1:26" ht="12.75">
      <c r="A308" s="92" t="s">
        <v>6819</v>
      </c>
      <c r="B308" s="372">
        <v>2007</v>
      </c>
      <c r="C308" s="372">
        <v>17483254</v>
      </c>
      <c r="D308" s="373" t="s">
        <v>6820</v>
      </c>
      <c r="E308" s="261" t="str">
        <f t="shared" si="0"/>
        <v>https://pubmed.ncbi.nlm.nih.gov/17483254</v>
      </c>
      <c r="F308" s="92" t="s">
        <v>511</v>
      </c>
      <c r="G308" s="92" t="s">
        <v>8390</v>
      </c>
      <c r="H308" s="92"/>
      <c r="I308" s="92"/>
      <c r="J308" s="92"/>
      <c r="K308" s="92"/>
      <c r="L308" s="92"/>
      <c r="M308" s="92"/>
      <c r="N308" s="92"/>
      <c r="O308" s="92"/>
      <c r="P308" s="92"/>
      <c r="Q308" s="92"/>
      <c r="R308" s="92"/>
      <c r="S308" s="92"/>
      <c r="T308" s="92"/>
      <c r="U308" s="92"/>
      <c r="V308" s="92"/>
      <c r="W308" s="92"/>
      <c r="X308" s="92"/>
      <c r="Y308" s="92"/>
      <c r="Z308" s="92"/>
    </row>
    <row r="309" spans="1:26" ht="12.75">
      <c r="A309" s="92" t="s">
        <v>6821</v>
      </c>
      <c r="B309" s="372">
        <v>2005</v>
      </c>
      <c r="C309" s="372">
        <v>15601653</v>
      </c>
      <c r="D309" s="373"/>
      <c r="E309" s="261" t="str">
        <f t="shared" si="0"/>
        <v>https://pubmed.ncbi.nlm.nih.gov/15601653</v>
      </c>
      <c r="F309" s="92" t="s">
        <v>511</v>
      </c>
      <c r="G309" s="374" t="s">
        <v>4744</v>
      </c>
      <c r="H309" s="21"/>
      <c r="I309" s="92"/>
      <c r="J309" s="92"/>
      <c r="K309" s="92"/>
      <c r="L309" s="92"/>
      <c r="M309" s="92"/>
      <c r="N309" s="92"/>
      <c r="O309" s="92"/>
      <c r="P309" s="92"/>
      <c r="Q309" s="92"/>
      <c r="R309" s="92"/>
      <c r="S309" s="92"/>
      <c r="T309" s="92"/>
      <c r="U309" s="92"/>
      <c r="V309" s="92"/>
      <c r="W309" s="92"/>
      <c r="X309" s="92"/>
      <c r="Y309" s="92"/>
      <c r="Z309" s="92"/>
    </row>
    <row r="310" spans="1:26" ht="12.75">
      <c r="A310" s="92" t="s">
        <v>6822</v>
      </c>
      <c r="B310" s="372">
        <v>2016</v>
      </c>
      <c r="C310" s="372">
        <v>27290681</v>
      </c>
      <c r="D310" s="373"/>
      <c r="E310" s="261" t="str">
        <f t="shared" si="0"/>
        <v>https://pubmed.ncbi.nlm.nih.gov/27290681</v>
      </c>
      <c r="F310" s="92" t="s">
        <v>511</v>
      </c>
      <c r="G310" s="374" t="s">
        <v>4744</v>
      </c>
      <c r="H310" s="21"/>
      <c r="I310" s="92"/>
      <c r="J310" s="92"/>
      <c r="K310" s="92"/>
      <c r="L310" s="92"/>
      <c r="M310" s="92"/>
      <c r="N310" s="92"/>
      <c r="O310" s="92"/>
      <c r="P310" s="92"/>
      <c r="Q310" s="92"/>
      <c r="R310" s="92"/>
      <c r="S310" s="92"/>
      <c r="T310" s="92"/>
      <c r="U310" s="92"/>
      <c r="V310" s="92"/>
      <c r="W310" s="92"/>
      <c r="X310" s="92"/>
      <c r="Y310" s="92"/>
      <c r="Z310" s="92"/>
    </row>
    <row r="311" spans="1:26" ht="12.75">
      <c r="A311" s="92" t="s">
        <v>6823</v>
      </c>
      <c r="B311" s="372">
        <v>2016</v>
      </c>
      <c r="C311" s="372">
        <v>27217097</v>
      </c>
      <c r="D311" s="373"/>
      <c r="E311" s="261" t="str">
        <f t="shared" si="0"/>
        <v>https://pubmed.ncbi.nlm.nih.gov/27217097</v>
      </c>
      <c r="F311" s="92" t="s">
        <v>511</v>
      </c>
      <c r="G311" s="374" t="s">
        <v>4744</v>
      </c>
      <c r="H311" s="21"/>
      <c r="I311" s="92"/>
      <c r="J311" s="92"/>
      <c r="K311" s="92"/>
      <c r="L311" s="92"/>
      <c r="M311" s="92"/>
      <c r="N311" s="92"/>
      <c r="O311" s="92"/>
      <c r="P311" s="92"/>
      <c r="Q311" s="92"/>
      <c r="R311" s="92"/>
      <c r="S311" s="92"/>
      <c r="T311" s="92"/>
      <c r="U311" s="92"/>
      <c r="V311" s="92"/>
      <c r="W311" s="92"/>
      <c r="X311" s="92"/>
      <c r="Y311" s="92"/>
      <c r="Z311" s="92"/>
    </row>
    <row r="312" spans="1:26" ht="12.75">
      <c r="A312" s="92" t="s">
        <v>6824</v>
      </c>
      <c r="B312" s="372">
        <v>2015</v>
      </c>
      <c r="C312" s="372">
        <v>26295732</v>
      </c>
      <c r="D312" s="373" t="s">
        <v>6825</v>
      </c>
      <c r="E312" s="261" t="str">
        <f t="shared" si="0"/>
        <v>https://pubmed.ncbi.nlm.nih.gov/26295732</v>
      </c>
      <c r="F312" s="92" t="s">
        <v>511</v>
      </c>
      <c r="G312" s="374" t="s">
        <v>6826</v>
      </c>
      <c r="H312" s="21"/>
      <c r="I312" s="21"/>
      <c r="J312" s="92"/>
      <c r="K312" s="92"/>
      <c r="L312" s="92"/>
      <c r="M312" s="92"/>
      <c r="N312" s="92"/>
      <c r="O312" s="92"/>
      <c r="P312" s="92"/>
      <c r="Q312" s="92"/>
      <c r="R312" s="92"/>
      <c r="S312" s="92"/>
      <c r="T312" s="92"/>
      <c r="U312" s="92"/>
      <c r="V312" s="92"/>
      <c r="W312" s="92"/>
      <c r="X312" s="92"/>
      <c r="Y312" s="92"/>
      <c r="Z312" s="92"/>
    </row>
    <row r="313" spans="1:26" ht="12.75">
      <c r="A313" s="92" t="s">
        <v>6827</v>
      </c>
      <c r="B313" s="372">
        <v>2019</v>
      </c>
      <c r="C313" s="372">
        <v>31042143</v>
      </c>
      <c r="D313" s="373" t="s">
        <v>6828</v>
      </c>
      <c r="E313" s="261" t="str">
        <f t="shared" si="0"/>
        <v>https://pubmed.ncbi.nlm.nih.gov/31042143</v>
      </c>
      <c r="F313" s="92" t="s">
        <v>511</v>
      </c>
      <c r="G313" s="374" t="s">
        <v>4744</v>
      </c>
      <c r="H313" s="21"/>
      <c r="I313" s="92"/>
      <c r="J313" s="92"/>
      <c r="K313" s="92"/>
      <c r="L313" s="92"/>
      <c r="M313" s="92"/>
      <c r="N313" s="92"/>
      <c r="O313" s="92"/>
      <c r="P313" s="92"/>
      <c r="Q313" s="92"/>
      <c r="R313" s="92"/>
      <c r="S313" s="92"/>
      <c r="T313" s="92"/>
      <c r="U313" s="92"/>
      <c r="V313" s="92"/>
      <c r="W313" s="92"/>
      <c r="X313" s="92"/>
      <c r="Y313" s="92"/>
      <c r="Z313" s="92"/>
    </row>
    <row r="314" spans="1:26" ht="12.75">
      <c r="A314" s="92" t="s">
        <v>6829</v>
      </c>
      <c r="B314" s="372">
        <v>2020</v>
      </c>
      <c r="C314" s="372">
        <v>32441894</v>
      </c>
      <c r="D314" s="373" t="s">
        <v>5611</v>
      </c>
      <c r="E314" s="261" t="str">
        <f t="shared" si="0"/>
        <v>https://pubmed.ncbi.nlm.nih.gov/32441894</v>
      </c>
      <c r="F314" s="92" t="s">
        <v>511</v>
      </c>
      <c r="G314" s="92" t="s">
        <v>8390</v>
      </c>
      <c r="H314" s="92"/>
      <c r="I314" s="92"/>
      <c r="J314" s="92"/>
      <c r="K314" s="92"/>
      <c r="L314" s="92"/>
      <c r="M314" s="92"/>
      <c r="N314" s="92"/>
      <c r="O314" s="92"/>
      <c r="P314" s="92"/>
      <c r="Q314" s="92"/>
      <c r="R314" s="92"/>
      <c r="S314" s="92"/>
      <c r="T314" s="92"/>
      <c r="U314" s="92"/>
      <c r="V314" s="92"/>
      <c r="W314" s="92"/>
      <c r="X314" s="92"/>
      <c r="Y314" s="92"/>
      <c r="Z314" s="92"/>
    </row>
    <row r="315" spans="1:26" ht="12.75">
      <c r="A315" s="92" t="s">
        <v>6830</v>
      </c>
      <c r="B315" s="372">
        <v>2000</v>
      </c>
      <c r="C315" s="372">
        <v>10859993</v>
      </c>
      <c r="D315" s="373"/>
      <c r="E315" s="261" t="str">
        <f t="shared" si="0"/>
        <v>https://pubmed.ncbi.nlm.nih.gov/10859993</v>
      </c>
      <c r="F315" s="92" t="s">
        <v>511</v>
      </c>
      <c r="G315" s="92" t="s">
        <v>6623</v>
      </c>
      <c r="H315" s="92"/>
      <c r="I315" s="92"/>
      <c r="J315" s="92"/>
      <c r="K315" s="92"/>
      <c r="L315" s="92"/>
      <c r="M315" s="92"/>
      <c r="N315" s="92"/>
      <c r="O315" s="92"/>
      <c r="P315" s="92"/>
      <c r="Q315" s="92"/>
      <c r="R315" s="92"/>
      <c r="S315" s="92"/>
      <c r="T315" s="92"/>
      <c r="U315" s="92"/>
      <c r="V315" s="92"/>
      <c r="W315" s="92"/>
      <c r="X315" s="92"/>
      <c r="Y315" s="92"/>
      <c r="Z315" s="92"/>
    </row>
    <row r="316" spans="1:26" ht="12.75">
      <c r="A316" s="92" t="s">
        <v>6831</v>
      </c>
      <c r="B316" s="372">
        <v>2014</v>
      </c>
      <c r="C316" s="372">
        <v>24895301</v>
      </c>
      <c r="D316" s="373"/>
      <c r="E316" s="261" t="str">
        <f t="shared" si="0"/>
        <v>https://pubmed.ncbi.nlm.nih.gov/24895301</v>
      </c>
      <c r="F316" s="92" t="s">
        <v>511</v>
      </c>
      <c r="G316" s="374" t="s">
        <v>5157</v>
      </c>
      <c r="H316" s="21"/>
      <c r="I316" s="21"/>
      <c r="J316" s="92"/>
      <c r="K316" s="92"/>
      <c r="L316" s="92"/>
      <c r="M316" s="92"/>
      <c r="N316" s="92"/>
      <c r="O316" s="92"/>
      <c r="P316" s="92"/>
      <c r="Q316" s="92"/>
      <c r="R316" s="92"/>
      <c r="S316" s="92"/>
      <c r="T316" s="92"/>
      <c r="U316" s="92"/>
      <c r="V316" s="92"/>
      <c r="W316" s="92"/>
      <c r="X316" s="92"/>
      <c r="Y316" s="92"/>
      <c r="Z316" s="92"/>
    </row>
    <row r="317" spans="1:26" ht="12.75">
      <c r="A317" s="92" t="s">
        <v>6832</v>
      </c>
      <c r="B317" s="372">
        <v>2009</v>
      </c>
      <c r="C317" s="372">
        <v>19440988</v>
      </c>
      <c r="D317" s="373"/>
      <c r="E317" s="261" t="str">
        <f t="shared" si="0"/>
        <v>https://pubmed.ncbi.nlm.nih.gov/19440988</v>
      </c>
      <c r="F317" s="92" t="s">
        <v>511</v>
      </c>
      <c r="G317" s="92" t="s">
        <v>8412</v>
      </c>
      <c r="H317" s="92"/>
      <c r="I317" s="92"/>
      <c r="J317" s="92"/>
      <c r="K317" s="92"/>
      <c r="L317" s="92"/>
      <c r="M317" s="92"/>
      <c r="N317" s="92"/>
      <c r="O317" s="92"/>
      <c r="P317" s="92"/>
      <c r="Q317" s="92"/>
      <c r="R317" s="92"/>
      <c r="S317" s="92"/>
      <c r="T317" s="92"/>
      <c r="U317" s="92"/>
      <c r="V317" s="92"/>
      <c r="W317" s="92"/>
      <c r="X317" s="92"/>
      <c r="Y317" s="92"/>
      <c r="Z317" s="92"/>
    </row>
    <row r="318" spans="1:26" ht="12.75">
      <c r="A318" s="92" t="s">
        <v>6833</v>
      </c>
      <c r="B318" s="372">
        <v>2011</v>
      </c>
      <c r="C318" s="372">
        <v>22129322</v>
      </c>
      <c r="D318" s="373"/>
      <c r="E318" s="261" t="str">
        <f t="shared" si="0"/>
        <v>https://pubmed.ncbi.nlm.nih.gov/22129322</v>
      </c>
      <c r="F318" s="92" t="s">
        <v>511</v>
      </c>
      <c r="G318" s="92" t="s">
        <v>4592</v>
      </c>
      <c r="H318" s="92"/>
      <c r="I318" s="92"/>
      <c r="J318" s="92"/>
      <c r="K318" s="92"/>
      <c r="L318" s="92"/>
      <c r="M318" s="92"/>
      <c r="N318" s="92"/>
      <c r="O318" s="92"/>
      <c r="P318" s="92"/>
      <c r="Q318" s="92"/>
      <c r="R318" s="92"/>
      <c r="S318" s="92"/>
      <c r="T318" s="92"/>
      <c r="U318" s="92"/>
      <c r="V318" s="92"/>
      <c r="W318" s="92"/>
      <c r="X318" s="92"/>
      <c r="Y318" s="92"/>
      <c r="Z318" s="92"/>
    </row>
    <row r="319" spans="1:26" ht="12.75">
      <c r="A319" s="92" t="s">
        <v>6834</v>
      </c>
      <c r="B319" s="372">
        <v>2003</v>
      </c>
      <c r="C319" s="372">
        <v>12730439</v>
      </c>
      <c r="D319" s="373"/>
      <c r="E319" s="261" t="str">
        <f t="shared" si="0"/>
        <v>https://pubmed.ncbi.nlm.nih.gov/12730439</v>
      </c>
      <c r="F319" s="92" t="s">
        <v>511</v>
      </c>
      <c r="G319" s="92" t="s">
        <v>4592</v>
      </c>
      <c r="H319" s="92"/>
      <c r="I319" s="92"/>
      <c r="J319" s="92"/>
      <c r="K319" s="92"/>
      <c r="L319" s="92"/>
      <c r="M319" s="92"/>
      <c r="N319" s="92"/>
      <c r="O319" s="92"/>
      <c r="P319" s="92"/>
      <c r="Q319" s="92"/>
      <c r="R319" s="92"/>
      <c r="S319" s="92"/>
      <c r="T319" s="92"/>
      <c r="U319" s="92"/>
      <c r="V319" s="92"/>
      <c r="W319" s="92"/>
      <c r="X319" s="92"/>
      <c r="Y319" s="92"/>
      <c r="Z319" s="92"/>
    </row>
    <row r="320" spans="1:26" ht="12.75">
      <c r="A320" s="92" t="s">
        <v>6835</v>
      </c>
      <c r="B320" s="372">
        <v>2017</v>
      </c>
      <c r="C320" s="372">
        <v>28992823</v>
      </c>
      <c r="D320" s="373"/>
      <c r="E320" s="261" t="str">
        <f t="shared" si="0"/>
        <v>https://pubmed.ncbi.nlm.nih.gov/28992823</v>
      </c>
      <c r="F320" s="92" t="s">
        <v>511</v>
      </c>
      <c r="G320" s="92" t="s">
        <v>4592</v>
      </c>
      <c r="H320" s="92"/>
      <c r="I320" s="92"/>
      <c r="J320" s="92"/>
      <c r="K320" s="92"/>
      <c r="L320" s="92"/>
      <c r="M320" s="92"/>
      <c r="N320" s="92"/>
      <c r="O320" s="92"/>
      <c r="P320" s="92"/>
      <c r="Q320" s="92"/>
      <c r="R320" s="92"/>
      <c r="S320" s="92"/>
      <c r="T320" s="92"/>
      <c r="U320" s="92"/>
      <c r="V320" s="92"/>
      <c r="W320" s="92"/>
      <c r="X320" s="92"/>
      <c r="Y320" s="92"/>
      <c r="Z320" s="92"/>
    </row>
    <row r="321" spans="1:26" ht="12.75">
      <c r="A321" s="92" t="s">
        <v>6836</v>
      </c>
      <c r="B321" s="372">
        <v>2008</v>
      </c>
      <c r="C321" s="372">
        <v>18266994</v>
      </c>
      <c r="D321" s="373"/>
      <c r="E321" s="261" t="str">
        <f t="shared" si="0"/>
        <v>https://pubmed.ncbi.nlm.nih.gov/18266994</v>
      </c>
      <c r="F321" s="92" t="s">
        <v>511</v>
      </c>
      <c r="G321" s="92" t="s">
        <v>8412</v>
      </c>
      <c r="H321" s="92"/>
      <c r="I321" s="92"/>
      <c r="J321" s="92"/>
      <c r="K321" s="92"/>
      <c r="L321" s="92"/>
      <c r="M321" s="92"/>
      <c r="N321" s="92"/>
      <c r="O321" s="92"/>
      <c r="P321" s="92"/>
      <c r="Q321" s="92"/>
      <c r="R321" s="92"/>
      <c r="S321" s="92"/>
      <c r="T321" s="92"/>
      <c r="U321" s="92"/>
      <c r="V321" s="92"/>
      <c r="W321" s="92"/>
      <c r="X321" s="92"/>
      <c r="Y321" s="92"/>
      <c r="Z321" s="92"/>
    </row>
    <row r="322" spans="1:26" ht="12.75">
      <c r="A322" s="92" t="s">
        <v>6836</v>
      </c>
      <c r="B322" s="372">
        <v>2009</v>
      </c>
      <c r="C322" s="372">
        <v>19154447</v>
      </c>
      <c r="D322" s="373" t="s">
        <v>6837</v>
      </c>
      <c r="E322" s="261" t="str">
        <f t="shared" si="0"/>
        <v>https://pubmed.ncbi.nlm.nih.gov/19154447</v>
      </c>
      <c r="F322" s="92" t="s">
        <v>511</v>
      </c>
      <c r="G322" s="92" t="s">
        <v>8412</v>
      </c>
      <c r="H322" s="92"/>
      <c r="I322" s="92"/>
      <c r="J322" s="92"/>
      <c r="K322" s="92"/>
      <c r="L322" s="92"/>
      <c r="M322" s="92"/>
      <c r="N322" s="92"/>
      <c r="O322" s="92"/>
      <c r="P322" s="92"/>
      <c r="Q322" s="92"/>
      <c r="R322" s="92"/>
      <c r="S322" s="92"/>
      <c r="T322" s="92"/>
      <c r="U322" s="92"/>
      <c r="V322" s="92"/>
      <c r="W322" s="92"/>
      <c r="X322" s="92"/>
      <c r="Y322" s="92"/>
      <c r="Z322" s="92"/>
    </row>
    <row r="323" spans="1:26" ht="12.75">
      <c r="A323" s="92" t="s">
        <v>6838</v>
      </c>
      <c r="B323" s="372">
        <v>2014</v>
      </c>
      <c r="C323" s="372">
        <v>25491459</v>
      </c>
      <c r="D323" s="373"/>
      <c r="E323" s="261" t="str">
        <f t="shared" si="0"/>
        <v>https://pubmed.ncbi.nlm.nih.gov/25491459</v>
      </c>
      <c r="F323" s="92" t="s">
        <v>511</v>
      </c>
      <c r="G323" s="92" t="s">
        <v>8427</v>
      </c>
      <c r="H323" s="92"/>
      <c r="I323" s="92"/>
      <c r="J323" s="92"/>
      <c r="K323" s="92"/>
      <c r="L323" s="92"/>
      <c r="M323" s="92"/>
      <c r="N323" s="92"/>
      <c r="O323" s="92"/>
      <c r="P323" s="92"/>
      <c r="Q323" s="92"/>
      <c r="R323" s="92"/>
      <c r="S323" s="92"/>
      <c r="T323" s="92"/>
      <c r="U323" s="92"/>
      <c r="V323" s="92"/>
      <c r="W323" s="92"/>
      <c r="X323" s="92"/>
      <c r="Y323" s="92"/>
      <c r="Z323" s="92"/>
    </row>
    <row r="324" spans="1:26" ht="12.75">
      <c r="A324" s="92" t="s">
        <v>6840</v>
      </c>
      <c r="B324" s="372">
        <v>2008</v>
      </c>
      <c r="C324" s="372">
        <v>17928580</v>
      </c>
      <c r="D324" s="92"/>
      <c r="E324" s="261" t="str">
        <f t="shared" si="0"/>
        <v>https://pubmed.ncbi.nlm.nih.gov/17928580</v>
      </c>
      <c r="F324" s="92" t="s">
        <v>511</v>
      </c>
      <c r="G324" s="374" t="s">
        <v>4744</v>
      </c>
      <c r="H324" s="21"/>
      <c r="I324" s="92"/>
      <c r="J324" s="92"/>
      <c r="K324" s="92"/>
      <c r="L324" s="92"/>
      <c r="M324" s="92"/>
      <c r="N324" s="92"/>
      <c r="O324" s="92"/>
      <c r="P324" s="92"/>
      <c r="Q324" s="92"/>
      <c r="R324" s="92"/>
      <c r="S324" s="92"/>
      <c r="T324" s="92"/>
      <c r="U324" s="92"/>
      <c r="V324" s="92"/>
      <c r="W324" s="92"/>
      <c r="X324" s="92"/>
      <c r="Y324" s="92"/>
      <c r="Z324" s="92"/>
    </row>
    <row r="325" spans="1:26" ht="12.75">
      <c r="A325" s="92" t="s">
        <v>6841</v>
      </c>
      <c r="B325" s="372">
        <v>2012</v>
      </c>
      <c r="C325" s="372">
        <v>22929469</v>
      </c>
      <c r="D325" s="373" t="s">
        <v>6842</v>
      </c>
      <c r="E325" s="261" t="str">
        <f t="shared" si="0"/>
        <v>https://pubmed.ncbi.nlm.nih.gov/22929469</v>
      </c>
      <c r="F325" s="92" t="s">
        <v>511</v>
      </c>
      <c r="G325" s="374" t="s">
        <v>6843</v>
      </c>
      <c r="H325" s="21"/>
      <c r="I325" s="92"/>
      <c r="J325" s="92"/>
      <c r="K325" s="92"/>
      <c r="L325" s="92"/>
      <c r="M325" s="92"/>
      <c r="N325" s="92"/>
      <c r="O325" s="92"/>
      <c r="P325" s="92"/>
      <c r="Q325" s="92"/>
      <c r="R325" s="92"/>
      <c r="S325" s="92"/>
      <c r="T325" s="92"/>
      <c r="U325" s="92"/>
      <c r="V325" s="92"/>
      <c r="W325" s="92"/>
      <c r="X325" s="92"/>
      <c r="Y325" s="92"/>
      <c r="Z325" s="92"/>
    </row>
    <row r="326" spans="1:26" ht="12.75">
      <c r="A326" s="92" t="s">
        <v>6844</v>
      </c>
      <c r="B326" s="372">
        <v>2019</v>
      </c>
      <c r="C326" s="372">
        <v>31319919</v>
      </c>
      <c r="D326" s="375"/>
      <c r="E326" s="261" t="str">
        <f t="shared" si="0"/>
        <v>https://pubmed.ncbi.nlm.nih.gov/31319919</v>
      </c>
      <c r="F326" s="92" t="s">
        <v>511</v>
      </c>
      <c r="G326" s="92" t="s">
        <v>4592</v>
      </c>
      <c r="H326" s="92"/>
      <c r="I326" s="92"/>
      <c r="J326" s="92"/>
      <c r="K326" s="92"/>
      <c r="L326" s="92"/>
      <c r="M326" s="92"/>
      <c r="N326" s="92"/>
      <c r="O326" s="92"/>
      <c r="P326" s="92"/>
      <c r="Q326" s="92"/>
      <c r="R326" s="92"/>
      <c r="S326" s="92"/>
      <c r="T326" s="92"/>
      <c r="U326" s="92"/>
      <c r="V326" s="92"/>
      <c r="W326" s="92"/>
      <c r="X326" s="92"/>
      <c r="Y326" s="92"/>
      <c r="Z326" s="92"/>
    </row>
    <row r="327" spans="1:26" ht="12.75">
      <c r="A327" s="92" t="s">
        <v>6845</v>
      </c>
      <c r="B327" s="372">
        <v>2018</v>
      </c>
      <c r="C327" s="372">
        <v>29665158</v>
      </c>
      <c r="D327" s="373"/>
      <c r="E327" s="261" t="str">
        <f t="shared" si="0"/>
        <v>https://pubmed.ncbi.nlm.nih.gov/29665158</v>
      </c>
      <c r="F327" s="92" t="s">
        <v>511</v>
      </c>
      <c r="G327" s="374" t="s">
        <v>4867</v>
      </c>
      <c r="H327" s="92"/>
      <c r="I327" s="374" t="s">
        <v>6429</v>
      </c>
      <c r="J327" s="92"/>
      <c r="K327" s="92"/>
      <c r="L327" s="92"/>
      <c r="M327" s="92"/>
      <c r="N327" s="92"/>
      <c r="O327" s="92"/>
      <c r="P327" s="92"/>
      <c r="Q327" s="92"/>
      <c r="R327" s="92"/>
      <c r="S327" s="92"/>
      <c r="T327" s="92"/>
      <c r="U327" s="92"/>
      <c r="V327" s="92"/>
      <c r="W327" s="92"/>
      <c r="X327" s="92"/>
      <c r="Y327" s="92"/>
      <c r="Z327" s="92"/>
    </row>
    <row r="328" spans="1:26" ht="12.75">
      <c r="A328" s="92" t="s">
        <v>6846</v>
      </c>
      <c r="B328" s="372">
        <v>2002</v>
      </c>
      <c r="C328" s="372">
        <v>12097784</v>
      </c>
      <c r="D328" s="375"/>
      <c r="E328" s="261" t="str">
        <f t="shared" si="0"/>
        <v>https://pubmed.ncbi.nlm.nih.gov/12097784</v>
      </c>
      <c r="F328" s="92" t="s">
        <v>511</v>
      </c>
      <c r="G328" s="374" t="s">
        <v>4867</v>
      </c>
      <c r="H328" s="21"/>
      <c r="I328" s="92"/>
      <c r="J328" s="92"/>
      <c r="K328" s="92"/>
      <c r="L328" s="92"/>
      <c r="M328" s="92"/>
      <c r="N328" s="92"/>
      <c r="O328" s="92"/>
      <c r="P328" s="92"/>
      <c r="Q328" s="92"/>
      <c r="R328" s="92"/>
      <c r="S328" s="92"/>
      <c r="T328" s="92"/>
      <c r="U328" s="92"/>
      <c r="V328" s="92"/>
      <c r="W328" s="92"/>
      <c r="X328" s="92"/>
      <c r="Y328" s="92"/>
      <c r="Z328" s="92"/>
    </row>
    <row r="329" spans="1:26" ht="12.75">
      <c r="A329" s="92" t="s">
        <v>6847</v>
      </c>
      <c r="B329" s="372">
        <v>2020</v>
      </c>
      <c r="C329" s="372">
        <v>32788015</v>
      </c>
      <c r="D329" s="373"/>
      <c r="E329" s="261" t="str">
        <f t="shared" si="0"/>
        <v>https://pubmed.ncbi.nlm.nih.gov/32788015</v>
      </c>
      <c r="F329" s="92" t="s">
        <v>511</v>
      </c>
      <c r="G329" s="92" t="s">
        <v>4587</v>
      </c>
      <c r="H329" s="92"/>
      <c r="I329" s="92"/>
      <c r="J329" s="92"/>
      <c r="K329" s="92"/>
      <c r="L329" s="92"/>
      <c r="M329" s="92"/>
      <c r="N329" s="92"/>
      <c r="O329" s="92"/>
      <c r="P329" s="92"/>
      <c r="Q329" s="92"/>
      <c r="R329" s="92"/>
      <c r="S329" s="92"/>
      <c r="T329" s="92"/>
      <c r="U329" s="92"/>
      <c r="V329" s="92"/>
      <c r="W329" s="92"/>
      <c r="X329" s="92"/>
      <c r="Y329" s="92"/>
      <c r="Z329" s="92"/>
    </row>
    <row r="330" spans="1:26" ht="12.75">
      <c r="A330" s="92" t="s">
        <v>6848</v>
      </c>
      <c r="B330" s="372">
        <v>2017</v>
      </c>
      <c r="C330" s="372">
        <v>28917657</v>
      </c>
      <c r="D330" s="373"/>
      <c r="E330" s="261" t="str">
        <f t="shared" si="0"/>
        <v>https://pubmed.ncbi.nlm.nih.gov/28917657</v>
      </c>
      <c r="F330" s="92" t="s">
        <v>511</v>
      </c>
      <c r="G330" s="374" t="s">
        <v>4744</v>
      </c>
      <c r="H330" s="21"/>
      <c r="I330" s="92"/>
      <c r="J330" s="92"/>
      <c r="K330" s="92"/>
      <c r="L330" s="92"/>
      <c r="M330" s="92"/>
      <c r="N330" s="92"/>
      <c r="O330" s="92"/>
      <c r="P330" s="92"/>
      <c r="Q330" s="92"/>
      <c r="R330" s="92"/>
      <c r="S330" s="92"/>
      <c r="T330" s="92"/>
      <c r="U330" s="92"/>
      <c r="V330" s="92"/>
      <c r="W330" s="92"/>
      <c r="X330" s="92"/>
      <c r="Y330" s="92"/>
      <c r="Z330" s="92"/>
    </row>
    <row r="331" spans="1:26" ht="12.75">
      <c r="A331" s="92" t="s">
        <v>6849</v>
      </c>
      <c r="B331" s="372">
        <v>2016</v>
      </c>
      <c r="C331" s="372">
        <v>27074283</v>
      </c>
      <c r="D331" s="373" t="s">
        <v>6850</v>
      </c>
      <c r="E331" s="261" t="str">
        <f t="shared" si="0"/>
        <v>https://pubmed.ncbi.nlm.nih.gov/27074283</v>
      </c>
      <c r="F331" s="92" t="s">
        <v>511</v>
      </c>
      <c r="G331" s="92" t="s">
        <v>4592</v>
      </c>
      <c r="H331" s="92"/>
      <c r="I331" s="92"/>
      <c r="J331" s="92"/>
      <c r="K331" s="92"/>
      <c r="L331" s="92"/>
      <c r="M331" s="92"/>
      <c r="N331" s="92"/>
      <c r="O331" s="92"/>
      <c r="P331" s="92"/>
      <c r="Q331" s="92"/>
      <c r="R331" s="92"/>
      <c r="S331" s="92"/>
      <c r="T331" s="92"/>
      <c r="U331" s="92"/>
      <c r="V331" s="92"/>
      <c r="W331" s="92"/>
      <c r="X331" s="92"/>
      <c r="Y331" s="92"/>
      <c r="Z331" s="92"/>
    </row>
    <row r="332" spans="1:26" ht="12.75">
      <c r="A332" s="92" t="s">
        <v>6851</v>
      </c>
      <c r="B332" s="372">
        <v>2010</v>
      </c>
      <c r="C332" s="372">
        <v>20525274</v>
      </c>
      <c r="D332" s="92" t="s">
        <v>6852</v>
      </c>
      <c r="E332" s="261" t="str">
        <f t="shared" si="0"/>
        <v>https://pubmed.ncbi.nlm.nih.gov/20525274</v>
      </c>
      <c r="F332" s="92" t="s">
        <v>511</v>
      </c>
      <c r="G332" s="374" t="s">
        <v>4744</v>
      </c>
      <c r="H332" s="21"/>
      <c r="I332" s="92"/>
      <c r="J332" s="92"/>
      <c r="K332" s="92"/>
      <c r="L332" s="92"/>
      <c r="M332" s="92"/>
      <c r="N332" s="92"/>
      <c r="O332" s="92"/>
      <c r="P332" s="92"/>
      <c r="Q332" s="92"/>
      <c r="R332" s="92"/>
      <c r="S332" s="92"/>
      <c r="T332" s="92"/>
      <c r="U332" s="92"/>
      <c r="V332" s="92"/>
      <c r="W332" s="92"/>
      <c r="X332" s="92"/>
      <c r="Y332" s="92"/>
      <c r="Z332" s="92"/>
    </row>
    <row r="333" spans="1:26" ht="12.75">
      <c r="A333" s="92" t="s">
        <v>6853</v>
      </c>
      <c r="B333" s="372">
        <v>2006</v>
      </c>
      <c r="C333" s="372">
        <v>16899204</v>
      </c>
      <c r="D333" s="373"/>
      <c r="E333" s="261" t="str">
        <f t="shared" si="0"/>
        <v>https://pubmed.ncbi.nlm.nih.gov/16899204</v>
      </c>
      <c r="F333" s="92" t="s">
        <v>511</v>
      </c>
      <c r="G333" s="92" t="s">
        <v>4592</v>
      </c>
      <c r="H333" s="92"/>
      <c r="I333" s="92"/>
      <c r="J333" s="92"/>
      <c r="K333" s="92"/>
      <c r="L333" s="92"/>
      <c r="M333" s="92"/>
      <c r="N333" s="92"/>
      <c r="O333" s="92"/>
      <c r="P333" s="92"/>
      <c r="Q333" s="92"/>
      <c r="R333" s="92"/>
      <c r="S333" s="92"/>
      <c r="T333" s="92"/>
      <c r="U333" s="92"/>
      <c r="V333" s="92"/>
      <c r="W333" s="92"/>
      <c r="X333" s="92"/>
      <c r="Y333" s="92"/>
      <c r="Z333" s="92"/>
    </row>
    <row r="334" spans="1:26" ht="12.75">
      <c r="A334" s="92" t="s">
        <v>6854</v>
      </c>
      <c r="B334" s="372">
        <v>2009</v>
      </c>
      <c r="C334" s="372">
        <v>19183164</v>
      </c>
      <c r="D334" s="373"/>
      <c r="E334" s="261" t="str">
        <f t="shared" si="0"/>
        <v>https://pubmed.ncbi.nlm.nih.gov/19183164</v>
      </c>
      <c r="F334" s="92" t="s">
        <v>511</v>
      </c>
      <c r="G334" s="374" t="s">
        <v>5299</v>
      </c>
      <c r="H334" s="92"/>
      <c r="I334" s="374" t="s">
        <v>6429</v>
      </c>
      <c r="J334" s="92"/>
      <c r="K334" s="92"/>
      <c r="L334" s="92"/>
      <c r="M334" s="92"/>
      <c r="N334" s="92"/>
      <c r="O334" s="92"/>
      <c r="P334" s="92"/>
      <c r="Q334" s="92"/>
      <c r="R334" s="92"/>
      <c r="S334" s="92"/>
      <c r="T334" s="92"/>
      <c r="U334" s="92"/>
      <c r="V334" s="92"/>
      <c r="W334" s="92"/>
      <c r="X334" s="92"/>
      <c r="Y334" s="92"/>
      <c r="Z334" s="92"/>
    </row>
    <row r="335" spans="1:26" ht="12.75">
      <c r="A335" s="92" t="s">
        <v>6855</v>
      </c>
      <c r="B335" s="372">
        <v>2016</v>
      </c>
      <c r="C335" s="372">
        <v>26847922</v>
      </c>
      <c r="D335" s="373" t="s">
        <v>6856</v>
      </c>
      <c r="E335" s="261" t="str">
        <f t="shared" si="0"/>
        <v>https://pubmed.ncbi.nlm.nih.gov/26847922</v>
      </c>
      <c r="F335" s="92" t="s">
        <v>511</v>
      </c>
      <c r="G335" s="374" t="s">
        <v>4867</v>
      </c>
      <c r="H335" s="21"/>
      <c r="I335" s="92"/>
      <c r="J335" s="92"/>
      <c r="K335" s="92"/>
      <c r="L335" s="92"/>
      <c r="M335" s="92"/>
      <c r="N335" s="92"/>
      <c r="O335" s="92"/>
      <c r="P335" s="92"/>
      <c r="Q335" s="92"/>
      <c r="R335" s="92"/>
      <c r="S335" s="92"/>
      <c r="T335" s="92"/>
      <c r="U335" s="92"/>
      <c r="V335" s="92"/>
      <c r="W335" s="92"/>
      <c r="X335" s="92"/>
      <c r="Y335" s="92"/>
      <c r="Z335" s="92"/>
    </row>
    <row r="336" spans="1:26" ht="12.75">
      <c r="A336" s="92" t="s">
        <v>6857</v>
      </c>
      <c r="B336" s="372">
        <v>2016</v>
      </c>
      <c r="C336" s="372">
        <v>27252452</v>
      </c>
      <c r="D336" s="373"/>
      <c r="E336" s="261" t="str">
        <f t="shared" si="0"/>
        <v>https://pubmed.ncbi.nlm.nih.gov/27252452</v>
      </c>
      <c r="F336" s="92" t="s">
        <v>511</v>
      </c>
      <c r="G336" s="92" t="s">
        <v>4592</v>
      </c>
      <c r="H336" s="92"/>
      <c r="I336" s="92"/>
      <c r="J336" s="92"/>
      <c r="K336" s="92"/>
      <c r="L336" s="92"/>
      <c r="M336" s="92"/>
      <c r="N336" s="92"/>
      <c r="O336" s="92"/>
      <c r="P336" s="92"/>
      <c r="Q336" s="92"/>
      <c r="R336" s="92"/>
      <c r="S336" s="92"/>
      <c r="T336" s="92"/>
      <c r="U336" s="92"/>
      <c r="V336" s="92"/>
      <c r="W336" s="92"/>
      <c r="X336" s="92"/>
      <c r="Y336" s="92"/>
      <c r="Z336" s="92"/>
    </row>
    <row r="337" spans="1:26" ht="12.75">
      <c r="A337" s="92" t="s">
        <v>6858</v>
      </c>
      <c r="B337" s="372">
        <v>2011</v>
      </c>
      <c r="C337" s="372">
        <v>21489779</v>
      </c>
      <c r="D337" s="92"/>
      <c r="E337" s="261" t="str">
        <f t="shared" si="0"/>
        <v>https://pubmed.ncbi.nlm.nih.gov/21489779</v>
      </c>
      <c r="F337" s="92" t="s">
        <v>511</v>
      </c>
      <c r="G337" s="374" t="s">
        <v>4765</v>
      </c>
      <c r="H337" s="21"/>
      <c r="I337" s="92"/>
      <c r="J337" s="92"/>
      <c r="K337" s="92"/>
      <c r="L337" s="92"/>
      <c r="M337" s="92"/>
      <c r="N337" s="92"/>
      <c r="O337" s="92"/>
      <c r="P337" s="92"/>
      <c r="Q337" s="92"/>
      <c r="R337" s="92"/>
      <c r="S337" s="92"/>
      <c r="T337" s="92"/>
      <c r="U337" s="92"/>
      <c r="V337" s="92"/>
      <c r="W337" s="92"/>
      <c r="X337" s="92"/>
      <c r="Y337" s="92"/>
      <c r="Z337" s="92"/>
    </row>
    <row r="338" spans="1:26" ht="12.75">
      <c r="A338" s="92" t="s">
        <v>6859</v>
      </c>
      <c r="B338" s="372">
        <v>2012</v>
      </c>
      <c r="C338" s="372">
        <v>24236468</v>
      </c>
      <c r="D338" s="373"/>
      <c r="E338" s="261" t="str">
        <f t="shared" si="0"/>
        <v>https://pubmed.ncbi.nlm.nih.gov/24236468</v>
      </c>
      <c r="F338" s="92" t="s">
        <v>511</v>
      </c>
      <c r="G338" s="92" t="s">
        <v>4592</v>
      </c>
      <c r="H338" s="92"/>
      <c r="I338" s="92"/>
      <c r="J338" s="92"/>
      <c r="K338" s="92"/>
      <c r="L338" s="92"/>
      <c r="M338" s="92"/>
      <c r="N338" s="92"/>
      <c r="O338" s="92"/>
      <c r="P338" s="92"/>
      <c r="Q338" s="92"/>
      <c r="R338" s="92"/>
      <c r="S338" s="92"/>
      <c r="T338" s="92"/>
      <c r="U338" s="92"/>
      <c r="V338" s="92"/>
      <c r="W338" s="92"/>
      <c r="X338" s="92"/>
      <c r="Y338" s="92"/>
      <c r="Z338" s="92"/>
    </row>
    <row r="339" spans="1:26" ht="12.75">
      <c r="A339" s="92" t="s">
        <v>6860</v>
      </c>
      <c r="B339" s="372">
        <v>2013</v>
      </c>
      <c r="C339" s="372">
        <v>24041408</v>
      </c>
      <c r="D339" s="373" t="s">
        <v>6861</v>
      </c>
      <c r="E339" s="261" t="str">
        <f t="shared" si="0"/>
        <v>https://pubmed.ncbi.nlm.nih.gov/24041408</v>
      </c>
      <c r="F339" s="92" t="s">
        <v>511</v>
      </c>
      <c r="G339" s="374" t="s">
        <v>5299</v>
      </c>
      <c r="H339" s="21"/>
      <c r="I339" s="92"/>
      <c r="J339" s="92"/>
      <c r="K339" s="92"/>
      <c r="L339" s="92"/>
      <c r="M339" s="92"/>
      <c r="N339" s="92"/>
      <c r="O339" s="92"/>
      <c r="P339" s="92"/>
      <c r="Q339" s="92"/>
      <c r="R339" s="92"/>
      <c r="S339" s="92"/>
      <c r="T339" s="92"/>
      <c r="U339" s="92"/>
      <c r="V339" s="92"/>
      <c r="W339" s="92"/>
      <c r="X339" s="92"/>
      <c r="Y339" s="92"/>
      <c r="Z339" s="92"/>
    </row>
    <row r="340" spans="1:26" ht="12.75">
      <c r="A340" s="92" t="s">
        <v>6862</v>
      </c>
      <c r="B340" s="372">
        <v>2010</v>
      </c>
      <c r="C340" s="372">
        <v>20331461</v>
      </c>
      <c r="D340" s="373"/>
      <c r="E340" s="261" t="str">
        <f t="shared" si="0"/>
        <v>https://pubmed.ncbi.nlm.nih.gov/20331461</v>
      </c>
      <c r="F340" s="92" t="s">
        <v>511</v>
      </c>
      <c r="G340" s="374" t="s">
        <v>5157</v>
      </c>
      <c r="H340" s="21"/>
      <c r="I340" s="21"/>
      <c r="J340" s="92"/>
      <c r="K340" s="92"/>
      <c r="L340" s="92"/>
      <c r="M340" s="92"/>
      <c r="N340" s="92"/>
      <c r="O340" s="92"/>
      <c r="P340" s="92"/>
      <c r="Q340" s="92"/>
      <c r="R340" s="92"/>
      <c r="S340" s="92"/>
      <c r="T340" s="92"/>
      <c r="U340" s="92"/>
      <c r="V340" s="92"/>
      <c r="W340" s="92"/>
      <c r="X340" s="92"/>
      <c r="Y340" s="92"/>
      <c r="Z340" s="92"/>
    </row>
    <row r="341" spans="1:26" ht="12.75">
      <c r="A341" s="92" t="s">
        <v>6863</v>
      </c>
      <c r="B341" s="372">
        <v>2006</v>
      </c>
      <c r="C341" s="372">
        <v>17192129</v>
      </c>
      <c r="D341" s="373"/>
      <c r="E341" s="261" t="str">
        <f t="shared" si="0"/>
        <v>https://pubmed.ncbi.nlm.nih.gov/17192129</v>
      </c>
      <c r="F341" s="92" t="s">
        <v>511</v>
      </c>
      <c r="G341" s="374" t="s">
        <v>4744</v>
      </c>
      <c r="H341" s="21"/>
      <c r="I341" s="92"/>
      <c r="J341" s="92"/>
      <c r="K341" s="92"/>
      <c r="L341" s="92"/>
      <c r="M341" s="92"/>
      <c r="N341" s="92"/>
      <c r="O341" s="92"/>
      <c r="P341" s="92"/>
      <c r="Q341" s="92"/>
      <c r="R341" s="92"/>
      <c r="S341" s="92"/>
      <c r="T341" s="92"/>
      <c r="U341" s="92"/>
      <c r="V341" s="92"/>
      <c r="W341" s="92"/>
      <c r="X341" s="92"/>
      <c r="Y341" s="92"/>
      <c r="Z341" s="92"/>
    </row>
    <row r="342" spans="1:26" ht="12.75">
      <c r="A342" s="92" t="s">
        <v>6864</v>
      </c>
      <c r="B342" s="372">
        <v>2019</v>
      </c>
      <c r="C342" s="372">
        <v>30794314</v>
      </c>
      <c r="D342" s="373" t="s">
        <v>6865</v>
      </c>
      <c r="E342" s="261" t="str">
        <f t="shared" si="0"/>
        <v>https://pubmed.ncbi.nlm.nih.gov/30794314</v>
      </c>
      <c r="F342" s="92" t="s">
        <v>511</v>
      </c>
      <c r="G342" s="374" t="s">
        <v>4744</v>
      </c>
      <c r="H342" s="92"/>
      <c r="I342" s="374" t="s">
        <v>6429</v>
      </c>
      <c r="J342" s="92"/>
      <c r="K342" s="92"/>
      <c r="L342" s="92"/>
      <c r="M342" s="92"/>
      <c r="N342" s="92"/>
      <c r="O342" s="92"/>
      <c r="P342" s="92"/>
      <c r="Q342" s="92"/>
      <c r="R342" s="92"/>
      <c r="S342" s="92"/>
      <c r="T342" s="92"/>
      <c r="U342" s="92"/>
      <c r="V342" s="92"/>
      <c r="W342" s="92"/>
      <c r="X342" s="92"/>
      <c r="Y342" s="92"/>
      <c r="Z342" s="92"/>
    </row>
    <row r="343" spans="1:26" ht="12.75">
      <c r="A343" s="92" t="s">
        <v>6866</v>
      </c>
      <c r="B343" s="372">
        <v>2007</v>
      </c>
      <c r="C343" s="372">
        <v>17872493</v>
      </c>
      <c r="D343" s="373"/>
      <c r="E343" s="261" t="str">
        <f t="shared" si="0"/>
        <v>https://pubmed.ncbi.nlm.nih.gov/17872493</v>
      </c>
      <c r="F343" s="92" t="s">
        <v>511</v>
      </c>
      <c r="G343" s="374" t="s">
        <v>5157</v>
      </c>
      <c r="H343" s="21"/>
      <c r="I343" s="21"/>
      <c r="J343" s="92"/>
      <c r="K343" s="92"/>
      <c r="L343" s="92"/>
      <c r="M343" s="92"/>
      <c r="N343" s="92"/>
      <c r="O343" s="92"/>
      <c r="P343" s="92"/>
      <c r="Q343" s="92"/>
      <c r="R343" s="92"/>
      <c r="S343" s="92"/>
      <c r="T343" s="92"/>
      <c r="U343" s="92"/>
      <c r="V343" s="92"/>
      <c r="W343" s="92"/>
      <c r="X343" s="92"/>
      <c r="Y343" s="92"/>
      <c r="Z343" s="92"/>
    </row>
    <row r="344" spans="1:26" ht="12.75">
      <c r="A344" s="92" t="s">
        <v>6867</v>
      </c>
      <c r="B344" s="372">
        <v>2019</v>
      </c>
      <c r="C344" s="372">
        <v>30934066</v>
      </c>
      <c r="D344" s="373"/>
      <c r="E344" s="261" t="str">
        <f t="shared" si="0"/>
        <v>https://pubmed.ncbi.nlm.nih.gov/30934066</v>
      </c>
      <c r="F344" s="92" t="s">
        <v>511</v>
      </c>
      <c r="G344" s="374" t="s">
        <v>4744</v>
      </c>
      <c r="H344" s="21"/>
      <c r="I344" s="92"/>
      <c r="J344" s="92"/>
      <c r="K344" s="92"/>
      <c r="L344" s="92"/>
      <c r="M344" s="92"/>
      <c r="N344" s="92"/>
      <c r="O344" s="92"/>
      <c r="P344" s="92"/>
      <c r="Q344" s="92"/>
      <c r="R344" s="92"/>
      <c r="S344" s="92"/>
      <c r="T344" s="92"/>
      <c r="U344" s="92"/>
      <c r="V344" s="92"/>
      <c r="W344" s="92"/>
      <c r="X344" s="92"/>
      <c r="Y344" s="92"/>
      <c r="Z344" s="92"/>
    </row>
    <row r="345" spans="1:26" ht="12.75">
      <c r="A345" s="92" t="s">
        <v>6868</v>
      </c>
      <c r="B345" s="372">
        <v>2018</v>
      </c>
      <c r="C345" s="372">
        <v>29188358</v>
      </c>
      <c r="D345" s="373"/>
      <c r="E345" s="261" t="str">
        <f t="shared" si="0"/>
        <v>https://pubmed.ncbi.nlm.nih.gov/29188358</v>
      </c>
      <c r="F345" s="92" t="s">
        <v>511</v>
      </c>
      <c r="G345" s="92" t="s">
        <v>4592</v>
      </c>
      <c r="H345" s="92"/>
      <c r="I345" s="92"/>
      <c r="J345" s="92"/>
      <c r="K345" s="92"/>
      <c r="L345" s="92"/>
      <c r="M345" s="92"/>
      <c r="N345" s="92"/>
      <c r="O345" s="92"/>
      <c r="P345" s="92"/>
      <c r="Q345" s="92"/>
      <c r="R345" s="92"/>
      <c r="S345" s="92"/>
      <c r="T345" s="92"/>
      <c r="U345" s="92"/>
      <c r="V345" s="92"/>
      <c r="W345" s="92"/>
      <c r="X345" s="92"/>
      <c r="Y345" s="92"/>
      <c r="Z345" s="92"/>
    </row>
    <row r="346" spans="1:26" ht="12.75">
      <c r="A346" s="92" t="s">
        <v>6869</v>
      </c>
      <c r="B346" s="372">
        <v>2013</v>
      </c>
      <c r="C346" s="372">
        <v>24302466</v>
      </c>
      <c r="D346" s="373"/>
      <c r="E346" s="261" t="str">
        <f t="shared" si="0"/>
        <v>https://pubmed.ncbi.nlm.nih.gov/24302466</v>
      </c>
      <c r="F346" s="92" t="s">
        <v>511</v>
      </c>
      <c r="G346" s="92" t="s">
        <v>4592</v>
      </c>
      <c r="H346" s="92"/>
      <c r="I346" s="92"/>
      <c r="J346" s="92"/>
      <c r="K346" s="92"/>
      <c r="L346" s="92"/>
      <c r="M346" s="92"/>
      <c r="N346" s="92"/>
      <c r="O346" s="92"/>
      <c r="P346" s="92"/>
      <c r="Q346" s="92"/>
      <c r="R346" s="92"/>
      <c r="S346" s="92"/>
      <c r="T346" s="92"/>
      <c r="U346" s="92"/>
      <c r="V346" s="92"/>
      <c r="W346" s="92"/>
      <c r="X346" s="92"/>
      <c r="Y346" s="92"/>
      <c r="Z346" s="92"/>
    </row>
    <row r="347" spans="1:26" ht="12.75">
      <c r="A347" s="92" t="s">
        <v>6870</v>
      </c>
      <c r="B347" s="372">
        <v>2007</v>
      </c>
      <c r="C347" s="372">
        <v>18039501</v>
      </c>
      <c r="D347" s="373"/>
      <c r="E347" s="261" t="str">
        <f t="shared" si="0"/>
        <v>https://pubmed.ncbi.nlm.nih.gov/18039501</v>
      </c>
      <c r="F347" s="92" t="s">
        <v>511</v>
      </c>
      <c r="G347" s="374" t="s">
        <v>4744</v>
      </c>
      <c r="H347" s="21"/>
      <c r="I347" s="92"/>
      <c r="J347" s="92"/>
      <c r="K347" s="92"/>
      <c r="L347" s="92"/>
      <c r="M347" s="92"/>
      <c r="N347" s="92"/>
      <c r="O347" s="92"/>
      <c r="P347" s="92"/>
      <c r="Q347" s="92"/>
      <c r="R347" s="92"/>
      <c r="S347" s="92"/>
      <c r="T347" s="92"/>
      <c r="U347" s="92"/>
      <c r="V347" s="92"/>
      <c r="W347" s="92"/>
      <c r="X347" s="92"/>
      <c r="Y347" s="92"/>
      <c r="Z347" s="92"/>
    </row>
    <row r="348" spans="1:26" ht="12.75">
      <c r="A348" s="92" t="s">
        <v>6871</v>
      </c>
      <c r="B348" s="372">
        <v>2018</v>
      </c>
      <c r="C348" s="372">
        <v>30266608</v>
      </c>
      <c r="D348" s="373"/>
      <c r="E348" s="261" t="str">
        <f t="shared" si="0"/>
        <v>https://pubmed.ncbi.nlm.nih.gov/30266608</v>
      </c>
      <c r="F348" s="92" t="s">
        <v>511</v>
      </c>
      <c r="G348" s="374" t="s">
        <v>5157</v>
      </c>
      <c r="H348" s="21"/>
      <c r="I348" s="21"/>
      <c r="J348" s="92"/>
      <c r="K348" s="92"/>
      <c r="L348" s="92"/>
      <c r="M348" s="92"/>
      <c r="N348" s="92"/>
      <c r="O348" s="92"/>
      <c r="P348" s="92"/>
      <c r="Q348" s="92"/>
      <c r="R348" s="92"/>
      <c r="S348" s="92"/>
      <c r="T348" s="92"/>
      <c r="U348" s="92"/>
      <c r="V348" s="92"/>
      <c r="W348" s="92"/>
      <c r="X348" s="92"/>
      <c r="Y348" s="92"/>
      <c r="Z348" s="92"/>
    </row>
    <row r="349" spans="1:26" ht="12.75">
      <c r="A349" s="92" t="s">
        <v>6872</v>
      </c>
      <c r="B349" s="372">
        <v>1999</v>
      </c>
      <c r="C349" s="372">
        <v>9990745</v>
      </c>
      <c r="D349" s="373"/>
      <c r="E349" s="261" t="str">
        <f t="shared" si="0"/>
        <v>https://pubmed.ncbi.nlm.nih.gov/9990745</v>
      </c>
      <c r="F349" s="92" t="s">
        <v>511</v>
      </c>
      <c r="G349" s="374" t="s">
        <v>4744</v>
      </c>
      <c r="H349" s="21"/>
      <c r="I349" s="92"/>
      <c r="J349" s="92"/>
      <c r="K349" s="92"/>
      <c r="L349" s="92"/>
      <c r="M349" s="92"/>
      <c r="N349" s="92"/>
      <c r="O349" s="92"/>
      <c r="P349" s="92"/>
      <c r="Q349" s="92"/>
      <c r="R349" s="92"/>
      <c r="S349" s="92"/>
      <c r="T349" s="92"/>
      <c r="U349" s="92"/>
      <c r="V349" s="92"/>
      <c r="W349" s="92"/>
      <c r="X349" s="92"/>
      <c r="Y349" s="92"/>
      <c r="Z349" s="92"/>
    </row>
    <row r="350" spans="1:26" ht="12.75">
      <c r="A350" s="92" t="s">
        <v>6873</v>
      </c>
      <c r="B350" s="372">
        <v>2018</v>
      </c>
      <c r="C350" s="372">
        <v>29563196</v>
      </c>
      <c r="D350" s="373" t="s">
        <v>6874</v>
      </c>
      <c r="E350" s="261" t="str">
        <f t="shared" si="0"/>
        <v>https://pubmed.ncbi.nlm.nih.gov/29563196</v>
      </c>
      <c r="F350" s="92" t="s">
        <v>511</v>
      </c>
      <c r="G350" s="374" t="s">
        <v>4744</v>
      </c>
      <c r="H350" s="21"/>
      <c r="I350" s="92"/>
      <c r="J350" s="92"/>
      <c r="K350" s="92"/>
      <c r="L350" s="92"/>
      <c r="M350" s="92"/>
      <c r="N350" s="92"/>
      <c r="O350" s="92"/>
      <c r="P350" s="92"/>
      <c r="Q350" s="92"/>
      <c r="R350" s="92"/>
      <c r="S350" s="92"/>
      <c r="T350" s="92"/>
      <c r="U350" s="92"/>
      <c r="V350" s="92"/>
      <c r="W350" s="92"/>
      <c r="X350" s="92"/>
      <c r="Y350" s="92"/>
      <c r="Z350" s="92"/>
    </row>
    <row r="351" spans="1:26" ht="12.75">
      <c r="A351" s="92" t="s">
        <v>6875</v>
      </c>
      <c r="B351" s="372">
        <v>2014</v>
      </c>
      <c r="C351" s="372">
        <v>24484547</v>
      </c>
      <c r="D351" s="373" t="s">
        <v>6876</v>
      </c>
      <c r="E351" s="261" t="str">
        <f t="shared" si="0"/>
        <v>https://pubmed.ncbi.nlm.nih.gov/24484547</v>
      </c>
      <c r="F351" s="92" t="s">
        <v>511</v>
      </c>
      <c r="G351" s="374" t="s">
        <v>4744</v>
      </c>
      <c r="H351" s="21"/>
      <c r="I351" s="92"/>
      <c r="J351" s="92"/>
      <c r="K351" s="92"/>
      <c r="L351" s="92"/>
      <c r="M351" s="92"/>
      <c r="N351" s="92"/>
      <c r="O351" s="92"/>
      <c r="P351" s="92"/>
      <c r="Q351" s="92"/>
      <c r="R351" s="92"/>
      <c r="S351" s="92"/>
      <c r="T351" s="92"/>
      <c r="U351" s="92"/>
      <c r="V351" s="92"/>
      <c r="W351" s="92"/>
      <c r="X351" s="92"/>
      <c r="Y351" s="92"/>
      <c r="Z351" s="92"/>
    </row>
    <row r="352" spans="1:26" ht="12.75">
      <c r="A352" s="92" t="s">
        <v>6877</v>
      </c>
      <c r="B352" s="372">
        <v>2008</v>
      </c>
      <c r="C352" s="372">
        <v>18053020</v>
      </c>
      <c r="D352" s="373"/>
      <c r="E352" s="261" t="str">
        <f t="shared" si="0"/>
        <v>https://pubmed.ncbi.nlm.nih.gov/18053020</v>
      </c>
      <c r="F352" s="92" t="s">
        <v>511</v>
      </c>
      <c r="G352" s="374" t="s">
        <v>5299</v>
      </c>
      <c r="H352" s="92"/>
      <c r="I352" s="92" t="s">
        <v>6878</v>
      </c>
      <c r="J352" s="92"/>
      <c r="K352" s="92"/>
      <c r="L352" s="92"/>
      <c r="M352" s="92"/>
      <c r="N352" s="92"/>
      <c r="O352" s="92"/>
      <c r="P352" s="92"/>
      <c r="Q352" s="92"/>
      <c r="R352" s="92"/>
      <c r="S352" s="92"/>
      <c r="T352" s="92"/>
      <c r="U352" s="92"/>
      <c r="V352" s="92"/>
      <c r="W352" s="92"/>
      <c r="X352" s="92"/>
      <c r="Y352" s="92"/>
      <c r="Z352" s="92"/>
    </row>
    <row r="353" spans="1:26" ht="12.75">
      <c r="A353" s="92" t="s">
        <v>6879</v>
      </c>
      <c r="B353" s="372">
        <v>2013</v>
      </c>
      <c r="C353" s="372">
        <v>24429275</v>
      </c>
      <c r="D353" s="373"/>
      <c r="E353" s="261" t="str">
        <f t="shared" si="0"/>
        <v>https://pubmed.ncbi.nlm.nih.gov/24429275</v>
      </c>
      <c r="F353" s="92" t="s">
        <v>511</v>
      </c>
      <c r="G353" s="374" t="s">
        <v>5299</v>
      </c>
      <c r="H353" s="21"/>
      <c r="I353" s="92"/>
      <c r="J353" s="92"/>
      <c r="K353" s="92"/>
      <c r="L353" s="92"/>
      <c r="M353" s="92"/>
      <c r="N353" s="92"/>
      <c r="O353" s="92"/>
      <c r="P353" s="92"/>
      <c r="Q353" s="92"/>
      <c r="R353" s="92"/>
      <c r="S353" s="92"/>
      <c r="T353" s="92"/>
      <c r="U353" s="92"/>
      <c r="V353" s="92"/>
      <c r="W353" s="92"/>
      <c r="X353" s="92"/>
      <c r="Y353" s="92"/>
      <c r="Z353" s="92"/>
    </row>
    <row r="354" spans="1:26" ht="12.75">
      <c r="A354" s="92" t="s">
        <v>6880</v>
      </c>
      <c r="B354" s="372">
        <v>2012</v>
      </c>
      <c r="C354" s="372">
        <v>22622405</v>
      </c>
      <c r="D354" s="373"/>
      <c r="E354" s="261" t="str">
        <f t="shared" si="0"/>
        <v>https://pubmed.ncbi.nlm.nih.gov/22622405</v>
      </c>
      <c r="F354" s="92" t="s">
        <v>511</v>
      </c>
      <c r="G354" s="374" t="s">
        <v>4867</v>
      </c>
      <c r="H354" s="21"/>
      <c r="I354" s="92"/>
      <c r="J354" s="92"/>
      <c r="K354" s="92"/>
      <c r="L354" s="92"/>
      <c r="M354" s="92"/>
      <c r="N354" s="92"/>
      <c r="O354" s="92"/>
      <c r="P354" s="92"/>
      <c r="Q354" s="92"/>
      <c r="R354" s="92"/>
      <c r="S354" s="92"/>
      <c r="T354" s="92"/>
      <c r="U354" s="92"/>
      <c r="V354" s="92"/>
      <c r="W354" s="92"/>
      <c r="X354" s="92"/>
      <c r="Y354" s="92"/>
      <c r="Z354" s="92"/>
    </row>
    <row r="355" spans="1:26" ht="12.75">
      <c r="A355" s="92" t="s">
        <v>6881</v>
      </c>
      <c r="B355" s="372">
        <v>2018</v>
      </c>
      <c r="C355" s="372">
        <v>30518685</v>
      </c>
      <c r="D355" s="373" t="s">
        <v>6882</v>
      </c>
      <c r="E355" s="261" t="str">
        <f t="shared" si="0"/>
        <v>https://pubmed.ncbi.nlm.nih.gov/30518685</v>
      </c>
      <c r="F355" s="92" t="s">
        <v>511</v>
      </c>
      <c r="G355" s="374" t="s">
        <v>4744</v>
      </c>
      <c r="H355" s="21"/>
      <c r="I355" s="92"/>
      <c r="J355" s="92"/>
      <c r="K355" s="92"/>
      <c r="L355" s="92"/>
      <c r="M355" s="92"/>
      <c r="N355" s="92"/>
      <c r="O355" s="92"/>
      <c r="P355" s="92"/>
      <c r="Q355" s="92"/>
      <c r="R355" s="92"/>
      <c r="S355" s="92"/>
      <c r="T355" s="92"/>
      <c r="U355" s="92"/>
      <c r="V355" s="92"/>
      <c r="W355" s="92"/>
      <c r="X355" s="92"/>
      <c r="Y355" s="92"/>
      <c r="Z355" s="92"/>
    </row>
    <row r="356" spans="1:26" ht="12.75">
      <c r="A356" s="92" t="s">
        <v>6883</v>
      </c>
      <c r="B356" s="372">
        <v>2020</v>
      </c>
      <c r="C356" s="372">
        <v>31996161</v>
      </c>
      <c r="D356" s="373" t="s">
        <v>6884</v>
      </c>
      <c r="E356" s="261" t="str">
        <f t="shared" si="0"/>
        <v>https://pubmed.ncbi.nlm.nih.gov/31996161</v>
      </c>
      <c r="F356" s="92" t="s">
        <v>511</v>
      </c>
      <c r="G356" s="374" t="s">
        <v>6885</v>
      </c>
      <c r="H356" s="21"/>
      <c r="I356" s="92"/>
      <c r="J356" s="92"/>
      <c r="K356" s="92"/>
      <c r="L356" s="92"/>
      <c r="M356" s="92"/>
      <c r="N356" s="92"/>
      <c r="O356" s="92"/>
      <c r="P356" s="92"/>
      <c r="Q356" s="92"/>
      <c r="R356" s="92"/>
      <c r="S356" s="92"/>
      <c r="T356" s="92"/>
      <c r="U356" s="92"/>
      <c r="V356" s="92"/>
      <c r="W356" s="92"/>
      <c r="X356" s="92"/>
      <c r="Y356" s="92"/>
      <c r="Z356" s="92"/>
    </row>
    <row r="357" spans="1:26" ht="12.75">
      <c r="A357" s="92" t="s">
        <v>6886</v>
      </c>
      <c r="B357" s="372">
        <v>2017</v>
      </c>
      <c r="C357" s="372">
        <v>28111876</v>
      </c>
      <c r="D357" s="375"/>
      <c r="E357" s="261" t="str">
        <f t="shared" si="0"/>
        <v>https://pubmed.ncbi.nlm.nih.gov/28111876</v>
      </c>
      <c r="F357" s="92" t="s">
        <v>511</v>
      </c>
      <c r="G357" s="92" t="s">
        <v>4592</v>
      </c>
      <c r="H357" s="92"/>
      <c r="I357" s="92"/>
      <c r="J357" s="92"/>
      <c r="K357" s="92"/>
      <c r="L357" s="92"/>
      <c r="M357" s="92"/>
      <c r="N357" s="92"/>
      <c r="O357" s="92"/>
      <c r="P357" s="92"/>
      <c r="Q357" s="92"/>
      <c r="R357" s="92"/>
      <c r="S357" s="92"/>
      <c r="T357" s="92"/>
      <c r="U357" s="92"/>
      <c r="V357" s="92"/>
      <c r="W357" s="92"/>
      <c r="X357" s="92"/>
      <c r="Y357" s="92"/>
      <c r="Z357" s="92"/>
    </row>
    <row r="358" spans="1:26" ht="12.75">
      <c r="A358" s="92" t="s">
        <v>6887</v>
      </c>
      <c r="B358" s="372">
        <v>2012</v>
      </c>
      <c r="C358" s="372">
        <v>23011715</v>
      </c>
      <c r="D358" s="373" t="s">
        <v>6888</v>
      </c>
      <c r="E358" s="261" t="str">
        <f t="shared" si="0"/>
        <v>https://pubmed.ncbi.nlm.nih.gov/23011715</v>
      </c>
      <c r="F358" s="92" t="s">
        <v>511</v>
      </c>
      <c r="G358" s="374" t="s">
        <v>6458</v>
      </c>
      <c r="H358" s="21"/>
      <c r="I358" s="92"/>
      <c r="J358" s="92"/>
      <c r="K358" s="92"/>
      <c r="L358" s="92"/>
      <c r="M358" s="92"/>
      <c r="N358" s="92"/>
      <c r="O358" s="92"/>
      <c r="P358" s="92"/>
      <c r="Q358" s="92"/>
      <c r="R358" s="92"/>
      <c r="S358" s="92"/>
      <c r="T358" s="92"/>
      <c r="U358" s="92"/>
      <c r="V358" s="92"/>
      <c r="W358" s="92"/>
      <c r="X358" s="92"/>
      <c r="Y358" s="92"/>
      <c r="Z358" s="92"/>
    </row>
    <row r="359" spans="1:26" ht="12.75">
      <c r="A359" s="92" t="s">
        <v>4017</v>
      </c>
      <c r="B359" s="372">
        <v>2019</v>
      </c>
      <c r="C359" s="372">
        <v>30675854</v>
      </c>
      <c r="D359" s="373" t="s">
        <v>6889</v>
      </c>
      <c r="E359" s="376" t="str">
        <f t="shared" si="0"/>
        <v>https://pubmed.ncbi.nlm.nih.gov/30675854</v>
      </c>
      <c r="F359" s="21"/>
      <c r="G359" s="92"/>
      <c r="H359" s="92" t="s">
        <v>511</v>
      </c>
      <c r="I359" s="92"/>
      <c r="J359" s="92"/>
      <c r="K359" s="92"/>
      <c r="L359" s="92"/>
      <c r="M359" s="92"/>
      <c r="N359" s="92"/>
      <c r="O359" s="92"/>
      <c r="P359" s="92"/>
      <c r="Q359" s="92"/>
      <c r="R359" s="92"/>
      <c r="S359" s="92"/>
      <c r="T359" s="92"/>
      <c r="U359" s="92"/>
      <c r="V359" s="92"/>
      <c r="W359" s="92"/>
      <c r="X359" s="92"/>
      <c r="Y359" s="92"/>
      <c r="Z359" s="92"/>
    </row>
    <row r="360" spans="1:26" ht="12.75">
      <c r="A360" s="92" t="s">
        <v>6890</v>
      </c>
      <c r="B360" s="372">
        <v>2011</v>
      </c>
      <c r="C360" s="372">
        <v>21823550</v>
      </c>
      <c r="D360" s="375"/>
      <c r="E360" s="261" t="str">
        <f t="shared" si="0"/>
        <v>https://pubmed.ncbi.nlm.nih.gov/21823550</v>
      </c>
      <c r="F360" s="92" t="s">
        <v>511</v>
      </c>
      <c r="G360" s="374" t="s">
        <v>4744</v>
      </c>
      <c r="H360" s="21"/>
      <c r="I360" s="92"/>
      <c r="J360" s="92"/>
      <c r="K360" s="92"/>
      <c r="L360" s="92"/>
      <c r="M360" s="92"/>
      <c r="N360" s="92"/>
      <c r="O360" s="92"/>
      <c r="P360" s="92"/>
      <c r="Q360" s="92"/>
      <c r="R360" s="92"/>
      <c r="S360" s="92"/>
      <c r="T360" s="92"/>
      <c r="U360" s="92"/>
      <c r="V360" s="92"/>
      <c r="W360" s="92"/>
      <c r="X360" s="92"/>
      <c r="Y360" s="92"/>
      <c r="Z360" s="92"/>
    </row>
    <row r="361" spans="1:26" ht="12.75">
      <c r="A361" s="92" t="s">
        <v>6891</v>
      </c>
      <c r="B361" s="372">
        <v>2014</v>
      </c>
      <c r="C361" s="372">
        <v>25269854</v>
      </c>
      <c r="D361" s="92" t="s">
        <v>6892</v>
      </c>
      <c r="E361" s="261" t="str">
        <f t="shared" si="0"/>
        <v>https://pubmed.ncbi.nlm.nih.gov/25269854</v>
      </c>
      <c r="F361" s="92" t="s">
        <v>511</v>
      </c>
      <c r="G361" s="374" t="s">
        <v>5299</v>
      </c>
      <c r="H361" s="92"/>
      <c r="I361" s="92" t="s">
        <v>6460</v>
      </c>
      <c r="J361" s="92"/>
      <c r="K361" s="92"/>
      <c r="L361" s="92"/>
      <c r="M361" s="92"/>
      <c r="N361" s="92"/>
      <c r="O361" s="92"/>
      <c r="P361" s="92"/>
      <c r="Q361" s="92"/>
      <c r="R361" s="92"/>
      <c r="S361" s="92"/>
      <c r="T361" s="92"/>
      <c r="U361" s="92"/>
      <c r="V361" s="92"/>
      <c r="W361" s="92"/>
      <c r="X361" s="92"/>
      <c r="Y361" s="92"/>
      <c r="Z361" s="92"/>
    </row>
    <row r="362" spans="1:26" ht="12.75">
      <c r="A362" s="92" t="s">
        <v>6893</v>
      </c>
      <c r="B362" s="372">
        <v>2018</v>
      </c>
      <c r="C362" s="372">
        <v>29948739</v>
      </c>
      <c r="D362" s="375" t="s">
        <v>6894</v>
      </c>
      <c r="E362" s="261" t="str">
        <f t="shared" si="0"/>
        <v>https://pubmed.ncbi.nlm.nih.gov/29948739</v>
      </c>
      <c r="F362" s="92" t="s">
        <v>511</v>
      </c>
      <c r="G362" s="374" t="s">
        <v>4744</v>
      </c>
      <c r="H362" s="21"/>
      <c r="I362" s="92"/>
      <c r="J362" s="92"/>
      <c r="K362" s="92"/>
      <c r="L362" s="92"/>
      <c r="M362" s="92"/>
      <c r="N362" s="92"/>
      <c r="O362" s="92"/>
      <c r="P362" s="92"/>
      <c r="Q362" s="92"/>
      <c r="R362" s="92"/>
      <c r="S362" s="92"/>
      <c r="T362" s="92"/>
      <c r="U362" s="92"/>
      <c r="V362" s="92"/>
      <c r="W362" s="92"/>
      <c r="X362" s="92"/>
      <c r="Y362" s="92"/>
      <c r="Z362" s="92"/>
    </row>
    <row r="363" spans="1:26" ht="12.75">
      <c r="A363" s="92" t="s">
        <v>6895</v>
      </c>
      <c r="B363" s="372">
        <v>2015</v>
      </c>
      <c r="C363" s="372">
        <v>26413879</v>
      </c>
      <c r="D363" s="92"/>
      <c r="E363" s="261" t="str">
        <f t="shared" si="0"/>
        <v>https://pubmed.ncbi.nlm.nih.gov/26413879</v>
      </c>
      <c r="F363" s="92" t="s">
        <v>511</v>
      </c>
      <c r="G363" s="92" t="s">
        <v>5273</v>
      </c>
      <c r="H363" s="92"/>
      <c r="I363" s="92"/>
      <c r="J363" s="92"/>
      <c r="K363" s="92"/>
      <c r="L363" s="92"/>
      <c r="M363" s="92"/>
      <c r="N363" s="92"/>
      <c r="O363" s="92"/>
      <c r="P363" s="92"/>
      <c r="Q363" s="92"/>
      <c r="R363" s="92"/>
      <c r="S363" s="92"/>
      <c r="T363" s="92"/>
      <c r="U363" s="92"/>
      <c r="V363" s="92"/>
      <c r="W363" s="92"/>
      <c r="X363" s="92"/>
      <c r="Y363" s="92"/>
      <c r="Z363" s="92"/>
    </row>
    <row r="364" spans="1:26" ht="12.75">
      <c r="A364" s="92" t="s">
        <v>6896</v>
      </c>
      <c r="B364" s="372">
        <v>2007</v>
      </c>
      <c r="C364" s="372">
        <v>17368522</v>
      </c>
      <c r="D364" s="373"/>
      <c r="E364" s="261" t="str">
        <f t="shared" si="0"/>
        <v>https://pubmed.ncbi.nlm.nih.gov/17368522</v>
      </c>
      <c r="F364" s="92" t="s">
        <v>511</v>
      </c>
      <c r="G364" s="92" t="s">
        <v>4592</v>
      </c>
      <c r="H364" s="92"/>
      <c r="I364" s="92"/>
      <c r="J364" s="92"/>
      <c r="K364" s="92"/>
      <c r="L364" s="92"/>
      <c r="M364" s="92"/>
      <c r="N364" s="92"/>
      <c r="O364" s="92"/>
      <c r="P364" s="92"/>
      <c r="Q364" s="92"/>
      <c r="R364" s="92"/>
      <c r="S364" s="92"/>
      <c r="T364" s="92"/>
      <c r="U364" s="92"/>
      <c r="V364" s="92"/>
      <c r="W364" s="92"/>
      <c r="X364" s="92"/>
      <c r="Y364" s="92"/>
      <c r="Z364" s="92"/>
    </row>
    <row r="365" spans="1:26" ht="12.75">
      <c r="A365" s="92" t="s">
        <v>6897</v>
      </c>
      <c r="B365" s="372">
        <v>2020</v>
      </c>
      <c r="C365" s="372">
        <v>31483689</v>
      </c>
      <c r="D365" s="373"/>
      <c r="E365" s="261" t="str">
        <f t="shared" si="0"/>
        <v>https://pubmed.ncbi.nlm.nih.gov/31483689</v>
      </c>
      <c r="F365" s="92" t="s">
        <v>511</v>
      </c>
      <c r="G365" s="374" t="s">
        <v>6898</v>
      </c>
      <c r="H365" s="21"/>
      <c r="I365" s="92"/>
      <c r="J365" s="92"/>
      <c r="K365" s="92"/>
      <c r="L365" s="92"/>
      <c r="M365" s="92"/>
      <c r="N365" s="92"/>
      <c r="O365" s="92"/>
      <c r="P365" s="92"/>
      <c r="Q365" s="92"/>
      <c r="R365" s="92"/>
      <c r="S365" s="92"/>
      <c r="T365" s="92"/>
      <c r="U365" s="92"/>
      <c r="V365" s="92"/>
      <c r="W365" s="92"/>
      <c r="X365" s="92"/>
      <c r="Y365" s="92"/>
      <c r="Z365" s="92"/>
    </row>
    <row r="366" spans="1:26" ht="12.75">
      <c r="A366" s="92" t="s">
        <v>6899</v>
      </c>
      <c r="B366" s="372">
        <v>2005</v>
      </c>
      <c r="C366" s="372">
        <v>16292292</v>
      </c>
      <c r="D366" s="373" t="s">
        <v>6900</v>
      </c>
      <c r="E366" s="261" t="str">
        <f t="shared" si="0"/>
        <v>https://pubmed.ncbi.nlm.nih.gov/16292292</v>
      </c>
      <c r="F366" s="92" t="s">
        <v>511</v>
      </c>
      <c r="G366" s="92" t="s">
        <v>8425</v>
      </c>
      <c r="H366" s="92"/>
      <c r="I366" s="92"/>
      <c r="J366" s="92"/>
      <c r="K366" s="92"/>
      <c r="L366" s="92"/>
      <c r="M366" s="92"/>
      <c r="N366" s="92"/>
      <c r="O366" s="92"/>
      <c r="P366" s="92"/>
      <c r="Q366" s="92"/>
      <c r="R366" s="92"/>
      <c r="S366" s="92"/>
      <c r="T366" s="92"/>
      <c r="U366" s="92"/>
      <c r="V366" s="92"/>
      <c r="W366" s="92"/>
      <c r="X366" s="92"/>
      <c r="Y366" s="92"/>
      <c r="Z366" s="92"/>
    </row>
    <row r="367" spans="1:26" ht="12.75">
      <c r="A367" s="92" t="s">
        <v>6901</v>
      </c>
      <c r="B367" s="372">
        <v>2013</v>
      </c>
      <c r="C367" s="372">
        <v>23437138</v>
      </c>
      <c r="D367" s="373" t="s">
        <v>6902</v>
      </c>
      <c r="E367" s="261" t="str">
        <f t="shared" si="0"/>
        <v>https://pubmed.ncbi.nlm.nih.gov/23437138</v>
      </c>
      <c r="F367" s="92" t="s">
        <v>511</v>
      </c>
      <c r="G367" s="92" t="s">
        <v>8412</v>
      </c>
      <c r="H367" s="92"/>
      <c r="I367" s="92"/>
      <c r="J367" s="92"/>
      <c r="K367" s="92"/>
      <c r="L367" s="92"/>
      <c r="M367" s="92"/>
      <c r="N367" s="92"/>
      <c r="O367" s="92"/>
      <c r="P367" s="92"/>
      <c r="Q367" s="92"/>
      <c r="R367" s="92"/>
      <c r="S367" s="92"/>
      <c r="T367" s="92"/>
      <c r="U367" s="92"/>
      <c r="V367" s="92"/>
      <c r="W367" s="92"/>
      <c r="X367" s="92"/>
      <c r="Y367" s="92"/>
      <c r="Z367" s="92"/>
    </row>
    <row r="368" spans="1:26" ht="12.75">
      <c r="A368" s="92" t="s">
        <v>6903</v>
      </c>
      <c r="B368" s="372">
        <v>2013</v>
      </c>
      <c r="C368" s="372">
        <v>23881653</v>
      </c>
      <c r="D368" s="373" t="s">
        <v>6904</v>
      </c>
      <c r="E368" s="261" t="str">
        <f t="shared" si="0"/>
        <v>https://pubmed.ncbi.nlm.nih.gov/23881653</v>
      </c>
      <c r="F368" s="92" t="s">
        <v>511</v>
      </c>
      <c r="G368" s="92" t="s">
        <v>4592</v>
      </c>
      <c r="H368" s="92"/>
      <c r="I368" s="92"/>
      <c r="J368" s="92"/>
      <c r="K368" s="92"/>
      <c r="L368" s="92"/>
      <c r="M368" s="92"/>
      <c r="N368" s="92"/>
      <c r="O368" s="92"/>
      <c r="P368" s="92"/>
      <c r="Q368" s="92"/>
      <c r="R368" s="92"/>
      <c r="S368" s="92"/>
      <c r="T368" s="92"/>
      <c r="U368" s="92"/>
      <c r="V368" s="92"/>
      <c r="W368" s="92"/>
      <c r="X368" s="92"/>
      <c r="Y368" s="92"/>
      <c r="Z368" s="92"/>
    </row>
    <row r="369" spans="1:26" ht="12.75">
      <c r="A369" s="92" t="s">
        <v>6905</v>
      </c>
      <c r="B369" s="372">
        <v>2018</v>
      </c>
      <c r="C369" s="372">
        <v>29941151</v>
      </c>
      <c r="D369" s="373"/>
      <c r="E369" s="261" t="str">
        <f t="shared" si="0"/>
        <v>https://pubmed.ncbi.nlm.nih.gov/29941151</v>
      </c>
      <c r="F369" s="92" t="s">
        <v>511</v>
      </c>
      <c r="G369" s="374" t="s">
        <v>4744</v>
      </c>
      <c r="H369" s="21"/>
      <c r="I369" s="92"/>
      <c r="J369" s="92"/>
      <c r="K369" s="92"/>
      <c r="L369" s="92"/>
      <c r="M369" s="92"/>
      <c r="N369" s="92"/>
      <c r="O369" s="92"/>
      <c r="P369" s="92"/>
      <c r="Q369" s="92"/>
      <c r="R369" s="92"/>
      <c r="S369" s="92"/>
      <c r="T369" s="92"/>
      <c r="U369" s="92"/>
      <c r="V369" s="92"/>
      <c r="W369" s="92"/>
      <c r="X369" s="92"/>
      <c r="Y369" s="92"/>
      <c r="Z369" s="92"/>
    </row>
    <row r="370" spans="1:26" ht="12.75">
      <c r="A370" s="92" t="s">
        <v>6906</v>
      </c>
      <c r="B370" s="372">
        <v>2018</v>
      </c>
      <c r="C370" s="372">
        <v>29860473</v>
      </c>
      <c r="D370" s="92"/>
      <c r="E370" s="261" t="str">
        <f t="shared" si="0"/>
        <v>https://pubmed.ncbi.nlm.nih.gov/29860473</v>
      </c>
      <c r="F370" s="92" t="s">
        <v>511</v>
      </c>
      <c r="G370" s="374" t="s">
        <v>4744</v>
      </c>
      <c r="H370" s="21"/>
      <c r="I370" s="92"/>
      <c r="J370" s="92"/>
      <c r="K370" s="92"/>
      <c r="L370" s="92"/>
      <c r="M370" s="92"/>
      <c r="N370" s="92"/>
      <c r="O370" s="92"/>
      <c r="P370" s="92"/>
      <c r="Q370" s="92"/>
      <c r="R370" s="92"/>
      <c r="S370" s="92"/>
      <c r="T370" s="92"/>
      <c r="U370" s="92"/>
      <c r="V370" s="92"/>
      <c r="W370" s="92"/>
      <c r="X370" s="92"/>
      <c r="Y370" s="92"/>
      <c r="Z370" s="92"/>
    </row>
    <row r="371" spans="1:26" ht="12.75">
      <c r="A371" s="92" t="s">
        <v>6907</v>
      </c>
      <c r="B371" s="372">
        <v>2013</v>
      </c>
      <c r="C371" s="372">
        <v>23535095</v>
      </c>
      <c r="D371" s="373"/>
      <c r="E371" s="261" t="str">
        <f t="shared" si="0"/>
        <v>https://pubmed.ncbi.nlm.nih.gov/23535095</v>
      </c>
      <c r="F371" s="92" t="s">
        <v>511</v>
      </c>
      <c r="G371" s="374" t="s">
        <v>4744</v>
      </c>
      <c r="H371" s="92"/>
      <c r="I371" s="92" t="s">
        <v>6460</v>
      </c>
      <c r="J371" s="92"/>
      <c r="K371" s="92"/>
      <c r="L371" s="92"/>
      <c r="M371" s="92"/>
      <c r="N371" s="92"/>
      <c r="O371" s="92"/>
      <c r="P371" s="92"/>
      <c r="Q371" s="92"/>
      <c r="R371" s="92"/>
      <c r="S371" s="92"/>
      <c r="T371" s="92"/>
      <c r="U371" s="92"/>
      <c r="V371" s="92"/>
      <c r="W371" s="92"/>
      <c r="X371" s="92"/>
      <c r="Y371" s="92"/>
      <c r="Z371" s="92"/>
    </row>
    <row r="372" spans="1:26" ht="12.75">
      <c r="A372" s="92" t="s">
        <v>6908</v>
      </c>
      <c r="B372" s="372">
        <v>2015</v>
      </c>
      <c r="C372" s="372">
        <v>26353915</v>
      </c>
      <c r="D372" s="373"/>
      <c r="E372" s="261" t="str">
        <f t="shared" si="0"/>
        <v>https://pubmed.ncbi.nlm.nih.gov/26353915</v>
      </c>
      <c r="F372" s="92" t="s">
        <v>511</v>
      </c>
      <c r="G372" s="92" t="s">
        <v>4592</v>
      </c>
      <c r="H372" s="92"/>
      <c r="I372" s="92"/>
      <c r="J372" s="92"/>
      <c r="K372" s="92"/>
      <c r="L372" s="92"/>
      <c r="M372" s="92"/>
      <c r="N372" s="92"/>
      <c r="O372" s="92"/>
      <c r="P372" s="92"/>
      <c r="Q372" s="92"/>
      <c r="R372" s="92"/>
      <c r="S372" s="92"/>
      <c r="T372" s="92"/>
      <c r="U372" s="92"/>
      <c r="V372" s="92"/>
      <c r="W372" s="92"/>
      <c r="X372" s="92"/>
      <c r="Y372" s="92"/>
      <c r="Z372" s="92"/>
    </row>
    <row r="373" spans="1:26" ht="12.75">
      <c r="A373" s="92" t="s">
        <v>6908</v>
      </c>
      <c r="B373" s="372">
        <v>2014</v>
      </c>
      <c r="C373" s="372">
        <v>24636387</v>
      </c>
      <c r="D373" s="373"/>
      <c r="E373" s="261" t="str">
        <f t="shared" si="0"/>
        <v>https://pubmed.ncbi.nlm.nih.gov/24636387</v>
      </c>
      <c r="F373" s="92" t="s">
        <v>511</v>
      </c>
      <c r="G373" s="374" t="s">
        <v>6909</v>
      </c>
      <c r="H373" s="21"/>
      <c r="I373" s="92"/>
      <c r="J373" s="92"/>
      <c r="K373" s="92"/>
      <c r="L373" s="92"/>
      <c r="M373" s="92"/>
      <c r="N373" s="92"/>
      <c r="O373" s="92"/>
      <c r="P373" s="92"/>
      <c r="Q373" s="92"/>
      <c r="R373" s="92"/>
      <c r="S373" s="92"/>
      <c r="T373" s="92"/>
      <c r="U373" s="92"/>
      <c r="V373" s="92"/>
      <c r="W373" s="92"/>
      <c r="X373" s="92"/>
      <c r="Y373" s="92"/>
      <c r="Z373" s="92"/>
    </row>
    <row r="374" spans="1:26" ht="12.75">
      <c r="A374" s="92" t="s">
        <v>6910</v>
      </c>
      <c r="B374" s="372">
        <v>2015</v>
      </c>
      <c r="C374" s="372">
        <v>26384206</v>
      </c>
      <c r="D374" s="373"/>
      <c r="E374" s="261" t="str">
        <f t="shared" si="0"/>
        <v>https://pubmed.ncbi.nlm.nih.gov/26384206</v>
      </c>
      <c r="F374" s="92" t="s">
        <v>511</v>
      </c>
      <c r="G374" s="92" t="s">
        <v>4592</v>
      </c>
      <c r="H374" s="92"/>
      <c r="I374" s="92"/>
      <c r="J374" s="92"/>
      <c r="K374" s="92"/>
      <c r="L374" s="92"/>
      <c r="M374" s="92"/>
      <c r="N374" s="92"/>
      <c r="O374" s="92"/>
      <c r="P374" s="92"/>
      <c r="Q374" s="92"/>
      <c r="R374" s="92"/>
      <c r="S374" s="92"/>
      <c r="T374" s="92"/>
      <c r="U374" s="92"/>
      <c r="V374" s="92"/>
      <c r="W374" s="92"/>
      <c r="X374" s="92"/>
      <c r="Y374" s="92"/>
      <c r="Z374" s="92"/>
    </row>
    <row r="375" spans="1:26" ht="12.75">
      <c r="A375" s="92" t="s">
        <v>6911</v>
      </c>
      <c r="B375" s="372">
        <v>2010</v>
      </c>
      <c r="C375" s="372">
        <v>20556771</v>
      </c>
      <c r="D375" s="373" t="s">
        <v>6912</v>
      </c>
      <c r="E375" s="261" t="str">
        <f t="shared" si="0"/>
        <v>https://pubmed.ncbi.nlm.nih.gov/20556771</v>
      </c>
      <c r="F375" s="92" t="s">
        <v>511</v>
      </c>
      <c r="G375" s="92" t="s">
        <v>4592</v>
      </c>
      <c r="H375" s="92"/>
      <c r="I375" s="92"/>
      <c r="J375" s="92"/>
      <c r="K375" s="92"/>
      <c r="L375" s="92"/>
      <c r="M375" s="92"/>
      <c r="N375" s="92"/>
      <c r="O375" s="92"/>
      <c r="P375" s="92"/>
      <c r="Q375" s="92"/>
      <c r="R375" s="92"/>
      <c r="S375" s="92"/>
      <c r="T375" s="92"/>
      <c r="U375" s="92"/>
      <c r="V375" s="92"/>
      <c r="W375" s="92"/>
      <c r="X375" s="92"/>
      <c r="Y375" s="92"/>
      <c r="Z375" s="92"/>
    </row>
    <row r="376" spans="1:26" ht="12.75">
      <c r="A376" s="92" t="s">
        <v>6913</v>
      </c>
      <c r="B376" s="372">
        <v>2019</v>
      </c>
      <c r="C376" s="372">
        <v>31310299</v>
      </c>
      <c r="D376" s="373" t="s">
        <v>6914</v>
      </c>
      <c r="E376" s="261" t="str">
        <f t="shared" si="0"/>
        <v>https://pubmed.ncbi.nlm.nih.gov/31310299</v>
      </c>
      <c r="F376" s="92" t="s">
        <v>511</v>
      </c>
      <c r="G376" s="374" t="s">
        <v>5157</v>
      </c>
      <c r="H376" s="21"/>
      <c r="I376" s="21"/>
      <c r="J376" s="92"/>
      <c r="K376" s="92"/>
      <c r="L376" s="92"/>
      <c r="M376" s="92"/>
      <c r="N376" s="92"/>
      <c r="O376" s="92"/>
      <c r="P376" s="92"/>
      <c r="Q376" s="92"/>
      <c r="R376" s="92"/>
      <c r="S376" s="92"/>
      <c r="T376" s="92"/>
      <c r="U376" s="92"/>
      <c r="V376" s="92"/>
      <c r="W376" s="92"/>
      <c r="X376" s="92"/>
      <c r="Y376" s="92"/>
      <c r="Z376" s="92"/>
    </row>
    <row r="377" spans="1:26" ht="12.75">
      <c r="A377" s="92" t="s">
        <v>6915</v>
      </c>
      <c r="B377" s="372">
        <v>2012</v>
      </c>
      <c r="C377" s="372">
        <v>22424013</v>
      </c>
      <c r="D377" s="373"/>
      <c r="E377" s="261" t="str">
        <f t="shared" si="0"/>
        <v>https://pubmed.ncbi.nlm.nih.gov/22424013</v>
      </c>
      <c r="F377" s="92" t="s">
        <v>511</v>
      </c>
      <c r="G377" s="374" t="s">
        <v>4867</v>
      </c>
      <c r="H377" s="21"/>
      <c r="I377" s="92"/>
      <c r="J377" s="92"/>
      <c r="K377" s="92"/>
      <c r="L377" s="92"/>
      <c r="M377" s="92"/>
      <c r="N377" s="92"/>
      <c r="O377" s="92"/>
      <c r="P377" s="92"/>
      <c r="Q377" s="92"/>
      <c r="R377" s="92"/>
      <c r="S377" s="92"/>
      <c r="T377" s="92"/>
      <c r="U377" s="92"/>
      <c r="V377" s="92"/>
      <c r="W377" s="92"/>
      <c r="X377" s="92"/>
      <c r="Y377" s="92"/>
      <c r="Z377" s="92"/>
    </row>
    <row r="378" spans="1:26" ht="12.75">
      <c r="A378" s="92" t="s">
        <v>6916</v>
      </c>
      <c r="B378" s="372">
        <v>2009</v>
      </c>
      <c r="C378" s="372">
        <v>19700988</v>
      </c>
      <c r="D378" s="373"/>
      <c r="E378" s="261" t="str">
        <f t="shared" si="0"/>
        <v>https://pubmed.ncbi.nlm.nih.gov/19700988</v>
      </c>
      <c r="F378" s="92" t="s">
        <v>511</v>
      </c>
      <c r="G378" s="374" t="s">
        <v>5157</v>
      </c>
      <c r="H378" s="21"/>
      <c r="I378" s="21"/>
      <c r="J378" s="92"/>
      <c r="K378" s="92"/>
      <c r="L378" s="92"/>
      <c r="M378" s="92"/>
      <c r="N378" s="92"/>
      <c r="O378" s="92"/>
      <c r="P378" s="92"/>
      <c r="Q378" s="92"/>
      <c r="R378" s="92"/>
      <c r="S378" s="92"/>
      <c r="T378" s="92"/>
      <c r="U378" s="92"/>
      <c r="V378" s="92"/>
      <c r="W378" s="92"/>
      <c r="X378" s="92"/>
      <c r="Y378" s="92"/>
      <c r="Z378" s="92"/>
    </row>
    <row r="379" spans="1:26" ht="12.75">
      <c r="A379" s="92" t="s">
        <v>6917</v>
      </c>
      <c r="B379" s="372">
        <v>2018</v>
      </c>
      <c r="C379" s="372">
        <v>29423947</v>
      </c>
      <c r="D379" s="373"/>
      <c r="E379" s="261" t="str">
        <f t="shared" si="0"/>
        <v>https://pubmed.ncbi.nlm.nih.gov/29423947</v>
      </c>
      <c r="F379" s="92" t="s">
        <v>511</v>
      </c>
      <c r="G379" s="374" t="s">
        <v>5157</v>
      </c>
      <c r="H379" s="92"/>
      <c r="I379" s="92" t="s">
        <v>6460</v>
      </c>
      <c r="J379" s="92"/>
      <c r="K379" s="92"/>
      <c r="L379" s="92"/>
      <c r="M379" s="92"/>
      <c r="N379" s="92"/>
      <c r="O379" s="92"/>
      <c r="P379" s="92"/>
      <c r="Q379" s="92"/>
      <c r="R379" s="92"/>
      <c r="S379" s="92"/>
      <c r="T379" s="92"/>
      <c r="U379" s="92"/>
      <c r="V379" s="92"/>
      <c r="W379" s="92"/>
      <c r="X379" s="92"/>
      <c r="Y379" s="92"/>
      <c r="Z379" s="92"/>
    </row>
    <row r="380" spans="1:26" ht="12.75">
      <c r="A380" s="92" t="s">
        <v>6918</v>
      </c>
      <c r="B380" s="372">
        <v>2013</v>
      </c>
      <c r="C380" s="372">
        <v>23937747</v>
      </c>
      <c r="D380" s="373"/>
      <c r="E380" s="261" t="str">
        <f t="shared" si="0"/>
        <v>https://pubmed.ncbi.nlm.nih.gov/23937747</v>
      </c>
      <c r="F380" s="92" t="s">
        <v>511</v>
      </c>
      <c r="G380" s="374" t="s">
        <v>6919</v>
      </c>
      <c r="H380" s="21"/>
      <c r="I380" s="92"/>
      <c r="J380" s="92"/>
      <c r="K380" s="92"/>
      <c r="L380" s="92"/>
      <c r="M380" s="92"/>
      <c r="N380" s="92"/>
      <c r="O380" s="92"/>
      <c r="P380" s="92"/>
      <c r="Q380" s="92"/>
      <c r="R380" s="92"/>
      <c r="S380" s="92"/>
      <c r="T380" s="92"/>
      <c r="U380" s="92"/>
      <c r="V380" s="92"/>
      <c r="W380" s="92"/>
      <c r="X380" s="92"/>
      <c r="Y380" s="92"/>
      <c r="Z380" s="92"/>
    </row>
    <row r="381" spans="1:26" ht="12.75">
      <c r="A381" s="92" t="s">
        <v>6920</v>
      </c>
      <c r="B381" s="372">
        <v>2004</v>
      </c>
      <c r="C381" s="372">
        <v>15638050</v>
      </c>
      <c r="D381" s="373"/>
      <c r="E381" s="261" t="str">
        <f t="shared" si="0"/>
        <v>https://pubmed.ncbi.nlm.nih.gov/15638050</v>
      </c>
      <c r="F381" s="92" t="s">
        <v>511</v>
      </c>
      <c r="G381" s="92" t="s">
        <v>4592</v>
      </c>
      <c r="H381" s="92"/>
      <c r="I381" s="92"/>
      <c r="J381" s="92"/>
      <c r="K381" s="92"/>
      <c r="L381" s="92"/>
      <c r="M381" s="92"/>
      <c r="N381" s="92"/>
      <c r="O381" s="92"/>
      <c r="P381" s="92"/>
      <c r="Q381" s="92"/>
      <c r="R381" s="92"/>
      <c r="S381" s="92"/>
      <c r="T381" s="92"/>
      <c r="U381" s="92"/>
      <c r="V381" s="92"/>
      <c r="W381" s="92"/>
      <c r="X381" s="92"/>
      <c r="Y381" s="92"/>
      <c r="Z381" s="92"/>
    </row>
    <row r="382" spans="1:26" ht="12.75">
      <c r="A382" s="92" t="s">
        <v>6921</v>
      </c>
      <c r="B382" s="372">
        <v>2020</v>
      </c>
      <c r="C382" s="372">
        <v>32379955</v>
      </c>
      <c r="D382" s="373" t="s">
        <v>6922</v>
      </c>
      <c r="E382" s="261" t="str">
        <f t="shared" si="0"/>
        <v>https://pubmed.ncbi.nlm.nih.gov/32379955</v>
      </c>
      <c r="F382" s="92" t="s">
        <v>511</v>
      </c>
      <c r="G382" s="374" t="s">
        <v>4744</v>
      </c>
      <c r="H382" s="21"/>
      <c r="I382" s="92"/>
      <c r="J382" s="92"/>
      <c r="K382" s="92"/>
      <c r="L382" s="92"/>
      <c r="M382" s="92"/>
      <c r="N382" s="92"/>
      <c r="O382" s="92"/>
      <c r="P382" s="92"/>
      <c r="Q382" s="92"/>
      <c r="R382" s="92"/>
      <c r="S382" s="92"/>
      <c r="T382" s="92"/>
      <c r="U382" s="92"/>
      <c r="V382" s="92"/>
      <c r="W382" s="92"/>
      <c r="X382" s="92"/>
      <c r="Y382" s="92"/>
      <c r="Z382" s="92"/>
    </row>
    <row r="383" spans="1:26" ht="12.75">
      <c r="A383" s="92" t="s">
        <v>6923</v>
      </c>
      <c r="B383" s="372">
        <v>2016</v>
      </c>
      <c r="C383" s="372">
        <v>27067745</v>
      </c>
      <c r="D383" s="373"/>
      <c r="E383" s="261" t="str">
        <f t="shared" si="0"/>
        <v>https://pubmed.ncbi.nlm.nih.gov/27067745</v>
      </c>
      <c r="F383" s="92" t="s">
        <v>511</v>
      </c>
      <c r="G383" s="92" t="s">
        <v>4592</v>
      </c>
      <c r="H383" s="92"/>
      <c r="I383" s="92"/>
      <c r="J383" s="92"/>
      <c r="K383" s="92"/>
      <c r="L383" s="92"/>
      <c r="M383" s="92"/>
      <c r="N383" s="92"/>
      <c r="O383" s="92"/>
      <c r="P383" s="92"/>
      <c r="Q383" s="92"/>
      <c r="R383" s="92"/>
      <c r="S383" s="92"/>
      <c r="T383" s="92"/>
      <c r="U383" s="92"/>
      <c r="V383" s="92"/>
      <c r="W383" s="92"/>
      <c r="X383" s="92"/>
      <c r="Y383" s="92"/>
      <c r="Z383" s="92"/>
    </row>
    <row r="384" spans="1:26" ht="12.75">
      <c r="A384" s="92" t="s">
        <v>6924</v>
      </c>
      <c r="B384" s="372">
        <v>2014</v>
      </c>
      <c r="C384" s="372">
        <v>24895310</v>
      </c>
      <c r="D384" s="373" t="s">
        <v>6925</v>
      </c>
      <c r="E384" s="261" t="str">
        <f t="shared" si="0"/>
        <v>https://pubmed.ncbi.nlm.nih.gov/24895310</v>
      </c>
      <c r="F384" s="92" t="s">
        <v>511</v>
      </c>
      <c r="G384" s="374" t="s">
        <v>4346</v>
      </c>
      <c r="H384" s="92"/>
      <c r="I384" s="92"/>
      <c r="J384" s="92"/>
      <c r="K384" s="92"/>
      <c r="L384" s="92"/>
      <c r="M384" s="92"/>
      <c r="N384" s="92"/>
      <c r="O384" s="92"/>
      <c r="P384" s="92"/>
      <c r="Q384" s="92"/>
      <c r="R384" s="92"/>
      <c r="S384" s="92"/>
      <c r="T384" s="92"/>
      <c r="U384" s="92"/>
      <c r="V384" s="92"/>
      <c r="W384" s="92"/>
      <c r="X384" s="92"/>
      <c r="Y384" s="92"/>
      <c r="Z384" s="92"/>
    </row>
    <row r="385" spans="1:26" ht="12.75">
      <c r="A385" s="92" t="s">
        <v>6926</v>
      </c>
      <c r="B385" s="372">
        <v>2013</v>
      </c>
      <c r="C385" s="372">
        <v>23599435</v>
      </c>
      <c r="D385" s="373"/>
      <c r="E385" s="261" t="str">
        <f t="shared" si="0"/>
        <v>https://pubmed.ncbi.nlm.nih.gov/23599435</v>
      </c>
      <c r="F385" s="92" t="s">
        <v>511</v>
      </c>
      <c r="G385" s="374" t="s">
        <v>4867</v>
      </c>
      <c r="H385" s="21"/>
      <c r="I385" s="92"/>
      <c r="J385" s="92"/>
      <c r="K385" s="92"/>
      <c r="L385" s="92"/>
      <c r="M385" s="92"/>
      <c r="N385" s="92"/>
      <c r="O385" s="92"/>
      <c r="P385" s="92"/>
      <c r="Q385" s="92"/>
      <c r="R385" s="92"/>
      <c r="S385" s="92"/>
      <c r="T385" s="92"/>
      <c r="U385" s="92"/>
      <c r="V385" s="92"/>
      <c r="W385" s="92"/>
      <c r="X385" s="92"/>
      <c r="Y385" s="92"/>
      <c r="Z385" s="92"/>
    </row>
    <row r="386" spans="1:26" ht="12.75">
      <c r="A386" s="92" t="s">
        <v>6926</v>
      </c>
      <c r="B386" s="372">
        <v>2016</v>
      </c>
      <c r="C386" s="372">
        <v>27028914</v>
      </c>
      <c r="D386" s="373"/>
      <c r="E386" s="261" t="str">
        <f t="shared" si="0"/>
        <v>https://pubmed.ncbi.nlm.nih.gov/27028914</v>
      </c>
      <c r="F386" s="92" t="s">
        <v>511</v>
      </c>
      <c r="G386" s="374" t="s">
        <v>4744</v>
      </c>
      <c r="H386" s="21"/>
      <c r="I386" s="92"/>
      <c r="J386" s="92"/>
      <c r="K386" s="92"/>
      <c r="L386" s="92"/>
      <c r="M386" s="92"/>
      <c r="N386" s="92"/>
      <c r="O386" s="92"/>
      <c r="P386" s="92"/>
      <c r="Q386" s="92"/>
      <c r="R386" s="92"/>
      <c r="S386" s="92"/>
      <c r="T386" s="92"/>
      <c r="U386" s="92"/>
      <c r="V386" s="92"/>
      <c r="W386" s="92"/>
      <c r="X386" s="92"/>
      <c r="Y386" s="92"/>
      <c r="Z386" s="92"/>
    </row>
    <row r="387" spans="1:26" ht="12.75">
      <c r="A387" s="92" t="s">
        <v>6927</v>
      </c>
      <c r="B387" s="372">
        <v>2004</v>
      </c>
      <c r="C387" s="372">
        <v>32288145</v>
      </c>
      <c r="D387" s="373" t="s">
        <v>6928</v>
      </c>
      <c r="E387" s="261" t="str">
        <f t="shared" si="0"/>
        <v>https://pubmed.ncbi.nlm.nih.gov/32288145</v>
      </c>
      <c r="F387" s="92" t="s">
        <v>511</v>
      </c>
      <c r="G387" s="374" t="s">
        <v>6929</v>
      </c>
      <c r="H387" s="21"/>
      <c r="I387" s="92"/>
      <c r="J387" s="92"/>
      <c r="K387" s="92"/>
      <c r="L387" s="92"/>
      <c r="M387" s="92"/>
      <c r="N387" s="92"/>
      <c r="O387" s="92"/>
      <c r="P387" s="92"/>
      <c r="Q387" s="92"/>
      <c r="R387" s="92"/>
      <c r="S387" s="92"/>
      <c r="T387" s="92"/>
      <c r="U387" s="92"/>
      <c r="V387" s="92"/>
      <c r="W387" s="92"/>
      <c r="X387" s="92"/>
      <c r="Y387" s="92"/>
      <c r="Z387" s="92"/>
    </row>
    <row r="388" spans="1:26" ht="12.75">
      <c r="A388" s="92" t="s">
        <v>6930</v>
      </c>
      <c r="B388" s="372">
        <v>2014</v>
      </c>
      <c r="C388" s="372">
        <v>25552038</v>
      </c>
      <c r="D388" s="373"/>
      <c r="E388" s="261" t="str">
        <f t="shared" si="0"/>
        <v>https://pubmed.ncbi.nlm.nih.gov/25552038</v>
      </c>
      <c r="F388" s="92" t="s">
        <v>511</v>
      </c>
      <c r="G388" s="92" t="s">
        <v>8423</v>
      </c>
      <c r="H388" s="92"/>
      <c r="I388" s="92"/>
      <c r="J388" s="92"/>
      <c r="K388" s="92"/>
      <c r="L388" s="92"/>
      <c r="M388" s="92"/>
      <c r="N388" s="92"/>
      <c r="O388" s="92"/>
      <c r="P388" s="92"/>
      <c r="Q388" s="92"/>
      <c r="R388" s="92"/>
      <c r="S388" s="92"/>
      <c r="T388" s="92"/>
      <c r="U388" s="92"/>
      <c r="V388" s="92"/>
      <c r="W388" s="92"/>
      <c r="X388" s="92"/>
      <c r="Y388" s="92"/>
      <c r="Z388" s="92"/>
    </row>
    <row r="389" spans="1:26" ht="12.75">
      <c r="A389" s="92" t="s">
        <v>6931</v>
      </c>
      <c r="B389" s="372">
        <v>2004</v>
      </c>
      <c r="C389" s="372">
        <v>14667790</v>
      </c>
      <c r="D389" s="373"/>
      <c r="E389" s="261" t="str">
        <f t="shared" si="0"/>
        <v>https://pubmed.ncbi.nlm.nih.gov/14667790</v>
      </c>
      <c r="F389" s="92" t="s">
        <v>511</v>
      </c>
      <c r="G389" s="374" t="s">
        <v>4744</v>
      </c>
      <c r="H389" s="21"/>
      <c r="I389" s="92"/>
      <c r="J389" s="92"/>
      <c r="K389" s="92"/>
      <c r="L389" s="92"/>
      <c r="M389" s="92"/>
      <c r="N389" s="92"/>
      <c r="O389" s="92"/>
      <c r="P389" s="92"/>
      <c r="Q389" s="92"/>
      <c r="R389" s="92"/>
      <c r="S389" s="92"/>
      <c r="T389" s="92"/>
      <c r="U389" s="92"/>
      <c r="V389" s="92"/>
      <c r="W389" s="92"/>
      <c r="X389" s="92"/>
      <c r="Y389" s="92"/>
      <c r="Z389" s="92"/>
    </row>
    <row r="390" spans="1:26" ht="12.75">
      <c r="A390" s="92" t="s">
        <v>6932</v>
      </c>
      <c r="B390" s="372">
        <v>2020</v>
      </c>
      <c r="C390" s="372">
        <v>32327163</v>
      </c>
      <c r="D390" s="373"/>
      <c r="E390" s="261" t="str">
        <f t="shared" si="0"/>
        <v>https://pubmed.ncbi.nlm.nih.gov/32327163</v>
      </c>
      <c r="F390" s="92" t="s">
        <v>511</v>
      </c>
      <c r="G390" s="374" t="s">
        <v>6933</v>
      </c>
      <c r="H390" s="92"/>
      <c r="I390" s="92"/>
      <c r="J390" s="92"/>
      <c r="K390" s="92"/>
      <c r="L390" s="92"/>
      <c r="M390" s="92"/>
      <c r="N390" s="92"/>
      <c r="O390" s="92"/>
      <c r="P390" s="92"/>
      <c r="Q390" s="92"/>
      <c r="R390" s="92"/>
      <c r="S390" s="92"/>
      <c r="T390" s="92"/>
      <c r="U390" s="92"/>
      <c r="V390" s="92"/>
      <c r="W390" s="92"/>
      <c r="X390" s="92"/>
      <c r="Y390" s="92"/>
      <c r="Z390" s="92"/>
    </row>
    <row r="391" spans="1:26" ht="12.75">
      <c r="A391" s="92" t="s">
        <v>6934</v>
      </c>
      <c r="B391" s="372">
        <v>2011</v>
      </c>
      <c r="C391" s="372">
        <v>22045670</v>
      </c>
      <c r="D391" s="373" t="s">
        <v>6935</v>
      </c>
      <c r="E391" s="261" t="str">
        <f t="shared" si="0"/>
        <v>https://pubmed.ncbi.nlm.nih.gov/22045670</v>
      </c>
      <c r="F391" s="92" t="s">
        <v>511</v>
      </c>
      <c r="G391" s="374" t="s">
        <v>6936</v>
      </c>
      <c r="H391" s="21"/>
      <c r="I391" s="92"/>
      <c r="J391" s="92"/>
      <c r="K391" s="92"/>
      <c r="L391" s="92"/>
      <c r="M391" s="92"/>
      <c r="N391" s="92"/>
      <c r="O391" s="92"/>
      <c r="P391" s="92"/>
      <c r="Q391" s="92"/>
      <c r="R391" s="92"/>
      <c r="S391" s="92"/>
      <c r="T391" s="92"/>
      <c r="U391" s="92"/>
      <c r="V391" s="92"/>
      <c r="W391" s="92"/>
      <c r="X391" s="92"/>
      <c r="Y391" s="92"/>
      <c r="Z391" s="92"/>
    </row>
    <row r="392" spans="1:26" ht="12.75">
      <c r="A392" s="92" t="s">
        <v>6937</v>
      </c>
      <c r="B392" s="372">
        <v>2010</v>
      </c>
      <c r="C392" s="372">
        <v>20220777</v>
      </c>
      <c r="D392" s="373"/>
      <c r="E392" s="261" t="str">
        <f t="shared" si="0"/>
        <v>https://pubmed.ncbi.nlm.nih.gov/20220777</v>
      </c>
      <c r="F392" s="92" t="s">
        <v>511</v>
      </c>
      <c r="G392" s="374" t="s">
        <v>4744</v>
      </c>
      <c r="H392" s="21"/>
      <c r="I392" s="92"/>
      <c r="J392" s="92"/>
      <c r="K392" s="92"/>
      <c r="L392" s="92"/>
      <c r="M392" s="92"/>
      <c r="N392" s="92"/>
      <c r="O392" s="92"/>
      <c r="P392" s="92"/>
      <c r="Q392" s="92"/>
      <c r="R392" s="92"/>
      <c r="S392" s="92"/>
      <c r="T392" s="92"/>
      <c r="U392" s="92"/>
      <c r="V392" s="92"/>
      <c r="W392" s="92"/>
      <c r="X392" s="92"/>
      <c r="Y392" s="92"/>
      <c r="Z392" s="92"/>
    </row>
    <row r="393" spans="1:26" ht="12.75">
      <c r="A393" s="92" t="s">
        <v>6938</v>
      </c>
      <c r="B393" s="372">
        <v>2009</v>
      </c>
      <c r="C393" s="372">
        <v>19722725</v>
      </c>
      <c r="D393" s="92"/>
      <c r="E393" s="261" t="str">
        <f t="shared" si="0"/>
        <v>https://pubmed.ncbi.nlm.nih.gov/19722725</v>
      </c>
      <c r="F393" s="92" t="s">
        <v>511</v>
      </c>
      <c r="G393" s="92" t="s">
        <v>4592</v>
      </c>
      <c r="H393" s="92"/>
      <c r="I393" s="92"/>
      <c r="J393" s="92"/>
      <c r="K393" s="92"/>
      <c r="L393" s="92"/>
      <c r="M393" s="92"/>
      <c r="N393" s="92"/>
      <c r="O393" s="92"/>
      <c r="P393" s="92"/>
      <c r="Q393" s="92"/>
      <c r="R393" s="92"/>
      <c r="S393" s="92"/>
      <c r="T393" s="92"/>
      <c r="U393" s="92"/>
      <c r="V393" s="92"/>
      <c r="W393" s="92"/>
      <c r="X393" s="92"/>
      <c r="Y393" s="92"/>
      <c r="Z393" s="92"/>
    </row>
    <row r="394" spans="1:26" ht="12.75">
      <c r="A394" s="92" t="s">
        <v>6939</v>
      </c>
      <c r="B394" s="372">
        <v>2015</v>
      </c>
      <c r="C394" s="372">
        <v>26068490</v>
      </c>
      <c r="D394" s="373"/>
      <c r="E394" s="261" t="str">
        <f t="shared" si="0"/>
        <v>https://pubmed.ncbi.nlm.nih.gov/26068490</v>
      </c>
      <c r="F394" s="92" t="s">
        <v>511</v>
      </c>
      <c r="G394" s="92" t="s">
        <v>5273</v>
      </c>
      <c r="H394" s="92"/>
      <c r="I394" s="92"/>
      <c r="J394" s="92"/>
      <c r="K394" s="92"/>
      <c r="L394" s="92"/>
      <c r="M394" s="92"/>
      <c r="N394" s="92"/>
      <c r="O394" s="92"/>
      <c r="P394" s="92"/>
      <c r="Q394" s="92"/>
      <c r="R394" s="92"/>
      <c r="S394" s="92"/>
      <c r="T394" s="92"/>
      <c r="U394" s="92"/>
      <c r="V394" s="92"/>
      <c r="W394" s="92"/>
      <c r="X394" s="92"/>
      <c r="Y394" s="92"/>
      <c r="Z394" s="92"/>
    </row>
    <row r="395" spans="1:26" ht="12.75">
      <c r="A395" s="92" t="s">
        <v>6940</v>
      </c>
      <c r="B395" s="372">
        <v>2002</v>
      </c>
      <c r="C395" s="372">
        <v>11869630</v>
      </c>
      <c r="D395" s="373"/>
      <c r="E395" s="261" t="str">
        <f t="shared" si="0"/>
        <v>https://pubmed.ncbi.nlm.nih.gov/11869630</v>
      </c>
      <c r="F395" s="92" t="s">
        <v>511</v>
      </c>
      <c r="G395" s="92" t="s">
        <v>4592</v>
      </c>
      <c r="H395" s="92"/>
      <c r="I395" s="92"/>
      <c r="J395" s="92"/>
      <c r="K395" s="92"/>
      <c r="L395" s="92"/>
      <c r="M395" s="92"/>
      <c r="N395" s="92"/>
      <c r="O395" s="92"/>
      <c r="P395" s="92"/>
      <c r="Q395" s="92"/>
      <c r="R395" s="92"/>
      <c r="S395" s="92"/>
      <c r="T395" s="92"/>
      <c r="U395" s="92"/>
      <c r="V395" s="92"/>
      <c r="W395" s="92"/>
      <c r="X395" s="92"/>
      <c r="Y395" s="92"/>
      <c r="Z395" s="92"/>
    </row>
    <row r="396" spans="1:26" ht="12.75">
      <c r="A396" s="92" t="s">
        <v>6941</v>
      </c>
      <c r="B396" s="372">
        <v>2014</v>
      </c>
      <c r="C396" s="372">
        <v>25151286</v>
      </c>
      <c r="D396" s="373"/>
      <c r="E396" s="261" t="str">
        <f t="shared" si="0"/>
        <v>https://pubmed.ncbi.nlm.nih.gov/25151286</v>
      </c>
      <c r="F396" s="92" t="s">
        <v>511</v>
      </c>
      <c r="G396" s="92" t="s">
        <v>4592</v>
      </c>
      <c r="H396" s="92"/>
      <c r="I396" s="92"/>
      <c r="J396" s="92"/>
      <c r="K396" s="92"/>
      <c r="L396" s="92"/>
      <c r="M396" s="92"/>
      <c r="N396" s="92"/>
      <c r="O396" s="92"/>
      <c r="P396" s="92"/>
      <c r="Q396" s="92"/>
      <c r="R396" s="92"/>
      <c r="S396" s="92"/>
      <c r="T396" s="92"/>
      <c r="U396" s="92"/>
      <c r="V396" s="92"/>
      <c r="W396" s="92"/>
      <c r="X396" s="92"/>
      <c r="Y396" s="92"/>
      <c r="Z396" s="92"/>
    </row>
    <row r="397" spans="1:26" ht="12.75">
      <c r="A397" s="92" t="s">
        <v>6942</v>
      </c>
      <c r="B397" s="372">
        <v>2007</v>
      </c>
      <c r="C397" s="372">
        <v>17441794</v>
      </c>
      <c r="D397" s="373"/>
      <c r="E397" s="261" t="str">
        <f t="shared" si="0"/>
        <v>https://pubmed.ncbi.nlm.nih.gov/17441794</v>
      </c>
      <c r="F397" s="92" t="s">
        <v>511</v>
      </c>
      <c r="G397" s="374" t="s">
        <v>5157</v>
      </c>
      <c r="H397" s="21"/>
      <c r="I397" s="21"/>
      <c r="J397" s="92"/>
      <c r="K397" s="92"/>
      <c r="L397" s="92"/>
      <c r="M397" s="92"/>
      <c r="N397" s="92"/>
      <c r="O397" s="92"/>
      <c r="P397" s="92"/>
      <c r="Q397" s="92"/>
      <c r="R397" s="92"/>
      <c r="S397" s="92"/>
      <c r="T397" s="92"/>
      <c r="U397" s="92"/>
      <c r="V397" s="92"/>
      <c r="W397" s="92"/>
      <c r="X397" s="92"/>
      <c r="Y397" s="92"/>
      <c r="Z397" s="92"/>
    </row>
    <row r="398" spans="1:26" ht="12.75">
      <c r="A398" s="92" t="s">
        <v>5170</v>
      </c>
      <c r="B398" s="372">
        <v>2001</v>
      </c>
      <c r="C398" s="372">
        <v>11445748</v>
      </c>
      <c r="D398" s="373"/>
      <c r="E398" s="261" t="str">
        <f t="shared" si="0"/>
        <v>https://pubmed.ncbi.nlm.nih.gov/11445748</v>
      </c>
      <c r="F398" s="92" t="s">
        <v>511</v>
      </c>
      <c r="G398" s="92" t="s">
        <v>5273</v>
      </c>
      <c r="H398" s="92"/>
      <c r="I398" s="92"/>
      <c r="J398" s="92"/>
      <c r="K398" s="92"/>
      <c r="L398" s="92"/>
      <c r="M398" s="92"/>
      <c r="N398" s="92"/>
      <c r="O398" s="92"/>
      <c r="P398" s="92"/>
      <c r="Q398" s="92"/>
      <c r="R398" s="92"/>
      <c r="S398" s="92"/>
      <c r="T398" s="92"/>
      <c r="U398" s="92"/>
      <c r="V398" s="92"/>
      <c r="W398" s="92"/>
      <c r="X398" s="92"/>
      <c r="Y398" s="92"/>
      <c r="Z398" s="92"/>
    </row>
    <row r="399" spans="1:26" ht="12.75">
      <c r="A399" s="92" t="s">
        <v>6943</v>
      </c>
      <c r="B399" s="372">
        <v>2018</v>
      </c>
      <c r="C399" s="372">
        <v>30092840</v>
      </c>
      <c r="D399" s="373" t="s">
        <v>6944</v>
      </c>
      <c r="E399" s="261" t="str">
        <f t="shared" si="0"/>
        <v>https://pubmed.ncbi.nlm.nih.gov/30092840</v>
      </c>
      <c r="F399" s="92" t="s">
        <v>511</v>
      </c>
      <c r="G399" s="374" t="s">
        <v>4744</v>
      </c>
      <c r="H399" s="21"/>
      <c r="I399" s="92"/>
      <c r="J399" s="92"/>
      <c r="K399" s="92"/>
      <c r="L399" s="92"/>
      <c r="M399" s="92"/>
      <c r="N399" s="92"/>
      <c r="O399" s="92"/>
      <c r="P399" s="92"/>
      <c r="Q399" s="92"/>
      <c r="R399" s="92"/>
      <c r="S399" s="92"/>
      <c r="T399" s="92"/>
      <c r="U399" s="92"/>
      <c r="V399" s="92"/>
      <c r="W399" s="92"/>
      <c r="X399" s="92"/>
      <c r="Y399" s="92"/>
      <c r="Z399" s="92"/>
    </row>
    <row r="400" spans="1:26" ht="12.75">
      <c r="A400" s="92" t="s">
        <v>6945</v>
      </c>
      <c r="B400" s="372">
        <v>2009</v>
      </c>
      <c r="C400" s="372">
        <v>19519591</v>
      </c>
      <c r="D400" s="373"/>
      <c r="E400" s="261" t="str">
        <f t="shared" si="0"/>
        <v>https://pubmed.ncbi.nlm.nih.gov/19519591</v>
      </c>
      <c r="F400" s="92" t="s">
        <v>511</v>
      </c>
      <c r="G400" s="92" t="s">
        <v>4592</v>
      </c>
      <c r="H400" s="92"/>
      <c r="I400" s="92"/>
      <c r="J400" s="92"/>
      <c r="K400" s="92"/>
      <c r="L400" s="92"/>
      <c r="M400" s="92"/>
      <c r="N400" s="92"/>
      <c r="O400" s="92"/>
      <c r="P400" s="92"/>
      <c r="Q400" s="92"/>
      <c r="R400" s="92"/>
      <c r="S400" s="92"/>
      <c r="T400" s="92"/>
      <c r="U400" s="92"/>
      <c r="V400" s="92"/>
      <c r="W400" s="92"/>
      <c r="X400" s="92"/>
      <c r="Y400" s="92"/>
      <c r="Z400" s="92"/>
    </row>
    <row r="401" spans="1:26" ht="12.75">
      <c r="A401" s="92" t="s">
        <v>6946</v>
      </c>
      <c r="B401" s="372">
        <v>2019</v>
      </c>
      <c r="C401" s="372">
        <v>30003988</v>
      </c>
      <c r="D401" s="373"/>
      <c r="E401" s="261" t="str">
        <f t="shared" si="0"/>
        <v>https://pubmed.ncbi.nlm.nih.gov/30003988</v>
      </c>
      <c r="F401" s="92" t="s">
        <v>511</v>
      </c>
      <c r="G401" s="374" t="s">
        <v>4744</v>
      </c>
      <c r="H401" s="21"/>
      <c r="I401" s="92"/>
      <c r="J401" s="92"/>
      <c r="K401" s="92"/>
      <c r="L401" s="92"/>
      <c r="M401" s="92"/>
      <c r="N401" s="92"/>
      <c r="O401" s="92"/>
      <c r="P401" s="92"/>
      <c r="Q401" s="92"/>
      <c r="R401" s="92"/>
      <c r="S401" s="92"/>
      <c r="T401" s="92"/>
      <c r="U401" s="92"/>
      <c r="V401" s="92"/>
      <c r="W401" s="92"/>
      <c r="X401" s="92"/>
      <c r="Y401" s="92"/>
      <c r="Z401" s="92"/>
    </row>
    <row r="402" spans="1:26" ht="12.75">
      <c r="A402" s="92" t="s">
        <v>6947</v>
      </c>
      <c r="B402" s="372">
        <v>2011</v>
      </c>
      <c r="C402" s="372">
        <v>21420657</v>
      </c>
      <c r="D402" s="373" t="s">
        <v>6948</v>
      </c>
      <c r="E402" s="261" t="str">
        <f t="shared" si="0"/>
        <v>https://pubmed.ncbi.nlm.nih.gov/21420657</v>
      </c>
      <c r="F402" s="92" t="s">
        <v>511</v>
      </c>
      <c r="G402" s="92" t="s">
        <v>8387</v>
      </c>
      <c r="H402" s="92"/>
      <c r="I402" s="92"/>
      <c r="J402" s="92"/>
      <c r="K402" s="92"/>
      <c r="L402" s="92"/>
      <c r="M402" s="92"/>
      <c r="N402" s="92"/>
      <c r="O402" s="92"/>
      <c r="P402" s="92"/>
      <c r="Q402" s="92"/>
      <c r="R402" s="92"/>
      <c r="S402" s="92"/>
      <c r="T402" s="92"/>
      <c r="U402" s="92"/>
      <c r="V402" s="92"/>
      <c r="W402" s="92"/>
      <c r="X402" s="92"/>
      <c r="Y402" s="92"/>
      <c r="Z402" s="92"/>
    </row>
    <row r="403" spans="1:26" ht="12.75">
      <c r="A403" s="92" t="s">
        <v>6949</v>
      </c>
      <c r="B403" s="372">
        <v>1993</v>
      </c>
      <c r="C403" s="372">
        <v>7691504</v>
      </c>
      <c r="D403" s="373"/>
      <c r="E403" s="261" t="str">
        <f t="shared" si="0"/>
        <v>https://pubmed.ncbi.nlm.nih.gov/7691504</v>
      </c>
      <c r="F403" s="92" t="s">
        <v>511</v>
      </c>
      <c r="G403" s="92" t="s">
        <v>4592</v>
      </c>
      <c r="H403" s="92"/>
      <c r="I403" s="92"/>
      <c r="J403" s="92"/>
      <c r="K403" s="92"/>
      <c r="L403" s="92"/>
      <c r="M403" s="92"/>
      <c r="N403" s="92"/>
      <c r="O403" s="92"/>
      <c r="P403" s="92"/>
      <c r="Q403" s="92"/>
      <c r="R403" s="92"/>
      <c r="S403" s="92"/>
      <c r="T403" s="92"/>
      <c r="U403" s="92"/>
      <c r="V403" s="92"/>
      <c r="W403" s="92"/>
      <c r="X403" s="92"/>
      <c r="Y403" s="92"/>
      <c r="Z403" s="92"/>
    </row>
    <row r="404" spans="1:26" ht="12.75">
      <c r="A404" s="92" t="s">
        <v>6950</v>
      </c>
      <c r="B404" s="372">
        <v>2017</v>
      </c>
      <c r="C404" s="372">
        <v>28333405</v>
      </c>
      <c r="D404" s="373"/>
      <c r="E404" s="261" t="str">
        <f t="shared" si="0"/>
        <v>https://pubmed.ncbi.nlm.nih.gov/28333405</v>
      </c>
      <c r="F404" s="92" t="s">
        <v>511</v>
      </c>
      <c r="G404" s="374" t="s">
        <v>8428</v>
      </c>
      <c r="H404" s="92"/>
      <c r="I404" s="92"/>
      <c r="J404" s="92"/>
      <c r="K404" s="92"/>
      <c r="L404" s="92"/>
      <c r="M404" s="92"/>
      <c r="N404" s="92"/>
      <c r="O404" s="92"/>
      <c r="P404" s="92"/>
      <c r="Q404" s="92"/>
      <c r="R404" s="92"/>
      <c r="S404" s="92"/>
      <c r="T404" s="92"/>
      <c r="U404" s="92"/>
      <c r="V404" s="92"/>
      <c r="W404" s="92"/>
      <c r="X404" s="92"/>
      <c r="Y404" s="92"/>
      <c r="Z404" s="92"/>
    </row>
    <row r="405" spans="1:26" ht="12.75">
      <c r="A405" s="92" t="s">
        <v>6952</v>
      </c>
      <c r="B405" s="372">
        <v>2019</v>
      </c>
      <c r="C405" s="372">
        <v>30189465</v>
      </c>
      <c r="D405" s="373"/>
      <c r="E405" s="261" t="str">
        <f t="shared" si="0"/>
        <v>https://pubmed.ncbi.nlm.nih.gov/30189465</v>
      </c>
      <c r="F405" s="92" t="s">
        <v>511</v>
      </c>
      <c r="G405" s="374" t="s">
        <v>5299</v>
      </c>
      <c r="H405" s="21"/>
      <c r="I405" s="92"/>
      <c r="J405" s="92"/>
      <c r="K405" s="92"/>
      <c r="L405" s="92"/>
      <c r="M405" s="92"/>
      <c r="N405" s="92"/>
      <c r="O405" s="92"/>
      <c r="P405" s="92"/>
      <c r="Q405" s="92"/>
      <c r="R405" s="92"/>
      <c r="S405" s="92"/>
      <c r="T405" s="92"/>
      <c r="U405" s="92"/>
      <c r="V405" s="92"/>
      <c r="W405" s="92"/>
      <c r="X405" s="92"/>
      <c r="Y405" s="92"/>
      <c r="Z405" s="92"/>
    </row>
    <row r="406" spans="1:26" ht="12.75">
      <c r="A406" s="92" t="s">
        <v>6953</v>
      </c>
      <c r="B406" s="372">
        <v>2011</v>
      </c>
      <c r="C406" s="372">
        <v>20952517</v>
      </c>
      <c r="D406" s="373" t="s">
        <v>6954</v>
      </c>
      <c r="E406" s="261" t="str">
        <f t="shared" si="0"/>
        <v>https://pubmed.ncbi.nlm.nih.gov/20952517</v>
      </c>
      <c r="F406" s="92" t="s">
        <v>511</v>
      </c>
      <c r="G406" s="374" t="s">
        <v>4867</v>
      </c>
      <c r="H406" s="21"/>
      <c r="I406" s="92"/>
      <c r="J406" s="92"/>
      <c r="K406" s="92"/>
      <c r="L406" s="92"/>
      <c r="M406" s="92"/>
      <c r="N406" s="92"/>
      <c r="O406" s="92"/>
      <c r="P406" s="92"/>
      <c r="Q406" s="92"/>
      <c r="R406" s="92"/>
      <c r="S406" s="92"/>
      <c r="T406" s="92"/>
      <c r="U406" s="92"/>
      <c r="V406" s="92"/>
      <c r="W406" s="92"/>
      <c r="X406" s="92"/>
      <c r="Y406" s="92"/>
      <c r="Z406" s="92"/>
    </row>
    <row r="407" spans="1:26" ht="12.75">
      <c r="A407" s="92" t="s">
        <v>6955</v>
      </c>
      <c r="B407" s="372">
        <v>2017</v>
      </c>
      <c r="C407" s="372">
        <v>29257353</v>
      </c>
      <c r="D407" s="373" t="s">
        <v>6956</v>
      </c>
      <c r="E407" s="261" t="str">
        <f t="shared" si="0"/>
        <v>https://pubmed.ncbi.nlm.nih.gov/29257353</v>
      </c>
      <c r="F407" s="92" t="s">
        <v>511</v>
      </c>
      <c r="G407" s="92" t="s">
        <v>4592</v>
      </c>
      <c r="H407" s="92"/>
      <c r="I407" s="92"/>
      <c r="J407" s="92"/>
      <c r="K407" s="92"/>
      <c r="L407" s="92"/>
      <c r="M407" s="92"/>
      <c r="N407" s="92"/>
      <c r="O407" s="92"/>
      <c r="P407" s="92"/>
      <c r="Q407" s="92"/>
      <c r="R407" s="92"/>
      <c r="S407" s="92"/>
      <c r="T407" s="92"/>
      <c r="U407" s="92"/>
      <c r="V407" s="92"/>
      <c r="W407" s="92"/>
      <c r="X407" s="92"/>
      <c r="Y407" s="92"/>
      <c r="Z407" s="92"/>
    </row>
    <row r="408" spans="1:26" ht="12.75">
      <c r="A408" s="92" t="s">
        <v>6955</v>
      </c>
      <c r="B408" s="372">
        <v>2013</v>
      </c>
      <c r="C408" s="372">
        <v>23728658</v>
      </c>
      <c r="D408" s="373"/>
      <c r="E408" s="261" t="str">
        <f t="shared" si="0"/>
        <v>https://pubmed.ncbi.nlm.nih.gov/23728658</v>
      </c>
      <c r="F408" s="92" t="s">
        <v>511</v>
      </c>
      <c r="G408" s="92" t="s">
        <v>4592</v>
      </c>
      <c r="H408" s="92"/>
      <c r="I408" s="92"/>
      <c r="J408" s="92"/>
      <c r="K408" s="92"/>
      <c r="L408" s="92"/>
      <c r="M408" s="92"/>
      <c r="N408" s="92"/>
      <c r="O408" s="92"/>
      <c r="P408" s="92"/>
      <c r="Q408" s="92"/>
      <c r="R408" s="92"/>
      <c r="S408" s="92"/>
      <c r="T408" s="92"/>
      <c r="U408" s="92"/>
      <c r="V408" s="92"/>
      <c r="W408" s="92"/>
      <c r="X408" s="92"/>
      <c r="Y408" s="92"/>
      <c r="Z408" s="92"/>
    </row>
    <row r="409" spans="1:26" ht="12.75">
      <c r="A409" s="92" t="s">
        <v>6957</v>
      </c>
      <c r="B409" s="372">
        <v>2017</v>
      </c>
      <c r="C409" s="372">
        <v>29202209</v>
      </c>
      <c r="D409" s="373"/>
      <c r="E409" s="261" t="str">
        <f t="shared" si="0"/>
        <v>https://pubmed.ncbi.nlm.nih.gov/29202209</v>
      </c>
      <c r="F409" s="92" t="s">
        <v>511</v>
      </c>
      <c r="G409" s="374" t="s">
        <v>8429</v>
      </c>
      <c r="H409" s="21"/>
      <c r="I409" s="21"/>
      <c r="J409" s="21"/>
      <c r="K409" s="92"/>
      <c r="L409" s="92"/>
      <c r="M409" s="92"/>
      <c r="N409" s="92"/>
      <c r="O409" s="92"/>
      <c r="P409" s="92"/>
      <c r="Q409" s="92"/>
      <c r="R409" s="92"/>
      <c r="S409" s="92"/>
      <c r="T409" s="92"/>
      <c r="U409" s="92"/>
      <c r="V409" s="92"/>
      <c r="W409" s="92"/>
      <c r="X409" s="92"/>
      <c r="Y409" s="92"/>
      <c r="Z409" s="92"/>
    </row>
    <row r="410" spans="1:26" ht="12.75">
      <c r="A410" s="92" t="s">
        <v>6959</v>
      </c>
      <c r="B410" s="372">
        <v>2020</v>
      </c>
      <c r="C410" s="372">
        <v>32459919</v>
      </c>
      <c r="D410" s="373" t="s">
        <v>6960</v>
      </c>
      <c r="E410" s="261" t="str">
        <f t="shared" si="0"/>
        <v>https://pubmed.ncbi.nlm.nih.gov/32459919</v>
      </c>
      <c r="F410" s="92" t="s">
        <v>511</v>
      </c>
      <c r="G410" s="374" t="s">
        <v>4744</v>
      </c>
      <c r="H410" s="21"/>
      <c r="I410" s="92"/>
      <c r="J410" s="92"/>
      <c r="K410" s="92"/>
      <c r="L410" s="92"/>
      <c r="M410" s="92"/>
      <c r="N410" s="92"/>
      <c r="O410" s="92"/>
      <c r="P410" s="92"/>
      <c r="Q410" s="92"/>
      <c r="R410" s="92"/>
      <c r="S410" s="92"/>
      <c r="T410" s="92"/>
      <c r="U410" s="92"/>
      <c r="V410" s="92"/>
      <c r="W410" s="92"/>
      <c r="X410" s="92"/>
      <c r="Y410" s="92"/>
      <c r="Z410" s="92"/>
    </row>
    <row r="411" spans="1:26" ht="12.75">
      <c r="A411" s="92" t="s">
        <v>6961</v>
      </c>
      <c r="B411" s="372">
        <v>2014</v>
      </c>
      <c r="C411" s="372">
        <v>25104969</v>
      </c>
      <c r="D411" s="375" t="s">
        <v>6962</v>
      </c>
      <c r="E411" s="261" t="str">
        <f t="shared" si="0"/>
        <v>https://pubmed.ncbi.nlm.nih.gov/25104969</v>
      </c>
      <c r="F411" s="92" t="s">
        <v>511</v>
      </c>
      <c r="G411" s="374" t="s">
        <v>8430</v>
      </c>
      <c r="H411" s="21"/>
      <c r="I411" s="92"/>
      <c r="J411" s="92"/>
      <c r="K411" s="92"/>
      <c r="L411" s="92"/>
      <c r="M411" s="92"/>
      <c r="N411" s="92"/>
      <c r="O411" s="92"/>
      <c r="P411" s="92"/>
      <c r="Q411" s="92"/>
      <c r="R411" s="92"/>
      <c r="S411" s="92"/>
      <c r="T411" s="92"/>
      <c r="U411" s="92"/>
      <c r="V411" s="92"/>
      <c r="W411" s="92"/>
      <c r="X411" s="92"/>
      <c r="Y411" s="92"/>
      <c r="Z411" s="92"/>
    </row>
    <row r="412" spans="1:26" ht="12.75">
      <c r="A412" s="92" t="s">
        <v>6964</v>
      </c>
      <c r="B412" s="372">
        <v>2015</v>
      </c>
      <c r="C412" s="372">
        <v>25555390</v>
      </c>
      <c r="D412" s="373" t="s">
        <v>6965</v>
      </c>
      <c r="E412" s="261" t="str">
        <f t="shared" si="0"/>
        <v>https://pubmed.ncbi.nlm.nih.gov/25555390</v>
      </c>
      <c r="F412" s="92" t="s">
        <v>511</v>
      </c>
      <c r="G412" s="374" t="s">
        <v>5157</v>
      </c>
      <c r="H412" s="21"/>
      <c r="I412" s="21"/>
      <c r="J412" s="92"/>
      <c r="K412" s="92"/>
      <c r="L412" s="92"/>
      <c r="M412" s="92"/>
      <c r="N412" s="92"/>
      <c r="O412" s="92"/>
      <c r="P412" s="92"/>
      <c r="Q412" s="92"/>
      <c r="R412" s="92"/>
      <c r="S412" s="92"/>
      <c r="T412" s="92"/>
      <c r="U412" s="92"/>
      <c r="V412" s="92"/>
      <c r="W412" s="92"/>
      <c r="X412" s="92"/>
      <c r="Y412" s="92"/>
      <c r="Z412" s="92"/>
    </row>
    <row r="413" spans="1:26" ht="12.75">
      <c r="A413" s="92" t="s">
        <v>6966</v>
      </c>
      <c r="B413" s="372">
        <v>2009</v>
      </c>
      <c r="C413" s="372">
        <v>19370624</v>
      </c>
      <c r="D413" s="373"/>
      <c r="E413" s="261" t="str">
        <f t="shared" si="0"/>
        <v>https://pubmed.ncbi.nlm.nih.gov/19370624</v>
      </c>
      <c r="F413" s="92" t="s">
        <v>511</v>
      </c>
      <c r="G413" s="92" t="s">
        <v>5273</v>
      </c>
      <c r="H413" s="92"/>
      <c r="I413" s="92"/>
      <c r="J413" s="92"/>
      <c r="K413" s="92"/>
      <c r="L413" s="92"/>
      <c r="M413" s="92"/>
      <c r="N413" s="92"/>
      <c r="O413" s="92"/>
      <c r="P413" s="92"/>
      <c r="Q413" s="92"/>
      <c r="R413" s="92"/>
      <c r="S413" s="92"/>
      <c r="T413" s="92"/>
      <c r="U413" s="92"/>
      <c r="V413" s="92"/>
      <c r="W413" s="92"/>
      <c r="X413" s="92"/>
      <c r="Y413" s="92"/>
      <c r="Z413" s="92"/>
    </row>
    <row r="414" spans="1:26" ht="12.75">
      <c r="A414" s="92" t="s">
        <v>6967</v>
      </c>
      <c r="B414" s="372">
        <v>2019</v>
      </c>
      <c r="C414" s="372">
        <v>30624763</v>
      </c>
      <c r="D414" s="373" t="s">
        <v>6968</v>
      </c>
      <c r="E414" s="261" t="str">
        <f t="shared" si="0"/>
        <v>https://pubmed.ncbi.nlm.nih.gov/30624763</v>
      </c>
      <c r="F414" s="92" t="s">
        <v>511</v>
      </c>
      <c r="G414" s="92" t="s">
        <v>8412</v>
      </c>
      <c r="H414" s="92"/>
      <c r="I414" s="92"/>
      <c r="J414" s="92"/>
      <c r="K414" s="92"/>
      <c r="L414" s="92"/>
      <c r="M414" s="92"/>
      <c r="N414" s="92"/>
      <c r="O414" s="92"/>
      <c r="P414" s="92"/>
      <c r="Q414" s="92"/>
      <c r="R414" s="92"/>
      <c r="S414" s="92"/>
      <c r="T414" s="92"/>
      <c r="U414" s="92"/>
      <c r="V414" s="92"/>
      <c r="W414" s="92"/>
      <c r="X414" s="92"/>
      <c r="Y414" s="92"/>
      <c r="Z414" s="92"/>
    </row>
    <row r="415" spans="1:26" ht="12.75">
      <c r="A415" s="92" t="s">
        <v>6969</v>
      </c>
      <c r="B415" s="372">
        <v>2007</v>
      </c>
      <c r="C415" s="372">
        <v>17630815</v>
      </c>
      <c r="D415" s="373"/>
      <c r="E415" s="261" t="str">
        <f t="shared" si="0"/>
        <v>https://pubmed.ncbi.nlm.nih.gov/17630815</v>
      </c>
      <c r="F415" s="92" t="s">
        <v>511</v>
      </c>
      <c r="G415" s="92" t="s">
        <v>4592</v>
      </c>
      <c r="H415" s="92"/>
      <c r="I415" s="92"/>
      <c r="J415" s="92"/>
      <c r="K415" s="92"/>
      <c r="L415" s="92"/>
      <c r="M415" s="92"/>
      <c r="N415" s="92"/>
      <c r="O415" s="92"/>
      <c r="P415" s="92"/>
      <c r="Q415" s="92"/>
      <c r="R415" s="92"/>
      <c r="S415" s="92"/>
      <c r="T415" s="92"/>
      <c r="U415" s="92"/>
      <c r="V415" s="92"/>
      <c r="W415" s="92"/>
      <c r="X415" s="92"/>
      <c r="Y415" s="92"/>
      <c r="Z415" s="92"/>
    </row>
    <row r="416" spans="1:26" ht="12.75">
      <c r="A416" s="92" t="s">
        <v>6970</v>
      </c>
      <c r="B416" s="372">
        <v>2001</v>
      </c>
      <c r="C416" s="372">
        <v>11275039</v>
      </c>
      <c r="D416" s="373"/>
      <c r="E416" s="261" t="str">
        <f t="shared" si="0"/>
        <v>https://pubmed.ncbi.nlm.nih.gov/11275039</v>
      </c>
      <c r="F416" s="92" t="s">
        <v>511</v>
      </c>
      <c r="G416" s="374" t="s">
        <v>4744</v>
      </c>
      <c r="H416" s="21"/>
      <c r="I416" s="92"/>
      <c r="J416" s="92"/>
      <c r="K416" s="92"/>
      <c r="L416" s="92"/>
      <c r="M416" s="92"/>
      <c r="N416" s="92"/>
      <c r="O416" s="92"/>
      <c r="P416" s="92"/>
      <c r="Q416" s="92"/>
      <c r="R416" s="92"/>
      <c r="S416" s="92"/>
      <c r="T416" s="92"/>
      <c r="U416" s="92"/>
      <c r="V416" s="92"/>
      <c r="W416" s="92"/>
      <c r="X416" s="92"/>
      <c r="Y416" s="92"/>
      <c r="Z416" s="92"/>
    </row>
    <row r="417" spans="1:26" ht="12.75">
      <c r="A417" s="92" t="s">
        <v>6971</v>
      </c>
      <c r="B417" s="372">
        <v>2019</v>
      </c>
      <c r="C417" s="372">
        <v>31577341</v>
      </c>
      <c r="D417" s="92" t="s">
        <v>6972</v>
      </c>
      <c r="E417" s="261" t="str">
        <f t="shared" si="0"/>
        <v>https://pubmed.ncbi.nlm.nih.gov/31577341</v>
      </c>
      <c r="F417" s="92" t="s">
        <v>511</v>
      </c>
      <c r="G417" s="374" t="s">
        <v>4867</v>
      </c>
      <c r="H417" s="21"/>
      <c r="I417" s="92"/>
      <c r="J417" s="92"/>
      <c r="K417" s="92"/>
      <c r="L417" s="92"/>
      <c r="M417" s="92"/>
      <c r="N417" s="92"/>
      <c r="O417" s="92"/>
      <c r="P417" s="92"/>
      <c r="Q417" s="92"/>
      <c r="R417" s="92"/>
      <c r="S417" s="92"/>
      <c r="T417" s="92"/>
      <c r="U417" s="92"/>
      <c r="V417" s="92"/>
      <c r="W417" s="92"/>
      <c r="X417" s="92"/>
      <c r="Y417" s="92"/>
      <c r="Z417" s="92"/>
    </row>
    <row r="418" spans="1:26" ht="12.75">
      <c r="A418" s="92" t="s">
        <v>6973</v>
      </c>
      <c r="B418" s="372">
        <v>2008</v>
      </c>
      <c r="C418" s="372">
        <v>18501566</v>
      </c>
      <c r="D418" s="92"/>
      <c r="E418" s="261" t="str">
        <f t="shared" si="0"/>
        <v>https://pubmed.ncbi.nlm.nih.gov/18501566</v>
      </c>
      <c r="F418" s="92" t="s">
        <v>511</v>
      </c>
      <c r="G418" s="92" t="s">
        <v>4592</v>
      </c>
      <c r="H418" s="92"/>
      <c r="I418" s="92"/>
      <c r="J418" s="92"/>
      <c r="K418" s="92"/>
      <c r="L418" s="92"/>
      <c r="M418" s="92"/>
      <c r="N418" s="92"/>
      <c r="O418" s="92"/>
      <c r="P418" s="92"/>
      <c r="Q418" s="92"/>
      <c r="R418" s="92"/>
      <c r="S418" s="92"/>
      <c r="T418" s="92"/>
      <c r="U418" s="92"/>
      <c r="V418" s="92"/>
      <c r="W418" s="92"/>
      <c r="X418" s="92"/>
      <c r="Y418" s="92"/>
      <c r="Z418" s="92"/>
    </row>
    <row r="419" spans="1:26" ht="12.75">
      <c r="A419" s="92" t="s">
        <v>6974</v>
      </c>
      <c r="B419" s="372">
        <v>2021</v>
      </c>
      <c r="C419" s="372">
        <v>33612449</v>
      </c>
      <c r="D419" s="92"/>
      <c r="E419" s="261" t="str">
        <f t="shared" si="0"/>
        <v>https://pubmed.ncbi.nlm.nih.gov/33612449</v>
      </c>
      <c r="F419" s="92" t="s">
        <v>511</v>
      </c>
      <c r="G419" s="374" t="s">
        <v>6975</v>
      </c>
      <c r="H419" s="21"/>
      <c r="I419" s="92"/>
      <c r="J419" s="92"/>
      <c r="K419" s="92"/>
      <c r="L419" s="92"/>
      <c r="M419" s="92"/>
      <c r="N419" s="92"/>
      <c r="O419" s="92"/>
      <c r="P419" s="92"/>
      <c r="Q419" s="92"/>
      <c r="R419" s="92"/>
      <c r="S419" s="92"/>
      <c r="T419" s="92"/>
      <c r="U419" s="92"/>
      <c r="V419" s="92"/>
      <c r="W419" s="92"/>
      <c r="X419" s="92"/>
      <c r="Y419" s="92"/>
      <c r="Z419" s="92"/>
    </row>
    <row r="420" spans="1:26" ht="12.75">
      <c r="A420" s="92" t="s">
        <v>6976</v>
      </c>
      <c r="B420" s="372">
        <v>2008</v>
      </c>
      <c r="C420" s="372">
        <v>18771056</v>
      </c>
      <c r="D420" s="92"/>
      <c r="E420" s="261" t="str">
        <f t="shared" si="0"/>
        <v>https://pubmed.ncbi.nlm.nih.gov/18771056</v>
      </c>
      <c r="F420" s="92" t="s">
        <v>511</v>
      </c>
      <c r="G420" s="374" t="s">
        <v>5157</v>
      </c>
      <c r="H420" s="21"/>
      <c r="I420" s="21"/>
      <c r="J420" s="92"/>
      <c r="K420" s="92"/>
      <c r="L420" s="92"/>
      <c r="M420" s="92"/>
      <c r="N420" s="92"/>
      <c r="O420" s="92"/>
      <c r="P420" s="92"/>
      <c r="Q420" s="92"/>
      <c r="R420" s="92"/>
      <c r="S420" s="92"/>
      <c r="T420" s="92"/>
      <c r="U420" s="92"/>
      <c r="V420" s="92"/>
      <c r="W420" s="92"/>
      <c r="X420" s="92"/>
      <c r="Y420" s="92"/>
      <c r="Z420" s="92"/>
    </row>
    <row r="421" spans="1:26" ht="12.75">
      <c r="A421" s="92" t="s">
        <v>6977</v>
      </c>
      <c r="B421" s="372">
        <v>2017</v>
      </c>
      <c r="C421" s="372">
        <v>29040433</v>
      </c>
      <c r="D421" s="92"/>
      <c r="E421" s="261" t="str">
        <f t="shared" si="0"/>
        <v>https://pubmed.ncbi.nlm.nih.gov/29040433</v>
      </c>
      <c r="F421" s="92" t="s">
        <v>511</v>
      </c>
      <c r="G421" s="374" t="s">
        <v>6412</v>
      </c>
      <c r="H421" s="21"/>
      <c r="I421" s="92"/>
      <c r="J421" s="92"/>
      <c r="K421" s="92"/>
      <c r="L421" s="92"/>
      <c r="M421" s="92"/>
      <c r="N421" s="92"/>
      <c r="O421" s="92"/>
      <c r="P421" s="92"/>
      <c r="Q421" s="92"/>
      <c r="R421" s="92"/>
      <c r="S421" s="92"/>
      <c r="T421" s="92"/>
      <c r="U421" s="92"/>
      <c r="V421" s="92"/>
      <c r="W421" s="92"/>
      <c r="X421" s="92"/>
      <c r="Y421" s="92"/>
      <c r="Z421" s="92"/>
    </row>
    <row r="422" spans="1:26" ht="12.75">
      <c r="A422" s="92" t="s">
        <v>6978</v>
      </c>
      <c r="B422" s="372">
        <v>2001</v>
      </c>
      <c r="C422" s="372">
        <v>11878792</v>
      </c>
      <c r="D422" s="92" t="s">
        <v>6979</v>
      </c>
      <c r="E422" s="261" t="str">
        <f t="shared" si="0"/>
        <v>https://pubmed.ncbi.nlm.nih.gov/11878792</v>
      </c>
      <c r="F422" s="92" t="s">
        <v>511</v>
      </c>
      <c r="G422" s="92" t="s">
        <v>4592</v>
      </c>
      <c r="H422" s="92"/>
      <c r="I422" s="92"/>
      <c r="J422" s="92"/>
      <c r="K422" s="92"/>
      <c r="L422" s="92"/>
      <c r="M422" s="92"/>
      <c r="N422" s="92"/>
      <c r="O422" s="92"/>
      <c r="P422" s="92"/>
      <c r="Q422" s="92"/>
      <c r="R422" s="92"/>
      <c r="S422" s="92"/>
      <c r="T422" s="92"/>
      <c r="U422" s="92"/>
      <c r="V422" s="92"/>
      <c r="W422" s="92"/>
      <c r="X422" s="92"/>
      <c r="Y422" s="92"/>
      <c r="Z422" s="92"/>
    </row>
    <row r="423" spans="1:26" ht="12.75">
      <c r="A423" s="92" t="s">
        <v>6980</v>
      </c>
      <c r="B423" s="372">
        <v>2017</v>
      </c>
      <c r="C423" s="372">
        <v>28920492</v>
      </c>
      <c r="D423" s="92"/>
      <c r="E423" s="261" t="str">
        <f t="shared" si="0"/>
        <v>https://pubmed.ncbi.nlm.nih.gov/28920492</v>
      </c>
      <c r="F423" s="92" t="s">
        <v>511</v>
      </c>
      <c r="G423" s="92" t="s">
        <v>4592</v>
      </c>
      <c r="H423" s="92"/>
      <c r="I423" s="92"/>
      <c r="J423" s="92"/>
      <c r="K423" s="92"/>
      <c r="L423" s="92"/>
      <c r="M423" s="92"/>
      <c r="N423" s="92"/>
      <c r="O423" s="92"/>
      <c r="P423" s="92"/>
      <c r="Q423" s="92"/>
      <c r="R423" s="92"/>
      <c r="S423" s="92"/>
      <c r="T423" s="92"/>
      <c r="U423" s="92"/>
      <c r="V423" s="92"/>
      <c r="W423" s="92"/>
      <c r="X423" s="92"/>
      <c r="Y423" s="92"/>
      <c r="Z423" s="92"/>
    </row>
    <row r="424" spans="1:26" ht="12.75">
      <c r="A424" s="92" t="s">
        <v>5155</v>
      </c>
      <c r="B424" s="372">
        <v>2006</v>
      </c>
      <c r="C424" s="372">
        <v>17054280</v>
      </c>
      <c r="D424" s="92" t="s">
        <v>6981</v>
      </c>
      <c r="E424" s="261" t="str">
        <f t="shared" si="0"/>
        <v>https://pubmed.ncbi.nlm.nih.gov/17054280</v>
      </c>
      <c r="F424" s="92" t="s">
        <v>511</v>
      </c>
      <c r="G424" s="92" t="s">
        <v>4592</v>
      </c>
      <c r="H424" s="92"/>
      <c r="I424" s="92"/>
      <c r="J424" s="92"/>
      <c r="K424" s="92"/>
      <c r="L424" s="92"/>
      <c r="M424" s="92"/>
      <c r="N424" s="92"/>
      <c r="O424" s="92"/>
      <c r="P424" s="92"/>
      <c r="Q424" s="92"/>
      <c r="R424" s="92"/>
      <c r="S424" s="92"/>
      <c r="T424" s="92"/>
      <c r="U424" s="92"/>
      <c r="V424" s="92"/>
      <c r="W424" s="92"/>
      <c r="X424" s="92"/>
      <c r="Y424" s="92"/>
      <c r="Z424" s="92"/>
    </row>
    <row r="425" spans="1:26" ht="12.75">
      <c r="A425" s="92" t="s">
        <v>5155</v>
      </c>
      <c r="B425" s="372">
        <v>2006</v>
      </c>
      <c r="C425" s="372">
        <v>16625647</v>
      </c>
      <c r="D425" s="92" t="s">
        <v>6982</v>
      </c>
      <c r="E425" s="261" t="str">
        <f t="shared" si="0"/>
        <v>https://pubmed.ncbi.nlm.nih.gov/16625647</v>
      </c>
      <c r="F425" s="92" t="s">
        <v>511</v>
      </c>
      <c r="G425" s="92" t="s">
        <v>5273</v>
      </c>
      <c r="H425" s="92"/>
      <c r="I425" s="92"/>
      <c r="J425" s="92"/>
      <c r="K425" s="92"/>
      <c r="L425" s="92"/>
      <c r="M425" s="92"/>
      <c r="N425" s="92"/>
      <c r="O425" s="92"/>
      <c r="P425" s="92"/>
      <c r="Q425" s="92"/>
      <c r="R425" s="92"/>
      <c r="S425" s="92"/>
      <c r="T425" s="92"/>
      <c r="U425" s="92"/>
      <c r="V425" s="92"/>
      <c r="W425" s="92"/>
      <c r="X425" s="92"/>
      <c r="Y425" s="92"/>
      <c r="Z425" s="92"/>
    </row>
    <row r="426" spans="1:26" ht="12.75">
      <c r="A426" s="92" t="s">
        <v>6983</v>
      </c>
      <c r="B426" s="372">
        <v>2016</v>
      </c>
      <c r="C426" s="372">
        <v>27464582</v>
      </c>
      <c r="D426" s="92" t="s">
        <v>6984</v>
      </c>
      <c r="E426" s="261" t="str">
        <f t="shared" si="0"/>
        <v>https://pubmed.ncbi.nlm.nih.gov/27464582</v>
      </c>
      <c r="F426" s="92" t="s">
        <v>511</v>
      </c>
      <c r="G426" s="374" t="s">
        <v>6985</v>
      </c>
      <c r="H426" s="21"/>
      <c r="I426" s="21"/>
      <c r="J426" s="92"/>
      <c r="K426" s="92"/>
      <c r="L426" s="92"/>
      <c r="M426" s="92"/>
      <c r="N426" s="92"/>
      <c r="O426" s="92"/>
      <c r="P426" s="92"/>
      <c r="Q426" s="92"/>
      <c r="R426" s="92"/>
      <c r="S426" s="92"/>
      <c r="T426" s="92"/>
      <c r="U426" s="92"/>
      <c r="V426" s="92"/>
      <c r="W426" s="92"/>
      <c r="X426" s="92"/>
      <c r="Y426" s="92"/>
      <c r="Z426" s="92"/>
    </row>
    <row r="427" spans="1:26" ht="12.75">
      <c r="A427" s="92" t="s">
        <v>6986</v>
      </c>
      <c r="B427" s="372">
        <v>2007</v>
      </c>
      <c r="C427" s="372">
        <v>17803871</v>
      </c>
      <c r="D427" s="92"/>
      <c r="E427" s="261" t="str">
        <f t="shared" si="0"/>
        <v>https://pubmed.ncbi.nlm.nih.gov/17803871</v>
      </c>
      <c r="F427" s="92" t="s">
        <v>511</v>
      </c>
      <c r="G427" s="92" t="s">
        <v>4592</v>
      </c>
      <c r="H427" s="92"/>
      <c r="I427" s="92"/>
      <c r="J427" s="92"/>
      <c r="K427" s="92"/>
      <c r="L427" s="92"/>
      <c r="M427" s="92"/>
      <c r="N427" s="92"/>
      <c r="O427" s="92"/>
      <c r="P427" s="92"/>
      <c r="Q427" s="92"/>
      <c r="R427" s="92"/>
      <c r="S427" s="92"/>
      <c r="T427" s="92"/>
      <c r="U427" s="92"/>
      <c r="V427" s="92"/>
      <c r="W427" s="92"/>
      <c r="X427" s="92"/>
      <c r="Y427" s="92"/>
      <c r="Z427" s="92"/>
    </row>
    <row r="428" spans="1:26" ht="12.75">
      <c r="A428" s="92" t="s">
        <v>6987</v>
      </c>
      <c r="B428" s="372">
        <v>2001</v>
      </c>
      <c r="C428" s="372">
        <v>11134441</v>
      </c>
      <c r="D428" s="92"/>
      <c r="E428" s="261" t="str">
        <f t="shared" si="0"/>
        <v>https://pubmed.ncbi.nlm.nih.gov/11134441</v>
      </c>
      <c r="F428" s="92" t="s">
        <v>511</v>
      </c>
      <c r="G428" s="374" t="s">
        <v>4744</v>
      </c>
      <c r="H428" s="21"/>
      <c r="I428" s="92"/>
      <c r="J428" s="92"/>
      <c r="K428" s="92"/>
      <c r="L428" s="92"/>
      <c r="M428" s="92"/>
      <c r="N428" s="92"/>
      <c r="O428" s="92"/>
      <c r="P428" s="92"/>
      <c r="Q428" s="92"/>
      <c r="R428" s="92"/>
      <c r="S428" s="92"/>
      <c r="T428" s="92"/>
      <c r="U428" s="92"/>
      <c r="V428" s="92"/>
      <c r="W428" s="92"/>
      <c r="X428" s="92"/>
      <c r="Y428" s="92"/>
      <c r="Z428" s="92"/>
    </row>
    <row r="429" spans="1:26" ht="12.75">
      <c r="A429" s="92" t="s">
        <v>6988</v>
      </c>
      <c r="B429" s="372">
        <v>2019</v>
      </c>
      <c r="C429" s="372">
        <v>31329402</v>
      </c>
      <c r="D429" s="92"/>
      <c r="E429" s="261" t="str">
        <f t="shared" si="0"/>
        <v>https://pubmed.ncbi.nlm.nih.gov/31329402</v>
      </c>
      <c r="F429" s="92" t="s">
        <v>511</v>
      </c>
      <c r="G429" s="374" t="s">
        <v>5157</v>
      </c>
      <c r="H429" s="21"/>
      <c r="I429" s="21"/>
      <c r="J429" s="92"/>
      <c r="K429" s="92"/>
      <c r="L429" s="92"/>
      <c r="M429" s="92"/>
      <c r="N429" s="92"/>
      <c r="O429" s="92"/>
      <c r="P429" s="92"/>
      <c r="Q429" s="92"/>
      <c r="R429" s="92"/>
      <c r="S429" s="92"/>
      <c r="T429" s="92"/>
      <c r="U429" s="92"/>
      <c r="V429" s="92"/>
      <c r="W429" s="92"/>
      <c r="X429" s="92"/>
      <c r="Y429" s="92"/>
      <c r="Z429" s="92"/>
    </row>
    <row r="430" spans="1:26" ht="12.75">
      <c r="A430" s="92" t="s">
        <v>6989</v>
      </c>
      <c r="B430" s="372">
        <v>2014</v>
      </c>
      <c r="C430" s="372">
        <v>24602844</v>
      </c>
      <c r="D430" s="92" t="s">
        <v>6990</v>
      </c>
      <c r="E430" s="261" t="str">
        <f t="shared" si="0"/>
        <v>https://pubmed.ncbi.nlm.nih.gov/24602844</v>
      </c>
      <c r="F430" s="92" t="s">
        <v>511</v>
      </c>
      <c r="G430" s="374" t="s">
        <v>4867</v>
      </c>
      <c r="H430" s="21"/>
      <c r="I430" s="92"/>
      <c r="J430" s="92"/>
      <c r="K430" s="92"/>
      <c r="L430" s="92"/>
      <c r="M430" s="92"/>
      <c r="N430" s="92"/>
      <c r="O430" s="92"/>
      <c r="P430" s="92"/>
      <c r="Q430" s="92"/>
      <c r="R430" s="92"/>
      <c r="S430" s="92"/>
      <c r="T430" s="92"/>
      <c r="U430" s="92"/>
      <c r="V430" s="92"/>
      <c r="W430" s="92"/>
      <c r="X430" s="92"/>
      <c r="Y430" s="92"/>
      <c r="Z430" s="92"/>
    </row>
    <row r="431" spans="1:26" ht="12.75">
      <c r="A431" s="92" t="s">
        <v>6991</v>
      </c>
      <c r="B431" s="372">
        <v>1993</v>
      </c>
      <c r="C431" s="372">
        <v>8413475</v>
      </c>
      <c r="D431" s="92"/>
      <c r="E431" s="261" t="str">
        <f t="shared" si="0"/>
        <v>https://pubmed.ncbi.nlm.nih.gov/8413475</v>
      </c>
      <c r="F431" s="92" t="s">
        <v>511</v>
      </c>
      <c r="G431" s="374" t="s">
        <v>4744</v>
      </c>
      <c r="H431" s="21"/>
      <c r="I431" s="92"/>
      <c r="J431" s="92"/>
      <c r="K431" s="92"/>
      <c r="L431" s="92"/>
      <c r="M431" s="92"/>
      <c r="N431" s="92"/>
      <c r="O431" s="92"/>
      <c r="P431" s="92"/>
      <c r="Q431" s="92"/>
      <c r="R431" s="92"/>
      <c r="S431" s="92"/>
      <c r="T431" s="92"/>
      <c r="U431" s="92"/>
      <c r="V431" s="92"/>
      <c r="W431" s="92"/>
      <c r="X431" s="92"/>
      <c r="Y431" s="92"/>
      <c r="Z431" s="92"/>
    </row>
    <row r="432" spans="1:26" ht="12.75">
      <c r="A432" s="92" t="s">
        <v>6992</v>
      </c>
      <c r="B432" s="372">
        <v>2013</v>
      </c>
      <c r="C432" s="372">
        <v>23350812</v>
      </c>
      <c r="D432" s="92"/>
      <c r="E432" s="261" t="str">
        <f t="shared" si="0"/>
        <v>https://pubmed.ncbi.nlm.nih.gov/23350812</v>
      </c>
      <c r="F432" s="92" t="s">
        <v>511</v>
      </c>
      <c r="G432" s="374" t="s">
        <v>4867</v>
      </c>
      <c r="H432" s="21"/>
      <c r="I432" s="92"/>
      <c r="J432" s="92"/>
      <c r="K432" s="92"/>
      <c r="L432" s="92"/>
      <c r="M432" s="92"/>
      <c r="N432" s="92"/>
      <c r="O432" s="92"/>
      <c r="P432" s="92"/>
      <c r="Q432" s="92"/>
      <c r="R432" s="92"/>
      <c r="S432" s="92"/>
      <c r="T432" s="92"/>
      <c r="U432" s="92"/>
      <c r="V432" s="92"/>
      <c r="W432" s="92"/>
      <c r="X432" s="92"/>
      <c r="Y432" s="92"/>
      <c r="Z432" s="92"/>
    </row>
    <row r="433" spans="1:26" ht="12.75">
      <c r="A433" s="92" t="s">
        <v>6993</v>
      </c>
      <c r="B433" s="372">
        <v>2020</v>
      </c>
      <c r="C433" s="372">
        <v>31574543</v>
      </c>
      <c r="D433" s="92"/>
      <c r="E433" s="261" t="str">
        <f t="shared" si="0"/>
        <v>https://pubmed.ncbi.nlm.nih.gov/31574543</v>
      </c>
      <c r="F433" s="92" t="s">
        <v>511</v>
      </c>
      <c r="G433" s="92" t="s">
        <v>4592</v>
      </c>
      <c r="H433" s="92"/>
      <c r="I433" s="92"/>
      <c r="J433" s="92"/>
      <c r="K433" s="92"/>
      <c r="L433" s="92"/>
      <c r="M433" s="92"/>
      <c r="N433" s="92"/>
      <c r="O433" s="92"/>
      <c r="P433" s="92"/>
      <c r="Q433" s="92"/>
      <c r="R433" s="92"/>
      <c r="S433" s="92"/>
      <c r="T433" s="92"/>
      <c r="U433" s="92"/>
      <c r="V433" s="92"/>
      <c r="W433" s="92"/>
      <c r="X433" s="92"/>
      <c r="Y433" s="92"/>
      <c r="Z433" s="92"/>
    </row>
    <row r="434" spans="1:26" ht="12.75">
      <c r="A434" s="92" t="s">
        <v>6994</v>
      </c>
      <c r="B434" s="372">
        <v>2020</v>
      </c>
      <c r="C434" s="372">
        <v>32224496</v>
      </c>
      <c r="D434" s="92" t="s">
        <v>6995</v>
      </c>
      <c r="E434" s="261" t="str">
        <f t="shared" si="0"/>
        <v>https://pubmed.ncbi.nlm.nih.gov/32224496</v>
      </c>
      <c r="F434" s="92" t="s">
        <v>511</v>
      </c>
      <c r="G434" s="92" t="s">
        <v>4592</v>
      </c>
      <c r="H434" s="92"/>
      <c r="I434" s="92"/>
      <c r="J434" s="92"/>
      <c r="K434" s="92"/>
      <c r="L434" s="92"/>
      <c r="M434" s="92"/>
      <c r="N434" s="92"/>
      <c r="O434" s="92"/>
      <c r="P434" s="92"/>
      <c r="Q434" s="92"/>
      <c r="R434" s="92"/>
      <c r="S434" s="92"/>
      <c r="T434" s="92"/>
      <c r="U434" s="92"/>
      <c r="V434" s="92"/>
      <c r="W434" s="92"/>
      <c r="X434" s="92"/>
      <c r="Y434" s="92"/>
      <c r="Z434" s="92"/>
    </row>
    <row r="435" spans="1:26" ht="12.75">
      <c r="A435" s="92" t="s">
        <v>6996</v>
      </c>
      <c r="B435" s="372">
        <v>2019</v>
      </c>
      <c r="C435" s="372">
        <v>31653334</v>
      </c>
      <c r="D435" s="92"/>
      <c r="E435" s="261" t="str">
        <f t="shared" si="0"/>
        <v>https://pubmed.ncbi.nlm.nih.gov/31653334</v>
      </c>
      <c r="F435" s="92" t="s">
        <v>511</v>
      </c>
      <c r="G435" s="92" t="s">
        <v>4587</v>
      </c>
      <c r="H435" s="92"/>
      <c r="I435" s="92"/>
      <c r="J435" s="92"/>
      <c r="K435" s="92"/>
      <c r="L435" s="92"/>
      <c r="M435" s="92"/>
      <c r="N435" s="92"/>
      <c r="O435" s="92"/>
      <c r="P435" s="92"/>
      <c r="Q435" s="92"/>
      <c r="R435" s="92"/>
      <c r="S435" s="92"/>
      <c r="T435" s="92"/>
      <c r="U435" s="92"/>
      <c r="V435" s="92"/>
      <c r="W435" s="92"/>
      <c r="X435" s="92"/>
      <c r="Y435" s="92"/>
      <c r="Z435" s="92"/>
    </row>
    <row r="436" spans="1:26" ht="12.75">
      <c r="A436" s="92" t="s">
        <v>6997</v>
      </c>
      <c r="B436" s="372">
        <v>2013</v>
      </c>
      <c r="C436" s="372">
        <v>24359122</v>
      </c>
      <c r="D436" s="92" t="s">
        <v>6998</v>
      </c>
      <c r="E436" s="261" t="str">
        <f t="shared" si="0"/>
        <v>https://pubmed.ncbi.nlm.nih.gov/24359122</v>
      </c>
      <c r="F436" s="92" t="s">
        <v>511</v>
      </c>
      <c r="G436" s="374" t="s">
        <v>5157</v>
      </c>
      <c r="H436" s="21"/>
      <c r="I436" s="21"/>
      <c r="J436" s="92"/>
      <c r="K436" s="92"/>
      <c r="L436" s="92"/>
      <c r="M436" s="92"/>
      <c r="N436" s="92"/>
      <c r="O436" s="92"/>
      <c r="P436" s="92"/>
      <c r="Q436" s="92"/>
      <c r="R436" s="92"/>
      <c r="S436" s="92"/>
      <c r="T436" s="92"/>
      <c r="U436" s="92"/>
      <c r="V436" s="92"/>
      <c r="W436" s="92"/>
      <c r="X436" s="92"/>
      <c r="Y436" s="92"/>
      <c r="Z436" s="92"/>
    </row>
    <row r="437" spans="1:26" ht="12.75">
      <c r="A437" s="92" t="s">
        <v>6999</v>
      </c>
      <c r="B437" s="372">
        <v>2018</v>
      </c>
      <c r="C437" s="372">
        <v>29421012</v>
      </c>
      <c r="D437" s="92"/>
      <c r="E437" s="261" t="str">
        <f t="shared" si="0"/>
        <v>https://pubmed.ncbi.nlm.nih.gov/29421012</v>
      </c>
      <c r="F437" s="92" t="s">
        <v>511</v>
      </c>
      <c r="G437" s="374" t="s">
        <v>6919</v>
      </c>
      <c r="H437" s="21"/>
      <c r="I437" s="92"/>
      <c r="J437" s="92"/>
      <c r="K437" s="92"/>
      <c r="L437" s="92"/>
      <c r="M437" s="92"/>
      <c r="N437" s="92"/>
      <c r="O437" s="92"/>
      <c r="P437" s="92"/>
      <c r="Q437" s="92"/>
      <c r="R437" s="92"/>
      <c r="S437" s="92"/>
      <c r="T437" s="92"/>
      <c r="U437" s="92"/>
      <c r="V437" s="92"/>
      <c r="W437" s="92"/>
      <c r="X437" s="92"/>
      <c r="Y437" s="92"/>
      <c r="Z437" s="92"/>
    </row>
    <row r="438" spans="1:26" ht="12.75">
      <c r="A438" s="92" t="s">
        <v>7000</v>
      </c>
      <c r="B438" s="372">
        <v>2014</v>
      </c>
      <c r="C438" s="372">
        <v>25007364</v>
      </c>
      <c r="D438" s="92"/>
      <c r="E438" s="261" t="str">
        <f t="shared" si="0"/>
        <v>https://pubmed.ncbi.nlm.nih.gov/25007364</v>
      </c>
      <c r="F438" s="92" t="s">
        <v>511</v>
      </c>
      <c r="G438" s="92" t="s">
        <v>8412</v>
      </c>
      <c r="H438" s="92"/>
      <c r="I438" s="92"/>
      <c r="J438" s="92"/>
      <c r="K438" s="92"/>
      <c r="L438" s="92"/>
      <c r="M438" s="92"/>
      <c r="N438" s="92"/>
      <c r="O438" s="92"/>
      <c r="P438" s="92"/>
      <c r="Q438" s="92"/>
      <c r="R438" s="92"/>
      <c r="S438" s="92"/>
      <c r="T438" s="92"/>
      <c r="U438" s="92"/>
      <c r="V438" s="92"/>
      <c r="W438" s="92"/>
      <c r="X438" s="92"/>
      <c r="Y438" s="92"/>
      <c r="Z438" s="92"/>
    </row>
    <row r="439" spans="1:26" ht="12.75">
      <c r="A439" s="92" t="s">
        <v>7001</v>
      </c>
      <c r="B439" s="372">
        <v>2006</v>
      </c>
      <c r="C439" s="372">
        <v>17042674</v>
      </c>
      <c r="D439" s="92"/>
      <c r="E439" s="261" t="str">
        <f t="shared" si="0"/>
        <v>https://pubmed.ncbi.nlm.nih.gov/17042674</v>
      </c>
      <c r="F439" s="92" t="s">
        <v>511</v>
      </c>
      <c r="G439" s="374" t="s">
        <v>7002</v>
      </c>
      <c r="H439" s="21"/>
      <c r="I439" s="92"/>
      <c r="J439" s="92"/>
      <c r="K439" s="92"/>
      <c r="L439" s="92"/>
      <c r="M439" s="92"/>
      <c r="N439" s="92"/>
      <c r="O439" s="92"/>
      <c r="P439" s="92"/>
      <c r="Q439" s="92"/>
      <c r="R439" s="92"/>
      <c r="S439" s="92"/>
      <c r="T439" s="92"/>
      <c r="U439" s="92"/>
      <c r="V439" s="92"/>
      <c r="W439" s="92"/>
      <c r="X439" s="92"/>
      <c r="Y439" s="92"/>
      <c r="Z439" s="92"/>
    </row>
    <row r="440" spans="1:26" ht="12.75">
      <c r="A440" s="92" t="s">
        <v>7003</v>
      </c>
      <c r="B440" s="372">
        <v>2020</v>
      </c>
      <c r="C440" s="372">
        <v>32194150</v>
      </c>
      <c r="D440" s="92"/>
      <c r="E440" s="261" t="str">
        <f t="shared" si="0"/>
        <v>https://pubmed.ncbi.nlm.nih.gov/32194150</v>
      </c>
      <c r="F440" s="92" t="s">
        <v>511</v>
      </c>
      <c r="G440" s="92" t="s">
        <v>4592</v>
      </c>
      <c r="H440" s="92"/>
      <c r="I440" s="92"/>
      <c r="J440" s="92"/>
      <c r="K440" s="92"/>
      <c r="L440" s="92"/>
      <c r="M440" s="92"/>
      <c r="N440" s="92"/>
      <c r="O440" s="92"/>
      <c r="P440" s="92"/>
      <c r="Q440" s="92"/>
      <c r="R440" s="92"/>
      <c r="S440" s="92"/>
      <c r="T440" s="92"/>
      <c r="U440" s="92"/>
      <c r="V440" s="92"/>
      <c r="W440" s="92"/>
      <c r="X440" s="92"/>
      <c r="Y440" s="92"/>
      <c r="Z440" s="92"/>
    </row>
    <row r="441" spans="1:26" ht="12.75">
      <c r="A441" s="92" t="s">
        <v>7004</v>
      </c>
      <c r="B441" s="372">
        <v>2013</v>
      </c>
      <c r="C441" s="372">
        <v>23418281</v>
      </c>
      <c r="D441" s="92" t="s">
        <v>7005</v>
      </c>
      <c r="E441" s="261" t="str">
        <f t="shared" si="0"/>
        <v>https://pubmed.ncbi.nlm.nih.gov/23418281</v>
      </c>
      <c r="F441" s="92" t="s">
        <v>511</v>
      </c>
      <c r="G441" s="92" t="s">
        <v>5273</v>
      </c>
      <c r="H441" s="92"/>
      <c r="I441" s="92"/>
      <c r="J441" s="92"/>
      <c r="K441" s="92"/>
      <c r="L441" s="92"/>
      <c r="M441" s="92"/>
      <c r="N441" s="92"/>
      <c r="O441" s="92"/>
      <c r="P441" s="92"/>
      <c r="Q441" s="92"/>
      <c r="R441" s="92"/>
      <c r="S441" s="92"/>
      <c r="T441" s="92"/>
      <c r="U441" s="92"/>
      <c r="V441" s="92"/>
      <c r="W441" s="92"/>
      <c r="X441" s="92"/>
      <c r="Y441" s="92"/>
      <c r="Z441" s="92"/>
    </row>
    <row r="442" spans="1:26" ht="12.75">
      <c r="A442" s="92" t="s">
        <v>7006</v>
      </c>
      <c r="B442" s="372">
        <v>2014</v>
      </c>
      <c r="C442" s="372">
        <v>24393593</v>
      </c>
      <c r="D442" s="92"/>
      <c r="E442" s="261" t="str">
        <f t="shared" si="0"/>
        <v>https://pubmed.ncbi.nlm.nih.gov/24393593</v>
      </c>
      <c r="F442" s="92" t="s">
        <v>511</v>
      </c>
      <c r="G442" s="374" t="s">
        <v>4867</v>
      </c>
      <c r="H442" s="21"/>
      <c r="I442" s="92"/>
      <c r="J442" s="92"/>
      <c r="K442" s="92"/>
      <c r="L442" s="92"/>
      <c r="M442" s="92"/>
      <c r="N442" s="92"/>
      <c r="O442" s="92"/>
      <c r="P442" s="92"/>
      <c r="Q442" s="92"/>
      <c r="R442" s="92"/>
      <c r="S442" s="92"/>
      <c r="T442" s="92"/>
      <c r="U442" s="92"/>
      <c r="V442" s="92"/>
      <c r="W442" s="92"/>
      <c r="X442" s="92"/>
      <c r="Y442" s="92"/>
      <c r="Z442" s="92"/>
    </row>
    <row r="443" spans="1:26" ht="12.75">
      <c r="A443" s="92" t="s">
        <v>7007</v>
      </c>
      <c r="B443" s="372">
        <v>2010</v>
      </c>
      <c r="C443" s="372">
        <v>20200300</v>
      </c>
      <c r="D443" s="92" t="s">
        <v>7008</v>
      </c>
      <c r="E443" s="261" t="str">
        <f t="shared" si="0"/>
        <v>https://pubmed.ncbi.nlm.nih.gov/20200300</v>
      </c>
      <c r="F443" s="92" t="s">
        <v>511</v>
      </c>
      <c r="G443" s="374" t="s">
        <v>4744</v>
      </c>
      <c r="H443" s="21"/>
      <c r="I443" s="92"/>
      <c r="J443" s="92"/>
      <c r="K443" s="92"/>
      <c r="L443" s="92"/>
      <c r="M443" s="92"/>
      <c r="N443" s="92"/>
      <c r="O443" s="92"/>
      <c r="P443" s="92"/>
      <c r="Q443" s="92"/>
      <c r="R443" s="92"/>
      <c r="S443" s="92"/>
      <c r="T443" s="92"/>
      <c r="U443" s="92"/>
      <c r="V443" s="92"/>
      <c r="W443" s="92"/>
      <c r="X443" s="92"/>
      <c r="Y443" s="92"/>
      <c r="Z443" s="92"/>
    </row>
    <row r="444" spans="1:26" ht="12.75">
      <c r="A444" s="92" t="s">
        <v>7009</v>
      </c>
      <c r="B444" s="372">
        <v>2016</v>
      </c>
      <c r="C444" s="372">
        <v>26826498</v>
      </c>
      <c r="D444" s="92" t="s">
        <v>7010</v>
      </c>
      <c r="E444" s="261" t="str">
        <f t="shared" si="0"/>
        <v>https://pubmed.ncbi.nlm.nih.gov/26826498</v>
      </c>
      <c r="F444" s="92" t="s">
        <v>511</v>
      </c>
      <c r="G444" s="92" t="s">
        <v>4592</v>
      </c>
      <c r="H444" s="92"/>
      <c r="I444" s="92"/>
      <c r="J444" s="92"/>
      <c r="K444" s="92"/>
      <c r="L444" s="92"/>
      <c r="M444" s="92"/>
      <c r="N444" s="92"/>
      <c r="O444" s="92"/>
      <c r="P444" s="92"/>
      <c r="Q444" s="92"/>
      <c r="R444" s="92"/>
      <c r="S444" s="92"/>
      <c r="T444" s="92"/>
      <c r="U444" s="92"/>
      <c r="V444" s="92"/>
      <c r="W444" s="92"/>
      <c r="X444" s="92"/>
      <c r="Y444" s="92"/>
      <c r="Z444" s="92"/>
    </row>
    <row r="445" spans="1:26" ht="12.75">
      <c r="A445" s="92" t="s">
        <v>7011</v>
      </c>
      <c r="B445" s="372">
        <v>2017</v>
      </c>
      <c r="C445" s="372">
        <v>27841822</v>
      </c>
      <c r="D445" s="92"/>
      <c r="E445" s="261" t="str">
        <f t="shared" si="0"/>
        <v>https://pubmed.ncbi.nlm.nih.gov/27841822</v>
      </c>
      <c r="F445" s="92" t="s">
        <v>511</v>
      </c>
      <c r="G445" s="374" t="s">
        <v>5157</v>
      </c>
      <c r="H445" s="21"/>
      <c r="I445" s="21"/>
      <c r="J445" s="92"/>
      <c r="K445" s="92"/>
      <c r="L445" s="92"/>
      <c r="M445" s="92"/>
      <c r="N445" s="92"/>
      <c r="O445" s="92"/>
      <c r="P445" s="92"/>
      <c r="Q445" s="92"/>
      <c r="R445" s="92"/>
      <c r="S445" s="92"/>
      <c r="T445" s="92"/>
      <c r="U445" s="92"/>
      <c r="V445" s="92"/>
      <c r="W445" s="92"/>
      <c r="X445" s="92"/>
      <c r="Y445" s="92"/>
      <c r="Z445" s="92"/>
    </row>
    <row r="446" spans="1:26" ht="12.75">
      <c r="A446" s="92" t="s">
        <v>7012</v>
      </c>
      <c r="B446" s="372">
        <v>2013</v>
      </c>
      <c r="C446" s="372">
        <v>23884503</v>
      </c>
      <c r="D446" s="92"/>
      <c r="E446" s="261" t="str">
        <f t="shared" si="0"/>
        <v>https://pubmed.ncbi.nlm.nih.gov/23884503</v>
      </c>
      <c r="F446" s="92" t="s">
        <v>511</v>
      </c>
      <c r="G446" s="374" t="s">
        <v>4744</v>
      </c>
      <c r="H446" s="21"/>
      <c r="I446" s="92"/>
      <c r="J446" s="92"/>
      <c r="K446" s="92"/>
      <c r="L446" s="92"/>
      <c r="M446" s="92"/>
      <c r="N446" s="92"/>
      <c r="O446" s="92"/>
      <c r="P446" s="92"/>
      <c r="Q446" s="92"/>
      <c r="R446" s="92"/>
      <c r="S446" s="92"/>
      <c r="T446" s="92"/>
      <c r="U446" s="92"/>
      <c r="V446" s="92"/>
      <c r="W446" s="92"/>
      <c r="X446" s="92"/>
      <c r="Y446" s="92"/>
      <c r="Z446" s="92"/>
    </row>
    <row r="447" spans="1:26" ht="12.75">
      <c r="A447" s="92" t="s">
        <v>7013</v>
      </c>
      <c r="B447" s="372">
        <v>2010</v>
      </c>
      <c r="C447" s="372">
        <v>20441397</v>
      </c>
      <c r="D447" s="92"/>
      <c r="E447" s="261" t="str">
        <f t="shared" si="0"/>
        <v>https://pubmed.ncbi.nlm.nih.gov/20441397</v>
      </c>
      <c r="F447" s="92" t="s">
        <v>511</v>
      </c>
      <c r="G447" s="92" t="s">
        <v>4592</v>
      </c>
      <c r="H447" s="92"/>
      <c r="I447" s="92"/>
      <c r="J447" s="92"/>
      <c r="K447" s="92"/>
      <c r="L447" s="92"/>
      <c r="M447" s="92"/>
      <c r="N447" s="92"/>
      <c r="O447" s="92"/>
      <c r="P447" s="92"/>
      <c r="Q447" s="92"/>
      <c r="R447" s="92"/>
      <c r="S447" s="92"/>
      <c r="T447" s="92"/>
      <c r="U447" s="92"/>
      <c r="V447" s="92"/>
      <c r="W447" s="92"/>
      <c r="X447" s="92"/>
      <c r="Y447" s="92"/>
      <c r="Z447" s="92"/>
    </row>
    <row r="448" spans="1:26" ht="12.75">
      <c r="A448" s="92" t="s">
        <v>7014</v>
      </c>
      <c r="B448" s="372">
        <v>2005</v>
      </c>
      <c r="C448" s="372">
        <v>15947280</v>
      </c>
      <c r="D448" s="92" t="s">
        <v>7015</v>
      </c>
      <c r="E448" s="261" t="str">
        <f t="shared" si="0"/>
        <v>https://pubmed.ncbi.nlm.nih.gov/15947280</v>
      </c>
      <c r="F448" s="92" t="s">
        <v>511</v>
      </c>
      <c r="G448" s="374" t="s">
        <v>4867</v>
      </c>
      <c r="H448" s="21"/>
      <c r="I448" s="92"/>
      <c r="J448" s="92"/>
      <c r="K448" s="92"/>
      <c r="L448" s="92"/>
      <c r="M448" s="92"/>
      <c r="N448" s="92"/>
      <c r="O448" s="92"/>
      <c r="P448" s="92"/>
      <c r="Q448" s="92"/>
      <c r="R448" s="92"/>
      <c r="S448" s="92"/>
      <c r="T448" s="92"/>
      <c r="U448" s="92"/>
      <c r="V448" s="92"/>
      <c r="W448" s="92"/>
      <c r="X448" s="92"/>
      <c r="Y448" s="92"/>
      <c r="Z448" s="92"/>
    </row>
    <row r="449" spans="1:26" ht="12.75">
      <c r="A449" s="92" t="s">
        <v>7016</v>
      </c>
      <c r="B449" s="372">
        <v>2020</v>
      </c>
      <c r="C449" s="372">
        <v>32785649</v>
      </c>
      <c r="D449" s="92" t="s">
        <v>7017</v>
      </c>
      <c r="E449" s="261" t="str">
        <f t="shared" si="0"/>
        <v>https://pubmed.ncbi.nlm.nih.gov/32785649</v>
      </c>
      <c r="F449" s="92" t="s">
        <v>511</v>
      </c>
      <c r="G449" s="92" t="s">
        <v>4592</v>
      </c>
      <c r="H449" s="92"/>
      <c r="I449" s="92"/>
      <c r="J449" s="92"/>
      <c r="K449" s="92"/>
      <c r="L449" s="92"/>
      <c r="M449" s="92"/>
      <c r="N449" s="92"/>
      <c r="O449" s="92"/>
      <c r="P449" s="92"/>
      <c r="Q449" s="92"/>
      <c r="R449" s="92"/>
      <c r="S449" s="92"/>
      <c r="T449" s="92"/>
      <c r="U449" s="92"/>
      <c r="V449" s="92"/>
      <c r="W449" s="92"/>
      <c r="X449" s="92"/>
      <c r="Y449" s="92"/>
      <c r="Z449" s="92"/>
    </row>
    <row r="450" spans="1:26" ht="12.75">
      <c r="A450" s="92" t="s">
        <v>7018</v>
      </c>
      <c r="B450" s="372">
        <v>2012</v>
      </c>
      <c r="C450" s="372">
        <v>22595272</v>
      </c>
      <c r="D450" s="92" t="s">
        <v>7019</v>
      </c>
      <c r="E450" s="261" t="str">
        <f t="shared" si="0"/>
        <v>https://pubmed.ncbi.nlm.nih.gov/22595272</v>
      </c>
      <c r="F450" s="92" t="s">
        <v>511</v>
      </c>
      <c r="G450" s="374" t="s">
        <v>4744</v>
      </c>
      <c r="H450" s="21"/>
      <c r="I450" s="92"/>
      <c r="J450" s="92"/>
      <c r="K450" s="92"/>
      <c r="L450" s="92"/>
      <c r="M450" s="92"/>
      <c r="N450" s="92"/>
      <c r="O450" s="92"/>
      <c r="P450" s="92"/>
      <c r="Q450" s="92"/>
      <c r="R450" s="92"/>
      <c r="S450" s="92"/>
      <c r="T450" s="92"/>
      <c r="U450" s="92"/>
      <c r="V450" s="92"/>
      <c r="W450" s="92"/>
      <c r="X450" s="92"/>
      <c r="Y450" s="92"/>
      <c r="Z450" s="92"/>
    </row>
    <row r="451" spans="1:26" ht="12.75">
      <c r="A451" s="92" t="s">
        <v>7020</v>
      </c>
      <c r="B451" s="372">
        <v>2020</v>
      </c>
      <c r="C451" s="372">
        <v>33087107</v>
      </c>
      <c r="D451" s="92" t="s">
        <v>7021</v>
      </c>
      <c r="E451" s="261" t="str">
        <f t="shared" si="0"/>
        <v>https://pubmed.ncbi.nlm.nih.gov/33087107</v>
      </c>
      <c r="F451" s="92" t="s">
        <v>511</v>
      </c>
      <c r="G451" s="374" t="s">
        <v>7022</v>
      </c>
      <c r="H451" s="21"/>
      <c r="I451" s="92"/>
      <c r="J451" s="92"/>
      <c r="K451" s="92"/>
      <c r="L451" s="92"/>
      <c r="M451" s="92"/>
      <c r="N451" s="92"/>
      <c r="O451" s="92"/>
      <c r="P451" s="92"/>
      <c r="Q451" s="92"/>
      <c r="R451" s="92"/>
      <c r="S451" s="92"/>
      <c r="T451" s="92"/>
      <c r="U451" s="92"/>
      <c r="V451" s="92"/>
      <c r="W451" s="92"/>
      <c r="X451" s="92"/>
      <c r="Y451" s="92"/>
      <c r="Z451" s="92"/>
    </row>
    <row r="452" spans="1:26" ht="12.75">
      <c r="A452" s="92" t="s">
        <v>7023</v>
      </c>
      <c r="B452" s="372">
        <v>2017</v>
      </c>
      <c r="C452" s="372">
        <v>28394229</v>
      </c>
      <c r="D452" s="92"/>
      <c r="E452" s="261" t="str">
        <f t="shared" si="0"/>
        <v>https://pubmed.ncbi.nlm.nih.gov/28394229</v>
      </c>
      <c r="F452" s="92" t="s">
        <v>511</v>
      </c>
      <c r="G452" s="374" t="s">
        <v>7024</v>
      </c>
      <c r="H452" s="21"/>
      <c r="I452" s="92"/>
      <c r="J452" s="92"/>
      <c r="K452" s="92"/>
      <c r="L452" s="92"/>
      <c r="M452" s="92"/>
      <c r="N452" s="92"/>
      <c r="O452" s="92"/>
      <c r="P452" s="92"/>
      <c r="Q452" s="92"/>
      <c r="R452" s="92"/>
      <c r="S452" s="92"/>
      <c r="T452" s="92"/>
      <c r="U452" s="92"/>
      <c r="V452" s="92"/>
      <c r="W452" s="92"/>
      <c r="X452" s="92"/>
      <c r="Y452" s="92"/>
      <c r="Z452" s="92"/>
    </row>
    <row r="453" spans="1:26" ht="12.75">
      <c r="A453" s="92" t="s">
        <v>7023</v>
      </c>
      <c r="B453" s="372">
        <v>2009</v>
      </c>
      <c r="C453" s="372">
        <v>19852750</v>
      </c>
      <c r="D453" s="92"/>
      <c r="E453" s="261" t="str">
        <f t="shared" si="0"/>
        <v>https://pubmed.ncbi.nlm.nih.gov/19852750</v>
      </c>
      <c r="F453" s="92" t="s">
        <v>511</v>
      </c>
      <c r="G453" s="92" t="s">
        <v>4592</v>
      </c>
      <c r="H453" s="92"/>
      <c r="I453" s="92"/>
      <c r="J453" s="92"/>
      <c r="K453" s="92"/>
      <c r="L453" s="92"/>
      <c r="M453" s="92"/>
      <c r="N453" s="92"/>
      <c r="O453" s="92"/>
      <c r="P453" s="92"/>
      <c r="Q453" s="92"/>
      <c r="R453" s="92"/>
      <c r="S453" s="92"/>
      <c r="T453" s="92"/>
      <c r="U453" s="92"/>
      <c r="V453" s="92"/>
      <c r="W453" s="92"/>
      <c r="X453" s="92"/>
      <c r="Y453" s="92"/>
      <c r="Z453" s="92"/>
    </row>
    <row r="454" spans="1:26" ht="12.75">
      <c r="A454" s="92" t="s">
        <v>7025</v>
      </c>
      <c r="B454" s="372">
        <v>2008</v>
      </c>
      <c r="C454" s="372">
        <v>18262450</v>
      </c>
      <c r="D454" s="92"/>
      <c r="E454" s="261" t="str">
        <f t="shared" si="0"/>
        <v>https://pubmed.ncbi.nlm.nih.gov/18262450</v>
      </c>
      <c r="F454" s="92" t="s">
        <v>511</v>
      </c>
      <c r="G454" s="374" t="s">
        <v>4867</v>
      </c>
      <c r="H454" s="21"/>
      <c r="I454" s="92"/>
      <c r="J454" s="92"/>
      <c r="K454" s="92"/>
      <c r="L454" s="92"/>
      <c r="M454" s="92"/>
      <c r="N454" s="92"/>
      <c r="O454" s="92"/>
      <c r="P454" s="92"/>
      <c r="Q454" s="92"/>
      <c r="R454" s="92"/>
      <c r="S454" s="92"/>
      <c r="T454" s="92"/>
      <c r="U454" s="92"/>
      <c r="V454" s="92"/>
      <c r="W454" s="92"/>
      <c r="X454" s="92"/>
      <c r="Y454" s="92"/>
      <c r="Z454" s="92"/>
    </row>
    <row r="455" spans="1:26" ht="12.75">
      <c r="A455" s="92" t="s">
        <v>7026</v>
      </c>
      <c r="B455" s="372">
        <v>2018</v>
      </c>
      <c r="C455" s="372">
        <v>29301585</v>
      </c>
      <c r="D455" s="92" t="s">
        <v>7027</v>
      </c>
      <c r="E455" s="261" t="str">
        <f t="shared" si="0"/>
        <v>https://pubmed.ncbi.nlm.nih.gov/29301585</v>
      </c>
      <c r="F455" s="92" t="s">
        <v>511</v>
      </c>
      <c r="G455" s="374" t="s">
        <v>8422</v>
      </c>
      <c r="H455" s="92"/>
      <c r="I455" s="92"/>
      <c r="J455" s="92"/>
      <c r="K455" s="92"/>
      <c r="L455" s="92"/>
      <c r="M455" s="92"/>
      <c r="N455" s="92"/>
      <c r="O455" s="92"/>
      <c r="P455" s="92"/>
      <c r="Q455" s="92"/>
      <c r="R455" s="92"/>
      <c r="S455" s="92"/>
      <c r="T455" s="92"/>
      <c r="U455" s="92"/>
      <c r="V455" s="92"/>
      <c r="W455" s="92"/>
      <c r="X455" s="92"/>
      <c r="Y455" s="92"/>
      <c r="Z455" s="92"/>
    </row>
    <row r="456" spans="1:26" ht="12.75">
      <c r="A456" s="92" t="s">
        <v>7028</v>
      </c>
      <c r="B456" s="372">
        <v>2015</v>
      </c>
      <c r="C456" s="372">
        <v>25300600</v>
      </c>
      <c r="D456" s="92"/>
      <c r="E456" s="261" t="str">
        <f t="shared" si="0"/>
        <v>https://pubmed.ncbi.nlm.nih.gov/25300600</v>
      </c>
      <c r="F456" s="92" t="s">
        <v>511</v>
      </c>
      <c r="G456" s="374" t="s">
        <v>7029</v>
      </c>
      <c r="H456" s="21"/>
      <c r="I456" s="21"/>
      <c r="J456" s="92"/>
      <c r="K456" s="92"/>
      <c r="L456" s="92"/>
      <c r="M456" s="92"/>
      <c r="N456" s="92"/>
      <c r="O456" s="92"/>
      <c r="P456" s="92"/>
      <c r="Q456" s="92"/>
      <c r="R456" s="92"/>
      <c r="S456" s="92"/>
      <c r="T456" s="92"/>
      <c r="U456" s="92"/>
      <c r="V456" s="92"/>
      <c r="W456" s="92"/>
      <c r="X456" s="92"/>
      <c r="Y456" s="92"/>
      <c r="Z456" s="92"/>
    </row>
    <row r="457" spans="1:26" ht="12.75">
      <c r="A457" s="92" t="s">
        <v>7030</v>
      </c>
      <c r="B457" s="372">
        <v>2008</v>
      </c>
      <c r="C457" s="372">
        <v>18492259</v>
      </c>
      <c r="D457" s="92" t="s">
        <v>7031</v>
      </c>
      <c r="E457" s="261" t="str">
        <f t="shared" si="0"/>
        <v>https://pubmed.ncbi.nlm.nih.gov/18492259</v>
      </c>
      <c r="F457" s="92" t="s">
        <v>511</v>
      </c>
      <c r="G457" s="374" t="s">
        <v>7032</v>
      </c>
      <c r="H457" s="21"/>
      <c r="I457" s="21"/>
      <c r="J457" s="21"/>
      <c r="K457" s="92"/>
      <c r="L457" s="92"/>
      <c r="M457" s="92"/>
      <c r="N457" s="92"/>
      <c r="O457" s="92"/>
      <c r="P457" s="92"/>
      <c r="Q457" s="92"/>
      <c r="R457" s="92"/>
      <c r="S457" s="92"/>
      <c r="T457" s="92"/>
      <c r="U457" s="92"/>
      <c r="V457" s="92"/>
      <c r="W457" s="92"/>
      <c r="X457" s="92"/>
      <c r="Y457" s="92"/>
      <c r="Z457" s="92"/>
    </row>
    <row r="458" spans="1:26" ht="12.75">
      <c r="A458" s="92" t="s">
        <v>7033</v>
      </c>
      <c r="B458" s="372">
        <v>2017</v>
      </c>
      <c r="C458" s="372">
        <v>27774754</v>
      </c>
      <c r="D458" s="92" t="s">
        <v>7034</v>
      </c>
      <c r="E458" s="261" t="str">
        <f t="shared" si="0"/>
        <v>https://pubmed.ncbi.nlm.nih.gov/27774754</v>
      </c>
      <c r="F458" s="92" t="s">
        <v>511</v>
      </c>
      <c r="G458" s="374" t="s">
        <v>4744</v>
      </c>
      <c r="H458" s="21"/>
      <c r="I458" s="92"/>
      <c r="J458" s="92"/>
      <c r="K458" s="92"/>
      <c r="L458" s="92"/>
      <c r="M458" s="92"/>
      <c r="N458" s="92"/>
      <c r="O458" s="92"/>
      <c r="P458" s="92"/>
      <c r="Q458" s="92"/>
      <c r="R458" s="92"/>
      <c r="S458" s="92"/>
      <c r="T458" s="92"/>
      <c r="U458" s="92"/>
      <c r="V458" s="92"/>
      <c r="W458" s="92"/>
      <c r="X458" s="92"/>
      <c r="Y458" s="92"/>
      <c r="Z458" s="92"/>
    </row>
    <row r="459" spans="1:26" ht="12.75">
      <c r="A459" s="92" t="s">
        <v>7035</v>
      </c>
      <c r="B459" s="372">
        <v>2017</v>
      </c>
      <c r="C459" s="372">
        <v>27759621</v>
      </c>
      <c r="D459" s="92"/>
      <c r="E459" s="261" t="str">
        <f t="shared" si="0"/>
        <v>https://pubmed.ncbi.nlm.nih.gov/27759621</v>
      </c>
      <c r="F459" s="92" t="s">
        <v>511</v>
      </c>
      <c r="G459" s="92" t="s">
        <v>4592</v>
      </c>
      <c r="H459" s="92"/>
      <c r="I459" s="92"/>
      <c r="J459" s="92"/>
      <c r="K459" s="92"/>
      <c r="L459" s="92"/>
      <c r="M459" s="92"/>
      <c r="N459" s="92"/>
      <c r="O459" s="92"/>
      <c r="P459" s="92"/>
      <c r="Q459" s="92"/>
      <c r="R459" s="92"/>
      <c r="S459" s="92"/>
      <c r="T459" s="92"/>
      <c r="U459" s="92"/>
      <c r="V459" s="92"/>
      <c r="W459" s="92"/>
      <c r="X459" s="92"/>
      <c r="Y459" s="92"/>
      <c r="Z459" s="92"/>
    </row>
    <row r="460" spans="1:26" ht="12.75">
      <c r="A460" s="92" t="s">
        <v>7036</v>
      </c>
      <c r="B460" s="372">
        <v>2011</v>
      </c>
      <c r="C460" s="372">
        <v>21767064</v>
      </c>
      <c r="D460" s="92"/>
      <c r="E460" s="261" t="str">
        <f t="shared" si="0"/>
        <v>https://pubmed.ncbi.nlm.nih.gov/21767064</v>
      </c>
      <c r="F460" s="92" t="s">
        <v>511</v>
      </c>
      <c r="G460" s="374" t="s">
        <v>7037</v>
      </c>
      <c r="H460" s="21"/>
      <c r="I460" s="92"/>
      <c r="J460" s="92"/>
      <c r="K460" s="92"/>
      <c r="L460" s="92"/>
      <c r="M460" s="92"/>
      <c r="N460" s="92"/>
      <c r="O460" s="92"/>
      <c r="P460" s="92"/>
      <c r="Q460" s="92"/>
      <c r="R460" s="92"/>
      <c r="S460" s="92"/>
      <c r="T460" s="92"/>
      <c r="U460" s="92"/>
      <c r="V460" s="92"/>
      <c r="W460" s="92"/>
      <c r="X460" s="92"/>
      <c r="Y460" s="92"/>
      <c r="Z460" s="92"/>
    </row>
    <row r="461" spans="1:26" ht="12.75">
      <c r="A461" s="92" t="s">
        <v>7038</v>
      </c>
      <c r="B461" s="372">
        <v>2019</v>
      </c>
      <c r="C461" s="372">
        <v>30996040</v>
      </c>
      <c r="D461" s="92"/>
      <c r="E461" s="261" t="str">
        <f t="shared" si="0"/>
        <v>https://pubmed.ncbi.nlm.nih.gov/30996040</v>
      </c>
      <c r="F461" s="92" t="s">
        <v>511</v>
      </c>
      <c r="G461" s="92" t="s">
        <v>4592</v>
      </c>
      <c r="H461" s="92"/>
      <c r="I461" s="92"/>
      <c r="J461" s="92"/>
      <c r="K461" s="92"/>
      <c r="L461" s="92"/>
      <c r="M461" s="92"/>
      <c r="N461" s="92"/>
      <c r="O461" s="92"/>
      <c r="P461" s="92"/>
      <c r="Q461" s="92"/>
      <c r="R461" s="92"/>
      <c r="S461" s="92"/>
      <c r="T461" s="92"/>
      <c r="U461" s="92"/>
      <c r="V461" s="92"/>
      <c r="W461" s="92"/>
      <c r="X461" s="92"/>
      <c r="Y461" s="92"/>
      <c r="Z461" s="92"/>
    </row>
    <row r="462" spans="1:26" ht="12.75">
      <c r="A462" s="92" t="s">
        <v>7039</v>
      </c>
      <c r="B462" s="372">
        <v>2017</v>
      </c>
      <c r="C462" s="372">
        <v>28765140</v>
      </c>
      <c r="D462" s="92" t="s">
        <v>7040</v>
      </c>
      <c r="E462" s="261" t="str">
        <f t="shared" si="0"/>
        <v>https://pubmed.ncbi.nlm.nih.gov/28765140</v>
      </c>
      <c r="F462" s="92" t="s">
        <v>511</v>
      </c>
      <c r="G462" s="92" t="s">
        <v>4592</v>
      </c>
      <c r="H462" s="92"/>
      <c r="I462" s="92"/>
      <c r="J462" s="92"/>
      <c r="K462" s="92"/>
      <c r="L462" s="92"/>
      <c r="M462" s="92"/>
      <c r="N462" s="92"/>
      <c r="O462" s="92"/>
      <c r="P462" s="92"/>
      <c r="Q462" s="92"/>
      <c r="R462" s="92"/>
      <c r="S462" s="92"/>
      <c r="T462" s="92"/>
      <c r="U462" s="92"/>
      <c r="V462" s="92"/>
      <c r="W462" s="92"/>
      <c r="X462" s="92"/>
      <c r="Y462" s="92"/>
      <c r="Z462" s="92"/>
    </row>
    <row r="463" spans="1:26" ht="12.75">
      <c r="A463" s="92" t="s">
        <v>7041</v>
      </c>
      <c r="B463" s="372">
        <v>2019</v>
      </c>
      <c r="C463" s="372">
        <v>31272493</v>
      </c>
      <c r="D463" s="92" t="s">
        <v>7042</v>
      </c>
      <c r="E463" s="261" t="str">
        <f t="shared" si="0"/>
        <v>https://pubmed.ncbi.nlm.nih.gov/31272493</v>
      </c>
      <c r="F463" s="92" t="s">
        <v>511</v>
      </c>
      <c r="G463" s="374" t="s">
        <v>4867</v>
      </c>
      <c r="H463" s="21"/>
      <c r="I463" s="92"/>
      <c r="J463" s="92"/>
      <c r="K463" s="92"/>
      <c r="L463" s="92"/>
      <c r="M463" s="92"/>
      <c r="N463" s="92"/>
      <c r="O463" s="92"/>
      <c r="P463" s="92"/>
      <c r="Q463" s="92"/>
      <c r="R463" s="92"/>
      <c r="S463" s="92"/>
      <c r="T463" s="92"/>
      <c r="U463" s="92"/>
      <c r="V463" s="92"/>
      <c r="W463" s="92"/>
      <c r="X463" s="92"/>
      <c r="Y463" s="92"/>
      <c r="Z463" s="92"/>
    </row>
    <row r="464" spans="1:26" ht="12.75">
      <c r="A464" s="92" t="s">
        <v>7043</v>
      </c>
      <c r="B464" s="372">
        <v>2014</v>
      </c>
      <c r="C464" s="372">
        <v>25350588</v>
      </c>
      <c r="D464" s="92" t="s">
        <v>7044</v>
      </c>
      <c r="E464" s="261" t="str">
        <f t="shared" si="0"/>
        <v>https://pubmed.ncbi.nlm.nih.gov/25350588</v>
      </c>
      <c r="F464" s="92" t="s">
        <v>511</v>
      </c>
      <c r="G464" s="92" t="s">
        <v>4592</v>
      </c>
      <c r="H464" s="92"/>
      <c r="I464" s="92"/>
      <c r="J464" s="92"/>
      <c r="K464" s="92"/>
      <c r="L464" s="92"/>
      <c r="M464" s="92"/>
      <c r="N464" s="92"/>
      <c r="O464" s="92"/>
      <c r="P464" s="92"/>
      <c r="Q464" s="92"/>
      <c r="R464" s="92"/>
      <c r="S464" s="92"/>
      <c r="T464" s="92"/>
      <c r="U464" s="92"/>
      <c r="V464" s="92"/>
      <c r="W464" s="92"/>
      <c r="X464" s="92"/>
      <c r="Y464" s="92"/>
      <c r="Z464" s="92"/>
    </row>
    <row r="465" spans="1:26" ht="12.75">
      <c r="A465" s="92" t="s">
        <v>7045</v>
      </c>
      <c r="B465" s="372">
        <v>2020</v>
      </c>
      <c r="C465" s="372">
        <v>31279028</v>
      </c>
      <c r="D465" s="92"/>
      <c r="E465" s="261" t="str">
        <f t="shared" si="0"/>
        <v>https://pubmed.ncbi.nlm.nih.gov/31279028</v>
      </c>
      <c r="F465" s="92" t="s">
        <v>511</v>
      </c>
      <c r="G465" s="374" t="s">
        <v>5299</v>
      </c>
      <c r="H465" s="21"/>
      <c r="I465" s="92"/>
      <c r="J465" s="92"/>
      <c r="K465" s="92"/>
      <c r="L465" s="92"/>
      <c r="M465" s="92"/>
      <c r="N465" s="92"/>
      <c r="O465" s="92"/>
      <c r="P465" s="92"/>
      <c r="Q465" s="92"/>
      <c r="R465" s="92"/>
      <c r="S465" s="92"/>
      <c r="T465" s="92"/>
      <c r="U465" s="92"/>
      <c r="V465" s="92"/>
      <c r="W465" s="92"/>
      <c r="X465" s="92"/>
      <c r="Y465" s="92"/>
      <c r="Z465" s="92"/>
    </row>
    <row r="466" spans="1:26" ht="12.75">
      <c r="A466" s="92" t="s">
        <v>7046</v>
      </c>
      <c r="B466" s="372">
        <v>2015</v>
      </c>
      <c r="C466" s="372">
        <v>26687795</v>
      </c>
      <c r="D466" s="92" t="s">
        <v>7047</v>
      </c>
      <c r="E466" s="261" t="str">
        <f t="shared" si="0"/>
        <v>https://pubmed.ncbi.nlm.nih.gov/26687795</v>
      </c>
      <c r="F466" s="92" t="s">
        <v>511</v>
      </c>
      <c r="G466" s="374" t="s">
        <v>4744</v>
      </c>
      <c r="H466" s="21"/>
      <c r="I466" s="92"/>
      <c r="J466" s="92"/>
      <c r="K466" s="92"/>
      <c r="L466" s="92"/>
      <c r="M466" s="92"/>
      <c r="N466" s="92"/>
      <c r="O466" s="92"/>
      <c r="P466" s="92"/>
      <c r="Q466" s="92"/>
      <c r="R466" s="92"/>
      <c r="S466" s="92"/>
      <c r="T466" s="92"/>
      <c r="U466" s="92"/>
      <c r="V466" s="92"/>
      <c r="W466" s="92"/>
      <c r="X466" s="92"/>
      <c r="Y466" s="92"/>
      <c r="Z466" s="92"/>
    </row>
    <row r="467" spans="1:26" ht="12.75">
      <c r="A467" s="92" t="s">
        <v>7048</v>
      </c>
      <c r="B467" s="372">
        <v>2018</v>
      </c>
      <c r="C467" s="372">
        <v>29596045</v>
      </c>
      <c r="D467" s="92" t="s">
        <v>7049</v>
      </c>
      <c r="E467" s="261" t="str">
        <f t="shared" si="0"/>
        <v>https://pubmed.ncbi.nlm.nih.gov/29596045</v>
      </c>
      <c r="F467" s="92" t="s">
        <v>511</v>
      </c>
      <c r="G467" s="374" t="s">
        <v>4744</v>
      </c>
      <c r="H467" s="21"/>
      <c r="I467" s="92"/>
      <c r="J467" s="92"/>
      <c r="K467" s="92"/>
      <c r="L467" s="92"/>
      <c r="M467" s="92"/>
      <c r="N467" s="92"/>
      <c r="O467" s="92"/>
      <c r="P467" s="92"/>
      <c r="Q467" s="92"/>
      <c r="R467" s="92"/>
      <c r="S467" s="92"/>
      <c r="T467" s="92"/>
      <c r="U467" s="92"/>
      <c r="V467" s="92"/>
      <c r="W467" s="92"/>
      <c r="X467" s="92"/>
      <c r="Y467" s="92"/>
      <c r="Z467" s="92"/>
    </row>
    <row r="468" spans="1:26" ht="12.75">
      <c r="A468" s="92" t="s">
        <v>7050</v>
      </c>
      <c r="B468" s="372">
        <v>2008</v>
      </c>
      <c r="C468" s="372">
        <v>18826358</v>
      </c>
      <c r="D468" s="92" t="s">
        <v>7051</v>
      </c>
      <c r="E468" s="261" t="str">
        <f t="shared" si="0"/>
        <v>https://pubmed.ncbi.nlm.nih.gov/18826358</v>
      </c>
      <c r="F468" s="92" t="s">
        <v>511</v>
      </c>
      <c r="G468" s="374" t="s">
        <v>4867</v>
      </c>
      <c r="H468" s="21"/>
      <c r="I468" s="92"/>
      <c r="J468" s="92"/>
      <c r="K468" s="92"/>
      <c r="L468" s="92"/>
      <c r="M468" s="92"/>
      <c r="N468" s="92"/>
      <c r="O468" s="92"/>
      <c r="P468" s="92"/>
      <c r="Q468" s="92"/>
      <c r="R468" s="92"/>
      <c r="S468" s="92"/>
      <c r="T468" s="92"/>
      <c r="U468" s="92"/>
      <c r="V468" s="92"/>
      <c r="W468" s="92"/>
      <c r="X468" s="92"/>
      <c r="Y468" s="92"/>
      <c r="Z468" s="92"/>
    </row>
    <row r="469" spans="1:26" ht="12.75">
      <c r="A469" s="92" t="s">
        <v>7052</v>
      </c>
      <c r="B469" s="372">
        <v>2017</v>
      </c>
      <c r="C469" s="372">
        <v>28603881</v>
      </c>
      <c r="D469" s="92" t="s">
        <v>7053</v>
      </c>
      <c r="E469" s="261" t="str">
        <f t="shared" si="0"/>
        <v>https://pubmed.ncbi.nlm.nih.gov/28603881</v>
      </c>
      <c r="F469" s="92" t="s">
        <v>511</v>
      </c>
      <c r="G469" s="92" t="s">
        <v>4592</v>
      </c>
      <c r="H469" s="92"/>
      <c r="I469" s="92"/>
      <c r="J469" s="92"/>
      <c r="K469" s="92"/>
      <c r="L469" s="92"/>
      <c r="M469" s="92"/>
      <c r="N469" s="92"/>
      <c r="O469" s="92"/>
      <c r="P469" s="92"/>
      <c r="Q469" s="92"/>
      <c r="R469" s="92"/>
      <c r="S469" s="92"/>
      <c r="T469" s="92"/>
      <c r="U469" s="92"/>
      <c r="V469" s="92"/>
      <c r="W469" s="92"/>
      <c r="X469" s="92"/>
      <c r="Y469" s="92"/>
      <c r="Z469" s="92"/>
    </row>
    <row r="470" spans="1:26" ht="12.75">
      <c r="A470" s="92" t="s">
        <v>7054</v>
      </c>
      <c r="B470" s="372">
        <v>2008</v>
      </c>
      <c r="C470" s="372">
        <v>18770487</v>
      </c>
      <c r="D470" s="92"/>
      <c r="E470" s="261" t="str">
        <f t="shared" si="0"/>
        <v>https://pubmed.ncbi.nlm.nih.gov/18770487</v>
      </c>
      <c r="F470" s="92" t="s">
        <v>511</v>
      </c>
      <c r="G470" s="92" t="s">
        <v>4587</v>
      </c>
      <c r="H470" s="92"/>
      <c r="I470" s="92"/>
      <c r="J470" s="92"/>
      <c r="K470" s="92"/>
      <c r="L470" s="92"/>
      <c r="M470" s="92"/>
      <c r="N470" s="92"/>
      <c r="O470" s="92"/>
      <c r="P470" s="92"/>
      <c r="Q470" s="92"/>
      <c r="R470" s="92"/>
      <c r="S470" s="92"/>
      <c r="T470" s="92"/>
      <c r="U470" s="92"/>
      <c r="V470" s="92"/>
      <c r="W470" s="92"/>
      <c r="X470" s="92"/>
      <c r="Y470" s="92"/>
      <c r="Z470" s="92"/>
    </row>
    <row r="471" spans="1:26" ht="12.75">
      <c r="A471" s="92" t="s">
        <v>7055</v>
      </c>
      <c r="B471" s="372">
        <v>2011</v>
      </c>
      <c r="C471" s="372">
        <v>21658525</v>
      </c>
      <c r="D471" s="92"/>
      <c r="E471" s="261" t="str">
        <f t="shared" si="0"/>
        <v>https://pubmed.ncbi.nlm.nih.gov/21658525</v>
      </c>
      <c r="F471" s="92" t="s">
        <v>511</v>
      </c>
      <c r="G471" s="374" t="s">
        <v>4744</v>
      </c>
      <c r="H471" s="21"/>
      <c r="I471" s="92"/>
      <c r="J471" s="92"/>
      <c r="K471" s="92"/>
      <c r="L471" s="92"/>
      <c r="M471" s="92"/>
      <c r="N471" s="92"/>
      <c r="O471" s="92"/>
      <c r="P471" s="92"/>
      <c r="Q471" s="92"/>
      <c r="R471" s="92"/>
      <c r="S471" s="92"/>
      <c r="T471" s="92"/>
      <c r="U471" s="92"/>
      <c r="V471" s="92"/>
      <c r="W471" s="92"/>
      <c r="X471" s="92"/>
      <c r="Y471" s="92"/>
      <c r="Z471" s="92"/>
    </row>
    <row r="472" spans="1:26" ht="12.75">
      <c r="A472" s="92" t="s">
        <v>7056</v>
      </c>
      <c r="B472" s="372">
        <v>2014</v>
      </c>
      <c r="C472" s="372">
        <v>25346301</v>
      </c>
      <c r="D472" s="92"/>
      <c r="E472" s="261" t="str">
        <f t="shared" si="0"/>
        <v>https://pubmed.ncbi.nlm.nih.gov/25346301</v>
      </c>
      <c r="F472" s="92" t="s">
        <v>511</v>
      </c>
      <c r="G472" s="374" t="s">
        <v>6712</v>
      </c>
      <c r="H472" s="21"/>
      <c r="I472" s="92"/>
      <c r="J472" s="92"/>
      <c r="K472" s="92"/>
      <c r="L472" s="92"/>
      <c r="M472" s="92"/>
      <c r="N472" s="92"/>
      <c r="O472" s="92"/>
      <c r="P472" s="92"/>
      <c r="Q472" s="92"/>
      <c r="R472" s="92"/>
      <c r="S472" s="92"/>
      <c r="T472" s="92"/>
      <c r="U472" s="92"/>
      <c r="V472" s="92"/>
      <c r="W472" s="92"/>
      <c r="X472" s="92"/>
      <c r="Y472" s="92"/>
      <c r="Z472" s="92"/>
    </row>
    <row r="473" spans="1:26" ht="12.75">
      <c r="A473" s="92" t="s">
        <v>7057</v>
      </c>
      <c r="B473" s="372">
        <v>2020</v>
      </c>
      <c r="C473" s="372">
        <v>32781984</v>
      </c>
      <c r="D473" s="92" t="s">
        <v>7058</v>
      </c>
      <c r="E473" s="261" t="str">
        <f t="shared" si="0"/>
        <v>https://pubmed.ncbi.nlm.nih.gov/32781984</v>
      </c>
      <c r="F473" s="92" t="s">
        <v>511</v>
      </c>
      <c r="G473" s="374" t="s">
        <v>7059</v>
      </c>
      <c r="H473" s="21"/>
      <c r="I473" s="92"/>
      <c r="J473" s="92"/>
      <c r="K473" s="92"/>
      <c r="L473" s="92"/>
      <c r="M473" s="92"/>
      <c r="N473" s="92"/>
      <c r="O473" s="92"/>
      <c r="P473" s="92"/>
      <c r="Q473" s="92"/>
      <c r="R473" s="92"/>
      <c r="S473" s="92"/>
      <c r="T473" s="92"/>
      <c r="U473" s="92"/>
      <c r="V473" s="92"/>
      <c r="W473" s="92"/>
      <c r="X473" s="92"/>
      <c r="Y473" s="92"/>
      <c r="Z473" s="92"/>
    </row>
    <row r="474" spans="1:26" ht="12.75">
      <c r="A474" s="92" t="s">
        <v>7060</v>
      </c>
      <c r="B474" s="372">
        <v>2006</v>
      </c>
      <c r="C474" s="372">
        <v>16842449</v>
      </c>
      <c r="D474" s="92"/>
      <c r="E474" s="261" t="str">
        <f t="shared" si="0"/>
        <v>https://pubmed.ncbi.nlm.nih.gov/16842449</v>
      </c>
      <c r="F474" s="92" t="s">
        <v>511</v>
      </c>
      <c r="G474" s="92" t="s">
        <v>5273</v>
      </c>
      <c r="H474" s="92"/>
      <c r="I474" s="92"/>
      <c r="J474" s="92"/>
      <c r="K474" s="92"/>
      <c r="L474" s="92"/>
      <c r="M474" s="92"/>
      <c r="N474" s="92"/>
      <c r="O474" s="92"/>
      <c r="P474" s="92"/>
      <c r="Q474" s="92"/>
      <c r="R474" s="92"/>
      <c r="S474" s="92"/>
      <c r="T474" s="92"/>
      <c r="U474" s="92"/>
      <c r="V474" s="92"/>
      <c r="W474" s="92"/>
      <c r="X474" s="92"/>
      <c r="Y474" s="92"/>
      <c r="Z474" s="92"/>
    </row>
    <row r="475" spans="1:26" ht="12.75">
      <c r="A475" s="92" t="s">
        <v>7061</v>
      </c>
      <c r="B475" s="372">
        <v>2019</v>
      </c>
      <c r="C475" s="372">
        <v>31256137</v>
      </c>
      <c r="D475" s="92" t="s">
        <v>7062</v>
      </c>
      <c r="E475" s="261" t="str">
        <f t="shared" si="0"/>
        <v>https://pubmed.ncbi.nlm.nih.gov/31256137</v>
      </c>
      <c r="F475" s="92" t="s">
        <v>511</v>
      </c>
      <c r="G475" s="374" t="s">
        <v>5157</v>
      </c>
      <c r="H475" s="21"/>
      <c r="I475" s="21"/>
      <c r="J475" s="92"/>
      <c r="K475" s="92"/>
      <c r="L475" s="92"/>
      <c r="M475" s="92"/>
      <c r="N475" s="92"/>
      <c r="O475" s="92"/>
      <c r="P475" s="92"/>
      <c r="Q475" s="92"/>
      <c r="R475" s="92"/>
      <c r="S475" s="92"/>
      <c r="T475" s="92"/>
      <c r="U475" s="92"/>
      <c r="V475" s="92"/>
      <c r="W475" s="92"/>
      <c r="X475" s="92"/>
      <c r="Y475" s="92"/>
      <c r="Z475" s="92"/>
    </row>
    <row r="476" spans="1:26" ht="12.75">
      <c r="A476" s="92" t="s">
        <v>7063</v>
      </c>
      <c r="B476" s="372">
        <v>2017</v>
      </c>
      <c r="C476" s="372">
        <v>28187915</v>
      </c>
      <c r="D476" s="92"/>
      <c r="E476" s="261" t="str">
        <f t="shared" si="0"/>
        <v>https://pubmed.ncbi.nlm.nih.gov/28187915</v>
      </c>
      <c r="F476" s="92" t="s">
        <v>511</v>
      </c>
      <c r="G476" s="374" t="s">
        <v>4744</v>
      </c>
      <c r="H476" s="21"/>
      <c r="I476" s="92"/>
      <c r="J476" s="92"/>
      <c r="K476" s="92"/>
      <c r="L476" s="92"/>
      <c r="M476" s="92"/>
      <c r="N476" s="92"/>
      <c r="O476" s="92"/>
      <c r="P476" s="92"/>
      <c r="Q476" s="92"/>
      <c r="R476" s="92"/>
      <c r="S476" s="92"/>
      <c r="T476" s="92"/>
      <c r="U476" s="92"/>
      <c r="V476" s="92"/>
      <c r="W476" s="92"/>
      <c r="X476" s="92"/>
      <c r="Y476" s="92"/>
      <c r="Z476" s="92"/>
    </row>
    <row r="477" spans="1:26" ht="12.75">
      <c r="A477" s="92" t="s">
        <v>7064</v>
      </c>
      <c r="B477" s="372">
        <v>2014</v>
      </c>
      <c r="C477" s="372">
        <v>24152416</v>
      </c>
      <c r="D477" s="92"/>
      <c r="E477" s="261" t="str">
        <f t="shared" si="0"/>
        <v>https://pubmed.ncbi.nlm.nih.gov/24152416</v>
      </c>
      <c r="F477" s="92" t="s">
        <v>511</v>
      </c>
      <c r="G477" s="92" t="s">
        <v>4592</v>
      </c>
      <c r="H477" s="92"/>
      <c r="I477" s="92"/>
      <c r="J477" s="92"/>
      <c r="K477" s="92"/>
      <c r="L477" s="92"/>
      <c r="M477" s="92"/>
      <c r="N477" s="92"/>
      <c r="O477" s="92"/>
      <c r="P477" s="92"/>
      <c r="Q477" s="92"/>
      <c r="R477" s="92"/>
      <c r="S477" s="92"/>
      <c r="T477" s="92"/>
      <c r="U477" s="92"/>
      <c r="V477" s="92"/>
      <c r="W477" s="92"/>
      <c r="X477" s="92"/>
      <c r="Y477" s="92"/>
      <c r="Z477" s="92"/>
    </row>
    <row r="478" spans="1:26" ht="12.75">
      <c r="A478" s="92" t="s">
        <v>7065</v>
      </c>
      <c r="B478" s="372">
        <v>2019</v>
      </c>
      <c r="C478" s="372">
        <v>31074674</v>
      </c>
      <c r="D478" s="92"/>
      <c r="E478" s="261" t="str">
        <f t="shared" si="0"/>
        <v>https://pubmed.ncbi.nlm.nih.gov/31074674</v>
      </c>
      <c r="F478" s="92" t="s">
        <v>511</v>
      </c>
      <c r="G478" s="374" t="s">
        <v>4867</v>
      </c>
      <c r="H478" s="21"/>
      <c r="I478" s="92"/>
      <c r="J478" s="92"/>
      <c r="K478" s="92"/>
      <c r="L478" s="92"/>
      <c r="M478" s="92"/>
      <c r="N478" s="92"/>
      <c r="O478" s="92"/>
      <c r="P478" s="92"/>
      <c r="Q478" s="92"/>
      <c r="R478" s="92"/>
      <c r="S478" s="92"/>
      <c r="T478" s="92"/>
      <c r="U478" s="92"/>
      <c r="V478" s="92"/>
      <c r="W478" s="92"/>
      <c r="X478" s="92"/>
      <c r="Y478" s="92"/>
      <c r="Z478" s="92"/>
    </row>
    <row r="479" spans="1:26" ht="12.75">
      <c r="A479" s="92" t="s">
        <v>7066</v>
      </c>
      <c r="B479" s="372">
        <v>1999</v>
      </c>
      <c r="C479" s="372">
        <v>10394023</v>
      </c>
      <c r="D479" s="92"/>
      <c r="E479" s="261" t="str">
        <f t="shared" si="0"/>
        <v>https://pubmed.ncbi.nlm.nih.gov/10394023</v>
      </c>
      <c r="F479" s="92" t="s">
        <v>511</v>
      </c>
      <c r="G479" s="92" t="s">
        <v>4592</v>
      </c>
      <c r="H479" s="92"/>
      <c r="I479" s="92"/>
      <c r="J479" s="92"/>
      <c r="K479" s="92"/>
      <c r="L479" s="92"/>
      <c r="M479" s="92"/>
      <c r="N479" s="92"/>
      <c r="O479" s="92"/>
      <c r="P479" s="92"/>
      <c r="Q479" s="92"/>
      <c r="R479" s="92"/>
      <c r="S479" s="92"/>
      <c r="T479" s="92"/>
      <c r="U479" s="92"/>
      <c r="V479" s="92"/>
      <c r="W479" s="92"/>
      <c r="X479" s="92"/>
      <c r="Y479" s="92"/>
      <c r="Z479" s="92"/>
    </row>
    <row r="480" spans="1:26" ht="12.75">
      <c r="A480" s="92" t="s">
        <v>7067</v>
      </c>
      <c r="B480" s="372">
        <v>2020</v>
      </c>
      <c r="C480" s="372">
        <v>33283264</v>
      </c>
      <c r="D480" s="92"/>
      <c r="E480" s="261" t="str">
        <f t="shared" si="0"/>
        <v>https://pubmed.ncbi.nlm.nih.gov/33283264</v>
      </c>
      <c r="F480" s="92" t="s">
        <v>511</v>
      </c>
      <c r="G480" s="92" t="s">
        <v>8412</v>
      </c>
      <c r="H480" s="92"/>
      <c r="I480" s="92"/>
      <c r="J480" s="92"/>
      <c r="K480" s="92"/>
      <c r="L480" s="92"/>
      <c r="M480" s="92"/>
      <c r="N480" s="92"/>
      <c r="O480" s="92"/>
      <c r="P480" s="92"/>
      <c r="Q480" s="92"/>
      <c r="R480" s="92"/>
      <c r="S480" s="92"/>
      <c r="T480" s="92"/>
      <c r="U480" s="92"/>
      <c r="V480" s="92"/>
      <c r="W480" s="92"/>
      <c r="X480" s="92"/>
      <c r="Y480" s="92"/>
      <c r="Z480" s="92"/>
    </row>
    <row r="481" spans="1:26" ht="12.75">
      <c r="A481" s="92" t="s">
        <v>7068</v>
      </c>
      <c r="B481" s="372">
        <v>2019</v>
      </c>
      <c r="C481" s="372">
        <v>30638863</v>
      </c>
      <c r="D481" s="92" t="s">
        <v>7069</v>
      </c>
      <c r="E481" s="261" t="str">
        <f t="shared" si="0"/>
        <v>https://pubmed.ncbi.nlm.nih.gov/30638863</v>
      </c>
      <c r="F481" s="92" t="s">
        <v>511</v>
      </c>
      <c r="G481" s="374" t="s">
        <v>4744</v>
      </c>
      <c r="H481" s="21"/>
      <c r="I481" s="92"/>
      <c r="J481" s="92"/>
      <c r="K481" s="92"/>
      <c r="L481" s="92"/>
      <c r="M481" s="92"/>
      <c r="N481" s="92"/>
      <c r="O481" s="92"/>
      <c r="P481" s="92"/>
      <c r="Q481" s="92"/>
      <c r="R481" s="92"/>
      <c r="S481" s="92"/>
      <c r="T481" s="92"/>
      <c r="U481" s="92"/>
      <c r="V481" s="92"/>
      <c r="W481" s="92"/>
      <c r="X481" s="92"/>
      <c r="Y481" s="92"/>
      <c r="Z481" s="92"/>
    </row>
    <row r="482" spans="1:26" ht="12.75">
      <c r="A482" s="92" t="s">
        <v>391</v>
      </c>
      <c r="B482" s="372">
        <v>2016</v>
      </c>
      <c r="C482" s="372">
        <v>27448805</v>
      </c>
      <c r="D482" s="92" t="s">
        <v>7070</v>
      </c>
      <c r="E482" s="376" t="str">
        <f t="shared" si="0"/>
        <v>https://pubmed.ncbi.nlm.nih.gov/27448805</v>
      </c>
      <c r="F482" s="21"/>
      <c r="G482" s="92"/>
      <c r="H482" s="92" t="s">
        <v>511</v>
      </c>
      <c r="I482" s="92"/>
      <c r="J482" s="92"/>
      <c r="K482" s="92"/>
      <c r="L482" s="92"/>
      <c r="M482" s="92"/>
      <c r="N482" s="92"/>
      <c r="O482" s="92"/>
      <c r="P482" s="92"/>
      <c r="Q482" s="92"/>
      <c r="R482" s="92"/>
      <c r="S482" s="92"/>
      <c r="T482" s="92"/>
      <c r="U482" s="92"/>
      <c r="V482" s="92"/>
      <c r="W482" s="92"/>
      <c r="X482" s="92"/>
      <c r="Y482" s="92"/>
      <c r="Z482" s="92"/>
    </row>
    <row r="483" spans="1:26" ht="12.75">
      <c r="A483" s="92" t="s">
        <v>7071</v>
      </c>
      <c r="B483" s="372">
        <v>2001</v>
      </c>
      <c r="C483" s="372">
        <v>11268707</v>
      </c>
      <c r="D483" s="92"/>
      <c r="E483" s="261" t="str">
        <f t="shared" si="0"/>
        <v>https://pubmed.ncbi.nlm.nih.gov/11268707</v>
      </c>
      <c r="F483" s="92" t="s">
        <v>511</v>
      </c>
      <c r="G483" s="374" t="s">
        <v>4744</v>
      </c>
      <c r="H483" s="21"/>
      <c r="I483" s="92"/>
      <c r="J483" s="92"/>
      <c r="K483" s="92"/>
      <c r="L483" s="92"/>
      <c r="M483" s="92"/>
      <c r="N483" s="92"/>
      <c r="O483" s="92"/>
      <c r="P483" s="92"/>
      <c r="Q483" s="92"/>
      <c r="R483" s="92"/>
      <c r="S483" s="92"/>
      <c r="T483" s="92"/>
      <c r="U483" s="92"/>
      <c r="V483" s="92"/>
      <c r="W483" s="92"/>
      <c r="X483" s="92"/>
      <c r="Y483" s="92"/>
      <c r="Z483" s="92"/>
    </row>
    <row r="484" spans="1:26" ht="12.75">
      <c r="A484" s="92" t="s">
        <v>7072</v>
      </c>
      <c r="B484" s="372">
        <v>2014</v>
      </c>
      <c r="C484" s="372">
        <v>24756009</v>
      </c>
      <c r="D484" s="92"/>
      <c r="E484" s="261" t="str">
        <f t="shared" si="0"/>
        <v>https://pubmed.ncbi.nlm.nih.gov/24756009</v>
      </c>
      <c r="F484" s="92" t="s">
        <v>511</v>
      </c>
      <c r="G484" s="374" t="s">
        <v>5157</v>
      </c>
      <c r="H484" s="21"/>
      <c r="I484" s="21"/>
      <c r="J484" s="92"/>
      <c r="K484" s="92"/>
      <c r="L484" s="92"/>
      <c r="M484" s="92"/>
      <c r="N484" s="92"/>
      <c r="O484" s="92"/>
      <c r="P484" s="92"/>
      <c r="Q484" s="92"/>
      <c r="R484" s="92"/>
      <c r="S484" s="92"/>
      <c r="T484" s="92"/>
      <c r="U484" s="92"/>
      <c r="V484" s="92"/>
      <c r="W484" s="92"/>
      <c r="X484" s="92"/>
      <c r="Y484" s="92"/>
      <c r="Z484" s="92"/>
    </row>
    <row r="485" spans="1:26" ht="12.75">
      <c r="A485" s="92" t="s">
        <v>7073</v>
      </c>
      <c r="B485" s="372">
        <v>2009</v>
      </c>
      <c r="C485" s="372">
        <v>19114670</v>
      </c>
      <c r="D485" s="92"/>
      <c r="E485" s="261" t="str">
        <f t="shared" si="0"/>
        <v>https://pubmed.ncbi.nlm.nih.gov/19114670</v>
      </c>
      <c r="F485" s="92" t="s">
        <v>511</v>
      </c>
      <c r="G485" s="92" t="s">
        <v>4592</v>
      </c>
      <c r="H485" s="92"/>
      <c r="I485" s="92"/>
      <c r="J485" s="92"/>
      <c r="K485" s="92"/>
      <c r="L485" s="92"/>
      <c r="M485" s="92"/>
      <c r="N485" s="92"/>
      <c r="O485" s="92"/>
      <c r="P485" s="92"/>
      <c r="Q485" s="92"/>
      <c r="R485" s="92"/>
      <c r="S485" s="92"/>
      <c r="T485" s="92"/>
      <c r="U485" s="92"/>
      <c r="V485" s="92"/>
      <c r="W485" s="92"/>
      <c r="X485" s="92"/>
      <c r="Y485" s="92"/>
      <c r="Z485" s="92"/>
    </row>
    <row r="486" spans="1:26" ht="12.75">
      <c r="A486" s="92" t="s">
        <v>7074</v>
      </c>
      <c r="B486" s="372">
        <v>2012</v>
      </c>
      <c r="C486" s="372">
        <v>22230592</v>
      </c>
      <c r="D486" s="92" t="s">
        <v>7075</v>
      </c>
      <c r="E486" s="261" t="str">
        <f t="shared" si="0"/>
        <v>https://pubmed.ncbi.nlm.nih.gov/22230592</v>
      </c>
      <c r="F486" s="92" t="s">
        <v>511</v>
      </c>
      <c r="G486" s="374" t="s">
        <v>7076</v>
      </c>
      <c r="H486" s="21"/>
      <c r="I486" s="21"/>
      <c r="J486" s="92"/>
      <c r="K486" s="92"/>
      <c r="L486" s="92"/>
      <c r="M486" s="92"/>
      <c r="N486" s="92"/>
      <c r="O486" s="92"/>
      <c r="P486" s="92"/>
      <c r="Q486" s="92"/>
      <c r="R486" s="92"/>
      <c r="S486" s="92"/>
      <c r="T486" s="92"/>
      <c r="U486" s="92"/>
      <c r="V486" s="92"/>
      <c r="W486" s="92"/>
      <c r="X486" s="92"/>
      <c r="Y486" s="92"/>
      <c r="Z486" s="92"/>
    </row>
    <row r="487" spans="1:26" ht="12.75">
      <c r="A487" s="92" t="s">
        <v>7077</v>
      </c>
      <c r="B487" s="372">
        <v>2019</v>
      </c>
      <c r="C487" s="372">
        <v>30414864</v>
      </c>
      <c r="D487" s="92"/>
      <c r="E487" s="261" t="str">
        <f t="shared" si="0"/>
        <v>https://pubmed.ncbi.nlm.nih.gov/30414864</v>
      </c>
      <c r="F487" s="92" t="s">
        <v>511</v>
      </c>
      <c r="G487" s="374" t="s">
        <v>4744</v>
      </c>
      <c r="H487" s="21"/>
      <c r="I487" s="92"/>
      <c r="J487" s="92"/>
      <c r="K487" s="92"/>
      <c r="L487" s="92"/>
      <c r="M487" s="92"/>
      <c r="N487" s="92"/>
      <c r="O487" s="92"/>
      <c r="P487" s="92"/>
      <c r="Q487" s="92"/>
      <c r="R487" s="92"/>
      <c r="S487" s="92"/>
      <c r="T487" s="92"/>
      <c r="U487" s="92"/>
      <c r="V487" s="92"/>
      <c r="W487" s="92"/>
      <c r="X487" s="92"/>
      <c r="Y487" s="92"/>
      <c r="Z487" s="92"/>
    </row>
    <row r="488" spans="1:26" ht="12.75">
      <c r="A488" s="92" t="s">
        <v>7078</v>
      </c>
      <c r="B488" s="372">
        <v>2005</v>
      </c>
      <c r="C488" s="372">
        <v>15725883</v>
      </c>
      <c r="D488" s="92"/>
      <c r="E488" s="261" t="str">
        <f t="shared" si="0"/>
        <v>https://pubmed.ncbi.nlm.nih.gov/15725883</v>
      </c>
      <c r="F488" s="92" t="s">
        <v>511</v>
      </c>
      <c r="G488" s="374" t="s">
        <v>4867</v>
      </c>
      <c r="H488" s="21"/>
      <c r="I488" s="92"/>
      <c r="J488" s="92"/>
      <c r="K488" s="92"/>
      <c r="L488" s="92"/>
      <c r="M488" s="92"/>
      <c r="N488" s="92"/>
      <c r="O488" s="92"/>
      <c r="P488" s="92"/>
      <c r="Q488" s="92"/>
      <c r="R488" s="92"/>
      <c r="S488" s="92"/>
      <c r="T488" s="92"/>
      <c r="U488" s="92"/>
      <c r="V488" s="92"/>
      <c r="W488" s="92"/>
      <c r="X488" s="92"/>
      <c r="Y488" s="92"/>
      <c r="Z488" s="92"/>
    </row>
    <row r="489" spans="1:26" ht="12.75">
      <c r="A489" s="92" t="s">
        <v>408</v>
      </c>
      <c r="B489" s="372">
        <v>2021</v>
      </c>
      <c r="C489" s="372">
        <v>32645714</v>
      </c>
      <c r="D489" s="92"/>
      <c r="E489" s="376" t="str">
        <f t="shared" si="0"/>
        <v>https://pubmed.ncbi.nlm.nih.gov/32645714</v>
      </c>
      <c r="F489" s="21"/>
      <c r="G489" s="92"/>
      <c r="H489" s="92" t="s">
        <v>511</v>
      </c>
      <c r="I489" s="92"/>
      <c r="J489" s="92"/>
      <c r="K489" s="92"/>
      <c r="L489" s="92"/>
      <c r="M489" s="92"/>
      <c r="N489" s="92"/>
      <c r="O489" s="92"/>
      <c r="P489" s="92"/>
      <c r="Q489" s="92"/>
      <c r="R489" s="92"/>
      <c r="S489" s="92"/>
      <c r="T489" s="92"/>
      <c r="U489" s="92"/>
      <c r="V489" s="92"/>
      <c r="W489" s="92"/>
      <c r="X489" s="92"/>
      <c r="Y489" s="92"/>
      <c r="Z489" s="92"/>
    </row>
    <row r="490" spans="1:26" ht="12.75">
      <c r="A490" s="92" t="s">
        <v>7079</v>
      </c>
      <c r="B490" s="372">
        <v>2010</v>
      </c>
      <c r="C490" s="372">
        <v>20493274</v>
      </c>
      <c r="D490" s="92"/>
      <c r="E490" s="261" t="str">
        <f t="shared" si="0"/>
        <v>https://pubmed.ncbi.nlm.nih.gov/20493274</v>
      </c>
      <c r="F490" s="92" t="s">
        <v>511</v>
      </c>
      <c r="G490" s="374" t="s">
        <v>4346</v>
      </c>
      <c r="H490" s="92"/>
      <c r="I490" s="92"/>
      <c r="J490" s="92"/>
      <c r="K490" s="92"/>
      <c r="L490" s="92"/>
      <c r="M490" s="92"/>
      <c r="N490" s="92"/>
      <c r="O490" s="92"/>
      <c r="P490" s="92"/>
      <c r="Q490" s="92"/>
      <c r="R490" s="92"/>
      <c r="S490" s="92"/>
      <c r="T490" s="92"/>
      <c r="U490" s="92"/>
      <c r="V490" s="92"/>
      <c r="W490" s="92"/>
      <c r="X490" s="92"/>
      <c r="Y490" s="92"/>
      <c r="Z490" s="92"/>
    </row>
    <row r="491" spans="1:26" ht="12.75">
      <c r="A491" s="92" t="s">
        <v>7080</v>
      </c>
      <c r="B491" s="372">
        <v>2009</v>
      </c>
      <c r="C491" s="372">
        <v>19505217</v>
      </c>
      <c r="D491" s="92"/>
      <c r="E491" s="261" t="str">
        <f t="shared" si="0"/>
        <v>https://pubmed.ncbi.nlm.nih.gov/19505217</v>
      </c>
      <c r="F491" s="92" t="s">
        <v>511</v>
      </c>
      <c r="G491" s="92" t="s">
        <v>4592</v>
      </c>
      <c r="H491" s="92"/>
      <c r="I491" s="92"/>
      <c r="J491" s="92"/>
      <c r="K491" s="92"/>
      <c r="L491" s="92"/>
      <c r="M491" s="92"/>
      <c r="N491" s="92"/>
      <c r="O491" s="92"/>
      <c r="P491" s="92"/>
      <c r="Q491" s="92"/>
      <c r="R491" s="92"/>
      <c r="S491" s="92"/>
      <c r="T491" s="92"/>
      <c r="U491" s="92"/>
      <c r="V491" s="92"/>
      <c r="W491" s="92"/>
      <c r="X491" s="92"/>
      <c r="Y491" s="92"/>
      <c r="Z491" s="92"/>
    </row>
    <row r="492" spans="1:26" ht="12.75">
      <c r="A492" s="92" t="s">
        <v>7081</v>
      </c>
      <c r="B492" s="372">
        <v>2020</v>
      </c>
      <c r="C492" s="372">
        <v>33017195</v>
      </c>
      <c r="D492" s="92"/>
      <c r="E492" s="261" t="str">
        <f t="shared" si="0"/>
        <v>https://pubmed.ncbi.nlm.nih.gov/33017195</v>
      </c>
      <c r="F492" s="92" t="s">
        <v>511</v>
      </c>
      <c r="G492" s="374" t="s">
        <v>8431</v>
      </c>
      <c r="H492" s="21"/>
      <c r="I492" s="92"/>
      <c r="J492" s="92"/>
      <c r="K492" s="92"/>
      <c r="L492" s="92"/>
      <c r="M492" s="92"/>
      <c r="N492" s="92"/>
      <c r="O492" s="92"/>
      <c r="P492" s="92"/>
      <c r="Q492" s="92"/>
      <c r="R492" s="92"/>
      <c r="S492" s="92"/>
      <c r="T492" s="92"/>
      <c r="U492" s="92"/>
      <c r="V492" s="92"/>
      <c r="W492" s="92"/>
      <c r="X492" s="92"/>
      <c r="Y492" s="92"/>
      <c r="Z492" s="92"/>
    </row>
    <row r="493" spans="1:26" ht="12.75">
      <c r="A493" s="92" t="s">
        <v>7083</v>
      </c>
      <c r="B493" s="372">
        <v>2018</v>
      </c>
      <c r="C493" s="372">
        <v>29270698</v>
      </c>
      <c r="D493" s="92"/>
      <c r="E493" s="261" t="str">
        <f t="shared" si="0"/>
        <v>https://pubmed.ncbi.nlm.nih.gov/29270698</v>
      </c>
      <c r="F493" s="92" t="s">
        <v>511</v>
      </c>
      <c r="G493" s="92" t="s">
        <v>8412</v>
      </c>
      <c r="H493" s="92"/>
      <c r="I493" s="92"/>
      <c r="J493" s="92"/>
      <c r="K493" s="92"/>
      <c r="L493" s="92"/>
      <c r="M493" s="92"/>
      <c r="N493" s="92"/>
      <c r="O493" s="92"/>
      <c r="P493" s="92"/>
      <c r="Q493" s="92"/>
      <c r="R493" s="92"/>
      <c r="S493" s="92"/>
      <c r="T493" s="92"/>
      <c r="U493" s="92"/>
      <c r="V493" s="92"/>
      <c r="W493" s="92"/>
      <c r="X493" s="92"/>
      <c r="Y493" s="92"/>
      <c r="Z493" s="92"/>
    </row>
    <row r="494" spans="1:26" ht="12.75">
      <c r="A494" s="92" t="s">
        <v>7084</v>
      </c>
      <c r="B494" s="372">
        <v>2017</v>
      </c>
      <c r="C494" s="372">
        <v>28499509</v>
      </c>
      <c r="D494" s="92"/>
      <c r="E494" s="261" t="str">
        <f t="shared" si="0"/>
        <v>https://pubmed.ncbi.nlm.nih.gov/28499509</v>
      </c>
      <c r="F494" s="92" t="s">
        <v>511</v>
      </c>
      <c r="G494" s="374" t="s">
        <v>7085</v>
      </c>
      <c r="H494" s="21"/>
      <c r="I494" s="21"/>
      <c r="J494" s="92"/>
      <c r="K494" s="92"/>
      <c r="L494" s="92"/>
      <c r="M494" s="92"/>
      <c r="N494" s="92"/>
      <c r="O494" s="92"/>
      <c r="P494" s="92"/>
      <c r="Q494" s="92"/>
      <c r="R494" s="92"/>
      <c r="S494" s="92"/>
      <c r="T494" s="92"/>
      <c r="U494" s="92"/>
      <c r="V494" s="92"/>
      <c r="W494" s="92"/>
      <c r="X494" s="92"/>
      <c r="Y494" s="92"/>
      <c r="Z494" s="92"/>
    </row>
    <row r="495" spans="1:26" ht="12.75">
      <c r="A495" s="92" t="s">
        <v>7086</v>
      </c>
      <c r="B495" s="372">
        <v>2019</v>
      </c>
      <c r="C495" s="372">
        <v>31532516</v>
      </c>
      <c r="D495" s="92" t="s">
        <v>7087</v>
      </c>
      <c r="E495" s="261" t="str">
        <f t="shared" si="0"/>
        <v>https://pubmed.ncbi.nlm.nih.gov/31532516</v>
      </c>
      <c r="F495" s="92" t="s">
        <v>511</v>
      </c>
      <c r="G495" s="374" t="s">
        <v>7088</v>
      </c>
      <c r="H495" s="21"/>
      <c r="I495" s="21"/>
      <c r="J495" s="21"/>
      <c r="K495" s="92"/>
      <c r="L495" s="92"/>
      <c r="M495" s="92"/>
      <c r="N495" s="92"/>
      <c r="O495" s="92"/>
      <c r="P495" s="92"/>
      <c r="Q495" s="92"/>
      <c r="R495" s="92"/>
      <c r="S495" s="92"/>
      <c r="T495" s="92"/>
      <c r="U495" s="92"/>
      <c r="V495" s="92"/>
      <c r="W495" s="92"/>
      <c r="X495" s="92"/>
      <c r="Y495" s="92"/>
      <c r="Z495" s="92"/>
    </row>
    <row r="496" spans="1:26" ht="12.75">
      <c r="A496" s="92" t="s">
        <v>7089</v>
      </c>
      <c r="B496" s="372">
        <v>2019</v>
      </c>
      <c r="C496" s="372">
        <v>31291932</v>
      </c>
      <c r="D496" s="92" t="s">
        <v>7090</v>
      </c>
      <c r="E496" s="261" t="str">
        <f t="shared" si="0"/>
        <v>https://pubmed.ncbi.nlm.nih.gov/31291932</v>
      </c>
      <c r="F496" s="92" t="s">
        <v>511</v>
      </c>
      <c r="G496" s="92" t="s">
        <v>8412</v>
      </c>
      <c r="H496" s="92"/>
      <c r="I496" s="92"/>
      <c r="J496" s="92"/>
      <c r="K496" s="92"/>
      <c r="L496" s="92"/>
      <c r="M496" s="92"/>
      <c r="N496" s="92"/>
      <c r="O496" s="92"/>
      <c r="P496" s="92"/>
      <c r="Q496" s="92"/>
      <c r="R496" s="92"/>
      <c r="S496" s="92"/>
      <c r="T496" s="92"/>
      <c r="U496" s="92"/>
      <c r="V496" s="92"/>
      <c r="W496" s="92"/>
      <c r="X496" s="92"/>
      <c r="Y496" s="92"/>
      <c r="Z496" s="92"/>
    </row>
    <row r="497" spans="1:26" ht="12.75">
      <c r="A497" s="92" t="s">
        <v>7091</v>
      </c>
      <c r="B497" s="372">
        <v>2019</v>
      </c>
      <c r="C497" s="372">
        <v>30950194</v>
      </c>
      <c r="D497" s="92" t="s">
        <v>7092</v>
      </c>
      <c r="E497" s="261" t="str">
        <f t="shared" si="0"/>
        <v>https://pubmed.ncbi.nlm.nih.gov/30950194</v>
      </c>
      <c r="F497" s="92" t="s">
        <v>511</v>
      </c>
      <c r="G497" s="92" t="s">
        <v>8412</v>
      </c>
      <c r="H497" s="92"/>
      <c r="I497" s="92"/>
      <c r="J497" s="92"/>
      <c r="K497" s="92"/>
      <c r="L497" s="92"/>
      <c r="M497" s="92"/>
      <c r="N497" s="92"/>
      <c r="O497" s="92"/>
      <c r="P497" s="92"/>
      <c r="Q497" s="92"/>
      <c r="R497" s="92"/>
      <c r="S497" s="92"/>
      <c r="T497" s="92"/>
      <c r="U497" s="92"/>
      <c r="V497" s="92"/>
      <c r="W497" s="92"/>
      <c r="X497" s="92"/>
      <c r="Y497" s="92"/>
      <c r="Z497" s="92"/>
    </row>
    <row r="498" spans="1:26" ht="12.75">
      <c r="A498" s="92" t="s">
        <v>5050</v>
      </c>
      <c r="B498" s="372">
        <v>2010</v>
      </c>
      <c r="C498" s="372">
        <v>20926833</v>
      </c>
      <c r="D498" s="92"/>
      <c r="E498" s="261" t="str">
        <f t="shared" si="0"/>
        <v>https://pubmed.ncbi.nlm.nih.gov/20926833</v>
      </c>
      <c r="F498" s="92" t="s">
        <v>511</v>
      </c>
      <c r="G498" s="374" t="s">
        <v>5299</v>
      </c>
      <c r="H498" s="21"/>
      <c r="I498" s="92"/>
      <c r="J498" s="92"/>
      <c r="K498" s="92"/>
      <c r="L498" s="92"/>
      <c r="M498" s="92"/>
      <c r="N498" s="92"/>
      <c r="O498" s="92"/>
      <c r="P498" s="92"/>
      <c r="Q498" s="92"/>
      <c r="R498" s="92"/>
      <c r="S498" s="92"/>
      <c r="T498" s="92"/>
      <c r="U498" s="92"/>
      <c r="V498" s="92"/>
      <c r="W498" s="92"/>
      <c r="X498" s="92"/>
      <c r="Y498" s="92"/>
      <c r="Z498" s="92"/>
    </row>
    <row r="499" spans="1:26" ht="12.75">
      <c r="A499" s="92" t="s">
        <v>7093</v>
      </c>
      <c r="B499" s="372">
        <v>2019</v>
      </c>
      <c r="C499" s="372">
        <v>30673716</v>
      </c>
      <c r="D499" s="92" t="s">
        <v>7094</v>
      </c>
      <c r="E499" s="261" t="str">
        <f t="shared" si="0"/>
        <v>https://pubmed.ncbi.nlm.nih.gov/30673716</v>
      </c>
      <c r="F499" s="92" t="s">
        <v>511</v>
      </c>
      <c r="G499" s="92" t="s">
        <v>8412</v>
      </c>
      <c r="H499" s="92"/>
      <c r="I499" s="92"/>
      <c r="J499" s="92"/>
      <c r="K499" s="92"/>
      <c r="L499" s="92"/>
      <c r="M499" s="92"/>
      <c r="N499" s="92"/>
      <c r="O499" s="92"/>
      <c r="P499" s="92"/>
      <c r="Q499" s="92"/>
      <c r="R499" s="92"/>
      <c r="S499" s="92"/>
      <c r="T499" s="92"/>
      <c r="U499" s="92"/>
      <c r="V499" s="92"/>
      <c r="W499" s="92"/>
      <c r="X499" s="92"/>
      <c r="Y499" s="92"/>
      <c r="Z499" s="92"/>
    </row>
    <row r="500" spans="1:26" ht="12.75">
      <c r="A500" s="92" t="s">
        <v>7095</v>
      </c>
      <c r="B500" s="372">
        <v>2005</v>
      </c>
      <c r="C500" s="372">
        <v>15679715</v>
      </c>
      <c r="D500" s="92"/>
      <c r="E500" s="261" t="str">
        <f t="shared" si="0"/>
        <v>https://pubmed.ncbi.nlm.nih.gov/15679715</v>
      </c>
      <c r="F500" s="92" t="s">
        <v>511</v>
      </c>
      <c r="G500" s="374" t="s">
        <v>4744</v>
      </c>
      <c r="H500" s="21"/>
      <c r="I500" s="92"/>
      <c r="J500" s="92"/>
      <c r="K500" s="92"/>
      <c r="L500" s="92"/>
      <c r="M500" s="92"/>
      <c r="N500" s="92"/>
      <c r="O500" s="92"/>
      <c r="P500" s="92"/>
      <c r="Q500" s="92"/>
      <c r="R500" s="92"/>
      <c r="S500" s="92"/>
      <c r="T500" s="92"/>
      <c r="U500" s="92"/>
      <c r="V500" s="92"/>
      <c r="W500" s="92"/>
      <c r="X500" s="92"/>
      <c r="Y500" s="92"/>
      <c r="Z500" s="92"/>
    </row>
    <row r="501" spans="1:26" ht="12.75">
      <c r="A501" s="92" t="s">
        <v>7096</v>
      </c>
      <c r="B501" s="372">
        <v>2017</v>
      </c>
      <c r="C501" s="372">
        <v>28459617</v>
      </c>
      <c r="D501" s="92" t="s">
        <v>7097</v>
      </c>
      <c r="E501" s="261" t="str">
        <f t="shared" si="0"/>
        <v>https://pubmed.ncbi.nlm.nih.gov/28459617</v>
      </c>
      <c r="F501" s="92" t="s">
        <v>511</v>
      </c>
      <c r="G501" s="374" t="s">
        <v>4744</v>
      </c>
      <c r="H501" s="21"/>
      <c r="I501" s="92"/>
      <c r="J501" s="92"/>
      <c r="K501" s="92"/>
      <c r="L501" s="92"/>
      <c r="M501" s="92"/>
      <c r="N501" s="92"/>
      <c r="O501" s="92"/>
      <c r="P501" s="92"/>
      <c r="Q501" s="92"/>
      <c r="R501" s="92"/>
      <c r="S501" s="92"/>
      <c r="T501" s="92"/>
      <c r="U501" s="92"/>
      <c r="V501" s="92"/>
      <c r="W501" s="92"/>
      <c r="X501" s="92"/>
      <c r="Y501" s="92"/>
      <c r="Z501" s="92"/>
    </row>
    <row r="502" spans="1:26" ht="12.75">
      <c r="A502" s="92" t="s">
        <v>7098</v>
      </c>
      <c r="B502" s="372">
        <v>2013</v>
      </c>
      <c r="C502" s="372">
        <v>23374268</v>
      </c>
      <c r="D502" s="92"/>
      <c r="E502" s="261" t="str">
        <f t="shared" si="0"/>
        <v>https://pubmed.ncbi.nlm.nih.gov/23374268</v>
      </c>
      <c r="F502" s="92" t="s">
        <v>511</v>
      </c>
      <c r="G502" s="374" t="s">
        <v>5157</v>
      </c>
      <c r="H502" s="92"/>
      <c r="I502" s="92" t="s">
        <v>6460</v>
      </c>
      <c r="J502" s="92"/>
      <c r="K502" s="92"/>
      <c r="L502" s="92"/>
      <c r="M502" s="92"/>
      <c r="N502" s="92"/>
      <c r="O502" s="92"/>
      <c r="P502" s="92"/>
      <c r="Q502" s="92"/>
      <c r="R502" s="92"/>
      <c r="S502" s="92"/>
      <c r="T502" s="92"/>
      <c r="U502" s="92"/>
      <c r="V502" s="92"/>
      <c r="W502" s="92"/>
      <c r="X502" s="92"/>
      <c r="Y502" s="92"/>
      <c r="Z502" s="92"/>
    </row>
    <row r="503" spans="1:26" ht="12.75">
      <c r="A503" s="92" t="s">
        <v>7099</v>
      </c>
      <c r="B503" s="372">
        <v>2020</v>
      </c>
      <c r="C503" s="372">
        <v>32035366</v>
      </c>
      <c r="D503" s="92"/>
      <c r="E503" s="261" t="str">
        <f t="shared" si="0"/>
        <v>https://pubmed.ncbi.nlm.nih.gov/32035366</v>
      </c>
      <c r="F503" s="92" t="s">
        <v>511</v>
      </c>
      <c r="G503" s="374" t="s">
        <v>7100</v>
      </c>
      <c r="H503" s="92"/>
      <c r="I503" s="92"/>
      <c r="J503" s="92"/>
      <c r="K503" s="92"/>
      <c r="L503" s="92"/>
      <c r="M503" s="92"/>
      <c r="N503" s="92"/>
      <c r="O503" s="92"/>
      <c r="P503" s="92"/>
      <c r="Q503" s="92"/>
      <c r="R503" s="92"/>
      <c r="S503" s="92"/>
      <c r="T503" s="92"/>
      <c r="U503" s="92"/>
      <c r="V503" s="92"/>
      <c r="W503" s="92"/>
      <c r="X503" s="92"/>
      <c r="Y503" s="92"/>
      <c r="Z503" s="92"/>
    </row>
    <row r="504" spans="1:26" ht="12.75">
      <c r="A504" s="92" t="s">
        <v>7101</v>
      </c>
      <c r="B504" s="372">
        <v>2017</v>
      </c>
      <c r="C504" s="372">
        <v>28229274</v>
      </c>
      <c r="D504" s="92"/>
      <c r="E504" s="261" t="str">
        <f t="shared" si="0"/>
        <v>https://pubmed.ncbi.nlm.nih.gov/28229274</v>
      </c>
      <c r="F504" s="92" t="s">
        <v>511</v>
      </c>
      <c r="G504" s="92" t="s">
        <v>4592</v>
      </c>
      <c r="H504" s="92"/>
      <c r="I504" s="92"/>
      <c r="J504" s="92"/>
      <c r="K504" s="92"/>
      <c r="L504" s="92"/>
      <c r="M504" s="92"/>
      <c r="N504" s="92"/>
      <c r="O504" s="92"/>
      <c r="P504" s="92"/>
      <c r="Q504" s="92"/>
      <c r="R504" s="92"/>
      <c r="S504" s="92"/>
      <c r="T504" s="92"/>
      <c r="U504" s="92"/>
      <c r="V504" s="92"/>
      <c r="W504" s="92"/>
      <c r="X504" s="92"/>
      <c r="Y504" s="92"/>
      <c r="Z504" s="92"/>
    </row>
    <row r="505" spans="1:26" ht="12.75">
      <c r="A505" s="92" t="s">
        <v>7102</v>
      </c>
      <c r="B505" s="372">
        <v>2018</v>
      </c>
      <c r="C505" s="372">
        <v>30170735</v>
      </c>
      <c r="D505" s="92"/>
      <c r="E505" s="261" t="str">
        <f t="shared" si="0"/>
        <v>https://pubmed.ncbi.nlm.nih.gov/30170735</v>
      </c>
      <c r="F505" s="92" t="s">
        <v>511</v>
      </c>
      <c r="G505" s="92" t="s">
        <v>8412</v>
      </c>
      <c r="H505" s="92"/>
      <c r="I505" s="92"/>
      <c r="J505" s="92"/>
      <c r="K505" s="92"/>
      <c r="L505" s="92"/>
      <c r="M505" s="92"/>
      <c r="N505" s="92"/>
      <c r="O505" s="92"/>
      <c r="P505" s="92"/>
      <c r="Q505" s="92"/>
      <c r="R505" s="92"/>
      <c r="S505" s="92"/>
      <c r="T505" s="92"/>
      <c r="U505" s="92"/>
      <c r="V505" s="92"/>
      <c r="W505" s="92"/>
      <c r="X505" s="92"/>
      <c r="Y505" s="92"/>
      <c r="Z505" s="92"/>
    </row>
    <row r="506" spans="1:26" ht="12.75">
      <c r="A506" s="92" t="s">
        <v>7103</v>
      </c>
      <c r="B506" s="372">
        <v>2015</v>
      </c>
      <c r="C506" s="372">
        <v>26041411</v>
      </c>
      <c r="D506" s="92"/>
      <c r="E506" s="261" t="str">
        <f t="shared" si="0"/>
        <v>https://pubmed.ncbi.nlm.nih.gov/26041411</v>
      </c>
      <c r="F506" s="92" t="s">
        <v>511</v>
      </c>
      <c r="G506" s="92" t="s">
        <v>4592</v>
      </c>
      <c r="H506" s="92"/>
      <c r="I506" s="92"/>
      <c r="J506" s="92"/>
      <c r="K506" s="92"/>
      <c r="L506" s="92"/>
      <c r="M506" s="92"/>
      <c r="N506" s="92"/>
      <c r="O506" s="92"/>
      <c r="P506" s="92"/>
      <c r="Q506" s="92"/>
      <c r="R506" s="92"/>
      <c r="S506" s="92"/>
      <c r="T506" s="92"/>
      <c r="U506" s="92"/>
      <c r="V506" s="92"/>
      <c r="W506" s="92"/>
      <c r="X506" s="92"/>
      <c r="Y506" s="92"/>
      <c r="Z506" s="92"/>
    </row>
    <row r="507" spans="1:26" ht="12.75">
      <c r="A507" s="92" t="s">
        <v>7104</v>
      </c>
      <c r="B507" s="372">
        <v>2018</v>
      </c>
      <c r="C507" s="372">
        <v>30480772</v>
      </c>
      <c r="D507" s="92" t="s">
        <v>7105</v>
      </c>
      <c r="E507" s="261" t="str">
        <f t="shared" si="0"/>
        <v>https://pubmed.ncbi.nlm.nih.gov/30480772</v>
      </c>
      <c r="F507" s="92" t="s">
        <v>511</v>
      </c>
      <c r="G507" s="92" t="s">
        <v>8412</v>
      </c>
      <c r="H507" s="92"/>
      <c r="I507" s="92"/>
      <c r="J507" s="92"/>
      <c r="K507" s="92"/>
      <c r="L507" s="92"/>
      <c r="M507" s="92"/>
      <c r="N507" s="92"/>
      <c r="O507" s="92"/>
      <c r="P507" s="92"/>
      <c r="Q507" s="92"/>
      <c r="R507" s="92"/>
      <c r="S507" s="92"/>
      <c r="T507" s="92"/>
      <c r="U507" s="92"/>
      <c r="V507" s="92"/>
      <c r="W507" s="92"/>
      <c r="X507" s="92"/>
      <c r="Y507" s="92"/>
      <c r="Z507" s="92"/>
    </row>
    <row r="508" spans="1:26" ht="12.75">
      <c r="A508" s="92" t="s">
        <v>7106</v>
      </c>
      <c r="B508" s="372">
        <v>2018</v>
      </c>
      <c r="C508" s="372">
        <v>30238870</v>
      </c>
      <c r="D508" s="92" t="s">
        <v>7107</v>
      </c>
      <c r="E508" s="261" t="str">
        <f t="shared" si="0"/>
        <v>https://pubmed.ncbi.nlm.nih.gov/30238870</v>
      </c>
      <c r="F508" s="92" t="s">
        <v>511</v>
      </c>
      <c r="G508" s="374" t="s">
        <v>4744</v>
      </c>
      <c r="H508" s="21"/>
      <c r="I508" s="92"/>
      <c r="J508" s="92"/>
      <c r="K508" s="92"/>
      <c r="L508" s="92"/>
      <c r="M508" s="92"/>
      <c r="N508" s="92"/>
      <c r="O508" s="92"/>
      <c r="P508" s="92"/>
      <c r="Q508" s="92"/>
      <c r="R508" s="92"/>
      <c r="S508" s="92"/>
      <c r="T508" s="92"/>
      <c r="U508" s="92"/>
      <c r="V508" s="92"/>
      <c r="W508" s="92"/>
      <c r="X508" s="92"/>
      <c r="Y508" s="92"/>
      <c r="Z508" s="92"/>
    </row>
    <row r="509" spans="1:26" ht="12.75">
      <c r="A509" s="92" t="s">
        <v>7108</v>
      </c>
      <c r="B509" s="372">
        <v>2020</v>
      </c>
      <c r="C509" s="372">
        <v>31869863</v>
      </c>
      <c r="D509" s="92"/>
      <c r="E509" s="261" t="str">
        <f t="shared" si="0"/>
        <v>https://pubmed.ncbi.nlm.nih.gov/31869863</v>
      </c>
      <c r="F509" s="92" t="s">
        <v>511</v>
      </c>
      <c r="G509" s="92" t="s">
        <v>5273</v>
      </c>
      <c r="H509" s="92"/>
      <c r="I509" s="92"/>
      <c r="J509" s="92"/>
      <c r="K509" s="92"/>
      <c r="L509" s="92"/>
      <c r="M509" s="92"/>
      <c r="N509" s="92"/>
      <c r="O509" s="92"/>
      <c r="P509" s="92"/>
      <c r="Q509" s="92"/>
      <c r="R509" s="92"/>
      <c r="S509" s="92"/>
      <c r="T509" s="92"/>
      <c r="U509" s="92"/>
      <c r="V509" s="92"/>
      <c r="W509" s="92"/>
      <c r="X509" s="92"/>
      <c r="Y509" s="92"/>
      <c r="Z509" s="92"/>
    </row>
    <row r="510" spans="1:26" ht="12.75">
      <c r="A510" s="92" t="s">
        <v>7109</v>
      </c>
      <c r="B510" s="372">
        <v>2018</v>
      </c>
      <c r="C510" s="372">
        <v>29528485</v>
      </c>
      <c r="D510" s="92"/>
      <c r="E510" s="261" t="str">
        <f t="shared" si="0"/>
        <v>https://pubmed.ncbi.nlm.nih.gov/29528485</v>
      </c>
      <c r="F510" s="92" t="s">
        <v>511</v>
      </c>
      <c r="G510" s="374" t="s">
        <v>7110</v>
      </c>
      <c r="H510" s="21"/>
      <c r="I510" s="92"/>
      <c r="J510" s="92"/>
      <c r="K510" s="92"/>
      <c r="L510" s="92"/>
      <c r="M510" s="92"/>
      <c r="N510" s="92"/>
      <c r="O510" s="92"/>
      <c r="P510" s="92"/>
      <c r="Q510" s="92"/>
      <c r="R510" s="92"/>
      <c r="S510" s="92"/>
      <c r="T510" s="92"/>
      <c r="U510" s="92"/>
      <c r="V510" s="92"/>
      <c r="W510" s="92"/>
      <c r="X510" s="92"/>
      <c r="Y510" s="92"/>
      <c r="Z510" s="92"/>
    </row>
    <row r="511" spans="1:26" ht="12.75">
      <c r="A511" s="92" t="s">
        <v>7111</v>
      </c>
      <c r="B511" s="372">
        <v>2014</v>
      </c>
      <c r="C511" s="372">
        <v>24979556</v>
      </c>
      <c r="D511" s="92"/>
      <c r="E511" s="261" t="str">
        <f t="shared" si="0"/>
        <v>https://pubmed.ncbi.nlm.nih.gov/24979556</v>
      </c>
      <c r="F511" s="92" t="s">
        <v>511</v>
      </c>
      <c r="G511" s="374" t="s">
        <v>5157</v>
      </c>
      <c r="H511" s="21"/>
      <c r="I511" s="21"/>
      <c r="J511" s="92"/>
      <c r="K511" s="92"/>
      <c r="L511" s="92"/>
      <c r="M511" s="92"/>
      <c r="N511" s="92"/>
      <c r="O511" s="92"/>
      <c r="P511" s="92"/>
      <c r="Q511" s="92"/>
      <c r="R511" s="92"/>
      <c r="S511" s="92"/>
      <c r="T511" s="92"/>
      <c r="U511" s="92"/>
      <c r="V511" s="92"/>
      <c r="W511" s="92"/>
      <c r="X511" s="92"/>
      <c r="Y511" s="92"/>
      <c r="Z511" s="92"/>
    </row>
    <row r="512" spans="1:26" ht="12.75">
      <c r="A512" s="92" t="s">
        <v>7112</v>
      </c>
      <c r="B512" s="372">
        <v>2021</v>
      </c>
      <c r="C512" s="372">
        <v>33786063</v>
      </c>
      <c r="D512" s="92" t="s">
        <v>7113</v>
      </c>
      <c r="E512" s="261" t="str">
        <f t="shared" si="0"/>
        <v>https://pubmed.ncbi.nlm.nih.gov/33786063</v>
      </c>
      <c r="F512" s="92" t="s">
        <v>511</v>
      </c>
      <c r="G512" s="92" t="s">
        <v>4592</v>
      </c>
      <c r="H512" s="92"/>
      <c r="I512" s="92"/>
      <c r="J512" s="92"/>
      <c r="K512" s="92"/>
      <c r="L512" s="92"/>
      <c r="M512" s="92"/>
      <c r="N512" s="92"/>
      <c r="O512" s="92"/>
      <c r="P512" s="92"/>
      <c r="Q512" s="92"/>
      <c r="R512" s="92"/>
      <c r="S512" s="92"/>
      <c r="T512" s="92"/>
      <c r="U512" s="92"/>
      <c r="V512" s="92"/>
      <c r="W512" s="92"/>
      <c r="X512" s="92"/>
      <c r="Y512" s="92"/>
      <c r="Z512" s="92"/>
    </row>
    <row r="513" spans="1:26" ht="12.75">
      <c r="A513" s="92" t="s">
        <v>7114</v>
      </c>
      <c r="B513" s="372">
        <v>2009</v>
      </c>
      <c r="C513" s="372">
        <v>19629539</v>
      </c>
      <c r="D513" s="92"/>
      <c r="E513" s="261" t="str">
        <f t="shared" si="0"/>
        <v>https://pubmed.ncbi.nlm.nih.gov/19629539</v>
      </c>
      <c r="F513" s="92" t="s">
        <v>511</v>
      </c>
      <c r="G513" s="374" t="s">
        <v>5299</v>
      </c>
      <c r="H513" s="21"/>
      <c r="I513" s="92"/>
      <c r="J513" s="92"/>
      <c r="K513" s="92"/>
      <c r="L513" s="92"/>
      <c r="M513" s="92"/>
      <c r="N513" s="92"/>
      <c r="O513" s="92"/>
      <c r="P513" s="92"/>
      <c r="Q513" s="92"/>
      <c r="R513" s="92"/>
      <c r="S513" s="92"/>
      <c r="T513" s="92"/>
      <c r="U513" s="92"/>
      <c r="V513" s="92"/>
      <c r="W513" s="92"/>
      <c r="X513" s="92"/>
      <c r="Y513" s="92"/>
      <c r="Z513" s="92"/>
    </row>
    <row r="514" spans="1:26" ht="12.75">
      <c r="A514" s="92" t="s">
        <v>7115</v>
      </c>
      <c r="B514" s="372">
        <v>2013</v>
      </c>
      <c r="C514" s="372">
        <v>24328444</v>
      </c>
      <c r="D514" s="92"/>
      <c r="E514" s="261" t="str">
        <f t="shared" si="0"/>
        <v>https://pubmed.ncbi.nlm.nih.gov/24328444</v>
      </c>
      <c r="F514" s="92" t="s">
        <v>511</v>
      </c>
      <c r="G514" s="374" t="s">
        <v>4867</v>
      </c>
      <c r="H514" s="21"/>
      <c r="I514" s="92"/>
      <c r="J514" s="92"/>
      <c r="K514" s="92"/>
      <c r="L514" s="92"/>
      <c r="M514" s="92"/>
      <c r="N514" s="92"/>
      <c r="O514" s="92"/>
      <c r="P514" s="92"/>
      <c r="Q514" s="92"/>
      <c r="R514" s="92"/>
      <c r="S514" s="92"/>
      <c r="T514" s="92"/>
      <c r="U514" s="92"/>
      <c r="V514" s="92"/>
      <c r="W514" s="92"/>
      <c r="X514" s="92"/>
      <c r="Y514" s="92"/>
      <c r="Z514" s="92"/>
    </row>
    <row r="515" spans="1:26" ht="12.75">
      <c r="A515" s="92" t="s">
        <v>7116</v>
      </c>
      <c r="B515" s="372">
        <v>2021</v>
      </c>
      <c r="C515" s="372">
        <v>33432484</v>
      </c>
      <c r="D515" s="92" t="s">
        <v>7117</v>
      </c>
      <c r="E515" s="261" t="str">
        <f t="shared" si="0"/>
        <v>https://pubmed.ncbi.nlm.nih.gov/33432484</v>
      </c>
      <c r="F515" s="92" t="s">
        <v>511</v>
      </c>
      <c r="G515" s="92" t="s">
        <v>4592</v>
      </c>
      <c r="H515" s="92"/>
      <c r="I515" s="92"/>
      <c r="J515" s="92"/>
      <c r="K515" s="92"/>
      <c r="L515" s="92"/>
      <c r="M515" s="92"/>
      <c r="N515" s="92"/>
      <c r="O515" s="92"/>
      <c r="P515" s="92"/>
      <c r="Q515" s="92"/>
      <c r="R515" s="92"/>
      <c r="S515" s="92"/>
      <c r="T515" s="92"/>
      <c r="U515" s="92"/>
      <c r="V515" s="92"/>
      <c r="W515" s="92"/>
      <c r="X515" s="92"/>
      <c r="Y515" s="92"/>
      <c r="Z515" s="92"/>
    </row>
    <row r="516" spans="1:26" ht="12.75">
      <c r="A516" s="92" t="s">
        <v>7118</v>
      </c>
      <c r="B516" s="372">
        <v>2014</v>
      </c>
      <c r="C516" s="372">
        <v>25217488</v>
      </c>
      <c r="D516" s="92"/>
      <c r="E516" s="261" t="str">
        <f t="shared" si="0"/>
        <v>https://pubmed.ncbi.nlm.nih.gov/25217488</v>
      </c>
      <c r="F516" s="92" t="s">
        <v>511</v>
      </c>
      <c r="G516" s="374" t="s">
        <v>7119</v>
      </c>
      <c r="H516" s="21"/>
      <c r="I516" s="21"/>
      <c r="J516" s="92"/>
      <c r="K516" s="92"/>
      <c r="L516" s="92"/>
      <c r="M516" s="92"/>
      <c r="N516" s="92"/>
      <c r="O516" s="92"/>
      <c r="P516" s="92"/>
      <c r="Q516" s="92"/>
      <c r="R516" s="92"/>
      <c r="S516" s="92"/>
      <c r="T516" s="92"/>
      <c r="U516" s="92"/>
      <c r="V516" s="92"/>
      <c r="W516" s="92"/>
      <c r="X516" s="92"/>
      <c r="Y516" s="92"/>
      <c r="Z516" s="92"/>
    </row>
    <row r="517" spans="1:26" ht="12.75">
      <c r="A517" s="92" t="s">
        <v>7120</v>
      </c>
      <c r="B517" s="372">
        <v>2006</v>
      </c>
      <c r="C517" s="372">
        <v>16440357</v>
      </c>
      <c r="D517" s="92"/>
      <c r="E517" s="261" t="str">
        <f t="shared" si="0"/>
        <v>https://pubmed.ncbi.nlm.nih.gov/16440357</v>
      </c>
      <c r="F517" s="92" t="s">
        <v>511</v>
      </c>
      <c r="G517" s="374" t="s">
        <v>8432</v>
      </c>
      <c r="H517" s="21"/>
      <c r="I517" s="92"/>
      <c r="J517" s="92"/>
      <c r="K517" s="92"/>
      <c r="L517" s="92"/>
      <c r="M517" s="92"/>
      <c r="N517" s="92"/>
      <c r="O517" s="92"/>
      <c r="P517" s="92"/>
      <c r="Q517" s="92"/>
      <c r="R517" s="92"/>
      <c r="S517" s="92"/>
      <c r="T517" s="92"/>
      <c r="U517" s="92"/>
      <c r="V517" s="92"/>
      <c r="W517" s="92"/>
      <c r="X517" s="92"/>
      <c r="Y517" s="92"/>
      <c r="Z517" s="92"/>
    </row>
    <row r="518" spans="1:26" ht="12.75">
      <c r="A518" s="92" t="s">
        <v>7122</v>
      </c>
      <c r="B518" s="372">
        <v>2021</v>
      </c>
      <c r="C518" s="372">
        <v>33448349</v>
      </c>
      <c r="D518" s="92"/>
      <c r="E518" s="261" t="str">
        <f t="shared" si="0"/>
        <v>https://pubmed.ncbi.nlm.nih.gov/33448349</v>
      </c>
      <c r="F518" s="92" t="s">
        <v>511</v>
      </c>
      <c r="G518" s="92" t="s">
        <v>8412</v>
      </c>
      <c r="H518" s="92"/>
      <c r="I518" s="92"/>
      <c r="J518" s="92"/>
      <c r="K518" s="92"/>
      <c r="L518" s="92"/>
      <c r="M518" s="92"/>
      <c r="N518" s="92"/>
      <c r="O518" s="92"/>
      <c r="P518" s="92"/>
      <c r="Q518" s="92"/>
      <c r="R518" s="92"/>
      <c r="S518" s="92"/>
      <c r="T518" s="92"/>
      <c r="U518" s="92"/>
      <c r="V518" s="92"/>
      <c r="W518" s="92"/>
      <c r="X518" s="92"/>
      <c r="Y518" s="92"/>
      <c r="Z518" s="92"/>
    </row>
    <row r="519" spans="1:26" ht="12.75">
      <c r="A519" s="92" t="s">
        <v>7123</v>
      </c>
      <c r="B519" s="372">
        <v>2007</v>
      </c>
      <c r="C519" s="372">
        <v>17921712</v>
      </c>
      <c r="D519" s="92"/>
      <c r="E519" s="261" t="str">
        <f t="shared" si="0"/>
        <v>https://pubmed.ncbi.nlm.nih.gov/17921712</v>
      </c>
      <c r="F519" s="92" t="s">
        <v>511</v>
      </c>
      <c r="G519" s="374" t="s">
        <v>4744</v>
      </c>
      <c r="H519" s="21"/>
      <c r="I519" s="92"/>
      <c r="J519" s="92"/>
      <c r="K519" s="92"/>
      <c r="L519" s="92"/>
      <c r="M519" s="92"/>
      <c r="N519" s="92"/>
      <c r="O519" s="92"/>
      <c r="P519" s="92"/>
      <c r="Q519" s="92"/>
      <c r="R519" s="92"/>
      <c r="S519" s="92"/>
      <c r="T519" s="92"/>
      <c r="U519" s="92"/>
      <c r="V519" s="92"/>
      <c r="W519" s="92"/>
      <c r="X519" s="92"/>
      <c r="Y519" s="92"/>
      <c r="Z519" s="92"/>
    </row>
    <row r="520" spans="1:26" ht="12.75">
      <c r="A520" s="92" t="s">
        <v>7124</v>
      </c>
      <c r="B520" s="372">
        <v>2019</v>
      </c>
      <c r="C520" s="372">
        <v>30471827</v>
      </c>
      <c r="D520" s="92"/>
      <c r="E520" s="261" t="str">
        <f t="shared" si="0"/>
        <v>https://pubmed.ncbi.nlm.nih.gov/30471827</v>
      </c>
      <c r="F520" s="92" t="s">
        <v>511</v>
      </c>
      <c r="G520" s="374" t="s">
        <v>5157</v>
      </c>
      <c r="H520" s="21"/>
      <c r="I520" s="21"/>
      <c r="J520" s="92"/>
      <c r="K520" s="92"/>
      <c r="L520" s="92"/>
      <c r="M520" s="92"/>
      <c r="N520" s="92"/>
      <c r="O520" s="92"/>
      <c r="P520" s="92"/>
      <c r="Q520" s="92"/>
      <c r="R520" s="92"/>
      <c r="S520" s="92"/>
      <c r="T520" s="92"/>
      <c r="U520" s="92"/>
      <c r="V520" s="92"/>
      <c r="W520" s="92"/>
      <c r="X520" s="92"/>
      <c r="Y520" s="92"/>
      <c r="Z520" s="92"/>
    </row>
    <row r="521" spans="1:26" ht="12.75">
      <c r="A521" s="92" t="s">
        <v>7125</v>
      </c>
      <c r="B521" s="372">
        <v>2017</v>
      </c>
      <c r="C521" s="372">
        <v>28967274</v>
      </c>
      <c r="D521" s="92"/>
      <c r="E521" s="261" t="str">
        <f t="shared" si="0"/>
        <v>https://pubmed.ncbi.nlm.nih.gov/28967274</v>
      </c>
      <c r="F521" s="92" t="s">
        <v>511</v>
      </c>
      <c r="G521" s="92" t="s">
        <v>4592</v>
      </c>
      <c r="H521" s="92"/>
      <c r="I521" s="92"/>
      <c r="J521" s="92"/>
      <c r="K521" s="92"/>
      <c r="L521" s="92"/>
      <c r="M521" s="92"/>
      <c r="N521" s="92"/>
      <c r="O521" s="92"/>
      <c r="P521" s="92"/>
      <c r="Q521" s="92"/>
      <c r="R521" s="92"/>
      <c r="S521" s="92"/>
      <c r="T521" s="92"/>
      <c r="U521" s="92"/>
      <c r="V521" s="92"/>
      <c r="W521" s="92"/>
      <c r="X521" s="92"/>
      <c r="Y521" s="92"/>
      <c r="Z521" s="92"/>
    </row>
    <row r="522" spans="1:26" ht="12.75">
      <c r="A522" s="92" t="s">
        <v>7126</v>
      </c>
      <c r="B522" s="372">
        <v>2019</v>
      </c>
      <c r="C522" s="372">
        <v>30951497</v>
      </c>
      <c r="D522" s="92"/>
      <c r="E522" s="261" t="str">
        <f t="shared" si="0"/>
        <v>https://pubmed.ncbi.nlm.nih.gov/30951497</v>
      </c>
      <c r="F522" s="92" t="s">
        <v>511</v>
      </c>
      <c r="G522" s="374" t="s">
        <v>7127</v>
      </c>
      <c r="H522" s="21"/>
      <c r="I522" s="92"/>
      <c r="J522" s="92"/>
      <c r="K522" s="92"/>
      <c r="L522" s="92"/>
      <c r="M522" s="92"/>
      <c r="N522" s="92"/>
      <c r="O522" s="92"/>
      <c r="P522" s="92"/>
      <c r="Q522" s="92"/>
      <c r="R522" s="92"/>
      <c r="S522" s="92"/>
      <c r="T522" s="92"/>
      <c r="U522" s="92"/>
      <c r="V522" s="92"/>
      <c r="W522" s="92"/>
      <c r="X522" s="92"/>
      <c r="Y522" s="92"/>
      <c r="Z522" s="92"/>
    </row>
    <row r="523" spans="1:26" ht="12.75">
      <c r="A523" s="92" t="s">
        <v>7128</v>
      </c>
      <c r="B523" s="372">
        <v>2021</v>
      </c>
      <c r="C523" s="372">
        <v>33296619</v>
      </c>
      <c r="D523" s="92" t="s">
        <v>7129</v>
      </c>
      <c r="E523" s="261" t="str">
        <f t="shared" si="0"/>
        <v>https://pubmed.ncbi.nlm.nih.gov/33296619</v>
      </c>
      <c r="F523" s="92" t="s">
        <v>511</v>
      </c>
      <c r="G523" s="92" t="s">
        <v>4592</v>
      </c>
      <c r="H523" s="92"/>
      <c r="I523" s="92"/>
      <c r="J523" s="92"/>
      <c r="K523" s="92"/>
      <c r="L523" s="92"/>
      <c r="M523" s="92"/>
      <c r="N523" s="92"/>
      <c r="O523" s="92"/>
      <c r="P523" s="92"/>
      <c r="Q523" s="92"/>
      <c r="R523" s="92"/>
      <c r="S523" s="92"/>
      <c r="T523" s="92"/>
      <c r="U523" s="92"/>
      <c r="V523" s="92"/>
      <c r="W523" s="92"/>
      <c r="X523" s="92"/>
      <c r="Y523" s="92"/>
      <c r="Z523" s="92"/>
    </row>
    <row r="524" spans="1:26" ht="12.75">
      <c r="A524" s="92" t="s">
        <v>7130</v>
      </c>
      <c r="B524" s="372">
        <v>2008</v>
      </c>
      <c r="C524" s="372">
        <v>18951937</v>
      </c>
      <c r="D524" s="92"/>
      <c r="E524" s="261" t="str">
        <f t="shared" si="0"/>
        <v>https://pubmed.ncbi.nlm.nih.gov/18951937</v>
      </c>
      <c r="F524" s="92" t="s">
        <v>511</v>
      </c>
      <c r="G524" s="92" t="s">
        <v>4592</v>
      </c>
      <c r="H524" s="92"/>
      <c r="I524" s="92"/>
      <c r="J524" s="92"/>
      <c r="K524" s="92"/>
      <c r="L524" s="92"/>
      <c r="M524" s="92"/>
      <c r="N524" s="92"/>
      <c r="O524" s="92"/>
      <c r="P524" s="92"/>
      <c r="Q524" s="92"/>
      <c r="R524" s="92"/>
      <c r="S524" s="92"/>
      <c r="T524" s="92"/>
      <c r="U524" s="92"/>
      <c r="V524" s="92"/>
      <c r="W524" s="92"/>
      <c r="X524" s="92"/>
      <c r="Y524" s="92"/>
      <c r="Z524" s="92"/>
    </row>
    <row r="525" spans="1:26" ht="12.75">
      <c r="A525" s="92" t="s">
        <v>5358</v>
      </c>
      <c r="B525" s="372">
        <v>2017</v>
      </c>
      <c r="C525" s="372">
        <v>28176333</v>
      </c>
      <c r="D525" s="92" t="s">
        <v>7131</v>
      </c>
      <c r="E525" s="261" t="str">
        <f t="shared" si="0"/>
        <v>https://pubmed.ncbi.nlm.nih.gov/28176333</v>
      </c>
      <c r="F525" s="92" t="s">
        <v>511</v>
      </c>
      <c r="G525" s="92" t="s">
        <v>4592</v>
      </c>
      <c r="H525" s="92"/>
      <c r="I525" s="92"/>
      <c r="J525" s="92"/>
      <c r="K525" s="92"/>
      <c r="L525" s="92"/>
      <c r="M525" s="92"/>
      <c r="N525" s="92"/>
      <c r="O525" s="92"/>
      <c r="P525" s="92"/>
      <c r="Q525" s="92"/>
      <c r="R525" s="92"/>
      <c r="S525" s="92"/>
      <c r="T525" s="92"/>
      <c r="U525" s="92"/>
      <c r="V525" s="92"/>
      <c r="W525" s="92"/>
      <c r="X525" s="92"/>
      <c r="Y525" s="92"/>
      <c r="Z525" s="92"/>
    </row>
    <row r="526" spans="1:26" ht="12.75">
      <c r="A526" s="92" t="s">
        <v>5358</v>
      </c>
      <c r="B526" s="372">
        <v>2009</v>
      </c>
      <c r="C526" s="372">
        <v>19951553</v>
      </c>
      <c r="D526" s="92"/>
      <c r="E526" s="261" t="str">
        <f t="shared" si="0"/>
        <v>https://pubmed.ncbi.nlm.nih.gov/19951553</v>
      </c>
      <c r="F526" s="92" t="s">
        <v>511</v>
      </c>
      <c r="G526" s="92" t="s">
        <v>6623</v>
      </c>
      <c r="H526" s="92"/>
      <c r="I526" s="92"/>
      <c r="J526" s="92"/>
      <c r="K526" s="92"/>
      <c r="L526" s="92"/>
      <c r="M526" s="92"/>
      <c r="N526" s="92"/>
      <c r="O526" s="92"/>
      <c r="P526" s="92"/>
      <c r="Q526" s="92"/>
      <c r="R526" s="92"/>
      <c r="S526" s="92"/>
      <c r="T526" s="92"/>
      <c r="U526" s="92"/>
      <c r="V526" s="92"/>
      <c r="W526" s="92"/>
      <c r="X526" s="92"/>
      <c r="Y526" s="92"/>
      <c r="Z526" s="92"/>
    </row>
    <row r="527" spans="1:26" ht="12.75">
      <c r="A527" s="92" t="s">
        <v>7132</v>
      </c>
      <c r="B527" s="372">
        <v>2015</v>
      </c>
      <c r="C527" s="372">
        <v>26323415</v>
      </c>
      <c r="D527" s="92"/>
      <c r="E527" s="261" t="str">
        <f t="shared" si="0"/>
        <v>https://pubmed.ncbi.nlm.nih.gov/26323415</v>
      </c>
      <c r="F527" s="92" t="s">
        <v>511</v>
      </c>
      <c r="G527" s="92" t="s">
        <v>4592</v>
      </c>
      <c r="H527" s="92"/>
      <c r="I527" s="92"/>
      <c r="J527" s="92"/>
      <c r="K527" s="92"/>
      <c r="L527" s="92"/>
      <c r="M527" s="92"/>
      <c r="N527" s="92"/>
      <c r="O527" s="92"/>
      <c r="P527" s="92"/>
      <c r="Q527" s="92"/>
      <c r="R527" s="92"/>
      <c r="S527" s="92"/>
      <c r="T527" s="92"/>
      <c r="U527" s="92"/>
      <c r="V527" s="92"/>
      <c r="W527" s="92"/>
      <c r="X527" s="92"/>
      <c r="Y527" s="92"/>
      <c r="Z527" s="92"/>
    </row>
    <row r="528" spans="1:26" ht="12.75">
      <c r="A528" s="92" t="s">
        <v>7133</v>
      </c>
      <c r="B528" s="372">
        <v>2019</v>
      </c>
      <c r="C528" s="372">
        <v>30921546</v>
      </c>
      <c r="D528" s="92"/>
      <c r="E528" s="261" t="str">
        <f t="shared" si="0"/>
        <v>https://pubmed.ncbi.nlm.nih.gov/30921546</v>
      </c>
      <c r="F528" s="92" t="s">
        <v>511</v>
      </c>
      <c r="G528" s="374" t="s">
        <v>8433</v>
      </c>
      <c r="H528" s="21"/>
      <c r="I528" s="21"/>
      <c r="J528" s="92"/>
      <c r="K528" s="92"/>
      <c r="L528" s="92"/>
      <c r="M528" s="92"/>
      <c r="N528" s="92"/>
      <c r="O528" s="92"/>
      <c r="P528" s="92"/>
      <c r="Q528" s="92"/>
      <c r="R528" s="92"/>
      <c r="S528" s="92"/>
      <c r="T528" s="92"/>
      <c r="U528" s="92"/>
      <c r="V528" s="92"/>
      <c r="W528" s="92"/>
      <c r="X528" s="92"/>
      <c r="Y528" s="92"/>
      <c r="Z528" s="92"/>
    </row>
    <row r="529" spans="1:26" ht="12.75">
      <c r="A529" s="92" t="s">
        <v>7135</v>
      </c>
      <c r="B529" s="372">
        <v>2016</v>
      </c>
      <c r="C529" s="372">
        <v>26350571</v>
      </c>
      <c r="D529" s="92" t="s">
        <v>7136</v>
      </c>
      <c r="E529" s="261" t="str">
        <f t="shared" si="0"/>
        <v>https://pubmed.ncbi.nlm.nih.gov/26350571</v>
      </c>
      <c r="F529" s="92" t="s">
        <v>511</v>
      </c>
      <c r="G529" s="92" t="s">
        <v>4592</v>
      </c>
      <c r="H529" s="92"/>
      <c r="I529" s="92"/>
      <c r="J529" s="92"/>
      <c r="K529" s="92"/>
      <c r="L529" s="92"/>
      <c r="M529" s="92"/>
      <c r="N529" s="92"/>
      <c r="O529" s="92"/>
      <c r="P529" s="92"/>
      <c r="Q529" s="92"/>
      <c r="R529" s="92"/>
      <c r="S529" s="92"/>
      <c r="T529" s="92"/>
      <c r="U529" s="92"/>
      <c r="V529" s="92"/>
      <c r="W529" s="92"/>
      <c r="X529" s="92"/>
      <c r="Y529" s="92"/>
      <c r="Z529" s="92"/>
    </row>
    <row r="530" spans="1:26" ht="12.75">
      <c r="A530" s="92" t="s">
        <v>7137</v>
      </c>
      <c r="B530" s="372">
        <v>2020</v>
      </c>
      <c r="C530" s="372">
        <v>31504664</v>
      </c>
      <c r="D530" s="92" t="s">
        <v>7138</v>
      </c>
      <c r="E530" s="261" t="str">
        <f t="shared" si="0"/>
        <v>https://pubmed.ncbi.nlm.nih.gov/31504664</v>
      </c>
      <c r="F530" s="92" t="s">
        <v>511</v>
      </c>
      <c r="G530" s="92" t="s">
        <v>4592</v>
      </c>
      <c r="H530" s="92"/>
      <c r="I530" s="92"/>
      <c r="J530" s="92"/>
      <c r="K530" s="92"/>
      <c r="L530" s="92"/>
      <c r="M530" s="92"/>
      <c r="N530" s="92"/>
      <c r="O530" s="92"/>
      <c r="P530" s="92"/>
      <c r="Q530" s="92"/>
      <c r="R530" s="92"/>
      <c r="S530" s="92"/>
      <c r="T530" s="92"/>
      <c r="U530" s="92"/>
      <c r="V530" s="92"/>
      <c r="W530" s="92"/>
      <c r="X530" s="92"/>
      <c r="Y530" s="92"/>
      <c r="Z530" s="92"/>
    </row>
    <row r="531" spans="1:26" ht="12.75">
      <c r="A531" s="92" t="s">
        <v>7139</v>
      </c>
      <c r="B531" s="372">
        <v>2018</v>
      </c>
      <c r="C531" s="372">
        <v>30209862</v>
      </c>
      <c r="D531" s="92"/>
      <c r="E531" s="261" t="str">
        <f t="shared" si="0"/>
        <v>https://pubmed.ncbi.nlm.nih.gov/30209862</v>
      </c>
      <c r="F531" s="92" t="s">
        <v>511</v>
      </c>
      <c r="G531" s="374" t="s">
        <v>4867</v>
      </c>
      <c r="H531" s="21"/>
      <c r="I531" s="92"/>
      <c r="J531" s="92"/>
      <c r="K531" s="92"/>
      <c r="L531" s="92"/>
      <c r="M531" s="92"/>
      <c r="N531" s="92"/>
      <c r="O531" s="92"/>
      <c r="P531" s="92"/>
      <c r="Q531" s="92"/>
      <c r="R531" s="92"/>
      <c r="S531" s="92"/>
      <c r="T531" s="92"/>
      <c r="U531" s="92"/>
      <c r="V531" s="92"/>
      <c r="W531" s="92"/>
      <c r="X531" s="92"/>
      <c r="Y531" s="92"/>
      <c r="Z531" s="92"/>
    </row>
    <row r="532" spans="1:26" ht="12.75">
      <c r="A532" s="92" t="s">
        <v>7140</v>
      </c>
      <c r="B532" s="372">
        <v>2007</v>
      </c>
      <c r="C532" s="372">
        <v>17940977</v>
      </c>
      <c r="D532" s="92"/>
      <c r="E532" s="261" t="str">
        <f t="shared" si="0"/>
        <v>https://pubmed.ncbi.nlm.nih.gov/17940977</v>
      </c>
      <c r="F532" s="92" t="s">
        <v>511</v>
      </c>
      <c r="G532" s="374" t="s">
        <v>4346</v>
      </c>
      <c r="H532" s="92"/>
      <c r="I532" s="92"/>
      <c r="J532" s="92"/>
      <c r="K532" s="92"/>
      <c r="L532" s="92"/>
      <c r="M532" s="92"/>
      <c r="N532" s="92"/>
      <c r="O532" s="92"/>
      <c r="P532" s="92"/>
      <c r="Q532" s="92"/>
      <c r="R532" s="92"/>
      <c r="S532" s="92"/>
      <c r="T532" s="92"/>
      <c r="U532" s="92"/>
      <c r="V532" s="92"/>
      <c r="W532" s="92"/>
      <c r="X532" s="92"/>
      <c r="Y532" s="92"/>
      <c r="Z532" s="92"/>
    </row>
    <row r="533" spans="1:26" ht="12.75">
      <c r="A533" s="92" t="s">
        <v>7141</v>
      </c>
      <c r="B533" s="372">
        <v>2016</v>
      </c>
      <c r="C533" s="372">
        <v>26945846</v>
      </c>
      <c r="D533" s="92"/>
      <c r="E533" s="261" t="str">
        <f t="shared" si="0"/>
        <v>https://pubmed.ncbi.nlm.nih.gov/26945846</v>
      </c>
      <c r="F533" s="92" t="s">
        <v>511</v>
      </c>
      <c r="G533" s="374" t="s">
        <v>8434</v>
      </c>
      <c r="H533" s="21"/>
      <c r="I533" s="92"/>
      <c r="J533" s="92"/>
      <c r="K533" s="92"/>
      <c r="L533" s="92"/>
      <c r="M533" s="92"/>
      <c r="N533" s="92"/>
      <c r="O533" s="92"/>
      <c r="P533" s="92"/>
      <c r="Q533" s="92"/>
      <c r="R533" s="92"/>
      <c r="S533" s="92"/>
      <c r="T533" s="92"/>
      <c r="U533" s="92"/>
      <c r="V533" s="92"/>
      <c r="W533" s="92"/>
      <c r="X533" s="92"/>
      <c r="Y533" s="92"/>
      <c r="Z533" s="92"/>
    </row>
    <row r="534" spans="1:26" ht="12.75">
      <c r="A534" s="92" t="s">
        <v>7143</v>
      </c>
      <c r="B534" s="372">
        <v>2004</v>
      </c>
      <c r="C534" s="372">
        <v>15225401</v>
      </c>
      <c r="D534" s="92"/>
      <c r="E534" s="261" t="str">
        <f t="shared" si="0"/>
        <v>https://pubmed.ncbi.nlm.nih.gov/15225401</v>
      </c>
      <c r="F534" s="92" t="s">
        <v>511</v>
      </c>
      <c r="G534" s="92" t="s">
        <v>4592</v>
      </c>
      <c r="H534" s="92"/>
      <c r="I534" s="92"/>
      <c r="J534" s="92"/>
      <c r="K534" s="92"/>
      <c r="L534" s="92"/>
      <c r="M534" s="92"/>
      <c r="N534" s="92"/>
      <c r="O534" s="92"/>
      <c r="P534" s="92"/>
      <c r="Q534" s="92"/>
      <c r="R534" s="92"/>
      <c r="S534" s="92"/>
      <c r="T534" s="92"/>
      <c r="U534" s="92"/>
      <c r="V534" s="92"/>
      <c r="W534" s="92"/>
      <c r="X534" s="92"/>
      <c r="Y534" s="92"/>
      <c r="Z534" s="92"/>
    </row>
    <row r="535" spans="1:26" ht="12.75">
      <c r="A535" s="92" t="s">
        <v>7144</v>
      </c>
      <c r="B535" s="372">
        <v>2009</v>
      </c>
      <c r="C535" s="372">
        <v>19486315</v>
      </c>
      <c r="D535" s="92"/>
      <c r="E535" s="261" t="str">
        <f t="shared" si="0"/>
        <v>https://pubmed.ncbi.nlm.nih.gov/19486315</v>
      </c>
      <c r="F535" s="92" t="s">
        <v>511</v>
      </c>
      <c r="G535" s="92" t="s">
        <v>4592</v>
      </c>
      <c r="H535" s="92"/>
      <c r="I535" s="92"/>
      <c r="J535" s="92"/>
      <c r="K535" s="92"/>
      <c r="L535" s="92"/>
      <c r="M535" s="92"/>
      <c r="N535" s="92"/>
      <c r="O535" s="92"/>
      <c r="P535" s="92"/>
      <c r="Q535" s="92"/>
      <c r="R535" s="92"/>
      <c r="S535" s="92"/>
      <c r="T535" s="92"/>
      <c r="U535" s="92"/>
      <c r="V535" s="92"/>
      <c r="W535" s="92"/>
      <c r="X535" s="92"/>
      <c r="Y535" s="92"/>
      <c r="Z535" s="92"/>
    </row>
    <row r="536" spans="1:26" ht="12.75">
      <c r="A536" s="92" t="s">
        <v>7145</v>
      </c>
      <c r="B536" s="372">
        <v>2019</v>
      </c>
      <c r="C536" s="372">
        <v>30484353</v>
      </c>
      <c r="D536" s="92"/>
      <c r="E536" s="261" t="str">
        <f t="shared" si="0"/>
        <v>https://pubmed.ncbi.nlm.nih.gov/30484353</v>
      </c>
      <c r="F536" s="92" t="s">
        <v>511</v>
      </c>
      <c r="G536" s="374" t="s">
        <v>7146</v>
      </c>
      <c r="H536" s="21"/>
      <c r="I536" s="92"/>
      <c r="J536" s="92"/>
      <c r="K536" s="92"/>
      <c r="L536" s="92"/>
      <c r="M536" s="92"/>
      <c r="N536" s="92"/>
      <c r="O536" s="92"/>
      <c r="P536" s="92"/>
      <c r="Q536" s="92"/>
      <c r="R536" s="92"/>
      <c r="S536" s="92"/>
      <c r="T536" s="92"/>
      <c r="U536" s="92"/>
      <c r="V536" s="92"/>
      <c r="W536" s="92"/>
      <c r="X536" s="92"/>
      <c r="Y536" s="92"/>
      <c r="Z536" s="92"/>
    </row>
    <row r="537" spans="1:26" ht="12.75">
      <c r="A537" s="92" t="s">
        <v>7147</v>
      </c>
      <c r="B537" s="372">
        <v>2015</v>
      </c>
      <c r="C537" s="372">
        <v>25970800</v>
      </c>
      <c r="D537" s="92"/>
      <c r="E537" s="261" t="str">
        <f t="shared" si="0"/>
        <v>https://pubmed.ncbi.nlm.nih.gov/25970800</v>
      </c>
      <c r="F537" s="92" t="s">
        <v>511</v>
      </c>
      <c r="G537" s="374" t="s">
        <v>4744</v>
      </c>
      <c r="H537" s="21"/>
      <c r="I537" s="92"/>
      <c r="J537" s="92"/>
      <c r="K537" s="92"/>
      <c r="L537" s="92"/>
      <c r="M537" s="92"/>
      <c r="N537" s="92"/>
      <c r="O537" s="92"/>
      <c r="P537" s="92"/>
      <c r="Q537" s="92"/>
      <c r="R537" s="92"/>
      <c r="S537" s="92"/>
      <c r="T537" s="92"/>
      <c r="U537" s="92"/>
      <c r="V537" s="92"/>
      <c r="W537" s="92"/>
      <c r="X537" s="92"/>
      <c r="Y537" s="92"/>
      <c r="Z537" s="92"/>
    </row>
    <row r="538" spans="1:26" ht="12.75">
      <c r="A538" s="92" t="s">
        <v>7148</v>
      </c>
      <c r="B538" s="372">
        <v>2007</v>
      </c>
      <c r="C538" s="372">
        <v>17335319</v>
      </c>
      <c r="D538" s="92"/>
      <c r="E538" s="261" t="str">
        <f t="shared" si="0"/>
        <v>https://pubmed.ncbi.nlm.nih.gov/17335319</v>
      </c>
      <c r="F538" s="92" t="s">
        <v>511</v>
      </c>
      <c r="G538" s="374" t="s">
        <v>5157</v>
      </c>
      <c r="H538" s="21"/>
      <c r="I538" s="21"/>
      <c r="J538" s="92"/>
      <c r="K538" s="92"/>
      <c r="L538" s="92"/>
      <c r="M538" s="92"/>
      <c r="N538" s="92"/>
      <c r="O538" s="92"/>
      <c r="P538" s="92"/>
      <c r="Q538" s="92"/>
      <c r="R538" s="92"/>
      <c r="S538" s="92"/>
      <c r="T538" s="92"/>
      <c r="U538" s="92"/>
      <c r="V538" s="92"/>
      <c r="W538" s="92"/>
      <c r="X538" s="92"/>
      <c r="Y538" s="92"/>
      <c r="Z538" s="92"/>
    </row>
    <row r="539" spans="1:26" ht="12.75">
      <c r="A539" s="92" t="s">
        <v>7149</v>
      </c>
      <c r="B539" s="372">
        <v>2008</v>
      </c>
      <c r="C539" s="372">
        <v>17922274</v>
      </c>
      <c r="D539" s="92"/>
      <c r="E539" s="261" t="str">
        <f t="shared" si="0"/>
        <v>https://pubmed.ncbi.nlm.nih.gov/17922274</v>
      </c>
      <c r="F539" s="92" t="s">
        <v>511</v>
      </c>
      <c r="G539" s="374" t="s">
        <v>4744</v>
      </c>
      <c r="H539" s="21"/>
      <c r="I539" s="92"/>
      <c r="J539" s="92"/>
      <c r="K539" s="92"/>
      <c r="L539" s="92"/>
      <c r="M539" s="92"/>
      <c r="N539" s="92"/>
      <c r="O539" s="92"/>
      <c r="P539" s="92"/>
      <c r="Q539" s="92"/>
      <c r="R539" s="92"/>
      <c r="S539" s="92"/>
      <c r="T539" s="92"/>
      <c r="U539" s="92"/>
      <c r="V539" s="92"/>
      <c r="W539" s="92"/>
      <c r="X539" s="92"/>
      <c r="Y539" s="92"/>
      <c r="Z539" s="92"/>
    </row>
    <row r="540" spans="1:26" ht="12.75">
      <c r="A540" s="92" t="s">
        <v>7150</v>
      </c>
      <c r="B540" s="372">
        <v>2003</v>
      </c>
      <c r="C540" s="372">
        <v>12775315</v>
      </c>
      <c r="D540" s="92"/>
      <c r="E540" s="261" t="str">
        <f t="shared" si="0"/>
        <v>https://pubmed.ncbi.nlm.nih.gov/12775315</v>
      </c>
      <c r="F540" s="92" t="s">
        <v>511</v>
      </c>
      <c r="G540" s="374" t="s">
        <v>4744</v>
      </c>
      <c r="H540" s="21"/>
      <c r="I540" s="92"/>
      <c r="J540" s="92"/>
      <c r="K540" s="92"/>
      <c r="L540" s="92"/>
      <c r="M540" s="92"/>
      <c r="N540" s="92"/>
      <c r="O540" s="92"/>
      <c r="P540" s="92"/>
      <c r="Q540" s="92"/>
      <c r="R540" s="92"/>
      <c r="S540" s="92"/>
      <c r="T540" s="92"/>
      <c r="U540" s="92"/>
      <c r="V540" s="92"/>
      <c r="W540" s="92"/>
      <c r="X540" s="92"/>
      <c r="Y540" s="92"/>
      <c r="Z540" s="92"/>
    </row>
    <row r="541" spans="1:26" ht="12.75">
      <c r="A541" s="92" t="s">
        <v>7151</v>
      </c>
      <c r="B541" s="372">
        <v>2015</v>
      </c>
      <c r="C541" s="372">
        <v>25366634</v>
      </c>
      <c r="D541" s="92"/>
      <c r="E541" s="261" t="str">
        <f t="shared" si="0"/>
        <v>https://pubmed.ncbi.nlm.nih.gov/25366634</v>
      </c>
      <c r="F541" s="92" t="s">
        <v>511</v>
      </c>
      <c r="G541" s="92" t="s">
        <v>4592</v>
      </c>
      <c r="H541" s="92"/>
      <c r="I541" s="92"/>
      <c r="J541" s="92"/>
      <c r="K541" s="92"/>
      <c r="L541" s="92"/>
      <c r="M541" s="92"/>
      <c r="N541" s="92"/>
      <c r="O541" s="92"/>
      <c r="P541" s="92"/>
      <c r="Q541" s="92"/>
      <c r="R541" s="92"/>
      <c r="S541" s="92"/>
      <c r="T541" s="92"/>
      <c r="U541" s="92"/>
      <c r="V541" s="92"/>
      <c r="W541" s="92"/>
      <c r="X541" s="92"/>
      <c r="Y541" s="92"/>
      <c r="Z541" s="92"/>
    </row>
    <row r="542" spans="1:26" ht="12.75">
      <c r="A542" s="92" t="s">
        <v>7152</v>
      </c>
      <c r="B542" s="372">
        <v>2015</v>
      </c>
      <c r="C542" s="372">
        <v>25652127</v>
      </c>
      <c r="D542" s="92" t="s">
        <v>7153</v>
      </c>
      <c r="E542" s="261" t="str">
        <f t="shared" si="0"/>
        <v>https://pubmed.ncbi.nlm.nih.gov/25652127</v>
      </c>
      <c r="F542" s="92" t="s">
        <v>511</v>
      </c>
      <c r="G542" s="374" t="s">
        <v>4744</v>
      </c>
      <c r="H542" s="21"/>
      <c r="I542" s="92"/>
      <c r="J542" s="92"/>
      <c r="K542" s="92"/>
      <c r="L542" s="92"/>
      <c r="M542" s="92"/>
      <c r="N542" s="92"/>
      <c r="O542" s="92"/>
      <c r="P542" s="92"/>
      <c r="Q542" s="92"/>
      <c r="R542" s="92"/>
      <c r="S542" s="92"/>
      <c r="T542" s="92"/>
      <c r="U542" s="92"/>
      <c r="V542" s="92"/>
      <c r="W542" s="92"/>
      <c r="X542" s="92"/>
      <c r="Y542" s="92"/>
      <c r="Z542" s="92"/>
    </row>
    <row r="543" spans="1:26" ht="12.75">
      <c r="A543" s="92" t="s">
        <v>7154</v>
      </c>
      <c r="B543" s="372">
        <v>2019</v>
      </c>
      <c r="C543" s="372">
        <v>30799766</v>
      </c>
      <c r="D543" s="92"/>
      <c r="E543" s="261" t="str">
        <f t="shared" si="0"/>
        <v>https://pubmed.ncbi.nlm.nih.gov/30799766</v>
      </c>
      <c r="F543" s="92" t="s">
        <v>511</v>
      </c>
      <c r="G543" s="92" t="s">
        <v>4592</v>
      </c>
      <c r="H543" s="92"/>
      <c r="I543" s="92"/>
      <c r="J543" s="92"/>
      <c r="K543" s="92"/>
      <c r="L543" s="92"/>
      <c r="M543" s="92"/>
      <c r="N543" s="92"/>
      <c r="O543" s="92"/>
      <c r="P543" s="92"/>
      <c r="Q543" s="92"/>
      <c r="R543" s="92"/>
      <c r="S543" s="92"/>
      <c r="T543" s="92"/>
      <c r="U543" s="92"/>
      <c r="V543" s="92"/>
      <c r="W543" s="92"/>
      <c r="X543" s="92"/>
      <c r="Y543" s="92"/>
      <c r="Z543" s="92"/>
    </row>
    <row r="544" spans="1:26" ht="12.75">
      <c r="A544" s="92" t="s">
        <v>7155</v>
      </c>
      <c r="B544" s="372">
        <v>2020</v>
      </c>
      <c r="C544" s="372">
        <v>32511687</v>
      </c>
      <c r="D544" s="92" t="s">
        <v>7156</v>
      </c>
      <c r="E544" s="261" t="str">
        <f t="shared" si="0"/>
        <v>https://pubmed.ncbi.nlm.nih.gov/32511687</v>
      </c>
      <c r="F544" s="92" t="s">
        <v>511</v>
      </c>
      <c r="G544" s="374" t="s">
        <v>4867</v>
      </c>
      <c r="H544" s="21"/>
      <c r="I544" s="92"/>
      <c r="J544" s="92"/>
      <c r="K544" s="92"/>
      <c r="L544" s="92"/>
      <c r="M544" s="92"/>
      <c r="N544" s="92"/>
      <c r="O544" s="92"/>
      <c r="P544" s="92"/>
      <c r="Q544" s="92"/>
      <c r="R544" s="92"/>
      <c r="S544" s="92"/>
      <c r="T544" s="92"/>
      <c r="U544" s="92"/>
      <c r="V544" s="92"/>
      <c r="W544" s="92"/>
      <c r="X544" s="92"/>
      <c r="Y544" s="92"/>
      <c r="Z544" s="92"/>
    </row>
    <row r="545" spans="1:26" ht="12.75">
      <c r="A545" s="92" t="s">
        <v>7157</v>
      </c>
      <c r="B545" s="372">
        <v>2018</v>
      </c>
      <c r="C545" s="372">
        <v>30509294</v>
      </c>
      <c r="D545" s="92" t="s">
        <v>7158</v>
      </c>
      <c r="E545" s="261" t="str">
        <f t="shared" si="0"/>
        <v>https://pubmed.ncbi.nlm.nih.gov/30509294</v>
      </c>
      <c r="F545" s="92" t="s">
        <v>511</v>
      </c>
      <c r="G545" s="92" t="s">
        <v>4592</v>
      </c>
      <c r="H545" s="92"/>
      <c r="I545" s="92"/>
      <c r="J545" s="92"/>
      <c r="K545" s="92"/>
      <c r="L545" s="92"/>
      <c r="M545" s="92"/>
      <c r="N545" s="92"/>
      <c r="O545" s="92"/>
      <c r="P545" s="92"/>
      <c r="Q545" s="92"/>
      <c r="R545" s="92"/>
      <c r="S545" s="92"/>
      <c r="T545" s="92"/>
      <c r="U545" s="92"/>
      <c r="V545" s="92"/>
      <c r="W545" s="92"/>
      <c r="X545" s="92"/>
      <c r="Y545" s="92"/>
      <c r="Z545" s="92"/>
    </row>
    <row r="546" spans="1:26" ht="12.75">
      <c r="A546" s="92" t="s">
        <v>7159</v>
      </c>
      <c r="B546" s="372">
        <v>2012</v>
      </c>
      <c r="C546" s="372">
        <v>21569111</v>
      </c>
      <c r="D546" s="92"/>
      <c r="E546" s="261" t="str">
        <f t="shared" si="0"/>
        <v>https://pubmed.ncbi.nlm.nih.gov/21569111</v>
      </c>
      <c r="F546" s="92" t="s">
        <v>511</v>
      </c>
      <c r="G546" s="374" t="s">
        <v>4867</v>
      </c>
      <c r="H546" s="21"/>
      <c r="I546" s="92"/>
      <c r="J546" s="92"/>
      <c r="K546" s="92"/>
      <c r="L546" s="92"/>
      <c r="M546" s="92"/>
      <c r="N546" s="92"/>
      <c r="O546" s="92"/>
      <c r="P546" s="92"/>
      <c r="Q546" s="92"/>
      <c r="R546" s="92"/>
      <c r="S546" s="92"/>
      <c r="T546" s="92"/>
      <c r="U546" s="92"/>
      <c r="V546" s="92"/>
      <c r="W546" s="92"/>
      <c r="X546" s="92"/>
      <c r="Y546" s="92"/>
      <c r="Z546" s="92"/>
    </row>
    <row r="547" spans="1:26" ht="12.75">
      <c r="A547" s="92" t="s">
        <v>7160</v>
      </c>
      <c r="B547" s="372">
        <v>2007</v>
      </c>
      <c r="C547" s="372">
        <v>17237928</v>
      </c>
      <c r="D547" s="92"/>
      <c r="E547" s="261" t="str">
        <f t="shared" si="0"/>
        <v>https://pubmed.ncbi.nlm.nih.gov/17237928</v>
      </c>
      <c r="F547" s="92" t="s">
        <v>511</v>
      </c>
      <c r="G547" s="92" t="s">
        <v>6623</v>
      </c>
      <c r="H547" s="92"/>
      <c r="I547" s="92"/>
      <c r="J547" s="92"/>
      <c r="K547" s="92"/>
      <c r="L547" s="92"/>
      <c r="M547" s="92"/>
      <c r="N547" s="92"/>
      <c r="O547" s="92"/>
      <c r="P547" s="92"/>
      <c r="Q547" s="92"/>
      <c r="R547" s="92"/>
      <c r="S547" s="92"/>
      <c r="T547" s="92"/>
      <c r="U547" s="92"/>
      <c r="V547" s="92"/>
      <c r="W547" s="92"/>
      <c r="X547" s="92"/>
      <c r="Y547" s="92"/>
      <c r="Z547" s="92"/>
    </row>
    <row r="548" spans="1:26" ht="12.75">
      <c r="A548" s="92" t="s">
        <v>7161</v>
      </c>
      <c r="B548" s="372">
        <v>2019</v>
      </c>
      <c r="C548" s="372">
        <v>30786171</v>
      </c>
      <c r="D548" s="92"/>
      <c r="E548" s="261" t="str">
        <f t="shared" si="0"/>
        <v>https://pubmed.ncbi.nlm.nih.gov/30786171</v>
      </c>
      <c r="F548" s="92" t="s">
        <v>511</v>
      </c>
      <c r="G548" s="92" t="s">
        <v>4592</v>
      </c>
      <c r="H548" s="92"/>
      <c r="I548" s="92"/>
      <c r="J548" s="92"/>
      <c r="K548" s="92"/>
      <c r="L548" s="92"/>
      <c r="M548" s="92"/>
      <c r="N548" s="92"/>
      <c r="O548" s="92"/>
      <c r="P548" s="92"/>
      <c r="Q548" s="92"/>
      <c r="R548" s="92"/>
      <c r="S548" s="92"/>
      <c r="T548" s="92"/>
      <c r="U548" s="92"/>
      <c r="V548" s="92"/>
      <c r="W548" s="92"/>
      <c r="X548" s="92"/>
      <c r="Y548" s="92"/>
      <c r="Z548" s="92"/>
    </row>
    <row r="549" spans="1:26" ht="12.75">
      <c r="A549" s="92" t="s">
        <v>7162</v>
      </c>
      <c r="B549" s="372">
        <v>2008</v>
      </c>
      <c r="C549" s="372">
        <v>18494750</v>
      </c>
      <c r="D549" s="92"/>
      <c r="E549" s="261" t="str">
        <f t="shared" si="0"/>
        <v>https://pubmed.ncbi.nlm.nih.gov/18494750</v>
      </c>
      <c r="F549" s="92" t="s">
        <v>511</v>
      </c>
      <c r="G549" s="374" t="s">
        <v>4744</v>
      </c>
      <c r="H549" s="21"/>
      <c r="I549" s="92"/>
      <c r="J549" s="92"/>
      <c r="K549" s="92"/>
      <c r="L549" s="92"/>
      <c r="M549" s="92"/>
      <c r="N549" s="92"/>
      <c r="O549" s="92"/>
      <c r="P549" s="92"/>
      <c r="Q549" s="92"/>
      <c r="R549" s="92"/>
      <c r="S549" s="92"/>
      <c r="T549" s="92"/>
      <c r="U549" s="92"/>
      <c r="V549" s="92"/>
      <c r="W549" s="92"/>
      <c r="X549" s="92"/>
      <c r="Y549" s="92"/>
      <c r="Z549" s="92"/>
    </row>
    <row r="550" spans="1:26" ht="12.75">
      <c r="A550" s="92" t="s">
        <v>7163</v>
      </c>
      <c r="B550" s="372">
        <v>2020</v>
      </c>
      <c r="C550" s="372">
        <v>31811360</v>
      </c>
      <c r="D550" s="92"/>
      <c r="E550" s="261" t="str">
        <f t="shared" si="0"/>
        <v>https://pubmed.ncbi.nlm.nih.gov/31811360</v>
      </c>
      <c r="F550" s="92" t="s">
        <v>511</v>
      </c>
      <c r="G550" s="374" t="s">
        <v>5299</v>
      </c>
      <c r="H550" s="21"/>
      <c r="I550" s="92"/>
      <c r="J550" s="92"/>
      <c r="K550" s="92"/>
      <c r="L550" s="92"/>
      <c r="M550" s="92"/>
      <c r="N550" s="92"/>
      <c r="O550" s="92"/>
      <c r="P550" s="92"/>
      <c r="Q550" s="92"/>
      <c r="R550" s="92"/>
      <c r="S550" s="92"/>
      <c r="T550" s="92"/>
      <c r="U550" s="92"/>
      <c r="V550" s="92"/>
      <c r="W550" s="92"/>
      <c r="X550" s="92"/>
      <c r="Y550" s="92"/>
      <c r="Z550" s="92"/>
    </row>
    <row r="551" spans="1:26" ht="12.75">
      <c r="A551" s="92" t="s">
        <v>7164</v>
      </c>
      <c r="B551" s="372">
        <v>2014</v>
      </c>
      <c r="C551" s="372">
        <v>24934254</v>
      </c>
      <c r="D551" s="92"/>
      <c r="E551" s="261" t="str">
        <f t="shared" si="0"/>
        <v>https://pubmed.ncbi.nlm.nih.gov/24934254</v>
      </c>
      <c r="F551" s="92" t="s">
        <v>511</v>
      </c>
      <c r="G551" s="92" t="s">
        <v>4592</v>
      </c>
      <c r="H551" s="92"/>
      <c r="I551" s="92"/>
      <c r="J551" s="92"/>
      <c r="K551" s="92"/>
      <c r="L551" s="92"/>
      <c r="M551" s="92"/>
      <c r="N551" s="92"/>
      <c r="O551" s="92"/>
      <c r="P551" s="92"/>
      <c r="Q551" s="92"/>
      <c r="R551" s="92"/>
      <c r="S551" s="92"/>
      <c r="T551" s="92"/>
      <c r="U551" s="92"/>
      <c r="V551" s="92"/>
      <c r="W551" s="92"/>
      <c r="X551" s="92"/>
      <c r="Y551" s="92"/>
      <c r="Z551" s="92"/>
    </row>
    <row r="552" spans="1:26" ht="12.75">
      <c r="A552" s="92" t="s">
        <v>7165</v>
      </c>
      <c r="B552" s="372">
        <v>2004</v>
      </c>
      <c r="C552" s="372">
        <v>15649831</v>
      </c>
      <c r="D552" s="92"/>
      <c r="E552" s="261" t="str">
        <f t="shared" si="0"/>
        <v>https://pubmed.ncbi.nlm.nih.gov/15649831</v>
      </c>
      <c r="F552" s="92" t="s">
        <v>511</v>
      </c>
      <c r="G552" s="374" t="s">
        <v>4744</v>
      </c>
      <c r="H552" s="21"/>
      <c r="I552" s="92"/>
      <c r="J552" s="92"/>
      <c r="K552" s="92"/>
      <c r="L552" s="92"/>
      <c r="M552" s="92"/>
      <c r="N552" s="92"/>
      <c r="O552" s="92"/>
      <c r="P552" s="92"/>
      <c r="Q552" s="92"/>
      <c r="R552" s="92"/>
      <c r="S552" s="92"/>
      <c r="T552" s="92"/>
      <c r="U552" s="92"/>
      <c r="V552" s="92"/>
      <c r="W552" s="92"/>
      <c r="X552" s="92"/>
      <c r="Y552" s="92"/>
      <c r="Z552" s="92"/>
    </row>
    <row r="553" spans="1:26" ht="12.75">
      <c r="A553" s="92" t="s">
        <v>7166</v>
      </c>
      <c r="B553" s="372">
        <v>2008</v>
      </c>
      <c r="C553" s="372">
        <v>17919763</v>
      </c>
      <c r="D553" s="92"/>
      <c r="E553" s="261" t="str">
        <f t="shared" si="0"/>
        <v>https://pubmed.ncbi.nlm.nih.gov/17919763</v>
      </c>
      <c r="F553" s="92" t="s">
        <v>511</v>
      </c>
      <c r="G553" s="374" t="s">
        <v>4744</v>
      </c>
      <c r="H553" s="21"/>
      <c r="I553" s="92"/>
      <c r="J553" s="92"/>
      <c r="K553" s="92"/>
      <c r="L553" s="92"/>
      <c r="M553" s="92"/>
      <c r="N553" s="92"/>
      <c r="O553" s="92"/>
      <c r="P553" s="92"/>
      <c r="Q553" s="92"/>
      <c r="R553" s="92"/>
      <c r="S553" s="92"/>
      <c r="T553" s="92"/>
      <c r="U553" s="92"/>
      <c r="V553" s="92"/>
      <c r="W553" s="92"/>
      <c r="X553" s="92"/>
      <c r="Y553" s="92"/>
      <c r="Z553" s="92"/>
    </row>
    <row r="554" spans="1:26" ht="12.75">
      <c r="A554" s="92" t="s">
        <v>7167</v>
      </c>
      <c r="B554" s="372">
        <v>2015</v>
      </c>
      <c r="C554" s="372">
        <v>25749502</v>
      </c>
      <c r="D554" s="92"/>
      <c r="E554" s="261" t="str">
        <f t="shared" si="0"/>
        <v>https://pubmed.ncbi.nlm.nih.gov/25749502</v>
      </c>
      <c r="F554" s="92" t="s">
        <v>511</v>
      </c>
      <c r="G554" s="374" t="s">
        <v>5157</v>
      </c>
      <c r="H554" s="21"/>
      <c r="I554" s="21"/>
      <c r="J554" s="92"/>
      <c r="K554" s="92"/>
      <c r="L554" s="92"/>
      <c r="M554" s="92"/>
      <c r="N554" s="92"/>
      <c r="O554" s="92"/>
      <c r="P554" s="92"/>
      <c r="Q554" s="92"/>
      <c r="R554" s="92"/>
      <c r="S554" s="92"/>
      <c r="T554" s="92"/>
      <c r="U554" s="92"/>
      <c r="V554" s="92"/>
      <c r="W554" s="92"/>
      <c r="X554" s="92"/>
      <c r="Y554" s="92"/>
      <c r="Z554" s="92"/>
    </row>
    <row r="555" spans="1:26" ht="12.75">
      <c r="A555" s="92" t="s">
        <v>5361</v>
      </c>
      <c r="B555" s="372">
        <v>2014</v>
      </c>
      <c r="C555" s="372">
        <v>25033291</v>
      </c>
      <c r="D555" s="92" t="s">
        <v>7168</v>
      </c>
      <c r="E555" s="261" t="str">
        <f t="shared" si="0"/>
        <v>https://pubmed.ncbi.nlm.nih.gov/25033291</v>
      </c>
      <c r="F555" s="92" t="s">
        <v>511</v>
      </c>
      <c r="G555" s="374" t="s">
        <v>4867</v>
      </c>
      <c r="H555" s="21"/>
      <c r="I555" s="92"/>
      <c r="J555" s="92"/>
      <c r="K555" s="92"/>
      <c r="L555" s="92"/>
      <c r="M555" s="92"/>
      <c r="N555" s="92"/>
      <c r="O555" s="92"/>
      <c r="P555" s="92"/>
      <c r="Q555" s="92"/>
      <c r="R555" s="92"/>
      <c r="S555" s="92"/>
      <c r="T555" s="92"/>
      <c r="U555" s="92"/>
      <c r="V555" s="92"/>
      <c r="W555" s="92"/>
      <c r="X555" s="92"/>
      <c r="Y555" s="92"/>
      <c r="Z555" s="92"/>
    </row>
    <row r="556" spans="1:26" ht="12.75">
      <c r="A556" s="92" t="s">
        <v>7169</v>
      </c>
      <c r="B556" s="372">
        <v>1997</v>
      </c>
      <c r="C556" s="372">
        <v>9296243</v>
      </c>
      <c r="D556" s="92"/>
      <c r="E556" s="261" t="str">
        <f t="shared" si="0"/>
        <v>https://pubmed.ncbi.nlm.nih.gov/9296243</v>
      </c>
      <c r="F556" s="92" t="s">
        <v>511</v>
      </c>
      <c r="G556" s="92" t="s">
        <v>4592</v>
      </c>
      <c r="H556" s="92"/>
      <c r="I556" s="92"/>
      <c r="J556" s="92"/>
      <c r="K556" s="92"/>
      <c r="L556" s="92"/>
      <c r="M556" s="92"/>
      <c r="N556" s="92"/>
      <c r="O556" s="92"/>
      <c r="P556" s="92"/>
      <c r="Q556" s="92"/>
      <c r="R556" s="92"/>
      <c r="S556" s="92"/>
      <c r="T556" s="92"/>
      <c r="U556" s="92"/>
      <c r="V556" s="92"/>
      <c r="W556" s="92"/>
      <c r="X556" s="92"/>
      <c r="Y556" s="92"/>
      <c r="Z556" s="92"/>
    </row>
    <row r="557" spans="1:26" ht="12.75">
      <c r="A557" s="92" t="s">
        <v>7170</v>
      </c>
      <c r="B557" s="372">
        <v>2013</v>
      </c>
      <c r="C557" s="372">
        <v>23163616</v>
      </c>
      <c r="D557" s="92"/>
      <c r="E557" s="261" t="str">
        <f t="shared" si="0"/>
        <v>https://pubmed.ncbi.nlm.nih.gov/23163616</v>
      </c>
      <c r="F557" s="92" t="s">
        <v>308</v>
      </c>
      <c r="G557" s="374" t="s">
        <v>5299</v>
      </c>
      <c r="H557" s="92"/>
      <c r="I557" s="374" t="s">
        <v>7171</v>
      </c>
      <c r="J557" s="21"/>
      <c r="K557" s="21"/>
      <c r="L557" s="21"/>
      <c r="M557" s="92"/>
      <c r="N557" s="92"/>
      <c r="O557" s="92"/>
      <c r="P557" s="92"/>
      <c r="Q557" s="92"/>
      <c r="R557" s="92"/>
      <c r="S557" s="92"/>
      <c r="T557" s="92"/>
      <c r="U557" s="92"/>
      <c r="V557" s="92"/>
      <c r="W557" s="92"/>
      <c r="X557" s="92"/>
      <c r="Y557" s="92"/>
      <c r="Z557" s="92"/>
    </row>
    <row r="558" spans="1:26" ht="12.75">
      <c r="A558" s="92" t="s">
        <v>7172</v>
      </c>
      <c r="B558" s="372">
        <v>2014</v>
      </c>
      <c r="C558" s="372">
        <v>25359150</v>
      </c>
      <c r="D558" s="92" t="s">
        <v>7173</v>
      </c>
      <c r="E558" s="261" t="str">
        <f t="shared" si="0"/>
        <v>https://pubmed.ncbi.nlm.nih.gov/25359150</v>
      </c>
      <c r="F558" s="92" t="s">
        <v>511</v>
      </c>
      <c r="G558" s="374" t="s">
        <v>4744</v>
      </c>
      <c r="H558" s="21"/>
      <c r="I558" s="92"/>
      <c r="J558" s="92"/>
      <c r="K558" s="92"/>
      <c r="L558" s="92"/>
      <c r="M558" s="92"/>
      <c r="N558" s="92"/>
      <c r="O558" s="92"/>
      <c r="P558" s="92"/>
      <c r="Q558" s="92"/>
      <c r="R558" s="92"/>
      <c r="S558" s="92"/>
      <c r="T558" s="92"/>
      <c r="U558" s="92"/>
      <c r="V558" s="92"/>
      <c r="W558" s="92"/>
      <c r="X558" s="92"/>
      <c r="Y558" s="92"/>
      <c r="Z558" s="92"/>
    </row>
    <row r="559" spans="1:26" ht="12.75">
      <c r="A559" s="92" t="s">
        <v>7174</v>
      </c>
      <c r="B559" s="372">
        <v>2015</v>
      </c>
      <c r="C559" s="372">
        <v>25914907</v>
      </c>
      <c r="D559" s="92" t="s">
        <v>7175</v>
      </c>
      <c r="E559" s="261" t="str">
        <f t="shared" si="0"/>
        <v>https://pubmed.ncbi.nlm.nih.gov/25914907</v>
      </c>
      <c r="F559" s="92" t="s">
        <v>511</v>
      </c>
      <c r="G559" s="92" t="s">
        <v>4592</v>
      </c>
      <c r="H559" s="92"/>
      <c r="I559" s="92"/>
      <c r="J559" s="92"/>
      <c r="K559" s="92"/>
      <c r="L559" s="92"/>
      <c r="M559" s="92"/>
      <c r="N559" s="92"/>
      <c r="O559" s="92"/>
      <c r="P559" s="92"/>
      <c r="Q559" s="92"/>
      <c r="R559" s="92"/>
      <c r="S559" s="92"/>
      <c r="T559" s="92"/>
      <c r="U559" s="92"/>
      <c r="V559" s="92"/>
      <c r="W559" s="92"/>
      <c r="X559" s="92"/>
      <c r="Y559" s="92"/>
      <c r="Z559" s="92"/>
    </row>
    <row r="560" spans="1:26" ht="12.75">
      <c r="A560" s="92" t="s">
        <v>7176</v>
      </c>
      <c r="B560" s="372">
        <v>2015</v>
      </c>
      <c r="C560" s="372">
        <v>25692326</v>
      </c>
      <c r="D560" s="92" t="s">
        <v>7177</v>
      </c>
      <c r="E560" s="261" t="str">
        <f t="shared" si="0"/>
        <v>https://pubmed.ncbi.nlm.nih.gov/25692326</v>
      </c>
      <c r="F560" s="92" t="s">
        <v>511</v>
      </c>
      <c r="G560" s="92" t="s">
        <v>4592</v>
      </c>
      <c r="H560" s="92"/>
      <c r="I560" s="92"/>
      <c r="J560" s="92"/>
      <c r="K560" s="92"/>
      <c r="L560" s="92"/>
      <c r="M560" s="92"/>
      <c r="N560" s="92"/>
      <c r="O560" s="92"/>
      <c r="P560" s="92"/>
      <c r="Q560" s="92"/>
      <c r="R560" s="92"/>
      <c r="S560" s="92"/>
      <c r="T560" s="92"/>
      <c r="U560" s="92"/>
      <c r="V560" s="92"/>
      <c r="W560" s="92"/>
      <c r="X560" s="92"/>
      <c r="Y560" s="92"/>
      <c r="Z560" s="92"/>
    </row>
    <row r="561" spans="1:26" ht="12.75">
      <c r="A561" s="92" t="s">
        <v>7178</v>
      </c>
      <c r="B561" s="372">
        <v>2018</v>
      </c>
      <c r="C561" s="372">
        <v>29936327</v>
      </c>
      <c r="D561" s="92"/>
      <c r="E561" s="261" t="str">
        <f t="shared" si="0"/>
        <v>https://pubmed.ncbi.nlm.nih.gov/29936327</v>
      </c>
      <c r="F561" s="92" t="s">
        <v>511</v>
      </c>
      <c r="G561" s="92" t="s">
        <v>4592</v>
      </c>
      <c r="H561" s="92"/>
      <c r="I561" s="92"/>
      <c r="J561" s="92"/>
      <c r="K561" s="92"/>
      <c r="L561" s="92"/>
      <c r="M561" s="92"/>
      <c r="N561" s="92"/>
      <c r="O561" s="92"/>
      <c r="P561" s="92"/>
      <c r="Q561" s="92"/>
      <c r="R561" s="92"/>
      <c r="S561" s="92"/>
      <c r="T561" s="92"/>
      <c r="U561" s="92"/>
      <c r="V561" s="92"/>
      <c r="W561" s="92"/>
      <c r="X561" s="92"/>
      <c r="Y561" s="92"/>
      <c r="Z561" s="92"/>
    </row>
    <row r="562" spans="1:26" ht="12.75">
      <c r="A562" s="92" t="s">
        <v>7179</v>
      </c>
      <c r="B562" s="372">
        <v>2015</v>
      </c>
      <c r="C562" s="372">
        <v>25942580</v>
      </c>
      <c r="D562" s="92"/>
      <c r="E562" s="261" t="str">
        <f t="shared" si="0"/>
        <v>https://pubmed.ncbi.nlm.nih.gov/25942580</v>
      </c>
      <c r="F562" s="92" t="s">
        <v>511</v>
      </c>
      <c r="G562" s="92" t="s">
        <v>4592</v>
      </c>
      <c r="H562" s="92"/>
      <c r="I562" s="92"/>
      <c r="J562" s="92"/>
      <c r="K562" s="92"/>
      <c r="L562" s="92"/>
      <c r="M562" s="92"/>
      <c r="N562" s="92"/>
      <c r="O562" s="92"/>
      <c r="P562" s="92"/>
      <c r="Q562" s="92"/>
      <c r="R562" s="92"/>
      <c r="S562" s="92"/>
      <c r="T562" s="92"/>
      <c r="U562" s="92"/>
      <c r="V562" s="92"/>
      <c r="W562" s="92"/>
      <c r="X562" s="92"/>
      <c r="Y562" s="92"/>
      <c r="Z562" s="92"/>
    </row>
    <row r="563" spans="1:26" ht="12.75">
      <c r="A563" s="92" t="s">
        <v>7180</v>
      </c>
      <c r="B563" s="372">
        <v>2014</v>
      </c>
      <c r="C563" s="372">
        <v>25061777</v>
      </c>
      <c r="D563" s="92"/>
      <c r="E563" s="261" t="str">
        <f t="shared" si="0"/>
        <v>https://pubmed.ncbi.nlm.nih.gov/25061777</v>
      </c>
      <c r="F563" s="92" t="s">
        <v>511</v>
      </c>
      <c r="G563" s="92" t="s">
        <v>4592</v>
      </c>
      <c r="H563" s="92"/>
      <c r="I563" s="92"/>
      <c r="J563" s="92"/>
      <c r="K563" s="92"/>
      <c r="L563" s="92"/>
      <c r="M563" s="92"/>
      <c r="N563" s="92"/>
      <c r="O563" s="92"/>
      <c r="P563" s="92"/>
      <c r="Q563" s="92"/>
      <c r="R563" s="92"/>
      <c r="S563" s="92"/>
      <c r="T563" s="92"/>
      <c r="U563" s="92"/>
      <c r="V563" s="92"/>
      <c r="W563" s="92"/>
      <c r="X563" s="92"/>
      <c r="Y563" s="92"/>
      <c r="Z563" s="92"/>
    </row>
    <row r="564" spans="1:26" ht="12.75">
      <c r="A564" s="92" t="s">
        <v>7181</v>
      </c>
      <c r="B564" s="372">
        <v>2007</v>
      </c>
      <c r="C564" s="372">
        <v>17391217</v>
      </c>
      <c r="D564" s="92"/>
      <c r="E564" s="261" t="str">
        <f t="shared" si="0"/>
        <v>https://pubmed.ncbi.nlm.nih.gov/17391217</v>
      </c>
      <c r="F564" s="92" t="s">
        <v>511</v>
      </c>
      <c r="G564" s="374" t="s">
        <v>4744</v>
      </c>
      <c r="H564" s="21"/>
      <c r="I564" s="92"/>
      <c r="J564" s="92"/>
      <c r="K564" s="92"/>
      <c r="L564" s="92"/>
      <c r="M564" s="92"/>
      <c r="N564" s="92"/>
      <c r="O564" s="92"/>
      <c r="P564" s="92"/>
      <c r="Q564" s="92"/>
      <c r="R564" s="92"/>
      <c r="S564" s="92"/>
      <c r="T564" s="92"/>
      <c r="U564" s="92"/>
      <c r="V564" s="92"/>
      <c r="W564" s="92"/>
      <c r="X564" s="92"/>
      <c r="Y564" s="92"/>
      <c r="Z564" s="92"/>
    </row>
    <row r="565" spans="1:26" ht="12.75">
      <c r="A565" s="92" t="s">
        <v>7182</v>
      </c>
      <c r="B565" s="372">
        <v>2015</v>
      </c>
      <c r="C565" s="372">
        <v>25732089</v>
      </c>
      <c r="D565" s="92"/>
      <c r="E565" s="261" t="str">
        <f t="shared" si="0"/>
        <v>https://pubmed.ncbi.nlm.nih.gov/25732089</v>
      </c>
      <c r="F565" s="92" t="s">
        <v>511</v>
      </c>
      <c r="G565" s="92" t="s">
        <v>7183</v>
      </c>
      <c r="H565" s="92"/>
      <c r="I565" s="92"/>
      <c r="J565" s="92"/>
      <c r="K565" s="92"/>
      <c r="L565" s="92"/>
      <c r="M565" s="92"/>
      <c r="N565" s="92"/>
      <c r="O565" s="92"/>
      <c r="P565" s="92"/>
      <c r="Q565" s="92"/>
      <c r="R565" s="92"/>
      <c r="S565" s="92"/>
      <c r="T565" s="92"/>
      <c r="U565" s="92"/>
      <c r="V565" s="92"/>
      <c r="W565" s="92"/>
      <c r="X565" s="92"/>
      <c r="Y565" s="92"/>
      <c r="Z565" s="92"/>
    </row>
    <row r="566" spans="1:26" ht="12.75">
      <c r="A566" s="92" t="s">
        <v>7184</v>
      </c>
      <c r="B566" s="372">
        <v>2018</v>
      </c>
      <c r="C566" s="372">
        <v>30547802</v>
      </c>
      <c r="D566" s="92" t="s">
        <v>7185</v>
      </c>
      <c r="E566" s="261" t="str">
        <f t="shared" si="0"/>
        <v>https://pubmed.ncbi.nlm.nih.gov/30547802</v>
      </c>
      <c r="F566" s="92" t="s">
        <v>511</v>
      </c>
      <c r="G566" s="374" t="s">
        <v>6975</v>
      </c>
      <c r="H566" s="21"/>
      <c r="I566" s="92"/>
      <c r="J566" s="92"/>
      <c r="K566" s="92"/>
      <c r="L566" s="92"/>
      <c r="M566" s="92"/>
      <c r="N566" s="92"/>
      <c r="O566" s="92"/>
      <c r="P566" s="92"/>
      <c r="Q566" s="92"/>
      <c r="R566" s="92"/>
      <c r="S566" s="92"/>
      <c r="T566" s="92"/>
      <c r="U566" s="92"/>
      <c r="V566" s="92"/>
      <c r="W566" s="92"/>
      <c r="X566" s="92"/>
      <c r="Y566" s="92"/>
      <c r="Z566" s="92"/>
    </row>
    <row r="567" spans="1:26" ht="12.75">
      <c r="A567" s="92" t="s">
        <v>7186</v>
      </c>
      <c r="B567" s="372">
        <v>2013</v>
      </c>
      <c r="C567" s="372">
        <v>23607714</v>
      </c>
      <c r="D567" s="92"/>
      <c r="E567" s="261" t="str">
        <f t="shared" si="0"/>
        <v>https://pubmed.ncbi.nlm.nih.gov/23607714</v>
      </c>
      <c r="F567" s="92" t="s">
        <v>511</v>
      </c>
      <c r="G567" s="374" t="s">
        <v>5157</v>
      </c>
      <c r="H567" s="21"/>
      <c r="I567" s="21"/>
      <c r="J567" s="92"/>
      <c r="K567" s="92"/>
      <c r="L567" s="92"/>
      <c r="M567" s="92"/>
      <c r="N567" s="92"/>
      <c r="O567" s="92"/>
      <c r="P567" s="92"/>
      <c r="Q567" s="92"/>
      <c r="R567" s="92"/>
      <c r="S567" s="92"/>
      <c r="T567" s="92"/>
      <c r="U567" s="92"/>
      <c r="V567" s="92"/>
      <c r="W567" s="92"/>
      <c r="X567" s="92"/>
      <c r="Y567" s="92"/>
      <c r="Z567" s="92"/>
    </row>
    <row r="568" spans="1:26" ht="12.75">
      <c r="A568" s="92" t="s">
        <v>7187</v>
      </c>
      <c r="B568" s="372">
        <v>2008</v>
      </c>
      <c r="C568" s="372">
        <v>19034219</v>
      </c>
      <c r="D568" s="92"/>
      <c r="E568" s="261" t="str">
        <f t="shared" si="0"/>
        <v>https://pubmed.ncbi.nlm.nih.gov/19034219</v>
      </c>
      <c r="F568" s="92" t="s">
        <v>511</v>
      </c>
      <c r="G568" s="374" t="s">
        <v>5299</v>
      </c>
      <c r="H568" s="21"/>
      <c r="I568" s="92"/>
      <c r="J568" s="92"/>
      <c r="K568" s="92"/>
      <c r="L568" s="92"/>
      <c r="M568" s="92"/>
      <c r="N568" s="92"/>
      <c r="O568" s="92"/>
      <c r="P568" s="92"/>
      <c r="Q568" s="92"/>
      <c r="R568" s="92"/>
      <c r="S568" s="92"/>
      <c r="T568" s="92"/>
      <c r="U568" s="92"/>
      <c r="V568" s="92"/>
      <c r="W568" s="92"/>
      <c r="X568" s="92"/>
      <c r="Y568" s="92"/>
      <c r="Z568" s="92"/>
    </row>
    <row r="569" spans="1:26" ht="12.75">
      <c r="A569" s="92" t="s">
        <v>7188</v>
      </c>
      <c r="B569" s="372">
        <v>2015</v>
      </c>
      <c r="C569" s="372">
        <v>26041587</v>
      </c>
      <c r="D569" s="92"/>
      <c r="E569" s="261" t="str">
        <f t="shared" si="0"/>
        <v>https://pubmed.ncbi.nlm.nih.gov/26041587</v>
      </c>
      <c r="F569" s="92" t="s">
        <v>511</v>
      </c>
      <c r="G569" s="374" t="s">
        <v>5157</v>
      </c>
      <c r="H569" s="21"/>
      <c r="I569" s="21"/>
      <c r="J569" s="92"/>
      <c r="K569" s="92"/>
      <c r="L569" s="92"/>
      <c r="M569" s="92"/>
      <c r="N569" s="92"/>
      <c r="O569" s="92"/>
      <c r="P569" s="92"/>
      <c r="Q569" s="92"/>
      <c r="R569" s="92"/>
      <c r="S569" s="92"/>
      <c r="T569" s="92"/>
      <c r="U569" s="92"/>
      <c r="V569" s="92"/>
      <c r="W569" s="92"/>
      <c r="X569" s="92"/>
      <c r="Y569" s="92"/>
      <c r="Z569" s="92"/>
    </row>
    <row r="570" spans="1:26" ht="12.75">
      <c r="A570" s="92" t="s">
        <v>7189</v>
      </c>
      <c r="B570" s="372">
        <v>1997</v>
      </c>
      <c r="C570" s="372">
        <v>9198182</v>
      </c>
      <c r="D570" s="92"/>
      <c r="E570" s="261" t="str">
        <f t="shared" si="0"/>
        <v>https://pubmed.ncbi.nlm.nih.gov/9198182</v>
      </c>
      <c r="F570" s="92" t="s">
        <v>511</v>
      </c>
      <c r="G570" s="92" t="s">
        <v>4592</v>
      </c>
      <c r="H570" s="92"/>
      <c r="I570" s="92"/>
      <c r="J570" s="92"/>
      <c r="K570" s="92"/>
      <c r="L570" s="92"/>
      <c r="M570" s="92"/>
      <c r="N570" s="92"/>
      <c r="O570" s="92"/>
      <c r="P570" s="92"/>
      <c r="Q570" s="92"/>
      <c r="R570" s="92"/>
      <c r="S570" s="92"/>
      <c r="T570" s="92"/>
      <c r="U570" s="92"/>
      <c r="V570" s="92"/>
      <c r="W570" s="92"/>
      <c r="X570" s="92"/>
      <c r="Y570" s="92"/>
      <c r="Z570" s="92"/>
    </row>
    <row r="571" spans="1:26" ht="12.75">
      <c r="A571" s="92" t="s">
        <v>7190</v>
      </c>
      <c r="B571" s="372">
        <v>2012</v>
      </c>
      <c r="C571" s="372">
        <v>22161082</v>
      </c>
      <c r="D571" s="92" t="s">
        <v>7191</v>
      </c>
      <c r="E571" s="261" t="str">
        <f t="shared" si="0"/>
        <v>https://pubmed.ncbi.nlm.nih.gov/22161082</v>
      </c>
      <c r="F571" s="92" t="s">
        <v>511</v>
      </c>
      <c r="G571" s="374" t="s">
        <v>4744</v>
      </c>
      <c r="H571" s="21"/>
      <c r="I571" s="92"/>
      <c r="J571" s="92"/>
      <c r="K571" s="92"/>
      <c r="L571" s="92"/>
      <c r="M571" s="92"/>
      <c r="N571" s="92"/>
      <c r="O571" s="92"/>
      <c r="P571" s="92"/>
      <c r="Q571" s="92"/>
      <c r="R571" s="92"/>
      <c r="S571" s="92"/>
      <c r="T571" s="92"/>
      <c r="U571" s="92"/>
      <c r="V571" s="92"/>
      <c r="W571" s="92"/>
      <c r="X571" s="92"/>
      <c r="Y571" s="92"/>
      <c r="Z571" s="92"/>
    </row>
    <row r="572" spans="1:26" ht="12.75">
      <c r="A572" s="92" t="s">
        <v>7192</v>
      </c>
      <c r="B572" s="372">
        <v>2016</v>
      </c>
      <c r="C572" s="372">
        <v>26888178</v>
      </c>
      <c r="D572" s="92" t="s">
        <v>7193</v>
      </c>
      <c r="E572" s="261" t="str">
        <f t="shared" si="0"/>
        <v>https://pubmed.ncbi.nlm.nih.gov/26888178</v>
      </c>
      <c r="F572" s="92" t="s">
        <v>511</v>
      </c>
      <c r="G572" s="374" t="s">
        <v>7194</v>
      </c>
      <c r="H572" s="21"/>
      <c r="I572" s="92"/>
      <c r="J572" s="92"/>
      <c r="K572" s="92"/>
      <c r="L572" s="92"/>
      <c r="M572" s="92"/>
      <c r="N572" s="92"/>
      <c r="O572" s="92"/>
      <c r="P572" s="92"/>
      <c r="Q572" s="92"/>
      <c r="R572" s="92"/>
      <c r="S572" s="92"/>
      <c r="T572" s="92"/>
      <c r="U572" s="92"/>
      <c r="V572" s="92"/>
      <c r="W572" s="92"/>
      <c r="X572" s="92"/>
      <c r="Y572" s="92"/>
      <c r="Z572" s="92"/>
    </row>
    <row r="573" spans="1:26" ht="12.75">
      <c r="A573" s="92" t="s">
        <v>7195</v>
      </c>
      <c r="B573" s="372">
        <v>2020</v>
      </c>
      <c r="C573" s="372">
        <v>32063522</v>
      </c>
      <c r="D573" s="92"/>
      <c r="E573" s="261" t="str">
        <f t="shared" si="0"/>
        <v>https://pubmed.ncbi.nlm.nih.gov/32063522</v>
      </c>
      <c r="F573" s="92" t="s">
        <v>511</v>
      </c>
      <c r="G573" s="92" t="s">
        <v>8412</v>
      </c>
      <c r="H573" s="92"/>
      <c r="I573" s="92"/>
      <c r="J573" s="92"/>
      <c r="K573" s="92"/>
      <c r="L573" s="92"/>
      <c r="M573" s="92"/>
      <c r="N573" s="92"/>
      <c r="O573" s="92"/>
      <c r="P573" s="92"/>
      <c r="Q573" s="92"/>
      <c r="R573" s="92"/>
      <c r="S573" s="92"/>
      <c r="T573" s="92"/>
      <c r="U573" s="92"/>
      <c r="V573" s="92"/>
      <c r="W573" s="92"/>
      <c r="X573" s="92"/>
      <c r="Y573" s="92"/>
      <c r="Z573" s="92"/>
    </row>
    <row r="574" spans="1:26" ht="12.75">
      <c r="A574" s="92" t="s">
        <v>7196</v>
      </c>
      <c r="B574" s="372">
        <v>2018</v>
      </c>
      <c r="C574" s="372">
        <v>28913600</v>
      </c>
      <c r="D574" s="92" t="s">
        <v>7197</v>
      </c>
      <c r="E574" s="261" t="str">
        <f t="shared" si="0"/>
        <v>https://pubmed.ncbi.nlm.nih.gov/28913600</v>
      </c>
      <c r="F574" s="92" t="s">
        <v>511</v>
      </c>
      <c r="G574" s="374" t="s">
        <v>5157</v>
      </c>
      <c r="H574" s="21"/>
      <c r="I574" s="21"/>
      <c r="J574" s="92"/>
      <c r="K574" s="92"/>
      <c r="L574" s="92"/>
      <c r="M574" s="92"/>
      <c r="N574" s="92"/>
      <c r="O574" s="92"/>
      <c r="P574" s="92"/>
      <c r="Q574" s="92"/>
      <c r="R574" s="92"/>
      <c r="S574" s="92"/>
      <c r="T574" s="92"/>
      <c r="U574" s="92"/>
      <c r="V574" s="92"/>
      <c r="W574" s="92"/>
      <c r="X574" s="92"/>
      <c r="Y574" s="92"/>
      <c r="Z574" s="92"/>
    </row>
    <row r="575" spans="1:26" ht="12.75">
      <c r="A575" s="92" t="s">
        <v>7198</v>
      </c>
      <c r="B575" s="372">
        <v>2011</v>
      </c>
      <c r="C575" s="372">
        <v>21304925</v>
      </c>
      <c r="D575" s="92" t="s">
        <v>7199</v>
      </c>
      <c r="E575" s="261" t="str">
        <f t="shared" si="0"/>
        <v>https://pubmed.ncbi.nlm.nih.gov/21304925</v>
      </c>
      <c r="F575" s="92" t="s">
        <v>511</v>
      </c>
      <c r="G575" s="374" t="s">
        <v>4744</v>
      </c>
      <c r="H575" s="21"/>
      <c r="I575" s="92"/>
      <c r="J575" s="92"/>
      <c r="K575" s="92"/>
      <c r="L575" s="92"/>
      <c r="M575" s="92"/>
      <c r="N575" s="92"/>
      <c r="O575" s="92"/>
      <c r="P575" s="92"/>
      <c r="Q575" s="92"/>
      <c r="R575" s="92"/>
      <c r="S575" s="92"/>
      <c r="T575" s="92"/>
      <c r="U575" s="92"/>
      <c r="V575" s="92"/>
      <c r="W575" s="92"/>
      <c r="X575" s="92"/>
      <c r="Y575" s="92"/>
      <c r="Z575" s="92"/>
    </row>
    <row r="576" spans="1:26" ht="12.75">
      <c r="A576" s="92" t="s">
        <v>7200</v>
      </c>
      <c r="B576" s="372">
        <v>2012</v>
      </c>
      <c r="C576" s="372">
        <v>23284915</v>
      </c>
      <c r="D576" s="92" t="s">
        <v>7201</v>
      </c>
      <c r="E576" s="261" t="str">
        <f t="shared" si="0"/>
        <v>https://pubmed.ncbi.nlm.nih.gov/23284915</v>
      </c>
      <c r="F576" s="92" t="s">
        <v>511</v>
      </c>
      <c r="G576" s="92" t="s">
        <v>8412</v>
      </c>
      <c r="H576" s="92"/>
      <c r="I576" s="92"/>
      <c r="J576" s="92"/>
      <c r="K576" s="92"/>
      <c r="L576" s="92"/>
      <c r="M576" s="92"/>
      <c r="N576" s="92"/>
      <c r="O576" s="92"/>
      <c r="P576" s="92"/>
      <c r="Q576" s="92"/>
      <c r="R576" s="92"/>
      <c r="S576" s="92"/>
      <c r="T576" s="92"/>
      <c r="U576" s="92"/>
      <c r="V576" s="92"/>
      <c r="W576" s="92"/>
      <c r="X576" s="92"/>
      <c r="Y576" s="92"/>
      <c r="Z576" s="92"/>
    </row>
    <row r="577" spans="1:26" ht="12.75">
      <c r="A577" s="92" t="s">
        <v>7202</v>
      </c>
      <c r="B577" s="372">
        <v>2016</v>
      </c>
      <c r="C577" s="372">
        <v>27337526</v>
      </c>
      <c r="D577" s="92"/>
      <c r="E577" s="261" t="str">
        <f t="shared" si="0"/>
        <v>https://pubmed.ncbi.nlm.nih.gov/27337526</v>
      </c>
      <c r="F577" s="92" t="s">
        <v>511</v>
      </c>
      <c r="G577" s="92" t="s">
        <v>4592</v>
      </c>
      <c r="H577" s="92"/>
      <c r="I577" s="92"/>
      <c r="J577" s="92"/>
      <c r="K577" s="92"/>
      <c r="L577" s="92"/>
      <c r="M577" s="92"/>
      <c r="N577" s="92"/>
      <c r="O577" s="92"/>
      <c r="P577" s="92"/>
      <c r="Q577" s="92"/>
      <c r="R577" s="92"/>
      <c r="S577" s="92"/>
      <c r="T577" s="92"/>
      <c r="U577" s="92"/>
      <c r="V577" s="92"/>
      <c r="W577" s="92"/>
      <c r="X577" s="92"/>
      <c r="Y577" s="92"/>
      <c r="Z577" s="92"/>
    </row>
    <row r="578" spans="1:26" ht="12.75">
      <c r="A578" s="92" t="s">
        <v>7203</v>
      </c>
      <c r="B578" s="372">
        <v>2013</v>
      </c>
      <c r="C578" s="372">
        <v>23440791</v>
      </c>
      <c r="D578" s="92" t="s">
        <v>7204</v>
      </c>
      <c r="E578" s="261" t="str">
        <f t="shared" si="0"/>
        <v>https://pubmed.ncbi.nlm.nih.gov/23440791</v>
      </c>
      <c r="F578" s="92" t="s">
        <v>511</v>
      </c>
      <c r="G578" s="92" t="s">
        <v>5273</v>
      </c>
      <c r="H578" s="92"/>
      <c r="I578" s="92"/>
      <c r="J578" s="92"/>
      <c r="K578" s="92"/>
      <c r="L578" s="92"/>
      <c r="M578" s="92"/>
      <c r="N578" s="92"/>
      <c r="O578" s="92"/>
      <c r="P578" s="92"/>
      <c r="Q578" s="92"/>
      <c r="R578" s="92"/>
      <c r="S578" s="92"/>
      <c r="T578" s="92"/>
      <c r="U578" s="92"/>
      <c r="V578" s="92"/>
      <c r="W578" s="92"/>
      <c r="X578" s="92"/>
      <c r="Y578" s="92"/>
      <c r="Z578" s="92"/>
    </row>
    <row r="579" spans="1:26" ht="12.75">
      <c r="A579" s="92" t="s">
        <v>7205</v>
      </c>
      <c r="B579" s="372">
        <v>2009</v>
      </c>
      <c r="C579" s="372">
        <v>19840663</v>
      </c>
      <c r="D579" s="92"/>
      <c r="E579" s="261" t="str">
        <f t="shared" si="0"/>
        <v>https://pubmed.ncbi.nlm.nih.gov/19840663</v>
      </c>
      <c r="F579" s="92" t="s">
        <v>511</v>
      </c>
      <c r="G579" s="374" t="s">
        <v>4346</v>
      </c>
      <c r="H579" s="92"/>
      <c r="I579" s="92"/>
      <c r="J579" s="92"/>
      <c r="K579" s="92"/>
      <c r="L579" s="92"/>
      <c r="M579" s="92"/>
      <c r="N579" s="92"/>
      <c r="O579" s="92"/>
      <c r="P579" s="92"/>
      <c r="Q579" s="92"/>
      <c r="R579" s="92"/>
      <c r="S579" s="92"/>
      <c r="T579" s="92"/>
      <c r="U579" s="92"/>
      <c r="V579" s="92"/>
      <c r="W579" s="92"/>
      <c r="X579" s="92"/>
      <c r="Y579" s="92"/>
      <c r="Z579" s="92"/>
    </row>
    <row r="580" spans="1:26" ht="12.75">
      <c r="A580" s="92" t="s">
        <v>7205</v>
      </c>
      <c r="B580" s="372">
        <v>2009</v>
      </c>
      <c r="C580" s="372">
        <v>19061423</v>
      </c>
      <c r="D580" s="92"/>
      <c r="E580" s="261" t="str">
        <f t="shared" si="0"/>
        <v>https://pubmed.ncbi.nlm.nih.gov/19061423</v>
      </c>
      <c r="F580" s="92" t="s">
        <v>511</v>
      </c>
      <c r="G580" s="374" t="s">
        <v>4346</v>
      </c>
      <c r="H580" s="92"/>
      <c r="I580" s="92"/>
      <c r="J580" s="92"/>
      <c r="K580" s="92"/>
      <c r="L580" s="92"/>
      <c r="M580" s="92"/>
      <c r="N580" s="92"/>
      <c r="O580" s="92"/>
      <c r="P580" s="92"/>
      <c r="Q580" s="92"/>
      <c r="R580" s="92"/>
      <c r="S580" s="92"/>
      <c r="T580" s="92"/>
      <c r="U580" s="92"/>
      <c r="V580" s="92"/>
      <c r="W580" s="92"/>
      <c r="X580" s="92"/>
      <c r="Y580" s="92"/>
      <c r="Z580" s="92"/>
    </row>
    <row r="581" spans="1:26" ht="12.75">
      <c r="A581" s="92" t="s">
        <v>7205</v>
      </c>
      <c r="B581" s="372">
        <v>2014</v>
      </c>
      <c r="C581" s="372">
        <v>25455987</v>
      </c>
      <c r="D581" s="92"/>
      <c r="E581" s="261" t="str">
        <f t="shared" si="0"/>
        <v>https://pubmed.ncbi.nlm.nih.gov/25455987</v>
      </c>
      <c r="F581" s="92" t="s">
        <v>511</v>
      </c>
      <c r="G581" s="374" t="s">
        <v>4744</v>
      </c>
      <c r="H581" s="92"/>
      <c r="I581" s="374" t="s">
        <v>7206</v>
      </c>
      <c r="J581" s="92"/>
      <c r="K581" s="92"/>
      <c r="L581" s="92"/>
      <c r="M581" s="92"/>
      <c r="N581" s="92"/>
      <c r="O581" s="92"/>
      <c r="P581" s="92"/>
      <c r="Q581" s="92"/>
      <c r="R581" s="92"/>
      <c r="S581" s="92"/>
      <c r="T581" s="92"/>
      <c r="U581" s="92"/>
      <c r="V581" s="92"/>
      <c r="W581" s="92"/>
      <c r="X581" s="92"/>
      <c r="Y581" s="92"/>
      <c r="Z581" s="92"/>
    </row>
    <row r="582" spans="1:26" ht="12.75">
      <c r="A582" s="92" t="s">
        <v>7207</v>
      </c>
      <c r="B582" s="372">
        <v>2018</v>
      </c>
      <c r="C582" s="372">
        <v>29528861</v>
      </c>
      <c r="D582" s="92"/>
      <c r="E582" s="261" t="str">
        <f t="shared" si="0"/>
        <v>https://pubmed.ncbi.nlm.nih.gov/29528861</v>
      </c>
      <c r="F582" s="92" t="s">
        <v>511</v>
      </c>
      <c r="G582" s="92" t="s">
        <v>4592</v>
      </c>
      <c r="H582" s="92"/>
      <c r="I582" s="92"/>
      <c r="J582" s="92"/>
      <c r="K582" s="92"/>
      <c r="L582" s="92"/>
      <c r="M582" s="92"/>
      <c r="N582" s="92"/>
      <c r="O582" s="92"/>
      <c r="P582" s="92"/>
      <c r="Q582" s="92"/>
      <c r="R582" s="92"/>
      <c r="S582" s="92"/>
      <c r="T582" s="92"/>
      <c r="U582" s="92"/>
      <c r="V582" s="92"/>
      <c r="W582" s="92"/>
      <c r="X582" s="92"/>
      <c r="Y582" s="92"/>
      <c r="Z582" s="92"/>
    </row>
    <row r="583" spans="1:26" ht="12.75">
      <c r="A583" s="92" t="s">
        <v>7208</v>
      </c>
      <c r="B583" s="372">
        <v>2019</v>
      </c>
      <c r="C583" s="372">
        <v>30958392</v>
      </c>
      <c r="D583" s="92" t="s">
        <v>7209</v>
      </c>
      <c r="E583" s="261" t="str">
        <f t="shared" si="0"/>
        <v>https://pubmed.ncbi.nlm.nih.gov/30958392</v>
      </c>
      <c r="F583" s="92" t="s">
        <v>511</v>
      </c>
      <c r="G583" s="92" t="s">
        <v>8412</v>
      </c>
      <c r="H583" s="92"/>
      <c r="I583" s="92"/>
      <c r="J583" s="92"/>
      <c r="K583" s="92"/>
      <c r="L583" s="92"/>
      <c r="M583" s="92"/>
      <c r="N583" s="92"/>
      <c r="O583" s="92"/>
      <c r="P583" s="92"/>
      <c r="Q583" s="92"/>
      <c r="R583" s="92"/>
      <c r="S583" s="92"/>
      <c r="T583" s="92"/>
      <c r="U583" s="92"/>
      <c r="V583" s="92"/>
      <c r="W583" s="92"/>
      <c r="X583" s="92"/>
      <c r="Y583" s="92"/>
      <c r="Z583" s="92"/>
    </row>
    <row r="584" spans="1:26" ht="12.75">
      <c r="A584" s="92" t="s">
        <v>7210</v>
      </c>
      <c r="B584" s="372">
        <v>2011</v>
      </c>
      <c r="C584" s="372">
        <v>21529928</v>
      </c>
      <c r="D584" s="92"/>
      <c r="E584" s="261" t="str">
        <f t="shared" si="0"/>
        <v>https://pubmed.ncbi.nlm.nih.gov/21529928</v>
      </c>
      <c r="F584" s="92" t="s">
        <v>511</v>
      </c>
      <c r="G584" s="374" t="s">
        <v>5157</v>
      </c>
      <c r="H584" s="21"/>
      <c r="I584" s="21"/>
      <c r="J584" s="92"/>
      <c r="K584" s="92"/>
      <c r="L584" s="92"/>
      <c r="M584" s="92"/>
      <c r="N584" s="92"/>
      <c r="O584" s="92"/>
      <c r="P584" s="92"/>
      <c r="Q584" s="92"/>
      <c r="R584" s="92"/>
      <c r="S584" s="92"/>
      <c r="T584" s="92"/>
      <c r="U584" s="92"/>
      <c r="V584" s="92"/>
      <c r="W584" s="92"/>
      <c r="X584" s="92"/>
      <c r="Y584" s="92"/>
      <c r="Z584" s="92"/>
    </row>
    <row r="585" spans="1:26" ht="12.75">
      <c r="A585" s="92" t="s">
        <v>7211</v>
      </c>
      <c r="B585" s="372">
        <v>2017</v>
      </c>
      <c r="C585" s="372">
        <v>27859599</v>
      </c>
      <c r="D585" s="92"/>
      <c r="E585" s="261" t="str">
        <f t="shared" si="0"/>
        <v>https://pubmed.ncbi.nlm.nih.gov/27859599</v>
      </c>
      <c r="F585" s="92" t="s">
        <v>511</v>
      </c>
      <c r="G585" s="374" t="s">
        <v>4744</v>
      </c>
      <c r="H585" s="92"/>
      <c r="I585" s="374" t="s">
        <v>6429</v>
      </c>
      <c r="J585" s="92"/>
      <c r="K585" s="92"/>
      <c r="L585" s="92"/>
      <c r="M585" s="92"/>
      <c r="N585" s="92"/>
      <c r="O585" s="92"/>
      <c r="P585" s="92"/>
      <c r="Q585" s="92"/>
      <c r="R585" s="92"/>
      <c r="S585" s="92"/>
      <c r="T585" s="92"/>
      <c r="U585" s="92"/>
      <c r="V585" s="92"/>
      <c r="W585" s="92"/>
      <c r="X585" s="92"/>
      <c r="Y585" s="92"/>
      <c r="Z585" s="92"/>
    </row>
    <row r="586" spans="1:26" ht="12.75">
      <c r="A586" s="92" t="s">
        <v>7212</v>
      </c>
      <c r="B586" s="372">
        <v>2019</v>
      </c>
      <c r="C586" s="372">
        <v>31171018</v>
      </c>
      <c r="D586" s="92" t="s">
        <v>7213</v>
      </c>
      <c r="E586" s="261" t="str">
        <f t="shared" si="0"/>
        <v>https://pubmed.ncbi.nlm.nih.gov/31171018</v>
      </c>
      <c r="F586" s="92" t="s">
        <v>511</v>
      </c>
      <c r="G586" s="92" t="s">
        <v>4592</v>
      </c>
      <c r="H586" s="92"/>
      <c r="I586" s="92"/>
      <c r="J586" s="92"/>
      <c r="K586" s="92"/>
      <c r="L586" s="92"/>
      <c r="M586" s="92"/>
      <c r="N586" s="92"/>
      <c r="O586" s="92"/>
      <c r="P586" s="92"/>
      <c r="Q586" s="92"/>
      <c r="R586" s="92"/>
      <c r="S586" s="92"/>
      <c r="T586" s="92"/>
      <c r="U586" s="92"/>
      <c r="V586" s="92"/>
      <c r="W586" s="92"/>
      <c r="X586" s="92"/>
      <c r="Y586" s="92"/>
      <c r="Z586" s="92"/>
    </row>
    <row r="587" spans="1:26" ht="12.75">
      <c r="A587" s="92" t="s">
        <v>7214</v>
      </c>
      <c r="B587" s="372">
        <v>2019</v>
      </c>
      <c r="C587" s="372">
        <v>30617677</v>
      </c>
      <c r="D587" s="92"/>
      <c r="E587" s="261" t="str">
        <f t="shared" si="0"/>
        <v>https://pubmed.ncbi.nlm.nih.gov/30617677</v>
      </c>
      <c r="F587" s="92" t="s">
        <v>511</v>
      </c>
      <c r="G587" s="92" t="s">
        <v>8412</v>
      </c>
      <c r="H587" s="92"/>
      <c r="I587" s="92"/>
      <c r="J587" s="92"/>
      <c r="K587" s="92"/>
      <c r="L587" s="92"/>
      <c r="M587" s="92"/>
      <c r="N587" s="92"/>
      <c r="O587" s="92"/>
      <c r="P587" s="92"/>
      <c r="Q587" s="92"/>
      <c r="R587" s="92"/>
      <c r="S587" s="92"/>
      <c r="T587" s="92"/>
      <c r="U587" s="92"/>
      <c r="V587" s="92"/>
      <c r="W587" s="92"/>
      <c r="X587" s="92"/>
      <c r="Y587" s="92"/>
      <c r="Z587" s="92"/>
    </row>
    <row r="588" spans="1:26" ht="12.75">
      <c r="A588" s="92" t="s">
        <v>7214</v>
      </c>
      <c r="B588" s="372">
        <v>2019</v>
      </c>
      <c r="C588" s="372">
        <v>31119554</v>
      </c>
      <c r="D588" s="92"/>
      <c r="E588" s="261" t="str">
        <f t="shared" si="0"/>
        <v>https://pubmed.ncbi.nlm.nih.gov/31119554</v>
      </c>
      <c r="F588" s="92" t="s">
        <v>511</v>
      </c>
      <c r="G588" s="92" t="s">
        <v>8412</v>
      </c>
      <c r="H588" s="92"/>
      <c r="I588" s="92"/>
      <c r="J588" s="92"/>
      <c r="K588" s="92"/>
      <c r="L588" s="92"/>
      <c r="M588" s="92"/>
      <c r="N588" s="92"/>
      <c r="O588" s="92"/>
      <c r="P588" s="92"/>
      <c r="Q588" s="92"/>
      <c r="R588" s="92"/>
      <c r="S588" s="92"/>
      <c r="T588" s="92"/>
      <c r="U588" s="92"/>
      <c r="V588" s="92"/>
      <c r="W588" s="92"/>
      <c r="X588" s="92"/>
      <c r="Y588" s="92"/>
      <c r="Z588" s="92"/>
    </row>
    <row r="589" spans="1:26" ht="12.75">
      <c r="A589" s="92" t="s">
        <v>7214</v>
      </c>
      <c r="B589" s="372">
        <v>2019</v>
      </c>
      <c r="C589" s="372">
        <v>30391446</v>
      </c>
      <c r="D589" s="92"/>
      <c r="E589" s="261" t="str">
        <f t="shared" si="0"/>
        <v>https://pubmed.ncbi.nlm.nih.gov/30391446</v>
      </c>
      <c r="F589" s="92" t="s">
        <v>511</v>
      </c>
      <c r="G589" s="92" t="s">
        <v>8412</v>
      </c>
      <c r="H589" s="92"/>
      <c r="I589" s="92"/>
      <c r="J589" s="92"/>
      <c r="K589" s="92"/>
      <c r="L589" s="92"/>
      <c r="M589" s="92"/>
      <c r="N589" s="92"/>
      <c r="O589" s="92"/>
      <c r="P589" s="92"/>
      <c r="Q589" s="92"/>
      <c r="R589" s="92"/>
      <c r="S589" s="92"/>
      <c r="T589" s="92"/>
      <c r="U589" s="92"/>
      <c r="V589" s="92"/>
      <c r="W589" s="92"/>
      <c r="X589" s="92"/>
      <c r="Y589" s="92"/>
      <c r="Z589" s="92"/>
    </row>
    <row r="590" spans="1:26" ht="12.75">
      <c r="A590" s="92" t="s">
        <v>7214</v>
      </c>
      <c r="B590" s="372">
        <v>2018</v>
      </c>
      <c r="C590" s="372">
        <v>29377080</v>
      </c>
      <c r="D590" s="92"/>
      <c r="E590" s="261" t="str">
        <f t="shared" si="0"/>
        <v>https://pubmed.ncbi.nlm.nih.gov/29377080</v>
      </c>
      <c r="F590" s="92" t="s">
        <v>511</v>
      </c>
      <c r="G590" s="92" t="s">
        <v>8412</v>
      </c>
      <c r="H590" s="92"/>
      <c r="I590" s="92"/>
      <c r="J590" s="92"/>
      <c r="K590" s="92"/>
      <c r="L590" s="92"/>
      <c r="M590" s="92"/>
      <c r="N590" s="92"/>
      <c r="O590" s="92"/>
      <c r="P590" s="92"/>
      <c r="Q590" s="92"/>
      <c r="R590" s="92"/>
      <c r="S590" s="92"/>
      <c r="T590" s="92"/>
      <c r="U590" s="92"/>
      <c r="V590" s="92"/>
      <c r="W590" s="92"/>
      <c r="X590" s="92"/>
      <c r="Y590" s="92"/>
      <c r="Z590" s="92"/>
    </row>
    <row r="591" spans="1:26" ht="12.75">
      <c r="A591" s="92" t="s">
        <v>7215</v>
      </c>
      <c r="B591" s="372">
        <v>2021</v>
      </c>
      <c r="C591" s="372">
        <v>33765062</v>
      </c>
      <c r="D591" s="92"/>
      <c r="E591" s="261" t="str">
        <f t="shared" si="0"/>
        <v>https://pubmed.ncbi.nlm.nih.gov/33765062</v>
      </c>
      <c r="F591" s="92" t="s">
        <v>511</v>
      </c>
      <c r="G591" s="374" t="s">
        <v>4346</v>
      </c>
      <c r="H591" s="92"/>
      <c r="I591" s="92"/>
      <c r="J591" s="92"/>
      <c r="K591" s="92"/>
      <c r="L591" s="92"/>
      <c r="M591" s="92"/>
      <c r="N591" s="92"/>
      <c r="O591" s="92"/>
      <c r="P591" s="92"/>
      <c r="Q591" s="92"/>
      <c r="R591" s="92"/>
      <c r="S591" s="92"/>
      <c r="T591" s="92"/>
      <c r="U591" s="92"/>
      <c r="V591" s="92"/>
      <c r="W591" s="92"/>
      <c r="X591" s="92"/>
      <c r="Y591" s="92"/>
      <c r="Z591" s="92"/>
    </row>
    <row r="592" spans="1:26" ht="12.75">
      <c r="A592" s="92" t="s">
        <v>7216</v>
      </c>
      <c r="B592" s="372">
        <v>1995</v>
      </c>
      <c r="C592" s="372">
        <v>7595741</v>
      </c>
      <c r="D592" s="92"/>
      <c r="E592" s="261" t="str">
        <f t="shared" si="0"/>
        <v>https://pubmed.ncbi.nlm.nih.gov/7595741</v>
      </c>
      <c r="F592" s="92" t="s">
        <v>511</v>
      </c>
      <c r="G592" s="374" t="s">
        <v>4744</v>
      </c>
      <c r="H592" s="21"/>
      <c r="I592" s="92"/>
      <c r="J592" s="92"/>
      <c r="K592" s="92"/>
      <c r="L592" s="92"/>
      <c r="M592" s="92"/>
      <c r="N592" s="92"/>
      <c r="O592" s="92"/>
      <c r="P592" s="92"/>
      <c r="Q592" s="92"/>
      <c r="R592" s="92"/>
      <c r="S592" s="92"/>
      <c r="T592" s="92"/>
      <c r="U592" s="92"/>
      <c r="V592" s="92"/>
      <c r="W592" s="92"/>
      <c r="X592" s="92"/>
      <c r="Y592" s="92"/>
      <c r="Z592" s="92"/>
    </row>
    <row r="593" spans="1:26" ht="12.75">
      <c r="A593" s="92" t="s">
        <v>7217</v>
      </c>
      <c r="B593" s="372">
        <v>2020</v>
      </c>
      <c r="C593" s="372">
        <v>33264546</v>
      </c>
      <c r="D593" s="92"/>
      <c r="E593" s="261" t="str">
        <f t="shared" si="0"/>
        <v>https://pubmed.ncbi.nlm.nih.gov/33264546</v>
      </c>
      <c r="F593" s="92" t="s">
        <v>511</v>
      </c>
      <c r="G593" s="374" t="s">
        <v>4744</v>
      </c>
      <c r="H593" s="21"/>
      <c r="I593" s="92"/>
      <c r="J593" s="92"/>
      <c r="K593" s="92"/>
      <c r="L593" s="92"/>
      <c r="M593" s="92"/>
      <c r="N593" s="92"/>
      <c r="O593" s="92"/>
      <c r="P593" s="92"/>
      <c r="Q593" s="92"/>
      <c r="R593" s="92"/>
      <c r="S593" s="92"/>
      <c r="T593" s="92"/>
      <c r="U593" s="92"/>
      <c r="V593" s="92"/>
      <c r="W593" s="92"/>
      <c r="X593" s="92"/>
      <c r="Y593" s="92"/>
      <c r="Z593" s="92"/>
    </row>
    <row r="594" spans="1:26" ht="12.75">
      <c r="A594" s="92" t="s">
        <v>7218</v>
      </c>
      <c r="B594" s="372">
        <v>2012</v>
      </c>
      <c r="C594" s="372">
        <v>22513930</v>
      </c>
      <c r="D594" s="92" t="s">
        <v>7219</v>
      </c>
      <c r="E594" s="261" t="str">
        <f t="shared" si="0"/>
        <v>https://pubmed.ncbi.nlm.nih.gov/22513930</v>
      </c>
      <c r="F594" s="92" t="s">
        <v>511</v>
      </c>
      <c r="G594" s="92" t="s">
        <v>4592</v>
      </c>
      <c r="H594" s="92"/>
      <c r="I594" s="92"/>
      <c r="J594" s="92"/>
      <c r="K594" s="92"/>
      <c r="L594" s="92"/>
      <c r="M594" s="92"/>
      <c r="N594" s="92"/>
      <c r="O594" s="92"/>
      <c r="P594" s="92"/>
      <c r="Q594" s="92"/>
      <c r="R594" s="92"/>
      <c r="S594" s="92"/>
      <c r="T594" s="92"/>
      <c r="U594" s="92"/>
      <c r="V594" s="92"/>
      <c r="W594" s="92"/>
      <c r="X594" s="92"/>
      <c r="Y594" s="92"/>
      <c r="Z594" s="92"/>
    </row>
    <row r="595" spans="1:26" ht="12.75">
      <c r="A595" s="92" t="s">
        <v>7218</v>
      </c>
      <c r="B595" s="372">
        <v>2006</v>
      </c>
      <c r="C595" s="372">
        <v>16625638</v>
      </c>
      <c r="D595" s="92"/>
      <c r="E595" s="261" t="str">
        <f t="shared" si="0"/>
        <v>https://pubmed.ncbi.nlm.nih.gov/16625638</v>
      </c>
      <c r="F595" s="92" t="s">
        <v>511</v>
      </c>
      <c r="G595" s="92" t="s">
        <v>4592</v>
      </c>
      <c r="H595" s="92"/>
      <c r="I595" s="92"/>
      <c r="J595" s="92"/>
      <c r="K595" s="92"/>
      <c r="L595" s="92"/>
      <c r="M595" s="92"/>
      <c r="N595" s="92"/>
      <c r="O595" s="92"/>
      <c r="P595" s="92"/>
      <c r="Q595" s="92"/>
      <c r="R595" s="92"/>
      <c r="S595" s="92"/>
      <c r="T595" s="92"/>
      <c r="U595" s="92"/>
      <c r="V595" s="92"/>
      <c r="W595" s="92"/>
      <c r="X595" s="92"/>
      <c r="Y595" s="92"/>
      <c r="Z595" s="92"/>
    </row>
    <row r="596" spans="1:26" ht="12.75">
      <c r="A596" s="92" t="s">
        <v>7220</v>
      </c>
      <c r="B596" s="372">
        <v>2002</v>
      </c>
      <c r="C596" s="372">
        <v>11899571</v>
      </c>
      <c r="D596" s="92"/>
      <c r="E596" s="261" t="str">
        <f t="shared" si="0"/>
        <v>https://pubmed.ncbi.nlm.nih.gov/11899571</v>
      </c>
      <c r="F596" s="92" t="s">
        <v>511</v>
      </c>
      <c r="G596" s="92" t="s">
        <v>6623</v>
      </c>
      <c r="H596" s="92"/>
      <c r="I596" s="92"/>
      <c r="J596" s="92"/>
      <c r="K596" s="92"/>
      <c r="L596" s="92"/>
      <c r="M596" s="92"/>
      <c r="N596" s="92"/>
      <c r="O596" s="92"/>
      <c r="P596" s="92"/>
      <c r="Q596" s="92"/>
      <c r="R596" s="92"/>
      <c r="S596" s="92"/>
      <c r="T596" s="92"/>
      <c r="U596" s="92"/>
      <c r="V596" s="92"/>
      <c r="W596" s="92"/>
      <c r="X596" s="92"/>
      <c r="Y596" s="92"/>
      <c r="Z596" s="92"/>
    </row>
    <row r="597" spans="1:26" ht="12.75">
      <c r="A597" s="92" t="s">
        <v>7221</v>
      </c>
      <c r="B597" s="372">
        <v>2017</v>
      </c>
      <c r="C597" s="372">
        <v>28341755</v>
      </c>
      <c r="D597" s="92" t="s">
        <v>7222</v>
      </c>
      <c r="E597" s="261" t="str">
        <f t="shared" si="0"/>
        <v>https://pubmed.ncbi.nlm.nih.gov/28341755</v>
      </c>
      <c r="F597" s="92" t="s">
        <v>511</v>
      </c>
      <c r="G597" s="374" t="s">
        <v>7223</v>
      </c>
      <c r="H597" s="21"/>
      <c r="I597" s="92"/>
      <c r="J597" s="92"/>
      <c r="K597" s="92"/>
      <c r="L597" s="92"/>
      <c r="M597" s="92"/>
      <c r="N597" s="92"/>
      <c r="O597" s="92"/>
      <c r="P597" s="92"/>
      <c r="Q597" s="92"/>
      <c r="R597" s="92"/>
      <c r="S597" s="92"/>
      <c r="T597" s="92"/>
      <c r="U597" s="92"/>
      <c r="V597" s="92"/>
      <c r="W597" s="92"/>
      <c r="X597" s="92"/>
      <c r="Y597" s="92"/>
      <c r="Z597" s="92"/>
    </row>
    <row r="598" spans="1:26" ht="12.75">
      <c r="A598" s="92" t="s">
        <v>4045</v>
      </c>
      <c r="B598" s="372">
        <v>2019</v>
      </c>
      <c r="C598" s="372">
        <v>31494096</v>
      </c>
      <c r="D598" s="92"/>
      <c r="E598" s="376" t="str">
        <f t="shared" si="0"/>
        <v>https://pubmed.ncbi.nlm.nih.gov/31494096</v>
      </c>
      <c r="F598" s="21"/>
      <c r="G598" s="92"/>
      <c r="H598" s="92" t="s">
        <v>511</v>
      </c>
      <c r="I598" s="92"/>
      <c r="J598" s="92"/>
      <c r="K598" s="92"/>
      <c r="L598" s="92"/>
      <c r="M598" s="92"/>
      <c r="N598" s="92"/>
      <c r="O598" s="92"/>
      <c r="P598" s="92"/>
      <c r="Q598" s="92"/>
      <c r="R598" s="92"/>
      <c r="S598" s="92"/>
      <c r="T598" s="92"/>
      <c r="U598" s="92"/>
      <c r="V598" s="92"/>
      <c r="W598" s="92"/>
      <c r="X598" s="92"/>
      <c r="Y598" s="92"/>
      <c r="Z598" s="92"/>
    </row>
    <row r="599" spans="1:26" ht="12.75">
      <c r="A599" s="92" t="s">
        <v>7224</v>
      </c>
      <c r="B599" s="372">
        <v>2014</v>
      </c>
      <c r="C599" s="372">
        <v>24790646</v>
      </c>
      <c r="D599" s="92" t="s">
        <v>7225</v>
      </c>
      <c r="E599" s="261" t="str">
        <f t="shared" si="0"/>
        <v>https://pubmed.ncbi.nlm.nih.gov/24790646</v>
      </c>
      <c r="F599" s="92" t="s">
        <v>511</v>
      </c>
      <c r="G599" s="92" t="s">
        <v>4592</v>
      </c>
      <c r="H599" s="92"/>
      <c r="I599" s="92"/>
      <c r="J599" s="92"/>
      <c r="K599" s="92"/>
      <c r="L599" s="92"/>
      <c r="M599" s="92"/>
      <c r="N599" s="92"/>
      <c r="O599" s="92"/>
      <c r="P599" s="92"/>
      <c r="Q599" s="92"/>
      <c r="R599" s="92"/>
      <c r="S599" s="92"/>
      <c r="T599" s="92"/>
      <c r="U599" s="92"/>
      <c r="V599" s="92"/>
      <c r="W599" s="92"/>
      <c r="X599" s="92"/>
      <c r="Y599" s="92"/>
      <c r="Z599" s="92"/>
    </row>
    <row r="600" spans="1:26" ht="12.75">
      <c r="A600" s="92" t="s">
        <v>7226</v>
      </c>
      <c r="B600" s="372">
        <v>2014</v>
      </c>
      <c r="C600" s="372">
        <v>25236917</v>
      </c>
      <c r="D600" s="92"/>
      <c r="E600" s="261" t="str">
        <f t="shared" si="0"/>
        <v>https://pubmed.ncbi.nlm.nih.gov/25236917</v>
      </c>
      <c r="F600" s="92" t="s">
        <v>511</v>
      </c>
      <c r="G600" s="374" t="s">
        <v>6412</v>
      </c>
      <c r="H600" s="21"/>
      <c r="I600" s="92"/>
      <c r="J600" s="92"/>
      <c r="K600" s="92"/>
      <c r="L600" s="92"/>
      <c r="M600" s="92"/>
      <c r="N600" s="92"/>
      <c r="O600" s="92"/>
      <c r="P600" s="92"/>
      <c r="Q600" s="92"/>
      <c r="R600" s="92"/>
      <c r="S600" s="92"/>
      <c r="T600" s="92"/>
      <c r="U600" s="92"/>
      <c r="V600" s="92"/>
      <c r="W600" s="92"/>
      <c r="X600" s="92"/>
      <c r="Y600" s="92"/>
      <c r="Z600" s="92"/>
    </row>
    <row r="601" spans="1:26" ht="12.75">
      <c r="A601" s="92" t="s">
        <v>7227</v>
      </c>
      <c r="B601" s="372">
        <v>2017</v>
      </c>
      <c r="C601" s="372">
        <v>28062950</v>
      </c>
      <c r="D601" s="92"/>
      <c r="E601" s="261" t="str">
        <f t="shared" si="0"/>
        <v>https://pubmed.ncbi.nlm.nih.gov/28062950</v>
      </c>
      <c r="F601" s="92" t="s">
        <v>511</v>
      </c>
      <c r="G601" s="374" t="s">
        <v>4744</v>
      </c>
      <c r="H601" s="21"/>
      <c r="I601" s="92"/>
      <c r="J601" s="92"/>
      <c r="K601" s="92"/>
      <c r="L601" s="92"/>
      <c r="M601" s="92"/>
      <c r="N601" s="92"/>
      <c r="O601" s="92"/>
      <c r="P601" s="92"/>
      <c r="Q601" s="92"/>
      <c r="R601" s="92"/>
      <c r="S601" s="92"/>
      <c r="T601" s="92"/>
      <c r="U601" s="92"/>
      <c r="V601" s="92"/>
      <c r="W601" s="92"/>
      <c r="X601" s="92"/>
      <c r="Y601" s="92"/>
      <c r="Z601" s="92"/>
    </row>
    <row r="602" spans="1:26" ht="12.75">
      <c r="A602" s="92" t="s">
        <v>7228</v>
      </c>
      <c r="B602" s="372">
        <v>2013</v>
      </c>
      <c r="C602" s="372">
        <v>23795817</v>
      </c>
      <c r="D602" s="92"/>
      <c r="E602" s="261" t="str">
        <f t="shared" si="0"/>
        <v>https://pubmed.ncbi.nlm.nih.gov/23795817</v>
      </c>
      <c r="F602" s="92" t="s">
        <v>511</v>
      </c>
      <c r="G602" s="92" t="s">
        <v>4592</v>
      </c>
      <c r="H602" s="92"/>
      <c r="I602" s="92"/>
      <c r="J602" s="92"/>
      <c r="K602" s="92"/>
      <c r="L602" s="92"/>
      <c r="M602" s="92"/>
      <c r="N602" s="92"/>
      <c r="O602" s="92"/>
      <c r="P602" s="92"/>
      <c r="Q602" s="92"/>
      <c r="R602" s="92"/>
      <c r="S602" s="92"/>
      <c r="T602" s="92"/>
      <c r="U602" s="92"/>
      <c r="V602" s="92"/>
      <c r="W602" s="92"/>
      <c r="X602" s="92"/>
      <c r="Y602" s="92"/>
      <c r="Z602" s="92"/>
    </row>
    <row r="603" spans="1:26" ht="12.75">
      <c r="A603" s="92" t="s">
        <v>7229</v>
      </c>
      <c r="B603" s="372">
        <v>2002</v>
      </c>
      <c r="C603" s="372">
        <v>12053708</v>
      </c>
      <c r="D603" s="92" t="s">
        <v>7230</v>
      </c>
      <c r="E603" s="261" t="str">
        <f t="shared" si="0"/>
        <v>https://pubmed.ncbi.nlm.nih.gov/12053708</v>
      </c>
      <c r="F603" s="92" t="s">
        <v>511</v>
      </c>
      <c r="G603" s="92" t="s">
        <v>4592</v>
      </c>
      <c r="H603" s="92"/>
      <c r="I603" s="92"/>
      <c r="J603" s="92"/>
      <c r="K603" s="92"/>
      <c r="L603" s="92"/>
      <c r="M603" s="92"/>
      <c r="N603" s="92"/>
      <c r="O603" s="92"/>
      <c r="P603" s="92"/>
      <c r="Q603" s="92"/>
      <c r="R603" s="92"/>
      <c r="S603" s="92"/>
      <c r="T603" s="92"/>
      <c r="U603" s="92"/>
      <c r="V603" s="92"/>
      <c r="W603" s="92"/>
      <c r="X603" s="92"/>
      <c r="Y603" s="92"/>
      <c r="Z603" s="92"/>
    </row>
    <row r="604" spans="1:26" ht="12.75">
      <c r="A604" s="92" t="s">
        <v>423</v>
      </c>
      <c r="B604" s="372">
        <v>2020</v>
      </c>
      <c r="C604" s="372">
        <v>32066978</v>
      </c>
      <c r="D604" s="92"/>
      <c r="E604" s="376" t="str">
        <f t="shared" si="0"/>
        <v>https://pubmed.ncbi.nlm.nih.gov/32066978</v>
      </c>
      <c r="F604" s="21"/>
      <c r="G604" s="92"/>
      <c r="H604" s="92" t="s">
        <v>511</v>
      </c>
      <c r="I604" s="92"/>
      <c r="J604" s="92"/>
      <c r="K604" s="92"/>
      <c r="L604" s="92"/>
      <c r="M604" s="92"/>
      <c r="N604" s="92"/>
      <c r="O604" s="92"/>
      <c r="P604" s="92"/>
      <c r="Q604" s="92"/>
      <c r="R604" s="92"/>
      <c r="S604" s="92"/>
      <c r="T604" s="92"/>
      <c r="U604" s="92"/>
      <c r="V604" s="92"/>
      <c r="W604" s="92"/>
      <c r="X604" s="92"/>
      <c r="Y604" s="92"/>
      <c r="Z604" s="92"/>
    </row>
    <row r="605" spans="1:26" ht="12.75">
      <c r="A605" s="92" t="s">
        <v>7231</v>
      </c>
      <c r="B605" s="372">
        <v>2002</v>
      </c>
      <c r="C605" s="372">
        <v>11953468</v>
      </c>
      <c r="D605" s="92" t="s">
        <v>7232</v>
      </c>
      <c r="E605" s="261" t="str">
        <f t="shared" si="0"/>
        <v>https://pubmed.ncbi.nlm.nih.gov/11953468</v>
      </c>
      <c r="F605" s="92" t="s">
        <v>511</v>
      </c>
      <c r="G605" s="92" t="s">
        <v>4433</v>
      </c>
      <c r="H605" s="92"/>
      <c r="I605" s="92"/>
      <c r="J605" s="92"/>
      <c r="K605" s="92"/>
      <c r="L605" s="92"/>
      <c r="M605" s="92"/>
      <c r="N605" s="92"/>
      <c r="O605" s="92"/>
      <c r="P605" s="92"/>
      <c r="Q605" s="92"/>
      <c r="R605" s="92"/>
      <c r="S605" s="92"/>
      <c r="T605" s="92"/>
      <c r="U605" s="92"/>
      <c r="V605" s="92"/>
      <c r="W605" s="92"/>
      <c r="X605" s="92"/>
      <c r="Y605" s="92"/>
      <c r="Z605" s="92"/>
    </row>
    <row r="606" spans="1:26" ht="12.75">
      <c r="A606" s="92" t="s">
        <v>7233</v>
      </c>
      <c r="B606" s="372">
        <v>2001</v>
      </c>
      <c r="C606" s="372">
        <v>11397654</v>
      </c>
      <c r="D606" s="92"/>
      <c r="E606" s="261" t="str">
        <f t="shared" si="0"/>
        <v>https://pubmed.ncbi.nlm.nih.gov/11397654</v>
      </c>
      <c r="F606" s="92" t="s">
        <v>511</v>
      </c>
      <c r="G606" s="92" t="s">
        <v>4592</v>
      </c>
      <c r="H606" s="92"/>
      <c r="I606" s="92"/>
      <c r="J606" s="92"/>
      <c r="K606" s="92"/>
      <c r="L606" s="92"/>
      <c r="M606" s="92"/>
      <c r="N606" s="92"/>
      <c r="O606" s="92"/>
      <c r="P606" s="92"/>
      <c r="Q606" s="92"/>
      <c r="R606" s="92"/>
      <c r="S606" s="92"/>
      <c r="T606" s="92"/>
      <c r="U606" s="92"/>
      <c r="V606" s="92"/>
      <c r="W606" s="92"/>
      <c r="X606" s="92"/>
      <c r="Y606" s="92"/>
      <c r="Z606" s="92"/>
    </row>
    <row r="607" spans="1:26" ht="12.75">
      <c r="A607" s="92" t="s">
        <v>7234</v>
      </c>
      <c r="B607" s="372">
        <v>2017</v>
      </c>
      <c r="C607" s="372">
        <v>28146402</v>
      </c>
      <c r="D607" s="92"/>
      <c r="E607" s="261" t="str">
        <f t="shared" si="0"/>
        <v>https://pubmed.ncbi.nlm.nih.gov/28146402</v>
      </c>
      <c r="F607" s="92" t="s">
        <v>511</v>
      </c>
      <c r="G607" s="374" t="s">
        <v>5157</v>
      </c>
      <c r="H607" s="21"/>
      <c r="I607" s="21"/>
      <c r="J607" s="92"/>
      <c r="K607" s="92"/>
      <c r="L607" s="92"/>
      <c r="M607" s="92"/>
      <c r="N607" s="92"/>
      <c r="O607" s="92"/>
      <c r="P607" s="92"/>
      <c r="Q607" s="92"/>
      <c r="R607" s="92"/>
      <c r="S607" s="92"/>
      <c r="T607" s="92"/>
      <c r="U607" s="92"/>
      <c r="V607" s="92"/>
      <c r="W607" s="92"/>
      <c r="X607" s="92"/>
      <c r="Y607" s="92"/>
      <c r="Z607" s="92"/>
    </row>
    <row r="608" spans="1:26" ht="12.75">
      <c r="A608" s="92" t="s">
        <v>7235</v>
      </c>
      <c r="B608" s="372">
        <v>2009</v>
      </c>
      <c r="C608" s="372">
        <v>19135496</v>
      </c>
      <c r="D608" s="92"/>
      <c r="E608" s="261" t="str">
        <f t="shared" si="0"/>
        <v>https://pubmed.ncbi.nlm.nih.gov/19135496</v>
      </c>
      <c r="F608" s="92" t="s">
        <v>511</v>
      </c>
      <c r="G608" s="374" t="s">
        <v>7236</v>
      </c>
      <c r="H608" s="21"/>
      <c r="I608" s="92"/>
      <c r="J608" s="92"/>
      <c r="K608" s="92"/>
      <c r="L608" s="92"/>
      <c r="M608" s="92"/>
      <c r="N608" s="92"/>
      <c r="O608" s="92"/>
      <c r="P608" s="92"/>
      <c r="Q608" s="92"/>
      <c r="R608" s="92"/>
      <c r="S608" s="92"/>
      <c r="T608" s="92"/>
      <c r="U608" s="92"/>
      <c r="V608" s="92"/>
      <c r="W608" s="92"/>
      <c r="X608" s="92"/>
      <c r="Y608" s="92"/>
      <c r="Z608" s="92"/>
    </row>
    <row r="609" spans="1:26" ht="12.75">
      <c r="A609" s="92" t="s">
        <v>7237</v>
      </c>
      <c r="B609" s="372">
        <v>2013</v>
      </c>
      <c r="C609" s="372">
        <v>23203821</v>
      </c>
      <c r="D609" s="92"/>
      <c r="E609" s="261" t="str">
        <f t="shared" si="0"/>
        <v>https://pubmed.ncbi.nlm.nih.gov/23203821</v>
      </c>
      <c r="F609" s="92" t="s">
        <v>511</v>
      </c>
      <c r="G609" s="374" t="s">
        <v>4867</v>
      </c>
      <c r="H609" s="21"/>
      <c r="I609" s="92"/>
      <c r="J609" s="92"/>
      <c r="K609" s="92"/>
      <c r="L609" s="92"/>
      <c r="M609" s="92"/>
      <c r="N609" s="92"/>
      <c r="O609" s="92"/>
      <c r="P609" s="92"/>
      <c r="Q609" s="92"/>
      <c r="R609" s="92"/>
      <c r="S609" s="92"/>
      <c r="T609" s="92"/>
      <c r="U609" s="92"/>
      <c r="V609" s="92"/>
      <c r="W609" s="92"/>
      <c r="X609" s="92"/>
      <c r="Y609" s="92"/>
      <c r="Z609" s="92"/>
    </row>
    <row r="610" spans="1:26" ht="12.75">
      <c r="A610" s="92" t="s">
        <v>7238</v>
      </c>
      <c r="B610" s="372">
        <v>2012</v>
      </c>
      <c r="C610" s="372">
        <v>22609040</v>
      </c>
      <c r="D610" s="92"/>
      <c r="E610" s="261" t="str">
        <f t="shared" si="0"/>
        <v>https://pubmed.ncbi.nlm.nih.gov/22609040</v>
      </c>
      <c r="F610" s="92" t="s">
        <v>511</v>
      </c>
      <c r="G610" s="374" t="s">
        <v>4744</v>
      </c>
      <c r="H610" s="21"/>
      <c r="I610" s="92"/>
      <c r="J610" s="92"/>
      <c r="K610" s="92"/>
      <c r="L610" s="92"/>
      <c r="M610" s="92"/>
      <c r="N610" s="92"/>
      <c r="O610" s="92"/>
      <c r="P610" s="92"/>
      <c r="Q610" s="92"/>
      <c r="R610" s="92"/>
      <c r="S610" s="92"/>
      <c r="T610" s="92"/>
      <c r="U610" s="92"/>
      <c r="V610" s="92"/>
      <c r="W610" s="92"/>
      <c r="X610" s="92"/>
      <c r="Y610" s="92"/>
      <c r="Z610" s="92"/>
    </row>
    <row r="611" spans="1:26" ht="12.75">
      <c r="A611" s="92" t="s">
        <v>7239</v>
      </c>
      <c r="B611" s="372">
        <v>2013</v>
      </c>
      <c r="C611" s="372">
        <v>23835762</v>
      </c>
      <c r="D611" s="92" t="s">
        <v>7240</v>
      </c>
      <c r="E611" s="261" t="str">
        <f t="shared" si="0"/>
        <v>https://pubmed.ncbi.nlm.nih.gov/23835762</v>
      </c>
      <c r="F611" s="92" t="s">
        <v>511</v>
      </c>
      <c r="G611" s="92" t="s">
        <v>4592</v>
      </c>
      <c r="H611" s="92"/>
      <c r="I611" s="92"/>
      <c r="J611" s="92"/>
      <c r="K611" s="92"/>
      <c r="L611" s="92"/>
      <c r="M611" s="92"/>
      <c r="N611" s="92"/>
      <c r="O611" s="92"/>
      <c r="P611" s="92"/>
      <c r="Q611" s="92"/>
      <c r="R611" s="92"/>
      <c r="S611" s="92"/>
      <c r="T611" s="92"/>
      <c r="U611" s="92"/>
      <c r="V611" s="92"/>
      <c r="W611" s="92"/>
      <c r="X611" s="92"/>
      <c r="Y611" s="92"/>
      <c r="Z611" s="92"/>
    </row>
    <row r="612" spans="1:26" ht="12.75">
      <c r="A612" s="92" t="s">
        <v>7241</v>
      </c>
      <c r="B612" s="372">
        <v>2004</v>
      </c>
      <c r="C612" s="372">
        <v>14872423</v>
      </c>
      <c r="D612" s="92"/>
      <c r="E612" s="261" t="str">
        <f t="shared" si="0"/>
        <v>https://pubmed.ncbi.nlm.nih.gov/14872423</v>
      </c>
      <c r="F612" s="92" t="s">
        <v>511</v>
      </c>
      <c r="G612" s="92" t="s">
        <v>4592</v>
      </c>
      <c r="H612" s="92"/>
      <c r="I612" s="92"/>
      <c r="J612" s="92"/>
      <c r="K612" s="92"/>
      <c r="L612" s="92"/>
      <c r="M612" s="92"/>
      <c r="N612" s="92"/>
      <c r="O612" s="92"/>
      <c r="P612" s="92"/>
      <c r="Q612" s="92"/>
      <c r="R612" s="92"/>
      <c r="S612" s="92"/>
      <c r="T612" s="92"/>
      <c r="U612" s="92"/>
      <c r="V612" s="92"/>
      <c r="W612" s="92"/>
      <c r="X612" s="92"/>
      <c r="Y612" s="92"/>
      <c r="Z612" s="92"/>
    </row>
    <row r="613" spans="1:26" ht="12.75">
      <c r="A613" s="92" t="s">
        <v>7242</v>
      </c>
      <c r="B613" s="372">
        <v>2017</v>
      </c>
      <c r="C613" s="372">
        <v>28953447</v>
      </c>
      <c r="D613" s="92"/>
      <c r="E613" s="261" t="str">
        <f t="shared" si="0"/>
        <v>https://pubmed.ncbi.nlm.nih.gov/28953447</v>
      </c>
      <c r="F613" s="92" t="s">
        <v>511</v>
      </c>
      <c r="G613" s="374" t="s">
        <v>4744</v>
      </c>
      <c r="H613" s="21"/>
      <c r="I613" s="92"/>
      <c r="J613" s="92"/>
      <c r="K613" s="92"/>
      <c r="L613" s="92"/>
      <c r="M613" s="92"/>
      <c r="N613" s="92"/>
      <c r="O613" s="92"/>
      <c r="P613" s="92"/>
      <c r="Q613" s="92"/>
      <c r="R613" s="92"/>
      <c r="S613" s="92"/>
      <c r="T613" s="92"/>
      <c r="U613" s="92"/>
      <c r="V613" s="92"/>
      <c r="W613" s="92"/>
      <c r="X613" s="92"/>
      <c r="Y613" s="92"/>
      <c r="Z613" s="92"/>
    </row>
    <row r="614" spans="1:26" ht="12.75">
      <c r="A614" s="92" t="s">
        <v>7243</v>
      </c>
      <c r="B614" s="372">
        <v>2017</v>
      </c>
      <c r="C614" s="372">
        <v>28752410</v>
      </c>
      <c r="D614" s="92" t="s">
        <v>7244</v>
      </c>
      <c r="E614" s="261" t="str">
        <f t="shared" si="0"/>
        <v>https://pubmed.ncbi.nlm.nih.gov/28752410</v>
      </c>
      <c r="F614" s="92" t="s">
        <v>511</v>
      </c>
      <c r="G614" s="374" t="s">
        <v>4656</v>
      </c>
      <c r="H614" s="92"/>
      <c r="I614" s="92"/>
      <c r="J614" s="92"/>
      <c r="K614" s="92"/>
      <c r="L614" s="92"/>
      <c r="M614" s="92"/>
      <c r="N614" s="92"/>
      <c r="O614" s="92"/>
      <c r="P614" s="92"/>
      <c r="Q614" s="92"/>
      <c r="R614" s="92"/>
      <c r="S614" s="92"/>
      <c r="T614" s="92"/>
      <c r="U614" s="92"/>
      <c r="V614" s="92"/>
      <c r="W614" s="92"/>
      <c r="X614" s="92"/>
      <c r="Y614" s="92"/>
      <c r="Z614" s="92"/>
    </row>
    <row r="615" spans="1:26" ht="12.75">
      <c r="A615" s="92" t="s">
        <v>7245</v>
      </c>
      <c r="B615" s="372">
        <v>2010</v>
      </c>
      <c r="C615" s="372">
        <v>21044300</v>
      </c>
      <c r="D615" s="92" t="s">
        <v>7246</v>
      </c>
      <c r="E615" s="261" t="str">
        <f t="shared" si="0"/>
        <v>https://pubmed.ncbi.nlm.nih.gov/21044300</v>
      </c>
      <c r="F615" s="92" t="s">
        <v>511</v>
      </c>
      <c r="G615" s="374" t="s">
        <v>7247</v>
      </c>
      <c r="H615" s="21"/>
      <c r="I615" s="92"/>
      <c r="J615" s="92"/>
      <c r="K615" s="92"/>
      <c r="L615" s="92"/>
      <c r="M615" s="92"/>
      <c r="N615" s="92"/>
      <c r="O615" s="92"/>
      <c r="P615" s="92"/>
      <c r="Q615" s="92"/>
      <c r="R615" s="92"/>
      <c r="S615" s="92"/>
      <c r="T615" s="92"/>
      <c r="U615" s="92"/>
      <c r="V615" s="92"/>
      <c r="W615" s="92"/>
      <c r="X615" s="92"/>
      <c r="Y615" s="92"/>
      <c r="Z615" s="92"/>
    </row>
    <row r="616" spans="1:26" ht="12.75">
      <c r="A616" s="92" t="s">
        <v>7248</v>
      </c>
      <c r="B616" s="372">
        <v>2016</v>
      </c>
      <c r="C616" s="372">
        <v>26208394</v>
      </c>
      <c r="D616" s="92" t="s">
        <v>7249</v>
      </c>
      <c r="E616" s="261" t="str">
        <f t="shared" si="0"/>
        <v>https://pubmed.ncbi.nlm.nih.gov/26208394</v>
      </c>
      <c r="F616" s="92" t="s">
        <v>511</v>
      </c>
      <c r="G616" s="374" t="s">
        <v>7250</v>
      </c>
      <c r="H616" s="21"/>
      <c r="I616" s="92"/>
      <c r="J616" s="92"/>
      <c r="K616" s="92"/>
      <c r="L616" s="92"/>
      <c r="M616" s="92"/>
      <c r="N616" s="92"/>
      <c r="O616" s="92"/>
      <c r="P616" s="92"/>
      <c r="Q616" s="92"/>
      <c r="R616" s="92"/>
      <c r="S616" s="92"/>
      <c r="T616" s="92"/>
      <c r="U616" s="92"/>
      <c r="V616" s="92"/>
      <c r="W616" s="92"/>
      <c r="X616" s="92"/>
      <c r="Y616" s="92"/>
      <c r="Z616" s="92"/>
    </row>
    <row r="617" spans="1:26" ht="12.75">
      <c r="A617" s="92" t="s">
        <v>7251</v>
      </c>
      <c r="B617" s="372">
        <v>2009</v>
      </c>
      <c r="C617" s="372">
        <v>19738121</v>
      </c>
      <c r="D617" s="92"/>
      <c r="E617" s="261" t="str">
        <f t="shared" si="0"/>
        <v>https://pubmed.ncbi.nlm.nih.gov/19738121</v>
      </c>
      <c r="F617" s="92" t="s">
        <v>511</v>
      </c>
      <c r="G617" s="92" t="s">
        <v>4592</v>
      </c>
      <c r="H617" s="92"/>
      <c r="I617" s="92"/>
      <c r="J617" s="92"/>
      <c r="K617" s="92"/>
      <c r="L617" s="92"/>
      <c r="M617" s="92"/>
      <c r="N617" s="92"/>
      <c r="O617" s="92"/>
      <c r="P617" s="92"/>
      <c r="Q617" s="92"/>
      <c r="R617" s="92"/>
      <c r="S617" s="92"/>
      <c r="T617" s="92"/>
      <c r="U617" s="92"/>
      <c r="V617" s="92"/>
      <c r="W617" s="92"/>
      <c r="X617" s="92"/>
      <c r="Y617" s="92"/>
      <c r="Z617" s="92"/>
    </row>
    <row r="618" spans="1:26" ht="12.75">
      <c r="A618" s="92" t="s">
        <v>7252</v>
      </c>
      <c r="B618" s="372">
        <v>2008</v>
      </c>
      <c r="C618" s="372">
        <v>18273724</v>
      </c>
      <c r="D618" s="92"/>
      <c r="E618" s="261" t="str">
        <f t="shared" si="0"/>
        <v>https://pubmed.ncbi.nlm.nih.gov/18273724</v>
      </c>
      <c r="F618" s="92" t="s">
        <v>511</v>
      </c>
      <c r="G618" s="374" t="s">
        <v>7253</v>
      </c>
      <c r="H618" s="21"/>
      <c r="I618" s="92"/>
      <c r="J618" s="92"/>
      <c r="K618" s="92"/>
      <c r="L618" s="92"/>
      <c r="M618" s="92"/>
      <c r="N618" s="92"/>
      <c r="O618" s="92"/>
      <c r="P618" s="92"/>
      <c r="Q618" s="92"/>
      <c r="R618" s="92"/>
      <c r="S618" s="92"/>
      <c r="T618" s="92"/>
      <c r="U618" s="92"/>
      <c r="V618" s="92"/>
      <c r="W618" s="92"/>
      <c r="X618" s="92"/>
      <c r="Y618" s="92"/>
      <c r="Z618" s="92"/>
    </row>
    <row r="619" spans="1:26" ht="12.75">
      <c r="A619" s="92" t="s">
        <v>7254</v>
      </c>
      <c r="B619" s="372">
        <v>2019</v>
      </c>
      <c r="C619" s="372">
        <v>30243964</v>
      </c>
      <c r="D619" s="92"/>
      <c r="E619" s="261" t="str">
        <f t="shared" si="0"/>
        <v>https://pubmed.ncbi.nlm.nih.gov/30243964</v>
      </c>
      <c r="F619" s="92" t="s">
        <v>511</v>
      </c>
      <c r="G619" s="374" t="s">
        <v>4867</v>
      </c>
      <c r="H619" s="21"/>
      <c r="I619" s="92"/>
      <c r="J619" s="92"/>
      <c r="K619" s="92"/>
      <c r="L619" s="92"/>
      <c r="M619" s="92"/>
      <c r="N619" s="92"/>
      <c r="O619" s="92"/>
      <c r="P619" s="92"/>
      <c r="Q619" s="92"/>
      <c r="R619" s="92"/>
      <c r="S619" s="92"/>
      <c r="T619" s="92"/>
      <c r="U619" s="92"/>
      <c r="V619" s="92"/>
      <c r="W619" s="92"/>
      <c r="X619" s="92"/>
      <c r="Y619" s="92"/>
      <c r="Z619" s="92"/>
    </row>
    <row r="620" spans="1:26" ht="12.75">
      <c r="A620" s="92" t="s">
        <v>7254</v>
      </c>
      <c r="B620" s="372">
        <v>2018</v>
      </c>
      <c r="C620" s="372">
        <v>29610442</v>
      </c>
      <c r="D620" s="92"/>
      <c r="E620" s="261" t="str">
        <f t="shared" si="0"/>
        <v>https://pubmed.ncbi.nlm.nih.gov/29610442</v>
      </c>
      <c r="F620" s="92" t="s">
        <v>511</v>
      </c>
      <c r="G620" s="374" t="s">
        <v>8435</v>
      </c>
      <c r="H620" s="21"/>
      <c r="I620" s="21"/>
      <c r="J620" s="92"/>
      <c r="K620" s="92"/>
      <c r="L620" s="92"/>
      <c r="M620" s="92"/>
      <c r="N620" s="92"/>
      <c r="O620" s="92"/>
      <c r="P620" s="92"/>
      <c r="Q620" s="92"/>
      <c r="R620" s="92"/>
      <c r="S620" s="92"/>
      <c r="T620" s="92"/>
      <c r="U620" s="92"/>
      <c r="V620" s="92"/>
      <c r="W620" s="92"/>
      <c r="X620" s="92"/>
      <c r="Y620" s="92"/>
      <c r="Z620" s="92"/>
    </row>
    <row r="621" spans="1:26" ht="12.75">
      <c r="A621" s="92" t="s">
        <v>7256</v>
      </c>
      <c r="B621" s="372">
        <v>2012</v>
      </c>
      <c r="C621" s="372">
        <v>22311561</v>
      </c>
      <c r="D621" s="92"/>
      <c r="E621" s="261" t="str">
        <f t="shared" si="0"/>
        <v>https://pubmed.ncbi.nlm.nih.gov/22311561</v>
      </c>
      <c r="F621" s="92" t="s">
        <v>511</v>
      </c>
      <c r="G621" s="92" t="s">
        <v>4592</v>
      </c>
      <c r="H621" s="92"/>
      <c r="I621" s="92"/>
      <c r="J621" s="92"/>
      <c r="K621" s="92"/>
      <c r="L621" s="92"/>
      <c r="M621" s="92"/>
      <c r="N621" s="92"/>
      <c r="O621" s="92"/>
      <c r="P621" s="92"/>
      <c r="Q621" s="92"/>
      <c r="R621" s="92"/>
      <c r="S621" s="92"/>
      <c r="T621" s="92"/>
      <c r="U621" s="92"/>
      <c r="V621" s="92"/>
      <c r="W621" s="92"/>
      <c r="X621" s="92"/>
      <c r="Y621" s="92"/>
      <c r="Z621" s="92"/>
    </row>
    <row r="622" spans="1:26" ht="12.75">
      <c r="A622" s="92" t="s">
        <v>7257</v>
      </c>
      <c r="B622" s="372">
        <v>2012</v>
      </c>
      <c r="C622" s="372">
        <v>22825365</v>
      </c>
      <c r="D622" s="92" t="s">
        <v>7258</v>
      </c>
      <c r="E622" s="261" t="str">
        <f t="shared" si="0"/>
        <v>https://pubmed.ncbi.nlm.nih.gov/22825365</v>
      </c>
      <c r="F622" s="92" t="s">
        <v>511</v>
      </c>
      <c r="G622" s="374" t="s">
        <v>4744</v>
      </c>
      <c r="H622" s="92"/>
      <c r="I622" s="92" t="s">
        <v>6625</v>
      </c>
      <c r="J622" s="92"/>
      <c r="K622" s="92"/>
      <c r="L622" s="92"/>
      <c r="M622" s="92"/>
      <c r="N622" s="92"/>
      <c r="O622" s="92"/>
      <c r="P622" s="92"/>
      <c r="Q622" s="92"/>
      <c r="R622" s="92"/>
      <c r="S622" s="92"/>
      <c r="T622" s="92"/>
      <c r="U622" s="92"/>
      <c r="V622" s="92"/>
      <c r="W622" s="92"/>
      <c r="X622" s="92"/>
      <c r="Y622" s="92"/>
      <c r="Z622" s="92"/>
    </row>
    <row r="623" spans="1:26" ht="12.75">
      <c r="A623" s="92" t="s">
        <v>7259</v>
      </c>
      <c r="B623" s="372">
        <v>2011</v>
      </c>
      <c r="C623" s="372">
        <v>21715512</v>
      </c>
      <c r="D623" s="92"/>
      <c r="E623" s="261" t="str">
        <f t="shared" si="0"/>
        <v>https://pubmed.ncbi.nlm.nih.gov/21715512</v>
      </c>
      <c r="F623" s="92" t="s">
        <v>511</v>
      </c>
      <c r="G623" s="374" t="s">
        <v>7260</v>
      </c>
      <c r="H623" s="21"/>
      <c r="I623" s="21"/>
      <c r="J623" s="92"/>
      <c r="K623" s="92"/>
      <c r="L623" s="92"/>
      <c r="M623" s="92"/>
      <c r="N623" s="92"/>
      <c r="O623" s="92"/>
      <c r="P623" s="92"/>
      <c r="Q623" s="92"/>
      <c r="R623" s="92"/>
      <c r="S623" s="92"/>
      <c r="T623" s="92"/>
      <c r="U623" s="92"/>
      <c r="V623" s="92"/>
      <c r="W623" s="92"/>
      <c r="X623" s="92"/>
      <c r="Y623" s="92"/>
      <c r="Z623" s="92"/>
    </row>
    <row r="624" spans="1:26" ht="12.75">
      <c r="A624" s="92" t="s">
        <v>7261</v>
      </c>
      <c r="B624" s="372">
        <v>2014</v>
      </c>
      <c r="C624" s="372">
        <v>24838139</v>
      </c>
      <c r="D624" s="92"/>
      <c r="E624" s="261" t="str">
        <f t="shared" si="0"/>
        <v>https://pubmed.ncbi.nlm.nih.gov/24838139</v>
      </c>
      <c r="F624" s="92" t="s">
        <v>511</v>
      </c>
      <c r="G624" s="92" t="s">
        <v>4592</v>
      </c>
      <c r="H624" s="92"/>
      <c r="I624" s="92"/>
      <c r="J624" s="92"/>
      <c r="K624" s="92"/>
      <c r="L624" s="92"/>
      <c r="M624" s="92"/>
      <c r="N624" s="92"/>
      <c r="O624" s="92"/>
      <c r="P624" s="92"/>
      <c r="Q624" s="92"/>
      <c r="R624" s="92"/>
      <c r="S624" s="92"/>
      <c r="T624" s="92"/>
      <c r="U624" s="92"/>
      <c r="V624" s="92"/>
      <c r="W624" s="92"/>
      <c r="X624" s="92"/>
      <c r="Y624" s="92"/>
      <c r="Z624" s="92"/>
    </row>
    <row r="625" spans="1:26" ht="12.75">
      <c r="A625" s="92" t="s">
        <v>7262</v>
      </c>
      <c r="B625" s="372">
        <v>2007</v>
      </c>
      <c r="C625" s="372">
        <v>17692427</v>
      </c>
      <c r="D625" s="92"/>
      <c r="E625" s="261" t="str">
        <f t="shared" si="0"/>
        <v>https://pubmed.ncbi.nlm.nih.gov/17692427</v>
      </c>
      <c r="F625" s="92" t="s">
        <v>511</v>
      </c>
      <c r="G625" s="92" t="s">
        <v>4592</v>
      </c>
      <c r="H625" s="92"/>
      <c r="I625" s="92"/>
      <c r="J625" s="92"/>
      <c r="K625" s="92"/>
      <c r="L625" s="92"/>
      <c r="M625" s="92"/>
      <c r="N625" s="92"/>
      <c r="O625" s="92"/>
      <c r="P625" s="92"/>
      <c r="Q625" s="92"/>
      <c r="R625" s="92"/>
      <c r="S625" s="92"/>
      <c r="T625" s="92"/>
      <c r="U625" s="92"/>
      <c r="V625" s="92"/>
      <c r="W625" s="92"/>
      <c r="X625" s="92"/>
      <c r="Y625" s="92"/>
      <c r="Z625" s="92"/>
    </row>
    <row r="626" spans="1:26" ht="12.75">
      <c r="A626" s="92" t="s">
        <v>7263</v>
      </c>
      <c r="B626" s="372">
        <v>2002</v>
      </c>
      <c r="C626" s="372">
        <v>11923699</v>
      </c>
      <c r="D626" s="92"/>
      <c r="E626" s="261" t="str">
        <f t="shared" si="0"/>
        <v>https://pubmed.ncbi.nlm.nih.gov/11923699</v>
      </c>
      <c r="F626" s="92" t="s">
        <v>511</v>
      </c>
      <c r="G626" s="374" t="s">
        <v>4744</v>
      </c>
      <c r="H626" s="21"/>
      <c r="I626" s="92"/>
      <c r="J626" s="92"/>
      <c r="K626" s="92"/>
      <c r="L626" s="92"/>
      <c r="M626" s="92"/>
      <c r="N626" s="92"/>
      <c r="O626" s="92"/>
      <c r="P626" s="92"/>
      <c r="Q626" s="92"/>
      <c r="R626" s="92"/>
      <c r="S626" s="92"/>
      <c r="T626" s="92"/>
      <c r="U626" s="92"/>
      <c r="V626" s="92"/>
      <c r="W626" s="92"/>
      <c r="X626" s="92"/>
      <c r="Y626" s="92"/>
      <c r="Z626" s="92"/>
    </row>
    <row r="627" spans="1:26" ht="12.75">
      <c r="A627" s="92" t="s">
        <v>7264</v>
      </c>
      <c r="B627" s="372">
        <v>2021</v>
      </c>
      <c r="C627" s="372">
        <v>33406138</v>
      </c>
      <c r="D627" s="92" t="s">
        <v>7265</v>
      </c>
      <c r="E627" s="261" t="str">
        <f t="shared" si="0"/>
        <v>https://pubmed.ncbi.nlm.nih.gov/33406138</v>
      </c>
      <c r="F627" s="92" t="s">
        <v>511</v>
      </c>
      <c r="G627" s="92" t="s">
        <v>8412</v>
      </c>
      <c r="H627" s="92"/>
      <c r="I627" s="92"/>
      <c r="J627" s="92"/>
      <c r="K627" s="92"/>
      <c r="L627" s="92"/>
      <c r="M627" s="92"/>
      <c r="N627" s="92"/>
      <c r="O627" s="92"/>
      <c r="P627" s="92"/>
      <c r="Q627" s="92"/>
      <c r="R627" s="92"/>
      <c r="S627" s="92"/>
      <c r="T627" s="92"/>
      <c r="U627" s="92"/>
      <c r="V627" s="92"/>
      <c r="W627" s="92"/>
      <c r="X627" s="92"/>
      <c r="Y627" s="92"/>
      <c r="Z627" s="92"/>
    </row>
    <row r="628" spans="1:26" ht="12.75">
      <c r="A628" s="92" t="s">
        <v>7266</v>
      </c>
      <c r="B628" s="372">
        <v>2017</v>
      </c>
      <c r="C628" s="372">
        <v>28494777</v>
      </c>
      <c r="D628" s="92" t="s">
        <v>7267</v>
      </c>
      <c r="E628" s="261" t="str">
        <f t="shared" si="0"/>
        <v>https://pubmed.ncbi.nlm.nih.gov/28494777</v>
      </c>
      <c r="F628" s="92" t="s">
        <v>511</v>
      </c>
      <c r="G628" s="374" t="s">
        <v>5157</v>
      </c>
      <c r="H628" s="21"/>
      <c r="I628" s="21"/>
      <c r="J628" s="92"/>
      <c r="K628" s="92"/>
      <c r="L628" s="92"/>
      <c r="M628" s="92"/>
      <c r="N628" s="92"/>
      <c r="O628" s="92"/>
      <c r="P628" s="92"/>
      <c r="Q628" s="92"/>
      <c r="R628" s="92"/>
      <c r="S628" s="92"/>
      <c r="T628" s="92"/>
      <c r="U628" s="92"/>
      <c r="V628" s="92"/>
      <c r="W628" s="92"/>
      <c r="X628" s="92"/>
      <c r="Y628" s="92"/>
      <c r="Z628" s="92"/>
    </row>
    <row r="629" spans="1:26" ht="12.75">
      <c r="A629" s="92" t="s">
        <v>7268</v>
      </c>
      <c r="B629" s="372">
        <v>2012</v>
      </c>
      <c r="C629" s="372">
        <v>23044202</v>
      </c>
      <c r="D629" s="92"/>
      <c r="E629" s="261" t="str">
        <f t="shared" si="0"/>
        <v>https://pubmed.ncbi.nlm.nih.gov/23044202</v>
      </c>
      <c r="F629" s="92" t="s">
        <v>511</v>
      </c>
      <c r="G629" s="374" t="s">
        <v>8436</v>
      </c>
      <c r="H629" s="92"/>
      <c r="I629" s="92"/>
      <c r="J629" s="92"/>
      <c r="K629" s="92"/>
      <c r="L629" s="92"/>
      <c r="M629" s="92"/>
      <c r="N629" s="92"/>
      <c r="O629" s="92"/>
      <c r="P629" s="92"/>
      <c r="Q629" s="92"/>
      <c r="R629" s="92"/>
      <c r="S629" s="92"/>
      <c r="T629" s="92"/>
      <c r="U629" s="92"/>
      <c r="V629" s="92"/>
      <c r="W629" s="92"/>
      <c r="X629" s="92"/>
      <c r="Y629" s="92"/>
      <c r="Z629" s="92"/>
    </row>
    <row r="630" spans="1:26" ht="12.75">
      <c r="A630" s="92" t="s">
        <v>7270</v>
      </c>
      <c r="B630" s="372">
        <v>2019</v>
      </c>
      <c r="C630" s="372">
        <v>31499732</v>
      </c>
      <c r="D630" s="92"/>
      <c r="E630" s="261" t="str">
        <f t="shared" si="0"/>
        <v>https://pubmed.ncbi.nlm.nih.gov/31499732</v>
      </c>
      <c r="F630" s="92" t="s">
        <v>511</v>
      </c>
      <c r="G630" s="92" t="s">
        <v>8412</v>
      </c>
      <c r="H630" s="92"/>
      <c r="I630" s="92"/>
      <c r="J630" s="92"/>
      <c r="K630" s="92"/>
      <c r="L630" s="92"/>
      <c r="M630" s="92"/>
      <c r="N630" s="92"/>
      <c r="O630" s="92"/>
      <c r="P630" s="92"/>
      <c r="Q630" s="92"/>
      <c r="R630" s="92"/>
      <c r="S630" s="92"/>
      <c r="T630" s="92"/>
      <c r="U630" s="92"/>
      <c r="V630" s="92"/>
      <c r="W630" s="92"/>
      <c r="X630" s="92"/>
      <c r="Y630" s="92"/>
      <c r="Z630" s="92"/>
    </row>
    <row r="631" spans="1:26" ht="12.75">
      <c r="A631" s="92" t="s">
        <v>7271</v>
      </c>
      <c r="B631" s="372">
        <v>2008</v>
      </c>
      <c r="C631" s="372">
        <v>18691983</v>
      </c>
      <c r="D631" s="92"/>
      <c r="E631" s="261" t="str">
        <f t="shared" si="0"/>
        <v>https://pubmed.ncbi.nlm.nih.gov/18691983</v>
      </c>
      <c r="F631" s="92" t="s">
        <v>511</v>
      </c>
      <c r="G631" s="92" t="s">
        <v>4592</v>
      </c>
      <c r="H631" s="92"/>
      <c r="I631" s="92"/>
      <c r="J631" s="92"/>
      <c r="K631" s="92"/>
      <c r="L631" s="92"/>
      <c r="M631" s="92"/>
      <c r="N631" s="92"/>
      <c r="O631" s="92"/>
      <c r="P631" s="92"/>
      <c r="Q631" s="92"/>
      <c r="R631" s="92"/>
      <c r="S631" s="92"/>
      <c r="T631" s="92"/>
      <c r="U631" s="92"/>
      <c r="V631" s="92"/>
      <c r="W631" s="92"/>
      <c r="X631" s="92"/>
      <c r="Y631" s="92"/>
      <c r="Z631" s="92"/>
    </row>
    <row r="632" spans="1:26" ht="12.75">
      <c r="A632" s="92" t="s">
        <v>7272</v>
      </c>
      <c r="B632" s="372">
        <v>2020</v>
      </c>
      <c r="C632" s="372">
        <v>32393496</v>
      </c>
      <c r="D632" s="92" t="s">
        <v>6291</v>
      </c>
      <c r="E632" s="261" t="str">
        <f t="shared" si="0"/>
        <v>https://pubmed.ncbi.nlm.nih.gov/32393496</v>
      </c>
      <c r="F632" s="92" t="s">
        <v>511</v>
      </c>
      <c r="G632" s="374" t="s">
        <v>4867</v>
      </c>
      <c r="H632" s="21"/>
      <c r="I632" s="92"/>
      <c r="J632" s="92"/>
      <c r="K632" s="92"/>
      <c r="L632" s="92"/>
      <c r="M632" s="92"/>
      <c r="N632" s="92"/>
      <c r="O632" s="92"/>
      <c r="P632" s="92"/>
      <c r="Q632" s="92"/>
      <c r="R632" s="92"/>
      <c r="S632" s="92"/>
      <c r="T632" s="92"/>
      <c r="U632" s="92"/>
      <c r="V632" s="92"/>
      <c r="W632" s="92"/>
      <c r="X632" s="92"/>
      <c r="Y632" s="92"/>
      <c r="Z632" s="92"/>
    </row>
    <row r="633" spans="1:26" ht="12.75">
      <c r="A633" s="92" t="s">
        <v>7273</v>
      </c>
      <c r="B633" s="372">
        <v>2008</v>
      </c>
      <c r="C633" s="372">
        <v>18363895</v>
      </c>
      <c r="D633" s="92"/>
      <c r="E633" s="261" t="str">
        <f t="shared" si="0"/>
        <v>https://pubmed.ncbi.nlm.nih.gov/18363895</v>
      </c>
      <c r="F633" s="92" t="s">
        <v>511</v>
      </c>
      <c r="G633" s="374" t="s">
        <v>4744</v>
      </c>
      <c r="H633" s="21"/>
      <c r="I633" s="92"/>
      <c r="J633" s="92"/>
      <c r="K633" s="92"/>
      <c r="L633" s="92"/>
      <c r="M633" s="92"/>
      <c r="N633" s="92"/>
      <c r="O633" s="92"/>
      <c r="P633" s="92"/>
      <c r="Q633" s="92"/>
      <c r="R633" s="92"/>
      <c r="S633" s="92"/>
      <c r="T633" s="92"/>
      <c r="U633" s="92"/>
      <c r="V633" s="92"/>
      <c r="W633" s="92"/>
      <c r="X633" s="92"/>
      <c r="Y633" s="92"/>
      <c r="Z633" s="92"/>
    </row>
    <row r="634" spans="1:26" ht="12.75">
      <c r="A634" s="92" t="s">
        <v>7274</v>
      </c>
      <c r="B634" s="372">
        <v>2011</v>
      </c>
      <c r="C634" s="372">
        <v>21874744</v>
      </c>
      <c r="D634" s="92"/>
      <c r="E634" s="261" t="str">
        <f t="shared" si="0"/>
        <v>https://pubmed.ncbi.nlm.nih.gov/21874744</v>
      </c>
      <c r="F634" s="92" t="s">
        <v>511</v>
      </c>
      <c r="G634" s="92" t="s">
        <v>4592</v>
      </c>
      <c r="H634" s="92"/>
      <c r="I634" s="92"/>
      <c r="J634" s="92"/>
      <c r="K634" s="92"/>
      <c r="L634" s="92"/>
      <c r="M634" s="92"/>
      <c r="N634" s="92"/>
      <c r="O634" s="92"/>
      <c r="P634" s="92"/>
      <c r="Q634" s="92"/>
      <c r="R634" s="92"/>
      <c r="S634" s="92"/>
      <c r="T634" s="92"/>
      <c r="U634" s="92"/>
      <c r="V634" s="92"/>
      <c r="W634" s="92"/>
      <c r="X634" s="92"/>
      <c r="Y634" s="92"/>
      <c r="Z634" s="92"/>
    </row>
    <row r="635" spans="1:26" ht="12.75">
      <c r="A635" s="92" t="s">
        <v>7275</v>
      </c>
      <c r="B635" s="372">
        <v>2020</v>
      </c>
      <c r="C635" s="372">
        <v>32229520</v>
      </c>
      <c r="D635" s="92" t="s">
        <v>7276</v>
      </c>
      <c r="E635" s="261" t="str">
        <f t="shared" si="0"/>
        <v>https://pubmed.ncbi.nlm.nih.gov/32229520</v>
      </c>
      <c r="F635" s="92" t="s">
        <v>511</v>
      </c>
      <c r="G635" s="374" t="s">
        <v>5299</v>
      </c>
      <c r="H635" s="21"/>
      <c r="I635" s="92"/>
      <c r="J635" s="92"/>
      <c r="K635" s="92"/>
      <c r="L635" s="92"/>
      <c r="M635" s="92"/>
      <c r="N635" s="92"/>
      <c r="O635" s="92"/>
      <c r="P635" s="92"/>
      <c r="Q635" s="92"/>
      <c r="R635" s="92"/>
      <c r="S635" s="92"/>
      <c r="T635" s="92"/>
      <c r="U635" s="92"/>
      <c r="V635" s="92"/>
      <c r="W635" s="92"/>
      <c r="X635" s="92"/>
      <c r="Y635" s="92"/>
      <c r="Z635" s="92"/>
    </row>
    <row r="636" spans="1:26" ht="12.75">
      <c r="A636" s="92" t="s">
        <v>7277</v>
      </c>
      <c r="B636" s="372">
        <v>2019</v>
      </c>
      <c r="C636" s="372">
        <v>30844887</v>
      </c>
      <c r="D636" s="92" t="s">
        <v>7278</v>
      </c>
      <c r="E636" s="261" t="str">
        <f t="shared" si="0"/>
        <v>https://pubmed.ncbi.nlm.nih.gov/30844887</v>
      </c>
      <c r="F636" s="92" t="s">
        <v>511</v>
      </c>
      <c r="G636" s="92" t="s">
        <v>4592</v>
      </c>
      <c r="H636" s="92"/>
      <c r="I636" s="92"/>
      <c r="J636" s="92"/>
      <c r="K636" s="92"/>
      <c r="L636" s="92"/>
      <c r="M636" s="92"/>
      <c r="N636" s="92"/>
      <c r="O636" s="92"/>
      <c r="P636" s="92"/>
      <c r="Q636" s="92"/>
      <c r="R636" s="92"/>
      <c r="S636" s="92"/>
      <c r="T636" s="92"/>
      <c r="U636" s="92"/>
      <c r="V636" s="92"/>
      <c r="W636" s="92"/>
      <c r="X636" s="92"/>
      <c r="Y636" s="92"/>
      <c r="Z636" s="92"/>
    </row>
    <row r="637" spans="1:26" ht="12.75">
      <c r="A637" s="92" t="s">
        <v>7279</v>
      </c>
      <c r="B637" s="372">
        <v>2015</v>
      </c>
      <c r="C637" s="372">
        <v>25773054</v>
      </c>
      <c r="D637" s="92"/>
      <c r="E637" s="261" t="str">
        <f t="shared" si="0"/>
        <v>https://pubmed.ncbi.nlm.nih.gov/25773054</v>
      </c>
      <c r="F637" s="92" t="s">
        <v>511</v>
      </c>
      <c r="G637" s="92" t="s">
        <v>4592</v>
      </c>
      <c r="H637" s="92"/>
      <c r="I637" s="92"/>
      <c r="J637" s="92"/>
      <c r="K637" s="92"/>
      <c r="L637" s="92"/>
      <c r="M637" s="92"/>
      <c r="N637" s="92"/>
      <c r="O637" s="92"/>
      <c r="P637" s="92"/>
      <c r="Q637" s="92"/>
      <c r="R637" s="92"/>
      <c r="S637" s="92"/>
      <c r="T637" s="92"/>
      <c r="U637" s="92"/>
      <c r="V637" s="92"/>
      <c r="W637" s="92"/>
      <c r="X637" s="92"/>
      <c r="Y637" s="92"/>
      <c r="Z637" s="92"/>
    </row>
    <row r="638" spans="1:26" ht="12.75">
      <c r="A638" s="92" t="s">
        <v>7280</v>
      </c>
      <c r="B638" s="372">
        <v>2019</v>
      </c>
      <c r="C638" s="372">
        <v>31631355</v>
      </c>
      <c r="D638" s="92"/>
      <c r="E638" s="261" t="str">
        <f t="shared" si="0"/>
        <v>https://pubmed.ncbi.nlm.nih.gov/31631355</v>
      </c>
      <c r="F638" s="92" t="s">
        <v>511</v>
      </c>
      <c r="G638" s="374" t="s">
        <v>7281</v>
      </c>
      <c r="H638" s="21"/>
      <c r="I638" s="21"/>
      <c r="J638" s="92"/>
      <c r="K638" s="92"/>
      <c r="L638" s="92"/>
      <c r="M638" s="92"/>
      <c r="N638" s="92"/>
      <c r="O638" s="92"/>
      <c r="P638" s="92"/>
      <c r="Q638" s="92"/>
      <c r="R638" s="92"/>
      <c r="S638" s="92"/>
      <c r="T638" s="92"/>
      <c r="U638" s="92"/>
      <c r="V638" s="92"/>
      <c r="W638" s="92"/>
      <c r="X638" s="92"/>
      <c r="Y638" s="92"/>
      <c r="Z638" s="92"/>
    </row>
    <row r="639" spans="1:26" ht="12.75">
      <c r="A639" s="92" t="s">
        <v>7282</v>
      </c>
      <c r="B639" s="372">
        <v>2012</v>
      </c>
      <c r="C639" s="372">
        <v>22398670</v>
      </c>
      <c r="D639" s="92"/>
      <c r="E639" s="261" t="str">
        <f t="shared" si="0"/>
        <v>https://pubmed.ncbi.nlm.nih.gov/22398670</v>
      </c>
      <c r="F639" s="92" t="s">
        <v>511</v>
      </c>
      <c r="G639" s="374" t="s">
        <v>4744</v>
      </c>
      <c r="H639" s="21"/>
      <c r="I639" s="92"/>
      <c r="J639" s="92"/>
      <c r="K639" s="92"/>
      <c r="L639" s="92"/>
      <c r="M639" s="92"/>
      <c r="N639" s="92"/>
      <c r="O639" s="92"/>
      <c r="P639" s="92"/>
      <c r="Q639" s="92"/>
      <c r="R639" s="92"/>
      <c r="S639" s="92"/>
      <c r="T639" s="92"/>
      <c r="U639" s="92"/>
      <c r="V639" s="92"/>
      <c r="W639" s="92"/>
      <c r="X639" s="92"/>
      <c r="Y639" s="92"/>
      <c r="Z639" s="92"/>
    </row>
    <row r="640" spans="1:26" ht="12.75">
      <c r="A640" s="92" t="s">
        <v>7283</v>
      </c>
      <c r="B640" s="372">
        <v>2013</v>
      </c>
      <c r="C640" s="372">
        <v>24092568</v>
      </c>
      <c r="D640" s="92"/>
      <c r="E640" s="261" t="str">
        <f t="shared" si="0"/>
        <v>https://pubmed.ncbi.nlm.nih.gov/24092568</v>
      </c>
      <c r="F640" s="92" t="s">
        <v>511</v>
      </c>
      <c r="G640" s="374" t="s">
        <v>5157</v>
      </c>
      <c r="H640" s="21"/>
      <c r="I640" s="21"/>
      <c r="J640" s="92"/>
      <c r="K640" s="92"/>
      <c r="L640" s="92"/>
      <c r="M640" s="92"/>
      <c r="N640" s="92"/>
      <c r="O640" s="92"/>
      <c r="P640" s="92"/>
      <c r="Q640" s="92"/>
      <c r="R640" s="92"/>
      <c r="S640" s="92"/>
      <c r="T640" s="92"/>
      <c r="U640" s="92"/>
      <c r="V640" s="92"/>
      <c r="W640" s="92"/>
      <c r="X640" s="92"/>
      <c r="Y640" s="92"/>
      <c r="Z640" s="92"/>
    </row>
    <row r="641" spans="1:26" ht="12.75">
      <c r="A641" s="92" t="s">
        <v>7284</v>
      </c>
      <c r="B641" s="372">
        <v>2020</v>
      </c>
      <c r="C641" s="372">
        <v>31900271</v>
      </c>
      <c r="D641" s="92" t="s">
        <v>7285</v>
      </c>
      <c r="E641" s="261" t="str">
        <f t="shared" si="0"/>
        <v>https://pubmed.ncbi.nlm.nih.gov/31900271</v>
      </c>
      <c r="F641" s="92" t="s">
        <v>511</v>
      </c>
      <c r="G641" s="92" t="s">
        <v>8412</v>
      </c>
      <c r="H641" s="92"/>
      <c r="I641" s="92"/>
      <c r="J641" s="92"/>
      <c r="K641" s="92"/>
      <c r="L641" s="92"/>
      <c r="M641" s="92"/>
      <c r="N641" s="92"/>
      <c r="O641" s="92"/>
      <c r="P641" s="92"/>
      <c r="Q641" s="92"/>
      <c r="R641" s="92"/>
      <c r="S641" s="92"/>
      <c r="T641" s="92"/>
      <c r="U641" s="92"/>
      <c r="V641" s="92"/>
      <c r="W641" s="92"/>
      <c r="X641" s="92"/>
      <c r="Y641" s="92"/>
      <c r="Z641" s="92"/>
    </row>
    <row r="642" spans="1:26" ht="12.75">
      <c r="A642" s="92" t="s">
        <v>7286</v>
      </c>
      <c r="B642" s="372">
        <v>2012</v>
      </c>
      <c r="C642" s="372">
        <v>23076910</v>
      </c>
      <c r="D642" s="92" t="s">
        <v>7287</v>
      </c>
      <c r="E642" s="261" t="str">
        <f t="shared" si="0"/>
        <v>https://pubmed.ncbi.nlm.nih.gov/23076910</v>
      </c>
      <c r="F642" s="92" t="s">
        <v>511</v>
      </c>
      <c r="G642" s="92" t="s">
        <v>4592</v>
      </c>
      <c r="H642" s="92"/>
      <c r="I642" s="92"/>
      <c r="J642" s="92"/>
      <c r="K642" s="92"/>
      <c r="L642" s="92"/>
      <c r="M642" s="92"/>
      <c r="N642" s="92"/>
      <c r="O642" s="92"/>
      <c r="P642" s="92"/>
      <c r="Q642" s="92"/>
      <c r="R642" s="92"/>
      <c r="S642" s="92"/>
      <c r="T642" s="92"/>
      <c r="U642" s="92"/>
      <c r="V642" s="92"/>
      <c r="W642" s="92"/>
      <c r="X642" s="92"/>
      <c r="Y642" s="92"/>
      <c r="Z642" s="92"/>
    </row>
    <row r="643" spans="1:26" ht="12.75">
      <c r="A643" s="92" t="s">
        <v>7286</v>
      </c>
      <c r="B643" s="372">
        <v>2006</v>
      </c>
      <c r="C643" s="372">
        <v>16437501</v>
      </c>
      <c r="D643" s="92"/>
      <c r="E643" s="261" t="str">
        <f t="shared" si="0"/>
        <v>https://pubmed.ncbi.nlm.nih.gov/16437501</v>
      </c>
      <c r="F643" s="92" t="s">
        <v>511</v>
      </c>
      <c r="G643" s="92" t="s">
        <v>4592</v>
      </c>
      <c r="H643" s="92"/>
      <c r="I643" s="92"/>
      <c r="J643" s="92"/>
      <c r="K643" s="92"/>
      <c r="L643" s="92"/>
      <c r="M643" s="92"/>
      <c r="N643" s="92"/>
      <c r="O643" s="92"/>
      <c r="P643" s="92"/>
      <c r="Q643" s="92"/>
      <c r="R643" s="92"/>
      <c r="S643" s="92"/>
      <c r="T643" s="92"/>
      <c r="U643" s="92"/>
      <c r="V643" s="92"/>
      <c r="W643" s="92"/>
      <c r="X643" s="92"/>
      <c r="Y643" s="92"/>
      <c r="Z643" s="92"/>
    </row>
    <row r="644" spans="1:26" ht="12.75">
      <c r="A644" s="92" t="s">
        <v>7288</v>
      </c>
      <c r="B644" s="372">
        <v>2014</v>
      </c>
      <c r="C644" s="372">
        <v>24963105</v>
      </c>
      <c r="D644" s="92" t="s">
        <v>7289</v>
      </c>
      <c r="E644" s="261" t="str">
        <f t="shared" si="0"/>
        <v>https://pubmed.ncbi.nlm.nih.gov/24963105</v>
      </c>
      <c r="F644" s="92" t="s">
        <v>511</v>
      </c>
      <c r="G644" s="374" t="s">
        <v>7290</v>
      </c>
      <c r="H644" s="21"/>
      <c r="I644" s="21"/>
      <c r="J644" s="92"/>
      <c r="K644" s="92"/>
      <c r="L644" s="92"/>
      <c r="M644" s="92"/>
      <c r="N644" s="92"/>
      <c r="O644" s="92"/>
      <c r="P644" s="92"/>
      <c r="Q644" s="92"/>
      <c r="R644" s="92"/>
      <c r="S644" s="92"/>
      <c r="T644" s="92"/>
      <c r="U644" s="92"/>
      <c r="V644" s="92"/>
      <c r="W644" s="92"/>
      <c r="X644" s="92"/>
      <c r="Y644" s="92"/>
      <c r="Z644" s="92"/>
    </row>
    <row r="645" spans="1:26" ht="12.75">
      <c r="A645" s="92" t="s">
        <v>7291</v>
      </c>
      <c r="B645" s="372">
        <v>2015</v>
      </c>
      <c r="C645" s="372">
        <v>26606533</v>
      </c>
      <c r="D645" s="92"/>
      <c r="E645" s="261" t="str">
        <f t="shared" si="0"/>
        <v>https://pubmed.ncbi.nlm.nih.gov/26606533</v>
      </c>
      <c r="F645" s="92" t="s">
        <v>511</v>
      </c>
      <c r="G645" s="92" t="s">
        <v>4592</v>
      </c>
      <c r="H645" s="92"/>
      <c r="I645" s="92"/>
      <c r="J645" s="92"/>
      <c r="K645" s="92"/>
      <c r="L645" s="92"/>
      <c r="M645" s="92"/>
      <c r="N645" s="92"/>
      <c r="O645" s="92"/>
      <c r="P645" s="92"/>
      <c r="Q645" s="92"/>
      <c r="R645" s="92"/>
      <c r="S645" s="92"/>
      <c r="T645" s="92"/>
      <c r="U645" s="92"/>
      <c r="V645" s="92"/>
      <c r="W645" s="92"/>
      <c r="X645" s="92"/>
      <c r="Y645" s="92"/>
      <c r="Z645" s="92"/>
    </row>
    <row r="646" spans="1:26" ht="12.75">
      <c r="A646" s="92" t="s">
        <v>1071</v>
      </c>
      <c r="B646" s="372">
        <v>2020</v>
      </c>
      <c r="C646" s="372">
        <v>32938444</v>
      </c>
      <c r="D646" s="92" t="s">
        <v>4174</v>
      </c>
      <c r="E646" s="376" t="str">
        <f t="shared" si="0"/>
        <v>https://pubmed.ncbi.nlm.nih.gov/32938444</v>
      </c>
      <c r="F646" s="21"/>
      <c r="G646" s="92"/>
      <c r="H646" s="92" t="s">
        <v>511</v>
      </c>
      <c r="I646" s="92"/>
      <c r="J646" s="92"/>
      <c r="K646" s="92"/>
      <c r="L646" s="92"/>
      <c r="M646" s="92"/>
      <c r="N646" s="92"/>
      <c r="O646" s="92"/>
      <c r="P646" s="92"/>
      <c r="Q646" s="92"/>
      <c r="R646" s="92"/>
      <c r="S646" s="92"/>
      <c r="T646" s="92"/>
      <c r="U646" s="92"/>
      <c r="V646" s="92"/>
      <c r="W646" s="92"/>
      <c r="X646" s="92"/>
      <c r="Y646" s="92"/>
      <c r="Z646" s="92"/>
    </row>
    <row r="647" spans="1:26" ht="12.75">
      <c r="A647" s="92" t="s">
        <v>7292</v>
      </c>
      <c r="B647" s="372">
        <v>2017</v>
      </c>
      <c r="C647" s="372">
        <v>28592581</v>
      </c>
      <c r="D647" s="92" t="s">
        <v>7293</v>
      </c>
      <c r="E647" s="261" t="str">
        <f t="shared" si="0"/>
        <v>https://pubmed.ncbi.nlm.nih.gov/28592581</v>
      </c>
      <c r="F647" s="92" t="s">
        <v>511</v>
      </c>
      <c r="G647" s="374" t="s">
        <v>4867</v>
      </c>
      <c r="H647" s="21"/>
      <c r="I647" s="92"/>
      <c r="J647" s="92"/>
      <c r="K647" s="92"/>
      <c r="L647" s="92"/>
      <c r="M647" s="92"/>
      <c r="N647" s="92"/>
      <c r="O647" s="92"/>
      <c r="P647" s="92"/>
      <c r="Q647" s="92"/>
      <c r="R647" s="92"/>
      <c r="S647" s="92"/>
      <c r="T647" s="92"/>
      <c r="U647" s="92"/>
      <c r="V647" s="92"/>
      <c r="W647" s="92"/>
      <c r="X647" s="92"/>
      <c r="Y647" s="92"/>
      <c r="Z647" s="92"/>
    </row>
    <row r="648" spans="1:26" ht="12.75">
      <c r="A648" s="92" t="s">
        <v>7294</v>
      </c>
      <c r="B648" s="372">
        <v>2010</v>
      </c>
      <c r="C648" s="372">
        <v>20670049</v>
      </c>
      <c r="D648" s="92"/>
      <c r="E648" s="261" t="str">
        <f t="shared" si="0"/>
        <v>https://pubmed.ncbi.nlm.nih.gov/20670049</v>
      </c>
      <c r="F648" s="92" t="s">
        <v>511</v>
      </c>
      <c r="G648" s="374" t="s">
        <v>4744</v>
      </c>
      <c r="H648" s="21"/>
      <c r="I648" s="92"/>
      <c r="J648" s="92"/>
      <c r="K648" s="92"/>
      <c r="L648" s="92"/>
      <c r="M648" s="92"/>
      <c r="N648" s="92"/>
      <c r="O648" s="92"/>
      <c r="P648" s="92"/>
      <c r="Q648" s="92"/>
      <c r="R648" s="92"/>
      <c r="S648" s="92"/>
      <c r="T648" s="92"/>
      <c r="U648" s="92"/>
      <c r="V648" s="92"/>
      <c r="W648" s="92"/>
      <c r="X648" s="92"/>
      <c r="Y648" s="92"/>
      <c r="Z648" s="92"/>
    </row>
    <row r="649" spans="1:26" ht="12.75">
      <c r="A649" s="92" t="s">
        <v>7295</v>
      </c>
      <c r="B649" s="372">
        <v>2016</v>
      </c>
      <c r="C649" s="372">
        <v>26687281</v>
      </c>
      <c r="D649" s="92"/>
      <c r="E649" s="261" t="str">
        <f t="shared" si="0"/>
        <v>https://pubmed.ncbi.nlm.nih.gov/26687281</v>
      </c>
      <c r="F649" s="92" t="s">
        <v>511</v>
      </c>
      <c r="G649" s="92" t="s">
        <v>4592</v>
      </c>
      <c r="H649" s="92"/>
      <c r="I649" s="92"/>
      <c r="J649" s="92"/>
      <c r="K649" s="92"/>
      <c r="L649" s="92"/>
      <c r="M649" s="92"/>
      <c r="N649" s="92"/>
      <c r="O649" s="92"/>
      <c r="P649" s="92"/>
      <c r="Q649" s="92"/>
      <c r="R649" s="92"/>
      <c r="S649" s="92"/>
      <c r="T649" s="92"/>
      <c r="U649" s="92"/>
      <c r="V649" s="92"/>
      <c r="W649" s="92"/>
      <c r="X649" s="92"/>
      <c r="Y649" s="92"/>
      <c r="Z649" s="92"/>
    </row>
    <row r="650" spans="1:26" ht="12.75">
      <c r="A650" s="92" t="s">
        <v>7296</v>
      </c>
      <c r="B650" s="372">
        <v>2018</v>
      </c>
      <c r="C650" s="372">
        <v>30290902</v>
      </c>
      <c r="D650" s="92"/>
      <c r="E650" s="261" t="str">
        <f t="shared" si="0"/>
        <v>https://pubmed.ncbi.nlm.nih.gov/30290902</v>
      </c>
      <c r="F650" s="92" t="s">
        <v>511</v>
      </c>
      <c r="G650" s="374" t="s">
        <v>4867</v>
      </c>
      <c r="H650" s="21"/>
      <c r="I650" s="92"/>
      <c r="J650" s="92"/>
      <c r="K650" s="92"/>
      <c r="L650" s="92"/>
      <c r="M650" s="92"/>
      <c r="N650" s="92"/>
      <c r="O650" s="92"/>
      <c r="P650" s="92"/>
      <c r="Q650" s="92"/>
      <c r="R650" s="92"/>
      <c r="S650" s="92"/>
      <c r="T650" s="92"/>
      <c r="U650" s="92"/>
      <c r="V650" s="92"/>
      <c r="W650" s="92"/>
      <c r="X650" s="92"/>
      <c r="Y650" s="92"/>
      <c r="Z650" s="92"/>
    </row>
    <row r="651" spans="1:26" ht="12.75">
      <c r="A651" s="92" t="s">
        <v>7297</v>
      </c>
      <c r="B651" s="372">
        <v>2017</v>
      </c>
      <c r="C651" s="372">
        <v>28358815</v>
      </c>
      <c r="D651" s="92" t="s">
        <v>7298</v>
      </c>
      <c r="E651" s="261" t="str">
        <f t="shared" si="0"/>
        <v>https://pubmed.ncbi.nlm.nih.gov/28358815</v>
      </c>
      <c r="F651" s="92" t="s">
        <v>511</v>
      </c>
      <c r="G651" s="374" t="s">
        <v>5299</v>
      </c>
      <c r="H651" s="21"/>
      <c r="I651" s="92"/>
      <c r="J651" s="92"/>
      <c r="K651" s="92"/>
      <c r="L651" s="92"/>
      <c r="M651" s="92"/>
      <c r="N651" s="92"/>
      <c r="O651" s="92"/>
      <c r="P651" s="92"/>
      <c r="Q651" s="92"/>
      <c r="R651" s="92"/>
      <c r="S651" s="92"/>
      <c r="T651" s="92"/>
      <c r="U651" s="92"/>
      <c r="V651" s="92"/>
      <c r="W651" s="92"/>
      <c r="X651" s="92"/>
      <c r="Y651" s="92"/>
      <c r="Z651" s="92"/>
    </row>
    <row r="652" spans="1:26" ht="12.75">
      <c r="A652" s="92" t="s">
        <v>7299</v>
      </c>
      <c r="B652" s="372">
        <v>2011</v>
      </c>
      <c r="C652" s="372">
        <v>21158706</v>
      </c>
      <c r="D652" s="92"/>
      <c r="E652" s="261" t="str">
        <f t="shared" si="0"/>
        <v>https://pubmed.ncbi.nlm.nih.gov/21158706</v>
      </c>
      <c r="F652" s="92" t="s">
        <v>511</v>
      </c>
      <c r="G652" s="92" t="s">
        <v>4592</v>
      </c>
      <c r="H652" s="92"/>
      <c r="I652" s="92"/>
      <c r="J652" s="92"/>
      <c r="K652" s="92"/>
      <c r="L652" s="92"/>
      <c r="M652" s="92"/>
      <c r="N652" s="92"/>
      <c r="O652" s="92"/>
      <c r="P652" s="92"/>
      <c r="Q652" s="92"/>
      <c r="R652" s="92"/>
      <c r="S652" s="92"/>
      <c r="T652" s="92"/>
      <c r="U652" s="92"/>
      <c r="V652" s="92"/>
      <c r="W652" s="92"/>
      <c r="X652" s="92"/>
      <c r="Y652" s="92"/>
      <c r="Z652" s="92"/>
    </row>
    <row r="653" spans="1:26" ht="12.75">
      <c r="A653" s="92" t="s">
        <v>7300</v>
      </c>
      <c r="B653" s="372">
        <v>2006</v>
      </c>
      <c r="C653" s="372">
        <v>16855998</v>
      </c>
      <c r="D653" s="92"/>
      <c r="E653" s="261" t="str">
        <f t="shared" si="0"/>
        <v>https://pubmed.ncbi.nlm.nih.gov/16855998</v>
      </c>
      <c r="F653" s="92" t="s">
        <v>511</v>
      </c>
      <c r="G653" s="92" t="s">
        <v>5273</v>
      </c>
      <c r="H653" s="92"/>
      <c r="I653" s="92"/>
      <c r="J653" s="92"/>
      <c r="K653" s="92"/>
      <c r="L653" s="92"/>
      <c r="M653" s="92"/>
      <c r="N653" s="92"/>
      <c r="O653" s="92"/>
      <c r="P653" s="92"/>
      <c r="Q653" s="92"/>
      <c r="R653" s="92"/>
      <c r="S653" s="92"/>
      <c r="T653" s="92"/>
      <c r="U653" s="92"/>
      <c r="V653" s="92"/>
      <c r="W653" s="92"/>
      <c r="X653" s="92"/>
      <c r="Y653" s="92"/>
      <c r="Z653" s="92"/>
    </row>
    <row r="654" spans="1:26" ht="12.75">
      <c r="A654" s="92" t="s">
        <v>7301</v>
      </c>
      <c r="B654" s="372">
        <v>2009</v>
      </c>
      <c r="C654" s="372">
        <v>27789983</v>
      </c>
      <c r="D654" s="92" t="s">
        <v>7302</v>
      </c>
      <c r="E654" s="261" t="str">
        <f t="shared" si="0"/>
        <v>https://pubmed.ncbi.nlm.nih.gov/27789983</v>
      </c>
      <c r="F654" s="92" t="s">
        <v>511</v>
      </c>
      <c r="G654" s="92" t="s">
        <v>4592</v>
      </c>
      <c r="H654" s="92"/>
      <c r="I654" s="92"/>
      <c r="J654" s="92"/>
      <c r="K654" s="92"/>
      <c r="L654" s="92"/>
      <c r="M654" s="92"/>
      <c r="N654" s="92"/>
      <c r="O654" s="92"/>
      <c r="P654" s="92"/>
      <c r="Q654" s="92"/>
      <c r="R654" s="92"/>
      <c r="S654" s="92"/>
      <c r="T654" s="92"/>
      <c r="U654" s="92"/>
      <c r="V654" s="92"/>
      <c r="W654" s="92"/>
      <c r="X654" s="92"/>
      <c r="Y654" s="92"/>
      <c r="Z654" s="92"/>
    </row>
    <row r="655" spans="1:26" ht="12.75">
      <c r="A655" s="92" t="s">
        <v>7303</v>
      </c>
      <c r="B655" s="372">
        <v>2003</v>
      </c>
      <c r="C655" s="372">
        <v>14688494</v>
      </c>
      <c r="D655" s="92"/>
      <c r="E655" s="261" t="str">
        <f t="shared" si="0"/>
        <v>https://pubmed.ncbi.nlm.nih.gov/14688494</v>
      </c>
      <c r="F655" s="92" t="s">
        <v>511</v>
      </c>
      <c r="G655" s="92" t="s">
        <v>4592</v>
      </c>
      <c r="H655" s="92"/>
      <c r="I655" s="92"/>
      <c r="J655" s="92"/>
      <c r="K655" s="92"/>
      <c r="L655" s="92"/>
      <c r="M655" s="92"/>
      <c r="N655" s="92"/>
      <c r="O655" s="92"/>
      <c r="P655" s="92"/>
      <c r="Q655" s="92"/>
      <c r="R655" s="92"/>
      <c r="S655" s="92"/>
      <c r="T655" s="92"/>
      <c r="U655" s="92"/>
      <c r="V655" s="92"/>
      <c r="W655" s="92"/>
      <c r="X655" s="92"/>
      <c r="Y655" s="92"/>
      <c r="Z655" s="92"/>
    </row>
    <row r="656" spans="1:26" ht="12.75">
      <c r="A656" s="92" t="s">
        <v>7304</v>
      </c>
      <c r="B656" s="372">
        <v>2020</v>
      </c>
      <c r="C656" s="372">
        <v>31786491</v>
      </c>
      <c r="D656" s="92"/>
      <c r="E656" s="261" t="str">
        <f t="shared" si="0"/>
        <v>https://pubmed.ncbi.nlm.nih.gov/31786491</v>
      </c>
      <c r="F656" s="92" t="s">
        <v>511</v>
      </c>
      <c r="G656" s="92" t="s">
        <v>8412</v>
      </c>
      <c r="H656" s="92"/>
      <c r="I656" s="92"/>
      <c r="J656" s="92"/>
      <c r="K656" s="92"/>
      <c r="L656" s="92"/>
      <c r="M656" s="92"/>
      <c r="N656" s="92"/>
      <c r="O656" s="92"/>
      <c r="P656" s="92"/>
      <c r="Q656" s="92"/>
      <c r="R656" s="92"/>
      <c r="S656" s="92"/>
      <c r="T656" s="92"/>
      <c r="U656" s="92"/>
      <c r="V656" s="92"/>
      <c r="W656" s="92"/>
      <c r="X656" s="92"/>
      <c r="Y656" s="92"/>
      <c r="Z656" s="92"/>
    </row>
    <row r="657" spans="1:26" ht="12.75">
      <c r="A657" s="92" t="s">
        <v>7305</v>
      </c>
      <c r="B657" s="372">
        <v>2017</v>
      </c>
      <c r="C657" s="372">
        <v>28069279</v>
      </c>
      <c r="D657" s="92" t="s">
        <v>7306</v>
      </c>
      <c r="E657" s="261" t="str">
        <f t="shared" si="0"/>
        <v>https://pubmed.ncbi.nlm.nih.gov/28069279</v>
      </c>
      <c r="F657" s="92" t="s">
        <v>511</v>
      </c>
      <c r="G657" s="374" t="s">
        <v>4744</v>
      </c>
      <c r="H657" s="21"/>
      <c r="I657" s="92"/>
      <c r="J657" s="92"/>
      <c r="K657" s="92"/>
      <c r="L657" s="92"/>
      <c r="M657" s="92"/>
      <c r="N657" s="92"/>
      <c r="O657" s="92"/>
      <c r="P657" s="92"/>
      <c r="Q657" s="92"/>
      <c r="R657" s="92"/>
      <c r="S657" s="92"/>
      <c r="T657" s="92"/>
      <c r="U657" s="92"/>
      <c r="V657" s="92"/>
      <c r="W657" s="92"/>
      <c r="X657" s="92"/>
      <c r="Y657" s="92"/>
      <c r="Z657" s="92"/>
    </row>
    <row r="658" spans="1:26" ht="12.75">
      <c r="A658" s="92" t="s">
        <v>7307</v>
      </c>
      <c r="B658" s="372">
        <v>2005</v>
      </c>
      <c r="C658" s="372">
        <v>16414334</v>
      </c>
      <c r="D658" s="92"/>
      <c r="E658" s="261" t="str">
        <f t="shared" si="0"/>
        <v>https://pubmed.ncbi.nlm.nih.gov/16414334</v>
      </c>
      <c r="F658" s="92" t="s">
        <v>511</v>
      </c>
      <c r="G658" s="92" t="s">
        <v>4592</v>
      </c>
      <c r="H658" s="92"/>
      <c r="I658" s="92"/>
      <c r="J658" s="92"/>
      <c r="K658" s="92"/>
      <c r="L658" s="92"/>
      <c r="M658" s="92"/>
      <c r="N658" s="92"/>
      <c r="O658" s="92"/>
      <c r="P658" s="92"/>
      <c r="Q658" s="92"/>
      <c r="R658" s="92"/>
      <c r="S658" s="92"/>
      <c r="T658" s="92"/>
      <c r="U658" s="92"/>
      <c r="V658" s="92"/>
      <c r="W658" s="92"/>
      <c r="X658" s="92"/>
      <c r="Y658" s="92"/>
      <c r="Z658" s="92"/>
    </row>
    <row r="659" spans="1:26" ht="12.75">
      <c r="A659" s="92" t="s">
        <v>7308</v>
      </c>
      <c r="B659" s="372">
        <v>2016</v>
      </c>
      <c r="C659" s="372">
        <v>27912955</v>
      </c>
      <c r="D659" s="92"/>
      <c r="E659" s="261" t="str">
        <f t="shared" si="0"/>
        <v>https://pubmed.ncbi.nlm.nih.gov/27912955</v>
      </c>
      <c r="F659" s="92" t="s">
        <v>511</v>
      </c>
      <c r="G659" s="374" t="s">
        <v>5157</v>
      </c>
      <c r="H659" s="21"/>
      <c r="I659" s="21"/>
      <c r="J659" s="92"/>
      <c r="K659" s="92"/>
      <c r="L659" s="92"/>
      <c r="M659" s="92"/>
      <c r="N659" s="92"/>
      <c r="O659" s="92"/>
      <c r="P659" s="92"/>
      <c r="Q659" s="92"/>
      <c r="R659" s="92"/>
      <c r="S659" s="92"/>
      <c r="T659" s="92"/>
      <c r="U659" s="92"/>
      <c r="V659" s="92"/>
      <c r="W659" s="92"/>
      <c r="X659" s="92"/>
      <c r="Y659" s="92"/>
      <c r="Z659" s="92"/>
    </row>
    <row r="660" spans="1:26" ht="12.75">
      <c r="A660" s="92" t="s">
        <v>7309</v>
      </c>
      <c r="B660" s="372">
        <v>2015</v>
      </c>
      <c r="C660" s="372">
        <v>26023999</v>
      </c>
      <c r="D660" s="92"/>
      <c r="E660" s="261" t="str">
        <f t="shared" si="0"/>
        <v>https://pubmed.ncbi.nlm.nih.gov/26023999</v>
      </c>
      <c r="F660" s="92" t="s">
        <v>511</v>
      </c>
      <c r="G660" s="374" t="s">
        <v>7310</v>
      </c>
      <c r="H660" s="21"/>
      <c r="I660" s="21"/>
      <c r="J660" s="21"/>
      <c r="K660" s="92"/>
      <c r="L660" s="92"/>
      <c r="M660" s="92"/>
      <c r="N660" s="92"/>
      <c r="O660" s="92"/>
      <c r="P660" s="92"/>
      <c r="Q660" s="92"/>
      <c r="R660" s="92"/>
      <c r="S660" s="92"/>
      <c r="T660" s="92"/>
      <c r="U660" s="92"/>
      <c r="V660" s="92"/>
      <c r="W660" s="92"/>
      <c r="X660" s="92"/>
      <c r="Y660" s="92"/>
      <c r="Z660" s="92"/>
    </row>
    <row r="661" spans="1:26" ht="12.75">
      <c r="A661" s="92" t="s">
        <v>7311</v>
      </c>
      <c r="B661" s="372">
        <v>2017</v>
      </c>
      <c r="C661" s="372">
        <v>27796637</v>
      </c>
      <c r="D661" s="92"/>
      <c r="E661" s="261" t="str">
        <f t="shared" si="0"/>
        <v>https://pubmed.ncbi.nlm.nih.gov/27796637</v>
      </c>
      <c r="F661" s="92" t="s">
        <v>511</v>
      </c>
      <c r="G661" s="92" t="s">
        <v>4592</v>
      </c>
      <c r="H661" s="92"/>
      <c r="I661" s="92"/>
      <c r="J661" s="92"/>
      <c r="K661" s="92"/>
      <c r="L661" s="92"/>
      <c r="M661" s="92"/>
      <c r="N661" s="92"/>
      <c r="O661" s="92"/>
      <c r="P661" s="92"/>
      <c r="Q661" s="92"/>
      <c r="R661" s="92"/>
      <c r="S661" s="92"/>
      <c r="T661" s="92"/>
      <c r="U661" s="92"/>
      <c r="V661" s="92"/>
      <c r="W661" s="92"/>
      <c r="X661" s="92"/>
      <c r="Y661" s="92"/>
      <c r="Z661" s="92"/>
    </row>
    <row r="662" spans="1:26" ht="12.75">
      <c r="A662" s="92" t="s">
        <v>7312</v>
      </c>
      <c r="B662" s="372">
        <v>1998</v>
      </c>
      <c r="C662" s="372">
        <v>9660258</v>
      </c>
      <c r="D662" s="92"/>
      <c r="E662" s="261" t="str">
        <f t="shared" si="0"/>
        <v>https://pubmed.ncbi.nlm.nih.gov/9660258</v>
      </c>
      <c r="F662" s="92" t="s">
        <v>511</v>
      </c>
      <c r="G662" s="374" t="s">
        <v>7313</v>
      </c>
      <c r="H662" s="21"/>
      <c r="I662" s="21"/>
      <c r="J662" s="92"/>
      <c r="K662" s="92"/>
      <c r="L662" s="92"/>
      <c r="M662" s="92"/>
      <c r="N662" s="92"/>
      <c r="O662" s="92"/>
      <c r="P662" s="92"/>
      <c r="Q662" s="92"/>
      <c r="R662" s="92"/>
      <c r="S662" s="92"/>
      <c r="T662" s="92"/>
      <c r="U662" s="92"/>
      <c r="V662" s="92"/>
      <c r="W662" s="92"/>
      <c r="X662" s="92"/>
      <c r="Y662" s="92"/>
      <c r="Z662" s="92"/>
    </row>
    <row r="663" spans="1:26" ht="12.75">
      <c r="A663" s="92" t="s">
        <v>7314</v>
      </c>
      <c r="B663" s="372">
        <v>2015</v>
      </c>
      <c r="C663" s="372">
        <v>26252852</v>
      </c>
      <c r="D663" s="92"/>
      <c r="E663" s="261" t="str">
        <f t="shared" si="0"/>
        <v>https://pubmed.ncbi.nlm.nih.gov/26252852</v>
      </c>
      <c r="F663" s="92" t="s">
        <v>511</v>
      </c>
      <c r="G663" s="374" t="s">
        <v>7315</v>
      </c>
      <c r="H663" s="21"/>
      <c r="I663" s="92"/>
      <c r="J663" s="92"/>
      <c r="K663" s="92"/>
      <c r="L663" s="92"/>
      <c r="M663" s="92"/>
      <c r="N663" s="92"/>
      <c r="O663" s="92"/>
      <c r="P663" s="92"/>
      <c r="Q663" s="92"/>
      <c r="R663" s="92"/>
      <c r="S663" s="92"/>
      <c r="T663" s="92"/>
      <c r="U663" s="92"/>
      <c r="V663" s="92"/>
      <c r="W663" s="92"/>
      <c r="X663" s="92"/>
      <c r="Y663" s="92"/>
      <c r="Z663" s="92"/>
    </row>
    <row r="664" spans="1:26" ht="12.75">
      <c r="A664" s="92" t="s">
        <v>7316</v>
      </c>
      <c r="B664" s="372">
        <v>2013</v>
      </c>
      <c r="C664" s="372">
        <v>23378769</v>
      </c>
      <c r="D664" s="92" t="s">
        <v>7317</v>
      </c>
      <c r="E664" s="261" t="str">
        <f t="shared" si="0"/>
        <v>https://pubmed.ncbi.nlm.nih.gov/23378769</v>
      </c>
      <c r="F664" s="92" t="s">
        <v>511</v>
      </c>
      <c r="G664" s="374" t="s">
        <v>5299</v>
      </c>
      <c r="H664" s="21"/>
      <c r="I664" s="92"/>
      <c r="J664" s="92"/>
      <c r="K664" s="92"/>
      <c r="L664" s="92"/>
      <c r="M664" s="92"/>
      <c r="N664" s="92"/>
      <c r="O664" s="92"/>
      <c r="P664" s="92"/>
      <c r="Q664" s="92"/>
      <c r="R664" s="92"/>
      <c r="S664" s="92"/>
      <c r="T664" s="92"/>
      <c r="U664" s="92"/>
      <c r="V664" s="92"/>
      <c r="W664" s="92"/>
      <c r="X664" s="92"/>
      <c r="Y664" s="92"/>
      <c r="Z664" s="92"/>
    </row>
    <row r="665" spans="1:26" ht="12.75">
      <c r="A665" s="92" t="s">
        <v>7318</v>
      </c>
      <c r="B665" s="372">
        <v>2016</v>
      </c>
      <c r="C665" s="372">
        <v>26809103</v>
      </c>
      <c r="D665" s="92"/>
      <c r="E665" s="261" t="str">
        <f t="shared" si="0"/>
        <v>https://pubmed.ncbi.nlm.nih.gov/26809103</v>
      </c>
      <c r="F665" s="92" t="s">
        <v>511</v>
      </c>
      <c r="G665" s="92" t="s">
        <v>4592</v>
      </c>
      <c r="H665" s="92"/>
      <c r="I665" s="92"/>
      <c r="J665" s="92"/>
      <c r="K665" s="92"/>
      <c r="L665" s="92"/>
      <c r="M665" s="92"/>
      <c r="N665" s="92"/>
      <c r="O665" s="92"/>
      <c r="P665" s="92"/>
      <c r="Q665" s="92"/>
      <c r="R665" s="92"/>
      <c r="S665" s="92"/>
      <c r="T665" s="92"/>
      <c r="U665" s="92"/>
      <c r="V665" s="92"/>
      <c r="W665" s="92"/>
      <c r="X665" s="92"/>
      <c r="Y665" s="92"/>
      <c r="Z665" s="92"/>
    </row>
    <row r="666" spans="1:26" ht="12.75">
      <c r="A666" s="92" t="s">
        <v>7319</v>
      </c>
      <c r="B666" s="372">
        <v>2021</v>
      </c>
      <c r="C666" s="372">
        <v>33612824</v>
      </c>
      <c r="D666" s="92" t="s">
        <v>7320</v>
      </c>
      <c r="E666" s="261" t="str">
        <f t="shared" si="0"/>
        <v>https://pubmed.ncbi.nlm.nih.gov/33612824</v>
      </c>
      <c r="F666" s="92" t="s">
        <v>511</v>
      </c>
      <c r="G666" s="92" t="s">
        <v>8412</v>
      </c>
      <c r="H666" s="92"/>
      <c r="I666" s="92"/>
      <c r="J666" s="92"/>
      <c r="K666" s="92"/>
      <c r="L666" s="92"/>
      <c r="M666" s="92"/>
      <c r="N666" s="92"/>
      <c r="O666" s="92"/>
      <c r="P666" s="92"/>
      <c r="Q666" s="92"/>
      <c r="R666" s="92"/>
      <c r="S666" s="92"/>
      <c r="T666" s="92"/>
      <c r="U666" s="92"/>
      <c r="V666" s="92"/>
      <c r="W666" s="92"/>
      <c r="X666" s="92"/>
      <c r="Y666" s="92"/>
      <c r="Z666" s="92"/>
    </row>
    <row r="667" spans="1:26" ht="12.75">
      <c r="A667" s="92" t="s">
        <v>7321</v>
      </c>
      <c r="B667" s="372">
        <v>2017</v>
      </c>
      <c r="C667" s="372">
        <v>28938394</v>
      </c>
      <c r="D667" s="92"/>
      <c r="E667" s="261" t="str">
        <f t="shared" si="0"/>
        <v>https://pubmed.ncbi.nlm.nih.gov/28938394</v>
      </c>
      <c r="F667" s="92" t="s">
        <v>511</v>
      </c>
      <c r="G667" s="374" t="s">
        <v>7322</v>
      </c>
      <c r="H667" s="21"/>
      <c r="I667" s="92"/>
      <c r="J667" s="92"/>
      <c r="K667" s="92"/>
      <c r="L667" s="92"/>
      <c r="M667" s="92"/>
      <c r="N667" s="92"/>
      <c r="O667" s="92"/>
      <c r="P667" s="92"/>
      <c r="Q667" s="92"/>
      <c r="R667" s="92"/>
      <c r="S667" s="92"/>
      <c r="T667" s="92"/>
      <c r="U667" s="92"/>
      <c r="V667" s="92"/>
      <c r="W667" s="92"/>
      <c r="X667" s="92"/>
      <c r="Y667" s="92"/>
      <c r="Z667" s="92"/>
    </row>
    <row r="668" spans="1:26" ht="12.75">
      <c r="A668" s="92" t="s">
        <v>7323</v>
      </c>
      <c r="B668" s="372">
        <v>2005</v>
      </c>
      <c r="C668" s="372">
        <v>16235370</v>
      </c>
      <c r="D668" s="92" t="s">
        <v>7324</v>
      </c>
      <c r="E668" s="261" t="str">
        <f t="shared" si="0"/>
        <v>https://pubmed.ncbi.nlm.nih.gov/16235370</v>
      </c>
      <c r="F668" s="92" t="s">
        <v>511</v>
      </c>
      <c r="G668" s="92" t="s">
        <v>5273</v>
      </c>
      <c r="H668" s="92"/>
      <c r="I668" s="92"/>
      <c r="J668" s="92"/>
      <c r="K668" s="92"/>
      <c r="L668" s="92"/>
      <c r="M668" s="92"/>
      <c r="N668" s="92"/>
      <c r="O668" s="92"/>
      <c r="P668" s="92"/>
      <c r="Q668" s="92"/>
      <c r="R668" s="92"/>
      <c r="S668" s="92"/>
      <c r="T668" s="92"/>
      <c r="U668" s="92"/>
      <c r="V668" s="92"/>
      <c r="W668" s="92"/>
      <c r="X668" s="92"/>
      <c r="Y668" s="92"/>
      <c r="Z668" s="92"/>
    </row>
    <row r="669" spans="1:26" ht="12.75">
      <c r="A669" s="92" t="s">
        <v>7325</v>
      </c>
      <c r="B669" s="372">
        <v>2017</v>
      </c>
      <c r="C669" s="372">
        <v>28187952</v>
      </c>
      <c r="D669" s="92"/>
      <c r="E669" s="261" t="str">
        <f t="shared" si="0"/>
        <v>https://pubmed.ncbi.nlm.nih.gov/28187952</v>
      </c>
      <c r="F669" s="92" t="s">
        <v>511</v>
      </c>
      <c r="G669" s="374" t="s">
        <v>4628</v>
      </c>
      <c r="H669" s="92"/>
      <c r="I669" s="92"/>
      <c r="J669" s="92"/>
      <c r="K669" s="92"/>
      <c r="L669" s="92"/>
      <c r="M669" s="92"/>
      <c r="N669" s="92"/>
      <c r="O669" s="92"/>
      <c r="P669" s="92"/>
      <c r="Q669" s="92"/>
      <c r="R669" s="92"/>
      <c r="S669" s="92"/>
      <c r="T669" s="92"/>
      <c r="U669" s="92"/>
      <c r="V669" s="92"/>
      <c r="W669" s="92"/>
      <c r="X669" s="92"/>
      <c r="Y669" s="92"/>
      <c r="Z669" s="92"/>
    </row>
    <row r="670" spans="1:26" ht="12.75">
      <c r="A670" s="92" t="s">
        <v>7325</v>
      </c>
      <c r="B670" s="372">
        <v>2017</v>
      </c>
      <c r="C670" s="372">
        <v>28302407</v>
      </c>
      <c r="D670" s="92"/>
      <c r="E670" s="261" t="str">
        <f t="shared" si="0"/>
        <v>https://pubmed.ncbi.nlm.nih.gov/28302407</v>
      </c>
      <c r="F670" s="92" t="s">
        <v>511</v>
      </c>
      <c r="G670" s="374" t="s">
        <v>4744</v>
      </c>
      <c r="H670" s="92"/>
      <c r="I670" s="374" t="s">
        <v>7326</v>
      </c>
      <c r="J670" s="92"/>
      <c r="K670" s="92"/>
      <c r="L670" s="92"/>
      <c r="M670" s="92"/>
      <c r="N670" s="92"/>
      <c r="O670" s="92"/>
      <c r="P670" s="92"/>
      <c r="Q670" s="92"/>
      <c r="R670" s="92"/>
      <c r="S670" s="92"/>
      <c r="T670" s="92"/>
      <c r="U670" s="92"/>
      <c r="V670" s="92"/>
      <c r="W670" s="92"/>
      <c r="X670" s="92"/>
      <c r="Y670" s="92"/>
      <c r="Z670" s="92"/>
    </row>
    <row r="671" spans="1:26" ht="12.75">
      <c r="A671" s="92" t="s">
        <v>7327</v>
      </c>
      <c r="B671" s="372">
        <v>2015</v>
      </c>
      <c r="C671" s="372">
        <v>25982651</v>
      </c>
      <c r="D671" s="92"/>
      <c r="E671" s="261" t="str">
        <f t="shared" si="0"/>
        <v>https://pubmed.ncbi.nlm.nih.gov/25982651</v>
      </c>
      <c r="F671" s="92" t="s">
        <v>511</v>
      </c>
      <c r="G671" s="374" t="s">
        <v>4744</v>
      </c>
      <c r="H671" s="21"/>
      <c r="I671" s="92"/>
      <c r="J671" s="92"/>
      <c r="K671" s="92"/>
      <c r="L671" s="92"/>
      <c r="M671" s="92"/>
      <c r="N671" s="92"/>
      <c r="O671" s="92"/>
      <c r="P671" s="92"/>
      <c r="Q671" s="92"/>
      <c r="R671" s="92"/>
      <c r="S671" s="92"/>
      <c r="T671" s="92"/>
      <c r="U671" s="92"/>
      <c r="V671" s="92"/>
      <c r="W671" s="92"/>
      <c r="X671" s="92"/>
      <c r="Y671" s="92"/>
      <c r="Z671" s="92"/>
    </row>
    <row r="672" spans="1:26" ht="12.75">
      <c r="A672" s="92" t="s">
        <v>7328</v>
      </c>
      <c r="B672" s="372">
        <v>2014</v>
      </c>
      <c r="C672" s="372">
        <v>30257278</v>
      </c>
      <c r="D672" s="92"/>
      <c r="E672" s="261" t="str">
        <f t="shared" si="0"/>
        <v>https://pubmed.ncbi.nlm.nih.gov/30257278</v>
      </c>
      <c r="F672" s="92" t="s">
        <v>511</v>
      </c>
      <c r="G672" s="92" t="s">
        <v>4592</v>
      </c>
      <c r="H672" s="92"/>
      <c r="I672" s="92"/>
      <c r="J672" s="92"/>
      <c r="K672" s="92"/>
      <c r="L672" s="92"/>
      <c r="M672" s="92"/>
      <c r="N672" s="92"/>
      <c r="O672" s="92"/>
      <c r="P672" s="92"/>
      <c r="Q672" s="92"/>
      <c r="R672" s="92"/>
      <c r="S672" s="92"/>
      <c r="T672" s="92"/>
      <c r="U672" s="92"/>
      <c r="V672" s="92"/>
      <c r="W672" s="92"/>
      <c r="X672" s="92"/>
      <c r="Y672" s="92"/>
      <c r="Z672" s="92"/>
    </row>
    <row r="673" spans="1:26" ht="12.75">
      <c r="A673" s="92" t="s">
        <v>7329</v>
      </c>
      <c r="B673" s="372">
        <v>2015</v>
      </c>
      <c r="C673" s="372">
        <v>26597174</v>
      </c>
      <c r="D673" s="92" t="s">
        <v>7330</v>
      </c>
      <c r="E673" s="261" t="str">
        <f t="shared" si="0"/>
        <v>https://pubmed.ncbi.nlm.nih.gov/26597174</v>
      </c>
      <c r="F673" s="92" t="s">
        <v>511</v>
      </c>
      <c r="G673" s="92" t="s">
        <v>5273</v>
      </c>
      <c r="H673" s="92"/>
      <c r="I673" s="92"/>
      <c r="J673" s="92"/>
      <c r="K673" s="92"/>
      <c r="L673" s="92"/>
      <c r="M673" s="92"/>
      <c r="N673" s="92"/>
      <c r="O673" s="92"/>
      <c r="P673" s="92"/>
      <c r="Q673" s="92"/>
      <c r="R673" s="92"/>
      <c r="S673" s="92"/>
      <c r="T673" s="92"/>
      <c r="U673" s="92"/>
      <c r="V673" s="92"/>
      <c r="W673" s="92"/>
      <c r="X673" s="92"/>
      <c r="Y673" s="92"/>
      <c r="Z673" s="92"/>
    </row>
    <row r="674" spans="1:26" ht="12.75">
      <c r="A674" s="92" t="s">
        <v>7331</v>
      </c>
      <c r="B674" s="372">
        <v>2007</v>
      </c>
      <c r="C674" s="372">
        <v>17559743</v>
      </c>
      <c r="D674" s="92"/>
      <c r="E674" s="261" t="str">
        <f t="shared" si="0"/>
        <v>https://pubmed.ncbi.nlm.nih.gov/17559743</v>
      </c>
      <c r="F674" s="92" t="s">
        <v>511</v>
      </c>
      <c r="G674" s="374" t="s">
        <v>4744</v>
      </c>
      <c r="H674" s="92"/>
      <c r="I674" s="92" t="s">
        <v>6460</v>
      </c>
      <c r="J674" s="92"/>
      <c r="K674" s="92"/>
      <c r="L674" s="92"/>
      <c r="M674" s="92"/>
      <c r="N674" s="92"/>
      <c r="O674" s="92"/>
      <c r="P674" s="92"/>
      <c r="Q674" s="92"/>
      <c r="R674" s="92"/>
      <c r="S674" s="92"/>
      <c r="T674" s="92"/>
      <c r="U674" s="92"/>
      <c r="V674" s="92"/>
      <c r="W674" s="92"/>
      <c r="X674" s="92"/>
      <c r="Y674" s="92"/>
      <c r="Z674" s="92"/>
    </row>
    <row r="675" spans="1:26" ht="12.75">
      <c r="A675" s="92" t="s">
        <v>7332</v>
      </c>
      <c r="B675" s="372">
        <v>2002</v>
      </c>
      <c r="C675" s="372">
        <v>12198006</v>
      </c>
      <c r="D675" s="92"/>
      <c r="E675" s="261" t="str">
        <f t="shared" si="0"/>
        <v>https://pubmed.ncbi.nlm.nih.gov/12198006</v>
      </c>
      <c r="F675" s="92" t="s">
        <v>511</v>
      </c>
      <c r="G675" s="374" t="s">
        <v>4744</v>
      </c>
      <c r="H675" s="21"/>
      <c r="I675" s="92"/>
      <c r="J675" s="92"/>
      <c r="K675" s="92"/>
      <c r="L675" s="92"/>
      <c r="M675" s="92"/>
      <c r="N675" s="92"/>
      <c r="O675" s="92"/>
      <c r="P675" s="92"/>
      <c r="Q675" s="92"/>
      <c r="R675" s="92"/>
      <c r="S675" s="92"/>
      <c r="T675" s="92"/>
      <c r="U675" s="92"/>
      <c r="V675" s="92"/>
      <c r="W675" s="92"/>
      <c r="X675" s="92"/>
      <c r="Y675" s="92"/>
      <c r="Z675" s="92"/>
    </row>
    <row r="676" spans="1:26" ht="12.75">
      <c r="A676" s="92" t="s">
        <v>7333</v>
      </c>
      <c r="B676" s="372">
        <v>2001</v>
      </c>
      <c r="C676" s="372">
        <v>11782035</v>
      </c>
      <c r="D676" s="92"/>
      <c r="E676" s="261" t="str">
        <f t="shared" si="0"/>
        <v>https://pubmed.ncbi.nlm.nih.gov/11782035</v>
      </c>
      <c r="F676" s="92" t="s">
        <v>511</v>
      </c>
      <c r="G676" s="374" t="s">
        <v>5210</v>
      </c>
      <c r="H676" s="21"/>
      <c r="I676" s="92"/>
      <c r="J676" s="92"/>
      <c r="K676" s="92"/>
      <c r="L676" s="92"/>
      <c r="M676" s="92"/>
      <c r="N676" s="92"/>
      <c r="O676" s="92"/>
      <c r="P676" s="92"/>
      <c r="Q676" s="92"/>
      <c r="R676" s="92"/>
      <c r="S676" s="92"/>
      <c r="T676" s="92"/>
      <c r="U676" s="92"/>
      <c r="V676" s="92"/>
      <c r="W676" s="92"/>
      <c r="X676" s="92"/>
      <c r="Y676" s="92"/>
      <c r="Z676" s="92"/>
    </row>
    <row r="677" spans="1:26" ht="12.75">
      <c r="A677" s="92" t="s">
        <v>7334</v>
      </c>
      <c r="B677" s="372">
        <v>2016</v>
      </c>
      <c r="C677" s="372">
        <v>27501279</v>
      </c>
      <c r="D677" s="92"/>
      <c r="E677" s="261" t="str">
        <f t="shared" si="0"/>
        <v>https://pubmed.ncbi.nlm.nih.gov/27501279</v>
      </c>
      <c r="F677" s="92" t="s">
        <v>511</v>
      </c>
      <c r="G677" s="374" t="s">
        <v>4867</v>
      </c>
      <c r="H677" s="21"/>
      <c r="I677" s="92"/>
      <c r="J677" s="92"/>
      <c r="K677" s="92"/>
      <c r="L677" s="92"/>
      <c r="M677" s="92"/>
      <c r="N677" s="92"/>
      <c r="O677" s="92"/>
      <c r="P677" s="92"/>
      <c r="Q677" s="92"/>
      <c r="R677" s="92"/>
      <c r="S677" s="92"/>
      <c r="T677" s="92"/>
      <c r="U677" s="92"/>
      <c r="V677" s="92"/>
      <c r="W677" s="92"/>
      <c r="X677" s="92"/>
      <c r="Y677" s="92"/>
      <c r="Z677" s="92"/>
    </row>
    <row r="678" spans="1:26" ht="12.75">
      <c r="A678" s="92" t="s">
        <v>7335</v>
      </c>
      <c r="B678" s="372">
        <v>2015</v>
      </c>
      <c r="C678" s="372">
        <v>25454683</v>
      </c>
      <c r="D678" s="92"/>
      <c r="E678" s="261" t="str">
        <f t="shared" si="0"/>
        <v>https://pubmed.ncbi.nlm.nih.gov/25454683</v>
      </c>
      <c r="F678" s="92" t="s">
        <v>511</v>
      </c>
      <c r="G678" s="374" t="s">
        <v>7336</v>
      </c>
      <c r="H678" s="21"/>
      <c r="I678" s="21"/>
      <c r="J678" s="21"/>
      <c r="K678" s="92"/>
      <c r="L678" s="92"/>
      <c r="M678" s="92"/>
      <c r="N678" s="92"/>
      <c r="O678" s="92"/>
      <c r="P678" s="92"/>
      <c r="Q678" s="92"/>
      <c r="R678" s="92"/>
      <c r="S678" s="92"/>
      <c r="T678" s="92"/>
      <c r="U678" s="92"/>
      <c r="V678" s="92"/>
      <c r="W678" s="92"/>
      <c r="X678" s="92"/>
      <c r="Y678" s="92"/>
      <c r="Z678" s="92"/>
    </row>
    <row r="679" spans="1:26" ht="12.75">
      <c r="A679" s="92" t="s">
        <v>7337</v>
      </c>
      <c r="B679" s="372">
        <v>2016</v>
      </c>
      <c r="C679" s="372">
        <v>27426929</v>
      </c>
      <c r="D679" s="92"/>
      <c r="E679" s="261" t="str">
        <f t="shared" si="0"/>
        <v>https://pubmed.ncbi.nlm.nih.gov/27426929</v>
      </c>
      <c r="F679" s="92" t="s">
        <v>511</v>
      </c>
      <c r="G679" s="92" t="s">
        <v>7338</v>
      </c>
      <c r="H679" s="92"/>
      <c r="I679" s="92"/>
      <c r="J679" s="92"/>
      <c r="K679" s="92"/>
      <c r="L679" s="92"/>
      <c r="M679" s="92"/>
      <c r="N679" s="92"/>
      <c r="O679" s="92"/>
      <c r="P679" s="92"/>
      <c r="Q679" s="92"/>
      <c r="R679" s="92"/>
      <c r="S679" s="92"/>
      <c r="T679" s="92"/>
      <c r="U679" s="92"/>
      <c r="V679" s="92"/>
      <c r="W679" s="92"/>
      <c r="X679" s="92"/>
      <c r="Y679" s="92"/>
      <c r="Z679" s="92"/>
    </row>
    <row r="680" spans="1:26" ht="12.75">
      <c r="A680" s="92" t="s">
        <v>7339</v>
      </c>
      <c r="B680" s="372">
        <v>2018</v>
      </c>
      <c r="C680" s="372">
        <v>30156436</v>
      </c>
      <c r="D680" s="92" t="s">
        <v>7340</v>
      </c>
      <c r="E680" s="261" t="str">
        <f t="shared" si="0"/>
        <v>https://pubmed.ncbi.nlm.nih.gov/30156436</v>
      </c>
      <c r="F680" s="92" t="s">
        <v>511</v>
      </c>
      <c r="G680" s="374" t="s">
        <v>5299</v>
      </c>
      <c r="H680" s="21"/>
      <c r="I680" s="92"/>
      <c r="J680" s="92"/>
      <c r="K680" s="92"/>
      <c r="L680" s="92"/>
      <c r="M680" s="92"/>
      <c r="N680" s="92"/>
      <c r="O680" s="92"/>
      <c r="P680" s="92"/>
      <c r="Q680" s="92"/>
      <c r="R680" s="92"/>
      <c r="S680" s="92"/>
      <c r="T680" s="92"/>
      <c r="U680" s="92"/>
      <c r="V680" s="92"/>
      <c r="W680" s="92"/>
      <c r="X680" s="92"/>
      <c r="Y680" s="92"/>
      <c r="Z680" s="92"/>
    </row>
    <row r="681" spans="1:26" ht="12.75">
      <c r="A681" s="92" t="s">
        <v>440</v>
      </c>
      <c r="B681" s="372">
        <v>2018</v>
      </c>
      <c r="C681" s="372">
        <v>29567461</v>
      </c>
      <c r="D681" s="92" t="s">
        <v>7341</v>
      </c>
      <c r="E681" s="376" t="str">
        <f t="shared" si="0"/>
        <v>https://pubmed.ncbi.nlm.nih.gov/29567461</v>
      </c>
      <c r="F681" s="21"/>
      <c r="G681" s="92"/>
      <c r="H681" s="92" t="s">
        <v>511</v>
      </c>
      <c r="I681" s="92"/>
      <c r="J681" s="92"/>
      <c r="K681" s="92"/>
      <c r="L681" s="92"/>
      <c r="M681" s="92"/>
      <c r="N681" s="92"/>
      <c r="O681" s="92"/>
      <c r="P681" s="92"/>
      <c r="Q681" s="92"/>
      <c r="R681" s="92"/>
      <c r="S681" s="92"/>
      <c r="T681" s="92"/>
      <c r="U681" s="92"/>
      <c r="V681" s="92"/>
      <c r="W681" s="92"/>
      <c r="X681" s="92"/>
      <c r="Y681" s="92"/>
      <c r="Z681" s="92"/>
    </row>
    <row r="682" spans="1:26" ht="12.75">
      <c r="A682" s="92" t="s">
        <v>7342</v>
      </c>
      <c r="B682" s="372">
        <v>2017</v>
      </c>
      <c r="C682" s="372">
        <v>28844541</v>
      </c>
      <c r="D682" s="92"/>
      <c r="E682" s="261" t="str">
        <f t="shared" si="0"/>
        <v>https://pubmed.ncbi.nlm.nih.gov/28844541</v>
      </c>
      <c r="F682" s="92" t="s">
        <v>511</v>
      </c>
      <c r="G682" s="374" t="s">
        <v>4744</v>
      </c>
      <c r="H682" s="21"/>
      <c r="I682" s="92"/>
      <c r="J682" s="92"/>
      <c r="K682" s="92"/>
      <c r="L682" s="92"/>
      <c r="M682" s="92"/>
      <c r="N682" s="92"/>
      <c r="O682" s="92"/>
      <c r="P682" s="92"/>
      <c r="Q682" s="92"/>
      <c r="R682" s="92"/>
      <c r="S682" s="92"/>
      <c r="T682" s="92"/>
      <c r="U682" s="92"/>
      <c r="V682" s="92"/>
      <c r="W682" s="92"/>
      <c r="X682" s="92"/>
      <c r="Y682" s="92"/>
      <c r="Z682" s="92"/>
    </row>
    <row r="683" spans="1:26" ht="12.75">
      <c r="A683" s="92" t="s">
        <v>7343</v>
      </c>
      <c r="B683" s="372">
        <v>2019</v>
      </c>
      <c r="C683" s="372">
        <v>30113733</v>
      </c>
      <c r="D683" s="92" t="s">
        <v>7344</v>
      </c>
      <c r="E683" s="261" t="str">
        <f t="shared" si="0"/>
        <v>https://pubmed.ncbi.nlm.nih.gov/30113733</v>
      </c>
      <c r="F683" s="92" t="s">
        <v>511</v>
      </c>
      <c r="G683" s="374" t="s">
        <v>4744</v>
      </c>
      <c r="H683" s="21"/>
      <c r="I683" s="92"/>
      <c r="J683" s="92"/>
      <c r="K683" s="92"/>
      <c r="L683" s="92"/>
      <c r="M683" s="92"/>
      <c r="N683" s="92"/>
      <c r="O683" s="92"/>
      <c r="P683" s="92"/>
      <c r="Q683" s="92"/>
      <c r="R683" s="92"/>
      <c r="S683" s="92"/>
      <c r="T683" s="92"/>
      <c r="U683" s="92"/>
      <c r="V683" s="92"/>
      <c r="W683" s="92"/>
      <c r="X683" s="92"/>
      <c r="Y683" s="92"/>
      <c r="Z683" s="92"/>
    </row>
    <row r="684" spans="1:26" ht="12.75">
      <c r="A684" s="92" t="s">
        <v>7345</v>
      </c>
      <c r="B684" s="372">
        <v>2010</v>
      </c>
      <c r="C684" s="372">
        <v>20655330</v>
      </c>
      <c r="D684" s="92"/>
      <c r="E684" s="261" t="str">
        <f t="shared" si="0"/>
        <v>https://pubmed.ncbi.nlm.nih.gov/20655330</v>
      </c>
      <c r="F684" s="92" t="s">
        <v>511</v>
      </c>
      <c r="G684" s="374" t="s">
        <v>7346</v>
      </c>
      <c r="H684" s="21"/>
      <c r="I684" s="92"/>
      <c r="J684" s="92"/>
      <c r="K684" s="92"/>
      <c r="L684" s="92"/>
      <c r="M684" s="92"/>
      <c r="N684" s="92"/>
      <c r="O684" s="92"/>
      <c r="P684" s="92"/>
      <c r="Q684" s="92"/>
      <c r="R684" s="92"/>
      <c r="S684" s="92"/>
      <c r="T684" s="92"/>
      <c r="U684" s="92"/>
      <c r="V684" s="92"/>
      <c r="W684" s="92"/>
      <c r="X684" s="92"/>
      <c r="Y684" s="92"/>
      <c r="Z684" s="92"/>
    </row>
    <row r="685" spans="1:26" ht="12.75">
      <c r="A685" s="92" t="s">
        <v>7347</v>
      </c>
      <c r="B685" s="372">
        <v>2019</v>
      </c>
      <c r="C685" s="372">
        <v>30826397</v>
      </c>
      <c r="D685" s="92"/>
      <c r="E685" s="261" t="str">
        <f t="shared" si="0"/>
        <v>https://pubmed.ncbi.nlm.nih.gov/30826397</v>
      </c>
      <c r="F685" s="92" t="s">
        <v>511</v>
      </c>
      <c r="G685" s="92" t="s">
        <v>4592</v>
      </c>
      <c r="H685" s="92"/>
      <c r="I685" s="92"/>
      <c r="J685" s="92"/>
      <c r="K685" s="92"/>
      <c r="L685" s="92"/>
      <c r="M685" s="92"/>
      <c r="N685" s="92"/>
      <c r="O685" s="92"/>
      <c r="P685" s="92"/>
      <c r="Q685" s="92"/>
      <c r="R685" s="92"/>
      <c r="S685" s="92"/>
      <c r="T685" s="92"/>
      <c r="U685" s="92"/>
      <c r="V685" s="92"/>
      <c r="W685" s="92"/>
      <c r="X685" s="92"/>
      <c r="Y685" s="92"/>
      <c r="Z685" s="92"/>
    </row>
    <row r="686" spans="1:26" ht="12.75">
      <c r="A686" s="92" t="s">
        <v>7348</v>
      </c>
      <c r="B686" s="372">
        <v>2017</v>
      </c>
      <c r="C686" s="372">
        <v>28321877</v>
      </c>
      <c r="D686" s="92" t="s">
        <v>7349</v>
      </c>
      <c r="E686" s="261" t="str">
        <f t="shared" si="0"/>
        <v>https://pubmed.ncbi.nlm.nih.gov/28321877</v>
      </c>
      <c r="F686" s="92" t="s">
        <v>511</v>
      </c>
      <c r="G686" s="92" t="s">
        <v>8412</v>
      </c>
      <c r="H686" s="92"/>
      <c r="I686" s="92"/>
      <c r="J686" s="92"/>
      <c r="K686" s="92"/>
      <c r="L686" s="92"/>
      <c r="M686" s="92"/>
      <c r="N686" s="92"/>
      <c r="O686" s="92"/>
      <c r="P686" s="92"/>
      <c r="Q686" s="92"/>
      <c r="R686" s="92"/>
      <c r="S686" s="92"/>
      <c r="T686" s="92"/>
      <c r="U686" s="92"/>
      <c r="V686" s="92"/>
      <c r="W686" s="92"/>
      <c r="X686" s="92"/>
      <c r="Y686" s="92"/>
      <c r="Z686" s="92"/>
    </row>
    <row r="687" spans="1:26" ht="12.75">
      <c r="A687" s="92" t="s">
        <v>7351</v>
      </c>
      <c r="B687" s="372">
        <v>2021</v>
      </c>
      <c r="C687" s="372">
        <v>33477334</v>
      </c>
      <c r="D687" s="92" t="s">
        <v>7352</v>
      </c>
      <c r="E687" s="261" t="str">
        <f t="shared" si="0"/>
        <v>https://pubmed.ncbi.nlm.nih.gov/33477334</v>
      </c>
      <c r="F687" s="92" t="s">
        <v>511</v>
      </c>
      <c r="G687" s="92" t="s">
        <v>4592</v>
      </c>
      <c r="H687" s="92"/>
      <c r="I687" s="92"/>
      <c r="J687" s="92"/>
      <c r="K687" s="92"/>
      <c r="L687" s="92"/>
      <c r="M687" s="92"/>
      <c r="N687" s="92"/>
      <c r="O687" s="92"/>
      <c r="P687" s="92"/>
      <c r="Q687" s="92"/>
      <c r="R687" s="92"/>
      <c r="S687" s="92"/>
      <c r="T687" s="92"/>
      <c r="U687" s="92"/>
      <c r="V687" s="92"/>
      <c r="W687" s="92"/>
      <c r="X687" s="92"/>
      <c r="Y687" s="92"/>
      <c r="Z687" s="92"/>
    </row>
    <row r="688" spans="1:26" ht="12.75">
      <c r="A688" s="92" t="s">
        <v>7353</v>
      </c>
      <c r="B688" s="372">
        <v>2007</v>
      </c>
      <c r="C688" s="372">
        <v>17503974</v>
      </c>
      <c r="D688" s="92"/>
      <c r="E688" s="261" t="str">
        <f t="shared" si="0"/>
        <v>https://pubmed.ncbi.nlm.nih.gov/17503974</v>
      </c>
      <c r="F688" s="92" t="s">
        <v>511</v>
      </c>
      <c r="G688" s="374" t="s">
        <v>5157</v>
      </c>
      <c r="H688" s="21"/>
      <c r="I688" s="21"/>
      <c r="J688" s="92"/>
      <c r="K688" s="92"/>
      <c r="L688" s="92"/>
      <c r="M688" s="92"/>
      <c r="N688" s="92"/>
      <c r="O688" s="92"/>
      <c r="P688" s="92"/>
      <c r="Q688" s="92"/>
      <c r="R688" s="92"/>
      <c r="S688" s="92"/>
      <c r="T688" s="92"/>
      <c r="U688" s="92"/>
      <c r="V688" s="92"/>
      <c r="W688" s="92"/>
      <c r="X688" s="92"/>
      <c r="Y688" s="92"/>
      <c r="Z688" s="92"/>
    </row>
    <row r="689" spans="1:26" ht="12.75">
      <c r="A689" s="92" t="s">
        <v>7354</v>
      </c>
      <c r="B689" s="372">
        <v>2007</v>
      </c>
      <c r="C689" s="372">
        <v>17300401</v>
      </c>
      <c r="D689" s="92"/>
      <c r="E689" s="261" t="str">
        <f t="shared" si="0"/>
        <v>https://pubmed.ncbi.nlm.nih.gov/17300401</v>
      </c>
      <c r="F689" s="92" t="s">
        <v>511</v>
      </c>
      <c r="G689" s="374" t="s">
        <v>5157</v>
      </c>
      <c r="H689" s="21"/>
      <c r="I689" s="21"/>
      <c r="J689" s="92"/>
      <c r="K689" s="92"/>
      <c r="L689" s="92"/>
      <c r="M689" s="92"/>
      <c r="N689" s="92"/>
      <c r="O689" s="92"/>
      <c r="P689" s="92"/>
      <c r="Q689" s="92"/>
      <c r="R689" s="92"/>
      <c r="S689" s="92"/>
      <c r="T689" s="92"/>
      <c r="U689" s="92"/>
      <c r="V689" s="92"/>
      <c r="W689" s="92"/>
      <c r="X689" s="92"/>
      <c r="Y689" s="92"/>
      <c r="Z689" s="92"/>
    </row>
    <row r="690" spans="1:26" ht="12.75">
      <c r="A690" s="92" t="s">
        <v>7355</v>
      </c>
      <c r="B690" s="372">
        <v>2019</v>
      </c>
      <c r="C690" s="372">
        <v>30420158</v>
      </c>
      <c r="D690" s="92" t="s">
        <v>7356</v>
      </c>
      <c r="E690" s="261" t="str">
        <f t="shared" si="0"/>
        <v>https://pubmed.ncbi.nlm.nih.gov/30420158</v>
      </c>
      <c r="F690" s="92" t="s">
        <v>511</v>
      </c>
      <c r="G690" s="374" t="s">
        <v>7357</v>
      </c>
      <c r="H690" s="21"/>
      <c r="I690" s="92"/>
      <c r="J690" s="92"/>
      <c r="K690" s="92"/>
      <c r="L690" s="92"/>
      <c r="M690" s="92"/>
      <c r="N690" s="92"/>
      <c r="O690" s="92"/>
      <c r="P690" s="92"/>
      <c r="Q690" s="92"/>
      <c r="R690" s="92"/>
      <c r="S690" s="92"/>
      <c r="T690" s="92"/>
      <c r="U690" s="92"/>
      <c r="V690" s="92"/>
      <c r="W690" s="92"/>
      <c r="X690" s="92"/>
      <c r="Y690" s="92"/>
      <c r="Z690" s="92"/>
    </row>
    <row r="691" spans="1:26" ht="12.75">
      <c r="A691" s="92" t="s">
        <v>7358</v>
      </c>
      <c r="B691" s="372">
        <v>2009</v>
      </c>
      <c r="C691" s="372">
        <v>19675533</v>
      </c>
      <c r="D691" s="92"/>
      <c r="E691" s="261" t="str">
        <f t="shared" si="0"/>
        <v>https://pubmed.ncbi.nlm.nih.gov/19675533</v>
      </c>
      <c r="F691" s="92" t="s">
        <v>511</v>
      </c>
      <c r="G691" s="374" t="s">
        <v>4744</v>
      </c>
      <c r="H691" s="21"/>
      <c r="I691" s="92"/>
      <c r="J691" s="92"/>
      <c r="K691" s="92"/>
      <c r="L691" s="92"/>
      <c r="M691" s="92"/>
      <c r="N691" s="92"/>
      <c r="O691" s="92"/>
      <c r="P691" s="92"/>
      <c r="Q691" s="92"/>
      <c r="R691" s="92"/>
      <c r="S691" s="92"/>
      <c r="T691" s="92"/>
      <c r="U691" s="92"/>
      <c r="V691" s="92"/>
      <c r="W691" s="92"/>
      <c r="X691" s="92"/>
      <c r="Y691" s="92"/>
      <c r="Z691" s="92"/>
    </row>
    <row r="692" spans="1:26" ht="12.75">
      <c r="A692" s="92" t="s">
        <v>7359</v>
      </c>
      <c r="B692" s="372">
        <v>2005</v>
      </c>
      <c r="C692" s="372">
        <v>16379582</v>
      </c>
      <c r="D692" s="92"/>
      <c r="E692" s="261" t="str">
        <f t="shared" si="0"/>
        <v>https://pubmed.ncbi.nlm.nih.gov/16379582</v>
      </c>
      <c r="F692" s="92" t="s">
        <v>511</v>
      </c>
      <c r="G692" s="374" t="s">
        <v>4867</v>
      </c>
      <c r="H692" s="21"/>
      <c r="I692" s="92"/>
      <c r="J692" s="92"/>
      <c r="K692" s="92"/>
      <c r="L692" s="92"/>
      <c r="M692" s="92"/>
      <c r="N692" s="92"/>
      <c r="O692" s="92"/>
      <c r="P692" s="92"/>
      <c r="Q692" s="92"/>
      <c r="R692" s="92"/>
      <c r="S692" s="92"/>
      <c r="T692" s="92"/>
      <c r="U692" s="92"/>
      <c r="V692" s="92"/>
      <c r="W692" s="92"/>
      <c r="X692" s="92"/>
      <c r="Y692" s="92"/>
      <c r="Z692" s="92"/>
    </row>
    <row r="693" spans="1:26" ht="12.75">
      <c r="A693" s="92" t="s">
        <v>7360</v>
      </c>
      <c r="B693" s="372">
        <v>2012</v>
      </c>
      <c r="C693" s="372">
        <v>23235609</v>
      </c>
      <c r="D693" s="92" t="s">
        <v>7361</v>
      </c>
      <c r="E693" s="261" t="str">
        <f t="shared" si="0"/>
        <v>https://pubmed.ncbi.nlm.nih.gov/23235609</v>
      </c>
      <c r="F693" s="92" t="s">
        <v>511</v>
      </c>
      <c r="G693" s="92" t="s">
        <v>4592</v>
      </c>
      <c r="H693" s="92"/>
      <c r="I693" s="92"/>
      <c r="J693" s="92"/>
      <c r="K693" s="92"/>
      <c r="L693" s="92"/>
      <c r="M693" s="92"/>
      <c r="N693" s="92"/>
      <c r="O693" s="92"/>
      <c r="P693" s="92"/>
      <c r="Q693" s="92"/>
      <c r="R693" s="92"/>
      <c r="S693" s="92"/>
      <c r="T693" s="92"/>
      <c r="U693" s="92"/>
      <c r="V693" s="92"/>
      <c r="W693" s="92"/>
      <c r="X693" s="92"/>
      <c r="Y693" s="92"/>
      <c r="Z693" s="92"/>
    </row>
    <row r="694" spans="1:26" ht="12.75">
      <c r="A694" s="92" t="s">
        <v>7362</v>
      </c>
      <c r="B694" s="372">
        <v>2006</v>
      </c>
      <c r="C694" s="372">
        <v>16988008</v>
      </c>
      <c r="D694" s="92" t="s">
        <v>7363</v>
      </c>
      <c r="E694" s="261" t="str">
        <f t="shared" si="0"/>
        <v>https://pubmed.ncbi.nlm.nih.gov/16988008</v>
      </c>
      <c r="F694" s="92" t="s">
        <v>511</v>
      </c>
      <c r="G694" s="374" t="s">
        <v>7364</v>
      </c>
      <c r="H694" s="21"/>
      <c r="I694" s="92"/>
      <c r="J694" s="92"/>
      <c r="K694" s="92"/>
      <c r="L694" s="92"/>
      <c r="M694" s="92"/>
      <c r="N694" s="92"/>
      <c r="O694" s="92"/>
      <c r="P694" s="92"/>
      <c r="Q694" s="92"/>
      <c r="R694" s="92"/>
      <c r="S694" s="92"/>
      <c r="T694" s="92"/>
      <c r="U694" s="92"/>
      <c r="V694" s="92"/>
      <c r="W694" s="92"/>
      <c r="X694" s="92"/>
      <c r="Y694" s="92"/>
      <c r="Z694" s="92"/>
    </row>
    <row r="695" spans="1:26" ht="12.75">
      <c r="A695" s="92" t="s">
        <v>7365</v>
      </c>
      <c r="B695" s="372">
        <v>2013</v>
      </c>
      <c r="C695" s="372">
        <v>23728638</v>
      </c>
      <c r="D695" s="92"/>
      <c r="E695" s="261" t="str">
        <f t="shared" si="0"/>
        <v>https://pubmed.ncbi.nlm.nih.gov/23728638</v>
      </c>
      <c r="F695" s="92" t="s">
        <v>511</v>
      </c>
      <c r="G695" s="374" t="s">
        <v>7366</v>
      </c>
      <c r="H695" s="21"/>
      <c r="I695" s="92"/>
      <c r="J695" s="92"/>
      <c r="K695" s="92"/>
      <c r="L695" s="92"/>
      <c r="M695" s="92"/>
      <c r="N695" s="92"/>
      <c r="O695" s="92"/>
      <c r="P695" s="92"/>
      <c r="Q695" s="92"/>
      <c r="R695" s="92"/>
      <c r="S695" s="92"/>
      <c r="T695" s="92"/>
      <c r="U695" s="92"/>
      <c r="V695" s="92"/>
      <c r="W695" s="92"/>
      <c r="X695" s="92"/>
      <c r="Y695" s="92"/>
      <c r="Z695" s="92"/>
    </row>
    <row r="696" spans="1:26" ht="12.75">
      <c r="A696" s="92" t="s">
        <v>7367</v>
      </c>
      <c r="B696" s="372">
        <v>2016</v>
      </c>
      <c r="C696" s="372">
        <v>27366182</v>
      </c>
      <c r="D696" s="92" t="s">
        <v>7368</v>
      </c>
      <c r="E696" s="261" t="str">
        <f t="shared" si="0"/>
        <v>https://pubmed.ncbi.nlm.nih.gov/27366182</v>
      </c>
      <c r="F696" s="92" t="s">
        <v>511</v>
      </c>
      <c r="G696" s="92" t="s">
        <v>4536</v>
      </c>
      <c r="H696" s="92"/>
      <c r="I696" s="92"/>
      <c r="J696" s="92"/>
      <c r="K696" s="92"/>
      <c r="L696" s="92"/>
      <c r="M696" s="92"/>
      <c r="N696" s="92"/>
      <c r="O696" s="92"/>
      <c r="P696" s="92"/>
      <c r="Q696" s="92"/>
      <c r="R696" s="92"/>
      <c r="S696" s="92"/>
      <c r="T696" s="92"/>
      <c r="U696" s="92"/>
      <c r="V696" s="92"/>
      <c r="W696" s="92"/>
      <c r="X696" s="92"/>
      <c r="Y696" s="92"/>
      <c r="Z696" s="92"/>
    </row>
    <row r="697" spans="1:26" ht="12.75">
      <c r="A697" s="92" t="s">
        <v>7369</v>
      </c>
      <c r="B697" s="372">
        <v>2019</v>
      </c>
      <c r="C697" s="372">
        <v>31050912</v>
      </c>
      <c r="D697" s="92"/>
      <c r="E697" s="261" t="str">
        <f t="shared" si="0"/>
        <v>https://pubmed.ncbi.nlm.nih.gov/31050912</v>
      </c>
      <c r="F697" s="92" t="s">
        <v>511</v>
      </c>
      <c r="G697" s="92" t="s">
        <v>4592</v>
      </c>
      <c r="H697" s="92"/>
      <c r="I697" s="92"/>
      <c r="J697" s="92"/>
      <c r="K697" s="92"/>
      <c r="L697" s="92"/>
      <c r="M697" s="92"/>
      <c r="N697" s="92"/>
      <c r="O697" s="92"/>
      <c r="P697" s="92"/>
      <c r="Q697" s="92"/>
      <c r="R697" s="92"/>
      <c r="S697" s="92"/>
      <c r="T697" s="92"/>
      <c r="U697" s="92"/>
      <c r="V697" s="92"/>
      <c r="W697" s="92"/>
      <c r="X697" s="92"/>
      <c r="Y697" s="92"/>
      <c r="Z697" s="92"/>
    </row>
    <row r="698" spans="1:26" ht="12.75">
      <c r="A698" s="92" t="s">
        <v>7370</v>
      </c>
      <c r="B698" s="372">
        <v>2012</v>
      </c>
      <c r="C698" s="372">
        <v>22838300</v>
      </c>
      <c r="D698" s="92"/>
      <c r="E698" s="261" t="str">
        <f t="shared" si="0"/>
        <v>https://pubmed.ncbi.nlm.nih.gov/22838300</v>
      </c>
      <c r="F698" s="92" t="s">
        <v>511</v>
      </c>
      <c r="G698" s="374" t="s">
        <v>7371</v>
      </c>
      <c r="H698" s="21"/>
      <c r="I698" s="92"/>
      <c r="J698" s="92"/>
      <c r="K698" s="92"/>
      <c r="L698" s="92"/>
      <c r="M698" s="92"/>
      <c r="N698" s="92"/>
      <c r="O698" s="92"/>
      <c r="P698" s="92"/>
      <c r="Q698" s="92"/>
      <c r="R698" s="92"/>
      <c r="S698" s="92"/>
      <c r="T698" s="92"/>
      <c r="U698" s="92"/>
      <c r="V698" s="92"/>
      <c r="W698" s="92"/>
      <c r="X698" s="92"/>
      <c r="Y698" s="92"/>
      <c r="Z698" s="92"/>
    </row>
    <row r="699" spans="1:26" ht="12.75">
      <c r="A699" s="92" t="s">
        <v>7372</v>
      </c>
      <c r="B699" s="372">
        <v>2009</v>
      </c>
      <c r="C699" s="372">
        <v>19160254</v>
      </c>
      <c r="D699" s="92"/>
      <c r="E699" s="261" t="str">
        <f t="shared" si="0"/>
        <v>https://pubmed.ncbi.nlm.nih.gov/19160254</v>
      </c>
      <c r="F699" s="92" t="s">
        <v>511</v>
      </c>
      <c r="G699" s="92" t="s">
        <v>5273</v>
      </c>
      <c r="H699" s="92"/>
      <c r="I699" s="92"/>
      <c r="J699" s="92"/>
      <c r="K699" s="92"/>
      <c r="L699" s="92"/>
      <c r="M699" s="92"/>
      <c r="N699" s="92"/>
      <c r="O699" s="92"/>
      <c r="P699" s="92"/>
      <c r="Q699" s="92"/>
      <c r="R699" s="92"/>
      <c r="S699" s="92"/>
      <c r="T699" s="92"/>
      <c r="U699" s="92"/>
      <c r="V699" s="92"/>
      <c r="W699" s="92"/>
      <c r="X699" s="92"/>
      <c r="Y699" s="92"/>
      <c r="Z699" s="92"/>
    </row>
    <row r="700" spans="1:26" ht="12.75">
      <c r="A700" s="92" t="s">
        <v>7373</v>
      </c>
      <c r="B700" s="372">
        <v>2015</v>
      </c>
      <c r="C700" s="372">
        <v>25319385</v>
      </c>
      <c r="D700" s="92"/>
      <c r="E700" s="261" t="str">
        <f t="shared" si="0"/>
        <v>https://pubmed.ncbi.nlm.nih.gov/25319385</v>
      </c>
      <c r="F700" s="92" t="s">
        <v>511</v>
      </c>
      <c r="G700" s="374" t="s">
        <v>7374</v>
      </c>
      <c r="H700" s="21"/>
      <c r="I700" s="92"/>
      <c r="J700" s="92"/>
      <c r="K700" s="92"/>
      <c r="L700" s="92"/>
      <c r="M700" s="92"/>
      <c r="N700" s="92"/>
      <c r="O700" s="92"/>
      <c r="P700" s="92"/>
      <c r="Q700" s="92"/>
      <c r="R700" s="92"/>
      <c r="S700" s="92"/>
      <c r="T700" s="92"/>
      <c r="U700" s="92"/>
      <c r="V700" s="92"/>
      <c r="W700" s="92"/>
      <c r="X700" s="92"/>
      <c r="Y700" s="92"/>
      <c r="Z700" s="92"/>
    </row>
    <row r="701" spans="1:26" ht="12.75">
      <c r="A701" s="92" t="s">
        <v>7375</v>
      </c>
      <c r="B701" s="372">
        <v>2016</v>
      </c>
      <c r="C701" s="372">
        <v>27193488</v>
      </c>
      <c r="D701" s="92" t="s">
        <v>7376</v>
      </c>
      <c r="E701" s="261" t="str">
        <f t="shared" si="0"/>
        <v>https://pubmed.ncbi.nlm.nih.gov/27193488</v>
      </c>
      <c r="F701" s="92" t="s">
        <v>511</v>
      </c>
      <c r="G701" s="92" t="s">
        <v>4592</v>
      </c>
      <c r="H701" s="92"/>
      <c r="I701" s="92"/>
      <c r="J701" s="92"/>
      <c r="K701" s="92"/>
      <c r="L701" s="92"/>
      <c r="M701" s="92"/>
      <c r="N701" s="92"/>
      <c r="O701" s="92"/>
      <c r="P701" s="92"/>
      <c r="Q701" s="92"/>
      <c r="R701" s="92"/>
      <c r="S701" s="92"/>
      <c r="T701" s="92"/>
      <c r="U701" s="92"/>
      <c r="V701" s="92"/>
      <c r="W701" s="92"/>
      <c r="X701" s="92"/>
      <c r="Y701" s="92"/>
      <c r="Z701" s="92"/>
    </row>
    <row r="702" spans="1:26" ht="12.75">
      <c r="A702" s="92" t="s">
        <v>7377</v>
      </c>
      <c r="B702" s="372">
        <v>2005</v>
      </c>
      <c r="C702" s="372">
        <v>16104945</v>
      </c>
      <c r="D702" s="92"/>
      <c r="E702" s="261" t="str">
        <f t="shared" si="0"/>
        <v>https://pubmed.ncbi.nlm.nih.gov/16104945</v>
      </c>
      <c r="F702" s="92" t="s">
        <v>511</v>
      </c>
      <c r="G702" s="92" t="s">
        <v>4592</v>
      </c>
      <c r="H702" s="92"/>
      <c r="I702" s="92"/>
      <c r="J702" s="92"/>
      <c r="K702" s="92"/>
      <c r="L702" s="92"/>
      <c r="M702" s="92"/>
      <c r="N702" s="92"/>
      <c r="O702" s="92"/>
      <c r="P702" s="92"/>
      <c r="Q702" s="92"/>
      <c r="R702" s="92"/>
      <c r="S702" s="92"/>
      <c r="T702" s="92"/>
      <c r="U702" s="92"/>
      <c r="V702" s="92"/>
      <c r="W702" s="92"/>
      <c r="X702" s="92"/>
      <c r="Y702" s="92"/>
      <c r="Z702" s="92"/>
    </row>
    <row r="703" spans="1:26" ht="12.75">
      <c r="A703" s="92" t="s">
        <v>7378</v>
      </c>
      <c r="B703" s="372">
        <v>2020</v>
      </c>
      <c r="C703" s="372">
        <v>31924539</v>
      </c>
      <c r="D703" s="92"/>
      <c r="E703" s="261" t="str">
        <f t="shared" si="0"/>
        <v>https://pubmed.ncbi.nlm.nih.gov/31924539</v>
      </c>
      <c r="F703" s="92" t="s">
        <v>511</v>
      </c>
      <c r="G703" s="374" t="s">
        <v>7379</v>
      </c>
      <c r="H703" s="21"/>
      <c r="I703" s="92"/>
      <c r="J703" s="92"/>
      <c r="K703" s="92"/>
      <c r="L703" s="92"/>
      <c r="M703" s="92"/>
      <c r="N703" s="92"/>
      <c r="O703" s="92"/>
      <c r="P703" s="92"/>
      <c r="Q703" s="92"/>
      <c r="R703" s="92"/>
      <c r="S703" s="92"/>
      <c r="T703" s="92"/>
      <c r="U703" s="92"/>
      <c r="V703" s="92"/>
      <c r="W703" s="92"/>
      <c r="X703" s="92"/>
      <c r="Y703" s="92"/>
      <c r="Z703" s="92"/>
    </row>
    <row r="704" spans="1:26" ht="12.75">
      <c r="A704" s="92" t="s">
        <v>7380</v>
      </c>
      <c r="B704" s="372">
        <v>2014</v>
      </c>
      <c r="C704" s="372">
        <v>23461895</v>
      </c>
      <c r="D704" s="92" t="s">
        <v>7381</v>
      </c>
      <c r="E704" s="261" t="str">
        <f t="shared" si="0"/>
        <v>https://pubmed.ncbi.nlm.nih.gov/23461895</v>
      </c>
      <c r="F704" s="92" t="s">
        <v>511</v>
      </c>
      <c r="G704" s="374" t="s">
        <v>4744</v>
      </c>
      <c r="H704" s="21"/>
      <c r="I704" s="92"/>
      <c r="J704" s="92"/>
      <c r="K704" s="92"/>
      <c r="L704" s="92"/>
      <c r="M704" s="92"/>
      <c r="N704" s="92"/>
      <c r="O704" s="92"/>
      <c r="P704" s="92"/>
      <c r="Q704" s="92"/>
      <c r="R704" s="92"/>
      <c r="S704" s="92"/>
      <c r="T704" s="92"/>
      <c r="U704" s="92"/>
      <c r="V704" s="92"/>
      <c r="W704" s="92"/>
      <c r="X704" s="92"/>
      <c r="Y704" s="92"/>
      <c r="Z704" s="92"/>
    </row>
    <row r="705" spans="1:26" ht="12.75">
      <c r="A705" s="92" t="s">
        <v>7382</v>
      </c>
      <c r="B705" s="372">
        <v>2017</v>
      </c>
      <c r="C705" s="372">
        <v>28526233</v>
      </c>
      <c r="D705" s="92"/>
      <c r="E705" s="261" t="str">
        <f t="shared" si="0"/>
        <v>https://pubmed.ncbi.nlm.nih.gov/28526233</v>
      </c>
      <c r="F705" s="92" t="s">
        <v>511</v>
      </c>
      <c r="G705" s="374" t="s">
        <v>4744</v>
      </c>
      <c r="H705" s="21"/>
      <c r="I705" s="92"/>
      <c r="J705" s="92"/>
      <c r="K705" s="92"/>
      <c r="L705" s="92"/>
      <c r="M705" s="92"/>
      <c r="N705" s="92"/>
      <c r="O705" s="92"/>
      <c r="P705" s="92"/>
      <c r="Q705" s="92"/>
      <c r="R705" s="92"/>
      <c r="S705" s="92"/>
      <c r="T705" s="92"/>
      <c r="U705" s="92"/>
      <c r="V705" s="92"/>
      <c r="W705" s="92"/>
      <c r="X705" s="92"/>
      <c r="Y705" s="92"/>
      <c r="Z705" s="92"/>
    </row>
    <row r="706" spans="1:26" ht="12.75">
      <c r="A706" s="92" t="s">
        <v>7383</v>
      </c>
      <c r="B706" s="372">
        <v>2016</v>
      </c>
      <c r="C706" s="372">
        <v>27120555</v>
      </c>
      <c r="D706" s="92"/>
      <c r="E706" s="261" t="str">
        <f t="shared" si="0"/>
        <v>https://pubmed.ncbi.nlm.nih.gov/27120555</v>
      </c>
      <c r="F706" s="92" t="s">
        <v>511</v>
      </c>
      <c r="G706" s="92" t="s">
        <v>5273</v>
      </c>
      <c r="H706" s="92"/>
      <c r="I706" s="92"/>
      <c r="J706" s="92"/>
      <c r="K706" s="92"/>
      <c r="L706" s="92"/>
      <c r="M706" s="92"/>
      <c r="N706" s="92"/>
      <c r="O706" s="92"/>
      <c r="P706" s="92"/>
      <c r="Q706" s="92"/>
      <c r="R706" s="92"/>
      <c r="S706" s="92"/>
      <c r="T706" s="92"/>
      <c r="U706" s="92"/>
      <c r="V706" s="92"/>
      <c r="W706" s="92"/>
      <c r="X706" s="92"/>
      <c r="Y706" s="92"/>
      <c r="Z706" s="92"/>
    </row>
    <row r="707" spans="1:26" ht="12.75">
      <c r="A707" s="92" t="s">
        <v>7384</v>
      </c>
      <c r="B707" s="372">
        <v>2017</v>
      </c>
      <c r="C707" s="372">
        <v>28828759</v>
      </c>
      <c r="D707" s="92" t="s">
        <v>7385</v>
      </c>
      <c r="E707" s="261" t="str">
        <f t="shared" si="0"/>
        <v>https://pubmed.ncbi.nlm.nih.gov/28828759</v>
      </c>
      <c r="F707" s="92" t="s">
        <v>511</v>
      </c>
      <c r="G707" s="92" t="s">
        <v>4592</v>
      </c>
      <c r="H707" s="92"/>
      <c r="I707" s="92"/>
      <c r="J707" s="92"/>
      <c r="K707" s="92"/>
      <c r="L707" s="92"/>
      <c r="M707" s="92"/>
      <c r="N707" s="92"/>
      <c r="O707" s="92"/>
      <c r="P707" s="92"/>
      <c r="Q707" s="92"/>
      <c r="R707" s="92"/>
      <c r="S707" s="92"/>
      <c r="T707" s="92"/>
      <c r="U707" s="92"/>
      <c r="V707" s="92"/>
      <c r="W707" s="92"/>
      <c r="X707" s="92"/>
      <c r="Y707" s="92"/>
      <c r="Z707" s="92"/>
    </row>
    <row r="708" spans="1:26" ht="12.75">
      <c r="A708" s="92" t="s">
        <v>7386</v>
      </c>
      <c r="B708" s="372">
        <v>2017</v>
      </c>
      <c r="C708" s="372">
        <v>28984368</v>
      </c>
      <c r="D708" s="92" t="s">
        <v>7387</v>
      </c>
      <c r="E708" s="261" t="str">
        <f t="shared" si="0"/>
        <v>https://pubmed.ncbi.nlm.nih.gov/28984368</v>
      </c>
      <c r="F708" s="92" t="s">
        <v>511</v>
      </c>
      <c r="G708" s="92" t="s">
        <v>4592</v>
      </c>
      <c r="H708" s="92"/>
      <c r="I708" s="92"/>
      <c r="J708" s="92"/>
      <c r="K708" s="92"/>
      <c r="L708" s="92"/>
      <c r="M708" s="92"/>
      <c r="N708" s="92"/>
      <c r="O708" s="92"/>
      <c r="P708" s="92"/>
      <c r="Q708" s="92"/>
      <c r="R708" s="92"/>
      <c r="S708" s="92"/>
      <c r="T708" s="92"/>
      <c r="U708" s="92"/>
      <c r="V708" s="92"/>
      <c r="W708" s="92"/>
      <c r="X708" s="92"/>
      <c r="Y708" s="92"/>
      <c r="Z708" s="92"/>
    </row>
    <row r="709" spans="1:26" ht="12.75">
      <c r="A709" s="92" t="s">
        <v>7388</v>
      </c>
      <c r="B709" s="372">
        <v>2012</v>
      </c>
      <c r="C709" s="372">
        <v>23074420</v>
      </c>
      <c r="D709" s="92" t="s">
        <v>7389</v>
      </c>
      <c r="E709" s="261" t="str">
        <f t="shared" si="0"/>
        <v>https://pubmed.ncbi.nlm.nih.gov/23074420</v>
      </c>
      <c r="F709" s="92" t="s">
        <v>511</v>
      </c>
      <c r="G709" s="92" t="s">
        <v>4592</v>
      </c>
      <c r="H709" s="92"/>
      <c r="I709" s="92"/>
      <c r="J709" s="92"/>
      <c r="K709" s="92"/>
      <c r="L709" s="92"/>
      <c r="M709" s="92"/>
      <c r="N709" s="92"/>
      <c r="O709" s="92"/>
      <c r="P709" s="92"/>
      <c r="Q709" s="92"/>
      <c r="R709" s="92"/>
      <c r="S709" s="92"/>
      <c r="T709" s="92"/>
      <c r="U709" s="92"/>
      <c r="V709" s="92"/>
      <c r="W709" s="92"/>
      <c r="X709" s="92"/>
      <c r="Y709" s="92"/>
      <c r="Z709" s="92"/>
    </row>
    <row r="710" spans="1:26" ht="12.75">
      <c r="A710" s="92" t="s">
        <v>7390</v>
      </c>
      <c r="B710" s="372">
        <v>2016</v>
      </c>
      <c r="C710" s="372">
        <v>27238057</v>
      </c>
      <c r="D710" s="92"/>
      <c r="E710" s="261" t="str">
        <f t="shared" si="0"/>
        <v>https://pubmed.ncbi.nlm.nih.gov/27238057</v>
      </c>
      <c r="F710" s="92" t="s">
        <v>511</v>
      </c>
      <c r="G710" s="374" t="s">
        <v>4998</v>
      </c>
      <c r="H710" s="21"/>
      <c r="I710" s="92"/>
      <c r="J710" s="92"/>
      <c r="K710" s="92"/>
      <c r="L710" s="92"/>
      <c r="M710" s="92"/>
      <c r="N710" s="92"/>
      <c r="O710" s="92"/>
      <c r="P710" s="92"/>
      <c r="Q710" s="92"/>
      <c r="R710" s="92"/>
      <c r="S710" s="92"/>
      <c r="T710" s="92"/>
      <c r="U710" s="92"/>
      <c r="V710" s="92"/>
      <c r="W710" s="92"/>
      <c r="X710" s="92"/>
      <c r="Y710" s="92"/>
      <c r="Z710" s="92"/>
    </row>
    <row r="711" spans="1:26" ht="12.75">
      <c r="A711" s="92" t="s">
        <v>7391</v>
      </c>
      <c r="B711" s="372">
        <v>1986</v>
      </c>
      <c r="C711" s="372">
        <v>3722374</v>
      </c>
      <c r="D711" s="92" t="s">
        <v>7392</v>
      </c>
      <c r="E711" s="261" t="str">
        <f t="shared" si="0"/>
        <v>https://pubmed.ncbi.nlm.nih.gov/3722374</v>
      </c>
      <c r="F711" s="92" t="s">
        <v>511</v>
      </c>
      <c r="G711" s="374" t="s">
        <v>7393</v>
      </c>
      <c r="H711" s="21"/>
      <c r="I711" s="92"/>
      <c r="J711" s="92"/>
      <c r="K711" s="92"/>
      <c r="L711" s="92"/>
      <c r="M711" s="92"/>
      <c r="N711" s="92"/>
      <c r="O711" s="92"/>
      <c r="P711" s="92"/>
      <c r="Q711" s="92"/>
      <c r="R711" s="92"/>
      <c r="S711" s="92"/>
      <c r="T711" s="92"/>
      <c r="U711" s="92"/>
      <c r="V711" s="92"/>
      <c r="W711" s="92"/>
      <c r="X711" s="92"/>
      <c r="Y711" s="92"/>
      <c r="Z711" s="92"/>
    </row>
    <row r="712" spans="1:26" ht="12.75">
      <c r="A712" s="92" t="s">
        <v>7394</v>
      </c>
      <c r="B712" s="372">
        <v>2013</v>
      </c>
      <c r="C712" s="372">
        <v>23642325</v>
      </c>
      <c r="D712" s="92"/>
      <c r="E712" s="261" t="str">
        <f t="shared" si="0"/>
        <v>https://pubmed.ncbi.nlm.nih.gov/23642325</v>
      </c>
      <c r="F712" s="92" t="s">
        <v>511</v>
      </c>
      <c r="G712" s="374" t="s">
        <v>7002</v>
      </c>
      <c r="H712" s="21"/>
      <c r="I712" s="92"/>
      <c r="J712" s="92"/>
      <c r="K712" s="92"/>
      <c r="L712" s="92"/>
      <c r="M712" s="92"/>
      <c r="N712" s="92"/>
      <c r="O712" s="92"/>
      <c r="P712" s="92"/>
      <c r="Q712" s="92"/>
      <c r="R712" s="92"/>
      <c r="S712" s="92"/>
      <c r="T712" s="92"/>
      <c r="U712" s="92"/>
      <c r="V712" s="92"/>
      <c r="W712" s="92"/>
      <c r="X712" s="92"/>
      <c r="Y712" s="92"/>
      <c r="Z712" s="92"/>
    </row>
    <row r="713" spans="1:26" ht="12.75">
      <c r="A713" s="92" t="s">
        <v>7395</v>
      </c>
      <c r="B713" s="372">
        <v>2017</v>
      </c>
      <c r="C713" s="372">
        <v>28968735</v>
      </c>
      <c r="D713" s="92" t="s">
        <v>7396</v>
      </c>
      <c r="E713" s="261" t="str">
        <f t="shared" si="0"/>
        <v>https://pubmed.ncbi.nlm.nih.gov/28968735</v>
      </c>
      <c r="F713" s="92" t="s">
        <v>511</v>
      </c>
      <c r="G713" s="374" t="s">
        <v>4744</v>
      </c>
      <c r="H713" s="21"/>
      <c r="I713" s="92"/>
      <c r="J713" s="92"/>
      <c r="K713" s="92"/>
      <c r="L713" s="92"/>
      <c r="M713" s="92"/>
      <c r="N713" s="92"/>
      <c r="O713" s="92"/>
      <c r="P713" s="92"/>
      <c r="Q713" s="92"/>
      <c r="R713" s="92"/>
      <c r="S713" s="92"/>
      <c r="T713" s="92"/>
      <c r="U713" s="92"/>
      <c r="V713" s="92"/>
      <c r="W713" s="92"/>
      <c r="X713" s="92"/>
      <c r="Y713" s="92"/>
      <c r="Z713" s="92"/>
    </row>
    <row r="714" spans="1:26" ht="12.75">
      <c r="A714" s="92" t="s">
        <v>7397</v>
      </c>
      <c r="B714" s="372">
        <v>2019</v>
      </c>
      <c r="C714" s="372">
        <v>31131994</v>
      </c>
      <c r="D714" s="92"/>
      <c r="E714" s="261" t="str">
        <f t="shared" si="0"/>
        <v>https://pubmed.ncbi.nlm.nih.gov/31131994</v>
      </c>
      <c r="F714" s="92" t="s">
        <v>511</v>
      </c>
      <c r="G714" s="374" t="s">
        <v>6712</v>
      </c>
      <c r="H714" s="21"/>
      <c r="I714" s="92"/>
      <c r="J714" s="92"/>
      <c r="K714" s="92"/>
      <c r="L714" s="92"/>
      <c r="M714" s="92"/>
      <c r="N714" s="92"/>
      <c r="O714" s="92"/>
      <c r="P714" s="92"/>
      <c r="Q714" s="92"/>
      <c r="R714" s="92"/>
      <c r="S714" s="92"/>
      <c r="T714" s="92"/>
      <c r="U714" s="92"/>
      <c r="V714" s="92"/>
      <c r="W714" s="92"/>
      <c r="X714" s="92"/>
      <c r="Y714" s="92"/>
      <c r="Z714" s="92"/>
    </row>
    <row r="715" spans="1:26" ht="12.75">
      <c r="A715" s="92" t="s">
        <v>7398</v>
      </c>
      <c r="B715" s="372">
        <v>2018</v>
      </c>
      <c r="C715" s="372">
        <v>29093159</v>
      </c>
      <c r="D715" s="92"/>
      <c r="E715" s="261" t="str">
        <f t="shared" si="0"/>
        <v>https://pubmed.ncbi.nlm.nih.gov/29093159</v>
      </c>
      <c r="F715" s="92" t="s">
        <v>511</v>
      </c>
      <c r="G715" s="374" t="s">
        <v>4744</v>
      </c>
      <c r="H715" s="21"/>
      <c r="I715" s="92"/>
      <c r="J715" s="92"/>
      <c r="K715" s="92"/>
      <c r="L715" s="92"/>
      <c r="M715" s="92"/>
      <c r="N715" s="92"/>
      <c r="O715" s="92"/>
      <c r="P715" s="92"/>
      <c r="Q715" s="92"/>
      <c r="R715" s="92"/>
      <c r="S715" s="92"/>
      <c r="T715" s="92"/>
      <c r="U715" s="92"/>
      <c r="V715" s="92"/>
      <c r="W715" s="92"/>
      <c r="X715" s="92"/>
      <c r="Y715" s="92"/>
      <c r="Z715" s="92"/>
    </row>
    <row r="716" spans="1:26" ht="12.75">
      <c r="A716" s="92" t="s">
        <v>5552</v>
      </c>
      <c r="B716" s="372">
        <v>2009</v>
      </c>
      <c r="C716" s="372">
        <v>23074532</v>
      </c>
      <c r="D716" s="92" t="s">
        <v>7399</v>
      </c>
      <c r="E716" s="261" t="str">
        <f t="shared" si="0"/>
        <v>https://pubmed.ncbi.nlm.nih.gov/23074532</v>
      </c>
      <c r="F716" s="92" t="s">
        <v>511</v>
      </c>
      <c r="G716" s="374" t="s">
        <v>7400</v>
      </c>
      <c r="H716" s="21"/>
      <c r="I716" s="92"/>
      <c r="J716" s="92"/>
      <c r="K716" s="92"/>
      <c r="L716" s="92"/>
      <c r="M716" s="92"/>
      <c r="N716" s="92"/>
      <c r="O716" s="92"/>
      <c r="P716" s="92"/>
      <c r="Q716" s="92"/>
      <c r="R716" s="92"/>
      <c r="S716" s="92"/>
      <c r="T716" s="92"/>
      <c r="U716" s="92"/>
      <c r="V716" s="92"/>
      <c r="W716" s="92"/>
      <c r="X716" s="92"/>
      <c r="Y716" s="92"/>
      <c r="Z716" s="92"/>
    </row>
    <row r="717" spans="1:26" ht="12.75">
      <c r="A717" s="92" t="s">
        <v>7401</v>
      </c>
      <c r="B717" s="372">
        <v>2013</v>
      </c>
      <c r="C717" s="372">
        <v>22882430</v>
      </c>
      <c r="D717" s="92"/>
      <c r="E717" s="261" t="str">
        <f t="shared" si="0"/>
        <v>https://pubmed.ncbi.nlm.nih.gov/22882430</v>
      </c>
      <c r="F717" s="92" t="s">
        <v>511</v>
      </c>
      <c r="G717" s="374" t="s">
        <v>5157</v>
      </c>
      <c r="H717" s="92"/>
      <c r="I717" s="92" t="s">
        <v>6460</v>
      </c>
      <c r="J717" s="92"/>
      <c r="K717" s="92"/>
      <c r="L717" s="92"/>
      <c r="M717" s="92"/>
      <c r="N717" s="92"/>
      <c r="O717" s="92"/>
      <c r="P717" s="92"/>
      <c r="Q717" s="92"/>
      <c r="R717" s="92"/>
      <c r="S717" s="92"/>
      <c r="T717" s="92"/>
      <c r="U717" s="92"/>
      <c r="V717" s="92"/>
      <c r="W717" s="92"/>
      <c r="X717" s="92"/>
      <c r="Y717" s="92"/>
      <c r="Z717" s="92"/>
    </row>
    <row r="718" spans="1:26" ht="12.75">
      <c r="A718" s="92" t="s">
        <v>7402</v>
      </c>
      <c r="B718" s="372">
        <v>2020</v>
      </c>
      <c r="C718" s="372">
        <v>32773440</v>
      </c>
      <c r="D718" s="92"/>
      <c r="E718" s="261" t="str">
        <f t="shared" si="0"/>
        <v>https://pubmed.ncbi.nlm.nih.gov/32773440</v>
      </c>
      <c r="F718" s="92" t="s">
        <v>511</v>
      </c>
      <c r="G718" s="92" t="s">
        <v>4592</v>
      </c>
      <c r="H718" s="92"/>
      <c r="I718" s="92"/>
      <c r="J718" s="92"/>
      <c r="K718" s="92"/>
      <c r="L718" s="92"/>
      <c r="M718" s="92"/>
      <c r="N718" s="92"/>
      <c r="O718" s="92"/>
      <c r="P718" s="92"/>
      <c r="Q718" s="92"/>
      <c r="R718" s="92"/>
      <c r="S718" s="92"/>
      <c r="T718" s="92"/>
      <c r="U718" s="92"/>
      <c r="V718" s="92"/>
      <c r="W718" s="92"/>
      <c r="X718" s="92"/>
      <c r="Y718" s="92"/>
      <c r="Z718" s="92"/>
    </row>
    <row r="719" spans="1:26" ht="12.75">
      <c r="A719" s="92" t="s">
        <v>7403</v>
      </c>
      <c r="B719" s="372">
        <v>2012</v>
      </c>
      <c r="C719" s="372">
        <v>22991696</v>
      </c>
      <c r="D719" s="92"/>
      <c r="E719" s="261" t="str">
        <f t="shared" si="0"/>
        <v>https://pubmed.ncbi.nlm.nih.gov/22991696</v>
      </c>
      <c r="F719" s="92" t="s">
        <v>511</v>
      </c>
      <c r="G719" s="374" t="s">
        <v>4744</v>
      </c>
      <c r="H719" s="92"/>
      <c r="I719" s="92" t="s">
        <v>6460</v>
      </c>
      <c r="J719" s="92"/>
      <c r="K719" s="92"/>
      <c r="L719" s="92"/>
      <c r="M719" s="92"/>
      <c r="N719" s="92"/>
      <c r="O719" s="92"/>
      <c r="P719" s="92"/>
      <c r="Q719" s="92"/>
      <c r="R719" s="92"/>
      <c r="S719" s="92"/>
      <c r="T719" s="92"/>
      <c r="U719" s="92"/>
      <c r="V719" s="92"/>
      <c r="W719" s="92"/>
      <c r="X719" s="92"/>
      <c r="Y719" s="92"/>
      <c r="Z719" s="92"/>
    </row>
    <row r="720" spans="1:26" ht="12.75">
      <c r="A720" s="92" t="s">
        <v>7404</v>
      </c>
      <c r="B720" s="372">
        <v>2009</v>
      </c>
      <c r="C720" s="372">
        <v>19647405</v>
      </c>
      <c r="D720" s="92"/>
      <c r="E720" s="261" t="str">
        <f t="shared" si="0"/>
        <v>https://pubmed.ncbi.nlm.nih.gov/19647405</v>
      </c>
      <c r="F720" s="92" t="s">
        <v>511</v>
      </c>
      <c r="G720" s="374" t="s">
        <v>4867</v>
      </c>
      <c r="H720" s="21"/>
      <c r="I720" s="92"/>
      <c r="J720" s="92"/>
      <c r="K720" s="92"/>
      <c r="L720" s="92"/>
      <c r="M720" s="92"/>
      <c r="N720" s="92"/>
      <c r="O720" s="92"/>
      <c r="P720" s="92"/>
      <c r="Q720" s="92"/>
      <c r="R720" s="92"/>
      <c r="S720" s="92"/>
      <c r="T720" s="92"/>
      <c r="U720" s="92"/>
      <c r="V720" s="92"/>
      <c r="W720" s="92"/>
      <c r="X720" s="92"/>
      <c r="Y720" s="92"/>
      <c r="Z720" s="92"/>
    </row>
    <row r="721" spans="1:26" ht="12.75">
      <c r="A721" s="92" t="s">
        <v>7405</v>
      </c>
      <c r="B721" s="372">
        <v>1999</v>
      </c>
      <c r="C721" s="372">
        <v>10223933</v>
      </c>
      <c r="D721" s="92" t="s">
        <v>7406</v>
      </c>
      <c r="E721" s="261" t="str">
        <f t="shared" si="0"/>
        <v>https://pubmed.ncbi.nlm.nih.gov/10223933</v>
      </c>
      <c r="F721" s="92" t="s">
        <v>511</v>
      </c>
      <c r="G721" s="374" t="s">
        <v>4744</v>
      </c>
      <c r="H721" s="21"/>
      <c r="I721" s="92"/>
      <c r="J721" s="92"/>
      <c r="K721" s="92"/>
      <c r="L721" s="92"/>
      <c r="M721" s="92"/>
      <c r="N721" s="92"/>
      <c r="O721" s="92"/>
      <c r="P721" s="92"/>
      <c r="Q721" s="92"/>
      <c r="R721" s="92"/>
      <c r="S721" s="92"/>
      <c r="T721" s="92"/>
      <c r="U721" s="92"/>
      <c r="V721" s="92"/>
      <c r="W721" s="92"/>
      <c r="X721" s="92"/>
      <c r="Y721" s="92"/>
      <c r="Z721" s="92"/>
    </row>
    <row r="722" spans="1:26" ht="12.75">
      <c r="A722" s="92" t="s">
        <v>7407</v>
      </c>
      <c r="B722" s="372">
        <v>2018</v>
      </c>
      <c r="C722" s="372">
        <v>30418980</v>
      </c>
      <c r="D722" s="92" t="s">
        <v>7408</v>
      </c>
      <c r="E722" s="261" t="str">
        <f t="shared" si="0"/>
        <v>https://pubmed.ncbi.nlm.nih.gov/30418980</v>
      </c>
      <c r="F722" s="92" t="s">
        <v>511</v>
      </c>
      <c r="G722" s="374" t="s">
        <v>7409</v>
      </c>
      <c r="H722" s="21"/>
      <c r="I722" s="92"/>
      <c r="J722" s="92"/>
      <c r="K722" s="92"/>
      <c r="L722" s="92"/>
      <c r="M722" s="92"/>
      <c r="N722" s="92"/>
      <c r="O722" s="92"/>
      <c r="P722" s="92"/>
      <c r="Q722" s="92"/>
      <c r="R722" s="92"/>
      <c r="S722" s="92"/>
      <c r="T722" s="92"/>
      <c r="U722" s="92"/>
      <c r="V722" s="92"/>
      <c r="W722" s="92"/>
      <c r="X722" s="92"/>
      <c r="Y722" s="92"/>
      <c r="Z722" s="92"/>
    </row>
    <row r="723" spans="1:26" ht="12.75">
      <c r="A723" s="92" t="s">
        <v>7410</v>
      </c>
      <c r="B723" s="372">
        <v>2016</v>
      </c>
      <c r="C723" s="372">
        <v>27604498</v>
      </c>
      <c r="D723" s="92"/>
      <c r="E723" s="261" t="str">
        <f t="shared" si="0"/>
        <v>https://pubmed.ncbi.nlm.nih.gov/27604498</v>
      </c>
      <c r="F723" s="92" t="s">
        <v>511</v>
      </c>
      <c r="G723" s="374" t="s">
        <v>4744</v>
      </c>
      <c r="H723" s="21"/>
      <c r="I723" s="92"/>
      <c r="J723" s="92"/>
      <c r="K723" s="92"/>
      <c r="L723" s="92"/>
      <c r="M723" s="92"/>
      <c r="N723" s="92"/>
      <c r="O723" s="92"/>
      <c r="P723" s="92"/>
      <c r="Q723" s="92"/>
      <c r="R723" s="92"/>
      <c r="S723" s="92"/>
      <c r="T723" s="92"/>
      <c r="U723" s="92"/>
      <c r="V723" s="92"/>
      <c r="W723" s="92"/>
      <c r="X723" s="92"/>
      <c r="Y723" s="92"/>
      <c r="Z723" s="92"/>
    </row>
    <row r="724" spans="1:26" ht="12.75">
      <c r="A724" s="92" t="s">
        <v>7411</v>
      </c>
      <c r="B724" s="372">
        <v>2010</v>
      </c>
      <c r="C724" s="372">
        <v>19646777</v>
      </c>
      <c r="D724" s="92"/>
      <c r="E724" s="261" t="str">
        <f t="shared" si="0"/>
        <v>https://pubmed.ncbi.nlm.nih.gov/19646777</v>
      </c>
      <c r="F724" s="92" t="s">
        <v>511</v>
      </c>
      <c r="G724" s="92" t="s">
        <v>4592</v>
      </c>
      <c r="H724" s="92"/>
      <c r="I724" s="92"/>
      <c r="J724" s="92"/>
      <c r="K724" s="92"/>
      <c r="L724" s="92"/>
      <c r="M724" s="92"/>
      <c r="N724" s="92"/>
      <c r="O724" s="92"/>
      <c r="P724" s="92"/>
      <c r="Q724" s="92"/>
      <c r="R724" s="92"/>
      <c r="S724" s="92"/>
      <c r="T724" s="92"/>
      <c r="U724" s="92"/>
      <c r="V724" s="92"/>
      <c r="W724" s="92"/>
      <c r="X724" s="92"/>
      <c r="Y724" s="92"/>
      <c r="Z724" s="92"/>
    </row>
    <row r="725" spans="1:26" ht="12.75">
      <c r="A725" s="92" t="s">
        <v>7412</v>
      </c>
      <c r="B725" s="372">
        <v>2002</v>
      </c>
      <c r="C725" s="372">
        <v>12076499</v>
      </c>
      <c r="D725" s="92" t="s">
        <v>7413</v>
      </c>
      <c r="E725" s="261" t="str">
        <f t="shared" si="0"/>
        <v>https://pubmed.ncbi.nlm.nih.gov/12076499</v>
      </c>
      <c r="F725" s="92" t="s">
        <v>511</v>
      </c>
      <c r="G725" s="92" t="s">
        <v>4592</v>
      </c>
      <c r="H725" s="92"/>
      <c r="I725" s="92"/>
      <c r="J725" s="92"/>
      <c r="K725" s="92"/>
      <c r="L725" s="92"/>
      <c r="M725" s="92"/>
      <c r="N725" s="92"/>
      <c r="O725" s="92"/>
      <c r="P725" s="92"/>
      <c r="Q725" s="92"/>
      <c r="R725" s="92"/>
      <c r="S725" s="92"/>
      <c r="T725" s="92"/>
      <c r="U725" s="92"/>
      <c r="V725" s="92"/>
      <c r="W725" s="92"/>
      <c r="X725" s="92"/>
      <c r="Y725" s="92"/>
      <c r="Z725" s="92"/>
    </row>
    <row r="726" spans="1:26" ht="12.75">
      <c r="A726" s="92" t="s">
        <v>7414</v>
      </c>
      <c r="B726" s="372">
        <v>2005</v>
      </c>
      <c r="C726" s="372">
        <v>16235340</v>
      </c>
      <c r="D726" s="92"/>
      <c r="E726" s="261" t="str">
        <f t="shared" si="0"/>
        <v>https://pubmed.ncbi.nlm.nih.gov/16235340</v>
      </c>
      <c r="F726" s="92" t="s">
        <v>511</v>
      </c>
      <c r="G726" s="92" t="s">
        <v>4592</v>
      </c>
      <c r="H726" s="92"/>
      <c r="I726" s="92"/>
      <c r="J726" s="92"/>
      <c r="K726" s="92"/>
      <c r="L726" s="92"/>
      <c r="M726" s="92"/>
      <c r="N726" s="92"/>
      <c r="O726" s="92"/>
      <c r="P726" s="92"/>
      <c r="Q726" s="92"/>
      <c r="R726" s="92"/>
      <c r="S726" s="92"/>
      <c r="T726" s="92"/>
      <c r="U726" s="92"/>
      <c r="V726" s="92"/>
      <c r="W726" s="92"/>
      <c r="X726" s="92"/>
      <c r="Y726" s="92"/>
      <c r="Z726" s="92"/>
    </row>
    <row r="727" spans="1:26" ht="12.75">
      <c r="A727" s="92" t="s">
        <v>7414</v>
      </c>
      <c r="B727" s="372">
        <v>2008</v>
      </c>
      <c r="C727" s="372">
        <v>18425893</v>
      </c>
      <c r="D727" s="92"/>
      <c r="E727" s="261" t="str">
        <f t="shared" si="0"/>
        <v>https://pubmed.ncbi.nlm.nih.gov/18425893</v>
      </c>
      <c r="F727" s="92" t="s">
        <v>511</v>
      </c>
      <c r="G727" s="92" t="s">
        <v>4592</v>
      </c>
      <c r="H727" s="92"/>
      <c r="I727" s="92"/>
      <c r="J727" s="92"/>
      <c r="K727" s="92"/>
      <c r="L727" s="92"/>
      <c r="M727" s="92"/>
      <c r="N727" s="92"/>
      <c r="O727" s="92"/>
      <c r="P727" s="92"/>
      <c r="Q727" s="92"/>
      <c r="R727" s="92"/>
      <c r="S727" s="92"/>
      <c r="T727" s="92"/>
      <c r="U727" s="92"/>
      <c r="V727" s="92"/>
      <c r="W727" s="92"/>
      <c r="X727" s="92"/>
      <c r="Y727" s="92"/>
      <c r="Z727" s="92"/>
    </row>
    <row r="728" spans="1:26" ht="12.75">
      <c r="A728" s="92" t="s">
        <v>7415</v>
      </c>
      <c r="B728" s="372">
        <v>2015</v>
      </c>
      <c r="C728" s="372">
        <v>25925398</v>
      </c>
      <c r="D728" s="92" t="s">
        <v>7416</v>
      </c>
      <c r="E728" s="261" t="str">
        <f t="shared" si="0"/>
        <v>https://pubmed.ncbi.nlm.nih.gov/25925398</v>
      </c>
      <c r="F728" s="92" t="s">
        <v>511</v>
      </c>
      <c r="G728" s="374" t="s">
        <v>5157</v>
      </c>
      <c r="H728" s="92"/>
      <c r="I728" s="374" t="s">
        <v>6429</v>
      </c>
      <c r="J728" s="92"/>
      <c r="K728" s="92"/>
      <c r="L728" s="92"/>
      <c r="M728" s="92"/>
      <c r="N728" s="92"/>
      <c r="O728" s="92"/>
      <c r="P728" s="92"/>
      <c r="Q728" s="92"/>
      <c r="R728" s="92"/>
      <c r="S728" s="92"/>
      <c r="T728" s="92"/>
      <c r="U728" s="92"/>
      <c r="V728" s="92"/>
      <c r="W728" s="92"/>
      <c r="X728" s="92"/>
      <c r="Y728" s="92"/>
      <c r="Z728" s="92"/>
    </row>
    <row r="729" spans="1:26" ht="12.75">
      <c r="A729" s="92" t="s">
        <v>7417</v>
      </c>
      <c r="B729" s="372">
        <v>2020</v>
      </c>
      <c r="C729" s="372">
        <v>32814348</v>
      </c>
      <c r="D729" s="92"/>
      <c r="E729" s="261" t="str">
        <f t="shared" si="0"/>
        <v>https://pubmed.ncbi.nlm.nih.gov/32814348</v>
      </c>
      <c r="F729" s="92" t="s">
        <v>511</v>
      </c>
      <c r="G729" s="374" t="s">
        <v>4744</v>
      </c>
      <c r="H729" s="21"/>
      <c r="I729" s="92"/>
      <c r="J729" s="92"/>
      <c r="K729" s="92"/>
      <c r="L729" s="92"/>
      <c r="M729" s="92"/>
      <c r="N729" s="92"/>
      <c r="O729" s="92"/>
      <c r="P729" s="92"/>
      <c r="Q729" s="92"/>
      <c r="R729" s="92"/>
      <c r="S729" s="92"/>
      <c r="T729" s="92"/>
      <c r="U729" s="92"/>
      <c r="V729" s="92"/>
      <c r="W729" s="92"/>
      <c r="X729" s="92"/>
      <c r="Y729" s="92"/>
      <c r="Z729" s="92"/>
    </row>
    <row r="730" spans="1:26" ht="12.75">
      <c r="A730" s="92" t="s">
        <v>7418</v>
      </c>
      <c r="B730" s="372">
        <v>1999</v>
      </c>
      <c r="C730" s="372">
        <v>10212013</v>
      </c>
      <c r="D730" s="92"/>
      <c r="E730" s="261" t="str">
        <f t="shared" si="0"/>
        <v>https://pubmed.ncbi.nlm.nih.gov/10212013</v>
      </c>
      <c r="F730" s="92" t="s">
        <v>511</v>
      </c>
      <c r="G730" s="92" t="s">
        <v>4592</v>
      </c>
      <c r="H730" s="92"/>
      <c r="I730" s="92"/>
      <c r="J730" s="92"/>
      <c r="K730" s="92"/>
      <c r="L730" s="92"/>
      <c r="M730" s="92"/>
      <c r="N730" s="92"/>
      <c r="O730" s="92"/>
      <c r="P730" s="92"/>
      <c r="Q730" s="92"/>
      <c r="R730" s="92"/>
      <c r="S730" s="92"/>
      <c r="T730" s="92"/>
      <c r="U730" s="92"/>
      <c r="V730" s="92"/>
      <c r="W730" s="92"/>
      <c r="X730" s="92"/>
      <c r="Y730" s="92"/>
      <c r="Z730" s="92"/>
    </row>
    <row r="731" spans="1:26" ht="12.75">
      <c r="A731" s="92" t="s">
        <v>7419</v>
      </c>
      <c r="B731" s="372">
        <v>2009</v>
      </c>
      <c r="C731" s="372">
        <v>19457991</v>
      </c>
      <c r="D731" s="92" t="s">
        <v>7420</v>
      </c>
      <c r="E731" s="261" t="str">
        <f t="shared" si="0"/>
        <v>https://pubmed.ncbi.nlm.nih.gov/19457991</v>
      </c>
      <c r="F731" s="92" t="s">
        <v>511</v>
      </c>
      <c r="G731" s="374" t="s">
        <v>4346</v>
      </c>
      <c r="H731" s="92"/>
      <c r="I731" s="92"/>
      <c r="J731" s="92"/>
      <c r="K731" s="92"/>
      <c r="L731" s="92"/>
      <c r="M731" s="92"/>
      <c r="N731" s="92"/>
      <c r="O731" s="92"/>
      <c r="P731" s="92"/>
      <c r="Q731" s="92"/>
      <c r="R731" s="92"/>
      <c r="S731" s="92"/>
      <c r="T731" s="92"/>
      <c r="U731" s="92"/>
      <c r="V731" s="92"/>
      <c r="W731" s="92"/>
      <c r="X731" s="92"/>
      <c r="Y731" s="92"/>
      <c r="Z731" s="92"/>
    </row>
    <row r="732" spans="1:26" ht="12.75">
      <c r="A732" s="92" t="s">
        <v>7421</v>
      </c>
      <c r="B732" s="372">
        <v>2012</v>
      </c>
      <c r="C732" s="372">
        <v>23169967</v>
      </c>
      <c r="D732" s="92"/>
      <c r="E732" s="261" t="str">
        <f t="shared" si="0"/>
        <v>https://pubmed.ncbi.nlm.nih.gov/23169967</v>
      </c>
      <c r="F732" s="92" t="s">
        <v>511</v>
      </c>
      <c r="G732" s="374" t="s">
        <v>7422</v>
      </c>
      <c r="H732" s="21"/>
      <c r="I732" s="92"/>
      <c r="J732" s="92"/>
      <c r="K732" s="92"/>
      <c r="L732" s="92"/>
      <c r="M732" s="92"/>
      <c r="N732" s="92"/>
      <c r="O732" s="92"/>
      <c r="P732" s="92"/>
      <c r="Q732" s="92"/>
      <c r="R732" s="92"/>
      <c r="S732" s="92"/>
      <c r="T732" s="92"/>
      <c r="U732" s="92"/>
      <c r="V732" s="92"/>
      <c r="W732" s="92"/>
      <c r="X732" s="92"/>
      <c r="Y732" s="92"/>
      <c r="Z732" s="92"/>
    </row>
    <row r="733" spans="1:26" ht="12.75">
      <c r="A733" s="92" t="s">
        <v>7423</v>
      </c>
      <c r="B733" s="372">
        <v>2013</v>
      </c>
      <c r="C733" s="372">
        <v>24154977</v>
      </c>
      <c r="D733" s="92" t="s">
        <v>7424</v>
      </c>
      <c r="E733" s="261" t="str">
        <f t="shared" si="0"/>
        <v>https://pubmed.ncbi.nlm.nih.gov/24154977</v>
      </c>
      <c r="F733" s="92" t="s">
        <v>511</v>
      </c>
      <c r="G733" s="92" t="s">
        <v>4592</v>
      </c>
      <c r="H733" s="92"/>
      <c r="I733" s="92"/>
      <c r="J733" s="92"/>
      <c r="K733" s="92"/>
      <c r="L733" s="92"/>
      <c r="M733" s="92"/>
      <c r="N733" s="92"/>
      <c r="O733" s="92"/>
      <c r="P733" s="92"/>
      <c r="Q733" s="92"/>
      <c r="R733" s="92"/>
      <c r="S733" s="92"/>
      <c r="T733" s="92"/>
      <c r="U733" s="92"/>
      <c r="V733" s="92"/>
      <c r="W733" s="92"/>
      <c r="X733" s="92"/>
      <c r="Y733" s="92"/>
      <c r="Z733" s="92"/>
    </row>
    <row r="734" spans="1:26" ht="12.75">
      <c r="A734" s="92" t="s">
        <v>7425</v>
      </c>
      <c r="B734" s="372">
        <v>1998</v>
      </c>
      <c r="C734" s="372">
        <v>9658250</v>
      </c>
      <c r="D734" s="92"/>
      <c r="E734" s="261" t="str">
        <f t="shared" si="0"/>
        <v>https://pubmed.ncbi.nlm.nih.gov/9658250</v>
      </c>
      <c r="F734" s="92" t="s">
        <v>511</v>
      </c>
      <c r="G734" s="92" t="s">
        <v>4592</v>
      </c>
      <c r="H734" s="92"/>
      <c r="I734" s="92"/>
      <c r="J734" s="92"/>
      <c r="K734" s="92"/>
      <c r="L734" s="92"/>
      <c r="M734" s="92"/>
      <c r="N734" s="92"/>
      <c r="O734" s="92"/>
      <c r="P734" s="92"/>
      <c r="Q734" s="92"/>
      <c r="R734" s="92"/>
      <c r="S734" s="92"/>
      <c r="T734" s="92"/>
      <c r="U734" s="92"/>
      <c r="V734" s="92"/>
      <c r="W734" s="92"/>
      <c r="X734" s="92"/>
      <c r="Y734" s="92"/>
      <c r="Z734" s="92"/>
    </row>
    <row r="735" spans="1:26" ht="12.75">
      <c r="A735" s="92" t="s">
        <v>7426</v>
      </c>
      <c r="B735" s="372">
        <v>2019</v>
      </c>
      <c r="C735" s="372">
        <v>31860749</v>
      </c>
      <c r="D735" s="92" t="s">
        <v>7427</v>
      </c>
      <c r="E735" s="261" t="str">
        <f t="shared" si="0"/>
        <v>https://pubmed.ncbi.nlm.nih.gov/31860749</v>
      </c>
      <c r="F735" s="92" t="s">
        <v>511</v>
      </c>
      <c r="G735" s="92" t="s">
        <v>8412</v>
      </c>
      <c r="H735" s="92"/>
      <c r="I735" s="92"/>
      <c r="J735" s="92"/>
      <c r="K735" s="92"/>
      <c r="L735" s="92"/>
      <c r="M735" s="92"/>
      <c r="N735" s="92"/>
      <c r="O735" s="92"/>
      <c r="P735" s="92"/>
      <c r="Q735" s="92"/>
      <c r="R735" s="92"/>
      <c r="S735" s="92"/>
      <c r="T735" s="92"/>
      <c r="U735" s="92"/>
      <c r="V735" s="92"/>
      <c r="W735" s="92"/>
      <c r="X735" s="92"/>
      <c r="Y735" s="92"/>
      <c r="Z735" s="92"/>
    </row>
    <row r="736" spans="1:26" ht="12.75">
      <c r="A736" s="92" t="s">
        <v>7428</v>
      </c>
      <c r="B736" s="372">
        <v>2018</v>
      </c>
      <c r="C736" s="372">
        <v>30191830</v>
      </c>
      <c r="D736" s="92" t="s">
        <v>7429</v>
      </c>
      <c r="E736" s="261" t="str">
        <f t="shared" si="0"/>
        <v>https://pubmed.ncbi.nlm.nih.gov/30191830</v>
      </c>
      <c r="F736" s="92" t="s">
        <v>511</v>
      </c>
      <c r="G736" s="374" t="s">
        <v>7430</v>
      </c>
      <c r="H736" s="21"/>
      <c r="I736" s="21"/>
      <c r="J736" s="92"/>
      <c r="K736" s="92"/>
      <c r="L736" s="92"/>
      <c r="M736" s="92"/>
      <c r="N736" s="92"/>
      <c r="O736" s="92"/>
      <c r="P736" s="92"/>
      <c r="Q736" s="92"/>
      <c r="R736" s="92"/>
      <c r="S736" s="92"/>
      <c r="T736" s="92"/>
      <c r="U736" s="92"/>
      <c r="V736" s="92"/>
      <c r="W736" s="92"/>
      <c r="X736" s="92"/>
      <c r="Y736" s="92"/>
      <c r="Z736" s="92"/>
    </row>
    <row r="737" spans="1:26" ht="12.75">
      <c r="A737" s="92" t="s">
        <v>7431</v>
      </c>
      <c r="B737" s="372">
        <v>2020</v>
      </c>
      <c r="C737" s="372">
        <v>32166390</v>
      </c>
      <c r="D737" s="92"/>
      <c r="E737" s="261" t="str">
        <f t="shared" si="0"/>
        <v>https://pubmed.ncbi.nlm.nih.gov/32166390</v>
      </c>
      <c r="F737" s="92" t="s">
        <v>511</v>
      </c>
      <c r="G737" s="92" t="s">
        <v>8412</v>
      </c>
      <c r="H737" s="92"/>
      <c r="I737" s="92"/>
      <c r="J737" s="92"/>
      <c r="K737" s="92"/>
      <c r="L737" s="92"/>
      <c r="M737" s="92"/>
      <c r="N737" s="92"/>
      <c r="O737" s="92"/>
      <c r="P737" s="92"/>
      <c r="Q737" s="92"/>
      <c r="R737" s="92"/>
      <c r="S737" s="92"/>
      <c r="T737" s="92"/>
      <c r="U737" s="92"/>
      <c r="V737" s="92"/>
      <c r="W737" s="92"/>
      <c r="X737" s="92"/>
      <c r="Y737" s="92"/>
      <c r="Z737" s="92"/>
    </row>
    <row r="738" spans="1:26" ht="12.75">
      <c r="A738" s="92" t="s">
        <v>7432</v>
      </c>
      <c r="B738" s="372">
        <v>2011</v>
      </c>
      <c r="C738" s="372">
        <v>21716073</v>
      </c>
      <c r="D738" s="92"/>
      <c r="E738" s="261" t="str">
        <f t="shared" si="0"/>
        <v>https://pubmed.ncbi.nlm.nih.gov/21716073</v>
      </c>
      <c r="F738" s="92" t="s">
        <v>511</v>
      </c>
      <c r="G738" s="374" t="s">
        <v>4744</v>
      </c>
      <c r="H738" s="21"/>
      <c r="I738" s="92"/>
      <c r="J738" s="92"/>
      <c r="K738" s="92"/>
      <c r="L738" s="92"/>
      <c r="M738" s="92"/>
      <c r="N738" s="92"/>
      <c r="O738" s="92"/>
      <c r="P738" s="92"/>
      <c r="Q738" s="92"/>
      <c r="R738" s="92"/>
      <c r="S738" s="92"/>
      <c r="T738" s="92"/>
      <c r="U738" s="92"/>
      <c r="V738" s="92"/>
      <c r="W738" s="92"/>
      <c r="X738" s="92"/>
      <c r="Y738" s="92"/>
      <c r="Z738" s="92"/>
    </row>
    <row r="739" spans="1:26" ht="12.75">
      <c r="A739" s="92" t="s">
        <v>7433</v>
      </c>
      <c r="B739" s="372">
        <v>2020</v>
      </c>
      <c r="C739" s="372">
        <v>31996895</v>
      </c>
      <c r="D739" s="92"/>
      <c r="E739" s="261" t="str">
        <f t="shared" si="0"/>
        <v>https://pubmed.ncbi.nlm.nih.gov/31996895</v>
      </c>
      <c r="F739" s="92" t="s">
        <v>511</v>
      </c>
      <c r="G739" s="92" t="s">
        <v>4592</v>
      </c>
      <c r="H739" s="92"/>
      <c r="I739" s="92"/>
      <c r="J739" s="92"/>
      <c r="K739" s="92"/>
      <c r="L739" s="92"/>
      <c r="M739" s="92"/>
      <c r="N739" s="92"/>
      <c r="O739" s="92"/>
      <c r="P739" s="92"/>
      <c r="Q739" s="92"/>
      <c r="R739" s="92"/>
      <c r="S739" s="92"/>
      <c r="T739" s="92"/>
      <c r="U739" s="92"/>
      <c r="V739" s="92"/>
      <c r="W739" s="92"/>
      <c r="X739" s="92"/>
      <c r="Y739" s="92"/>
      <c r="Z739" s="92"/>
    </row>
    <row r="740" spans="1:26" ht="12.75">
      <c r="A740" s="92" t="s">
        <v>7434</v>
      </c>
      <c r="B740" s="372">
        <v>2016</v>
      </c>
      <c r="C740" s="372">
        <v>25755185</v>
      </c>
      <c r="D740" s="92"/>
      <c r="E740" s="261" t="str">
        <f t="shared" si="0"/>
        <v>https://pubmed.ncbi.nlm.nih.gov/25755185</v>
      </c>
      <c r="F740" s="92" t="s">
        <v>511</v>
      </c>
      <c r="G740" s="374" t="s">
        <v>4744</v>
      </c>
      <c r="H740" s="21"/>
      <c r="I740" s="92"/>
      <c r="J740" s="92"/>
      <c r="K740" s="92"/>
      <c r="L740" s="92"/>
      <c r="M740" s="92"/>
      <c r="N740" s="92"/>
      <c r="O740" s="92"/>
      <c r="P740" s="92"/>
      <c r="Q740" s="92"/>
      <c r="R740" s="92"/>
      <c r="S740" s="92"/>
      <c r="T740" s="92"/>
      <c r="U740" s="92"/>
      <c r="V740" s="92"/>
      <c r="W740" s="92"/>
      <c r="X740" s="92"/>
      <c r="Y740" s="92"/>
      <c r="Z740" s="92"/>
    </row>
    <row r="741" spans="1:26" ht="12.75">
      <c r="A741" s="92" t="s">
        <v>7435</v>
      </c>
      <c r="B741" s="372">
        <v>2009</v>
      </c>
      <c r="C741" s="372">
        <v>19638966</v>
      </c>
      <c r="D741" s="92"/>
      <c r="E741" s="261" t="str">
        <f t="shared" si="0"/>
        <v>https://pubmed.ncbi.nlm.nih.gov/19638966</v>
      </c>
      <c r="F741" s="92" t="s">
        <v>511</v>
      </c>
      <c r="G741" s="374" t="s">
        <v>5157</v>
      </c>
      <c r="H741" s="21"/>
      <c r="I741" s="21"/>
      <c r="J741" s="92"/>
      <c r="K741" s="92"/>
      <c r="L741" s="92"/>
      <c r="M741" s="92"/>
      <c r="N741" s="92"/>
      <c r="O741" s="92"/>
      <c r="P741" s="92"/>
      <c r="Q741" s="92"/>
      <c r="R741" s="92"/>
      <c r="S741" s="92"/>
      <c r="T741" s="92"/>
      <c r="U741" s="92"/>
      <c r="V741" s="92"/>
      <c r="W741" s="92"/>
      <c r="X741" s="92"/>
      <c r="Y741" s="92"/>
      <c r="Z741" s="92"/>
    </row>
    <row r="742" spans="1:26" ht="12.75">
      <c r="A742" s="92" t="s">
        <v>7436</v>
      </c>
      <c r="B742" s="372">
        <v>2002</v>
      </c>
      <c r="C742" s="372">
        <v>12047793</v>
      </c>
      <c r="D742" s="92"/>
      <c r="E742" s="261" t="str">
        <f t="shared" si="0"/>
        <v>https://pubmed.ncbi.nlm.nih.gov/12047793</v>
      </c>
      <c r="F742" s="92" t="s">
        <v>511</v>
      </c>
      <c r="G742" s="92" t="s">
        <v>4592</v>
      </c>
      <c r="H742" s="92"/>
      <c r="I742" s="92"/>
      <c r="J742" s="92"/>
      <c r="K742" s="92"/>
      <c r="L742" s="92"/>
      <c r="M742" s="92"/>
      <c r="N742" s="92"/>
      <c r="O742" s="92"/>
      <c r="P742" s="92"/>
      <c r="Q742" s="92"/>
      <c r="R742" s="92"/>
      <c r="S742" s="92"/>
      <c r="T742" s="92"/>
      <c r="U742" s="92"/>
      <c r="V742" s="92"/>
      <c r="W742" s="92"/>
      <c r="X742" s="92"/>
      <c r="Y742" s="92"/>
      <c r="Z742" s="92"/>
    </row>
    <row r="743" spans="1:26" ht="12.75">
      <c r="A743" s="92" t="s">
        <v>7437</v>
      </c>
      <c r="B743" s="372">
        <v>2009</v>
      </c>
      <c r="C743" s="372">
        <v>19275278</v>
      </c>
      <c r="D743" s="92"/>
      <c r="E743" s="261" t="str">
        <f t="shared" si="0"/>
        <v>https://pubmed.ncbi.nlm.nih.gov/19275278</v>
      </c>
      <c r="F743" s="92" t="s">
        <v>511</v>
      </c>
      <c r="G743" s="92" t="s">
        <v>4592</v>
      </c>
      <c r="H743" s="92"/>
      <c r="I743" s="92"/>
      <c r="J743" s="92"/>
      <c r="K743" s="92"/>
      <c r="L743" s="92"/>
      <c r="M743" s="92"/>
      <c r="N743" s="92"/>
      <c r="O743" s="92"/>
      <c r="P743" s="92"/>
      <c r="Q743" s="92"/>
      <c r="R743" s="92"/>
      <c r="S743" s="92"/>
      <c r="T743" s="92"/>
      <c r="U743" s="92"/>
      <c r="V743" s="92"/>
      <c r="W743" s="92"/>
      <c r="X743" s="92"/>
      <c r="Y743" s="92"/>
      <c r="Z743" s="92"/>
    </row>
    <row r="744" spans="1:26" ht="12.75">
      <c r="A744" s="92" t="s">
        <v>7438</v>
      </c>
      <c r="B744" s="372">
        <v>2017</v>
      </c>
      <c r="C744" s="372">
        <v>28431202</v>
      </c>
      <c r="D744" s="92" t="s">
        <v>7439</v>
      </c>
      <c r="E744" s="261" t="str">
        <f t="shared" si="0"/>
        <v>https://pubmed.ncbi.nlm.nih.gov/28431202</v>
      </c>
      <c r="F744" s="92" t="s">
        <v>511</v>
      </c>
      <c r="G744" s="92" t="s">
        <v>4592</v>
      </c>
      <c r="H744" s="92"/>
      <c r="I744" s="92"/>
      <c r="J744" s="92"/>
      <c r="K744" s="92"/>
      <c r="L744" s="92"/>
      <c r="M744" s="92"/>
      <c r="N744" s="92"/>
      <c r="O744" s="92"/>
      <c r="P744" s="92"/>
      <c r="Q744" s="92"/>
      <c r="R744" s="92"/>
      <c r="S744" s="92"/>
      <c r="T744" s="92"/>
      <c r="U744" s="92"/>
      <c r="V744" s="92"/>
      <c r="W744" s="92"/>
      <c r="X744" s="92"/>
      <c r="Y744" s="92"/>
      <c r="Z744" s="92"/>
    </row>
    <row r="745" spans="1:26" ht="12.75">
      <c r="A745" s="92" t="s">
        <v>7440</v>
      </c>
      <c r="B745" s="372">
        <v>2018</v>
      </c>
      <c r="C745" s="372">
        <v>29654069</v>
      </c>
      <c r="D745" s="92"/>
      <c r="E745" s="261" t="str">
        <f t="shared" si="0"/>
        <v>https://pubmed.ncbi.nlm.nih.gov/29654069</v>
      </c>
      <c r="F745" s="92" t="s">
        <v>511</v>
      </c>
      <c r="G745" s="374" t="s">
        <v>4744</v>
      </c>
      <c r="H745" s="21"/>
      <c r="I745" s="92"/>
      <c r="J745" s="92"/>
      <c r="K745" s="92"/>
      <c r="L745" s="92"/>
      <c r="M745" s="92"/>
      <c r="N745" s="92"/>
      <c r="O745" s="92"/>
      <c r="P745" s="92"/>
      <c r="Q745" s="92"/>
      <c r="R745" s="92"/>
      <c r="S745" s="92"/>
      <c r="T745" s="92"/>
      <c r="U745" s="92"/>
      <c r="V745" s="92"/>
      <c r="W745" s="92"/>
      <c r="X745" s="92"/>
      <c r="Y745" s="92"/>
      <c r="Z745" s="92"/>
    </row>
    <row r="746" spans="1:26" ht="12.75">
      <c r="A746" s="92" t="s">
        <v>7441</v>
      </c>
      <c r="B746" s="372">
        <v>2021</v>
      </c>
      <c r="C746" s="372">
        <v>33429331</v>
      </c>
      <c r="D746" s="92" t="s">
        <v>7442</v>
      </c>
      <c r="E746" s="261" t="str">
        <f t="shared" si="0"/>
        <v>https://pubmed.ncbi.nlm.nih.gov/33429331</v>
      </c>
      <c r="F746" s="92" t="s">
        <v>511</v>
      </c>
      <c r="G746" s="92" t="s">
        <v>4592</v>
      </c>
      <c r="H746" s="92"/>
      <c r="I746" s="92"/>
      <c r="J746" s="92"/>
      <c r="K746" s="92"/>
      <c r="L746" s="92"/>
      <c r="M746" s="92"/>
      <c r="N746" s="92"/>
      <c r="O746" s="92"/>
      <c r="P746" s="92"/>
      <c r="Q746" s="92"/>
      <c r="R746" s="92"/>
      <c r="S746" s="92"/>
      <c r="T746" s="92"/>
      <c r="U746" s="92"/>
      <c r="V746" s="92"/>
      <c r="W746" s="92"/>
      <c r="X746" s="92"/>
      <c r="Y746" s="92"/>
      <c r="Z746" s="92"/>
    </row>
    <row r="747" spans="1:26" ht="12.75">
      <c r="A747" s="92" t="s">
        <v>7443</v>
      </c>
      <c r="B747" s="372">
        <v>2018</v>
      </c>
      <c r="C747" s="372">
        <v>29293893</v>
      </c>
      <c r="D747" s="92" t="s">
        <v>7444</v>
      </c>
      <c r="E747" s="261" t="str">
        <f t="shared" si="0"/>
        <v>https://pubmed.ncbi.nlm.nih.gov/29293893</v>
      </c>
      <c r="F747" s="92" t="s">
        <v>511</v>
      </c>
      <c r="G747" s="374" t="s">
        <v>7445</v>
      </c>
      <c r="H747" s="21"/>
      <c r="I747" s="92"/>
      <c r="J747" s="92"/>
      <c r="K747" s="92"/>
      <c r="L747" s="92"/>
      <c r="M747" s="92"/>
      <c r="N747" s="92"/>
      <c r="O747" s="92"/>
      <c r="P747" s="92"/>
      <c r="Q747" s="92"/>
      <c r="R747" s="92"/>
      <c r="S747" s="92"/>
      <c r="T747" s="92"/>
      <c r="U747" s="92"/>
      <c r="V747" s="92"/>
      <c r="W747" s="92"/>
      <c r="X747" s="92"/>
      <c r="Y747" s="92"/>
      <c r="Z747" s="92"/>
    </row>
    <row r="748" spans="1:26" ht="12.75">
      <c r="A748" s="92" t="s">
        <v>7446</v>
      </c>
      <c r="B748" s="372">
        <v>2017</v>
      </c>
      <c r="C748" s="372">
        <v>28182700</v>
      </c>
      <c r="D748" s="92" t="s">
        <v>7447</v>
      </c>
      <c r="E748" s="261" t="str">
        <f t="shared" si="0"/>
        <v>https://pubmed.ncbi.nlm.nih.gov/28182700</v>
      </c>
      <c r="F748" s="92" t="s">
        <v>511</v>
      </c>
      <c r="G748" s="374" t="s">
        <v>4867</v>
      </c>
      <c r="H748" s="21"/>
      <c r="I748" s="92"/>
      <c r="J748" s="92"/>
      <c r="K748" s="92"/>
      <c r="L748" s="92"/>
      <c r="M748" s="92"/>
      <c r="N748" s="92"/>
      <c r="O748" s="92"/>
      <c r="P748" s="92"/>
      <c r="Q748" s="92"/>
      <c r="R748" s="92"/>
      <c r="S748" s="92"/>
      <c r="T748" s="92"/>
      <c r="U748" s="92"/>
      <c r="V748" s="92"/>
      <c r="W748" s="92"/>
      <c r="X748" s="92"/>
      <c r="Y748" s="92"/>
      <c r="Z748" s="92"/>
    </row>
    <row r="749" spans="1:26" ht="12.75">
      <c r="A749" s="92" t="s">
        <v>7448</v>
      </c>
      <c r="B749" s="372">
        <v>2020</v>
      </c>
      <c r="C749" s="372">
        <v>32721580</v>
      </c>
      <c r="D749" s="92" t="s">
        <v>7449</v>
      </c>
      <c r="E749" s="261" t="str">
        <f t="shared" si="0"/>
        <v>https://pubmed.ncbi.nlm.nih.gov/32721580</v>
      </c>
      <c r="F749" s="92" t="s">
        <v>511</v>
      </c>
      <c r="G749" s="374" t="s">
        <v>4744</v>
      </c>
      <c r="H749" s="21"/>
      <c r="I749" s="92"/>
      <c r="J749" s="92"/>
      <c r="K749" s="92"/>
      <c r="L749" s="92"/>
      <c r="M749" s="92"/>
      <c r="N749" s="92"/>
      <c r="O749" s="92"/>
      <c r="P749" s="92"/>
      <c r="Q749" s="92"/>
      <c r="R749" s="92"/>
      <c r="S749" s="92"/>
      <c r="T749" s="92"/>
      <c r="U749" s="92"/>
      <c r="V749" s="92"/>
      <c r="W749" s="92"/>
      <c r="X749" s="92"/>
      <c r="Y749" s="92"/>
      <c r="Z749" s="92"/>
    </row>
    <row r="750" spans="1:26" ht="12.75">
      <c r="A750" s="92" t="s">
        <v>7450</v>
      </c>
      <c r="B750" s="372">
        <v>1999</v>
      </c>
      <c r="C750" s="372">
        <v>10468325</v>
      </c>
      <c r="D750" s="92"/>
      <c r="E750" s="261" t="str">
        <f t="shared" si="0"/>
        <v>https://pubmed.ncbi.nlm.nih.gov/10468325</v>
      </c>
      <c r="F750" s="92" t="s">
        <v>511</v>
      </c>
      <c r="G750" s="92" t="s">
        <v>4592</v>
      </c>
      <c r="H750" s="92"/>
      <c r="I750" s="92"/>
      <c r="J750" s="92"/>
      <c r="K750" s="92"/>
      <c r="L750" s="92"/>
      <c r="M750" s="92"/>
      <c r="N750" s="92"/>
      <c r="O750" s="92"/>
      <c r="P750" s="92"/>
      <c r="Q750" s="92"/>
      <c r="R750" s="92"/>
      <c r="S750" s="92"/>
      <c r="T750" s="92"/>
      <c r="U750" s="92"/>
      <c r="V750" s="92"/>
      <c r="W750" s="92"/>
      <c r="X750" s="92"/>
      <c r="Y750" s="92"/>
      <c r="Z750" s="92"/>
    </row>
    <row r="751" spans="1:26" ht="12.75">
      <c r="A751" s="92" t="s">
        <v>7451</v>
      </c>
      <c r="B751" s="372">
        <v>2001</v>
      </c>
      <c r="C751" s="372">
        <v>11520724</v>
      </c>
      <c r="D751" s="92"/>
      <c r="E751" s="261" t="str">
        <f t="shared" si="0"/>
        <v>https://pubmed.ncbi.nlm.nih.gov/11520724</v>
      </c>
      <c r="F751" s="92" t="s">
        <v>511</v>
      </c>
      <c r="G751" s="374" t="s">
        <v>4744</v>
      </c>
      <c r="H751" s="21"/>
      <c r="I751" s="92"/>
      <c r="J751" s="92"/>
      <c r="K751" s="92"/>
      <c r="L751" s="92"/>
      <c r="M751" s="92"/>
      <c r="N751" s="92"/>
      <c r="O751" s="92"/>
      <c r="P751" s="92"/>
      <c r="Q751" s="92"/>
      <c r="R751" s="92"/>
      <c r="S751" s="92"/>
      <c r="T751" s="92"/>
      <c r="U751" s="92"/>
      <c r="V751" s="92"/>
      <c r="W751" s="92"/>
      <c r="X751" s="92"/>
      <c r="Y751" s="92"/>
      <c r="Z751" s="92"/>
    </row>
    <row r="752" spans="1:26" ht="12.75">
      <c r="A752" s="92" t="s">
        <v>7452</v>
      </c>
      <c r="B752" s="372">
        <v>2015</v>
      </c>
      <c r="C752" s="372">
        <v>26002266</v>
      </c>
      <c r="D752" s="92" t="s">
        <v>7453</v>
      </c>
      <c r="E752" s="261" t="str">
        <f t="shared" si="0"/>
        <v>https://pubmed.ncbi.nlm.nih.gov/26002266</v>
      </c>
      <c r="F752" s="92" t="s">
        <v>511</v>
      </c>
      <c r="G752" s="92" t="s">
        <v>4592</v>
      </c>
      <c r="H752" s="92"/>
      <c r="I752" s="92"/>
      <c r="J752" s="92"/>
      <c r="K752" s="92"/>
      <c r="L752" s="92"/>
      <c r="M752" s="92"/>
      <c r="N752" s="92"/>
      <c r="O752" s="92"/>
      <c r="P752" s="92"/>
      <c r="Q752" s="92"/>
      <c r="R752" s="92"/>
      <c r="S752" s="92"/>
      <c r="T752" s="92"/>
      <c r="U752" s="92"/>
      <c r="V752" s="92"/>
      <c r="W752" s="92"/>
      <c r="X752" s="92"/>
      <c r="Y752" s="92"/>
      <c r="Z752" s="92"/>
    </row>
    <row r="753" spans="1:26" ht="12.75">
      <c r="A753" s="92" t="s">
        <v>7454</v>
      </c>
      <c r="B753" s="372">
        <v>2020</v>
      </c>
      <c r="C753" s="372">
        <v>32591466</v>
      </c>
      <c r="D753" s="92" t="s">
        <v>5633</v>
      </c>
      <c r="E753" s="261" t="str">
        <f t="shared" si="0"/>
        <v>https://pubmed.ncbi.nlm.nih.gov/32591466</v>
      </c>
      <c r="F753" s="92" t="s">
        <v>511</v>
      </c>
      <c r="G753" s="92" t="s">
        <v>4592</v>
      </c>
      <c r="H753" s="92"/>
      <c r="I753" s="92"/>
      <c r="J753" s="92"/>
      <c r="K753" s="92"/>
      <c r="L753" s="92"/>
      <c r="M753" s="92"/>
      <c r="N753" s="92"/>
      <c r="O753" s="92"/>
      <c r="P753" s="92"/>
      <c r="Q753" s="92"/>
      <c r="R753" s="92"/>
      <c r="S753" s="92"/>
      <c r="T753" s="92"/>
      <c r="U753" s="92"/>
      <c r="V753" s="92"/>
      <c r="W753" s="92"/>
      <c r="X753" s="92"/>
      <c r="Y753" s="92"/>
      <c r="Z753" s="92"/>
    </row>
    <row r="754" spans="1:26" ht="12.75">
      <c r="A754" s="92" t="s">
        <v>4199</v>
      </c>
      <c r="B754" s="372">
        <v>2009</v>
      </c>
      <c r="C754" s="372">
        <v>19061928</v>
      </c>
      <c r="D754" s="92"/>
      <c r="E754" s="261" t="str">
        <f t="shared" si="0"/>
        <v>https://pubmed.ncbi.nlm.nih.gov/19061928</v>
      </c>
      <c r="F754" s="92" t="s">
        <v>511</v>
      </c>
      <c r="G754" s="374" t="s">
        <v>7455</v>
      </c>
      <c r="H754" s="21"/>
      <c r="I754" s="92"/>
      <c r="J754" s="92"/>
      <c r="K754" s="92"/>
      <c r="L754" s="92"/>
      <c r="M754" s="92"/>
      <c r="N754" s="92"/>
      <c r="O754" s="92"/>
      <c r="P754" s="92"/>
      <c r="Q754" s="92"/>
      <c r="R754" s="92"/>
      <c r="S754" s="92"/>
      <c r="T754" s="92"/>
      <c r="U754" s="92"/>
      <c r="V754" s="92"/>
      <c r="W754" s="92"/>
      <c r="X754" s="92"/>
      <c r="Y754" s="92"/>
      <c r="Z754" s="92"/>
    </row>
    <row r="755" spans="1:26" ht="12.75">
      <c r="A755" s="92" t="s">
        <v>7456</v>
      </c>
      <c r="B755" s="372">
        <v>2012</v>
      </c>
      <c r="C755" s="372">
        <v>22658702</v>
      </c>
      <c r="D755" s="92"/>
      <c r="E755" s="261" t="str">
        <f t="shared" si="0"/>
        <v>https://pubmed.ncbi.nlm.nih.gov/22658702</v>
      </c>
      <c r="F755" s="92" t="s">
        <v>511</v>
      </c>
      <c r="G755" s="374" t="s">
        <v>5157</v>
      </c>
      <c r="H755" s="21"/>
      <c r="I755" s="21"/>
      <c r="J755" s="92"/>
      <c r="K755" s="92"/>
      <c r="L755" s="92"/>
      <c r="M755" s="92"/>
      <c r="N755" s="92"/>
      <c r="O755" s="92"/>
      <c r="P755" s="92"/>
      <c r="Q755" s="92"/>
      <c r="R755" s="92"/>
      <c r="S755" s="92"/>
      <c r="T755" s="92"/>
      <c r="U755" s="92"/>
      <c r="V755" s="92"/>
      <c r="W755" s="92"/>
      <c r="X755" s="92"/>
      <c r="Y755" s="92"/>
      <c r="Z755" s="92"/>
    </row>
    <row r="756" spans="1:26" ht="12.75">
      <c r="A756" s="92" t="s">
        <v>7457</v>
      </c>
      <c r="B756" s="372">
        <v>2011</v>
      </c>
      <c r="C756" s="372">
        <v>20383205</v>
      </c>
      <c r="D756" s="92"/>
      <c r="E756" s="261" t="str">
        <f t="shared" si="0"/>
        <v>https://pubmed.ncbi.nlm.nih.gov/20383205</v>
      </c>
      <c r="F756" s="92" t="s">
        <v>511</v>
      </c>
      <c r="G756" s="374" t="s">
        <v>6712</v>
      </c>
      <c r="H756" s="21"/>
      <c r="I756" s="92"/>
      <c r="J756" s="92"/>
      <c r="K756" s="92"/>
      <c r="L756" s="92"/>
      <c r="M756" s="92"/>
      <c r="N756" s="92"/>
      <c r="O756" s="92"/>
      <c r="P756" s="92"/>
      <c r="Q756" s="92"/>
      <c r="R756" s="92"/>
      <c r="S756" s="92"/>
      <c r="T756" s="92"/>
      <c r="U756" s="92"/>
      <c r="V756" s="92"/>
      <c r="W756" s="92"/>
      <c r="X756" s="92"/>
      <c r="Y756" s="92"/>
      <c r="Z756" s="92"/>
    </row>
    <row r="757" spans="1:26" ht="12.75">
      <c r="A757" s="92" t="s">
        <v>7458</v>
      </c>
      <c r="B757" s="372">
        <v>2018</v>
      </c>
      <c r="C757" s="372">
        <v>30252528</v>
      </c>
      <c r="D757" s="92" t="s">
        <v>7459</v>
      </c>
      <c r="E757" s="261" t="str">
        <f t="shared" si="0"/>
        <v>https://pubmed.ncbi.nlm.nih.gov/30252528</v>
      </c>
      <c r="F757" s="92" t="s">
        <v>511</v>
      </c>
      <c r="G757" s="92" t="s">
        <v>4592</v>
      </c>
      <c r="H757" s="92"/>
      <c r="I757" s="92"/>
      <c r="J757" s="92"/>
      <c r="K757" s="92"/>
      <c r="L757" s="92"/>
      <c r="M757" s="92"/>
      <c r="N757" s="92"/>
      <c r="O757" s="92"/>
      <c r="P757" s="92"/>
      <c r="Q757" s="92"/>
      <c r="R757" s="92"/>
      <c r="S757" s="92"/>
      <c r="T757" s="92"/>
      <c r="U757" s="92"/>
      <c r="V757" s="92"/>
      <c r="W757" s="92"/>
      <c r="X757" s="92"/>
      <c r="Y757" s="92"/>
      <c r="Z757" s="92"/>
    </row>
    <row r="758" spans="1:26" ht="12.75">
      <c r="A758" s="92" t="s">
        <v>7460</v>
      </c>
      <c r="B758" s="372">
        <v>2015</v>
      </c>
      <c r="C758" s="372">
        <v>25196155</v>
      </c>
      <c r="D758" s="92"/>
      <c r="E758" s="261" t="str">
        <f t="shared" si="0"/>
        <v>https://pubmed.ncbi.nlm.nih.gov/25196155</v>
      </c>
      <c r="F758" s="92" t="s">
        <v>511</v>
      </c>
      <c r="G758" s="92" t="s">
        <v>4592</v>
      </c>
      <c r="H758" s="92"/>
      <c r="I758" s="92"/>
      <c r="J758" s="92"/>
      <c r="K758" s="92"/>
      <c r="L758" s="92"/>
      <c r="M758" s="92"/>
      <c r="N758" s="92"/>
      <c r="O758" s="92"/>
      <c r="P758" s="92"/>
      <c r="Q758" s="92"/>
      <c r="R758" s="92"/>
      <c r="S758" s="92"/>
      <c r="T758" s="92"/>
      <c r="U758" s="92"/>
      <c r="V758" s="92"/>
      <c r="W758" s="92"/>
      <c r="X758" s="92"/>
      <c r="Y758" s="92"/>
      <c r="Z758" s="92"/>
    </row>
    <row r="759" spans="1:26" ht="12.75">
      <c r="A759" s="92" t="s">
        <v>7461</v>
      </c>
      <c r="B759" s="372">
        <v>2019</v>
      </c>
      <c r="C759" s="372">
        <v>31023843</v>
      </c>
      <c r="D759" s="92"/>
      <c r="E759" s="261" t="str">
        <f t="shared" si="0"/>
        <v>https://pubmed.ncbi.nlm.nih.gov/31023843</v>
      </c>
      <c r="F759" s="92" t="s">
        <v>511</v>
      </c>
      <c r="G759" s="374" t="s">
        <v>4744</v>
      </c>
      <c r="H759" s="21"/>
      <c r="I759" s="92"/>
      <c r="J759" s="92"/>
      <c r="K759" s="92"/>
      <c r="L759" s="92"/>
      <c r="M759" s="92"/>
      <c r="N759" s="92"/>
      <c r="O759" s="92"/>
      <c r="P759" s="92"/>
      <c r="Q759" s="92"/>
      <c r="R759" s="92"/>
      <c r="S759" s="92"/>
      <c r="T759" s="92"/>
      <c r="U759" s="92"/>
      <c r="V759" s="92"/>
      <c r="W759" s="92"/>
      <c r="X759" s="92"/>
      <c r="Y759" s="92"/>
      <c r="Z759" s="92"/>
    </row>
    <row r="760" spans="1:26" ht="12.75">
      <c r="A760" s="92" t="s">
        <v>7462</v>
      </c>
      <c r="B760" s="372">
        <v>2009</v>
      </c>
      <c r="C760" s="372">
        <v>19930566</v>
      </c>
      <c r="D760" s="92" t="s">
        <v>7463</v>
      </c>
      <c r="E760" s="261" t="str">
        <f t="shared" si="0"/>
        <v>https://pubmed.ncbi.nlm.nih.gov/19930566</v>
      </c>
      <c r="F760" s="92" t="s">
        <v>511</v>
      </c>
      <c r="G760" s="374" t="s">
        <v>8422</v>
      </c>
      <c r="H760" s="92"/>
      <c r="I760" s="92"/>
      <c r="J760" s="92"/>
      <c r="K760" s="92"/>
      <c r="L760" s="92"/>
      <c r="M760" s="92"/>
      <c r="N760" s="92"/>
      <c r="O760" s="92"/>
      <c r="P760" s="92"/>
      <c r="Q760" s="92"/>
      <c r="R760" s="92"/>
      <c r="S760" s="92"/>
      <c r="T760" s="92"/>
      <c r="U760" s="92"/>
      <c r="V760" s="92"/>
      <c r="W760" s="92"/>
      <c r="X760" s="92"/>
      <c r="Y760" s="92"/>
      <c r="Z760" s="92"/>
    </row>
    <row r="761" spans="1:26" ht="12.75">
      <c r="A761" s="92" t="s">
        <v>7464</v>
      </c>
      <c r="B761" s="372">
        <v>2019</v>
      </c>
      <c r="C761" s="372">
        <v>30670044</v>
      </c>
      <c r="D761" s="92" t="s">
        <v>7465</v>
      </c>
      <c r="E761" s="261" t="str">
        <f t="shared" si="0"/>
        <v>https://pubmed.ncbi.nlm.nih.gov/30670044</v>
      </c>
      <c r="F761" s="92" t="s">
        <v>511</v>
      </c>
      <c r="G761" s="374" t="s">
        <v>5299</v>
      </c>
      <c r="H761" s="21"/>
      <c r="I761" s="92"/>
      <c r="J761" s="92"/>
      <c r="K761" s="92"/>
      <c r="L761" s="92"/>
      <c r="M761" s="92"/>
      <c r="N761" s="92"/>
      <c r="O761" s="92"/>
      <c r="P761" s="92"/>
      <c r="Q761" s="92"/>
      <c r="R761" s="92"/>
      <c r="S761" s="92"/>
      <c r="T761" s="92"/>
      <c r="U761" s="92"/>
      <c r="V761" s="92"/>
      <c r="W761" s="92"/>
      <c r="X761" s="92"/>
      <c r="Y761" s="92"/>
      <c r="Z761" s="92"/>
    </row>
    <row r="762" spans="1:26" ht="12.75">
      <c r="A762" s="92" t="s">
        <v>7466</v>
      </c>
      <c r="B762" s="372">
        <v>2006</v>
      </c>
      <c r="C762" s="372">
        <v>17034536</v>
      </c>
      <c r="D762" s="92"/>
      <c r="E762" s="261" t="str">
        <f t="shared" si="0"/>
        <v>https://pubmed.ncbi.nlm.nih.gov/17034536</v>
      </c>
      <c r="F762" s="92" t="s">
        <v>511</v>
      </c>
      <c r="G762" s="374" t="s">
        <v>5157</v>
      </c>
      <c r="H762" s="21"/>
      <c r="I762" s="21"/>
      <c r="J762" s="92"/>
      <c r="K762" s="92"/>
      <c r="L762" s="92"/>
      <c r="M762" s="92"/>
      <c r="N762" s="92"/>
      <c r="O762" s="92"/>
      <c r="P762" s="92"/>
      <c r="Q762" s="92"/>
      <c r="R762" s="92"/>
      <c r="S762" s="92"/>
      <c r="T762" s="92"/>
      <c r="U762" s="92"/>
      <c r="V762" s="92"/>
      <c r="W762" s="92"/>
      <c r="X762" s="92"/>
      <c r="Y762" s="92"/>
      <c r="Z762" s="92"/>
    </row>
    <row r="763" spans="1:26" ht="12.75">
      <c r="A763" s="92" t="s">
        <v>7467</v>
      </c>
      <c r="B763" s="372">
        <v>2006</v>
      </c>
      <c r="C763" s="372">
        <v>16750680</v>
      </c>
      <c r="D763" s="92"/>
      <c r="E763" s="261" t="str">
        <f t="shared" si="0"/>
        <v>https://pubmed.ncbi.nlm.nih.gov/16750680</v>
      </c>
      <c r="F763" s="92" t="s">
        <v>511</v>
      </c>
      <c r="G763" s="92" t="s">
        <v>8412</v>
      </c>
      <c r="H763" s="92"/>
      <c r="I763" s="92"/>
      <c r="J763" s="92"/>
      <c r="K763" s="92"/>
      <c r="L763" s="92"/>
      <c r="M763" s="92"/>
      <c r="N763" s="92"/>
      <c r="O763" s="92"/>
      <c r="P763" s="92"/>
      <c r="Q763" s="92"/>
      <c r="R763" s="92"/>
      <c r="S763" s="92"/>
      <c r="T763" s="92"/>
      <c r="U763" s="92"/>
      <c r="V763" s="92"/>
      <c r="W763" s="92"/>
      <c r="X763" s="92"/>
      <c r="Y763" s="92"/>
      <c r="Z763" s="92"/>
    </row>
    <row r="764" spans="1:26" ht="12.75">
      <c r="A764" s="92" t="s">
        <v>7468</v>
      </c>
      <c r="B764" s="372">
        <v>2004</v>
      </c>
      <c r="C764" s="372">
        <v>15123391</v>
      </c>
      <c r="D764" s="92"/>
      <c r="E764" s="261" t="str">
        <f t="shared" si="0"/>
        <v>https://pubmed.ncbi.nlm.nih.gov/15123391</v>
      </c>
      <c r="F764" s="92" t="s">
        <v>511</v>
      </c>
      <c r="G764" s="374" t="s">
        <v>4867</v>
      </c>
      <c r="H764" s="21"/>
      <c r="I764" s="92"/>
      <c r="J764" s="92"/>
      <c r="K764" s="92"/>
      <c r="L764" s="92"/>
      <c r="M764" s="92"/>
      <c r="N764" s="92"/>
      <c r="O764" s="92"/>
      <c r="P764" s="92"/>
      <c r="Q764" s="92"/>
      <c r="R764" s="92"/>
      <c r="S764" s="92"/>
      <c r="T764" s="92"/>
      <c r="U764" s="92"/>
      <c r="V764" s="92"/>
      <c r="W764" s="92"/>
      <c r="X764" s="92"/>
      <c r="Y764" s="92"/>
      <c r="Z764" s="92"/>
    </row>
    <row r="765" spans="1:26" ht="12.75">
      <c r="A765" s="92" t="s">
        <v>7469</v>
      </c>
      <c r="B765" s="372">
        <v>2020</v>
      </c>
      <c r="C765" s="372">
        <v>32641148</v>
      </c>
      <c r="D765" s="92" t="s">
        <v>7470</v>
      </c>
      <c r="E765" s="261" t="str">
        <f t="shared" si="0"/>
        <v>https://pubmed.ncbi.nlm.nih.gov/32641148</v>
      </c>
      <c r="F765" s="92" t="s">
        <v>511</v>
      </c>
      <c r="G765" s="92" t="s">
        <v>5273</v>
      </c>
      <c r="H765" s="92"/>
      <c r="I765" s="92"/>
      <c r="J765" s="92"/>
      <c r="K765" s="92"/>
      <c r="L765" s="92"/>
      <c r="M765" s="92"/>
      <c r="N765" s="92"/>
      <c r="O765" s="92"/>
      <c r="P765" s="92"/>
      <c r="Q765" s="92"/>
      <c r="R765" s="92"/>
      <c r="S765" s="92"/>
      <c r="T765" s="92"/>
      <c r="U765" s="92"/>
      <c r="V765" s="92"/>
      <c r="W765" s="92"/>
      <c r="X765" s="92"/>
      <c r="Y765" s="92"/>
      <c r="Z765" s="92"/>
    </row>
    <row r="766" spans="1:26" ht="12.75">
      <c r="A766" s="92" t="s">
        <v>7471</v>
      </c>
      <c r="B766" s="372">
        <v>2001</v>
      </c>
      <c r="C766" s="372">
        <v>11555564</v>
      </c>
      <c r="D766" s="92"/>
      <c r="E766" s="261" t="str">
        <f t="shared" si="0"/>
        <v>https://pubmed.ncbi.nlm.nih.gov/11555564</v>
      </c>
      <c r="F766" s="92" t="s">
        <v>511</v>
      </c>
      <c r="G766" s="374" t="s">
        <v>4744</v>
      </c>
      <c r="H766" s="21"/>
      <c r="I766" s="92"/>
      <c r="J766" s="92"/>
      <c r="K766" s="92"/>
      <c r="L766" s="92"/>
      <c r="M766" s="92"/>
      <c r="N766" s="92"/>
      <c r="O766" s="92"/>
      <c r="P766" s="92"/>
      <c r="Q766" s="92"/>
      <c r="R766" s="92"/>
      <c r="S766" s="92"/>
      <c r="T766" s="92"/>
      <c r="U766" s="92"/>
      <c r="V766" s="92"/>
      <c r="W766" s="92"/>
      <c r="X766" s="92"/>
      <c r="Y766" s="92"/>
      <c r="Z766" s="92"/>
    </row>
    <row r="767" spans="1:26" ht="12.75">
      <c r="A767" s="92" t="s">
        <v>7472</v>
      </c>
      <c r="B767" s="372">
        <v>2016</v>
      </c>
      <c r="C767" s="372">
        <v>27347292</v>
      </c>
      <c r="D767" s="92" t="s">
        <v>7473</v>
      </c>
      <c r="E767" s="261" t="str">
        <f t="shared" si="0"/>
        <v>https://pubmed.ncbi.nlm.nih.gov/27347292</v>
      </c>
      <c r="F767" s="92" t="s">
        <v>511</v>
      </c>
      <c r="G767" s="374" t="s">
        <v>7474</v>
      </c>
      <c r="H767" s="21"/>
      <c r="I767" s="92"/>
      <c r="J767" s="92"/>
      <c r="K767" s="92"/>
      <c r="L767" s="92"/>
      <c r="M767" s="92"/>
      <c r="N767" s="92"/>
      <c r="O767" s="92"/>
      <c r="P767" s="92"/>
      <c r="Q767" s="92"/>
      <c r="R767" s="92"/>
      <c r="S767" s="92"/>
      <c r="T767" s="92"/>
      <c r="U767" s="92"/>
      <c r="V767" s="92"/>
      <c r="W767" s="92"/>
      <c r="X767" s="92"/>
      <c r="Y767" s="92"/>
      <c r="Z767" s="92"/>
    </row>
    <row r="768" spans="1:26" ht="12.75">
      <c r="A768" s="92" t="s">
        <v>7475</v>
      </c>
      <c r="B768" s="372">
        <v>2012</v>
      </c>
      <c r="C768" s="372">
        <v>23235633</v>
      </c>
      <c r="D768" s="92"/>
      <c r="E768" s="261" t="str">
        <f t="shared" si="0"/>
        <v>https://pubmed.ncbi.nlm.nih.gov/23235633</v>
      </c>
      <c r="F768" s="92" t="s">
        <v>511</v>
      </c>
      <c r="G768" s="92" t="s">
        <v>4592</v>
      </c>
      <c r="H768" s="92"/>
      <c r="I768" s="92"/>
      <c r="J768" s="92"/>
      <c r="K768" s="92"/>
      <c r="L768" s="92"/>
      <c r="M768" s="92"/>
      <c r="N768" s="92"/>
      <c r="O768" s="92"/>
      <c r="P768" s="92"/>
      <c r="Q768" s="92"/>
      <c r="R768" s="92"/>
      <c r="S768" s="92"/>
      <c r="T768" s="92"/>
      <c r="U768" s="92"/>
      <c r="V768" s="92"/>
      <c r="W768" s="92"/>
      <c r="X768" s="92"/>
      <c r="Y768" s="92"/>
      <c r="Z768" s="92"/>
    </row>
    <row r="769" spans="1:26" ht="12.75">
      <c r="A769" s="92" t="s">
        <v>7476</v>
      </c>
      <c r="B769" s="372">
        <v>2017</v>
      </c>
      <c r="C769" s="372">
        <v>28281499</v>
      </c>
      <c r="D769" s="92"/>
      <c r="E769" s="261" t="str">
        <f t="shared" si="0"/>
        <v>https://pubmed.ncbi.nlm.nih.gov/28281499</v>
      </c>
      <c r="F769" s="92" t="s">
        <v>511</v>
      </c>
      <c r="G769" s="374" t="s">
        <v>7477</v>
      </c>
      <c r="H769" s="21"/>
      <c r="I769" s="92"/>
      <c r="J769" s="92"/>
      <c r="K769" s="92"/>
      <c r="L769" s="92"/>
      <c r="M769" s="92"/>
      <c r="N769" s="92"/>
      <c r="O769" s="92"/>
      <c r="P769" s="92"/>
      <c r="Q769" s="92"/>
      <c r="R769" s="92"/>
      <c r="S769" s="92"/>
      <c r="T769" s="92"/>
      <c r="U769" s="92"/>
      <c r="V769" s="92"/>
      <c r="W769" s="92"/>
      <c r="X769" s="92"/>
      <c r="Y769" s="92"/>
      <c r="Z769" s="92"/>
    </row>
    <row r="770" spans="1:26" ht="12.75">
      <c r="A770" s="92" t="s">
        <v>7478</v>
      </c>
      <c r="B770" s="372">
        <v>2016</v>
      </c>
      <c r="C770" s="372">
        <v>26787721</v>
      </c>
      <c r="D770" s="92" t="s">
        <v>7479</v>
      </c>
      <c r="E770" s="261" t="str">
        <f t="shared" si="0"/>
        <v>https://pubmed.ncbi.nlm.nih.gov/26787721</v>
      </c>
      <c r="F770" s="92" t="s">
        <v>511</v>
      </c>
      <c r="G770" s="374" t="s">
        <v>7480</v>
      </c>
      <c r="H770" s="21"/>
      <c r="I770" s="92"/>
      <c r="J770" s="92"/>
      <c r="K770" s="92"/>
      <c r="L770" s="92"/>
      <c r="M770" s="92"/>
      <c r="N770" s="92"/>
      <c r="O770" s="92"/>
      <c r="P770" s="92"/>
      <c r="Q770" s="92"/>
      <c r="R770" s="92"/>
      <c r="S770" s="92"/>
      <c r="T770" s="92"/>
      <c r="U770" s="92"/>
      <c r="V770" s="92"/>
      <c r="W770" s="92"/>
      <c r="X770" s="92"/>
      <c r="Y770" s="92"/>
      <c r="Z770" s="92"/>
    </row>
    <row r="771" spans="1:26" ht="12.75">
      <c r="A771" s="92" t="s">
        <v>7481</v>
      </c>
      <c r="B771" s="372">
        <v>2020</v>
      </c>
      <c r="C771" s="372">
        <v>32916565</v>
      </c>
      <c r="D771" s="92" t="s">
        <v>7482</v>
      </c>
      <c r="E771" s="261" t="str">
        <f t="shared" si="0"/>
        <v>https://pubmed.ncbi.nlm.nih.gov/32916565</v>
      </c>
      <c r="F771" s="92" t="s">
        <v>511</v>
      </c>
      <c r="G771" s="374" t="s">
        <v>7483</v>
      </c>
      <c r="H771" s="21"/>
      <c r="I771" s="21"/>
      <c r="J771" s="92"/>
      <c r="K771" s="92"/>
      <c r="L771" s="92"/>
      <c r="M771" s="92"/>
      <c r="N771" s="92"/>
      <c r="O771" s="92"/>
      <c r="P771" s="92"/>
      <c r="Q771" s="92"/>
      <c r="R771" s="92"/>
      <c r="S771" s="92"/>
      <c r="T771" s="92"/>
      <c r="U771" s="92"/>
      <c r="V771" s="92"/>
      <c r="W771" s="92"/>
      <c r="X771" s="92"/>
      <c r="Y771" s="92"/>
      <c r="Z771" s="92"/>
    </row>
    <row r="772" spans="1:26" ht="12.75">
      <c r="A772" s="92" t="s">
        <v>7484</v>
      </c>
      <c r="B772" s="372">
        <v>2019</v>
      </c>
      <c r="C772" s="372">
        <v>30967375</v>
      </c>
      <c r="D772" s="92" t="s">
        <v>7485</v>
      </c>
      <c r="E772" s="261" t="str">
        <f t="shared" si="0"/>
        <v>https://pubmed.ncbi.nlm.nih.gov/30967375</v>
      </c>
      <c r="F772" s="92" t="s">
        <v>511</v>
      </c>
      <c r="G772" s="92" t="s">
        <v>8412</v>
      </c>
      <c r="H772" s="92"/>
      <c r="I772" s="92"/>
      <c r="J772" s="92"/>
      <c r="K772" s="92"/>
      <c r="L772" s="92"/>
      <c r="M772" s="92"/>
      <c r="N772" s="92"/>
      <c r="O772" s="92"/>
      <c r="P772" s="92"/>
      <c r="Q772" s="92"/>
      <c r="R772" s="92"/>
      <c r="S772" s="92"/>
      <c r="T772" s="92"/>
      <c r="U772" s="92"/>
      <c r="V772" s="92"/>
      <c r="W772" s="92"/>
      <c r="X772" s="92"/>
      <c r="Y772" s="92"/>
      <c r="Z772" s="92"/>
    </row>
    <row r="773" spans="1:26" ht="12.75">
      <c r="A773" s="92" t="s">
        <v>7486</v>
      </c>
      <c r="B773" s="372">
        <v>2020</v>
      </c>
      <c r="C773" s="372">
        <v>32961361</v>
      </c>
      <c r="D773" s="92" t="s">
        <v>7487</v>
      </c>
      <c r="E773" s="261" t="str">
        <f t="shared" si="0"/>
        <v>https://pubmed.ncbi.nlm.nih.gov/32961361</v>
      </c>
      <c r="F773" s="92" t="s">
        <v>511</v>
      </c>
      <c r="G773" s="374" t="s">
        <v>8437</v>
      </c>
      <c r="H773" s="21"/>
      <c r="I773" s="21"/>
      <c r="J773" s="92"/>
      <c r="K773" s="92"/>
      <c r="L773" s="92"/>
      <c r="M773" s="92"/>
      <c r="N773" s="92"/>
      <c r="O773" s="92"/>
      <c r="P773" s="92"/>
      <c r="Q773" s="92"/>
      <c r="R773" s="92"/>
      <c r="S773" s="92"/>
      <c r="T773" s="92"/>
      <c r="U773" s="92"/>
      <c r="V773" s="92"/>
      <c r="W773" s="92"/>
      <c r="X773" s="92"/>
      <c r="Y773" s="92"/>
      <c r="Z773" s="92"/>
    </row>
    <row r="774" spans="1:26" ht="12.75">
      <c r="A774" s="92" t="s">
        <v>7489</v>
      </c>
      <c r="B774" s="372">
        <v>2018</v>
      </c>
      <c r="C774" s="372">
        <v>29720571</v>
      </c>
      <c r="D774" s="92" t="s">
        <v>7490</v>
      </c>
      <c r="E774" s="261" t="str">
        <f t="shared" si="0"/>
        <v>https://pubmed.ncbi.nlm.nih.gov/29720571</v>
      </c>
      <c r="F774" s="92" t="s">
        <v>511</v>
      </c>
      <c r="G774" s="374" t="s">
        <v>4744</v>
      </c>
      <c r="H774" s="21"/>
      <c r="I774" s="92"/>
      <c r="J774" s="92"/>
      <c r="K774" s="92"/>
      <c r="L774" s="92"/>
      <c r="M774" s="92"/>
      <c r="N774" s="92"/>
      <c r="O774" s="92"/>
      <c r="P774" s="92"/>
      <c r="Q774" s="92"/>
      <c r="R774" s="92"/>
      <c r="S774" s="92"/>
      <c r="T774" s="92"/>
      <c r="U774" s="92"/>
      <c r="V774" s="92"/>
      <c r="W774" s="92"/>
      <c r="X774" s="92"/>
      <c r="Y774" s="92"/>
      <c r="Z774" s="92"/>
    </row>
    <row r="775" spans="1:26" ht="12.75">
      <c r="A775" s="92" t="s">
        <v>7491</v>
      </c>
      <c r="B775" s="372">
        <v>2007</v>
      </c>
      <c r="C775" s="372">
        <v>17350452</v>
      </c>
      <c r="D775" s="92"/>
      <c r="E775" s="261" t="str">
        <f t="shared" si="0"/>
        <v>https://pubmed.ncbi.nlm.nih.gov/17350452</v>
      </c>
      <c r="F775" s="92" t="s">
        <v>511</v>
      </c>
      <c r="G775" s="374" t="s">
        <v>7492</v>
      </c>
      <c r="H775" s="21"/>
      <c r="I775" s="21"/>
      <c r="J775" s="92"/>
      <c r="K775" s="92"/>
      <c r="L775" s="92"/>
      <c r="M775" s="92"/>
      <c r="N775" s="92"/>
      <c r="O775" s="92"/>
      <c r="P775" s="92"/>
      <c r="Q775" s="92"/>
      <c r="R775" s="92"/>
      <c r="S775" s="92"/>
      <c r="T775" s="92"/>
      <c r="U775" s="92"/>
      <c r="V775" s="92"/>
      <c r="W775" s="92"/>
      <c r="X775" s="92"/>
      <c r="Y775" s="92"/>
      <c r="Z775" s="92"/>
    </row>
    <row r="776" spans="1:26" ht="12.75">
      <c r="A776" s="92" t="s">
        <v>7493</v>
      </c>
      <c r="B776" s="372">
        <v>2019</v>
      </c>
      <c r="C776" s="372">
        <v>31062052</v>
      </c>
      <c r="D776" s="92"/>
      <c r="E776" s="261" t="str">
        <f t="shared" si="0"/>
        <v>https://pubmed.ncbi.nlm.nih.gov/31062052</v>
      </c>
      <c r="F776" s="92" t="s">
        <v>511</v>
      </c>
      <c r="G776" s="92" t="s">
        <v>8412</v>
      </c>
      <c r="H776" s="92"/>
      <c r="I776" s="92"/>
      <c r="J776" s="92"/>
      <c r="K776" s="92"/>
      <c r="L776" s="92"/>
      <c r="M776" s="92"/>
      <c r="N776" s="92"/>
      <c r="O776" s="92"/>
      <c r="P776" s="92"/>
      <c r="Q776" s="92"/>
      <c r="R776" s="92"/>
      <c r="S776" s="92"/>
      <c r="T776" s="92"/>
      <c r="U776" s="92"/>
      <c r="V776" s="92"/>
      <c r="W776" s="92"/>
      <c r="X776" s="92"/>
      <c r="Y776" s="92"/>
      <c r="Z776" s="92"/>
    </row>
    <row r="777" spans="1:26" ht="12.75">
      <c r="A777" s="92" t="s">
        <v>7494</v>
      </c>
      <c r="B777" s="372">
        <v>2013</v>
      </c>
      <c r="C777" s="372">
        <v>23188213</v>
      </c>
      <c r="D777" s="92" t="s">
        <v>7495</v>
      </c>
      <c r="E777" s="261" t="str">
        <f t="shared" si="0"/>
        <v>https://pubmed.ncbi.nlm.nih.gov/23188213</v>
      </c>
      <c r="F777" s="92" t="s">
        <v>511</v>
      </c>
      <c r="G777" s="92" t="s">
        <v>4592</v>
      </c>
      <c r="H777" s="92"/>
      <c r="I777" s="92"/>
      <c r="J777" s="92"/>
      <c r="K777" s="92"/>
      <c r="L777" s="92"/>
      <c r="M777" s="92"/>
      <c r="N777" s="92"/>
      <c r="O777" s="92"/>
      <c r="P777" s="92"/>
      <c r="Q777" s="92"/>
      <c r="R777" s="92"/>
      <c r="S777" s="92"/>
      <c r="T777" s="92"/>
      <c r="U777" s="92"/>
      <c r="V777" s="92"/>
      <c r="W777" s="92"/>
      <c r="X777" s="92"/>
      <c r="Y777" s="92"/>
      <c r="Z777" s="92"/>
    </row>
    <row r="778" spans="1:26" ht="12.75">
      <c r="A778" s="92" t="s">
        <v>7496</v>
      </c>
      <c r="B778" s="372">
        <v>2017</v>
      </c>
      <c r="C778" s="372">
        <v>29110140</v>
      </c>
      <c r="D778" s="92" t="s">
        <v>7497</v>
      </c>
      <c r="E778" s="261" t="str">
        <f t="shared" si="0"/>
        <v>https://pubmed.ncbi.nlm.nih.gov/29110140</v>
      </c>
      <c r="F778" s="92" t="s">
        <v>511</v>
      </c>
      <c r="G778" s="374" t="s">
        <v>7498</v>
      </c>
      <c r="H778" s="21"/>
      <c r="I778" s="92"/>
      <c r="J778" s="92"/>
      <c r="K778" s="92"/>
      <c r="L778" s="92"/>
      <c r="M778" s="92"/>
      <c r="N778" s="92"/>
      <c r="O778" s="92"/>
      <c r="P778" s="92"/>
      <c r="Q778" s="92"/>
      <c r="R778" s="92"/>
      <c r="S778" s="92"/>
      <c r="T778" s="92"/>
      <c r="U778" s="92"/>
      <c r="V778" s="92"/>
      <c r="W778" s="92"/>
      <c r="X778" s="92"/>
      <c r="Y778" s="92"/>
      <c r="Z778" s="92"/>
    </row>
    <row r="779" spans="1:26" ht="12.75">
      <c r="A779" s="92" t="s">
        <v>7499</v>
      </c>
      <c r="B779" s="372">
        <v>2017</v>
      </c>
      <c r="C779" s="372">
        <v>29025064</v>
      </c>
      <c r="D779" s="92" t="s">
        <v>7500</v>
      </c>
      <c r="E779" s="261" t="str">
        <f t="shared" si="0"/>
        <v>https://pubmed.ncbi.nlm.nih.gov/29025064</v>
      </c>
      <c r="F779" s="92" t="s">
        <v>511</v>
      </c>
      <c r="G779" s="374" t="s">
        <v>4744</v>
      </c>
      <c r="H779" s="21"/>
      <c r="I779" s="92"/>
      <c r="J779" s="92"/>
      <c r="K779" s="92"/>
      <c r="L779" s="92"/>
      <c r="M779" s="92"/>
      <c r="N779" s="92"/>
      <c r="O779" s="92"/>
      <c r="P779" s="92"/>
      <c r="Q779" s="92"/>
      <c r="R779" s="92"/>
      <c r="S779" s="92"/>
      <c r="T779" s="92"/>
      <c r="U779" s="92"/>
      <c r="V779" s="92"/>
      <c r="W779" s="92"/>
      <c r="X779" s="92"/>
      <c r="Y779" s="92"/>
      <c r="Z779" s="92"/>
    </row>
    <row r="780" spans="1:26" ht="12.75">
      <c r="A780" s="92" t="s">
        <v>7501</v>
      </c>
      <c r="B780" s="372">
        <v>2005</v>
      </c>
      <c r="C780" s="372">
        <v>16049907</v>
      </c>
      <c r="D780" s="92"/>
      <c r="E780" s="261" t="str">
        <f t="shared" si="0"/>
        <v>https://pubmed.ncbi.nlm.nih.gov/16049907</v>
      </c>
      <c r="F780" s="92" t="s">
        <v>511</v>
      </c>
      <c r="G780" s="92" t="s">
        <v>4592</v>
      </c>
      <c r="H780" s="92"/>
      <c r="I780" s="92"/>
      <c r="J780" s="92"/>
      <c r="K780" s="92"/>
      <c r="L780" s="92"/>
      <c r="M780" s="92"/>
      <c r="N780" s="92"/>
      <c r="O780" s="92"/>
      <c r="P780" s="92"/>
      <c r="Q780" s="92"/>
      <c r="R780" s="92"/>
      <c r="S780" s="92"/>
      <c r="T780" s="92"/>
      <c r="U780" s="92"/>
      <c r="V780" s="92"/>
      <c r="W780" s="92"/>
      <c r="X780" s="92"/>
      <c r="Y780" s="92"/>
      <c r="Z780" s="92"/>
    </row>
    <row r="781" spans="1:26" ht="12.75">
      <c r="A781" s="92" t="s">
        <v>7502</v>
      </c>
      <c r="B781" s="372">
        <v>2007</v>
      </c>
      <c r="C781" s="372">
        <v>17943918</v>
      </c>
      <c r="D781" s="92"/>
      <c r="E781" s="261" t="str">
        <f t="shared" si="0"/>
        <v>https://pubmed.ncbi.nlm.nih.gov/17943918</v>
      </c>
      <c r="F781" s="92" t="s">
        <v>511</v>
      </c>
      <c r="G781" s="92" t="s">
        <v>4592</v>
      </c>
      <c r="H781" s="92"/>
      <c r="I781" s="92"/>
      <c r="J781" s="92"/>
      <c r="K781" s="92"/>
      <c r="L781" s="92"/>
      <c r="M781" s="92"/>
      <c r="N781" s="92"/>
      <c r="O781" s="92"/>
      <c r="P781" s="92"/>
      <c r="Q781" s="92"/>
      <c r="R781" s="92"/>
      <c r="S781" s="92"/>
      <c r="T781" s="92"/>
      <c r="U781" s="92"/>
      <c r="V781" s="92"/>
      <c r="W781" s="92"/>
      <c r="X781" s="92"/>
      <c r="Y781" s="92"/>
      <c r="Z781" s="92"/>
    </row>
    <row r="782" spans="1:26" ht="12.75">
      <c r="A782" s="92" t="s">
        <v>7502</v>
      </c>
      <c r="B782" s="372">
        <v>2012</v>
      </c>
      <c r="C782" s="372">
        <v>22972099</v>
      </c>
      <c r="D782" s="92" t="s">
        <v>7503</v>
      </c>
      <c r="E782" s="261" t="str">
        <f t="shared" si="0"/>
        <v>https://pubmed.ncbi.nlm.nih.gov/22972099</v>
      </c>
      <c r="F782" s="92" t="s">
        <v>511</v>
      </c>
      <c r="G782" s="92" t="s">
        <v>4592</v>
      </c>
      <c r="H782" s="92"/>
      <c r="I782" s="92"/>
      <c r="J782" s="92"/>
      <c r="K782" s="92"/>
      <c r="L782" s="92"/>
      <c r="M782" s="92"/>
      <c r="N782" s="92"/>
      <c r="O782" s="92"/>
      <c r="P782" s="92"/>
      <c r="Q782" s="92"/>
      <c r="R782" s="92"/>
      <c r="S782" s="92"/>
      <c r="T782" s="92"/>
      <c r="U782" s="92"/>
      <c r="V782" s="92"/>
      <c r="W782" s="92"/>
      <c r="X782" s="92"/>
      <c r="Y782" s="92"/>
      <c r="Z782" s="92"/>
    </row>
    <row r="783" spans="1:26" ht="12.75">
      <c r="A783" s="92" t="s">
        <v>7504</v>
      </c>
      <c r="B783" s="372">
        <v>2015</v>
      </c>
      <c r="C783" s="372">
        <v>25873064</v>
      </c>
      <c r="D783" s="92" t="s">
        <v>7505</v>
      </c>
      <c r="E783" s="261" t="str">
        <f t="shared" si="0"/>
        <v>https://pubmed.ncbi.nlm.nih.gov/25873064</v>
      </c>
      <c r="F783" s="92" t="s">
        <v>511</v>
      </c>
      <c r="G783" s="374" t="s">
        <v>7506</v>
      </c>
      <c r="H783" s="21"/>
      <c r="I783" s="21"/>
      <c r="J783" s="92"/>
      <c r="K783" s="92"/>
      <c r="L783" s="92"/>
      <c r="M783" s="92"/>
      <c r="N783" s="92"/>
      <c r="O783" s="92"/>
      <c r="P783" s="92"/>
      <c r="Q783" s="92"/>
      <c r="R783" s="92"/>
      <c r="S783" s="92"/>
      <c r="T783" s="92"/>
      <c r="U783" s="92"/>
      <c r="V783" s="92"/>
      <c r="W783" s="92"/>
      <c r="X783" s="92"/>
      <c r="Y783" s="92"/>
      <c r="Z783" s="92"/>
    </row>
    <row r="784" spans="1:26" ht="12.75">
      <c r="A784" s="92" t="s">
        <v>7507</v>
      </c>
      <c r="B784" s="372">
        <v>2012</v>
      </c>
      <c r="C784" s="372">
        <v>23137020</v>
      </c>
      <c r="D784" s="92" t="s">
        <v>7508</v>
      </c>
      <c r="E784" s="261" t="str">
        <f t="shared" si="0"/>
        <v>https://pubmed.ncbi.nlm.nih.gov/23137020</v>
      </c>
      <c r="F784" s="92" t="s">
        <v>511</v>
      </c>
      <c r="G784" s="374" t="s">
        <v>4744</v>
      </c>
      <c r="H784" s="21"/>
      <c r="I784" s="92"/>
      <c r="J784" s="92"/>
      <c r="K784" s="92"/>
      <c r="L784" s="92"/>
      <c r="M784" s="92"/>
      <c r="N784" s="92"/>
      <c r="O784" s="92"/>
      <c r="P784" s="92"/>
      <c r="Q784" s="92"/>
      <c r="R784" s="92"/>
      <c r="S784" s="92"/>
      <c r="T784" s="92"/>
      <c r="U784" s="92"/>
      <c r="V784" s="92"/>
      <c r="W784" s="92"/>
      <c r="X784" s="92"/>
      <c r="Y784" s="92"/>
      <c r="Z784" s="92"/>
    </row>
    <row r="785" spans="1:26" ht="12.75">
      <c r="A785" s="92" t="s">
        <v>7509</v>
      </c>
      <c r="B785" s="372">
        <v>2017</v>
      </c>
      <c r="C785" s="372">
        <v>27939035</v>
      </c>
      <c r="D785" s="92"/>
      <c r="E785" s="261" t="str">
        <f t="shared" si="0"/>
        <v>https://pubmed.ncbi.nlm.nih.gov/27939035</v>
      </c>
      <c r="F785" s="92" t="s">
        <v>511</v>
      </c>
      <c r="G785" s="374" t="s">
        <v>5299</v>
      </c>
      <c r="H785" s="21"/>
      <c r="I785" s="92"/>
      <c r="J785" s="92"/>
      <c r="K785" s="92"/>
      <c r="L785" s="92"/>
      <c r="M785" s="92"/>
      <c r="N785" s="92"/>
      <c r="O785" s="92"/>
      <c r="P785" s="92"/>
      <c r="Q785" s="92"/>
      <c r="R785" s="92"/>
      <c r="S785" s="92"/>
      <c r="T785" s="92"/>
      <c r="U785" s="92"/>
      <c r="V785" s="92"/>
      <c r="W785" s="92"/>
      <c r="X785" s="92"/>
      <c r="Y785" s="92"/>
      <c r="Z785" s="92"/>
    </row>
    <row r="786" spans="1:26" ht="12.75">
      <c r="A786" s="92" t="s">
        <v>7510</v>
      </c>
      <c r="B786" s="372">
        <v>2011</v>
      </c>
      <c r="C786" s="372">
        <v>21296403</v>
      </c>
      <c r="D786" s="92"/>
      <c r="E786" s="261" t="str">
        <f t="shared" si="0"/>
        <v>https://pubmed.ncbi.nlm.nih.gov/21296403</v>
      </c>
      <c r="F786" s="92" t="s">
        <v>511</v>
      </c>
      <c r="G786" s="374" t="s">
        <v>4744</v>
      </c>
      <c r="H786" s="21"/>
      <c r="I786" s="92"/>
      <c r="J786" s="92"/>
      <c r="K786" s="92"/>
      <c r="L786" s="92"/>
      <c r="M786" s="92"/>
      <c r="N786" s="92"/>
      <c r="O786" s="92"/>
      <c r="P786" s="92"/>
      <c r="Q786" s="92"/>
      <c r="R786" s="92"/>
      <c r="S786" s="92"/>
      <c r="T786" s="92"/>
      <c r="U786" s="92"/>
      <c r="V786" s="92"/>
      <c r="W786" s="92"/>
      <c r="X786" s="92"/>
      <c r="Y786" s="92"/>
      <c r="Z786" s="92"/>
    </row>
    <row r="787" spans="1:26" ht="12.75">
      <c r="A787" s="92" t="s">
        <v>7511</v>
      </c>
      <c r="B787" s="372">
        <v>2014</v>
      </c>
      <c r="C787" s="372">
        <v>24262929</v>
      </c>
      <c r="D787" s="92"/>
      <c r="E787" s="261" t="str">
        <f t="shared" si="0"/>
        <v>https://pubmed.ncbi.nlm.nih.gov/24262929</v>
      </c>
      <c r="F787" s="92" t="s">
        <v>511</v>
      </c>
      <c r="G787" s="92" t="s">
        <v>8412</v>
      </c>
      <c r="H787" s="92"/>
      <c r="I787" s="92"/>
      <c r="J787" s="92"/>
      <c r="K787" s="92"/>
      <c r="L787" s="92"/>
      <c r="M787" s="92"/>
      <c r="N787" s="92"/>
      <c r="O787" s="92"/>
      <c r="P787" s="92"/>
      <c r="Q787" s="92"/>
      <c r="R787" s="92"/>
      <c r="S787" s="92"/>
      <c r="T787" s="92"/>
      <c r="U787" s="92"/>
      <c r="V787" s="92"/>
      <c r="W787" s="92"/>
      <c r="X787" s="92"/>
      <c r="Y787" s="92"/>
      <c r="Z787" s="92"/>
    </row>
    <row r="788" spans="1:26" ht="12.75">
      <c r="A788" s="92" t="s">
        <v>7512</v>
      </c>
      <c r="B788" s="372">
        <v>2012</v>
      </c>
      <c r="C788" s="372">
        <v>22262594</v>
      </c>
      <c r="D788" s="92"/>
      <c r="E788" s="261" t="str">
        <f t="shared" si="0"/>
        <v>https://pubmed.ncbi.nlm.nih.gov/22262594</v>
      </c>
      <c r="F788" s="92" t="s">
        <v>511</v>
      </c>
      <c r="G788" s="374" t="s">
        <v>7513</v>
      </c>
      <c r="H788" s="21"/>
      <c r="I788" s="92"/>
      <c r="J788" s="92"/>
      <c r="K788" s="92"/>
      <c r="L788" s="92"/>
      <c r="M788" s="92"/>
      <c r="N788" s="92"/>
      <c r="O788" s="92"/>
      <c r="P788" s="92"/>
      <c r="Q788" s="92"/>
      <c r="R788" s="92"/>
      <c r="S788" s="92"/>
      <c r="T788" s="92"/>
      <c r="U788" s="92"/>
      <c r="V788" s="92"/>
      <c r="W788" s="92"/>
      <c r="X788" s="92"/>
      <c r="Y788" s="92"/>
      <c r="Z788" s="92"/>
    </row>
    <row r="789" spans="1:26" ht="12.75">
      <c r="A789" s="92" t="s">
        <v>7514</v>
      </c>
      <c r="B789" s="372">
        <v>2017</v>
      </c>
      <c r="C789" s="372">
        <v>28257555</v>
      </c>
      <c r="D789" s="92" t="s">
        <v>7515</v>
      </c>
      <c r="E789" s="261" t="str">
        <f t="shared" si="0"/>
        <v>https://pubmed.ncbi.nlm.nih.gov/28257555</v>
      </c>
      <c r="F789" s="92" t="s">
        <v>511</v>
      </c>
      <c r="G789" s="92" t="s">
        <v>4592</v>
      </c>
      <c r="H789" s="92"/>
      <c r="I789" s="92"/>
      <c r="J789" s="92"/>
      <c r="K789" s="92"/>
      <c r="L789" s="92"/>
      <c r="M789" s="92"/>
      <c r="N789" s="92"/>
      <c r="O789" s="92"/>
      <c r="P789" s="92"/>
      <c r="Q789" s="92"/>
      <c r="R789" s="92"/>
      <c r="S789" s="92"/>
      <c r="T789" s="92"/>
      <c r="U789" s="92"/>
      <c r="V789" s="92"/>
      <c r="W789" s="92"/>
      <c r="X789" s="92"/>
      <c r="Y789" s="92"/>
      <c r="Z789" s="92"/>
    </row>
    <row r="790" spans="1:26" ht="12.75">
      <c r="A790" s="92" t="s">
        <v>7514</v>
      </c>
      <c r="B790" s="372">
        <v>2011</v>
      </c>
      <c r="C790" s="372">
        <v>21901692</v>
      </c>
      <c r="D790" s="92"/>
      <c r="E790" s="261" t="str">
        <f t="shared" si="0"/>
        <v>https://pubmed.ncbi.nlm.nih.gov/21901692</v>
      </c>
      <c r="F790" s="92" t="s">
        <v>511</v>
      </c>
      <c r="G790" s="92" t="s">
        <v>4592</v>
      </c>
      <c r="H790" s="92"/>
      <c r="I790" s="92"/>
      <c r="J790" s="92"/>
      <c r="K790" s="92"/>
      <c r="L790" s="92"/>
      <c r="M790" s="92"/>
      <c r="N790" s="92"/>
      <c r="O790" s="92"/>
      <c r="P790" s="92"/>
      <c r="Q790" s="92"/>
      <c r="R790" s="92"/>
      <c r="S790" s="92"/>
      <c r="T790" s="92"/>
      <c r="U790" s="92"/>
      <c r="V790" s="92"/>
      <c r="W790" s="92"/>
      <c r="X790" s="92"/>
      <c r="Y790" s="92"/>
      <c r="Z790" s="92"/>
    </row>
    <row r="791" spans="1:26" ht="12.75">
      <c r="A791" s="92" t="s">
        <v>7516</v>
      </c>
      <c r="B791" s="372">
        <v>2016</v>
      </c>
      <c r="C791" s="372">
        <v>26916697</v>
      </c>
      <c r="D791" s="92" t="s">
        <v>7517</v>
      </c>
      <c r="E791" s="261" t="str">
        <f t="shared" si="0"/>
        <v>https://pubmed.ncbi.nlm.nih.gov/26916697</v>
      </c>
      <c r="F791" s="92" t="s">
        <v>511</v>
      </c>
      <c r="G791" s="374" t="s">
        <v>5157</v>
      </c>
      <c r="H791" s="21"/>
      <c r="I791" s="21"/>
      <c r="J791" s="92"/>
      <c r="K791" s="92"/>
      <c r="L791" s="92"/>
      <c r="M791" s="92"/>
      <c r="N791" s="92"/>
      <c r="O791" s="92"/>
      <c r="P791" s="92"/>
      <c r="Q791" s="92"/>
      <c r="R791" s="92"/>
      <c r="S791" s="92"/>
      <c r="T791" s="92"/>
      <c r="U791" s="92"/>
      <c r="V791" s="92"/>
      <c r="W791" s="92"/>
      <c r="X791" s="92"/>
      <c r="Y791" s="92"/>
      <c r="Z791" s="92"/>
    </row>
    <row r="792" spans="1:26" ht="12.75">
      <c r="A792" s="92" t="s">
        <v>7518</v>
      </c>
      <c r="B792" s="372">
        <v>2006</v>
      </c>
      <c r="C792" s="372">
        <v>16429250</v>
      </c>
      <c r="D792" s="92" t="s">
        <v>7519</v>
      </c>
      <c r="E792" s="261" t="str">
        <f t="shared" si="0"/>
        <v>https://pubmed.ncbi.nlm.nih.gov/16429250</v>
      </c>
      <c r="F792" s="92" t="s">
        <v>511</v>
      </c>
      <c r="G792" s="374" t="s">
        <v>7520</v>
      </c>
      <c r="H792" s="21"/>
      <c r="I792" s="21"/>
      <c r="J792" s="92"/>
      <c r="K792" s="92"/>
      <c r="L792" s="92"/>
      <c r="M792" s="92"/>
      <c r="N792" s="92"/>
      <c r="O792" s="92"/>
      <c r="P792" s="92"/>
      <c r="Q792" s="92"/>
      <c r="R792" s="92"/>
      <c r="S792" s="92"/>
      <c r="T792" s="92"/>
      <c r="U792" s="92"/>
      <c r="V792" s="92"/>
      <c r="W792" s="92"/>
      <c r="X792" s="92"/>
      <c r="Y792" s="92"/>
      <c r="Z792" s="92"/>
    </row>
    <row r="793" spans="1:26" ht="12.75">
      <c r="A793" s="92" t="s">
        <v>7521</v>
      </c>
      <c r="B793" s="372">
        <v>2010</v>
      </c>
      <c r="C793" s="372">
        <v>20171407</v>
      </c>
      <c r="D793" s="92"/>
      <c r="E793" s="261" t="str">
        <f t="shared" si="0"/>
        <v>https://pubmed.ncbi.nlm.nih.gov/20171407</v>
      </c>
      <c r="F793" s="92" t="s">
        <v>511</v>
      </c>
      <c r="G793" s="92" t="s">
        <v>5273</v>
      </c>
      <c r="H793" s="92"/>
      <c r="I793" s="92"/>
      <c r="J793" s="92"/>
      <c r="K793" s="92"/>
      <c r="L793" s="92"/>
      <c r="M793" s="92"/>
      <c r="N793" s="92"/>
      <c r="O793" s="92"/>
      <c r="P793" s="92"/>
      <c r="Q793" s="92"/>
      <c r="R793" s="92"/>
      <c r="S793" s="92"/>
      <c r="T793" s="92"/>
      <c r="U793" s="92"/>
      <c r="V793" s="92"/>
      <c r="W793" s="92"/>
      <c r="X793" s="92"/>
      <c r="Y793" s="92"/>
      <c r="Z793" s="92"/>
    </row>
    <row r="794" spans="1:26" ht="12.75">
      <c r="A794" s="92" t="s">
        <v>7522</v>
      </c>
      <c r="B794" s="372">
        <v>2017</v>
      </c>
      <c r="C794" s="372">
        <v>28265861</v>
      </c>
      <c r="D794" s="92"/>
      <c r="E794" s="261" t="str">
        <f t="shared" si="0"/>
        <v>https://pubmed.ncbi.nlm.nih.gov/28265861</v>
      </c>
      <c r="F794" s="92" t="s">
        <v>511</v>
      </c>
      <c r="G794" s="374" t="s">
        <v>7523</v>
      </c>
      <c r="H794" s="21"/>
      <c r="I794" s="92"/>
      <c r="J794" s="92"/>
      <c r="K794" s="92"/>
      <c r="L794" s="92"/>
      <c r="M794" s="92"/>
      <c r="N794" s="92"/>
      <c r="O794" s="92"/>
      <c r="P794" s="92"/>
      <c r="Q794" s="92"/>
      <c r="R794" s="92"/>
      <c r="S794" s="92"/>
      <c r="T794" s="92"/>
      <c r="U794" s="92"/>
      <c r="V794" s="92"/>
      <c r="W794" s="92"/>
      <c r="X794" s="92"/>
      <c r="Y794" s="92"/>
      <c r="Z794" s="92"/>
    </row>
    <row r="795" spans="1:26" ht="12.75">
      <c r="A795" s="92" t="s">
        <v>7524</v>
      </c>
      <c r="B795" s="372">
        <v>2015</v>
      </c>
      <c r="C795" s="372">
        <v>26017126</v>
      </c>
      <c r="D795" s="92"/>
      <c r="E795" s="261" t="str">
        <f t="shared" si="0"/>
        <v>https://pubmed.ncbi.nlm.nih.gov/26017126</v>
      </c>
      <c r="F795" s="92" t="s">
        <v>511</v>
      </c>
      <c r="G795" s="374" t="s">
        <v>5299</v>
      </c>
      <c r="H795" s="21"/>
      <c r="I795" s="92"/>
      <c r="J795" s="92"/>
      <c r="K795" s="92"/>
      <c r="L795" s="92"/>
      <c r="M795" s="92"/>
      <c r="N795" s="92"/>
      <c r="O795" s="92"/>
      <c r="P795" s="92"/>
      <c r="Q795" s="92"/>
      <c r="R795" s="92"/>
      <c r="S795" s="92"/>
      <c r="T795" s="92"/>
      <c r="U795" s="92"/>
      <c r="V795" s="92"/>
      <c r="W795" s="92"/>
      <c r="X795" s="92"/>
      <c r="Y795" s="92"/>
      <c r="Z795" s="92"/>
    </row>
    <row r="796" spans="1:26" ht="12.75">
      <c r="A796" s="92" t="s">
        <v>4050</v>
      </c>
      <c r="B796" s="372">
        <v>1999</v>
      </c>
      <c r="C796" s="372">
        <v>10411194</v>
      </c>
      <c r="D796" s="92"/>
      <c r="E796" s="376" t="str">
        <f t="shared" si="0"/>
        <v>https://pubmed.ncbi.nlm.nih.gov/10411194</v>
      </c>
      <c r="F796" s="21"/>
      <c r="G796" s="92"/>
      <c r="H796" s="92" t="s">
        <v>7525</v>
      </c>
      <c r="I796" s="374" t="s">
        <v>7526</v>
      </c>
      <c r="J796" s="92"/>
      <c r="K796" s="92"/>
      <c r="L796" s="92"/>
      <c r="M796" s="92"/>
      <c r="N796" s="92"/>
      <c r="O796" s="92"/>
      <c r="P796" s="92"/>
      <c r="Q796" s="92"/>
      <c r="R796" s="92"/>
      <c r="S796" s="92"/>
      <c r="T796" s="92"/>
      <c r="U796" s="92"/>
      <c r="V796" s="92"/>
      <c r="W796" s="92"/>
      <c r="X796" s="92"/>
      <c r="Y796" s="92"/>
      <c r="Z796" s="92"/>
    </row>
    <row r="797" spans="1:26" ht="12.75">
      <c r="A797" s="92" t="s">
        <v>7527</v>
      </c>
      <c r="B797" s="372">
        <v>2010</v>
      </c>
      <c r="C797" s="372">
        <v>21208550</v>
      </c>
      <c r="D797" s="92"/>
      <c r="E797" s="261" t="str">
        <f t="shared" si="0"/>
        <v>https://pubmed.ncbi.nlm.nih.gov/21208550</v>
      </c>
      <c r="F797" s="92" t="s">
        <v>511</v>
      </c>
      <c r="G797" s="374" t="s">
        <v>4744</v>
      </c>
      <c r="H797" s="21"/>
      <c r="I797" s="92"/>
      <c r="J797" s="92"/>
      <c r="K797" s="92"/>
      <c r="L797" s="92"/>
      <c r="M797" s="92"/>
      <c r="N797" s="92"/>
      <c r="O797" s="92"/>
      <c r="P797" s="92"/>
      <c r="Q797" s="92"/>
      <c r="R797" s="92"/>
      <c r="S797" s="92"/>
      <c r="T797" s="92"/>
      <c r="U797" s="92"/>
      <c r="V797" s="92"/>
      <c r="W797" s="92"/>
      <c r="X797" s="92"/>
      <c r="Y797" s="92"/>
      <c r="Z797" s="92"/>
    </row>
    <row r="798" spans="1:26" ht="12.75">
      <c r="A798" s="92" t="s">
        <v>7528</v>
      </c>
      <c r="B798" s="372">
        <v>2014</v>
      </c>
      <c r="C798" s="372">
        <v>25066668</v>
      </c>
      <c r="D798" s="92"/>
      <c r="E798" s="261" t="str">
        <f t="shared" si="0"/>
        <v>https://pubmed.ncbi.nlm.nih.gov/25066668</v>
      </c>
      <c r="F798" s="92" t="s">
        <v>511</v>
      </c>
      <c r="G798" s="374" t="s">
        <v>6412</v>
      </c>
      <c r="H798" s="21"/>
      <c r="I798" s="92"/>
      <c r="J798" s="92"/>
      <c r="K798" s="92"/>
      <c r="L798" s="92"/>
      <c r="M798" s="92"/>
      <c r="N798" s="92"/>
      <c r="O798" s="92"/>
      <c r="P798" s="92"/>
      <c r="Q798" s="92"/>
      <c r="R798" s="92"/>
      <c r="S798" s="92"/>
      <c r="T798" s="92"/>
      <c r="U798" s="92"/>
      <c r="V798" s="92"/>
      <c r="W798" s="92"/>
      <c r="X798" s="92"/>
      <c r="Y798" s="92"/>
      <c r="Z798" s="92"/>
    </row>
    <row r="799" spans="1:26" ht="12.75">
      <c r="A799" s="92" t="s">
        <v>7529</v>
      </c>
      <c r="B799" s="372">
        <v>2014</v>
      </c>
      <c r="C799" s="372">
        <v>24814741</v>
      </c>
      <c r="D799" s="92"/>
      <c r="E799" s="261" t="str">
        <f t="shared" si="0"/>
        <v>https://pubmed.ncbi.nlm.nih.gov/24814741</v>
      </c>
      <c r="F799" s="92" t="s">
        <v>511</v>
      </c>
      <c r="G799" s="374" t="s">
        <v>7357</v>
      </c>
      <c r="H799" s="21"/>
      <c r="I799" s="92"/>
      <c r="J799" s="92"/>
      <c r="K799" s="92"/>
      <c r="L799" s="92"/>
      <c r="M799" s="92"/>
      <c r="N799" s="92"/>
      <c r="O799" s="92"/>
      <c r="P799" s="92"/>
      <c r="Q799" s="92"/>
      <c r="R799" s="92"/>
      <c r="S799" s="92"/>
      <c r="T799" s="92"/>
      <c r="U799" s="92"/>
      <c r="V799" s="92"/>
      <c r="W799" s="92"/>
      <c r="X799" s="92"/>
      <c r="Y799" s="92"/>
      <c r="Z799" s="92"/>
    </row>
    <row r="800" spans="1:26" ht="12.75">
      <c r="A800" s="92" t="s">
        <v>7530</v>
      </c>
      <c r="B800" s="372">
        <v>2014</v>
      </c>
      <c r="C800" s="372">
        <v>24890413</v>
      </c>
      <c r="D800" s="92" t="s">
        <v>7531</v>
      </c>
      <c r="E800" s="261" t="str">
        <f t="shared" si="0"/>
        <v>https://pubmed.ncbi.nlm.nih.gov/24890413</v>
      </c>
      <c r="F800" s="92" t="s">
        <v>511</v>
      </c>
      <c r="G800" s="374" t="s">
        <v>4744</v>
      </c>
      <c r="H800" s="21"/>
      <c r="I800" s="92"/>
      <c r="J800" s="92"/>
      <c r="K800" s="92"/>
      <c r="L800" s="92"/>
      <c r="M800" s="92"/>
      <c r="N800" s="92"/>
      <c r="O800" s="92"/>
      <c r="P800" s="92"/>
      <c r="Q800" s="92"/>
      <c r="R800" s="92"/>
      <c r="S800" s="92"/>
      <c r="T800" s="92"/>
      <c r="U800" s="92"/>
      <c r="V800" s="92"/>
      <c r="W800" s="92"/>
      <c r="X800" s="92"/>
      <c r="Y800" s="92"/>
      <c r="Z800" s="92"/>
    </row>
    <row r="801" spans="1:26" ht="12.75">
      <c r="A801" s="92" t="s">
        <v>7532</v>
      </c>
      <c r="B801" s="372">
        <v>2017</v>
      </c>
      <c r="C801" s="372">
        <v>28486004</v>
      </c>
      <c r="D801" s="92"/>
      <c r="E801" s="261" t="str">
        <f t="shared" si="0"/>
        <v>https://pubmed.ncbi.nlm.nih.gov/28486004</v>
      </c>
      <c r="F801" s="92" t="s">
        <v>511</v>
      </c>
      <c r="G801" s="374" t="s">
        <v>5157</v>
      </c>
      <c r="H801" s="21"/>
      <c r="I801" s="21"/>
      <c r="J801" s="92"/>
      <c r="K801" s="92"/>
      <c r="L801" s="92"/>
      <c r="M801" s="92"/>
      <c r="N801" s="92"/>
      <c r="O801" s="92"/>
      <c r="P801" s="92"/>
      <c r="Q801" s="92"/>
      <c r="R801" s="92"/>
      <c r="S801" s="92"/>
      <c r="T801" s="92"/>
      <c r="U801" s="92"/>
      <c r="V801" s="92"/>
      <c r="W801" s="92"/>
      <c r="X801" s="92"/>
      <c r="Y801" s="92"/>
      <c r="Z801" s="92"/>
    </row>
    <row r="802" spans="1:26" ht="12.75">
      <c r="A802" s="92" t="s">
        <v>7533</v>
      </c>
      <c r="B802" s="372">
        <v>2019</v>
      </c>
      <c r="C802" s="372">
        <v>31559948</v>
      </c>
      <c r="D802" s="92" t="s">
        <v>7534</v>
      </c>
      <c r="E802" s="261" t="str">
        <f t="shared" si="0"/>
        <v>https://pubmed.ncbi.nlm.nih.gov/31559948</v>
      </c>
      <c r="F802" s="92" t="s">
        <v>511</v>
      </c>
      <c r="G802" s="374" t="s">
        <v>4744</v>
      </c>
      <c r="H802" s="21"/>
      <c r="I802" s="92"/>
      <c r="J802" s="92"/>
      <c r="K802" s="92"/>
      <c r="L802" s="92"/>
      <c r="M802" s="92"/>
      <c r="N802" s="92"/>
      <c r="O802" s="92"/>
      <c r="P802" s="92"/>
      <c r="Q802" s="92"/>
      <c r="R802" s="92"/>
      <c r="S802" s="92"/>
      <c r="T802" s="92"/>
      <c r="U802" s="92"/>
      <c r="V802" s="92"/>
      <c r="W802" s="92"/>
      <c r="X802" s="92"/>
      <c r="Y802" s="92"/>
      <c r="Z802" s="92"/>
    </row>
    <row r="803" spans="1:26" ht="12.75">
      <c r="A803" s="92" t="s">
        <v>7535</v>
      </c>
      <c r="B803" s="372">
        <v>2006</v>
      </c>
      <c r="C803" s="372">
        <v>16443000</v>
      </c>
      <c r="D803" s="92"/>
      <c r="E803" s="261" t="str">
        <f t="shared" si="0"/>
        <v>https://pubmed.ncbi.nlm.nih.gov/16443000</v>
      </c>
      <c r="F803" s="92" t="s">
        <v>511</v>
      </c>
      <c r="G803" s="92" t="s">
        <v>8412</v>
      </c>
      <c r="H803" s="92"/>
      <c r="I803" s="92"/>
      <c r="J803" s="92"/>
      <c r="K803" s="92"/>
      <c r="L803" s="92"/>
      <c r="M803" s="92"/>
      <c r="N803" s="92"/>
      <c r="O803" s="92"/>
      <c r="P803" s="92"/>
      <c r="Q803" s="92"/>
      <c r="R803" s="92"/>
      <c r="S803" s="92"/>
      <c r="T803" s="92"/>
      <c r="U803" s="92"/>
      <c r="V803" s="92"/>
      <c r="W803" s="92"/>
      <c r="X803" s="92"/>
      <c r="Y803" s="92"/>
      <c r="Z803" s="92"/>
    </row>
    <row r="804" spans="1:26" ht="12.75">
      <c r="A804" s="92" t="s">
        <v>7536</v>
      </c>
      <c r="B804" s="372">
        <v>2016</v>
      </c>
      <c r="C804" s="372">
        <v>27384849</v>
      </c>
      <c r="D804" s="92"/>
      <c r="E804" s="261" t="str">
        <f t="shared" si="0"/>
        <v>https://pubmed.ncbi.nlm.nih.gov/27384849</v>
      </c>
      <c r="F804" s="92" t="s">
        <v>511</v>
      </c>
      <c r="G804" s="92" t="s">
        <v>4587</v>
      </c>
      <c r="H804" s="92"/>
      <c r="I804" s="92"/>
      <c r="J804" s="92"/>
      <c r="K804" s="92"/>
      <c r="L804" s="92"/>
      <c r="M804" s="92"/>
      <c r="N804" s="92"/>
      <c r="O804" s="92"/>
      <c r="P804" s="92"/>
      <c r="Q804" s="92"/>
      <c r="R804" s="92"/>
      <c r="S804" s="92"/>
      <c r="T804" s="92"/>
      <c r="U804" s="92"/>
      <c r="V804" s="92"/>
      <c r="W804" s="92"/>
      <c r="X804" s="92"/>
      <c r="Y804" s="92"/>
      <c r="Z804" s="92"/>
    </row>
    <row r="805" spans="1:26" ht="12.75">
      <c r="A805" s="92" t="s">
        <v>7537</v>
      </c>
      <c r="B805" s="372">
        <v>2018</v>
      </c>
      <c r="C805" s="372">
        <v>29580220</v>
      </c>
      <c r="D805" s="92" t="s">
        <v>7538</v>
      </c>
      <c r="E805" s="261" t="str">
        <f t="shared" si="0"/>
        <v>https://pubmed.ncbi.nlm.nih.gov/29580220</v>
      </c>
      <c r="F805" s="92" t="s">
        <v>511</v>
      </c>
      <c r="G805" s="374" t="s">
        <v>8422</v>
      </c>
      <c r="H805" s="92"/>
      <c r="I805" s="92"/>
      <c r="J805" s="92"/>
      <c r="K805" s="92"/>
      <c r="L805" s="92"/>
      <c r="M805" s="92"/>
      <c r="N805" s="92"/>
      <c r="O805" s="92"/>
      <c r="P805" s="92"/>
      <c r="Q805" s="92"/>
      <c r="R805" s="92"/>
      <c r="S805" s="92"/>
      <c r="T805" s="92"/>
      <c r="U805" s="92"/>
      <c r="V805" s="92"/>
      <c r="W805" s="92"/>
      <c r="X805" s="92"/>
      <c r="Y805" s="92"/>
      <c r="Z805" s="92"/>
    </row>
    <row r="806" spans="1:26" ht="12.75">
      <c r="A806" s="92" t="s">
        <v>7539</v>
      </c>
      <c r="B806" s="372">
        <v>2017</v>
      </c>
      <c r="C806" s="372">
        <v>28554398</v>
      </c>
      <c r="D806" s="92"/>
      <c r="E806" s="261" t="str">
        <f t="shared" si="0"/>
        <v>https://pubmed.ncbi.nlm.nih.gov/28554398</v>
      </c>
      <c r="F806" s="92" t="s">
        <v>511</v>
      </c>
      <c r="G806" s="92" t="s">
        <v>4592</v>
      </c>
      <c r="H806" s="92"/>
      <c r="I806" s="92"/>
      <c r="J806" s="92"/>
      <c r="K806" s="92"/>
      <c r="L806" s="92"/>
      <c r="M806" s="92"/>
      <c r="N806" s="92"/>
      <c r="O806" s="92"/>
      <c r="P806" s="92"/>
      <c r="Q806" s="92"/>
      <c r="R806" s="92"/>
      <c r="S806" s="92"/>
      <c r="T806" s="92"/>
      <c r="U806" s="92"/>
      <c r="V806" s="92"/>
      <c r="W806" s="92"/>
      <c r="X806" s="92"/>
      <c r="Y806" s="92"/>
      <c r="Z806" s="92"/>
    </row>
    <row r="807" spans="1:26" ht="12.75">
      <c r="A807" s="92" t="s">
        <v>7540</v>
      </c>
      <c r="B807" s="372">
        <v>2018</v>
      </c>
      <c r="C807" s="372">
        <v>29667726</v>
      </c>
      <c r="D807" s="92" t="s">
        <v>7541</v>
      </c>
      <c r="E807" s="261" t="str">
        <f t="shared" si="0"/>
        <v>https://pubmed.ncbi.nlm.nih.gov/29667726</v>
      </c>
      <c r="F807" s="92" t="s">
        <v>511</v>
      </c>
      <c r="G807" s="92" t="s">
        <v>4592</v>
      </c>
      <c r="H807" s="92"/>
      <c r="I807" s="92"/>
      <c r="J807" s="92"/>
      <c r="K807" s="92"/>
      <c r="L807" s="92"/>
      <c r="M807" s="92"/>
      <c r="N807" s="92"/>
      <c r="O807" s="92"/>
      <c r="P807" s="92"/>
      <c r="Q807" s="92"/>
      <c r="R807" s="92"/>
      <c r="S807" s="92"/>
      <c r="T807" s="92"/>
      <c r="U807" s="92"/>
      <c r="V807" s="92"/>
      <c r="W807" s="92"/>
      <c r="X807" s="92"/>
      <c r="Y807" s="92"/>
      <c r="Z807" s="92"/>
    </row>
    <row r="808" spans="1:26" ht="12.75">
      <c r="A808" s="92" t="s">
        <v>7542</v>
      </c>
      <c r="B808" s="372">
        <v>2014</v>
      </c>
      <c r="C808" s="372">
        <v>24953293</v>
      </c>
      <c r="D808" s="92"/>
      <c r="E808" s="261" t="str">
        <f t="shared" si="0"/>
        <v>https://pubmed.ncbi.nlm.nih.gov/24953293</v>
      </c>
      <c r="F808" s="92" t="s">
        <v>511</v>
      </c>
      <c r="G808" s="374" t="s">
        <v>4744</v>
      </c>
      <c r="H808" s="92"/>
      <c r="I808" s="374" t="s">
        <v>6429</v>
      </c>
      <c r="J808" s="92"/>
      <c r="K808" s="92"/>
      <c r="L808" s="92"/>
      <c r="M808" s="92"/>
      <c r="N808" s="92"/>
      <c r="O808" s="92"/>
      <c r="P808" s="92"/>
      <c r="Q808" s="92"/>
      <c r="R808" s="92"/>
      <c r="S808" s="92"/>
      <c r="T808" s="92"/>
      <c r="U808" s="92"/>
      <c r="V808" s="92"/>
      <c r="W808" s="92"/>
      <c r="X808" s="92"/>
      <c r="Y808" s="92"/>
      <c r="Z808" s="92"/>
    </row>
    <row r="809" spans="1:26" ht="12.75">
      <c r="A809" s="92" t="s">
        <v>7543</v>
      </c>
      <c r="B809" s="372">
        <v>2019</v>
      </c>
      <c r="C809" s="372">
        <v>30678501</v>
      </c>
      <c r="D809" s="92"/>
      <c r="E809" s="261" t="str">
        <f t="shared" si="0"/>
        <v>https://pubmed.ncbi.nlm.nih.gov/30678501</v>
      </c>
      <c r="F809" s="92" t="s">
        <v>511</v>
      </c>
      <c r="G809" s="92" t="s">
        <v>4592</v>
      </c>
      <c r="H809" s="92"/>
      <c r="I809" s="92"/>
      <c r="J809" s="92"/>
      <c r="K809" s="92"/>
      <c r="L809" s="92"/>
      <c r="M809" s="92"/>
      <c r="N809" s="92"/>
      <c r="O809" s="92"/>
      <c r="P809" s="92"/>
      <c r="Q809" s="92"/>
      <c r="R809" s="92"/>
      <c r="S809" s="92"/>
      <c r="T809" s="92"/>
      <c r="U809" s="92"/>
      <c r="V809" s="92"/>
      <c r="W809" s="92"/>
      <c r="X809" s="92"/>
      <c r="Y809" s="92"/>
      <c r="Z809" s="92"/>
    </row>
    <row r="810" spans="1:26" ht="12.75">
      <c r="A810" s="92" t="s">
        <v>7544</v>
      </c>
      <c r="B810" s="372">
        <v>2008</v>
      </c>
      <c r="C810" s="372">
        <v>18334054</v>
      </c>
      <c r="D810" s="92"/>
      <c r="E810" s="261" t="str">
        <f t="shared" si="0"/>
        <v>https://pubmed.ncbi.nlm.nih.gov/18334054</v>
      </c>
      <c r="F810" s="92" t="s">
        <v>511</v>
      </c>
      <c r="G810" s="374" t="s">
        <v>4867</v>
      </c>
      <c r="H810" s="92"/>
      <c r="I810" s="92" t="s">
        <v>6460</v>
      </c>
      <c r="J810" s="92"/>
      <c r="K810" s="92"/>
      <c r="L810" s="92"/>
      <c r="M810" s="92"/>
      <c r="N810" s="92"/>
      <c r="O810" s="92"/>
      <c r="P810" s="92"/>
      <c r="Q810" s="92"/>
      <c r="R810" s="92"/>
      <c r="S810" s="92"/>
      <c r="T810" s="92"/>
      <c r="U810" s="92"/>
      <c r="V810" s="92"/>
      <c r="W810" s="92"/>
      <c r="X810" s="92"/>
      <c r="Y810" s="92"/>
      <c r="Z810" s="92"/>
    </row>
    <row r="811" spans="1:26" ht="12.75">
      <c r="A811" s="92" t="s">
        <v>7545</v>
      </c>
      <c r="B811" s="372">
        <v>2012</v>
      </c>
      <c r="C811" s="372">
        <v>22972130</v>
      </c>
      <c r="D811" s="92"/>
      <c r="E811" s="261" t="str">
        <f t="shared" si="0"/>
        <v>https://pubmed.ncbi.nlm.nih.gov/22972130</v>
      </c>
      <c r="F811" s="92" t="s">
        <v>511</v>
      </c>
      <c r="G811" s="92" t="s">
        <v>4592</v>
      </c>
      <c r="H811" s="92"/>
      <c r="I811" s="92"/>
      <c r="J811" s="92"/>
      <c r="K811" s="92"/>
      <c r="L811" s="92"/>
      <c r="M811" s="92"/>
      <c r="N811" s="92"/>
      <c r="O811" s="92"/>
      <c r="P811" s="92"/>
      <c r="Q811" s="92"/>
      <c r="R811" s="92"/>
      <c r="S811" s="92"/>
      <c r="T811" s="92"/>
      <c r="U811" s="92"/>
      <c r="V811" s="92"/>
      <c r="W811" s="92"/>
      <c r="X811" s="92"/>
      <c r="Y811" s="92"/>
      <c r="Z811" s="92"/>
    </row>
    <row r="812" spans="1:26" ht="12.75">
      <c r="A812" s="92" t="s">
        <v>7546</v>
      </c>
      <c r="B812" s="372">
        <v>2014</v>
      </c>
      <c r="C812" s="372">
        <v>24410774</v>
      </c>
      <c r="D812" s="92" t="s">
        <v>7547</v>
      </c>
      <c r="E812" s="261" t="str">
        <f t="shared" si="0"/>
        <v>https://pubmed.ncbi.nlm.nih.gov/24410774</v>
      </c>
      <c r="F812" s="92" t="s">
        <v>511</v>
      </c>
      <c r="G812" s="374" t="s">
        <v>7357</v>
      </c>
      <c r="H812" s="21"/>
      <c r="I812" s="92"/>
      <c r="J812" s="92"/>
      <c r="K812" s="92"/>
      <c r="L812" s="92"/>
      <c r="M812" s="92"/>
      <c r="N812" s="92"/>
      <c r="O812" s="92"/>
      <c r="P812" s="92"/>
      <c r="Q812" s="92"/>
      <c r="R812" s="92"/>
      <c r="S812" s="92"/>
      <c r="T812" s="92"/>
      <c r="U812" s="92"/>
      <c r="V812" s="92"/>
      <c r="W812" s="92"/>
      <c r="X812" s="92"/>
      <c r="Y812" s="92"/>
      <c r="Z812" s="92"/>
    </row>
    <row r="813" spans="1:26" ht="12.75">
      <c r="A813" s="92" t="s">
        <v>7548</v>
      </c>
      <c r="B813" s="372">
        <v>2020</v>
      </c>
      <c r="C813" s="372">
        <v>32702315</v>
      </c>
      <c r="D813" s="92"/>
      <c r="E813" s="261" t="str">
        <f t="shared" si="0"/>
        <v>https://pubmed.ncbi.nlm.nih.gov/32702315</v>
      </c>
      <c r="F813" s="92" t="s">
        <v>511</v>
      </c>
      <c r="G813" s="374" t="s">
        <v>4744</v>
      </c>
      <c r="H813" s="92"/>
      <c r="I813" s="92" t="s">
        <v>6460</v>
      </c>
      <c r="J813" s="92"/>
      <c r="K813" s="92"/>
      <c r="L813" s="92"/>
      <c r="M813" s="92"/>
      <c r="N813" s="92"/>
      <c r="O813" s="92"/>
      <c r="P813" s="92"/>
      <c r="Q813" s="92"/>
      <c r="R813" s="92"/>
      <c r="S813" s="92"/>
      <c r="T813" s="92"/>
      <c r="U813" s="92"/>
      <c r="V813" s="92"/>
      <c r="W813" s="92"/>
      <c r="X813" s="92"/>
      <c r="Y813" s="92"/>
      <c r="Z813" s="92"/>
    </row>
    <row r="814" spans="1:26" ht="12.75">
      <c r="A814" s="92" t="s">
        <v>7549</v>
      </c>
      <c r="B814" s="372">
        <v>2004</v>
      </c>
      <c r="C814" s="372">
        <v>15622577</v>
      </c>
      <c r="D814" s="92"/>
      <c r="E814" s="261" t="str">
        <f t="shared" si="0"/>
        <v>https://pubmed.ncbi.nlm.nih.gov/15622577</v>
      </c>
      <c r="F814" s="92" t="s">
        <v>511</v>
      </c>
      <c r="G814" s="374" t="s">
        <v>4744</v>
      </c>
      <c r="H814" s="21"/>
      <c r="I814" s="92"/>
      <c r="J814" s="92"/>
      <c r="K814" s="92"/>
      <c r="L814" s="92"/>
      <c r="M814" s="92"/>
      <c r="N814" s="92"/>
      <c r="O814" s="92"/>
      <c r="P814" s="92"/>
      <c r="Q814" s="92"/>
      <c r="R814" s="92"/>
      <c r="S814" s="92"/>
      <c r="T814" s="92"/>
      <c r="U814" s="92"/>
      <c r="V814" s="92"/>
      <c r="W814" s="92"/>
      <c r="X814" s="92"/>
      <c r="Y814" s="92"/>
      <c r="Z814" s="92"/>
    </row>
    <row r="815" spans="1:26" ht="12.75">
      <c r="A815" s="92" t="s">
        <v>7550</v>
      </c>
      <c r="B815" s="372">
        <v>1999</v>
      </c>
      <c r="C815" s="372">
        <v>10385768</v>
      </c>
      <c r="D815" s="92"/>
      <c r="E815" s="261" t="str">
        <f t="shared" si="0"/>
        <v>https://pubmed.ncbi.nlm.nih.gov/10385768</v>
      </c>
      <c r="F815" s="92" t="s">
        <v>511</v>
      </c>
      <c r="G815" s="374" t="s">
        <v>4867</v>
      </c>
      <c r="H815" s="21"/>
      <c r="I815" s="92"/>
      <c r="J815" s="92"/>
      <c r="K815" s="92"/>
      <c r="L815" s="92"/>
      <c r="M815" s="92"/>
      <c r="N815" s="92"/>
      <c r="O815" s="92"/>
      <c r="P815" s="92"/>
      <c r="Q815" s="92"/>
      <c r="R815" s="92"/>
      <c r="S815" s="92"/>
      <c r="T815" s="92"/>
      <c r="U815" s="92"/>
      <c r="V815" s="92"/>
      <c r="W815" s="92"/>
      <c r="X815" s="92"/>
      <c r="Y815" s="92"/>
      <c r="Z815" s="92"/>
    </row>
    <row r="816" spans="1:26" ht="12.75">
      <c r="A816" s="92" t="s">
        <v>7551</v>
      </c>
      <c r="B816" s="372">
        <v>2016</v>
      </c>
      <c r="C816" s="372">
        <v>26544615</v>
      </c>
      <c r="D816" s="92" t="s">
        <v>7552</v>
      </c>
      <c r="E816" s="261" t="str">
        <f t="shared" si="0"/>
        <v>https://pubmed.ncbi.nlm.nih.gov/26544615</v>
      </c>
      <c r="F816" s="92" t="s">
        <v>511</v>
      </c>
      <c r="G816" s="374" t="s">
        <v>4867</v>
      </c>
      <c r="H816" s="21"/>
      <c r="I816" s="92"/>
      <c r="J816" s="92"/>
      <c r="K816" s="92"/>
      <c r="L816" s="92"/>
      <c r="M816" s="92"/>
      <c r="N816" s="92"/>
      <c r="O816" s="92"/>
      <c r="P816" s="92"/>
      <c r="Q816" s="92"/>
      <c r="R816" s="92"/>
      <c r="S816" s="92"/>
      <c r="T816" s="92"/>
      <c r="U816" s="92"/>
      <c r="V816" s="92"/>
      <c r="W816" s="92"/>
      <c r="X816" s="92"/>
      <c r="Y816" s="92"/>
      <c r="Z816" s="92"/>
    </row>
    <row r="817" spans="1:26" ht="12.75">
      <c r="A817" s="92" t="s">
        <v>7553</v>
      </c>
      <c r="B817" s="372">
        <v>2018</v>
      </c>
      <c r="C817" s="372">
        <v>30521694</v>
      </c>
      <c r="D817" s="92" t="s">
        <v>7554</v>
      </c>
      <c r="E817" s="261" t="str">
        <f t="shared" si="0"/>
        <v>https://pubmed.ncbi.nlm.nih.gov/30521694</v>
      </c>
      <c r="F817" s="92" t="s">
        <v>511</v>
      </c>
      <c r="G817" s="92" t="s">
        <v>8412</v>
      </c>
      <c r="H817" s="92"/>
      <c r="I817" s="92"/>
      <c r="J817" s="92"/>
      <c r="K817" s="92"/>
      <c r="L817" s="92"/>
      <c r="M817" s="92"/>
      <c r="N817" s="92"/>
      <c r="O817" s="92"/>
      <c r="P817" s="92"/>
      <c r="Q817" s="92"/>
      <c r="R817" s="92"/>
      <c r="S817" s="92"/>
      <c r="T817" s="92"/>
      <c r="U817" s="92"/>
      <c r="V817" s="92"/>
      <c r="W817" s="92"/>
      <c r="X817" s="92"/>
      <c r="Y817" s="92"/>
      <c r="Z817" s="92"/>
    </row>
    <row r="818" spans="1:26" ht="12.75">
      <c r="A818" s="92" t="s">
        <v>7555</v>
      </c>
      <c r="B818" s="372">
        <v>2015</v>
      </c>
      <c r="C818" s="372">
        <v>25917376</v>
      </c>
      <c r="D818" s="92"/>
      <c r="E818" s="261" t="str">
        <f t="shared" si="0"/>
        <v>https://pubmed.ncbi.nlm.nih.gov/25917376</v>
      </c>
      <c r="F818" s="92" t="s">
        <v>511</v>
      </c>
      <c r="G818" s="374" t="s">
        <v>5299</v>
      </c>
      <c r="H818" s="21"/>
      <c r="I818" s="92"/>
      <c r="J818" s="92"/>
      <c r="K818" s="92"/>
      <c r="L818" s="92"/>
      <c r="M818" s="92"/>
      <c r="N818" s="92"/>
      <c r="O818" s="92"/>
      <c r="P818" s="92"/>
      <c r="Q818" s="92"/>
      <c r="R818" s="92"/>
      <c r="S818" s="92"/>
      <c r="T818" s="92"/>
      <c r="U818" s="92"/>
      <c r="V818" s="92"/>
      <c r="W818" s="92"/>
      <c r="X818" s="92"/>
      <c r="Y818" s="92"/>
      <c r="Z818" s="92"/>
    </row>
    <row r="819" spans="1:26" ht="12.75">
      <c r="A819" s="92" t="s">
        <v>7556</v>
      </c>
      <c r="B819" s="372">
        <v>2020</v>
      </c>
      <c r="C819" s="372">
        <v>32350571</v>
      </c>
      <c r="D819" s="92" t="s">
        <v>7557</v>
      </c>
      <c r="E819" s="261" t="str">
        <f t="shared" si="0"/>
        <v>https://pubmed.ncbi.nlm.nih.gov/32350571</v>
      </c>
      <c r="F819" s="92" t="s">
        <v>511</v>
      </c>
      <c r="G819" s="92" t="s">
        <v>8390</v>
      </c>
      <c r="H819" s="92"/>
      <c r="I819" s="92"/>
      <c r="J819" s="92"/>
      <c r="K819" s="92"/>
      <c r="L819" s="92"/>
      <c r="M819" s="92"/>
      <c r="N819" s="92"/>
      <c r="O819" s="92"/>
      <c r="P819" s="92"/>
      <c r="Q819" s="92"/>
      <c r="R819" s="92"/>
      <c r="S819" s="92"/>
      <c r="T819" s="92"/>
      <c r="U819" s="92"/>
      <c r="V819" s="92"/>
      <c r="W819" s="92"/>
      <c r="X819" s="92"/>
      <c r="Y819" s="92"/>
      <c r="Z819" s="92"/>
    </row>
    <row r="820" spans="1:26" ht="12.75">
      <c r="A820" s="92" t="s">
        <v>7558</v>
      </c>
      <c r="B820" s="372">
        <v>2003</v>
      </c>
      <c r="C820" s="372">
        <v>14529922</v>
      </c>
      <c r="D820" s="92"/>
      <c r="E820" s="261" t="str">
        <f t="shared" si="0"/>
        <v>https://pubmed.ncbi.nlm.nih.gov/14529922</v>
      </c>
      <c r="F820" s="92" t="s">
        <v>511</v>
      </c>
      <c r="G820" s="374" t="s">
        <v>7559</v>
      </c>
      <c r="H820" s="21"/>
      <c r="I820" s="21"/>
      <c r="J820" s="92"/>
      <c r="K820" s="92"/>
      <c r="L820" s="92"/>
      <c r="M820" s="92"/>
      <c r="N820" s="92"/>
      <c r="O820" s="92"/>
      <c r="P820" s="92"/>
      <c r="Q820" s="92"/>
      <c r="R820" s="92"/>
      <c r="S820" s="92"/>
      <c r="T820" s="92"/>
      <c r="U820" s="92"/>
      <c r="V820" s="92"/>
      <c r="W820" s="92"/>
      <c r="X820" s="92"/>
      <c r="Y820" s="92"/>
      <c r="Z820" s="92"/>
    </row>
    <row r="821" spans="1:26" ht="12.75">
      <c r="A821" s="92" t="s">
        <v>7560</v>
      </c>
      <c r="B821" s="372">
        <v>2014</v>
      </c>
      <c r="C821" s="372">
        <v>25515698</v>
      </c>
      <c r="D821" s="92" t="s">
        <v>7561</v>
      </c>
      <c r="E821" s="261" t="str">
        <f t="shared" si="0"/>
        <v>https://pubmed.ncbi.nlm.nih.gov/25515698</v>
      </c>
      <c r="F821" s="92" t="s">
        <v>511</v>
      </c>
      <c r="G821" s="374" t="s">
        <v>4744</v>
      </c>
      <c r="H821" s="21"/>
      <c r="I821" s="92"/>
      <c r="J821" s="92"/>
      <c r="K821" s="92"/>
      <c r="L821" s="92"/>
      <c r="M821" s="92"/>
      <c r="N821" s="92"/>
      <c r="O821" s="92"/>
      <c r="P821" s="92"/>
      <c r="Q821" s="92"/>
      <c r="R821" s="92"/>
      <c r="S821" s="92"/>
      <c r="T821" s="92"/>
      <c r="U821" s="92"/>
      <c r="V821" s="92"/>
      <c r="W821" s="92"/>
      <c r="X821" s="92"/>
      <c r="Y821" s="92"/>
      <c r="Z821" s="92"/>
    </row>
    <row r="822" spans="1:26" ht="12.75">
      <c r="A822" s="92" t="s">
        <v>7562</v>
      </c>
      <c r="B822" s="372">
        <v>2014</v>
      </c>
      <c r="C822" s="372">
        <v>24576824</v>
      </c>
      <c r="D822" s="92"/>
      <c r="E822" s="261" t="str">
        <f t="shared" si="0"/>
        <v>https://pubmed.ncbi.nlm.nih.gov/24576824</v>
      </c>
      <c r="F822" s="92" t="s">
        <v>511</v>
      </c>
      <c r="G822" s="92" t="s">
        <v>4592</v>
      </c>
      <c r="H822" s="92"/>
      <c r="I822" s="92"/>
      <c r="J822" s="92"/>
      <c r="K822" s="92"/>
      <c r="L822" s="92"/>
      <c r="M822" s="92"/>
      <c r="N822" s="92"/>
      <c r="O822" s="92"/>
      <c r="P822" s="92"/>
      <c r="Q822" s="92"/>
      <c r="R822" s="92"/>
      <c r="S822" s="92"/>
      <c r="T822" s="92"/>
      <c r="U822" s="92"/>
      <c r="V822" s="92"/>
      <c r="W822" s="92"/>
      <c r="X822" s="92"/>
      <c r="Y822" s="92"/>
      <c r="Z822" s="92"/>
    </row>
    <row r="823" spans="1:26" ht="12.75">
      <c r="A823" s="92" t="s">
        <v>7563</v>
      </c>
      <c r="B823" s="372">
        <v>2014</v>
      </c>
      <c r="C823" s="372">
        <v>25037054</v>
      </c>
      <c r="D823" s="92"/>
      <c r="E823" s="261" t="str">
        <f t="shared" si="0"/>
        <v>https://pubmed.ncbi.nlm.nih.gov/25037054</v>
      </c>
      <c r="F823" s="92" t="s">
        <v>511</v>
      </c>
      <c r="G823" s="374" t="s">
        <v>5299</v>
      </c>
      <c r="H823" s="21"/>
      <c r="I823" s="92"/>
      <c r="J823" s="92"/>
      <c r="K823" s="92"/>
      <c r="L823" s="92"/>
      <c r="M823" s="92"/>
      <c r="N823" s="92"/>
      <c r="O823" s="92"/>
      <c r="P823" s="92"/>
      <c r="Q823" s="92"/>
      <c r="R823" s="92"/>
      <c r="S823" s="92"/>
      <c r="T823" s="92"/>
      <c r="U823" s="92"/>
      <c r="V823" s="92"/>
      <c r="W823" s="92"/>
      <c r="X823" s="92"/>
      <c r="Y823" s="92"/>
      <c r="Z823" s="92"/>
    </row>
    <row r="824" spans="1:26" ht="12.75">
      <c r="A824" s="92" t="s">
        <v>7564</v>
      </c>
      <c r="B824" s="372">
        <v>2020</v>
      </c>
      <c r="C824" s="372">
        <v>32569275</v>
      </c>
      <c r="D824" s="92" t="s">
        <v>7565</v>
      </c>
      <c r="E824" s="261" t="str">
        <f t="shared" si="0"/>
        <v>https://pubmed.ncbi.nlm.nih.gov/32569275</v>
      </c>
      <c r="F824" s="92" t="s">
        <v>511</v>
      </c>
      <c r="G824" s="92" t="s">
        <v>8412</v>
      </c>
      <c r="H824" s="92"/>
      <c r="I824" s="92"/>
      <c r="J824" s="92"/>
      <c r="K824" s="92"/>
      <c r="L824" s="92"/>
      <c r="M824" s="92"/>
      <c r="N824" s="92"/>
      <c r="O824" s="92"/>
      <c r="P824" s="92"/>
      <c r="Q824" s="92"/>
      <c r="R824" s="92"/>
      <c r="S824" s="92"/>
      <c r="T824" s="92"/>
      <c r="U824" s="92"/>
      <c r="V824" s="92"/>
      <c r="W824" s="92"/>
      <c r="X824" s="92"/>
      <c r="Y824" s="92"/>
      <c r="Z824" s="92"/>
    </row>
    <row r="825" spans="1:26" ht="12.75">
      <c r="A825" s="92" t="s">
        <v>7566</v>
      </c>
      <c r="B825" s="372">
        <v>2016</v>
      </c>
      <c r="C825" s="372">
        <v>26511959</v>
      </c>
      <c r="D825" s="92" t="s">
        <v>7567</v>
      </c>
      <c r="E825" s="261" t="str">
        <f t="shared" si="0"/>
        <v>https://pubmed.ncbi.nlm.nih.gov/26511959</v>
      </c>
      <c r="F825" s="92" t="s">
        <v>511</v>
      </c>
      <c r="G825" s="374" t="s">
        <v>4867</v>
      </c>
      <c r="H825" s="21"/>
      <c r="I825" s="92"/>
      <c r="J825" s="92"/>
      <c r="K825" s="92"/>
      <c r="L825" s="92"/>
      <c r="M825" s="92"/>
      <c r="N825" s="92"/>
      <c r="O825" s="92"/>
      <c r="P825" s="92"/>
      <c r="Q825" s="92"/>
      <c r="R825" s="92"/>
      <c r="S825" s="92"/>
      <c r="T825" s="92"/>
      <c r="U825" s="92"/>
      <c r="V825" s="92"/>
      <c r="W825" s="92"/>
      <c r="X825" s="92"/>
      <c r="Y825" s="92"/>
      <c r="Z825" s="92"/>
    </row>
    <row r="826" spans="1:26" ht="12.75">
      <c r="A826" s="92" t="s">
        <v>7568</v>
      </c>
      <c r="B826" s="372">
        <v>2016</v>
      </c>
      <c r="C826" s="372">
        <v>26565008</v>
      </c>
      <c r="D826" s="92"/>
      <c r="E826" s="261" t="str">
        <f t="shared" si="0"/>
        <v>https://pubmed.ncbi.nlm.nih.gov/26565008</v>
      </c>
      <c r="F826" s="92" t="s">
        <v>511</v>
      </c>
      <c r="G826" s="374" t="s">
        <v>4744</v>
      </c>
      <c r="H826" s="21"/>
      <c r="I826" s="92"/>
      <c r="J826" s="92"/>
      <c r="K826" s="92"/>
      <c r="L826" s="92"/>
      <c r="M826" s="92"/>
      <c r="N826" s="92"/>
      <c r="O826" s="92"/>
      <c r="P826" s="92"/>
      <c r="Q826" s="92"/>
      <c r="R826" s="92"/>
      <c r="S826" s="92"/>
      <c r="T826" s="92"/>
      <c r="U826" s="92"/>
      <c r="V826" s="92"/>
      <c r="W826" s="92"/>
      <c r="X826" s="92"/>
      <c r="Y826" s="92"/>
      <c r="Z826" s="92"/>
    </row>
    <row r="827" spans="1:26" ht="12.75">
      <c r="A827" s="92" t="s">
        <v>7569</v>
      </c>
      <c r="B827" s="372">
        <v>2020</v>
      </c>
      <c r="C827" s="372">
        <v>32755231</v>
      </c>
      <c r="D827" s="92" t="s">
        <v>7570</v>
      </c>
      <c r="E827" s="261" t="str">
        <f t="shared" si="0"/>
        <v>https://pubmed.ncbi.nlm.nih.gov/32755231</v>
      </c>
      <c r="F827" s="92" t="s">
        <v>511</v>
      </c>
      <c r="G827" s="92" t="s">
        <v>4592</v>
      </c>
      <c r="H827" s="92"/>
      <c r="I827" s="92"/>
      <c r="J827" s="92"/>
      <c r="K827" s="92"/>
      <c r="L827" s="92"/>
      <c r="M827" s="92"/>
      <c r="N827" s="92"/>
      <c r="O827" s="92"/>
      <c r="P827" s="92"/>
      <c r="Q827" s="92"/>
      <c r="R827" s="92"/>
      <c r="S827" s="92"/>
      <c r="T827" s="92"/>
      <c r="U827" s="92"/>
      <c r="V827" s="92"/>
      <c r="W827" s="92"/>
      <c r="X827" s="92"/>
      <c r="Y827" s="92"/>
      <c r="Z827" s="92"/>
    </row>
    <row r="828" spans="1:26" ht="12.75">
      <c r="A828" s="92" t="s">
        <v>7571</v>
      </c>
      <c r="B828" s="372">
        <v>2013</v>
      </c>
      <c r="C828" s="372">
        <v>24244339</v>
      </c>
      <c r="D828" s="92" t="s">
        <v>5880</v>
      </c>
      <c r="E828" s="261" t="str">
        <f t="shared" si="0"/>
        <v>https://pubmed.ncbi.nlm.nih.gov/24244339</v>
      </c>
      <c r="F828" s="92" t="s">
        <v>511</v>
      </c>
      <c r="G828" s="374" t="s">
        <v>4867</v>
      </c>
      <c r="H828" s="21"/>
      <c r="I828" s="92"/>
      <c r="J828" s="92"/>
      <c r="K828" s="92"/>
      <c r="L828" s="92"/>
      <c r="M828" s="92"/>
      <c r="N828" s="92"/>
      <c r="O828" s="92"/>
      <c r="P828" s="92"/>
      <c r="Q828" s="92"/>
      <c r="R828" s="92"/>
      <c r="S828" s="92"/>
      <c r="T828" s="92"/>
      <c r="U828" s="92"/>
      <c r="V828" s="92"/>
      <c r="W828" s="92"/>
      <c r="X828" s="92"/>
      <c r="Y828" s="92"/>
      <c r="Z828" s="92"/>
    </row>
    <row r="829" spans="1:26" ht="12.75">
      <c r="A829" s="92" t="s">
        <v>7572</v>
      </c>
      <c r="B829" s="372">
        <v>2015</v>
      </c>
      <c r="C829" s="372">
        <v>25430686</v>
      </c>
      <c r="D829" s="92"/>
      <c r="E829" s="261" t="str">
        <f t="shared" si="0"/>
        <v>https://pubmed.ncbi.nlm.nih.gov/25430686</v>
      </c>
      <c r="F829" s="92" t="s">
        <v>511</v>
      </c>
      <c r="G829" s="92" t="s">
        <v>5273</v>
      </c>
      <c r="H829" s="92"/>
      <c r="I829" s="92"/>
      <c r="J829" s="92"/>
      <c r="K829" s="92"/>
      <c r="L829" s="92"/>
      <c r="M829" s="92"/>
      <c r="N829" s="92"/>
      <c r="O829" s="92"/>
      <c r="P829" s="92"/>
      <c r="Q829" s="92"/>
      <c r="R829" s="92"/>
      <c r="S829" s="92"/>
      <c r="T829" s="92"/>
      <c r="U829" s="92"/>
      <c r="V829" s="92"/>
      <c r="W829" s="92"/>
      <c r="X829" s="92"/>
      <c r="Y829" s="92"/>
      <c r="Z829" s="92"/>
    </row>
    <row r="830" spans="1:26" ht="12.75">
      <c r="A830" s="92" t="s">
        <v>7573</v>
      </c>
      <c r="B830" s="372">
        <v>2011</v>
      </c>
      <c r="C830" s="372">
        <v>21792180</v>
      </c>
      <c r="D830" s="92" t="s">
        <v>7574</v>
      </c>
      <c r="E830" s="261" t="str">
        <f t="shared" si="0"/>
        <v>https://pubmed.ncbi.nlm.nih.gov/21792180</v>
      </c>
      <c r="F830" s="92" t="s">
        <v>511</v>
      </c>
      <c r="G830" s="92" t="s">
        <v>4592</v>
      </c>
      <c r="H830" s="92"/>
      <c r="I830" s="92"/>
      <c r="J830" s="92"/>
      <c r="K830" s="92"/>
      <c r="L830" s="92"/>
      <c r="M830" s="92"/>
      <c r="N830" s="92"/>
      <c r="O830" s="92"/>
      <c r="P830" s="92"/>
      <c r="Q830" s="92"/>
      <c r="R830" s="92"/>
      <c r="S830" s="92"/>
      <c r="T830" s="92"/>
      <c r="U830" s="92"/>
      <c r="V830" s="92"/>
      <c r="W830" s="92"/>
      <c r="X830" s="92"/>
      <c r="Y830" s="92"/>
      <c r="Z830" s="92"/>
    </row>
    <row r="831" spans="1:26" ht="12.75">
      <c r="A831" s="92" t="s">
        <v>7575</v>
      </c>
      <c r="B831" s="372">
        <v>2009</v>
      </c>
      <c r="C831" s="372">
        <v>19249449</v>
      </c>
      <c r="D831" s="92"/>
      <c r="E831" s="261" t="str">
        <f t="shared" si="0"/>
        <v>https://pubmed.ncbi.nlm.nih.gov/19249449</v>
      </c>
      <c r="F831" s="92" t="s">
        <v>511</v>
      </c>
      <c r="G831" s="92" t="s">
        <v>4592</v>
      </c>
      <c r="H831" s="92"/>
      <c r="I831" s="92"/>
      <c r="J831" s="92"/>
      <c r="K831" s="92"/>
      <c r="L831" s="92"/>
      <c r="M831" s="92"/>
      <c r="N831" s="92"/>
      <c r="O831" s="92"/>
      <c r="P831" s="92"/>
      <c r="Q831" s="92"/>
      <c r="R831" s="92"/>
      <c r="S831" s="92"/>
      <c r="T831" s="92"/>
      <c r="U831" s="92"/>
      <c r="V831" s="92"/>
      <c r="W831" s="92"/>
      <c r="X831" s="92"/>
      <c r="Y831" s="92"/>
      <c r="Z831" s="92"/>
    </row>
    <row r="832" spans="1:26" ht="12.75">
      <c r="A832" s="92" t="s">
        <v>7576</v>
      </c>
      <c r="B832" s="372">
        <v>2018</v>
      </c>
      <c r="C832" s="372">
        <v>30449234</v>
      </c>
      <c r="D832" s="92"/>
      <c r="E832" s="261" t="str">
        <f t="shared" si="0"/>
        <v>https://pubmed.ncbi.nlm.nih.gov/30449234</v>
      </c>
      <c r="F832" s="92" t="s">
        <v>511</v>
      </c>
      <c r="G832" s="374" t="s">
        <v>4744</v>
      </c>
      <c r="H832" s="92"/>
      <c r="I832" s="92" t="s">
        <v>6460</v>
      </c>
      <c r="J832" s="92"/>
      <c r="K832" s="92"/>
      <c r="L832" s="92"/>
      <c r="M832" s="92"/>
      <c r="N832" s="92"/>
      <c r="O832" s="92"/>
      <c r="P832" s="92"/>
      <c r="Q832" s="92"/>
      <c r="R832" s="92"/>
      <c r="S832" s="92"/>
      <c r="T832" s="92"/>
      <c r="U832" s="92"/>
      <c r="V832" s="92"/>
      <c r="W832" s="92"/>
      <c r="X832" s="92"/>
      <c r="Y832" s="92"/>
      <c r="Z832" s="92"/>
    </row>
    <row r="833" spans="1:26" ht="12.75">
      <c r="A833" s="92" t="s">
        <v>7577</v>
      </c>
      <c r="B833" s="372">
        <v>2010</v>
      </c>
      <c r="C833" s="372">
        <v>19825906</v>
      </c>
      <c r="D833" s="92"/>
      <c r="E833" s="261" t="str">
        <f t="shared" si="0"/>
        <v>https://pubmed.ncbi.nlm.nih.gov/19825906</v>
      </c>
      <c r="F833" s="92" t="s">
        <v>511</v>
      </c>
      <c r="G833" s="374" t="s">
        <v>5299</v>
      </c>
      <c r="H833" s="21"/>
      <c r="I833" s="92"/>
      <c r="J833" s="92"/>
      <c r="K833" s="92"/>
      <c r="L833" s="92"/>
      <c r="M833" s="92"/>
      <c r="N833" s="92"/>
      <c r="O833" s="92"/>
      <c r="P833" s="92"/>
      <c r="Q833" s="92"/>
      <c r="R833" s="92"/>
      <c r="S833" s="92"/>
      <c r="T833" s="92"/>
      <c r="U833" s="92"/>
      <c r="V833" s="92"/>
      <c r="W833" s="92"/>
      <c r="X833" s="92"/>
      <c r="Y833" s="92"/>
      <c r="Z833" s="92"/>
    </row>
    <row r="834" spans="1:26" ht="12.75">
      <c r="A834" s="92" t="s">
        <v>7578</v>
      </c>
      <c r="B834" s="372">
        <v>2012</v>
      </c>
      <c r="C834" s="372">
        <v>22508161</v>
      </c>
      <c r="D834" s="92" t="s">
        <v>7579</v>
      </c>
      <c r="E834" s="261" t="str">
        <f t="shared" si="0"/>
        <v>https://pubmed.ncbi.nlm.nih.gov/22508161</v>
      </c>
      <c r="F834" s="92" t="s">
        <v>511</v>
      </c>
      <c r="G834" s="92" t="s">
        <v>4592</v>
      </c>
      <c r="H834" s="92"/>
      <c r="I834" s="92"/>
      <c r="J834" s="92"/>
      <c r="K834" s="92"/>
      <c r="L834" s="92"/>
      <c r="M834" s="92"/>
      <c r="N834" s="92"/>
      <c r="O834" s="92"/>
      <c r="P834" s="92"/>
      <c r="Q834" s="92"/>
      <c r="R834" s="92"/>
      <c r="S834" s="92"/>
      <c r="T834" s="92"/>
      <c r="U834" s="92"/>
      <c r="V834" s="92"/>
      <c r="W834" s="92"/>
      <c r="X834" s="92"/>
      <c r="Y834" s="92"/>
      <c r="Z834" s="92"/>
    </row>
    <row r="835" spans="1:26" ht="12.75">
      <c r="A835" s="92" t="s">
        <v>7580</v>
      </c>
      <c r="B835" s="372">
        <v>2000</v>
      </c>
      <c r="C835" s="372">
        <v>10958210</v>
      </c>
      <c r="D835" s="92"/>
      <c r="E835" s="261" t="str">
        <f t="shared" si="0"/>
        <v>https://pubmed.ncbi.nlm.nih.gov/10958210</v>
      </c>
      <c r="F835" s="92" t="s">
        <v>511</v>
      </c>
      <c r="G835" s="92" t="s">
        <v>4592</v>
      </c>
      <c r="H835" s="92"/>
      <c r="I835" s="92"/>
      <c r="J835" s="92"/>
      <c r="K835" s="92"/>
      <c r="L835" s="92"/>
      <c r="M835" s="92"/>
      <c r="N835" s="92"/>
      <c r="O835" s="92"/>
      <c r="P835" s="92"/>
      <c r="Q835" s="92"/>
      <c r="R835" s="92"/>
      <c r="S835" s="92"/>
      <c r="T835" s="92"/>
      <c r="U835" s="92"/>
      <c r="V835" s="92"/>
      <c r="W835" s="92"/>
      <c r="X835" s="92"/>
      <c r="Y835" s="92"/>
      <c r="Z835" s="92"/>
    </row>
    <row r="836" spans="1:26" ht="12.75">
      <c r="A836" s="92" t="s">
        <v>7581</v>
      </c>
      <c r="B836" s="372">
        <v>2011</v>
      </c>
      <c r="C836" s="372">
        <v>20424934</v>
      </c>
      <c r="D836" s="92"/>
      <c r="E836" s="261" t="str">
        <f t="shared" si="0"/>
        <v>https://pubmed.ncbi.nlm.nih.gov/20424934</v>
      </c>
      <c r="F836" s="92" t="s">
        <v>511</v>
      </c>
      <c r="G836" s="374" t="s">
        <v>4744</v>
      </c>
      <c r="H836" s="21"/>
      <c r="I836" s="92"/>
      <c r="J836" s="92"/>
      <c r="K836" s="92"/>
      <c r="L836" s="92"/>
      <c r="M836" s="92"/>
      <c r="N836" s="92"/>
      <c r="O836" s="92"/>
      <c r="P836" s="92"/>
      <c r="Q836" s="92"/>
      <c r="R836" s="92"/>
      <c r="S836" s="92"/>
      <c r="T836" s="92"/>
      <c r="U836" s="92"/>
      <c r="V836" s="92"/>
      <c r="W836" s="92"/>
      <c r="X836" s="92"/>
      <c r="Y836" s="92"/>
      <c r="Z836" s="92"/>
    </row>
    <row r="837" spans="1:26" ht="12.75">
      <c r="A837" s="92" t="s">
        <v>7582</v>
      </c>
      <c r="B837" s="372">
        <v>2011</v>
      </c>
      <c r="C837" s="372">
        <v>21873194</v>
      </c>
      <c r="D837" s="92" t="s">
        <v>7583</v>
      </c>
      <c r="E837" s="261" t="str">
        <f t="shared" si="0"/>
        <v>https://pubmed.ncbi.nlm.nih.gov/21873194</v>
      </c>
      <c r="F837" s="92" t="s">
        <v>511</v>
      </c>
      <c r="G837" s="374" t="s">
        <v>4346</v>
      </c>
      <c r="H837" s="92"/>
      <c r="I837" s="92"/>
      <c r="J837" s="92"/>
      <c r="K837" s="92"/>
      <c r="L837" s="92"/>
      <c r="M837" s="92"/>
      <c r="N837" s="92"/>
      <c r="O837" s="92"/>
      <c r="P837" s="92"/>
      <c r="Q837" s="92"/>
      <c r="R837" s="92"/>
      <c r="S837" s="92"/>
      <c r="T837" s="92"/>
      <c r="U837" s="92"/>
      <c r="V837" s="92"/>
      <c r="W837" s="92"/>
      <c r="X837" s="92"/>
      <c r="Y837" s="92"/>
      <c r="Z837" s="92"/>
    </row>
    <row r="838" spans="1:26" ht="12.75">
      <c r="A838" s="92" t="s">
        <v>7584</v>
      </c>
      <c r="B838" s="372">
        <v>2010</v>
      </c>
      <c r="C838" s="372">
        <v>20921092</v>
      </c>
      <c r="D838" s="92"/>
      <c r="E838" s="261" t="str">
        <f t="shared" si="0"/>
        <v>https://pubmed.ncbi.nlm.nih.gov/20921092</v>
      </c>
      <c r="F838" s="92" t="s">
        <v>511</v>
      </c>
      <c r="G838" s="92" t="s">
        <v>4592</v>
      </c>
      <c r="H838" s="92"/>
      <c r="I838" s="92"/>
      <c r="J838" s="92"/>
      <c r="K838" s="92"/>
      <c r="L838" s="92"/>
      <c r="M838" s="92"/>
      <c r="N838" s="92"/>
      <c r="O838" s="92"/>
      <c r="P838" s="92"/>
      <c r="Q838" s="92"/>
      <c r="R838" s="92"/>
      <c r="S838" s="92"/>
      <c r="T838" s="92"/>
      <c r="U838" s="92"/>
      <c r="V838" s="92"/>
      <c r="W838" s="92"/>
      <c r="X838" s="92"/>
      <c r="Y838" s="92"/>
      <c r="Z838" s="92"/>
    </row>
    <row r="839" spans="1:26" ht="12.75">
      <c r="A839" s="92" t="s">
        <v>7585</v>
      </c>
      <c r="B839" s="372">
        <v>2013</v>
      </c>
      <c r="C839" s="372">
        <v>23460596</v>
      </c>
      <c r="D839" s="92"/>
      <c r="E839" s="261" t="str">
        <f t="shared" si="0"/>
        <v>https://pubmed.ncbi.nlm.nih.gov/23460596</v>
      </c>
      <c r="F839" s="92" t="s">
        <v>511</v>
      </c>
      <c r="G839" s="374" t="s">
        <v>4744</v>
      </c>
      <c r="H839" s="21"/>
      <c r="I839" s="92"/>
      <c r="J839" s="92"/>
      <c r="K839" s="92"/>
      <c r="L839" s="92"/>
      <c r="M839" s="92"/>
      <c r="N839" s="92"/>
      <c r="O839" s="92"/>
      <c r="P839" s="92"/>
      <c r="Q839" s="92"/>
      <c r="R839" s="92"/>
      <c r="S839" s="92"/>
      <c r="T839" s="92"/>
      <c r="U839" s="92"/>
      <c r="V839" s="92"/>
      <c r="W839" s="92"/>
      <c r="X839" s="92"/>
      <c r="Y839" s="92"/>
      <c r="Z839" s="92"/>
    </row>
    <row r="840" spans="1:26" ht="12.75">
      <c r="A840" s="92" t="s">
        <v>7586</v>
      </c>
      <c r="B840" s="372">
        <v>2012</v>
      </c>
      <c r="C840" s="372">
        <v>23113480</v>
      </c>
      <c r="D840" s="92"/>
      <c r="E840" s="261" t="str">
        <f t="shared" si="0"/>
        <v>https://pubmed.ncbi.nlm.nih.gov/23113480</v>
      </c>
      <c r="F840" s="92" t="s">
        <v>511</v>
      </c>
      <c r="G840" s="374" t="s">
        <v>4744</v>
      </c>
      <c r="H840" s="21"/>
      <c r="I840" s="92"/>
      <c r="J840" s="92"/>
      <c r="K840" s="92"/>
      <c r="L840" s="92"/>
      <c r="M840" s="92"/>
      <c r="N840" s="92"/>
      <c r="O840" s="92"/>
      <c r="P840" s="92"/>
      <c r="Q840" s="92"/>
      <c r="R840" s="92"/>
      <c r="S840" s="92"/>
      <c r="T840" s="92"/>
      <c r="U840" s="92"/>
      <c r="V840" s="92"/>
      <c r="W840" s="92"/>
      <c r="X840" s="92"/>
      <c r="Y840" s="92"/>
      <c r="Z840" s="92"/>
    </row>
    <row r="841" spans="1:26" ht="12.75">
      <c r="A841" s="92" t="s">
        <v>7587</v>
      </c>
      <c r="B841" s="372">
        <v>2011</v>
      </c>
      <c r="C841" s="372">
        <v>21973194</v>
      </c>
      <c r="D841" s="92"/>
      <c r="E841" s="261" t="str">
        <f t="shared" si="0"/>
        <v>https://pubmed.ncbi.nlm.nih.gov/21973194</v>
      </c>
      <c r="F841" s="92" t="s">
        <v>511</v>
      </c>
      <c r="G841" s="374" t="s">
        <v>5299</v>
      </c>
      <c r="H841" s="21"/>
      <c r="I841" s="92"/>
      <c r="J841" s="92"/>
      <c r="K841" s="92"/>
      <c r="L841" s="92"/>
      <c r="M841" s="92"/>
      <c r="N841" s="92"/>
      <c r="O841" s="92"/>
      <c r="P841" s="92"/>
      <c r="Q841" s="92"/>
      <c r="R841" s="92"/>
      <c r="S841" s="92"/>
      <c r="T841" s="92"/>
      <c r="U841" s="92"/>
      <c r="V841" s="92"/>
      <c r="W841" s="92"/>
      <c r="X841" s="92"/>
      <c r="Y841" s="92"/>
      <c r="Z841" s="92"/>
    </row>
    <row r="842" spans="1:26" ht="12.75">
      <c r="A842" s="92" t="s">
        <v>7588</v>
      </c>
      <c r="B842" s="372">
        <v>2014</v>
      </c>
      <c r="C842" s="372">
        <v>25128688</v>
      </c>
      <c r="D842" s="92"/>
      <c r="E842" s="261" t="str">
        <f t="shared" si="0"/>
        <v>https://pubmed.ncbi.nlm.nih.gov/25128688</v>
      </c>
      <c r="F842" s="92" t="s">
        <v>511</v>
      </c>
      <c r="G842" s="374" t="s">
        <v>4346</v>
      </c>
      <c r="H842" s="92"/>
      <c r="I842" s="92"/>
      <c r="J842" s="92"/>
      <c r="K842" s="92"/>
      <c r="L842" s="92"/>
      <c r="M842" s="92"/>
      <c r="N842" s="92"/>
      <c r="O842" s="92"/>
      <c r="P842" s="92"/>
      <c r="Q842" s="92"/>
      <c r="R842" s="92"/>
      <c r="S842" s="92"/>
      <c r="T842" s="92"/>
      <c r="U842" s="92"/>
      <c r="V842" s="92"/>
      <c r="W842" s="92"/>
      <c r="X842" s="92"/>
      <c r="Y842" s="92"/>
      <c r="Z842" s="92"/>
    </row>
    <row r="843" spans="1:26" ht="12.75">
      <c r="A843" s="92" t="s">
        <v>7589</v>
      </c>
      <c r="B843" s="372">
        <v>2013</v>
      </c>
      <c r="C843" s="372">
        <v>24368464</v>
      </c>
      <c r="D843" s="92" t="s">
        <v>7590</v>
      </c>
      <c r="E843" s="261" t="str">
        <f t="shared" si="0"/>
        <v>https://pubmed.ncbi.nlm.nih.gov/24368464</v>
      </c>
      <c r="F843" s="92" t="s">
        <v>511</v>
      </c>
      <c r="G843" s="374" t="s">
        <v>5157</v>
      </c>
      <c r="H843" s="21"/>
      <c r="I843" s="21"/>
      <c r="J843" s="92"/>
      <c r="K843" s="92"/>
      <c r="L843" s="92"/>
      <c r="M843" s="92"/>
      <c r="N843" s="92"/>
      <c r="O843" s="92"/>
      <c r="P843" s="92"/>
      <c r="Q843" s="92"/>
      <c r="R843" s="92"/>
      <c r="S843" s="92"/>
      <c r="T843" s="92"/>
      <c r="U843" s="92"/>
      <c r="V843" s="92"/>
      <c r="W843" s="92"/>
      <c r="X843" s="92"/>
      <c r="Y843" s="92"/>
      <c r="Z843" s="92"/>
    </row>
    <row r="844" spans="1:26" ht="12.75">
      <c r="A844" s="92" t="s">
        <v>7591</v>
      </c>
      <c r="B844" s="372">
        <v>2016</v>
      </c>
      <c r="C844" s="372">
        <v>27306628</v>
      </c>
      <c r="D844" s="92" t="s">
        <v>7592</v>
      </c>
      <c r="E844" s="261" t="str">
        <f t="shared" si="0"/>
        <v>https://pubmed.ncbi.nlm.nih.gov/27306628</v>
      </c>
      <c r="F844" s="92" t="s">
        <v>511</v>
      </c>
      <c r="G844" s="374" t="s">
        <v>5157</v>
      </c>
      <c r="H844" s="21"/>
      <c r="I844" s="21"/>
      <c r="J844" s="92"/>
      <c r="K844" s="92"/>
      <c r="L844" s="92"/>
      <c r="M844" s="92"/>
      <c r="N844" s="92"/>
      <c r="O844" s="92"/>
      <c r="P844" s="92"/>
      <c r="Q844" s="92"/>
      <c r="R844" s="92"/>
      <c r="S844" s="92"/>
      <c r="T844" s="92"/>
      <c r="U844" s="92"/>
      <c r="V844" s="92"/>
      <c r="W844" s="92"/>
      <c r="X844" s="92"/>
      <c r="Y844" s="92"/>
      <c r="Z844" s="92"/>
    </row>
    <row r="845" spans="1:26" ht="12.75">
      <c r="A845" s="92" t="s">
        <v>7593</v>
      </c>
      <c r="B845" s="372">
        <v>2021</v>
      </c>
      <c r="C845" s="372">
        <v>33737345</v>
      </c>
      <c r="D845" s="92" t="s">
        <v>7594</v>
      </c>
      <c r="E845" s="261" t="str">
        <f t="shared" si="0"/>
        <v>https://pubmed.ncbi.nlm.nih.gov/33737345</v>
      </c>
      <c r="F845" s="92" t="s">
        <v>511</v>
      </c>
      <c r="G845" s="92" t="s">
        <v>4592</v>
      </c>
      <c r="H845" s="92"/>
      <c r="I845" s="92"/>
      <c r="J845" s="92"/>
      <c r="K845" s="92"/>
      <c r="L845" s="92"/>
      <c r="M845" s="92"/>
      <c r="N845" s="92"/>
      <c r="O845" s="92"/>
      <c r="P845" s="92"/>
      <c r="Q845" s="92"/>
      <c r="R845" s="92"/>
      <c r="S845" s="92"/>
      <c r="T845" s="92"/>
      <c r="U845" s="92"/>
      <c r="V845" s="92"/>
      <c r="W845" s="92"/>
      <c r="X845" s="92"/>
      <c r="Y845" s="92"/>
      <c r="Z845" s="92"/>
    </row>
    <row r="846" spans="1:26" ht="12.75">
      <c r="A846" s="92" t="s">
        <v>7595</v>
      </c>
      <c r="B846" s="372">
        <v>1998</v>
      </c>
      <c r="C846" s="372">
        <v>9829449</v>
      </c>
      <c r="D846" s="92"/>
      <c r="E846" s="261" t="str">
        <f t="shared" si="0"/>
        <v>https://pubmed.ncbi.nlm.nih.gov/9829449</v>
      </c>
      <c r="F846" s="92" t="s">
        <v>511</v>
      </c>
      <c r="G846" s="374" t="s">
        <v>4867</v>
      </c>
      <c r="H846" s="92"/>
      <c r="I846" s="92" t="s">
        <v>7596</v>
      </c>
      <c r="J846" s="92"/>
      <c r="K846" s="92"/>
      <c r="L846" s="92"/>
      <c r="M846" s="92"/>
      <c r="N846" s="92"/>
      <c r="O846" s="92"/>
      <c r="P846" s="92"/>
      <c r="Q846" s="92"/>
      <c r="R846" s="92"/>
      <c r="S846" s="92"/>
      <c r="T846" s="92"/>
      <c r="U846" s="92"/>
      <c r="V846" s="92"/>
      <c r="W846" s="92"/>
      <c r="X846" s="92"/>
      <c r="Y846" s="92"/>
      <c r="Z846" s="92"/>
    </row>
    <row r="847" spans="1:26" ht="12.75">
      <c r="A847" s="92" t="s">
        <v>7597</v>
      </c>
      <c r="B847" s="372">
        <v>2016</v>
      </c>
      <c r="C847" s="372">
        <v>26993881</v>
      </c>
      <c r="D847" s="92"/>
      <c r="E847" s="261" t="str">
        <f t="shared" si="0"/>
        <v>https://pubmed.ncbi.nlm.nih.gov/26993881</v>
      </c>
      <c r="F847" s="92" t="s">
        <v>511</v>
      </c>
      <c r="G847" s="374" t="s">
        <v>5157</v>
      </c>
      <c r="H847" s="21"/>
      <c r="I847" s="21"/>
      <c r="J847" s="92"/>
      <c r="K847" s="92"/>
      <c r="L847" s="92"/>
      <c r="M847" s="92"/>
      <c r="N847" s="92"/>
      <c r="O847" s="92"/>
      <c r="P847" s="92"/>
      <c r="Q847" s="92"/>
      <c r="R847" s="92"/>
      <c r="S847" s="92"/>
      <c r="T847" s="92"/>
      <c r="U847" s="92"/>
      <c r="V847" s="92"/>
      <c r="W847" s="92"/>
      <c r="X847" s="92"/>
      <c r="Y847" s="92"/>
      <c r="Z847" s="92"/>
    </row>
    <row r="848" spans="1:26" ht="12.75">
      <c r="A848" s="92" t="s">
        <v>7598</v>
      </c>
      <c r="B848" s="372">
        <v>2004</v>
      </c>
      <c r="C848" s="372">
        <v>14996699</v>
      </c>
      <c r="D848" s="92" t="s">
        <v>7599</v>
      </c>
      <c r="E848" s="261" t="str">
        <f t="shared" si="0"/>
        <v>https://pubmed.ncbi.nlm.nih.gov/14996699</v>
      </c>
      <c r="F848" s="92" t="s">
        <v>511</v>
      </c>
      <c r="G848" s="92" t="s">
        <v>4592</v>
      </c>
      <c r="H848" s="92"/>
      <c r="I848" s="92"/>
      <c r="J848" s="92"/>
      <c r="K848" s="92"/>
      <c r="L848" s="92"/>
      <c r="M848" s="92"/>
      <c r="N848" s="92"/>
      <c r="O848" s="92"/>
      <c r="P848" s="92"/>
      <c r="Q848" s="92"/>
      <c r="R848" s="92"/>
      <c r="S848" s="92"/>
      <c r="T848" s="92"/>
      <c r="U848" s="92"/>
      <c r="V848" s="92"/>
      <c r="W848" s="92"/>
      <c r="X848" s="92"/>
      <c r="Y848" s="92"/>
      <c r="Z848" s="92"/>
    </row>
    <row r="849" spans="1:26" ht="12.75">
      <c r="A849" s="92" t="s">
        <v>7598</v>
      </c>
      <c r="B849" s="372">
        <v>2003</v>
      </c>
      <c r="C849" s="372">
        <v>12763980</v>
      </c>
      <c r="D849" s="92" t="s">
        <v>7600</v>
      </c>
      <c r="E849" s="261" t="str">
        <f t="shared" si="0"/>
        <v>https://pubmed.ncbi.nlm.nih.gov/12763980</v>
      </c>
      <c r="F849" s="92" t="s">
        <v>511</v>
      </c>
      <c r="G849" s="92" t="s">
        <v>4592</v>
      </c>
      <c r="H849" s="92"/>
      <c r="I849" s="92"/>
      <c r="J849" s="92"/>
      <c r="K849" s="92"/>
      <c r="L849" s="92"/>
      <c r="M849" s="92"/>
      <c r="N849" s="92"/>
      <c r="O849" s="92"/>
      <c r="P849" s="92"/>
      <c r="Q849" s="92"/>
      <c r="R849" s="92"/>
      <c r="S849" s="92"/>
      <c r="T849" s="92"/>
      <c r="U849" s="92"/>
      <c r="V849" s="92"/>
      <c r="W849" s="92"/>
      <c r="X849" s="92"/>
      <c r="Y849" s="92"/>
      <c r="Z849" s="92"/>
    </row>
    <row r="850" spans="1:26" ht="12.75">
      <c r="A850" s="92" t="s">
        <v>7601</v>
      </c>
      <c r="B850" s="372">
        <v>2014</v>
      </c>
      <c r="C850" s="372">
        <v>24852077</v>
      </c>
      <c r="D850" s="92"/>
      <c r="E850" s="261" t="str">
        <f t="shared" si="0"/>
        <v>https://pubmed.ncbi.nlm.nih.gov/24852077</v>
      </c>
      <c r="F850" s="92" t="s">
        <v>511</v>
      </c>
      <c r="G850" s="92" t="s">
        <v>4592</v>
      </c>
      <c r="H850" s="92"/>
      <c r="I850" s="92"/>
      <c r="J850" s="92"/>
      <c r="K850" s="92"/>
      <c r="L850" s="92"/>
      <c r="M850" s="92"/>
      <c r="N850" s="92"/>
      <c r="O850" s="92"/>
      <c r="P850" s="92"/>
      <c r="Q850" s="92"/>
      <c r="R850" s="92"/>
      <c r="S850" s="92"/>
      <c r="T850" s="92"/>
      <c r="U850" s="92"/>
      <c r="V850" s="92"/>
      <c r="W850" s="92"/>
      <c r="X850" s="92"/>
      <c r="Y850" s="92"/>
      <c r="Z850" s="92"/>
    </row>
    <row r="851" spans="1:26" ht="12.75">
      <c r="A851" s="92" t="s">
        <v>7602</v>
      </c>
      <c r="B851" s="372">
        <v>2019</v>
      </c>
      <c r="C851" s="372">
        <v>30690866</v>
      </c>
      <c r="D851" s="92" t="s">
        <v>7603</v>
      </c>
      <c r="E851" s="261" t="str">
        <f t="shared" si="0"/>
        <v>https://pubmed.ncbi.nlm.nih.gov/30690866</v>
      </c>
      <c r="F851" s="92" t="s">
        <v>511</v>
      </c>
      <c r="G851" s="374" t="s">
        <v>5157</v>
      </c>
      <c r="H851" s="21"/>
      <c r="I851" s="21"/>
      <c r="J851" s="92"/>
      <c r="K851" s="92"/>
      <c r="L851" s="92"/>
      <c r="M851" s="92"/>
      <c r="N851" s="92"/>
      <c r="O851" s="92"/>
      <c r="P851" s="92"/>
      <c r="Q851" s="92"/>
      <c r="R851" s="92"/>
      <c r="S851" s="92"/>
      <c r="T851" s="92"/>
      <c r="U851" s="92"/>
      <c r="V851" s="92"/>
      <c r="W851" s="92"/>
      <c r="X851" s="92"/>
      <c r="Y851" s="92"/>
      <c r="Z851" s="92"/>
    </row>
    <row r="852" spans="1:26" ht="12.75">
      <c r="A852" s="92" t="s">
        <v>7604</v>
      </c>
      <c r="B852" s="372">
        <v>2003</v>
      </c>
      <c r="C852" s="372">
        <v>12700452</v>
      </c>
      <c r="D852" s="92"/>
      <c r="E852" s="261" t="str">
        <f t="shared" si="0"/>
        <v>https://pubmed.ncbi.nlm.nih.gov/12700452</v>
      </c>
      <c r="F852" s="92" t="s">
        <v>511</v>
      </c>
      <c r="G852" s="374" t="s">
        <v>4744</v>
      </c>
      <c r="H852" s="21"/>
      <c r="I852" s="92"/>
      <c r="J852" s="92"/>
      <c r="K852" s="92"/>
      <c r="L852" s="92"/>
      <c r="M852" s="92"/>
      <c r="N852" s="92"/>
      <c r="O852" s="92"/>
      <c r="P852" s="92"/>
      <c r="Q852" s="92"/>
      <c r="R852" s="92"/>
      <c r="S852" s="92"/>
      <c r="T852" s="92"/>
      <c r="U852" s="92"/>
      <c r="V852" s="92"/>
      <c r="W852" s="92"/>
      <c r="X852" s="92"/>
      <c r="Y852" s="92"/>
      <c r="Z852" s="92"/>
    </row>
    <row r="853" spans="1:26" ht="12.75">
      <c r="A853" s="92" t="s">
        <v>7605</v>
      </c>
      <c r="B853" s="372">
        <v>2017</v>
      </c>
      <c r="C853" s="372">
        <v>28087382</v>
      </c>
      <c r="D853" s="92"/>
      <c r="E853" s="261" t="str">
        <f t="shared" si="0"/>
        <v>https://pubmed.ncbi.nlm.nih.gov/28087382</v>
      </c>
      <c r="F853" s="92" t="s">
        <v>511</v>
      </c>
      <c r="G853" s="374" t="s">
        <v>4744</v>
      </c>
      <c r="H853" s="92"/>
      <c r="I853" s="374" t="s">
        <v>6429</v>
      </c>
      <c r="J853" s="92"/>
      <c r="K853" s="92"/>
      <c r="L853" s="92"/>
      <c r="M853" s="92"/>
      <c r="N853" s="92"/>
      <c r="O853" s="92"/>
      <c r="P853" s="92"/>
      <c r="Q853" s="92"/>
      <c r="R853" s="92"/>
      <c r="S853" s="92"/>
      <c r="T853" s="92"/>
      <c r="U853" s="92"/>
      <c r="V853" s="92"/>
      <c r="W853" s="92"/>
      <c r="X853" s="92"/>
      <c r="Y853" s="92"/>
      <c r="Z853" s="92"/>
    </row>
    <row r="854" spans="1:26" ht="12.75">
      <c r="A854" s="92" t="s">
        <v>7606</v>
      </c>
      <c r="B854" s="372">
        <v>2016</v>
      </c>
      <c r="C854" s="372">
        <v>27486731</v>
      </c>
      <c r="D854" s="92" t="s">
        <v>7607</v>
      </c>
      <c r="E854" s="261" t="str">
        <f t="shared" si="0"/>
        <v>https://pubmed.ncbi.nlm.nih.gov/27486731</v>
      </c>
      <c r="F854" s="92" t="s">
        <v>511</v>
      </c>
      <c r="G854" s="92" t="s">
        <v>4592</v>
      </c>
      <c r="H854" s="92"/>
      <c r="I854" s="92"/>
      <c r="J854" s="92"/>
      <c r="K854" s="92"/>
      <c r="L854" s="92"/>
      <c r="M854" s="92"/>
      <c r="N854" s="92"/>
      <c r="O854" s="92"/>
      <c r="P854" s="92"/>
      <c r="Q854" s="92"/>
      <c r="R854" s="92"/>
      <c r="S854" s="92"/>
      <c r="T854" s="92"/>
      <c r="U854" s="92"/>
      <c r="V854" s="92"/>
      <c r="W854" s="92"/>
      <c r="X854" s="92"/>
      <c r="Y854" s="92"/>
      <c r="Z854" s="92"/>
    </row>
    <row r="855" spans="1:26" ht="12.75">
      <c r="A855" s="92" t="s">
        <v>7608</v>
      </c>
      <c r="B855" s="372">
        <v>2018</v>
      </c>
      <c r="C855" s="372">
        <v>29393044</v>
      </c>
      <c r="D855" s="92"/>
      <c r="E855" s="261" t="str">
        <f t="shared" si="0"/>
        <v>https://pubmed.ncbi.nlm.nih.gov/29393044</v>
      </c>
      <c r="F855" s="92" t="s">
        <v>511</v>
      </c>
      <c r="G855" s="92" t="s">
        <v>4592</v>
      </c>
      <c r="H855" s="92"/>
      <c r="I855" s="92"/>
      <c r="J855" s="92"/>
      <c r="K855" s="92"/>
      <c r="L855" s="92"/>
      <c r="M855" s="92"/>
      <c r="N855" s="92"/>
      <c r="O855" s="92"/>
      <c r="P855" s="92"/>
      <c r="Q855" s="92"/>
      <c r="R855" s="92"/>
      <c r="S855" s="92"/>
      <c r="T855" s="92"/>
      <c r="U855" s="92"/>
      <c r="V855" s="92"/>
      <c r="W855" s="92"/>
      <c r="X855" s="92"/>
      <c r="Y855" s="92"/>
      <c r="Z855" s="92"/>
    </row>
    <row r="856" spans="1:26" ht="12.75">
      <c r="A856" s="92" t="s">
        <v>7609</v>
      </c>
      <c r="B856" s="372">
        <v>2007</v>
      </c>
      <c r="C856" s="372">
        <v>17154160</v>
      </c>
      <c r="D856" s="92"/>
      <c r="E856" s="261" t="str">
        <f t="shared" si="0"/>
        <v>https://pubmed.ncbi.nlm.nih.gov/17154160</v>
      </c>
      <c r="F856" s="92" t="s">
        <v>511</v>
      </c>
      <c r="G856" s="374" t="s">
        <v>4744</v>
      </c>
      <c r="H856" s="21"/>
      <c r="I856" s="92"/>
      <c r="J856" s="92"/>
      <c r="K856" s="92"/>
      <c r="L856" s="92"/>
      <c r="M856" s="92"/>
      <c r="N856" s="92"/>
      <c r="O856" s="92"/>
      <c r="P856" s="92"/>
      <c r="Q856" s="92"/>
      <c r="R856" s="92"/>
      <c r="S856" s="92"/>
      <c r="T856" s="92"/>
      <c r="U856" s="92"/>
      <c r="V856" s="92"/>
      <c r="W856" s="92"/>
      <c r="X856" s="92"/>
      <c r="Y856" s="92"/>
      <c r="Z856" s="92"/>
    </row>
    <row r="857" spans="1:26" ht="12.75">
      <c r="A857" s="92" t="s">
        <v>7610</v>
      </c>
      <c r="B857" s="372">
        <v>2011</v>
      </c>
      <c r="C857" s="372">
        <v>21597465</v>
      </c>
      <c r="D857" s="92"/>
      <c r="E857" s="261" t="str">
        <f t="shared" si="0"/>
        <v>https://pubmed.ncbi.nlm.nih.gov/21597465</v>
      </c>
      <c r="F857" s="92" t="s">
        <v>511</v>
      </c>
      <c r="G857" s="374" t="s">
        <v>7611</v>
      </c>
      <c r="H857" s="21"/>
      <c r="I857" s="92"/>
      <c r="J857" s="92"/>
      <c r="K857" s="92"/>
      <c r="L857" s="92"/>
      <c r="M857" s="92"/>
      <c r="N857" s="92"/>
      <c r="O857" s="92"/>
      <c r="P857" s="92"/>
      <c r="Q857" s="92"/>
      <c r="R857" s="92"/>
      <c r="S857" s="92"/>
      <c r="T857" s="92"/>
      <c r="U857" s="92"/>
      <c r="V857" s="92"/>
      <c r="W857" s="92"/>
      <c r="X857" s="92"/>
      <c r="Y857" s="92"/>
      <c r="Z857" s="92"/>
    </row>
    <row r="858" spans="1:26" ht="12.75">
      <c r="A858" s="92" t="s">
        <v>7612</v>
      </c>
      <c r="B858" s="372">
        <v>2017</v>
      </c>
      <c r="C858" s="372">
        <v>28606813</v>
      </c>
      <c r="D858" s="92"/>
      <c r="E858" s="261" t="str">
        <f t="shared" si="0"/>
        <v>https://pubmed.ncbi.nlm.nih.gov/28606813</v>
      </c>
      <c r="F858" s="92" t="s">
        <v>511</v>
      </c>
      <c r="G858" s="374" t="s">
        <v>8438</v>
      </c>
      <c r="H858" s="21"/>
      <c r="I858" s="92"/>
      <c r="J858" s="92"/>
      <c r="K858" s="92"/>
      <c r="L858" s="92"/>
      <c r="M858" s="92"/>
      <c r="N858" s="92"/>
      <c r="O858" s="92"/>
      <c r="P858" s="92"/>
      <c r="Q858" s="92"/>
      <c r="R858" s="92"/>
      <c r="S858" s="92"/>
      <c r="T858" s="92"/>
      <c r="U858" s="92"/>
      <c r="V858" s="92"/>
      <c r="W858" s="92"/>
      <c r="X858" s="92"/>
      <c r="Y858" s="92"/>
      <c r="Z858" s="92"/>
    </row>
    <row r="859" spans="1:26" ht="12.75">
      <c r="A859" s="92" t="s">
        <v>7614</v>
      </c>
      <c r="B859" s="372">
        <v>2018</v>
      </c>
      <c r="C859" s="372">
        <v>29321063</v>
      </c>
      <c r="D859" s="92" t="s">
        <v>7615</v>
      </c>
      <c r="E859" s="261" t="str">
        <f t="shared" si="0"/>
        <v>https://pubmed.ncbi.nlm.nih.gov/29321063</v>
      </c>
      <c r="F859" s="92" t="s">
        <v>511</v>
      </c>
      <c r="G859" s="92" t="s">
        <v>4536</v>
      </c>
      <c r="H859" s="92"/>
      <c r="I859" s="92"/>
      <c r="J859" s="92"/>
      <c r="K859" s="92"/>
      <c r="L859" s="92"/>
      <c r="M859" s="92"/>
      <c r="N859" s="92"/>
      <c r="O859" s="92"/>
      <c r="P859" s="92"/>
      <c r="Q859" s="92"/>
      <c r="R859" s="92"/>
      <c r="S859" s="92"/>
      <c r="T859" s="92"/>
      <c r="U859" s="92"/>
      <c r="V859" s="92"/>
      <c r="W859" s="92"/>
      <c r="X859" s="92"/>
      <c r="Y859" s="92"/>
      <c r="Z859" s="92"/>
    </row>
    <row r="860" spans="1:26" ht="12.75">
      <c r="A860" s="92" t="s">
        <v>7616</v>
      </c>
      <c r="B860" s="372">
        <v>1998</v>
      </c>
      <c r="C860" s="372">
        <v>9669649</v>
      </c>
      <c r="D860" s="92"/>
      <c r="E860" s="261" t="str">
        <f t="shared" si="0"/>
        <v>https://pubmed.ncbi.nlm.nih.gov/9669649</v>
      </c>
      <c r="F860" s="92" t="s">
        <v>511</v>
      </c>
      <c r="G860" s="374" t="s">
        <v>4744</v>
      </c>
      <c r="H860" s="21"/>
      <c r="I860" s="92"/>
      <c r="J860" s="92"/>
      <c r="K860" s="92"/>
      <c r="L860" s="92"/>
      <c r="M860" s="92"/>
      <c r="N860" s="92"/>
      <c r="O860" s="92"/>
      <c r="P860" s="92"/>
      <c r="Q860" s="92"/>
      <c r="R860" s="92"/>
      <c r="S860" s="92"/>
      <c r="T860" s="92"/>
      <c r="U860" s="92"/>
      <c r="V860" s="92"/>
      <c r="W860" s="92"/>
      <c r="X860" s="92"/>
      <c r="Y860" s="92"/>
      <c r="Z860" s="92"/>
    </row>
    <row r="861" spans="1:26" ht="12.75">
      <c r="A861" s="92" t="s">
        <v>7617</v>
      </c>
      <c r="B861" s="372">
        <v>2020</v>
      </c>
      <c r="C861" s="372">
        <v>31701238</v>
      </c>
      <c r="D861" s="92"/>
      <c r="E861" s="261" t="str">
        <f t="shared" si="0"/>
        <v>https://pubmed.ncbi.nlm.nih.gov/31701238</v>
      </c>
      <c r="F861" s="92" t="s">
        <v>511</v>
      </c>
      <c r="G861" s="92" t="s">
        <v>8423</v>
      </c>
      <c r="H861" s="92"/>
      <c r="I861" s="92"/>
      <c r="J861" s="92"/>
      <c r="K861" s="92"/>
      <c r="L861" s="92"/>
      <c r="M861" s="92"/>
      <c r="N861" s="92"/>
      <c r="O861" s="92"/>
      <c r="P861" s="92"/>
      <c r="Q861" s="92"/>
      <c r="R861" s="92"/>
      <c r="S861" s="92"/>
      <c r="T861" s="92"/>
      <c r="U861" s="92"/>
      <c r="V861" s="92"/>
      <c r="W861" s="92"/>
      <c r="X861" s="92"/>
      <c r="Y861" s="92"/>
      <c r="Z861" s="92"/>
    </row>
    <row r="862" spans="1:26" ht="12.75">
      <c r="A862" s="92" t="s">
        <v>7618</v>
      </c>
      <c r="B862" s="372">
        <v>2018</v>
      </c>
      <c r="C862" s="372">
        <v>30022571</v>
      </c>
      <c r="D862" s="92"/>
      <c r="E862" s="261" t="str">
        <f t="shared" si="0"/>
        <v>https://pubmed.ncbi.nlm.nih.gov/30022571</v>
      </c>
      <c r="F862" s="92" t="s">
        <v>511</v>
      </c>
      <c r="G862" s="374" t="s">
        <v>5157</v>
      </c>
      <c r="H862" s="21"/>
      <c r="I862" s="21"/>
      <c r="J862" s="92"/>
      <c r="K862" s="92"/>
      <c r="L862" s="92"/>
      <c r="M862" s="92"/>
      <c r="N862" s="92"/>
      <c r="O862" s="92"/>
      <c r="P862" s="92"/>
      <c r="Q862" s="92"/>
      <c r="R862" s="92"/>
      <c r="S862" s="92"/>
      <c r="T862" s="92"/>
      <c r="U862" s="92"/>
      <c r="V862" s="92"/>
      <c r="W862" s="92"/>
      <c r="X862" s="92"/>
      <c r="Y862" s="92"/>
      <c r="Z862" s="92"/>
    </row>
    <row r="863" spans="1:26" ht="12.75">
      <c r="A863" s="92" t="s">
        <v>7619</v>
      </c>
      <c r="B863" s="372">
        <v>2021</v>
      </c>
      <c r="C863" s="372">
        <v>33403727</v>
      </c>
      <c r="D863" s="92"/>
      <c r="E863" s="261" t="str">
        <f t="shared" si="0"/>
        <v>https://pubmed.ncbi.nlm.nih.gov/33403727</v>
      </c>
      <c r="F863" s="92" t="s">
        <v>511</v>
      </c>
      <c r="G863" s="92" t="s">
        <v>7183</v>
      </c>
      <c r="H863" s="92"/>
      <c r="I863" s="92"/>
      <c r="J863" s="92"/>
      <c r="K863" s="92"/>
      <c r="L863" s="92"/>
      <c r="M863" s="92"/>
      <c r="N863" s="92"/>
      <c r="O863" s="92"/>
      <c r="P863" s="92"/>
      <c r="Q863" s="92"/>
      <c r="R863" s="92"/>
      <c r="S863" s="92"/>
      <c r="T863" s="92"/>
      <c r="U863" s="92"/>
      <c r="V863" s="92"/>
      <c r="W863" s="92"/>
      <c r="X863" s="92"/>
      <c r="Y863" s="92"/>
      <c r="Z863" s="92"/>
    </row>
    <row r="864" spans="1:26" ht="12.75">
      <c r="A864" s="92" t="s">
        <v>7620</v>
      </c>
      <c r="B864" s="372">
        <v>2004</v>
      </c>
      <c r="C864" s="372">
        <v>15099124</v>
      </c>
      <c r="D864" s="92"/>
      <c r="E864" s="261" t="str">
        <f t="shared" si="0"/>
        <v>https://pubmed.ncbi.nlm.nih.gov/15099124</v>
      </c>
      <c r="F864" s="92" t="s">
        <v>511</v>
      </c>
      <c r="G864" s="92" t="s">
        <v>4592</v>
      </c>
      <c r="H864" s="92"/>
      <c r="I864" s="92"/>
      <c r="J864" s="92"/>
      <c r="K864" s="92"/>
      <c r="L864" s="92"/>
      <c r="M864" s="92"/>
      <c r="N864" s="92"/>
      <c r="O864" s="92"/>
      <c r="P864" s="92"/>
      <c r="Q864" s="92"/>
      <c r="R864" s="92"/>
      <c r="S864" s="92"/>
      <c r="T864" s="92"/>
      <c r="U864" s="92"/>
      <c r="V864" s="92"/>
      <c r="W864" s="92"/>
      <c r="X864" s="92"/>
      <c r="Y864" s="92"/>
      <c r="Z864" s="92"/>
    </row>
    <row r="865" spans="1:26" ht="12.75">
      <c r="A865" s="92" t="s">
        <v>7621</v>
      </c>
      <c r="B865" s="372">
        <v>2013</v>
      </c>
      <c r="C865" s="372">
        <v>24119615</v>
      </c>
      <c r="D865" s="92" t="s">
        <v>7622</v>
      </c>
      <c r="E865" s="261" t="str">
        <f t="shared" si="0"/>
        <v>https://pubmed.ncbi.nlm.nih.gov/24119615</v>
      </c>
      <c r="F865" s="92" t="s">
        <v>511</v>
      </c>
      <c r="G865" s="374" t="s">
        <v>7523</v>
      </c>
      <c r="H865" s="21"/>
      <c r="I865" s="92"/>
      <c r="J865" s="92"/>
      <c r="K865" s="92"/>
      <c r="L865" s="92"/>
      <c r="M865" s="92"/>
      <c r="N865" s="92"/>
      <c r="O865" s="92"/>
      <c r="P865" s="92"/>
      <c r="Q865" s="92"/>
      <c r="R865" s="92"/>
      <c r="S865" s="92"/>
      <c r="T865" s="92"/>
      <c r="U865" s="92"/>
      <c r="V865" s="92"/>
      <c r="W865" s="92"/>
      <c r="X865" s="92"/>
      <c r="Y865" s="92"/>
      <c r="Z865" s="92"/>
    </row>
    <row r="866" spans="1:26" ht="12.75">
      <c r="A866" s="92" t="s">
        <v>7623</v>
      </c>
      <c r="B866" s="372">
        <v>2016</v>
      </c>
      <c r="C866" s="372">
        <v>27114849</v>
      </c>
      <c r="D866" s="92" t="s">
        <v>7624</v>
      </c>
      <c r="E866" s="261" t="str">
        <f t="shared" si="0"/>
        <v>https://pubmed.ncbi.nlm.nih.gov/27114849</v>
      </c>
      <c r="F866" s="92" t="s">
        <v>511</v>
      </c>
      <c r="G866" s="92" t="s">
        <v>4592</v>
      </c>
      <c r="H866" s="92"/>
      <c r="I866" s="92"/>
      <c r="J866" s="92"/>
      <c r="K866" s="92"/>
      <c r="L866" s="92"/>
      <c r="M866" s="92"/>
      <c r="N866" s="92"/>
      <c r="O866" s="92"/>
      <c r="P866" s="92"/>
      <c r="Q866" s="92"/>
      <c r="R866" s="92"/>
      <c r="S866" s="92"/>
      <c r="T866" s="92"/>
      <c r="U866" s="92"/>
      <c r="V866" s="92"/>
      <c r="W866" s="92"/>
      <c r="X866" s="92"/>
      <c r="Y866" s="92"/>
      <c r="Z866" s="92"/>
    </row>
    <row r="867" spans="1:26" ht="12.75">
      <c r="A867" s="92" t="s">
        <v>7625</v>
      </c>
      <c r="B867" s="372">
        <v>2014</v>
      </c>
      <c r="C867" s="372">
        <v>24768633</v>
      </c>
      <c r="D867" s="92" t="s">
        <v>7626</v>
      </c>
      <c r="E867" s="261" t="str">
        <f t="shared" si="0"/>
        <v>https://pubmed.ncbi.nlm.nih.gov/24768633</v>
      </c>
      <c r="F867" s="92" t="s">
        <v>511</v>
      </c>
      <c r="G867" s="374" t="s">
        <v>4744</v>
      </c>
      <c r="H867" s="21"/>
      <c r="I867" s="92"/>
      <c r="J867" s="92"/>
      <c r="K867" s="92"/>
      <c r="L867" s="92"/>
      <c r="M867" s="92"/>
      <c r="N867" s="92"/>
      <c r="O867" s="92"/>
      <c r="P867" s="92"/>
      <c r="Q867" s="92"/>
      <c r="R867" s="92"/>
      <c r="S867" s="92"/>
      <c r="T867" s="92"/>
      <c r="U867" s="92"/>
      <c r="V867" s="92"/>
      <c r="W867" s="92"/>
      <c r="X867" s="92"/>
      <c r="Y867" s="92"/>
      <c r="Z867" s="92"/>
    </row>
    <row r="868" spans="1:26" ht="12.75">
      <c r="A868" s="92" t="s">
        <v>7627</v>
      </c>
      <c r="B868" s="372">
        <v>2019</v>
      </c>
      <c r="C868" s="372">
        <v>31107966</v>
      </c>
      <c r="D868" s="92" t="s">
        <v>7628</v>
      </c>
      <c r="E868" s="261" t="str">
        <f t="shared" si="0"/>
        <v>https://pubmed.ncbi.nlm.nih.gov/31107966</v>
      </c>
      <c r="F868" s="92" t="s">
        <v>511</v>
      </c>
      <c r="G868" s="92" t="s">
        <v>8412</v>
      </c>
      <c r="H868" s="92"/>
      <c r="I868" s="92"/>
      <c r="J868" s="92"/>
      <c r="K868" s="92"/>
      <c r="L868" s="92"/>
      <c r="M868" s="92"/>
      <c r="N868" s="92"/>
      <c r="O868" s="92"/>
      <c r="P868" s="92"/>
      <c r="Q868" s="92"/>
      <c r="R868" s="92"/>
      <c r="S868" s="92"/>
      <c r="T868" s="92"/>
      <c r="U868" s="92"/>
      <c r="V868" s="92"/>
      <c r="W868" s="92"/>
      <c r="X868" s="92"/>
      <c r="Y868" s="92"/>
      <c r="Z868" s="92"/>
    </row>
    <row r="869" spans="1:26" ht="12.75">
      <c r="A869" s="92" t="s">
        <v>4053</v>
      </c>
      <c r="B869" s="372">
        <v>2018</v>
      </c>
      <c r="C869" s="372">
        <v>29590182</v>
      </c>
      <c r="D869" s="92" t="s">
        <v>7629</v>
      </c>
      <c r="E869" s="376" t="str">
        <f t="shared" si="0"/>
        <v>https://pubmed.ncbi.nlm.nih.gov/29590182</v>
      </c>
      <c r="F869" s="21"/>
      <c r="G869" s="92"/>
      <c r="H869" s="92" t="s">
        <v>511</v>
      </c>
      <c r="I869" s="92"/>
      <c r="J869" s="92"/>
      <c r="K869" s="92"/>
      <c r="L869" s="92"/>
      <c r="M869" s="92"/>
      <c r="N869" s="92"/>
      <c r="O869" s="92"/>
      <c r="P869" s="92"/>
      <c r="Q869" s="92"/>
      <c r="R869" s="92"/>
      <c r="S869" s="92"/>
      <c r="T869" s="92"/>
      <c r="U869" s="92"/>
      <c r="V869" s="92"/>
      <c r="W869" s="92"/>
      <c r="X869" s="92"/>
      <c r="Y869" s="92"/>
      <c r="Z869" s="92"/>
    </row>
    <row r="870" spans="1:26" ht="12.75">
      <c r="A870" s="92" t="s">
        <v>7630</v>
      </c>
      <c r="B870" s="372">
        <v>2012</v>
      </c>
      <c r="C870" s="372">
        <v>22123685</v>
      </c>
      <c r="D870" s="92" t="s">
        <v>7631</v>
      </c>
      <c r="E870" s="261" t="str">
        <f t="shared" si="0"/>
        <v>https://pubmed.ncbi.nlm.nih.gov/22123685</v>
      </c>
      <c r="F870" s="92" t="s">
        <v>511</v>
      </c>
      <c r="G870" s="374" t="s">
        <v>6412</v>
      </c>
      <c r="H870" s="21"/>
      <c r="I870" s="92"/>
      <c r="J870" s="92"/>
      <c r="K870" s="92"/>
      <c r="L870" s="92"/>
      <c r="M870" s="92"/>
      <c r="N870" s="92"/>
      <c r="O870" s="92"/>
      <c r="P870" s="92"/>
      <c r="Q870" s="92"/>
      <c r="R870" s="92"/>
      <c r="S870" s="92"/>
      <c r="T870" s="92"/>
      <c r="U870" s="92"/>
      <c r="V870" s="92"/>
      <c r="W870" s="92"/>
      <c r="X870" s="92"/>
      <c r="Y870" s="92"/>
      <c r="Z870" s="92"/>
    </row>
    <row r="871" spans="1:26" ht="12.75">
      <c r="A871" s="92" t="s">
        <v>7632</v>
      </c>
      <c r="B871" s="372">
        <v>2020</v>
      </c>
      <c r="C871" s="372">
        <v>31502239</v>
      </c>
      <c r="D871" s="92"/>
      <c r="E871" s="261" t="str">
        <f t="shared" si="0"/>
        <v>https://pubmed.ncbi.nlm.nih.gov/31502239</v>
      </c>
      <c r="F871" s="92" t="s">
        <v>511</v>
      </c>
      <c r="G871" s="92" t="s">
        <v>5273</v>
      </c>
      <c r="H871" s="92"/>
      <c r="I871" s="92"/>
      <c r="J871" s="92"/>
      <c r="K871" s="92"/>
      <c r="L871" s="92"/>
      <c r="M871" s="92"/>
      <c r="N871" s="92"/>
      <c r="O871" s="92"/>
      <c r="P871" s="92"/>
      <c r="Q871" s="92"/>
      <c r="R871" s="92"/>
      <c r="S871" s="92"/>
      <c r="T871" s="92"/>
      <c r="U871" s="92"/>
      <c r="V871" s="92"/>
      <c r="W871" s="92"/>
      <c r="X871" s="92"/>
      <c r="Y871" s="92"/>
      <c r="Z871" s="92"/>
    </row>
    <row r="872" spans="1:26" ht="12.75">
      <c r="A872" s="92" t="s">
        <v>7633</v>
      </c>
      <c r="B872" s="372">
        <v>2019</v>
      </c>
      <c r="C872" s="372">
        <v>30765242</v>
      </c>
      <c r="D872" s="92"/>
      <c r="E872" s="261" t="str">
        <f t="shared" si="0"/>
        <v>https://pubmed.ncbi.nlm.nih.gov/30765242</v>
      </c>
      <c r="F872" s="92" t="s">
        <v>511</v>
      </c>
      <c r="G872" s="374" t="s">
        <v>4744</v>
      </c>
      <c r="H872" s="21"/>
      <c r="I872" s="92"/>
      <c r="J872" s="92"/>
      <c r="K872" s="92"/>
      <c r="L872" s="92"/>
      <c r="M872" s="92"/>
      <c r="N872" s="92"/>
      <c r="O872" s="92"/>
      <c r="P872" s="92"/>
      <c r="Q872" s="92"/>
      <c r="R872" s="92"/>
      <c r="S872" s="92"/>
      <c r="T872" s="92"/>
      <c r="U872" s="92"/>
      <c r="V872" s="92"/>
      <c r="W872" s="92"/>
      <c r="X872" s="92"/>
      <c r="Y872" s="92"/>
      <c r="Z872" s="92"/>
    </row>
    <row r="873" spans="1:26" ht="12.75">
      <c r="A873" s="92" t="s">
        <v>7634</v>
      </c>
      <c r="B873" s="372">
        <v>2016</v>
      </c>
      <c r="C873" s="372">
        <v>27121755</v>
      </c>
      <c r="D873" s="92" t="s">
        <v>7635</v>
      </c>
      <c r="E873" s="261" t="str">
        <f t="shared" si="0"/>
        <v>https://pubmed.ncbi.nlm.nih.gov/27121755</v>
      </c>
      <c r="F873" s="92" t="s">
        <v>511</v>
      </c>
      <c r="G873" s="92" t="s">
        <v>4592</v>
      </c>
      <c r="H873" s="92"/>
      <c r="I873" s="92"/>
      <c r="J873" s="92"/>
      <c r="K873" s="92"/>
      <c r="L873" s="92"/>
      <c r="M873" s="92"/>
      <c r="N873" s="92"/>
      <c r="O873" s="92"/>
      <c r="P873" s="92"/>
      <c r="Q873" s="92"/>
      <c r="R873" s="92"/>
      <c r="S873" s="92"/>
      <c r="T873" s="92"/>
      <c r="U873" s="92"/>
      <c r="V873" s="92"/>
      <c r="W873" s="92"/>
      <c r="X873" s="92"/>
      <c r="Y873" s="92"/>
      <c r="Z873" s="92"/>
    </row>
    <row r="874" spans="1:26" ht="12.75">
      <c r="A874" s="92" t="s">
        <v>7634</v>
      </c>
      <c r="B874" s="372">
        <v>2008</v>
      </c>
      <c r="C874" s="372">
        <v>18254003</v>
      </c>
      <c r="D874" s="92"/>
      <c r="E874" s="261" t="str">
        <f t="shared" si="0"/>
        <v>https://pubmed.ncbi.nlm.nih.gov/18254003</v>
      </c>
      <c r="F874" s="92" t="s">
        <v>511</v>
      </c>
      <c r="G874" s="92" t="s">
        <v>4592</v>
      </c>
      <c r="H874" s="92"/>
      <c r="I874" s="92"/>
      <c r="J874" s="92"/>
      <c r="K874" s="92"/>
      <c r="L874" s="92"/>
      <c r="M874" s="92"/>
      <c r="N874" s="92"/>
      <c r="O874" s="92"/>
      <c r="P874" s="92"/>
      <c r="Q874" s="92"/>
      <c r="R874" s="92"/>
      <c r="S874" s="92"/>
      <c r="T874" s="92"/>
      <c r="U874" s="92"/>
      <c r="V874" s="92"/>
      <c r="W874" s="92"/>
      <c r="X874" s="92"/>
      <c r="Y874" s="92"/>
      <c r="Z874" s="92"/>
    </row>
    <row r="875" spans="1:26" ht="12.75">
      <c r="A875" s="92" t="s">
        <v>7636</v>
      </c>
      <c r="B875" s="372">
        <v>2017</v>
      </c>
      <c r="C875" s="372">
        <v>28831993</v>
      </c>
      <c r="D875" s="92"/>
      <c r="E875" s="261" t="str">
        <f t="shared" si="0"/>
        <v>https://pubmed.ncbi.nlm.nih.gov/28831993</v>
      </c>
      <c r="F875" s="92" t="s">
        <v>511</v>
      </c>
      <c r="G875" s="374" t="s">
        <v>7637</v>
      </c>
      <c r="H875" s="21"/>
      <c r="I875" s="92"/>
      <c r="J875" s="92"/>
      <c r="K875" s="92"/>
      <c r="L875" s="92"/>
      <c r="M875" s="92"/>
      <c r="N875" s="92"/>
      <c r="O875" s="92"/>
      <c r="P875" s="92"/>
      <c r="Q875" s="92"/>
      <c r="R875" s="92"/>
      <c r="S875" s="92"/>
      <c r="T875" s="92"/>
      <c r="U875" s="92"/>
      <c r="V875" s="92"/>
      <c r="W875" s="92"/>
      <c r="X875" s="92"/>
      <c r="Y875" s="92"/>
      <c r="Z875" s="92"/>
    </row>
    <row r="876" spans="1:26" ht="12.75">
      <c r="A876" s="92" t="s">
        <v>7638</v>
      </c>
      <c r="B876" s="372">
        <v>2018</v>
      </c>
      <c r="C876" s="372">
        <v>30298065</v>
      </c>
      <c r="D876" s="92" t="s">
        <v>7639</v>
      </c>
      <c r="E876" s="261" t="str">
        <f t="shared" si="0"/>
        <v>https://pubmed.ncbi.nlm.nih.gov/30298065</v>
      </c>
      <c r="F876" s="92" t="s">
        <v>511</v>
      </c>
      <c r="G876" s="92" t="s">
        <v>7640</v>
      </c>
      <c r="H876" s="92"/>
      <c r="I876" s="92"/>
      <c r="J876" s="92"/>
      <c r="K876" s="92"/>
      <c r="L876" s="92"/>
      <c r="M876" s="92"/>
      <c r="N876" s="92"/>
      <c r="O876" s="92"/>
      <c r="P876" s="92"/>
      <c r="Q876" s="92"/>
      <c r="R876" s="92"/>
      <c r="S876" s="92"/>
      <c r="T876" s="92"/>
      <c r="U876" s="92"/>
      <c r="V876" s="92"/>
      <c r="W876" s="92"/>
      <c r="X876" s="92"/>
      <c r="Y876" s="92"/>
      <c r="Z876" s="92"/>
    </row>
    <row r="877" spans="1:26" ht="12.75">
      <c r="A877" s="92" t="s">
        <v>7641</v>
      </c>
      <c r="B877" s="372">
        <v>2017</v>
      </c>
      <c r="C877" s="372">
        <v>27889401</v>
      </c>
      <c r="D877" s="92" t="s">
        <v>7642</v>
      </c>
      <c r="E877" s="261" t="str">
        <f t="shared" si="0"/>
        <v>https://pubmed.ncbi.nlm.nih.gov/27889401</v>
      </c>
      <c r="F877" s="92" t="s">
        <v>511</v>
      </c>
      <c r="G877" s="374" t="s">
        <v>7643</v>
      </c>
      <c r="H877" s="21"/>
      <c r="I877" s="21"/>
      <c r="J877" s="92"/>
      <c r="K877" s="92"/>
      <c r="L877" s="92"/>
      <c r="M877" s="92"/>
      <c r="N877" s="92"/>
      <c r="O877" s="92"/>
      <c r="P877" s="92"/>
      <c r="Q877" s="92"/>
      <c r="R877" s="92"/>
      <c r="S877" s="92"/>
      <c r="T877" s="92"/>
      <c r="U877" s="92"/>
      <c r="V877" s="92"/>
      <c r="W877" s="92"/>
      <c r="X877" s="92"/>
      <c r="Y877" s="92"/>
      <c r="Z877" s="92"/>
    </row>
    <row r="878" spans="1:26" ht="12.75">
      <c r="A878" s="92" t="s">
        <v>7644</v>
      </c>
      <c r="B878" s="372">
        <v>2014</v>
      </c>
      <c r="C878" s="372">
        <v>25369798</v>
      </c>
      <c r="D878" s="92" t="s">
        <v>7645</v>
      </c>
      <c r="E878" s="261" t="str">
        <f t="shared" si="0"/>
        <v>https://pubmed.ncbi.nlm.nih.gov/25369798</v>
      </c>
      <c r="F878" s="92" t="s">
        <v>511</v>
      </c>
      <c r="G878" s="92" t="s">
        <v>8412</v>
      </c>
      <c r="H878" s="92"/>
      <c r="I878" s="92"/>
      <c r="J878" s="92"/>
      <c r="K878" s="92"/>
      <c r="L878" s="92"/>
      <c r="M878" s="92"/>
      <c r="N878" s="92"/>
      <c r="O878" s="92"/>
      <c r="P878" s="92"/>
      <c r="Q878" s="92"/>
      <c r="R878" s="92"/>
      <c r="S878" s="92"/>
      <c r="T878" s="92"/>
      <c r="U878" s="92"/>
      <c r="V878" s="92"/>
      <c r="W878" s="92"/>
      <c r="X878" s="92"/>
      <c r="Y878" s="92"/>
      <c r="Z878" s="92"/>
    </row>
    <row r="879" spans="1:26" ht="12.75">
      <c r="A879" s="92" t="s">
        <v>7644</v>
      </c>
      <c r="B879" s="372">
        <v>2015</v>
      </c>
      <c r="C879" s="372">
        <v>25749417</v>
      </c>
      <c r="D879" s="92"/>
      <c r="E879" s="261" t="str">
        <f t="shared" si="0"/>
        <v>https://pubmed.ncbi.nlm.nih.gov/25749417</v>
      </c>
      <c r="F879" s="92" t="s">
        <v>511</v>
      </c>
      <c r="G879" s="92" t="s">
        <v>4592</v>
      </c>
      <c r="H879" s="92"/>
      <c r="I879" s="92"/>
      <c r="J879" s="92"/>
      <c r="K879" s="92"/>
      <c r="L879" s="92"/>
      <c r="M879" s="92"/>
      <c r="N879" s="92"/>
      <c r="O879" s="92"/>
      <c r="P879" s="92"/>
      <c r="Q879" s="92"/>
      <c r="R879" s="92"/>
      <c r="S879" s="92"/>
      <c r="T879" s="92"/>
      <c r="U879" s="92"/>
      <c r="V879" s="92"/>
      <c r="W879" s="92"/>
      <c r="X879" s="92"/>
      <c r="Y879" s="92"/>
      <c r="Z879" s="92"/>
    </row>
    <row r="880" spans="1:26" ht="12.75">
      <c r="A880" s="92" t="s">
        <v>7646</v>
      </c>
      <c r="B880" s="372">
        <v>2008</v>
      </c>
      <c r="C880" s="372">
        <v>18580803</v>
      </c>
      <c r="D880" s="92"/>
      <c r="E880" s="261" t="str">
        <f t="shared" si="0"/>
        <v>https://pubmed.ncbi.nlm.nih.gov/18580803</v>
      </c>
      <c r="F880" s="92" t="s">
        <v>511</v>
      </c>
      <c r="G880" s="374" t="s">
        <v>6585</v>
      </c>
      <c r="H880" s="21"/>
      <c r="I880" s="92"/>
      <c r="J880" s="92"/>
      <c r="K880" s="92"/>
      <c r="L880" s="92"/>
      <c r="M880" s="92"/>
      <c r="N880" s="92"/>
      <c r="O880" s="92"/>
      <c r="P880" s="92"/>
      <c r="Q880" s="92"/>
      <c r="R880" s="92"/>
      <c r="S880" s="92"/>
      <c r="T880" s="92"/>
      <c r="U880" s="92"/>
      <c r="V880" s="92"/>
      <c r="W880" s="92"/>
      <c r="X880" s="92"/>
      <c r="Y880" s="92"/>
      <c r="Z880" s="92"/>
    </row>
    <row r="881" spans="1:26" ht="12.75">
      <c r="A881" s="92" t="s">
        <v>7647</v>
      </c>
      <c r="B881" s="372">
        <v>2011</v>
      </c>
      <c r="C881" s="372">
        <v>21355969</v>
      </c>
      <c r="D881" s="92"/>
      <c r="E881" s="261" t="str">
        <f t="shared" si="0"/>
        <v>https://pubmed.ncbi.nlm.nih.gov/21355969</v>
      </c>
      <c r="F881" s="92" t="s">
        <v>511</v>
      </c>
      <c r="G881" s="374" t="s">
        <v>4744</v>
      </c>
      <c r="H881" s="21"/>
      <c r="I881" s="92"/>
      <c r="J881" s="92"/>
      <c r="K881" s="92"/>
      <c r="L881" s="92"/>
      <c r="M881" s="92"/>
      <c r="N881" s="92"/>
      <c r="O881" s="92"/>
      <c r="P881" s="92"/>
      <c r="Q881" s="92"/>
      <c r="R881" s="92"/>
      <c r="S881" s="92"/>
      <c r="T881" s="92"/>
      <c r="U881" s="92"/>
      <c r="V881" s="92"/>
      <c r="W881" s="92"/>
      <c r="X881" s="92"/>
      <c r="Y881" s="92"/>
      <c r="Z881" s="92"/>
    </row>
    <row r="882" spans="1:26" ht="12.75">
      <c r="A882" s="92" t="s">
        <v>7648</v>
      </c>
      <c r="B882" s="372">
        <v>2017</v>
      </c>
      <c r="C882" s="372">
        <v>28728060</v>
      </c>
      <c r="D882" s="92"/>
      <c r="E882" s="261" t="str">
        <f t="shared" si="0"/>
        <v>https://pubmed.ncbi.nlm.nih.gov/28728060</v>
      </c>
      <c r="F882" s="92" t="s">
        <v>511</v>
      </c>
      <c r="G882" s="92" t="s">
        <v>4592</v>
      </c>
      <c r="H882" s="92"/>
      <c r="I882" s="92"/>
      <c r="J882" s="92"/>
      <c r="K882" s="92"/>
      <c r="L882" s="92"/>
      <c r="M882" s="92"/>
      <c r="N882" s="92"/>
      <c r="O882" s="92"/>
      <c r="P882" s="92"/>
      <c r="Q882" s="92"/>
      <c r="R882" s="92"/>
      <c r="S882" s="92"/>
      <c r="T882" s="92"/>
      <c r="U882" s="92"/>
      <c r="V882" s="92"/>
      <c r="W882" s="92"/>
      <c r="X882" s="92"/>
      <c r="Y882" s="92"/>
      <c r="Z882" s="92"/>
    </row>
    <row r="883" spans="1:26" ht="12.75">
      <c r="A883" s="92" t="s">
        <v>7649</v>
      </c>
      <c r="B883" s="372">
        <v>2018</v>
      </c>
      <c r="C883" s="372">
        <v>29480455</v>
      </c>
      <c r="D883" s="92" t="s">
        <v>7650</v>
      </c>
      <c r="E883" s="261" t="str">
        <f t="shared" si="0"/>
        <v>https://pubmed.ncbi.nlm.nih.gov/29480455</v>
      </c>
      <c r="F883" s="92" t="s">
        <v>511</v>
      </c>
      <c r="G883" s="92" t="s">
        <v>4592</v>
      </c>
      <c r="H883" s="92"/>
      <c r="I883" s="92"/>
      <c r="J883" s="92"/>
      <c r="K883" s="92"/>
      <c r="L883" s="92"/>
      <c r="M883" s="92"/>
      <c r="N883" s="92"/>
      <c r="O883" s="92"/>
      <c r="P883" s="92"/>
      <c r="Q883" s="92"/>
      <c r="R883" s="92"/>
      <c r="S883" s="92"/>
      <c r="T883" s="92"/>
      <c r="U883" s="92"/>
      <c r="V883" s="92"/>
      <c r="W883" s="92"/>
      <c r="X883" s="92"/>
      <c r="Y883" s="92"/>
      <c r="Z883" s="92"/>
    </row>
    <row r="884" spans="1:26" ht="12.75">
      <c r="A884" s="92" t="s">
        <v>7651</v>
      </c>
      <c r="B884" s="372">
        <v>2017</v>
      </c>
      <c r="C884" s="372">
        <v>28640708</v>
      </c>
      <c r="D884" s="92"/>
      <c r="E884" s="261" t="str">
        <f t="shared" si="0"/>
        <v>https://pubmed.ncbi.nlm.nih.gov/28640708</v>
      </c>
      <c r="F884" s="92" t="s">
        <v>511</v>
      </c>
      <c r="G884" s="92" t="s">
        <v>4592</v>
      </c>
      <c r="H884" s="92"/>
      <c r="I884" s="92"/>
      <c r="J884" s="92"/>
      <c r="K884" s="92"/>
      <c r="L884" s="92"/>
      <c r="M884" s="92"/>
      <c r="N884" s="92"/>
      <c r="O884" s="92"/>
      <c r="P884" s="92"/>
      <c r="Q884" s="92"/>
      <c r="R884" s="92"/>
      <c r="S884" s="92"/>
      <c r="T884" s="92"/>
      <c r="U884" s="92"/>
      <c r="V884" s="92"/>
      <c r="W884" s="92"/>
      <c r="X884" s="92"/>
      <c r="Y884" s="92"/>
      <c r="Z884" s="92"/>
    </row>
    <row r="885" spans="1:26" ht="12.75">
      <c r="A885" s="92" t="s">
        <v>7652</v>
      </c>
      <c r="B885" s="372">
        <v>1994</v>
      </c>
      <c r="C885" s="372">
        <v>8022537</v>
      </c>
      <c r="D885" s="92"/>
      <c r="E885" s="261" t="str">
        <f t="shared" si="0"/>
        <v>https://pubmed.ncbi.nlm.nih.gov/8022537</v>
      </c>
      <c r="F885" s="92" t="s">
        <v>511</v>
      </c>
      <c r="G885" s="92" t="s">
        <v>4592</v>
      </c>
      <c r="H885" s="92"/>
      <c r="I885" s="92"/>
      <c r="J885" s="92"/>
      <c r="K885" s="92"/>
      <c r="L885" s="92"/>
      <c r="M885" s="92"/>
      <c r="N885" s="92"/>
      <c r="O885" s="92"/>
      <c r="P885" s="92"/>
      <c r="Q885" s="92"/>
      <c r="R885" s="92"/>
      <c r="S885" s="92"/>
      <c r="T885" s="92"/>
      <c r="U885" s="92"/>
      <c r="V885" s="92"/>
      <c r="W885" s="92"/>
      <c r="X885" s="92"/>
      <c r="Y885" s="92"/>
      <c r="Z885" s="92"/>
    </row>
    <row r="886" spans="1:26" ht="12.75">
      <c r="A886" s="92" t="s">
        <v>7653</v>
      </c>
      <c r="B886" s="372">
        <v>2013</v>
      </c>
      <c r="C886" s="372">
        <v>23633366</v>
      </c>
      <c r="D886" s="92"/>
      <c r="E886" s="261" t="str">
        <f t="shared" si="0"/>
        <v>https://pubmed.ncbi.nlm.nih.gov/23633366</v>
      </c>
      <c r="F886" s="92" t="s">
        <v>511</v>
      </c>
      <c r="G886" s="92" t="s">
        <v>5273</v>
      </c>
      <c r="H886" s="92"/>
      <c r="I886" s="92"/>
      <c r="J886" s="92"/>
      <c r="K886" s="92"/>
      <c r="L886" s="92"/>
      <c r="M886" s="92"/>
      <c r="N886" s="92"/>
      <c r="O886" s="92"/>
      <c r="P886" s="92"/>
      <c r="Q886" s="92"/>
      <c r="R886" s="92"/>
      <c r="S886" s="92"/>
      <c r="T886" s="92"/>
      <c r="U886" s="92"/>
      <c r="V886" s="92"/>
      <c r="W886" s="92"/>
      <c r="X886" s="92"/>
      <c r="Y886" s="92"/>
      <c r="Z886" s="92"/>
    </row>
    <row r="887" spans="1:26" ht="12.75">
      <c r="A887" s="92" t="s">
        <v>7654</v>
      </c>
      <c r="B887" s="372">
        <v>2009</v>
      </c>
      <c r="C887" s="372">
        <v>19492655</v>
      </c>
      <c r="D887" s="92"/>
      <c r="E887" s="261" t="str">
        <f t="shared" si="0"/>
        <v>https://pubmed.ncbi.nlm.nih.gov/19492655</v>
      </c>
      <c r="F887" s="92" t="s">
        <v>511</v>
      </c>
      <c r="G887" s="92" t="s">
        <v>4592</v>
      </c>
      <c r="H887" s="92"/>
      <c r="I887" s="92"/>
      <c r="J887" s="92"/>
      <c r="K887" s="92"/>
      <c r="L887" s="92"/>
      <c r="M887" s="92"/>
      <c r="N887" s="92"/>
      <c r="O887" s="92"/>
      <c r="P887" s="92"/>
      <c r="Q887" s="92"/>
      <c r="R887" s="92"/>
      <c r="S887" s="92"/>
      <c r="T887" s="92"/>
      <c r="U887" s="92"/>
      <c r="V887" s="92"/>
      <c r="W887" s="92"/>
      <c r="X887" s="92"/>
      <c r="Y887" s="92"/>
      <c r="Z887" s="92"/>
    </row>
    <row r="888" spans="1:26" ht="12.75">
      <c r="A888" s="92" t="s">
        <v>7655</v>
      </c>
      <c r="B888" s="372">
        <v>2011</v>
      </c>
      <c r="C888" s="372">
        <v>21346038</v>
      </c>
      <c r="D888" s="92" t="s">
        <v>7656</v>
      </c>
      <c r="E888" s="261" t="str">
        <f t="shared" si="0"/>
        <v>https://pubmed.ncbi.nlm.nih.gov/21346038</v>
      </c>
      <c r="F888" s="92" t="s">
        <v>511</v>
      </c>
      <c r="G888" s="92" t="s">
        <v>4592</v>
      </c>
      <c r="H888" s="92"/>
      <c r="I888" s="92"/>
      <c r="J888" s="92"/>
      <c r="K888" s="92"/>
      <c r="L888" s="92"/>
      <c r="M888" s="92"/>
      <c r="N888" s="92"/>
      <c r="O888" s="92"/>
      <c r="P888" s="92"/>
      <c r="Q888" s="92"/>
      <c r="R888" s="92"/>
      <c r="S888" s="92"/>
      <c r="T888" s="92"/>
      <c r="U888" s="92"/>
      <c r="V888" s="92"/>
      <c r="W888" s="92"/>
      <c r="X888" s="92"/>
      <c r="Y888" s="92"/>
      <c r="Z888" s="92"/>
    </row>
    <row r="889" spans="1:26" ht="12.75">
      <c r="A889" s="92" t="s">
        <v>7657</v>
      </c>
      <c r="B889" s="372">
        <v>2010</v>
      </c>
      <c r="C889" s="372">
        <v>19919295</v>
      </c>
      <c r="D889" s="92"/>
      <c r="E889" s="261" t="str">
        <f t="shared" si="0"/>
        <v>https://pubmed.ncbi.nlm.nih.gov/19919295</v>
      </c>
      <c r="F889" s="92" t="s">
        <v>511</v>
      </c>
      <c r="G889" s="92" t="s">
        <v>4592</v>
      </c>
      <c r="H889" s="92"/>
      <c r="I889" s="92"/>
      <c r="J889" s="92"/>
      <c r="K889" s="92"/>
      <c r="L889" s="92"/>
      <c r="M889" s="92"/>
      <c r="N889" s="92"/>
      <c r="O889" s="92"/>
      <c r="P889" s="92"/>
      <c r="Q889" s="92"/>
      <c r="R889" s="92"/>
      <c r="S889" s="92"/>
      <c r="T889" s="92"/>
      <c r="U889" s="92"/>
      <c r="V889" s="92"/>
      <c r="W889" s="92"/>
      <c r="X889" s="92"/>
      <c r="Y889" s="92"/>
      <c r="Z889" s="92"/>
    </row>
    <row r="890" spans="1:26" ht="12.75">
      <c r="A890" s="92" t="s">
        <v>7658</v>
      </c>
      <c r="B890" s="372">
        <v>2014</v>
      </c>
      <c r="C890" s="372">
        <v>24618152</v>
      </c>
      <c r="D890" s="92"/>
      <c r="E890" s="261" t="str">
        <f t="shared" si="0"/>
        <v>https://pubmed.ncbi.nlm.nih.gov/24618152</v>
      </c>
      <c r="F890" s="92" t="s">
        <v>511</v>
      </c>
      <c r="G890" s="92" t="s">
        <v>4592</v>
      </c>
      <c r="H890" s="92"/>
      <c r="I890" s="92"/>
      <c r="J890" s="92"/>
      <c r="K890" s="92"/>
      <c r="L890" s="92"/>
      <c r="M890" s="92"/>
      <c r="N890" s="92"/>
      <c r="O890" s="92"/>
      <c r="P890" s="92"/>
      <c r="Q890" s="92"/>
      <c r="R890" s="92"/>
      <c r="S890" s="92"/>
      <c r="T890" s="92"/>
      <c r="U890" s="92"/>
      <c r="V890" s="92"/>
      <c r="W890" s="92"/>
      <c r="X890" s="92"/>
      <c r="Y890" s="92"/>
      <c r="Z890" s="92"/>
    </row>
    <row r="891" spans="1:26" ht="12.75">
      <c r="A891" s="92" t="s">
        <v>7659</v>
      </c>
      <c r="B891" s="372">
        <v>2017</v>
      </c>
      <c r="C891" s="372">
        <v>27650708</v>
      </c>
      <c r="D891" s="92" t="s">
        <v>7660</v>
      </c>
      <c r="E891" s="261" t="str">
        <f t="shared" si="0"/>
        <v>https://pubmed.ncbi.nlm.nih.gov/27650708</v>
      </c>
      <c r="F891" s="92" t="s">
        <v>511</v>
      </c>
      <c r="G891" s="374" t="s">
        <v>6809</v>
      </c>
      <c r="H891" s="21"/>
      <c r="I891" s="92"/>
      <c r="J891" s="92"/>
      <c r="K891" s="92"/>
      <c r="L891" s="92"/>
      <c r="M891" s="92"/>
      <c r="N891" s="92"/>
      <c r="O891" s="92"/>
      <c r="P891" s="92"/>
      <c r="Q891" s="92"/>
      <c r="R891" s="92"/>
      <c r="S891" s="92"/>
      <c r="T891" s="92"/>
      <c r="U891" s="92"/>
      <c r="V891" s="92"/>
      <c r="W891" s="92"/>
      <c r="X891" s="92"/>
      <c r="Y891" s="92"/>
      <c r="Z891" s="92"/>
    </row>
    <row r="892" spans="1:26" ht="12.75">
      <c r="A892" s="92" t="s">
        <v>7659</v>
      </c>
      <c r="B892" s="372">
        <v>2017</v>
      </c>
      <c r="C892" s="372">
        <v>28062347</v>
      </c>
      <c r="D892" s="92" t="s">
        <v>7661</v>
      </c>
      <c r="E892" s="261" t="str">
        <f t="shared" si="0"/>
        <v>https://pubmed.ncbi.nlm.nih.gov/28062347</v>
      </c>
      <c r="F892" s="92" t="s">
        <v>511</v>
      </c>
      <c r="G892" s="374" t="s">
        <v>7662</v>
      </c>
      <c r="H892" s="21"/>
      <c r="I892" s="92"/>
      <c r="J892" s="92"/>
      <c r="K892" s="92"/>
      <c r="L892" s="92"/>
      <c r="M892" s="92"/>
      <c r="N892" s="92"/>
      <c r="O892" s="92"/>
      <c r="P892" s="92"/>
      <c r="Q892" s="92"/>
      <c r="R892" s="92"/>
      <c r="S892" s="92"/>
      <c r="T892" s="92"/>
      <c r="U892" s="92"/>
      <c r="V892" s="92"/>
      <c r="W892" s="92"/>
      <c r="X892" s="92"/>
      <c r="Y892" s="92"/>
      <c r="Z892" s="92"/>
    </row>
    <row r="893" spans="1:26" ht="12.75">
      <c r="A893" s="92" t="s">
        <v>7663</v>
      </c>
      <c r="B893" s="372">
        <v>2017</v>
      </c>
      <c r="C893" s="372">
        <v>27188794</v>
      </c>
      <c r="D893" s="92"/>
      <c r="E893" s="261" t="str">
        <f t="shared" si="0"/>
        <v>https://pubmed.ncbi.nlm.nih.gov/27188794</v>
      </c>
      <c r="F893" s="92" t="s">
        <v>511</v>
      </c>
      <c r="G893" s="374" t="s">
        <v>8439</v>
      </c>
      <c r="H893" s="21"/>
      <c r="I893" s="92"/>
      <c r="J893" s="92"/>
      <c r="K893" s="92"/>
      <c r="L893" s="92"/>
      <c r="M893" s="92"/>
      <c r="N893" s="92"/>
      <c r="O893" s="92"/>
      <c r="P893" s="92"/>
      <c r="Q893" s="92"/>
      <c r="R893" s="92"/>
      <c r="S893" s="92"/>
      <c r="T893" s="92"/>
      <c r="U893" s="92"/>
      <c r="V893" s="92"/>
      <c r="W893" s="92"/>
      <c r="X893" s="92"/>
      <c r="Y893" s="92"/>
      <c r="Z893" s="92"/>
    </row>
    <row r="894" spans="1:26" ht="12.75">
      <c r="A894" s="92" t="s">
        <v>7665</v>
      </c>
      <c r="B894" s="372">
        <v>2010</v>
      </c>
      <c r="C894" s="372">
        <v>20849195</v>
      </c>
      <c r="D894" s="92"/>
      <c r="E894" s="261" t="str">
        <f t="shared" si="0"/>
        <v>https://pubmed.ncbi.nlm.nih.gov/20849195</v>
      </c>
      <c r="F894" s="92" t="s">
        <v>511</v>
      </c>
      <c r="G894" s="92" t="s">
        <v>4592</v>
      </c>
      <c r="H894" s="92"/>
      <c r="I894" s="92"/>
      <c r="J894" s="92"/>
      <c r="K894" s="92"/>
      <c r="L894" s="92"/>
      <c r="M894" s="92"/>
      <c r="N894" s="92"/>
      <c r="O894" s="92"/>
      <c r="P894" s="92"/>
      <c r="Q894" s="92"/>
      <c r="R894" s="92"/>
      <c r="S894" s="92"/>
      <c r="T894" s="92"/>
      <c r="U894" s="92"/>
      <c r="V894" s="92"/>
      <c r="W894" s="92"/>
      <c r="X894" s="92"/>
      <c r="Y894" s="92"/>
      <c r="Z894" s="92"/>
    </row>
    <row r="895" spans="1:26" ht="12.75">
      <c r="A895" s="92" t="s">
        <v>7666</v>
      </c>
      <c r="B895" s="372">
        <v>2018</v>
      </c>
      <c r="C895" s="372">
        <v>29284183</v>
      </c>
      <c r="D895" s="92"/>
      <c r="E895" s="261" t="str">
        <f t="shared" si="0"/>
        <v>https://pubmed.ncbi.nlm.nih.gov/29284183</v>
      </c>
      <c r="F895" s="92" t="s">
        <v>511</v>
      </c>
      <c r="G895" s="374" t="s">
        <v>5157</v>
      </c>
      <c r="H895" s="92"/>
      <c r="I895" s="374" t="s">
        <v>6429</v>
      </c>
      <c r="J895" s="92"/>
      <c r="K895" s="92"/>
      <c r="L895" s="92"/>
      <c r="M895" s="92"/>
      <c r="N895" s="92"/>
      <c r="O895" s="92"/>
      <c r="P895" s="92"/>
      <c r="Q895" s="92"/>
      <c r="R895" s="92"/>
      <c r="S895" s="92"/>
      <c r="T895" s="92"/>
      <c r="U895" s="92"/>
      <c r="V895" s="92"/>
      <c r="W895" s="92"/>
      <c r="X895" s="92"/>
      <c r="Y895" s="92"/>
      <c r="Z895" s="92"/>
    </row>
    <row r="896" spans="1:26" ht="12.75">
      <c r="A896" s="92" t="s">
        <v>7667</v>
      </c>
      <c r="B896" s="372">
        <v>2004</v>
      </c>
      <c r="C896" s="372">
        <v>15190957</v>
      </c>
      <c r="D896" s="92"/>
      <c r="E896" s="261" t="str">
        <f t="shared" si="0"/>
        <v>https://pubmed.ncbi.nlm.nih.gov/15190957</v>
      </c>
      <c r="F896" s="92" t="s">
        <v>511</v>
      </c>
      <c r="G896" s="374" t="s">
        <v>4867</v>
      </c>
      <c r="H896" s="21"/>
      <c r="I896" s="92"/>
      <c r="J896" s="92"/>
      <c r="K896" s="92"/>
      <c r="L896" s="92"/>
      <c r="M896" s="92"/>
      <c r="N896" s="92"/>
      <c r="O896" s="92"/>
      <c r="P896" s="92"/>
      <c r="Q896" s="92"/>
      <c r="R896" s="92"/>
      <c r="S896" s="92"/>
      <c r="T896" s="92"/>
      <c r="U896" s="92"/>
      <c r="V896" s="92"/>
      <c r="W896" s="92"/>
      <c r="X896" s="92"/>
      <c r="Y896" s="92"/>
      <c r="Z896" s="92"/>
    </row>
    <row r="897" spans="1:26" ht="12.75">
      <c r="A897" s="92" t="s">
        <v>7668</v>
      </c>
      <c r="B897" s="372">
        <v>2017</v>
      </c>
      <c r="C897" s="372">
        <v>26976354</v>
      </c>
      <c r="D897" s="92"/>
      <c r="E897" s="261" t="str">
        <f t="shared" si="0"/>
        <v>https://pubmed.ncbi.nlm.nih.gov/26976354</v>
      </c>
      <c r="F897" s="92" t="s">
        <v>511</v>
      </c>
      <c r="G897" s="374" t="s">
        <v>5157</v>
      </c>
      <c r="H897" s="21"/>
      <c r="I897" s="21"/>
      <c r="J897" s="92"/>
      <c r="K897" s="92"/>
      <c r="L897" s="92"/>
      <c r="M897" s="92"/>
      <c r="N897" s="92"/>
      <c r="O897" s="92"/>
      <c r="P897" s="92"/>
      <c r="Q897" s="92"/>
      <c r="R897" s="92"/>
      <c r="S897" s="92"/>
      <c r="T897" s="92"/>
      <c r="U897" s="92"/>
      <c r="V897" s="92"/>
      <c r="W897" s="92"/>
      <c r="X897" s="92"/>
      <c r="Y897" s="92"/>
      <c r="Z897" s="92"/>
    </row>
    <row r="898" spans="1:26" ht="12.75">
      <c r="A898" s="92" t="s">
        <v>7669</v>
      </c>
      <c r="B898" s="372">
        <v>2020</v>
      </c>
      <c r="C898" s="372">
        <v>32481322</v>
      </c>
      <c r="D898" s="92" t="s">
        <v>7670</v>
      </c>
      <c r="E898" s="261" t="str">
        <f t="shared" si="0"/>
        <v>https://pubmed.ncbi.nlm.nih.gov/32481322</v>
      </c>
      <c r="F898" s="92" t="s">
        <v>511</v>
      </c>
      <c r="G898" s="92" t="s">
        <v>8412</v>
      </c>
      <c r="H898" s="92"/>
      <c r="I898" s="92"/>
      <c r="J898" s="92"/>
      <c r="K898" s="92"/>
      <c r="L898" s="92"/>
      <c r="M898" s="92"/>
      <c r="N898" s="92"/>
      <c r="O898" s="92"/>
      <c r="P898" s="92"/>
      <c r="Q898" s="92"/>
      <c r="R898" s="92"/>
      <c r="S898" s="92"/>
      <c r="T898" s="92"/>
      <c r="U898" s="92"/>
      <c r="V898" s="92"/>
      <c r="W898" s="92"/>
      <c r="X898" s="92"/>
      <c r="Y898" s="92"/>
      <c r="Z898" s="92"/>
    </row>
    <row r="899" spans="1:26" ht="12.75">
      <c r="A899" s="92" t="s">
        <v>7671</v>
      </c>
      <c r="B899" s="372">
        <v>2007</v>
      </c>
      <c r="C899" s="372">
        <v>18073386</v>
      </c>
      <c r="D899" s="92"/>
      <c r="E899" s="261" t="str">
        <f t="shared" si="0"/>
        <v>https://pubmed.ncbi.nlm.nih.gov/18073386</v>
      </c>
      <c r="F899" s="92" t="s">
        <v>511</v>
      </c>
      <c r="G899" s="374" t="s">
        <v>7672</v>
      </c>
      <c r="H899" s="21"/>
      <c r="I899" s="92"/>
      <c r="J899" s="92"/>
      <c r="K899" s="92"/>
      <c r="L899" s="92"/>
      <c r="M899" s="92"/>
      <c r="N899" s="92"/>
      <c r="O899" s="92"/>
      <c r="P899" s="92"/>
      <c r="Q899" s="92"/>
      <c r="R899" s="92"/>
      <c r="S899" s="92"/>
      <c r="T899" s="92"/>
      <c r="U899" s="92"/>
      <c r="V899" s="92"/>
      <c r="W899" s="92"/>
      <c r="X899" s="92"/>
      <c r="Y899" s="92"/>
      <c r="Z899" s="92"/>
    </row>
    <row r="900" spans="1:26" ht="12.75">
      <c r="A900" s="92" t="s">
        <v>7673</v>
      </c>
      <c r="B900" s="372">
        <v>2007</v>
      </c>
      <c r="C900" s="372">
        <v>17509128</v>
      </c>
      <c r="D900" s="92" t="s">
        <v>7674</v>
      </c>
      <c r="E900" s="261" t="str">
        <f t="shared" si="0"/>
        <v>https://pubmed.ncbi.nlm.nih.gov/17509128</v>
      </c>
      <c r="F900" s="92" t="s">
        <v>511</v>
      </c>
      <c r="G900" s="374" t="s">
        <v>4346</v>
      </c>
      <c r="H900" s="92"/>
      <c r="I900" s="92"/>
      <c r="J900" s="92"/>
      <c r="K900" s="92"/>
      <c r="L900" s="92"/>
      <c r="M900" s="92"/>
      <c r="N900" s="92"/>
      <c r="O900" s="92"/>
      <c r="P900" s="92"/>
      <c r="Q900" s="92"/>
      <c r="R900" s="92"/>
      <c r="S900" s="92"/>
      <c r="T900" s="92"/>
      <c r="U900" s="92"/>
      <c r="V900" s="92"/>
      <c r="W900" s="92"/>
      <c r="X900" s="92"/>
      <c r="Y900" s="92"/>
      <c r="Z900" s="92"/>
    </row>
    <row r="901" spans="1:26" ht="12.75">
      <c r="A901" s="92" t="s">
        <v>7675</v>
      </c>
      <c r="B901" s="372">
        <v>2016</v>
      </c>
      <c r="C901" s="372">
        <v>27163222</v>
      </c>
      <c r="D901" s="92" t="s">
        <v>7676</v>
      </c>
      <c r="E901" s="261" t="str">
        <f t="shared" si="0"/>
        <v>https://pubmed.ncbi.nlm.nih.gov/27163222</v>
      </c>
      <c r="F901" s="92" t="s">
        <v>511</v>
      </c>
      <c r="G901" s="374" t="s">
        <v>5157</v>
      </c>
      <c r="H901" s="21"/>
      <c r="I901" s="21"/>
      <c r="J901" s="92"/>
      <c r="K901" s="92"/>
      <c r="L901" s="92"/>
      <c r="M901" s="92"/>
      <c r="N901" s="92"/>
      <c r="O901" s="92"/>
      <c r="P901" s="92"/>
      <c r="Q901" s="92"/>
      <c r="R901" s="92"/>
      <c r="S901" s="92"/>
      <c r="T901" s="92"/>
      <c r="U901" s="92"/>
      <c r="V901" s="92"/>
      <c r="W901" s="92"/>
      <c r="X901" s="92"/>
      <c r="Y901" s="92"/>
      <c r="Z901" s="92"/>
    </row>
    <row r="902" spans="1:26" ht="12.75">
      <c r="A902" s="92" t="s">
        <v>1255</v>
      </c>
      <c r="B902" s="372">
        <v>2018</v>
      </c>
      <c r="C902" s="372">
        <v>29482720</v>
      </c>
      <c r="D902" s="92" t="s">
        <v>4215</v>
      </c>
      <c r="E902" s="376" t="str">
        <f t="shared" si="0"/>
        <v>https://pubmed.ncbi.nlm.nih.gov/29482720</v>
      </c>
      <c r="F902" s="21"/>
      <c r="G902" s="92"/>
      <c r="H902" s="92" t="s">
        <v>511</v>
      </c>
      <c r="I902" s="92"/>
      <c r="J902" s="92"/>
      <c r="K902" s="92"/>
      <c r="L902" s="92"/>
      <c r="M902" s="92"/>
      <c r="N902" s="92"/>
      <c r="O902" s="92"/>
      <c r="P902" s="92"/>
      <c r="Q902" s="92"/>
      <c r="R902" s="92"/>
      <c r="S902" s="92"/>
      <c r="T902" s="92"/>
      <c r="U902" s="92"/>
      <c r="V902" s="92"/>
      <c r="W902" s="92"/>
      <c r="X902" s="92"/>
      <c r="Y902" s="92"/>
      <c r="Z902" s="92"/>
    </row>
    <row r="903" spans="1:26" ht="12.75">
      <c r="A903" s="92" t="s">
        <v>7677</v>
      </c>
      <c r="B903" s="372">
        <v>1997</v>
      </c>
      <c r="C903" s="372">
        <v>9237318</v>
      </c>
      <c r="D903" s="92"/>
      <c r="E903" s="261" t="str">
        <f t="shared" si="0"/>
        <v>https://pubmed.ncbi.nlm.nih.gov/9237318</v>
      </c>
      <c r="F903" s="92" t="s">
        <v>511</v>
      </c>
      <c r="G903" s="92" t="s">
        <v>4592</v>
      </c>
      <c r="H903" s="92"/>
      <c r="I903" s="92"/>
      <c r="J903" s="92"/>
      <c r="K903" s="92"/>
      <c r="L903" s="92"/>
      <c r="M903" s="92"/>
      <c r="N903" s="92"/>
      <c r="O903" s="92"/>
      <c r="P903" s="92"/>
      <c r="Q903" s="92"/>
      <c r="R903" s="92"/>
      <c r="S903" s="92"/>
      <c r="T903" s="92"/>
      <c r="U903" s="92"/>
      <c r="V903" s="92"/>
      <c r="W903" s="92"/>
      <c r="X903" s="92"/>
      <c r="Y903" s="92"/>
      <c r="Z903" s="92"/>
    </row>
    <row r="904" spans="1:26" ht="12.75">
      <c r="A904" s="92" t="s">
        <v>7678</v>
      </c>
      <c r="B904" s="372">
        <v>2010</v>
      </c>
      <c r="C904" s="372">
        <v>20659185</v>
      </c>
      <c r="D904" s="92"/>
      <c r="E904" s="261" t="str">
        <f t="shared" si="0"/>
        <v>https://pubmed.ncbi.nlm.nih.gov/20659185</v>
      </c>
      <c r="F904" s="92" t="s">
        <v>511</v>
      </c>
      <c r="G904" s="374" t="s">
        <v>4744</v>
      </c>
      <c r="H904" s="21"/>
      <c r="I904" s="92"/>
      <c r="J904" s="92"/>
      <c r="K904" s="92"/>
      <c r="L904" s="92"/>
      <c r="M904" s="92"/>
      <c r="N904" s="92"/>
      <c r="O904" s="92"/>
      <c r="P904" s="92"/>
      <c r="Q904" s="92"/>
      <c r="R904" s="92"/>
      <c r="S904" s="92"/>
      <c r="T904" s="92"/>
      <c r="U904" s="92"/>
      <c r="V904" s="92"/>
      <c r="W904" s="92"/>
      <c r="X904" s="92"/>
      <c r="Y904" s="92"/>
      <c r="Z904" s="92"/>
    </row>
    <row r="905" spans="1:26" ht="12.75">
      <c r="A905" s="92" t="s">
        <v>7679</v>
      </c>
      <c r="B905" s="372">
        <v>2013</v>
      </c>
      <c r="C905" s="372">
        <v>24002003</v>
      </c>
      <c r="D905" s="92"/>
      <c r="E905" s="261" t="str">
        <f t="shared" si="0"/>
        <v>https://pubmed.ncbi.nlm.nih.gov/24002003</v>
      </c>
      <c r="F905" s="92" t="s">
        <v>511</v>
      </c>
      <c r="G905" s="374" t="s">
        <v>4744</v>
      </c>
      <c r="H905" s="21"/>
      <c r="I905" s="92"/>
      <c r="J905" s="92"/>
      <c r="K905" s="92"/>
      <c r="L905" s="92"/>
      <c r="M905" s="92"/>
      <c r="N905" s="92"/>
      <c r="O905" s="92"/>
      <c r="P905" s="92"/>
      <c r="Q905" s="92"/>
      <c r="R905" s="92"/>
      <c r="S905" s="92"/>
      <c r="T905" s="92"/>
      <c r="U905" s="92"/>
      <c r="V905" s="92"/>
      <c r="W905" s="92"/>
      <c r="X905" s="92"/>
      <c r="Y905" s="92"/>
      <c r="Z905" s="92"/>
    </row>
    <row r="906" spans="1:26" ht="12.75">
      <c r="A906" s="92" t="s">
        <v>7680</v>
      </c>
      <c r="B906" s="372">
        <v>2009</v>
      </c>
      <c r="C906" s="372">
        <v>19894368</v>
      </c>
      <c r="D906" s="92"/>
      <c r="E906" s="261" t="str">
        <f t="shared" si="0"/>
        <v>https://pubmed.ncbi.nlm.nih.gov/19894368</v>
      </c>
      <c r="F906" s="92" t="s">
        <v>511</v>
      </c>
      <c r="G906" s="92" t="s">
        <v>4592</v>
      </c>
      <c r="H906" s="92"/>
      <c r="I906" s="92"/>
      <c r="J906" s="92"/>
      <c r="K906" s="92"/>
      <c r="L906" s="92"/>
      <c r="M906" s="92"/>
      <c r="N906" s="92"/>
      <c r="O906" s="92"/>
      <c r="P906" s="92"/>
      <c r="Q906" s="92"/>
      <c r="R906" s="92"/>
      <c r="S906" s="92"/>
      <c r="T906" s="92"/>
      <c r="U906" s="92"/>
      <c r="V906" s="92"/>
      <c r="W906" s="92"/>
      <c r="X906" s="92"/>
      <c r="Y906" s="92"/>
      <c r="Z906" s="92"/>
    </row>
    <row r="907" spans="1:26" ht="12.75">
      <c r="A907" s="92" t="s">
        <v>7681</v>
      </c>
      <c r="B907" s="372">
        <v>2008</v>
      </c>
      <c r="C907" s="372">
        <v>18565184</v>
      </c>
      <c r="D907" s="92"/>
      <c r="E907" s="261" t="str">
        <f t="shared" si="0"/>
        <v>https://pubmed.ncbi.nlm.nih.gov/18565184</v>
      </c>
      <c r="F907" s="92" t="s">
        <v>511</v>
      </c>
      <c r="G907" s="374" t="s">
        <v>4744</v>
      </c>
      <c r="H907" s="21"/>
      <c r="I907" s="92"/>
      <c r="J907" s="92"/>
      <c r="K907" s="92"/>
      <c r="L907" s="92"/>
      <c r="M907" s="92"/>
      <c r="N907" s="92"/>
      <c r="O907" s="92"/>
      <c r="P907" s="92"/>
      <c r="Q907" s="92"/>
      <c r="R907" s="92"/>
      <c r="S907" s="92"/>
      <c r="T907" s="92"/>
      <c r="U907" s="92"/>
      <c r="V907" s="92"/>
      <c r="W907" s="92"/>
      <c r="X907" s="92"/>
      <c r="Y907" s="92"/>
      <c r="Z907" s="92"/>
    </row>
    <row r="908" spans="1:26" ht="12.75">
      <c r="A908" s="92" t="s">
        <v>7682</v>
      </c>
      <c r="B908" s="372">
        <v>2010</v>
      </c>
      <c r="C908" s="372">
        <v>19845547</v>
      </c>
      <c r="D908" s="92"/>
      <c r="E908" s="261" t="str">
        <f t="shared" si="0"/>
        <v>https://pubmed.ncbi.nlm.nih.gov/19845547</v>
      </c>
      <c r="F908" s="92" t="s">
        <v>511</v>
      </c>
      <c r="G908" s="374" t="s">
        <v>5157</v>
      </c>
      <c r="H908" s="21"/>
      <c r="I908" s="21"/>
      <c r="J908" s="92"/>
      <c r="K908" s="92"/>
      <c r="L908" s="92"/>
      <c r="M908" s="92"/>
      <c r="N908" s="92"/>
      <c r="O908" s="92"/>
      <c r="P908" s="92"/>
      <c r="Q908" s="92"/>
      <c r="R908" s="92"/>
      <c r="S908" s="92"/>
      <c r="T908" s="92"/>
      <c r="U908" s="92"/>
      <c r="V908" s="92"/>
      <c r="W908" s="92"/>
      <c r="X908" s="92"/>
      <c r="Y908" s="92"/>
      <c r="Z908" s="92"/>
    </row>
    <row r="909" spans="1:26" ht="12.75">
      <c r="A909" s="92" t="s">
        <v>7683</v>
      </c>
      <c r="B909" s="372">
        <v>2011</v>
      </c>
      <c r="C909" s="372">
        <v>21874971</v>
      </c>
      <c r="D909" s="92"/>
      <c r="E909" s="261" t="str">
        <f t="shared" si="0"/>
        <v>https://pubmed.ncbi.nlm.nih.gov/21874971</v>
      </c>
      <c r="F909" s="92" t="s">
        <v>511</v>
      </c>
      <c r="G909" s="374" t="s">
        <v>7684</v>
      </c>
      <c r="H909" s="21"/>
      <c r="I909" s="92"/>
      <c r="J909" s="92"/>
      <c r="K909" s="92"/>
      <c r="L909" s="92"/>
      <c r="M909" s="92"/>
      <c r="N909" s="92"/>
      <c r="O909" s="92"/>
      <c r="P909" s="92"/>
      <c r="Q909" s="92"/>
      <c r="R909" s="92"/>
      <c r="S909" s="92"/>
      <c r="T909" s="92"/>
      <c r="U909" s="92"/>
      <c r="V909" s="92"/>
      <c r="W909" s="92"/>
      <c r="X909" s="92"/>
      <c r="Y909" s="92"/>
      <c r="Z909" s="92"/>
    </row>
    <row r="910" spans="1:26" ht="12.75">
      <c r="A910" s="92" t="s">
        <v>7685</v>
      </c>
      <c r="B910" s="372">
        <v>2012</v>
      </c>
      <c r="C910" s="372">
        <v>22932397</v>
      </c>
      <c r="D910" s="92"/>
      <c r="E910" s="261" t="str">
        <f t="shared" si="0"/>
        <v>https://pubmed.ncbi.nlm.nih.gov/22932397</v>
      </c>
      <c r="F910" s="92" t="s">
        <v>511</v>
      </c>
      <c r="G910" s="374" t="s">
        <v>7686</v>
      </c>
      <c r="H910" s="21"/>
      <c r="I910" s="92"/>
      <c r="J910" s="92"/>
      <c r="K910" s="92"/>
      <c r="L910" s="92"/>
      <c r="M910" s="92"/>
      <c r="N910" s="92"/>
      <c r="O910" s="92"/>
      <c r="P910" s="92"/>
      <c r="Q910" s="92"/>
      <c r="R910" s="92"/>
      <c r="S910" s="92"/>
      <c r="T910" s="92"/>
      <c r="U910" s="92"/>
      <c r="V910" s="92"/>
      <c r="W910" s="92"/>
      <c r="X910" s="92"/>
      <c r="Y910" s="92"/>
      <c r="Z910" s="92"/>
    </row>
    <row r="911" spans="1:26" ht="12.75">
      <c r="A911" s="92" t="s">
        <v>7687</v>
      </c>
      <c r="B911" s="372">
        <v>2018</v>
      </c>
      <c r="C911" s="372">
        <v>30037523</v>
      </c>
      <c r="D911" s="92"/>
      <c r="E911" s="261" t="str">
        <f t="shared" si="0"/>
        <v>https://pubmed.ncbi.nlm.nih.gov/30037523</v>
      </c>
      <c r="F911" s="92" t="s">
        <v>511</v>
      </c>
      <c r="G911" s="92" t="s">
        <v>4592</v>
      </c>
      <c r="H911" s="92"/>
      <c r="I911" s="92"/>
      <c r="J911" s="92"/>
      <c r="K911" s="92"/>
      <c r="L911" s="92"/>
      <c r="M911" s="92"/>
      <c r="N911" s="92"/>
      <c r="O911" s="92"/>
      <c r="P911" s="92"/>
      <c r="Q911" s="92"/>
      <c r="R911" s="92"/>
      <c r="S911" s="92"/>
      <c r="T911" s="92"/>
      <c r="U911" s="92"/>
      <c r="V911" s="92"/>
      <c r="W911" s="92"/>
      <c r="X911" s="92"/>
      <c r="Y911" s="92"/>
      <c r="Z911" s="92"/>
    </row>
    <row r="912" spans="1:26" ht="12.75">
      <c r="A912" s="92" t="s">
        <v>7688</v>
      </c>
      <c r="B912" s="372">
        <v>2018</v>
      </c>
      <c r="C912" s="372">
        <v>29135651</v>
      </c>
      <c r="D912" s="92" t="s">
        <v>7689</v>
      </c>
      <c r="E912" s="261" t="str">
        <f t="shared" si="0"/>
        <v>https://pubmed.ncbi.nlm.nih.gov/29135651</v>
      </c>
      <c r="F912" s="92" t="s">
        <v>511</v>
      </c>
      <c r="G912" s="374" t="s">
        <v>5157</v>
      </c>
      <c r="H912" s="21"/>
      <c r="I912" s="21"/>
      <c r="J912" s="92"/>
      <c r="K912" s="92"/>
      <c r="L912" s="92"/>
      <c r="M912" s="92"/>
      <c r="N912" s="92"/>
      <c r="O912" s="92"/>
      <c r="P912" s="92"/>
      <c r="Q912" s="92"/>
      <c r="R912" s="92"/>
      <c r="S912" s="92"/>
      <c r="T912" s="92"/>
      <c r="U912" s="92"/>
      <c r="V912" s="92"/>
      <c r="W912" s="92"/>
      <c r="X912" s="92"/>
      <c r="Y912" s="92"/>
      <c r="Z912" s="92"/>
    </row>
    <row r="913" spans="1:26" ht="12.75">
      <c r="A913" s="92" t="s">
        <v>7690</v>
      </c>
      <c r="B913" s="372">
        <v>2017</v>
      </c>
      <c r="C913" s="372">
        <v>29469799</v>
      </c>
      <c r="D913" s="92"/>
      <c r="E913" s="261" t="str">
        <f t="shared" si="0"/>
        <v>https://pubmed.ncbi.nlm.nih.gov/29469799</v>
      </c>
      <c r="F913" s="92" t="s">
        <v>511</v>
      </c>
      <c r="G913" s="92" t="s">
        <v>4536</v>
      </c>
      <c r="H913" s="92"/>
      <c r="I913" s="92"/>
      <c r="J913" s="92"/>
      <c r="K913" s="92"/>
      <c r="L913" s="92"/>
      <c r="M913" s="92"/>
      <c r="N913" s="92"/>
      <c r="O913" s="92"/>
      <c r="P913" s="92"/>
      <c r="Q913" s="92"/>
      <c r="R913" s="92"/>
      <c r="S913" s="92"/>
      <c r="T913" s="92"/>
      <c r="U913" s="92"/>
      <c r="V913" s="92"/>
      <c r="W913" s="92"/>
      <c r="X913" s="92"/>
      <c r="Y913" s="92"/>
      <c r="Z913" s="92"/>
    </row>
    <row r="914" spans="1:26" ht="12.75">
      <c r="A914" s="92" t="s">
        <v>7691</v>
      </c>
      <c r="B914" s="372">
        <v>2018</v>
      </c>
      <c r="C914" s="372">
        <v>29514306</v>
      </c>
      <c r="D914" s="92" t="s">
        <v>7692</v>
      </c>
      <c r="E914" s="261" t="str">
        <f t="shared" si="0"/>
        <v>https://pubmed.ncbi.nlm.nih.gov/29514306</v>
      </c>
      <c r="F914" s="92" t="s">
        <v>511</v>
      </c>
      <c r="G914" s="374" t="s">
        <v>4867</v>
      </c>
      <c r="H914" s="21"/>
      <c r="I914" s="92"/>
      <c r="J914" s="92"/>
      <c r="K914" s="92"/>
      <c r="L914" s="92"/>
      <c r="M914" s="92"/>
      <c r="N914" s="92"/>
      <c r="O914" s="92"/>
      <c r="P914" s="92"/>
      <c r="Q914" s="92"/>
      <c r="R914" s="92"/>
      <c r="S914" s="92"/>
      <c r="T914" s="92"/>
      <c r="U914" s="92"/>
      <c r="V914" s="92"/>
      <c r="W914" s="92"/>
      <c r="X914" s="92"/>
      <c r="Y914" s="92"/>
      <c r="Z914" s="92"/>
    </row>
    <row r="915" spans="1:26" ht="12.75">
      <c r="A915" s="92" t="s">
        <v>7693</v>
      </c>
      <c r="B915" s="372">
        <v>1997</v>
      </c>
      <c r="C915" s="372">
        <v>9317200</v>
      </c>
      <c r="D915" s="92"/>
      <c r="E915" s="261" t="str">
        <f t="shared" si="0"/>
        <v>https://pubmed.ncbi.nlm.nih.gov/9317200</v>
      </c>
      <c r="F915" s="92" t="s">
        <v>511</v>
      </c>
      <c r="G915" s="374" t="s">
        <v>4744</v>
      </c>
      <c r="H915" s="21"/>
      <c r="I915" s="92"/>
      <c r="J915" s="92"/>
      <c r="K915" s="92"/>
      <c r="L915" s="92"/>
      <c r="M915" s="92"/>
      <c r="N915" s="92"/>
      <c r="O915" s="92"/>
      <c r="P915" s="92"/>
      <c r="Q915" s="92"/>
      <c r="R915" s="92"/>
      <c r="S915" s="92"/>
      <c r="T915" s="92"/>
      <c r="U915" s="92"/>
      <c r="V915" s="92"/>
      <c r="W915" s="92"/>
      <c r="X915" s="92"/>
      <c r="Y915" s="92"/>
      <c r="Z915" s="92"/>
    </row>
    <row r="916" spans="1:26" ht="12.75">
      <c r="A916" s="92" t="s">
        <v>7694</v>
      </c>
      <c r="B916" s="372">
        <v>2016</v>
      </c>
      <c r="C916" s="372">
        <v>26857244</v>
      </c>
      <c r="D916" s="92"/>
      <c r="E916" s="261" t="str">
        <f t="shared" si="0"/>
        <v>https://pubmed.ncbi.nlm.nih.gov/26857244</v>
      </c>
      <c r="F916" s="92" t="s">
        <v>511</v>
      </c>
      <c r="G916" s="374" t="s">
        <v>7662</v>
      </c>
      <c r="H916" s="21"/>
      <c r="I916" s="92"/>
      <c r="J916" s="92"/>
      <c r="K916" s="92"/>
      <c r="L916" s="92"/>
      <c r="M916" s="92"/>
      <c r="N916" s="92"/>
      <c r="O916" s="92"/>
      <c r="P916" s="92"/>
      <c r="Q916" s="92"/>
      <c r="R916" s="92"/>
      <c r="S916" s="92"/>
      <c r="T916" s="92"/>
      <c r="U916" s="92"/>
      <c r="V916" s="92"/>
      <c r="W916" s="92"/>
      <c r="X916" s="92"/>
      <c r="Y916" s="92"/>
      <c r="Z916" s="92"/>
    </row>
    <row r="917" spans="1:26" ht="12.75">
      <c r="A917" s="92" t="s">
        <v>7695</v>
      </c>
      <c r="B917" s="372">
        <v>2017</v>
      </c>
      <c r="C917" s="372">
        <v>28905498</v>
      </c>
      <c r="D917" s="92" t="s">
        <v>7696</v>
      </c>
      <c r="E917" s="261" t="str">
        <f t="shared" si="0"/>
        <v>https://pubmed.ncbi.nlm.nih.gov/28905498</v>
      </c>
      <c r="F917" s="92" t="s">
        <v>511</v>
      </c>
      <c r="G917" s="374" t="s">
        <v>4744</v>
      </c>
      <c r="H917" s="21"/>
      <c r="I917" s="92"/>
      <c r="J917" s="92"/>
      <c r="K917" s="92"/>
      <c r="L917" s="92"/>
      <c r="M917" s="92"/>
      <c r="N917" s="92"/>
      <c r="O917" s="92"/>
      <c r="P917" s="92"/>
      <c r="Q917" s="92"/>
      <c r="R917" s="92"/>
      <c r="S917" s="92"/>
      <c r="T917" s="92"/>
      <c r="U917" s="92"/>
      <c r="V917" s="92"/>
      <c r="W917" s="92"/>
      <c r="X917" s="92"/>
      <c r="Y917" s="92"/>
      <c r="Z917" s="92"/>
    </row>
    <row r="918" spans="1:26" ht="12.75">
      <c r="A918" s="92" t="s">
        <v>7697</v>
      </c>
      <c r="B918" s="372">
        <v>2012</v>
      </c>
      <c r="C918" s="372">
        <v>22155136</v>
      </c>
      <c r="D918" s="92"/>
      <c r="E918" s="261" t="str">
        <f t="shared" si="0"/>
        <v>https://pubmed.ncbi.nlm.nih.gov/22155136</v>
      </c>
      <c r="F918" s="92" t="s">
        <v>511</v>
      </c>
      <c r="G918" s="92" t="s">
        <v>8387</v>
      </c>
      <c r="H918" s="92"/>
      <c r="I918" s="92"/>
      <c r="J918" s="92"/>
      <c r="K918" s="92"/>
      <c r="L918" s="92"/>
      <c r="M918" s="92"/>
      <c r="N918" s="92"/>
      <c r="O918" s="92"/>
      <c r="P918" s="92"/>
      <c r="Q918" s="92"/>
      <c r="R918" s="92"/>
      <c r="S918" s="92"/>
      <c r="T918" s="92"/>
      <c r="U918" s="92"/>
      <c r="V918" s="92"/>
      <c r="W918" s="92"/>
      <c r="X918" s="92"/>
      <c r="Y918" s="92"/>
      <c r="Z918" s="92"/>
    </row>
    <row r="919" spans="1:26" ht="12.75">
      <c r="A919" s="92" t="s">
        <v>4073</v>
      </c>
      <c r="B919" s="372">
        <v>2011</v>
      </c>
      <c r="C919" s="372">
        <v>21639872</v>
      </c>
      <c r="D919" s="92" t="s">
        <v>7698</v>
      </c>
      <c r="E919" s="376" t="str">
        <f t="shared" si="0"/>
        <v>https://pubmed.ncbi.nlm.nih.gov/21639872</v>
      </c>
      <c r="F919" s="21"/>
      <c r="G919" s="92"/>
      <c r="H919" s="92" t="s">
        <v>7525</v>
      </c>
      <c r="I919" s="374" t="s">
        <v>7699</v>
      </c>
      <c r="J919" s="21"/>
      <c r="K919" s="21"/>
      <c r="L919" s="21"/>
      <c r="M919" s="92"/>
      <c r="N919" s="92"/>
      <c r="O919" s="92"/>
      <c r="P919" s="92"/>
      <c r="Q919" s="92"/>
      <c r="R919" s="92"/>
      <c r="S919" s="92"/>
      <c r="T919" s="92"/>
      <c r="U919" s="92"/>
      <c r="V919" s="92"/>
      <c r="W919" s="92"/>
      <c r="X919" s="92"/>
      <c r="Y919" s="92"/>
      <c r="Z919" s="92"/>
    </row>
    <row r="920" spans="1:26" ht="12.75">
      <c r="A920" s="92" t="s">
        <v>7700</v>
      </c>
      <c r="B920" s="372">
        <v>1999</v>
      </c>
      <c r="C920" s="372">
        <v>10492259</v>
      </c>
      <c r="D920" s="92"/>
      <c r="E920" s="261" t="str">
        <f t="shared" si="0"/>
        <v>https://pubmed.ncbi.nlm.nih.gov/10492259</v>
      </c>
      <c r="F920" s="92" t="s">
        <v>511</v>
      </c>
      <c r="G920" s="374" t="s">
        <v>4867</v>
      </c>
      <c r="H920" s="21"/>
      <c r="I920" s="92"/>
      <c r="J920" s="92"/>
      <c r="K920" s="92"/>
      <c r="L920" s="92"/>
      <c r="M920" s="92"/>
      <c r="N920" s="92"/>
      <c r="O920" s="92"/>
      <c r="P920" s="92"/>
      <c r="Q920" s="92"/>
      <c r="R920" s="92"/>
      <c r="S920" s="92"/>
      <c r="T920" s="92"/>
      <c r="U920" s="92"/>
      <c r="V920" s="92"/>
      <c r="W920" s="92"/>
      <c r="X920" s="92"/>
      <c r="Y920" s="92"/>
      <c r="Z920" s="92"/>
    </row>
    <row r="921" spans="1:26" ht="12.75">
      <c r="A921" s="92" t="s">
        <v>7701</v>
      </c>
      <c r="B921" s="372">
        <v>2020</v>
      </c>
      <c r="C921" s="372">
        <v>31978221</v>
      </c>
      <c r="D921" s="92" t="s">
        <v>7702</v>
      </c>
      <c r="E921" s="261" t="str">
        <f t="shared" si="0"/>
        <v>https://pubmed.ncbi.nlm.nih.gov/31978221</v>
      </c>
      <c r="F921" s="92" t="s">
        <v>511</v>
      </c>
      <c r="G921" s="374" t="s">
        <v>4744</v>
      </c>
      <c r="H921" s="21"/>
      <c r="I921" s="92"/>
      <c r="J921" s="92"/>
      <c r="K921" s="92"/>
      <c r="L921" s="92"/>
      <c r="M921" s="92"/>
      <c r="N921" s="92"/>
      <c r="O921" s="92"/>
      <c r="P921" s="92"/>
      <c r="Q921" s="92"/>
      <c r="R921" s="92"/>
      <c r="S921" s="92"/>
      <c r="T921" s="92"/>
      <c r="U921" s="92"/>
      <c r="V921" s="92"/>
      <c r="W921" s="92"/>
      <c r="X921" s="92"/>
      <c r="Y921" s="92"/>
      <c r="Z921" s="92"/>
    </row>
    <row r="922" spans="1:26" ht="12.75">
      <c r="A922" s="92" t="s">
        <v>7703</v>
      </c>
      <c r="B922" s="372">
        <v>2016</v>
      </c>
      <c r="C922" s="372">
        <v>27289490</v>
      </c>
      <c r="D922" s="92"/>
      <c r="E922" s="261" t="str">
        <f t="shared" si="0"/>
        <v>https://pubmed.ncbi.nlm.nih.gov/27289490</v>
      </c>
      <c r="F922" s="92" t="s">
        <v>511</v>
      </c>
      <c r="G922" s="374" t="s">
        <v>4744</v>
      </c>
      <c r="H922" s="21"/>
      <c r="I922" s="92"/>
      <c r="J922" s="92"/>
      <c r="K922" s="92"/>
      <c r="L922" s="92"/>
      <c r="M922" s="92"/>
      <c r="N922" s="92"/>
      <c r="O922" s="92"/>
      <c r="P922" s="92"/>
      <c r="Q922" s="92"/>
      <c r="R922" s="92"/>
      <c r="S922" s="92"/>
      <c r="T922" s="92"/>
      <c r="U922" s="92"/>
      <c r="V922" s="92"/>
      <c r="W922" s="92"/>
      <c r="X922" s="92"/>
      <c r="Y922" s="92"/>
      <c r="Z922" s="92"/>
    </row>
    <row r="923" spans="1:26" ht="12.75">
      <c r="A923" s="92" t="s">
        <v>7704</v>
      </c>
      <c r="B923" s="372">
        <v>2012</v>
      </c>
      <c r="C923" s="372">
        <v>23136909</v>
      </c>
      <c r="D923" s="92"/>
      <c r="E923" s="261" t="str">
        <f t="shared" si="0"/>
        <v>https://pubmed.ncbi.nlm.nih.gov/23136909</v>
      </c>
      <c r="F923" s="92" t="s">
        <v>511</v>
      </c>
      <c r="G923" s="374" t="s">
        <v>8440</v>
      </c>
      <c r="H923" s="21"/>
      <c r="I923" s="92"/>
      <c r="J923" s="92"/>
      <c r="K923" s="92"/>
      <c r="L923" s="92"/>
      <c r="M923" s="92"/>
      <c r="N923" s="92"/>
      <c r="O923" s="92"/>
      <c r="P923" s="92"/>
      <c r="Q923" s="92"/>
      <c r="R923" s="92"/>
      <c r="S923" s="92"/>
      <c r="T923" s="92"/>
      <c r="U923" s="92"/>
      <c r="V923" s="92"/>
      <c r="W923" s="92"/>
      <c r="X923" s="92"/>
      <c r="Y923" s="92"/>
      <c r="Z923" s="92"/>
    </row>
    <row r="924" spans="1:26" ht="12.75">
      <c r="A924" s="92" t="s">
        <v>7706</v>
      </c>
      <c r="B924" s="372">
        <v>2019</v>
      </c>
      <c r="C924" s="372">
        <v>31513665</v>
      </c>
      <c r="D924" s="92" t="s">
        <v>7707</v>
      </c>
      <c r="E924" s="261" t="str">
        <f t="shared" si="0"/>
        <v>https://pubmed.ncbi.nlm.nih.gov/31513665</v>
      </c>
      <c r="F924" s="92" t="s">
        <v>511</v>
      </c>
      <c r="G924" s="374" t="s">
        <v>5157</v>
      </c>
      <c r="H924" s="21"/>
      <c r="I924" s="21"/>
      <c r="J924" s="92"/>
      <c r="K924" s="92"/>
      <c r="L924" s="92"/>
      <c r="M924" s="92"/>
      <c r="N924" s="92"/>
      <c r="O924" s="92"/>
      <c r="P924" s="92"/>
      <c r="Q924" s="92"/>
      <c r="R924" s="92"/>
      <c r="S924" s="92"/>
      <c r="T924" s="92"/>
      <c r="U924" s="92"/>
      <c r="V924" s="92"/>
      <c r="W924" s="92"/>
      <c r="X924" s="92"/>
      <c r="Y924" s="92"/>
      <c r="Z924" s="92"/>
    </row>
    <row r="925" spans="1:26" ht="12.75">
      <c r="A925" s="92" t="s">
        <v>7708</v>
      </c>
      <c r="B925" s="372">
        <v>2018</v>
      </c>
      <c r="C925" s="372">
        <v>29982575</v>
      </c>
      <c r="D925" s="92" t="s">
        <v>7709</v>
      </c>
      <c r="E925" s="261" t="str">
        <f t="shared" si="0"/>
        <v>https://pubmed.ncbi.nlm.nih.gov/29982575</v>
      </c>
      <c r="F925" s="92" t="s">
        <v>511</v>
      </c>
      <c r="G925" s="374" t="s">
        <v>4346</v>
      </c>
      <c r="H925" s="92"/>
      <c r="I925" s="92"/>
      <c r="J925" s="92"/>
      <c r="K925" s="92"/>
      <c r="L925" s="92"/>
      <c r="M925" s="92"/>
      <c r="N925" s="92"/>
      <c r="O925" s="92"/>
      <c r="P925" s="92"/>
      <c r="Q925" s="92"/>
      <c r="R925" s="92"/>
      <c r="S925" s="92"/>
      <c r="T925" s="92"/>
      <c r="U925" s="92"/>
      <c r="V925" s="92"/>
      <c r="W925" s="92"/>
      <c r="X925" s="92"/>
      <c r="Y925" s="92"/>
      <c r="Z925" s="92"/>
    </row>
    <row r="926" spans="1:26" ht="12.75">
      <c r="A926" s="92" t="s">
        <v>7710</v>
      </c>
      <c r="B926" s="372">
        <v>2012</v>
      </c>
      <c r="C926" s="372">
        <v>22497041</v>
      </c>
      <c r="D926" s="92"/>
      <c r="E926" s="261" t="str">
        <f t="shared" si="0"/>
        <v>https://pubmed.ncbi.nlm.nih.gov/22497041</v>
      </c>
      <c r="F926" s="92" t="s">
        <v>511</v>
      </c>
      <c r="G926" s="374" t="s">
        <v>4744</v>
      </c>
      <c r="H926" s="21"/>
      <c r="I926" s="92"/>
      <c r="J926" s="92"/>
      <c r="K926" s="92"/>
      <c r="L926" s="92"/>
      <c r="M926" s="92"/>
      <c r="N926" s="92"/>
      <c r="O926" s="92"/>
      <c r="P926" s="92"/>
      <c r="Q926" s="92"/>
      <c r="R926" s="92"/>
      <c r="S926" s="92"/>
      <c r="T926" s="92"/>
      <c r="U926" s="92"/>
      <c r="V926" s="92"/>
      <c r="W926" s="92"/>
      <c r="X926" s="92"/>
      <c r="Y926" s="92"/>
      <c r="Z926" s="92"/>
    </row>
    <row r="927" spans="1:26" ht="12.75">
      <c r="A927" s="92" t="s">
        <v>7711</v>
      </c>
      <c r="B927" s="372">
        <v>2016</v>
      </c>
      <c r="C927" s="372">
        <v>27780629</v>
      </c>
      <c r="D927" s="92"/>
      <c r="E927" s="261" t="str">
        <f t="shared" si="0"/>
        <v>https://pubmed.ncbi.nlm.nih.gov/27780629</v>
      </c>
      <c r="F927" s="92" t="s">
        <v>511</v>
      </c>
      <c r="G927" s="92" t="s">
        <v>8406</v>
      </c>
      <c r="H927" s="92"/>
      <c r="I927" s="92"/>
      <c r="J927" s="92"/>
      <c r="K927" s="92"/>
      <c r="L927" s="92"/>
      <c r="M927" s="92"/>
      <c r="N927" s="92"/>
      <c r="O927" s="92"/>
      <c r="P927" s="92"/>
      <c r="Q927" s="92"/>
      <c r="R927" s="92"/>
      <c r="S927" s="92"/>
      <c r="T927" s="92"/>
      <c r="U927" s="92"/>
      <c r="V927" s="92"/>
      <c r="W927" s="92"/>
      <c r="X927" s="92"/>
      <c r="Y927" s="92"/>
      <c r="Z927" s="92"/>
    </row>
    <row r="928" spans="1:26" ht="12.75">
      <c r="A928" s="92" t="s">
        <v>7712</v>
      </c>
      <c r="B928" s="372">
        <v>1998</v>
      </c>
      <c r="C928" s="372">
        <v>9715823</v>
      </c>
      <c r="D928" s="92"/>
      <c r="E928" s="261" t="str">
        <f t="shared" si="0"/>
        <v>https://pubmed.ncbi.nlm.nih.gov/9715823</v>
      </c>
      <c r="F928" s="92" t="s">
        <v>511</v>
      </c>
      <c r="G928" s="92" t="s">
        <v>4592</v>
      </c>
      <c r="H928" s="92"/>
      <c r="I928" s="92"/>
      <c r="J928" s="92"/>
      <c r="K928" s="92"/>
      <c r="L928" s="92"/>
      <c r="M928" s="92"/>
      <c r="N928" s="92"/>
      <c r="O928" s="92"/>
      <c r="P928" s="92"/>
      <c r="Q928" s="92"/>
      <c r="R928" s="92"/>
      <c r="S928" s="92"/>
      <c r="T928" s="92"/>
      <c r="U928" s="92"/>
      <c r="V928" s="92"/>
      <c r="W928" s="92"/>
      <c r="X928" s="92"/>
      <c r="Y928" s="92"/>
      <c r="Z928" s="92"/>
    </row>
    <row r="929" spans="1:26" ht="12.75">
      <c r="A929" s="92" t="s">
        <v>7713</v>
      </c>
      <c r="B929" s="372">
        <v>2017</v>
      </c>
      <c r="C929" s="372">
        <v>27465539</v>
      </c>
      <c r="D929" s="92"/>
      <c r="E929" s="261" t="str">
        <f t="shared" si="0"/>
        <v>https://pubmed.ncbi.nlm.nih.gov/27465539</v>
      </c>
      <c r="F929" s="92" t="s">
        <v>511</v>
      </c>
      <c r="G929" s="92" t="s">
        <v>4592</v>
      </c>
      <c r="H929" s="92"/>
      <c r="I929" s="92"/>
      <c r="J929" s="92"/>
      <c r="K929" s="92"/>
      <c r="L929" s="92"/>
      <c r="M929" s="92"/>
      <c r="N929" s="92"/>
      <c r="O929" s="92"/>
      <c r="P929" s="92"/>
      <c r="Q929" s="92"/>
      <c r="R929" s="92"/>
      <c r="S929" s="92"/>
      <c r="T929" s="92"/>
      <c r="U929" s="92"/>
      <c r="V929" s="92"/>
      <c r="W929" s="92"/>
      <c r="X929" s="92"/>
      <c r="Y929" s="92"/>
      <c r="Z929" s="92"/>
    </row>
    <row r="930" spans="1:26" ht="12.75">
      <c r="A930" s="92" t="s">
        <v>7714</v>
      </c>
      <c r="B930" s="372">
        <v>2012</v>
      </c>
      <c r="C930" s="372">
        <v>22633423</v>
      </c>
      <c r="D930" s="92"/>
      <c r="E930" s="261" t="str">
        <f t="shared" si="0"/>
        <v>https://pubmed.ncbi.nlm.nih.gov/22633423</v>
      </c>
      <c r="F930" s="92" t="s">
        <v>511</v>
      </c>
      <c r="G930" s="374" t="s">
        <v>4744</v>
      </c>
      <c r="H930" s="21"/>
      <c r="I930" s="92"/>
      <c r="J930" s="92"/>
      <c r="K930" s="92"/>
      <c r="L930" s="92"/>
      <c r="M930" s="92"/>
      <c r="N930" s="92"/>
      <c r="O930" s="92"/>
      <c r="P930" s="92"/>
      <c r="Q930" s="92"/>
      <c r="R930" s="92"/>
      <c r="S930" s="92"/>
      <c r="T930" s="92"/>
      <c r="U930" s="92"/>
      <c r="V930" s="92"/>
      <c r="W930" s="92"/>
      <c r="X930" s="92"/>
      <c r="Y930" s="92"/>
      <c r="Z930" s="92"/>
    </row>
    <row r="931" spans="1:26" ht="12.75">
      <c r="A931" s="92" t="s">
        <v>7715</v>
      </c>
      <c r="B931" s="372">
        <v>2013</v>
      </c>
      <c r="C931" s="372">
        <v>23562185</v>
      </c>
      <c r="D931" s="92"/>
      <c r="E931" s="261" t="str">
        <f t="shared" si="0"/>
        <v>https://pubmed.ncbi.nlm.nih.gov/23562185</v>
      </c>
      <c r="F931" s="92" t="s">
        <v>511</v>
      </c>
      <c r="G931" s="92" t="s">
        <v>6623</v>
      </c>
      <c r="H931" s="92"/>
      <c r="I931" s="92"/>
      <c r="J931" s="92"/>
      <c r="K931" s="92"/>
      <c r="L931" s="92"/>
      <c r="M931" s="92"/>
      <c r="N931" s="92"/>
      <c r="O931" s="92"/>
      <c r="P931" s="92"/>
      <c r="Q931" s="92"/>
      <c r="R931" s="92"/>
      <c r="S931" s="92"/>
      <c r="T931" s="92"/>
      <c r="U931" s="92"/>
      <c r="V931" s="92"/>
      <c r="W931" s="92"/>
      <c r="X931" s="92"/>
      <c r="Y931" s="92"/>
      <c r="Z931" s="92"/>
    </row>
    <row r="932" spans="1:26" ht="12.75">
      <c r="A932" s="92" t="s">
        <v>7716</v>
      </c>
      <c r="B932" s="372">
        <v>2002</v>
      </c>
      <c r="C932" s="372">
        <v>12523876</v>
      </c>
      <c r="D932" s="92"/>
      <c r="E932" s="261" t="str">
        <f t="shared" si="0"/>
        <v>https://pubmed.ncbi.nlm.nih.gov/12523876</v>
      </c>
      <c r="F932" s="92" t="s">
        <v>511</v>
      </c>
      <c r="G932" s="374" t="s">
        <v>4867</v>
      </c>
      <c r="H932" s="21"/>
      <c r="I932" s="92"/>
      <c r="J932" s="92"/>
      <c r="K932" s="92"/>
      <c r="L932" s="92"/>
      <c r="M932" s="92"/>
      <c r="N932" s="92"/>
      <c r="O932" s="92"/>
      <c r="P932" s="92"/>
      <c r="Q932" s="92"/>
      <c r="R932" s="92"/>
      <c r="S932" s="92"/>
      <c r="T932" s="92"/>
      <c r="U932" s="92"/>
      <c r="V932" s="92"/>
      <c r="W932" s="92"/>
      <c r="X932" s="92"/>
      <c r="Y932" s="92"/>
      <c r="Z932" s="92"/>
    </row>
    <row r="933" spans="1:26" ht="12.75">
      <c r="A933" s="92" t="s">
        <v>7717</v>
      </c>
      <c r="B933" s="372">
        <v>2006</v>
      </c>
      <c r="C933" s="372">
        <v>16532130</v>
      </c>
      <c r="D933" s="92"/>
      <c r="E933" s="261" t="str">
        <f t="shared" si="0"/>
        <v>https://pubmed.ncbi.nlm.nih.gov/16532130</v>
      </c>
      <c r="F933" s="92" t="s">
        <v>511</v>
      </c>
      <c r="G933" s="92" t="s">
        <v>4592</v>
      </c>
      <c r="H933" s="92"/>
      <c r="I933" s="92"/>
      <c r="J933" s="92"/>
      <c r="K933" s="92"/>
      <c r="L933" s="92"/>
      <c r="M933" s="92"/>
      <c r="N933" s="92"/>
      <c r="O933" s="92"/>
      <c r="P933" s="92"/>
      <c r="Q933" s="92"/>
      <c r="R933" s="92"/>
      <c r="S933" s="92"/>
      <c r="T933" s="92"/>
      <c r="U933" s="92"/>
      <c r="V933" s="92"/>
      <c r="W933" s="92"/>
      <c r="X933" s="92"/>
      <c r="Y933" s="92"/>
      <c r="Z933" s="92"/>
    </row>
    <row r="934" spans="1:26" ht="12.75">
      <c r="A934" s="92" t="s">
        <v>7718</v>
      </c>
      <c r="B934" s="372">
        <v>2003</v>
      </c>
      <c r="C934" s="372">
        <v>12653747</v>
      </c>
      <c r="D934" s="92"/>
      <c r="E934" s="261" t="str">
        <f t="shared" si="0"/>
        <v>https://pubmed.ncbi.nlm.nih.gov/12653747</v>
      </c>
      <c r="F934" s="92" t="s">
        <v>511</v>
      </c>
      <c r="G934" s="374" t="s">
        <v>4867</v>
      </c>
      <c r="H934" s="21"/>
      <c r="I934" s="92"/>
      <c r="J934" s="92"/>
      <c r="K934" s="92"/>
      <c r="L934" s="92"/>
      <c r="M934" s="92"/>
      <c r="N934" s="92"/>
      <c r="O934" s="92"/>
      <c r="P934" s="92"/>
      <c r="Q934" s="92"/>
      <c r="R934" s="92"/>
      <c r="S934" s="92"/>
      <c r="T934" s="92"/>
      <c r="U934" s="92"/>
      <c r="V934" s="92"/>
      <c r="W934" s="92"/>
      <c r="X934" s="92"/>
      <c r="Y934" s="92"/>
      <c r="Z934" s="92"/>
    </row>
    <row r="935" spans="1:26" ht="12.75">
      <c r="A935" s="92" t="s">
        <v>7719</v>
      </c>
      <c r="B935" s="372">
        <v>2009</v>
      </c>
      <c r="C935" s="372">
        <v>19442936</v>
      </c>
      <c r="D935" s="92"/>
      <c r="E935" s="261" t="str">
        <f t="shared" si="0"/>
        <v>https://pubmed.ncbi.nlm.nih.gov/19442936</v>
      </c>
      <c r="F935" s="92" t="s">
        <v>511</v>
      </c>
      <c r="G935" s="374" t="s">
        <v>7720</v>
      </c>
      <c r="H935" s="21"/>
      <c r="I935" s="21"/>
      <c r="J935" s="21"/>
      <c r="K935" s="92"/>
      <c r="L935" s="92"/>
      <c r="M935" s="92"/>
      <c r="N935" s="92"/>
      <c r="O935" s="92"/>
      <c r="P935" s="92"/>
      <c r="Q935" s="92"/>
      <c r="R935" s="92"/>
      <c r="S935" s="92"/>
      <c r="T935" s="92"/>
      <c r="U935" s="92"/>
      <c r="V935" s="92"/>
      <c r="W935" s="92"/>
      <c r="X935" s="92"/>
      <c r="Y935" s="92"/>
      <c r="Z935" s="92"/>
    </row>
    <row r="936" spans="1:26" ht="12.75">
      <c r="A936" s="92" t="s">
        <v>7721</v>
      </c>
      <c r="B936" s="372">
        <v>2015</v>
      </c>
      <c r="C936" s="372">
        <v>25801552</v>
      </c>
      <c r="D936" s="92" t="s">
        <v>7722</v>
      </c>
      <c r="E936" s="261" t="str">
        <f t="shared" si="0"/>
        <v>https://pubmed.ncbi.nlm.nih.gov/25801552</v>
      </c>
      <c r="F936" s="92" t="s">
        <v>511</v>
      </c>
      <c r="G936" s="374" t="s">
        <v>7723</v>
      </c>
      <c r="H936" s="21"/>
      <c r="I936" s="92"/>
      <c r="J936" s="92"/>
      <c r="K936" s="92"/>
      <c r="L936" s="92"/>
      <c r="M936" s="92"/>
      <c r="N936" s="92"/>
      <c r="O936" s="92"/>
      <c r="P936" s="92"/>
      <c r="Q936" s="92"/>
      <c r="R936" s="92"/>
      <c r="S936" s="92"/>
      <c r="T936" s="92"/>
      <c r="U936" s="92"/>
      <c r="V936" s="92"/>
      <c r="W936" s="92"/>
      <c r="X936" s="92"/>
      <c r="Y936" s="92"/>
      <c r="Z936" s="92"/>
    </row>
    <row r="937" spans="1:26" ht="12.75">
      <c r="A937" s="92" t="s">
        <v>7724</v>
      </c>
      <c r="B937" s="372">
        <v>2011</v>
      </c>
      <c r="C937" s="372">
        <v>21492926</v>
      </c>
      <c r="D937" s="92"/>
      <c r="E937" s="261" t="str">
        <f t="shared" si="0"/>
        <v>https://pubmed.ncbi.nlm.nih.gov/21492926</v>
      </c>
      <c r="F937" s="92" t="s">
        <v>511</v>
      </c>
      <c r="G937" s="374" t="s">
        <v>4867</v>
      </c>
      <c r="H937" s="21"/>
      <c r="I937" s="92"/>
      <c r="J937" s="92"/>
      <c r="K937" s="92"/>
      <c r="L937" s="92"/>
      <c r="M937" s="92"/>
      <c r="N937" s="92"/>
      <c r="O937" s="92"/>
      <c r="P937" s="92"/>
      <c r="Q937" s="92"/>
      <c r="R937" s="92"/>
      <c r="S937" s="92"/>
      <c r="T937" s="92"/>
      <c r="U937" s="92"/>
      <c r="V937" s="92"/>
      <c r="W937" s="92"/>
      <c r="X937" s="92"/>
      <c r="Y937" s="92"/>
      <c r="Z937" s="92"/>
    </row>
    <row r="938" spans="1:26" ht="12.75">
      <c r="A938" s="92" t="s">
        <v>7725</v>
      </c>
      <c r="B938" s="372">
        <v>2008</v>
      </c>
      <c r="C938" s="372">
        <v>18664153</v>
      </c>
      <c r="D938" s="92"/>
      <c r="E938" s="261" t="str">
        <f t="shared" si="0"/>
        <v>https://pubmed.ncbi.nlm.nih.gov/18664153</v>
      </c>
      <c r="F938" s="92" t="s">
        <v>511</v>
      </c>
      <c r="G938" s="374" t="s">
        <v>5299</v>
      </c>
      <c r="H938" s="21"/>
      <c r="I938" s="92"/>
      <c r="J938" s="92"/>
      <c r="K938" s="92"/>
      <c r="L938" s="92"/>
      <c r="M938" s="92"/>
      <c r="N938" s="92"/>
      <c r="O938" s="92"/>
      <c r="P938" s="92"/>
      <c r="Q938" s="92"/>
      <c r="R938" s="92"/>
      <c r="S938" s="92"/>
      <c r="T938" s="92"/>
      <c r="U938" s="92"/>
      <c r="V938" s="92"/>
      <c r="W938" s="92"/>
      <c r="X938" s="92"/>
      <c r="Y938" s="92"/>
      <c r="Z938" s="92"/>
    </row>
    <row r="939" spans="1:26" ht="12.75">
      <c r="A939" s="92" t="s">
        <v>7726</v>
      </c>
      <c r="B939" s="372">
        <v>2019</v>
      </c>
      <c r="C939" s="372">
        <v>31378318</v>
      </c>
      <c r="D939" s="92"/>
      <c r="E939" s="261" t="str">
        <f t="shared" si="0"/>
        <v>https://pubmed.ncbi.nlm.nih.gov/31378318</v>
      </c>
      <c r="F939" s="92" t="s">
        <v>511</v>
      </c>
      <c r="G939" s="374" t="s">
        <v>5157</v>
      </c>
      <c r="H939" s="21"/>
      <c r="I939" s="21"/>
      <c r="J939" s="92"/>
      <c r="K939" s="92"/>
      <c r="L939" s="92"/>
      <c r="M939" s="92"/>
      <c r="N939" s="92"/>
      <c r="O939" s="92"/>
      <c r="P939" s="92"/>
      <c r="Q939" s="92"/>
      <c r="R939" s="92"/>
      <c r="S939" s="92"/>
      <c r="T939" s="92"/>
      <c r="U939" s="92"/>
      <c r="V939" s="92"/>
      <c r="W939" s="92"/>
      <c r="X939" s="92"/>
      <c r="Y939" s="92"/>
      <c r="Z939" s="92"/>
    </row>
    <row r="940" spans="1:26" ht="12.75">
      <c r="A940" s="92" t="s">
        <v>7727</v>
      </c>
      <c r="B940" s="372">
        <v>2009</v>
      </c>
      <c r="C940" s="372">
        <v>19596014</v>
      </c>
      <c r="D940" s="92"/>
      <c r="E940" s="261" t="str">
        <f t="shared" si="0"/>
        <v>https://pubmed.ncbi.nlm.nih.gov/19596014</v>
      </c>
      <c r="F940" s="92" t="s">
        <v>511</v>
      </c>
      <c r="G940" s="374" t="s">
        <v>5157</v>
      </c>
      <c r="H940" s="21"/>
      <c r="I940" s="21"/>
      <c r="J940" s="92"/>
      <c r="K940" s="92"/>
      <c r="L940" s="92"/>
      <c r="M940" s="92"/>
      <c r="N940" s="92"/>
      <c r="O940" s="92"/>
      <c r="P940" s="92"/>
      <c r="Q940" s="92"/>
      <c r="R940" s="92"/>
      <c r="S940" s="92"/>
      <c r="T940" s="92"/>
      <c r="U940" s="92"/>
      <c r="V940" s="92"/>
      <c r="W940" s="92"/>
      <c r="X940" s="92"/>
      <c r="Y940" s="92"/>
      <c r="Z940" s="92"/>
    </row>
    <row r="941" spans="1:26" ht="12.75">
      <c r="A941" s="92" t="s">
        <v>7728</v>
      </c>
      <c r="B941" s="372">
        <v>2020</v>
      </c>
      <c r="C941" s="372">
        <v>31950853</v>
      </c>
      <c r="D941" s="92"/>
      <c r="E941" s="261" t="str">
        <f t="shared" si="0"/>
        <v>https://pubmed.ncbi.nlm.nih.gov/31950853</v>
      </c>
      <c r="F941" s="92" t="s">
        <v>511</v>
      </c>
      <c r="G941" s="92" t="s">
        <v>5273</v>
      </c>
      <c r="H941" s="92"/>
      <c r="I941" s="92"/>
      <c r="J941" s="92"/>
      <c r="K941" s="92"/>
      <c r="L941" s="92"/>
      <c r="M941" s="92"/>
      <c r="N941" s="92"/>
      <c r="O941" s="92"/>
      <c r="P941" s="92"/>
      <c r="Q941" s="92"/>
      <c r="R941" s="92"/>
      <c r="S941" s="92"/>
      <c r="T941" s="92"/>
      <c r="U941" s="92"/>
      <c r="V941" s="92"/>
      <c r="W941" s="92"/>
      <c r="X941" s="92"/>
      <c r="Y941" s="92"/>
      <c r="Z941" s="92"/>
    </row>
    <row r="942" spans="1:26" ht="12.75">
      <c r="A942" s="92" t="s">
        <v>7729</v>
      </c>
      <c r="B942" s="372">
        <v>2019</v>
      </c>
      <c r="C942" s="372">
        <v>30990961</v>
      </c>
      <c r="D942" s="92" t="s">
        <v>7730</v>
      </c>
      <c r="E942" s="261" t="str">
        <f t="shared" si="0"/>
        <v>https://pubmed.ncbi.nlm.nih.gov/30990961</v>
      </c>
      <c r="F942" s="92" t="s">
        <v>511</v>
      </c>
      <c r="G942" s="92" t="s">
        <v>8387</v>
      </c>
      <c r="H942" s="92"/>
      <c r="I942" s="92"/>
      <c r="J942" s="92"/>
      <c r="K942" s="92"/>
      <c r="L942" s="92"/>
      <c r="M942" s="92"/>
      <c r="N942" s="92"/>
      <c r="O942" s="92"/>
      <c r="P942" s="92"/>
      <c r="Q942" s="92"/>
      <c r="R942" s="92"/>
      <c r="S942" s="92"/>
      <c r="T942" s="92"/>
      <c r="U942" s="92"/>
      <c r="V942" s="92"/>
      <c r="W942" s="92"/>
      <c r="X942" s="92"/>
      <c r="Y942" s="92"/>
      <c r="Z942" s="92"/>
    </row>
    <row r="943" spans="1:26" ht="12.75">
      <c r="A943" s="92" t="s">
        <v>7731</v>
      </c>
      <c r="B943" s="372">
        <v>2015</v>
      </c>
      <c r="C943" s="372">
        <v>26221044</v>
      </c>
      <c r="D943" s="92"/>
      <c r="E943" s="261" t="str">
        <f t="shared" si="0"/>
        <v>https://pubmed.ncbi.nlm.nih.gov/26221044</v>
      </c>
      <c r="F943" s="92" t="s">
        <v>511</v>
      </c>
      <c r="G943" s="374" t="s">
        <v>5157</v>
      </c>
      <c r="H943" s="21"/>
      <c r="I943" s="21"/>
      <c r="J943" s="92"/>
      <c r="K943" s="92"/>
      <c r="L943" s="92"/>
      <c r="M943" s="92"/>
      <c r="N943" s="92"/>
      <c r="O943" s="92"/>
      <c r="P943" s="92"/>
      <c r="Q943" s="92"/>
      <c r="R943" s="92"/>
      <c r="S943" s="92"/>
      <c r="T943" s="92"/>
      <c r="U943" s="92"/>
      <c r="V943" s="92"/>
      <c r="W943" s="92"/>
      <c r="X943" s="92"/>
      <c r="Y943" s="92"/>
      <c r="Z943" s="92"/>
    </row>
    <row r="944" spans="1:26" ht="12.75">
      <c r="A944" s="92" t="s">
        <v>7732</v>
      </c>
      <c r="B944" s="372">
        <v>2010</v>
      </c>
      <c r="C944" s="372">
        <v>21316545</v>
      </c>
      <c r="D944" s="92"/>
      <c r="E944" s="261" t="str">
        <f t="shared" si="0"/>
        <v>https://pubmed.ncbi.nlm.nih.gov/21316545</v>
      </c>
      <c r="F944" s="92" t="s">
        <v>511</v>
      </c>
      <c r="G944" s="92" t="s">
        <v>4587</v>
      </c>
      <c r="H944" s="92"/>
      <c r="I944" s="92"/>
      <c r="J944" s="92"/>
      <c r="K944" s="92"/>
      <c r="L944" s="92"/>
      <c r="M944" s="92"/>
      <c r="N944" s="92"/>
      <c r="O944" s="92"/>
      <c r="P944" s="92"/>
      <c r="Q944" s="92"/>
      <c r="R944" s="92"/>
      <c r="S944" s="92"/>
      <c r="T944" s="92"/>
      <c r="U944" s="92"/>
      <c r="V944" s="92"/>
      <c r="W944" s="92"/>
      <c r="X944" s="92"/>
      <c r="Y944" s="92"/>
      <c r="Z944" s="92"/>
    </row>
    <row r="945" spans="1:26" ht="12.75">
      <c r="A945" s="92" t="s">
        <v>7733</v>
      </c>
      <c r="B945" s="372">
        <v>2017</v>
      </c>
      <c r="C945" s="372">
        <v>28477689</v>
      </c>
      <c r="D945" s="92"/>
      <c r="E945" s="261" t="str">
        <f t="shared" si="0"/>
        <v>https://pubmed.ncbi.nlm.nih.gov/28477689</v>
      </c>
      <c r="F945" s="92" t="s">
        <v>511</v>
      </c>
      <c r="G945" s="92" t="s">
        <v>4592</v>
      </c>
      <c r="H945" s="92"/>
      <c r="I945" s="92"/>
      <c r="J945" s="92"/>
      <c r="K945" s="92"/>
      <c r="L945" s="92"/>
      <c r="M945" s="92"/>
      <c r="N945" s="92"/>
      <c r="O945" s="92"/>
      <c r="P945" s="92"/>
      <c r="Q945" s="92"/>
      <c r="R945" s="92"/>
      <c r="S945" s="92"/>
      <c r="T945" s="92"/>
      <c r="U945" s="92"/>
      <c r="V945" s="92"/>
      <c r="W945" s="92"/>
      <c r="X945" s="92"/>
      <c r="Y945" s="92"/>
      <c r="Z945" s="92"/>
    </row>
    <row r="946" spans="1:26" ht="12.75">
      <c r="A946" s="92" t="s">
        <v>7734</v>
      </c>
      <c r="B946" s="372">
        <v>2012</v>
      </c>
      <c r="C946" s="372">
        <v>22479361</v>
      </c>
      <c r="D946" s="92" t="s">
        <v>7735</v>
      </c>
      <c r="E946" s="261" t="str">
        <f t="shared" si="0"/>
        <v>https://pubmed.ncbi.nlm.nih.gov/22479361</v>
      </c>
      <c r="F946" s="92" t="s">
        <v>511</v>
      </c>
      <c r="G946" s="374" t="s">
        <v>4744</v>
      </c>
      <c r="H946" s="21"/>
      <c r="I946" s="92"/>
      <c r="J946" s="92"/>
      <c r="K946" s="92"/>
      <c r="L946" s="92"/>
      <c r="M946" s="92"/>
      <c r="N946" s="92"/>
      <c r="O946" s="92"/>
      <c r="P946" s="92"/>
      <c r="Q946" s="92"/>
      <c r="R946" s="92"/>
      <c r="S946" s="92"/>
      <c r="T946" s="92"/>
      <c r="U946" s="92"/>
      <c r="V946" s="92"/>
      <c r="W946" s="92"/>
      <c r="X946" s="92"/>
      <c r="Y946" s="92"/>
      <c r="Z946" s="92"/>
    </row>
    <row r="947" spans="1:26" ht="12.75">
      <c r="A947" s="92" t="s">
        <v>7736</v>
      </c>
      <c r="B947" s="372">
        <v>2020</v>
      </c>
      <c r="C947" s="372">
        <v>32334570</v>
      </c>
      <c r="D947" s="92" t="s">
        <v>7737</v>
      </c>
      <c r="E947" s="261" t="str">
        <f t="shared" si="0"/>
        <v>https://pubmed.ncbi.nlm.nih.gov/32334570</v>
      </c>
      <c r="F947" s="92" t="s">
        <v>511</v>
      </c>
      <c r="G947" s="374" t="s">
        <v>6712</v>
      </c>
      <c r="H947" s="21"/>
      <c r="I947" s="92"/>
      <c r="J947" s="92"/>
      <c r="K947" s="92"/>
      <c r="L947" s="92"/>
      <c r="M947" s="92"/>
      <c r="N947" s="92"/>
      <c r="O947" s="92"/>
      <c r="P947" s="92"/>
      <c r="Q947" s="92"/>
      <c r="R947" s="92"/>
      <c r="S947" s="92"/>
      <c r="T947" s="92"/>
      <c r="U947" s="92"/>
      <c r="V947" s="92"/>
      <c r="W947" s="92"/>
      <c r="X947" s="92"/>
      <c r="Y947" s="92"/>
      <c r="Z947" s="92"/>
    </row>
    <row r="948" spans="1:26" ht="12.75">
      <c r="A948" s="92" t="s">
        <v>7738</v>
      </c>
      <c r="B948" s="372">
        <v>2021</v>
      </c>
      <c r="C948" s="372">
        <v>32750273</v>
      </c>
      <c r="D948" s="92" t="s">
        <v>7739</v>
      </c>
      <c r="E948" s="261" t="str">
        <f t="shared" si="0"/>
        <v>https://pubmed.ncbi.nlm.nih.gov/32750273</v>
      </c>
      <c r="F948" s="92" t="s">
        <v>511</v>
      </c>
      <c r="G948" s="374" t="s">
        <v>8441</v>
      </c>
      <c r="H948" s="21"/>
      <c r="I948" s="92"/>
      <c r="J948" s="92"/>
      <c r="K948" s="92"/>
      <c r="L948" s="92"/>
      <c r="M948" s="92"/>
      <c r="N948" s="92"/>
      <c r="O948" s="92"/>
      <c r="P948" s="92"/>
      <c r="Q948" s="92"/>
      <c r="R948" s="92"/>
      <c r="S948" s="92"/>
      <c r="T948" s="92"/>
      <c r="U948" s="92"/>
      <c r="V948" s="92"/>
      <c r="W948" s="92"/>
      <c r="X948" s="92"/>
      <c r="Y948" s="92"/>
      <c r="Z948" s="92"/>
    </row>
    <row r="949" spans="1:26" ht="12.75">
      <c r="A949" s="92" t="s">
        <v>7741</v>
      </c>
      <c r="B949" s="372">
        <v>2004</v>
      </c>
      <c r="C949" s="372">
        <v>15568608</v>
      </c>
      <c r="D949" s="92"/>
      <c r="E949" s="261" t="str">
        <f t="shared" si="0"/>
        <v>https://pubmed.ncbi.nlm.nih.gov/15568608</v>
      </c>
      <c r="F949" s="92" t="s">
        <v>511</v>
      </c>
      <c r="G949" s="92" t="s">
        <v>6623</v>
      </c>
      <c r="H949" s="92"/>
      <c r="I949" s="92"/>
      <c r="J949" s="92"/>
      <c r="K949" s="92"/>
      <c r="L949" s="92"/>
      <c r="M949" s="92"/>
      <c r="N949" s="92"/>
      <c r="O949" s="92"/>
      <c r="P949" s="92"/>
      <c r="Q949" s="92"/>
      <c r="R949" s="92"/>
      <c r="S949" s="92"/>
      <c r="T949" s="92"/>
      <c r="U949" s="92"/>
      <c r="V949" s="92"/>
      <c r="W949" s="92"/>
      <c r="X949" s="92"/>
      <c r="Y949" s="92"/>
      <c r="Z949" s="92"/>
    </row>
    <row r="950" spans="1:26" ht="12.75">
      <c r="A950" s="92" t="s">
        <v>7742</v>
      </c>
      <c r="B950" s="372">
        <v>2011</v>
      </c>
      <c r="C950" s="372">
        <v>21360007</v>
      </c>
      <c r="D950" s="92" t="s">
        <v>7743</v>
      </c>
      <c r="E950" s="261" t="str">
        <f t="shared" si="0"/>
        <v>https://pubmed.ncbi.nlm.nih.gov/21360007</v>
      </c>
      <c r="F950" s="92" t="s">
        <v>511</v>
      </c>
      <c r="G950" s="374" t="s">
        <v>4867</v>
      </c>
      <c r="H950" s="21"/>
      <c r="I950" s="92"/>
      <c r="J950" s="92"/>
      <c r="K950" s="92"/>
      <c r="L950" s="92"/>
      <c r="M950" s="92"/>
      <c r="N950" s="92"/>
      <c r="O950" s="92"/>
      <c r="P950" s="92"/>
      <c r="Q950" s="92"/>
      <c r="R950" s="92"/>
      <c r="S950" s="92"/>
      <c r="T950" s="92"/>
      <c r="U950" s="92"/>
      <c r="V950" s="92"/>
      <c r="W950" s="92"/>
      <c r="X950" s="92"/>
      <c r="Y950" s="92"/>
      <c r="Z950" s="92"/>
    </row>
    <row r="951" spans="1:26" ht="12.75">
      <c r="A951" s="92" t="s">
        <v>5098</v>
      </c>
      <c r="B951" s="372">
        <v>2017</v>
      </c>
      <c r="C951" s="372">
        <v>28007576</v>
      </c>
      <c r="D951" s="92"/>
      <c r="E951" s="261" t="str">
        <f t="shared" si="0"/>
        <v>https://pubmed.ncbi.nlm.nih.gov/28007576</v>
      </c>
      <c r="F951" s="92" t="s">
        <v>511</v>
      </c>
      <c r="G951" s="374" t="s">
        <v>5157</v>
      </c>
      <c r="H951" s="21"/>
      <c r="I951" s="21"/>
      <c r="J951" s="92"/>
      <c r="K951" s="92"/>
      <c r="L951" s="92"/>
      <c r="M951" s="92"/>
      <c r="N951" s="92"/>
      <c r="O951" s="92"/>
      <c r="P951" s="92"/>
      <c r="Q951" s="92"/>
      <c r="R951" s="92"/>
      <c r="S951" s="92"/>
      <c r="T951" s="92"/>
      <c r="U951" s="92"/>
      <c r="V951" s="92"/>
      <c r="W951" s="92"/>
      <c r="X951" s="92"/>
      <c r="Y951" s="92"/>
      <c r="Z951" s="92"/>
    </row>
    <row r="952" spans="1:26" ht="12.75">
      <c r="A952" s="92" t="s">
        <v>7744</v>
      </c>
      <c r="B952" s="372">
        <v>2014</v>
      </c>
      <c r="C952" s="372">
        <v>24988909</v>
      </c>
      <c r="D952" s="92" t="s">
        <v>7745</v>
      </c>
      <c r="E952" s="261" t="str">
        <f t="shared" si="0"/>
        <v>https://pubmed.ncbi.nlm.nih.gov/24988909</v>
      </c>
      <c r="F952" s="92" t="s">
        <v>511</v>
      </c>
      <c r="G952" s="374" t="s">
        <v>4744</v>
      </c>
      <c r="H952" s="21"/>
      <c r="I952" s="92"/>
      <c r="J952" s="92"/>
      <c r="K952" s="92"/>
      <c r="L952" s="92"/>
      <c r="M952" s="92"/>
      <c r="N952" s="92"/>
      <c r="O952" s="92"/>
      <c r="P952" s="92"/>
      <c r="Q952" s="92"/>
      <c r="R952" s="92"/>
      <c r="S952" s="92"/>
      <c r="T952" s="92"/>
      <c r="U952" s="92"/>
      <c r="V952" s="92"/>
      <c r="W952" s="92"/>
      <c r="X952" s="92"/>
      <c r="Y952" s="92"/>
      <c r="Z952" s="92"/>
    </row>
    <row r="953" spans="1:26" ht="12.75">
      <c r="A953" s="92" t="s">
        <v>7746</v>
      </c>
      <c r="B953" s="372">
        <v>2011</v>
      </c>
      <c r="C953" s="372">
        <v>21459680</v>
      </c>
      <c r="D953" s="92"/>
      <c r="E953" s="261" t="str">
        <f t="shared" si="0"/>
        <v>https://pubmed.ncbi.nlm.nih.gov/21459680</v>
      </c>
      <c r="F953" s="92" t="s">
        <v>511</v>
      </c>
      <c r="G953" s="374" t="s">
        <v>7747</v>
      </c>
      <c r="H953" s="21"/>
      <c r="I953" s="21"/>
      <c r="J953" s="92"/>
      <c r="K953" s="92"/>
      <c r="L953" s="92"/>
      <c r="M953" s="92"/>
      <c r="N953" s="92"/>
      <c r="O953" s="92"/>
      <c r="P953" s="92"/>
      <c r="Q953" s="92"/>
      <c r="R953" s="92"/>
      <c r="S953" s="92"/>
      <c r="T953" s="92"/>
      <c r="U953" s="92"/>
      <c r="V953" s="92"/>
      <c r="W953" s="92"/>
      <c r="X953" s="92"/>
      <c r="Y953" s="92"/>
      <c r="Z953" s="92"/>
    </row>
    <row r="954" spans="1:26" ht="12.75">
      <c r="A954" s="92" t="s">
        <v>7746</v>
      </c>
      <c r="B954" s="372">
        <v>2010</v>
      </c>
      <c r="C954" s="372">
        <v>20350952</v>
      </c>
      <c r="D954" s="92"/>
      <c r="E954" s="261" t="str">
        <f t="shared" si="0"/>
        <v>https://pubmed.ncbi.nlm.nih.gov/20350952</v>
      </c>
      <c r="F954" s="92" t="s">
        <v>511</v>
      </c>
      <c r="G954" s="374" t="s">
        <v>7747</v>
      </c>
      <c r="H954" s="21"/>
      <c r="I954" s="21"/>
      <c r="J954" s="92"/>
      <c r="K954" s="92"/>
      <c r="L954" s="92"/>
      <c r="M954" s="92"/>
      <c r="N954" s="92"/>
      <c r="O954" s="92"/>
      <c r="P954" s="92"/>
      <c r="Q954" s="92"/>
      <c r="R954" s="92"/>
      <c r="S954" s="92"/>
      <c r="T954" s="92"/>
      <c r="U954" s="92"/>
      <c r="V954" s="92"/>
      <c r="W954" s="92"/>
      <c r="X954" s="92"/>
      <c r="Y954" s="92"/>
      <c r="Z954" s="92"/>
    </row>
    <row r="955" spans="1:26" ht="12.75">
      <c r="A955" s="92" t="s">
        <v>7748</v>
      </c>
      <c r="B955" s="372">
        <v>2017</v>
      </c>
      <c r="C955" s="372">
        <v>27942720</v>
      </c>
      <c r="D955" s="92"/>
      <c r="E955" s="261" t="str">
        <f t="shared" si="0"/>
        <v>https://pubmed.ncbi.nlm.nih.gov/27942720</v>
      </c>
      <c r="F955" s="92" t="s">
        <v>511</v>
      </c>
      <c r="G955" s="374" t="s">
        <v>5157</v>
      </c>
      <c r="H955" s="21"/>
      <c r="I955" s="21"/>
      <c r="J955" s="92"/>
      <c r="K955" s="92"/>
      <c r="L955" s="92"/>
      <c r="M955" s="92"/>
      <c r="N955" s="92"/>
      <c r="O955" s="92"/>
      <c r="P955" s="92"/>
      <c r="Q955" s="92"/>
      <c r="R955" s="92"/>
      <c r="S955" s="92"/>
      <c r="T955" s="92"/>
      <c r="U955" s="92"/>
      <c r="V955" s="92"/>
      <c r="W955" s="92"/>
      <c r="X955" s="92"/>
      <c r="Y955" s="92"/>
      <c r="Z955" s="92"/>
    </row>
    <row r="956" spans="1:26" ht="12.75">
      <c r="A956" s="92" t="s">
        <v>7749</v>
      </c>
      <c r="B956" s="372">
        <v>1999</v>
      </c>
      <c r="C956" s="372">
        <v>10469179</v>
      </c>
      <c r="D956" s="92"/>
      <c r="E956" s="261" t="str">
        <f t="shared" si="0"/>
        <v>https://pubmed.ncbi.nlm.nih.gov/10469179</v>
      </c>
      <c r="F956" s="92" t="s">
        <v>511</v>
      </c>
      <c r="G956" s="374" t="s">
        <v>4867</v>
      </c>
      <c r="H956" s="21"/>
      <c r="I956" s="92"/>
      <c r="J956" s="92"/>
      <c r="K956" s="92"/>
      <c r="L956" s="92"/>
      <c r="M956" s="92"/>
      <c r="N956" s="92"/>
      <c r="O956" s="92"/>
      <c r="P956" s="92"/>
      <c r="Q956" s="92"/>
      <c r="R956" s="92"/>
      <c r="S956" s="92"/>
      <c r="T956" s="92"/>
      <c r="U956" s="92"/>
      <c r="V956" s="92"/>
      <c r="W956" s="92"/>
      <c r="X956" s="92"/>
      <c r="Y956" s="92"/>
      <c r="Z956" s="92"/>
    </row>
    <row r="957" spans="1:26" ht="12.75">
      <c r="A957" s="92" t="s">
        <v>7750</v>
      </c>
      <c r="B957" s="372">
        <v>2020</v>
      </c>
      <c r="C957" s="372">
        <v>32758889</v>
      </c>
      <c r="D957" s="92" t="s">
        <v>7751</v>
      </c>
      <c r="E957" s="261" t="str">
        <f t="shared" si="0"/>
        <v>https://pubmed.ncbi.nlm.nih.gov/32758889</v>
      </c>
      <c r="F957" s="92" t="s">
        <v>511</v>
      </c>
      <c r="G957" s="374" t="s">
        <v>7752</v>
      </c>
      <c r="H957" s="21"/>
      <c r="I957" s="21"/>
      <c r="J957" s="92"/>
      <c r="K957" s="92"/>
      <c r="L957" s="92"/>
      <c r="M957" s="92"/>
      <c r="N957" s="92"/>
      <c r="O957" s="92"/>
      <c r="P957" s="92"/>
      <c r="Q957" s="92"/>
      <c r="R957" s="92"/>
      <c r="S957" s="92"/>
      <c r="T957" s="92"/>
      <c r="U957" s="92"/>
      <c r="V957" s="92"/>
      <c r="W957" s="92"/>
      <c r="X957" s="92"/>
      <c r="Y957" s="92"/>
      <c r="Z957" s="92"/>
    </row>
    <row r="958" spans="1:26" ht="12.75">
      <c r="A958" s="92" t="s">
        <v>7753</v>
      </c>
      <c r="B958" s="372">
        <v>2017</v>
      </c>
      <c r="C958" s="372">
        <v>28420008</v>
      </c>
      <c r="D958" s="92"/>
      <c r="E958" s="261" t="str">
        <f t="shared" si="0"/>
        <v>https://pubmed.ncbi.nlm.nih.gov/28420008</v>
      </c>
      <c r="F958" s="92" t="s">
        <v>511</v>
      </c>
      <c r="G958" s="374" t="s">
        <v>6412</v>
      </c>
      <c r="H958" s="21"/>
      <c r="I958" s="92"/>
      <c r="J958" s="92"/>
      <c r="K958" s="92"/>
      <c r="L958" s="92"/>
      <c r="M958" s="92"/>
      <c r="N958" s="92"/>
      <c r="O958" s="92"/>
      <c r="P958" s="92"/>
      <c r="Q958" s="92"/>
      <c r="R958" s="92"/>
      <c r="S958" s="92"/>
      <c r="T958" s="92"/>
      <c r="U958" s="92"/>
      <c r="V958" s="92"/>
      <c r="W958" s="92"/>
      <c r="X958" s="92"/>
      <c r="Y958" s="92"/>
      <c r="Z958" s="92"/>
    </row>
    <row r="959" spans="1:26" ht="12.75">
      <c r="A959" s="92" t="s">
        <v>7754</v>
      </c>
      <c r="B959" s="372">
        <v>2020</v>
      </c>
      <c r="C959" s="372">
        <v>32378196</v>
      </c>
      <c r="D959" s="92" t="s">
        <v>7755</v>
      </c>
      <c r="E959" s="261" t="str">
        <f t="shared" si="0"/>
        <v>https://pubmed.ncbi.nlm.nih.gov/32378196</v>
      </c>
      <c r="F959" s="92" t="s">
        <v>511</v>
      </c>
      <c r="G959" s="92" t="s">
        <v>5273</v>
      </c>
      <c r="H959" s="92"/>
      <c r="I959" s="92"/>
      <c r="J959" s="92"/>
      <c r="K959" s="92"/>
      <c r="L959" s="92"/>
      <c r="M959" s="92"/>
      <c r="N959" s="92"/>
      <c r="O959" s="92"/>
      <c r="P959" s="92"/>
      <c r="Q959" s="92"/>
      <c r="R959" s="92"/>
      <c r="S959" s="92"/>
      <c r="T959" s="92"/>
      <c r="U959" s="92"/>
      <c r="V959" s="92"/>
      <c r="W959" s="92"/>
      <c r="X959" s="92"/>
      <c r="Y959" s="92"/>
      <c r="Z959" s="92"/>
    </row>
    <row r="960" spans="1:26" ht="12.75">
      <c r="A960" s="92" t="s">
        <v>7756</v>
      </c>
      <c r="B960" s="372">
        <v>2013</v>
      </c>
      <c r="C960" s="372">
        <v>23121200</v>
      </c>
      <c r="D960" s="92"/>
      <c r="E960" s="261" t="str">
        <f t="shared" si="0"/>
        <v>https://pubmed.ncbi.nlm.nih.gov/23121200</v>
      </c>
      <c r="F960" s="92" t="s">
        <v>511</v>
      </c>
      <c r="G960" s="374" t="s">
        <v>4744</v>
      </c>
      <c r="H960" s="21"/>
      <c r="I960" s="92"/>
      <c r="J960" s="92"/>
      <c r="K960" s="92"/>
      <c r="L960" s="92"/>
      <c r="M960" s="92"/>
      <c r="N960" s="92"/>
      <c r="O960" s="92"/>
      <c r="P960" s="92"/>
      <c r="Q960" s="92"/>
      <c r="R960" s="92"/>
      <c r="S960" s="92"/>
      <c r="T960" s="92"/>
      <c r="U960" s="92"/>
      <c r="V960" s="92"/>
      <c r="W960" s="92"/>
      <c r="X960" s="92"/>
      <c r="Y960" s="92"/>
      <c r="Z960" s="92"/>
    </row>
    <row r="961" spans="1:26" ht="12.75">
      <c r="A961" s="92" t="s">
        <v>7757</v>
      </c>
      <c r="B961" s="372">
        <v>2019</v>
      </c>
      <c r="C961" s="372">
        <v>30755164</v>
      </c>
      <c r="D961" s="92" t="s">
        <v>7758</v>
      </c>
      <c r="E961" s="261" t="str">
        <f t="shared" si="0"/>
        <v>https://pubmed.ncbi.nlm.nih.gov/30755164</v>
      </c>
      <c r="F961" s="92" t="s">
        <v>511</v>
      </c>
      <c r="G961" s="374" t="s">
        <v>4867</v>
      </c>
      <c r="H961" s="21"/>
      <c r="I961" s="92"/>
      <c r="J961" s="92"/>
      <c r="K961" s="92"/>
      <c r="L961" s="92"/>
      <c r="M961" s="92"/>
      <c r="N961" s="92"/>
      <c r="O961" s="92"/>
      <c r="P961" s="92"/>
      <c r="Q961" s="92"/>
      <c r="R961" s="92"/>
      <c r="S961" s="92"/>
      <c r="T961" s="92"/>
      <c r="U961" s="92"/>
      <c r="V961" s="92"/>
      <c r="W961" s="92"/>
      <c r="X961" s="92"/>
      <c r="Y961" s="92"/>
      <c r="Z961" s="92"/>
    </row>
    <row r="962" spans="1:26" ht="12.75">
      <c r="A962" s="92" t="s">
        <v>7759</v>
      </c>
      <c r="B962" s="372">
        <v>2013</v>
      </c>
      <c r="C962" s="372">
        <v>23602535</v>
      </c>
      <c r="D962" s="92"/>
      <c r="E962" s="261" t="str">
        <f t="shared" si="0"/>
        <v>https://pubmed.ncbi.nlm.nih.gov/23602535</v>
      </c>
      <c r="F962" s="92" t="s">
        <v>511</v>
      </c>
      <c r="G962" s="374" t="s">
        <v>7760</v>
      </c>
      <c r="H962" s="21"/>
      <c r="I962" s="92"/>
      <c r="J962" s="92"/>
      <c r="K962" s="92"/>
      <c r="L962" s="92"/>
      <c r="M962" s="92"/>
      <c r="N962" s="92"/>
      <c r="O962" s="92"/>
      <c r="P962" s="92"/>
      <c r="Q962" s="92"/>
      <c r="R962" s="92"/>
      <c r="S962" s="92"/>
      <c r="T962" s="92"/>
      <c r="U962" s="92"/>
      <c r="V962" s="92"/>
      <c r="W962" s="92"/>
      <c r="X962" s="92"/>
      <c r="Y962" s="92"/>
      <c r="Z962" s="92"/>
    </row>
    <row r="963" spans="1:26" ht="12.75">
      <c r="A963" s="92" t="s">
        <v>7761</v>
      </c>
      <c r="B963" s="372">
        <v>2009</v>
      </c>
      <c r="C963" s="372">
        <v>19644773</v>
      </c>
      <c r="D963" s="92"/>
      <c r="E963" s="261" t="str">
        <f t="shared" si="0"/>
        <v>https://pubmed.ncbi.nlm.nih.gov/19644773</v>
      </c>
      <c r="F963" s="92" t="s">
        <v>511</v>
      </c>
      <c r="G963" s="92" t="s">
        <v>4592</v>
      </c>
      <c r="H963" s="92"/>
      <c r="I963" s="92"/>
      <c r="J963" s="92"/>
      <c r="K963" s="92"/>
      <c r="L963" s="92"/>
      <c r="M963" s="92"/>
      <c r="N963" s="92"/>
      <c r="O963" s="92"/>
      <c r="P963" s="92"/>
      <c r="Q963" s="92"/>
      <c r="R963" s="92"/>
      <c r="S963" s="92"/>
      <c r="T963" s="92"/>
      <c r="U963" s="92"/>
      <c r="V963" s="92"/>
      <c r="W963" s="92"/>
      <c r="X963" s="92"/>
      <c r="Y963" s="92"/>
      <c r="Z963" s="92"/>
    </row>
    <row r="964" spans="1:26" ht="12.75">
      <c r="A964" s="92" t="s">
        <v>7762</v>
      </c>
      <c r="B964" s="372">
        <v>2014</v>
      </c>
      <c r="C964" s="372">
        <v>25168927</v>
      </c>
      <c r="D964" s="92" t="s">
        <v>7763</v>
      </c>
      <c r="E964" s="261" t="str">
        <f t="shared" si="0"/>
        <v>https://pubmed.ncbi.nlm.nih.gov/25168927</v>
      </c>
      <c r="F964" s="92" t="s">
        <v>511</v>
      </c>
      <c r="G964" s="374" t="s">
        <v>5157</v>
      </c>
      <c r="H964" s="21"/>
      <c r="I964" s="21"/>
      <c r="J964" s="92"/>
      <c r="K964" s="92"/>
      <c r="L964" s="92"/>
      <c r="M964" s="92"/>
      <c r="N964" s="92"/>
      <c r="O964" s="92"/>
      <c r="P964" s="92"/>
      <c r="Q964" s="92"/>
      <c r="R964" s="92"/>
      <c r="S964" s="92"/>
      <c r="T964" s="92"/>
      <c r="U964" s="92"/>
      <c r="V964" s="92"/>
      <c r="W964" s="92"/>
      <c r="X964" s="92"/>
      <c r="Y964" s="92"/>
      <c r="Z964" s="92"/>
    </row>
    <row r="965" spans="1:26" ht="12.75">
      <c r="A965" s="92" t="s">
        <v>7764</v>
      </c>
      <c r="B965" s="372">
        <v>2006</v>
      </c>
      <c r="C965" s="372">
        <v>16357613</v>
      </c>
      <c r="D965" s="92"/>
      <c r="E965" s="261" t="str">
        <f t="shared" si="0"/>
        <v>https://pubmed.ncbi.nlm.nih.gov/16357613</v>
      </c>
      <c r="F965" s="92" t="s">
        <v>511</v>
      </c>
      <c r="G965" s="374" t="s">
        <v>5299</v>
      </c>
      <c r="H965" s="21"/>
      <c r="I965" s="92"/>
      <c r="J965" s="92"/>
      <c r="K965" s="92"/>
      <c r="L965" s="92"/>
      <c r="M965" s="92"/>
      <c r="N965" s="92"/>
      <c r="O965" s="92"/>
      <c r="P965" s="92"/>
      <c r="Q965" s="92"/>
      <c r="R965" s="92"/>
      <c r="S965" s="92"/>
      <c r="T965" s="92"/>
      <c r="U965" s="92"/>
      <c r="V965" s="92"/>
      <c r="W965" s="92"/>
      <c r="X965" s="92"/>
      <c r="Y965" s="92"/>
      <c r="Z965" s="92"/>
    </row>
    <row r="966" spans="1:26" ht="12.75">
      <c r="A966" s="92" t="s">
        <v>7765</v>
      </c>
      <c r="B966" s="372">
        <v>2012</v>
      </c>
      <c r="C966" s="372">
        <v>22989372</v>
      </c>
      <c r="D966" s="92" t="s">
        <v>7766</v>
      </c>
      <c r="E966" s="261" t="str">
        <f t="shared" si="0"/>
        <v>https://pubmed.ncbi.nlm.nih.gov/22989372</v>
      </c>
      <c r="F966" s="92" t="s">
        <v>511</v>
      </c>
      <c r="G966" s="374" t="s">
        <v>4744</v>
      </c>
      <c r="H966" s="92"/>
      <c r="I966" s="374" t="s">
        <v>7767</v>
      </c>
      <c r="J966" s="21"/>
      <c r="K966" s="21"/>
      <c r="L966" s="21"/>
      <c r="M966" s="92"/>
      <c r="N966" s="92"/>
      <c r="O966" s="92"/>
      <c r="P966" s="92"/>
      <c r="Q966" s="92"/>
      <c r="R966" s="92"/>
      <c r="S966" s="92"/>
      <c r="T966" s="92"/>
      <c r="U966" s="92"/>
      <c r="V966" s="92"/>
      <c r="W966" s="92"/>
      <c r="X966" s="92"/>
      <c r="Y966" s="92"/>
      <c r="Z966" s="92"/>
    </row>
    <row r="967" spans="1:26" ht="12.75">
      <c r="A967" s="92" t="s">
        <v>7768</v>
      </c>
      <c r="B967" s="372">
        <v>2003</v>
      </c>
      <c r="C967" s="372">
        <v>12794395</v>
      </c>
      <c r="D967" s="92"/>
      <c r="E967" s="261" t="str">
        <f t="shared" si="0"/>
        <v>https://pubmed.ncbi.nlm.nih.gov/12794395</v>
      </c>
      <c r="F967" s="92" t="s">
        <v>511</v>
      </c>
      <c r="G967" s="374" t="s">
        <v>4867</v>
      </c>
      <c r="H967" s="21"/>
      <c r="I967" s="92"/>
      <c r="J967" s="92"/>
      <c r="K967" s="92"/>
      <c r="L967" s="92"/>
      <c r="M967" s="92"/>
      <c r="N967" s="92"/>
      <c r="O967" s="92"/>
      <c r="P967" s="92"/>
      <c r="Q967" s="92"/>
      <c r="R967" s="92"/>
      <c r="S967" s="92"/>
      <c r="T967" s="92"/>
      <c r="U967" s="92"/>
      <c r="V967" s="92"/>
      <c r="W967" s="92"/>
      <c r="X967" s="92"/>
      <c r="Y967" s="92"/>
      <c r="Z967" s="92"/>
    </row>
    <row r="968" spans="1:26" ht="12.75">
      <c r="A968" s="92" t="s">
        <v>7769</v>
      </c>
      <c r="B968" s="372">
        <v>2016</v>
      </c>
      <c r="C968" s="372">
        <v>27296693</v>
      </c>
      <c r="D968" s="92"/>
      <c r="E968" s="261" t="str">
        <f t="shared" si="0"/>
        <v>https://pubmed.ncbi.nlm.nih.gov/27296693</v>
      </c>
      <c r="F968" s="92" t="s">
        <v>511</v>
      </c>
      <c r="G968" s="374" t="s">
        <v>4867</v>
      </c>
      <c r="H968" s="21"/>
      <c r="I968" s="92"/>
      <c r="J968" s="92"/>
      <c r="K968" s="92"/>
      <c r="L968" s="92"/>
      <c r="M968" s="92"/>
      <c r="N968" s="92"/>
      <c r="O968" s="92"/>
      <c r="P968" s="92"/>
      <c r="Q968" s="92"/>
      <c r="R968" s="92"/>
      <c r="S968" s="92"/>
      <c r="T968" s="92"/>
      <c r="U968" s="92"/>
      <c r="V968" s="92"/>
      <c r="W968" s="92"/>
      <c r="X968" s="92"/>
      <c r="Y968" s="92"/>
      <c r="Z968" s="92"/>
    </row>
    <row r="969" spans="1:26" ht="12.75">
      <c r="A969" s="92" t="s">
        <v>7770</v>
      </c>
      <c r="B969" s="372">
        <v>2012</v>
      </c>
      <c r="C969" s="372">
        <v>22496082</v>
      </c>
      <c r="D969" s="92"/>
      <c r="E969" s="261" t="str">
        <f t="shared" si="0"/>
        <v>https://pubmed.ncbi.nlm.nih.gov/22496082</v>
      </c>
      <c r="F969" s="92" t="s">
        <v>511</v>
      </c>
      <c r="G969" s="374" t="s">
        <v>7100</v>
      </c>
      <c r="H969" s="92"/>
      <c r="I969" s="92"/>
      <c r="J969" s="92"/>
      <c r="K969" s="92"/>
      <c r="L969" s="92"/>
      <c r="M969" s="92"/>
      <c r="N969" s="92"/>
      <c r="O969" s="92"/>
      <c r="P969" s="92"/>
      <c r="Q969" s="92"/>
      <c r="R969" s="92"/>
      <c r="S969" s="92"/>
      <c r="T969" s="92"/>
      <c r="U969" s="92"/>
      <c r="V969" s="92"/>
      <c r="W969" s="92"/>
      <c r="X969" s="92"/>
      <c r="Y969" s="92"/>
      <c r="Z969" s="92"/>
    </row>
    <row r="970" spans="1:26" ht="12.75">
      <c r="A970" s="92" t="s">
        <v>7771</v>
      </c>
      <c r="B970" s="372">
        <v>2011</v>
      </c>
      <c r="C970" s="372">
        <v>21666158</v>
      </c>
      <c r="D970" s="92"/>
      <c r="E970" s="261" t="str">
        <f t="shared" si="0"/>
        <v>https://pubmed.ncbi.nlm.nih.gov/21666158</v>
      </c>
      <c r="F970" s="92" t="s">
        <v>511</v>
      </c>
      <c r="G970" s="92" t="s">
        <v>8412</v>
      </c>
      <c r="H970" s="92"/>
      <c r="I970" s="92"/>
      <c r="J970" s="92"/>
      <c r="K970" s="92"/>
      <c r="L970" s="92"/>
      <c r="M970" s="92"/>
      <c r="N970" s="92"/>
      <c r="O970" s="92"/>
      <c r="P970" s="92"/>
      <c r="Q970" s="92"/>
      <c r="R970" s="92"/>
      <c r="S970" s="92"/>
      <c r="T970" s="92"/>
      <c r="U970" s="92"/>
      <c r="V970" s="92"/>
      <c r="W970" s="92"/>
      <c r="X970" s="92"/>
      <c r="Y970" s="92"/>
      <c r="Z970" s="92"/>
    </row>
    <row r="971" spans="1:26" ht="12.75">
      <c r="A971" s="92" t="s">
        <v>7772</v>
      </c>
      <c r="B971" s="372">
        <v>2006</v>
      </c>
      <c r="C971" s="372">
        <v>17319161</v>
      </c>
      <c r="D971" s="92"/>
      <c r="E971" s="261" t="str">
        <f t="shared" si="0"/>
        <v>https://pubmed.ncbi.nlm.nih.gov/17319161</v>
      </c>
      <c r="F971" s="92" t="s">
        <v>511</v>
      </c>
      <c r="G971" s="92" t="s">
        <v>4592</v>
      </c>
      <c r="H971" s="92"/>
      <c r="I971" s="92"/>
      <c r="J971" s="92"/>
      <c r="K971" s="92"/>
      <c r="L971" s="92"/>
      <c r="M971" s="92"/>
      <c r="N971" s="92"/>
      <c r="O971" s="92"/>
      <c r="P971" s="92"/>
      <c r="Q971" s="92"/>
      <c r="R971" s="92"/>
      <c r="S971" s="92"/>
      <c r="T971" s="92"/>
      <c r="U971" s="92"/>
      <c r="V971" s="92"/>
      <c r="W971" s="92"/>
      <c r="X971" s="92"/>
      <c r="Y971" s="92"/>
      <c r="Z971" s="92"/>
    </row>
    <row r="972" spans="1:26" ht="12.75">
      <c r="A972" s="92" t="s">
        <v>7773</v>
      </c>
      <c r="B972" s="372">
        <v>2012</v>
      </c>
      <c r="C972" s="372">
        <v>23074431</v>
      </c>
      <c r="D972" s="92" t="s">
        <v>7774</v>
      </c>
      <c r="E972" s="261" t="str">
        <f t="shared" si="0"/>
        <v>https://pubmed.ncbi.nlm.nih.gov/23074431</v>
      </c>
      <c r="F972" s="92" t="s">
        <v>511</v>
      </c>
      <c r="G972" s="92" t="s">
        <v>4592</v>
      </c>
      <c r="H972" s="92"/>
      <c r="I972" s="92"/>
      <c r="J972" s="92"/>
      <c r="K972" s="92"/>
      <c r="L972" s="92"/>
      <c r="M972" s="92"/>
      <c r="N972" s="92"/>
      <c r="O972" s="92"/>
      <c r="P972" s="92"/>
      <c r="Q972" s="92"/>
      <c r="R972" s="92"/>
      <c r="S972" s="92"/>
      <c r="T972" s="92"/>
      <c r="U972" s="92"/>
      <c r="V972" s="92"/>
      <c r="W972" s="92"/>
      <c r="X972" s="92"/>
      <c r="Y972" s="92"/>
      <c r="Z972" s="92"/>
    </row>
    <row r="973" spans="1:26" ht="12.75">
      <c r="A973" s="92" t="s">
        <v>7775</v>
      </c>
      <c r="B973" s="372">
        <v>2011</v>
      </c>
      <c r="C973" s="372">
        <v>21328305</v>
      </c>
      <c r="D973" s="92"/>
      <c r="E973" s="261" t="str">
        <f t="shared" si="0"/>
        <v>https://pubmed.ncbi.nlm.nih.gov/21328305</v>
      </c>
      <c r="F973" s="92" t="s">
        <v>511</v>
      </c>
      <c r="G973" s="374" t="s">
        <v>4744</v>
      </c>
      <c r="H973" s="21"/>
      <c r="I973" s="92"/>
      <c r="J973" s="92"/>
      <c r="K973" s="92"/>
      <c r="L973" s="92"/>
      <c r="M973" s="92"/>
      <c r="N973" s="92"/>
      <c r="O973" s="92"/>
      <c r="P973" s="92"/>
      <c r="Q973" s="92"/>
      <c r="R973" s="92"/>
      <c r="S973" s="92"/>
      <c r="T973" s="92"/>
      <c r="U973" s="92"/>
      <c r="V973" s="92"/>
      <c r="W973" s="92"/>
      <c r="X973" s="92"/>
      <c r="Y973" s="92"/>
      <c r="Z973" s="92"/>
    </row>
    <row r="974" spans="1:26" ht="12.75">
      <c r="A974" s="92" t="s">
        <v>7776</v>
      </c>
      <c r="B974" s="372">
        <v>2010</v>
      </c>
      <c r="C974" s="372">
        <v>19854728</v>
      </c>
      <c r="D974" s="92"/>
      <c r="E974" s="261" t="str">
        <f t="shared" si="0"/>
        <v>https://pubmed.ncbi.nlm.nih.gov/19854728</v>
      </c>
      <c r="F974" s="92" t="s">
        <v>511</v>
      </c>
      <c r="G974" s="374" t="s">
        <v>7777</v>
      </c>
      <c r="H974" s="21"/>
      <c r="I974" s="92"/>
      <c r="J974" s="92"/>
      <c r="K974" s="92"/>
      <c r="L974" s="92"/>
      <c r="M974" s="92"/>
      <c r="N974" s="92"/>
      <c r="O974" s="92"/>
      <c r="P974" s="92"/>
      <c r="Q974" s="92"/>
      <c r="R974" s="92"/>
      <c r="S974" s="92"/>
      <c r="T974" s="92"/>
      <c r="U974" s="92"/>
      <c r="V974" s="92"/>
      <c r="W974" s="92"/>
      <c r="X974" s="92"/>
      <c r="Y974" s="92"/>
      <c r="Z974" s="92"/>
    </row>
    <row r="975" spans="1:26" ht="12.75">
      <c r="A975" s="92" t="s">
        <v>7778</v>
      </c>
      <c r="B975" s="372">
        <v>2012</v>
      </c>
      <c r="C975" s="372">
        <v>23070029</v>
      </c>
      <c r="D975" s="92"/>
      <c r="E975" s="261" t="str">
        <f t="shared" si="0"/>
        <v>https://pubmed.ncbi.nlm.nih.gov/23070029</v>
      </c>
      <c r="F975" s="92" t="s">
        <v>511</v>
      </c>
      <c r="G975" s="374" t="s">
        <v>7779</v>
      </c>
      <c r="H975" s="21"/>
      <c r="I975" s="92"/>
      <c r="J975" s="92"/>
      <c r="K975" s="92"/>
      <c r="L975" s="92"/>
      <c r="M975" s="92"/>
      <c r="N975" s="92"/>
      <c r="O975" s="92"/>
      <c r="P975" s="92"/>
      <c r="Q975" s="92"/>
      <c r="R975" s="92"/>
      <c r="S975" s="92"/>
      <c r="T975" s="92"/>
      <c r="U975" s="92"/>
      <c r="V975" s="92"/>
      <c r="W975" s="92"/>
      <c r="X975" s="92"/>
      <c r="Y975" s="92"/>
      <c r="Z975" s="92"/>
    </row>
    <row r="976" spans="1:26" ht="12.75">
      <c r="A976" s="92" t="s">
        <v>7778</v>
      </c>
      <c r="B976" s="372">
        <v>2002</v>
      </c>
      <c r="C976" s="372">
        <v>12214158</v>
      </c>
      <c r="D976" s="92"/>
      <c r="E976" s="261" t="str">
        <f t="shared" si="0"/>
        <v>https://pubmed.ncbi.nlm.nih.gov/12214158</v>
      </c>
      <c r="F976" s="92" t="s">
        <v>511</v>
      </c>
      <c r="G976" s="374" t="s">
        <v>4867</v>
      </c>
      <c r="H976" s="21"/>
      <c r="I976" s="92"/>
      <c r="J976" s="92"/>
      <c r="K976" s="92"/>
      <c r="L976" s="92"/>
      <c r="M976" s="92"/>
      <c r="N976" s="92"/>
      <c r="O976" s="92"/>
      <c r="P976" s="92"/>
      <c r="Q976" s="92"/>
      <c r="R976" s="92"/>
      <c r="S976" s="92"/>
      <c r="T976" s="92"/>
      <c r="U976" s="92"/>
      <c r="V976" s="92"/>
      <c r="W976" s="92"/>
      <c r="X976" s="92"/>
      <c r="Y976" s="92"/>
      <c r="Z976" s="92"/>
    </row>
    <row r="977" spans="1:26" ht="12.75">
      <c r="A977" s="92" t="s">
        <v>7778</v>
      </c>
      <c r="B977" s="372">
        <v>2001</v>
      </c>
      <c r="C977" s="372">
        <v>11322999</v>
      </c>
      <c r="D977" s="92"/>
      <c r="E977" s="261" t="str">
        <f t="shared" si="0"/>
        <v>https://pubmed.ncbi.nlm.nih.gov/11322999</v>
      </c>
      <c r="F977" s="92" t="s">
        <v>511</v>
      </c>
      <c r="G977" s="374" t="s">
        <v>4867</v>
      </c>
      <c r="H977" s="21"/>
      <c r="I977" s="92"/>
      <c r="J977" s="92"/>
      <c r="K977" s="92"/>
      <c r="L977" s="92"/>
      <c r="M977" s="92"/>
      <c r="N977" s="92"/>
      <c r="O977" s="92"/>
      <c r="P977" s="92"/>
      <c r="Q977" s="92"/>
      <c r="R977" s="92"/>
      <c r="S977" s="92"/>
      <c r="T977" s="92"/>
      <c r="U977" s="92"/>
      <c r="V977" s="92"/>
      <c r="W977" s="92"/>
      <c r="X977" s="92"/>
      <c r="Y977" s="92"/>
      <c r="Z977" s="92"/>
    </row>
    <row r="978" spans="1:26" ht="12.75">
      <c r="A978" s="92" t="s">
        <v>7780</v>
      </c>
      <c r="B978" s="372">
        <v>2020</v>
      </c>
      <c r="C978" s="372">
        <v>32234572</v>
      </c>
      <c r="D978" s="92"/>
      <c r="E978" s="261" t="str">
        <f t="shared" si="0"/>
        <v>https://pubmed.ncbi.nlm.nih.gov/32234572</v>
      </c>
      <c r="F978" s="92" t="s">
        <v>511</v>
      </c>
      <c r="G978" s="92" t="s">
        <v>4592</v>
      </c>
      <c r="H978" s="92"/>
      <c r="I978" s="92"/>
      <c r="J978" s="92"/>
      <c r="K978" s="92"/>
      <c r="L978" s="92"/>
      <c r="M978" s="92"/>
      <c r="N978" s="92"/>
      <c r="O978" s="92"/>
      <c r="P978" s="92"/>
      <c r="Q978" s="92"/>
      <c r="R978" s="92"/>
      <c r="S978" s="92"/>
      <c r="T978" s="92"/>
      <c r="U978" s="92"/>
      <c r="V978" s="92"/>
      <c r="W978" s="92"/>
      <c r="X978" s="92"/>
      <c r="Y978" s="92"/>
      <c r="Z978" s="92"/>
    </row>
    <row r="979" spans="1:26" ht="12.75">
      <c r="A979" s="92" t="s">
        <v>7781</v>
      </c>
      <c r="B979" s="372">
        <v>1994</v>
      </c>
      <c r="C979" s="372">
        <v>8124803</v>
      </c>
      <c r="D979" s="92"/>
      <c r="E979" s="261" t="str">
        <f t="shared" si="0"/>
        <v>https://pubmed.ncbi.nlm.nih.gov/8124803</v>
      </c>
      <c r="F979" s="92" t="s">
        <v>511</v>
      </c>
      <c r="G979" s="374" t="s">
        <v>4744</v>
      </c>
      <c r="H979" s="21"/>
      <c r="I979" s="92"/>
      <c r="J979" s="92"/>
      <c r="K979" s="92"/>
      <c r="L979" s="92"/>
      <c r="M979" s="92"/>
      <c r="N979" s="92"/>
      <c r="O979" s="92"/>
      <c r="P979" s="92"/>
      <c r="Q979" s="92"/>
      <c r="R979" s="92"/>
      <c r="S979" s="92"/>
      <c r="T979" s="92"/>
      <c r="U979" s="92"/>
      <c r="V979" s="92"/>
      <c r="W979" s="92"/>
      <c r="X979" s="92"/>
      <c r="Y979" s="92"/>
      <c r="Z979" s="92"/>
    </row>
    <row r="980" spans="1:26" ht="12.75">
      <c r="A980" s="92" t="s">
        <v>7782</v>
      </c>
      <c r="B980" s="372">
        <v>2020</v>
      </c>
      <c r="C980" s="372">
        <v>32533666</v>
      </c>
      <c r="D980" s="92"/>
      <c r="E980" s="261" t="str">
        <f t="shared" si="0"/>
        <v>https://pubmed.ncbi.nlm.nih.gov/32533666</v>
      </c>
      <c r="F980" s="92" t="s">
        <v>511</v>
      </c>
      <c r="G980" s="374" t="s">
        <v>7783</v>
      </c>
      <c r="H980" s="21"/>
      <c r="I980" s="21"/>
      <c r="J980" s="21"/>
      <c r="K980" s="92"/>
      <c r="L980" s="92"/>
      <c r="M980" s="92"/>
      <c r="N980" s="92"/>
      <c r="O980" s="92"/>
      <c r="P980" s="92"/>
      <c r="Q980" s="92"/>
      <c r="R980" s="92"/>
      <c r="S980" s="92"/>
      <c r="T980" s="92"/>
      <c r="U980" s="92"/>
      <c r="V980" s="92"/>
      <c r="W980" s="92"/>
      <c r="X980" s="92"/>
      <c r="Y980" s="92"/>
      <c r="Z980" s="92"/>
    </row>
    <row r="981" spans="1:26" ht="12.75">
      <c r="A981" s="92" t="s">
        <v>7784</v>
      </c>
      <c r="B981" s="372">
        <v>2018</v>
      </c>
      <c r="C981" s="372">
        <v>28539069</v>
      </c>
      <c r="D981" s="92"/>
      <c r="E981" s="261" t="str">
        <f t="shared" si="0"/>
        <v>https://pubmed.ncbi.nlm.nih.gov/28539069</v>
      </c>
      <c r="F981" s="92" t="s">
        <v>511</v>
      </c>
      <c r="G981" s="92" t="s">
        <v>4592</v>
      </c>
      <c r="H981" s="92"/>
      <c r="I981" s="92"/>
      <c r="J981" s="92"/>
      <c r="K981" s="92"/>
      <c r="L981" s="92"/>
      <c r="M981" s="92"/>
      <c r="N981" s="92"/>
      <c r="O981" s="92"/>
      <c r="P981" s="92"/>
      <c r="Q981" s="92"/>
      <c r="R981" s="92"/>
      <c r="S981" s="92"/>
      <c r="T981" s="92"/>
      <c r="U981" s="92"/>
      <c r="V981" s="92"/>
      <c r="W981" s="92"/>
      <c r="X981" s="92"/>
      <c r="Y981" s="92"/>
      <c r="Z981" s="92"/>
    </row>
    <row r="982" spans="1:26" ht="12.75">
      <c r="A982" s="92" t="s">
        <v>7785</v>
      </c>
      <c r="B982" s="372">
        <v>2021</v>
      </c>
      <c r="C982" s="372">
        <v>33002611</v>
      </c>
      <c r="D982" s="92" t="s">
        <v>7786</v>
      </c>
      <c r="E982" s="261" t="str">
        <f t="shared" si="0"/>
        <v>https://pubmed.ncbi.nlm.nih.gov/33002611</v>
      </c>
      <c r="F982" s="92" t="s">
        <v>511</v>
      </c>
      <c r="G982" s="92" t="s">
        <v>8412</v>
      </c>
      <c r="H982" s="92"/>
      <c r="I982" s="92"/>
      <c r="J982" s="92"/>
      <c r="K982" s="92"/>
      <c r="L982" s="92"/>
      <c r="M982" s="92"/>
      <c r="N982" s="92"/>
      <c r="O982" s="92"/>
      <c r="P982" s="92"/>
      <c r="Q982" s="92"/>
      <c r="R982" s="92"/>
      <c r="S982" s="92"/>
      <c r="T982" s="92"/>
      <c r="U982" s="92"/>
      <c r="V982" s="92"/>
      <c r="W982" s="92"/>
      <c r="X982" s="92"/>
      <c r="Y982" s="92"/>
      <c r="Z982" s="92"/>
    </row>
    <row r="983" spans="1:26" ht="12.75">
      <c r="A983" s="92" t="s">
        <v>7787</v>
      </c>
      <c r="B983" s="372">
        <v>2009</v>
      </c>
      <c r="C983" s="372">
        <v>19320979</v>
      </c>
      <c r="D983" s="92" t="s">
        <v>7788</v>
      </c>
      <c r="E983" s="261" t="str">
        <f t="shared" si="0"/>
        <v>https://pubmed.ncbi.nlm.nih.gov/19320979</v>
      </c>
      <c r="F983" s="92" t="s">
        <v>511</v>
      </c>
      <c r="G983" s="374" t="s">
        <v>7789</v>
      </c>
      <c r="H983" s="21"/>
      <c r="I983" s="92"/>
      <c r="J983" s="92"/>
      <c r="K983" s="92"/>
      <c r="L983" s="92"/>
      <c r="M983" s="92"/>
      <c r="N983" s="92"/>
      <c r="O983" s="92"/>
      <c r="P983" s="92"/>
      <c r="Q983" s="92"/>
      <c r="R983" s="92"/>
      <c r="S983" s="92"/>
      <c r="T983" s="92"/>
      <c r="U983" s="92"/>
      <c r="V983" s="92"/>
      <c r="W983" s="92"/>
      <c r="X983" s="92"/>
      <c r="Y983" s="92"/>
      <c r="Z983" s="92"/>
    </row>
    <row r="984" spans="1:26" ht="12.75">
      <c r="A984" s="92" t="s">
        <v>7790</v>
      </c>
      <c r="B984" s="372">
        <v>2020</v>
      </c>
      <c r="C984" s="372">
        <v>33270629</v>
      </c>
      <c r="D984" s="92" t="s">
        <v>7791</v>
      </c>
      <c r="E984" s="261" t="str">
        <f t="shared" si="0"/>
        <v>https://pubmed.ncbi.nlm.nih.gov/33270629</v>
      </c>
      <c r="F984" s="92" t="s">
        <v>511</v>
      </c>
      <c r="G984" s="374" t="s">
        <v>7792</v>
      </c>
      <c r="H984" s="21"/>
      <c r="I984" s="92"/>
      <c r="J984" s="92"/>
      <c r="K984" s="92"/>
      <c r="L984" s="92"/>
      <c r="M984" s="92"/>
      <c r="N984" s="92"/>
      <c r="O984" s="92"/>
      <c r="P984" s="92"/>
      <c r="Q984" s="92"/>
      <c r="R984" s="92"/>
      <c r="S984" s="92"/>
      <c r="T984" s="92"/>
      <c r="U984" s="92"/>
      <c r="V984" s="92"/>
      <c r="W984" s="92"/>
      <c r="X984" s="92"/>
      <c r="Y984" s="92"/>
      <c r="Z984" s="92"/>
    </row>
    <row r="985" spans="1:26" ht="12.75">
      <c r="A985" s="92" t="s">
        <v>7793</v>
      </c>
      <c r="B985" s="372">
        <v>2019</v>
      </c>
      <c r="C985" s="372">
        <v>30664267</v>
      </c>
      <c r="D985" s="92"/>
      <c r="E985" s="261" t="str">
        <f t="shared" si="0"/>
        <v>https://pubmed.ncbi.nlm.nih.gov/30664267</v>
      </c>
      <c r="F985" s="92" t="s">
        <v>511</v>
      </c>
      <c r="G985" s="374" t="s">
        <v>5157</v>
      </c>
      <c r="H985" s="21"/>
      <c r="I985" s="21"/>
      <c r="J985" s="92"/>
      <c r="K985" s="92"/>
      <c r="L985" s="92"/>
      <c r="M985" s="92"/>
      <c r="N985" s="92"/>
      <c r="O985" s="92"/>
      <c r="P985" s="92"/>
      <c r="Q985" s="92"/>
      <c r="R985" s="92"/>
      <c r="S985" s="92"/>
      <c r="T985" s="92"/>
      <c r="U985" s="92"/>
      <c r="V985" s="92"/>
      <c r="W985" s="92"/>
      <c r="X985" s="92"/>
      <c r="Y985" s="92"/>
      <c r="Z985" s="92"/>
    </row>
    <row r="986" spans="1:26" ht="12.75">
      <c r="A986" s="92" t="s">
        <v>7794</v>
      </c>
      <c r="B986" s="372">
        <v>2018</v>
      </c>
      <c r="C986" s="372">
        <v>30021496</v>
      </c>
      <c r="D986" s="92"/>
      <c r="E986" s="261" t="str">
        <f t="shared" si="0"/>
        <v>https://pubmed.ncbi.nlm.nih.gov/30021496</v>
      </c>
      <c r="F986" s="92" t="s">
        <v>511</v>
      </c>
      <c r="G986" s="92" t="s">
        <v>4592</v>
      </c>
      <c r="H986" s="92"/>
      <c r="I986" s="92"/>
      <c r="J986" s="92"/>
      <c r="K986" s="92"/>
      <c r="L986" s="92"/>
      <c r="M986" s="92"/>
      <c r="N986" s="92"/>
      <c r="O986" s="92"/>
      <c r="P986" s="92"/>
      <c r="Q986" s="92"/>
      <c r="R986" s="92"/>
      <c r="S986" s="92"/>
      <c r="T986" s="92"/>
      <c r="U986" s="92"/>
      <c r="V986" s="92"/>
      <c r="W986" s="92"/>
      <c r="X986" s="92"/>
      <c r="Y986" s="92"/>
      <c r="Z986" s="92"/>
    </row>
    <row r="987" spans="1:26" ht="12.75">
      <c r="A987" s="92" t="s">
        <v>7795</v>
      </c>
      <c r="B987" s="372">
        <v>2018</v>
      </c>
      <c r="C987" s="372">
        <v>29108526</v>
      </c>
      <c r="D987" s="92" t="s">
        <v>7796</v>
      </c>
      <c r="E987" s="261" t="str">
        <f t="shared" si="0"/>
        <v>https://pubmed.ncbi.nlm.nih.gov/29108526</v>
      </c>
      <c r="F987" s="92" t="s">
        <v>511</v>
      </c>
      <c r="G987" s="374" t="s">
        <v>5299</v>
      </c>
      <c r="H987" s="21"/>
      <c r="I987" s="92"/>
      <c r="J987" s="92"/>
      <c r="K987" s="92"/>
      <c r="L987" s="92"/>
      <c r="M987" s="92"/>
      <c r="N987" s="92"/>
      <c r="O987" s="92"/>
      <c r="P987" s="92"/>
      <c r="Q987" s="92"/>
      <c r="R987" s="92"/>
      <c r="S987" s="92"/>
      <c r="T987" s="92"/>
      <c r="U987" s="92"/>
      <c r="V987" s="92"/>
      <c r="W987" s="92"/>
      <c r="X987" s="92"/>
      <c r="Y987" s="92"/>
      <c r="Z987" s="92"/>
    </row>
    <row r="988" spans="1:26" ht="12.75">
      <c r="A988" s="92" t="s">
        <v>7797</v>
      </c>
      <c r="B988" s="372">
        <v>2015</v>
      </c>
      <c r="C988" s="372">
        <v>25296661</v>
      </c>
      <c r="D988" s="92"/>
      <c r="E988" s="261" t="str">
        <f t="shared" si="0"/>
        <v>https://pubmed.ncbi.nlm.nih.gov/25296661</v>
      </c>
      <c r="F988" s="92" t="s">
        <v>511</v>
      </c>
      <c r="G988" s="374" t="s">
        <v>5299</v>
      </c>
      <c r="H988" s="21"/>
      <c r="I988" s="92"/>
      <c r="J988" s="92"/>
      <c r="K988" s="92"/>
      <c r="L988" s="92"/>
      <c r="M988" s="92"/>
      <c r="N988" s="92"/>
      <c r="O988" s="92"/>
      <c r="P988" s="92"/>
      <c r="Q988" s="92"/>
      <c r="R988" s="92"/>
      <c r="S988" s="92"/>
      <c r="T988" s="92"/>
      <c r="U988" s="92"/>
      <c r="V988" s="92"/>
      <c r="W988" s="92"/>
      <c r="X988" s="92"/>
      <c r="Y988" s="92"/>
      <c r="Z988" s="92"/>
    </row>
    <row r="989" spans="1:26" ht="12.75">
      <c r="A989" s="92" t="s">
        <v>7798</v>
      </c>
      <c r="B989" s="372">
        <v>2002</v>
      </c>
      <c r="C989" s="372">
        <v>12222084</v>
      </c>
      <c r="D989" s="92"/>
      <c r="E989" s="261" t="str">
        <f t="shared" si="0"/>
        <v>https://pubmed.ncbi.nlm.nih.gov/12222084</v>
      </c>
      <c r="F989" s="92" t="s">
        <v>511</v>
      </c>
      <c r="G989" s="92" t="s">
        <v>4592</v>
      </c>
      <c r="H989" s="92"/>
      <c r="I989" s="92"/>
      <c r="J989" s="92"/>
      <c r="K989" s="92"/>
      <c r="L989" s="92"/>
      <c r="M989" s="92"/>
      <c r="N989" s="92"/>
      <c r="O989" s="92"/>
      <c r="P989" s="92"/>
      <c r="Q989" s="92"/>
      <c r="R989" s="92"/>
      <c r="S989" s="92"/>
      <c r="T989" s="92"/>
      <c r="U989" s="92"/>
      <c r="V989" s="92"/>
      <c r="W989" s="92"/>
      <c r="X989" s="92"/>
      <c r="Y989" s="92"/>
      <c r="Z989" s="92"/>
    </row>
    <row r="990" spans="1:26" ht="12.75">
      <c r="A990" s="92" t="s">
        <v>7799</v>
      </c>
      <c r="B990" s="372">
        <v>2014</v>
      </c>
      <c r="C990" s="372">
        <v>24614165</v>
      </c>
      <c r="D990" s="92" t="s">
        <v>7800</v>
      </c>
      <c r="E990" s="261" t="str">
        <f t="shared" si="0"/>
        <v>https://pubmed.ncbi.nlm.nih.gov/24614165</v>
      </c>
      <c r="F990" s="92" t="s">
        <v>511</v>
      </c>
      <c r="G990" s="374" t="s">
        <v>7801</v>
      </c>
      <c r="H990" s="21"/>
      <c r="I990" s="92"/>
      <c r="J990" s="92"/>
      <c r="K990" s="92"/>
      <c r="L990" s="92"/>
      <c r="M990" s="92"/>
      <c r="N990" s="92"/>
      <c r="O990" s="92"/>
      <c r="P990" s="92"/>
      <c r="Q990" s="92"/>
      <c r="R990" s="92"/>
      <c r="S990" s="92"/>
      <c r="T990" s="92"/>
      <c r="U990" s="92"/>
      <c r="V990" s="92"/>
      <c r="W990" s="92"/>
      <c r="X990" s="92"/>
      <c r="Y990" s="92"/>
      <c r="Z990" s="92"/>
    </row>
    <row r="991" spans="1:26" ht="12.75">
      <c r="A991" s="92" t="s">
        <v>7802</v>
      </c>
      <c r="B991" s="372">
        <v>2010</v>
      </c>
      <c r="C991" s="372">
        <v>20573187</v>
      </c>
      <c r="D991" s="92" t="s">
        <v>7803</v>
      </c>
      <c r="E991" s="261" t="str">
        <f t="shared" si="0"/>
        <v>https://pubmed.ncbi.nlm.nih.gov/20573187</v>
      </c>
      <c r="F991" s="92" t="s">
        <v>511</v>
      </c>
      <c r="G991" s="92" t="s">
        <v>8412</v>
      </c>
      <c r="H991" s="92"/>
      <c r="I991" s="92"/>
      <c r="J991" s="92"/>
      <c r="K991" s="92"/>
      <c r="L991" s="92"/>
      <c r="M991" s="92"/>
      <c r="N991" s="92"/>
      <c r="O991" s="92"/>
      <c r="P991" s="92"/>
      <c r="Q991" s="92"/>
      <c r="R991" s="92"/>
      <c r="S991" s="92"/>
      <c r="T991" s="92"/>
      <c r="U991" s="92"/>
      <c r="V991" s="92"/>
      <c r="W991" s="92"/>
      <c r="X991" s="92"/>
      <c r="Y991" s="92"/>
      <c r="Z991" s="92"/>
    </row>
    <row r="992" spans="1:26" ht="12.75">
      <c r="A992" s="92" t="s">
        <v>7804</v>
      </c>
      <c r="B992" s="372">
        <v>2009</v>
      </c>
      <c r="C992" s="372">
        <v>19588374</v>
      </c>
      <c r="D992" s="92"/>
      <c r="E992" s="261" t="str">
        <f t="shared" si="0"/>
        <v>https://pubmed.ncbi.nlm.nih.gov/19588374</v>
      </c>
      <c r="F992" s="92" t="s">
        <v>511</v>
      </c>
      <c r="G992" s="92" t="s">
        <v>4592</v>
      </c>
      <c r="H992" s="92"/>
      <c r="I992" s="92"/>
      <c r="J992" s="92"/>
      <c r="K992" s="92"/>
      <c r="L992" s="92"/>
      <c r="M992" s="92"/>
      <c r="N992" s="92"/>
      <c r="O992" s="92"/>
      <c r="P992" s="92"/>
      <c r="Q992" s="92"/>
      <c r="R992" s="92"/>
      <c r="S992" s="92"/>
      <c r="T992" s="92"/>
      <c r="U992" s="92"/>
      <c r="V992" s="92"/>
      <c r="W992" s="92"/>
      <c r="X992" s="92"/>
      <c r="Y992" s="92"/>
      <c r="Z992" s="92"/>
    </row>
    <row r="993" spans="1:26" ht="12.75">
      <c r="A993" s="92" t="s">
        <v>7805</v>
      </c>
      <c r="B993" s="372">
        <v>2021</v>
      </c>
      <c r="C993" s="372">
        <v>33568628</v>
      </c>
      <c r="D993" s="92" t="s">
        <v>7806</v>
      </c>
      <c r="E993" s="261" t="str">
        <f t="shared" si="0"/>
        <v>https://pubmed.ncbi.nlm.nih.gov/33568628</v>
      </c>
      <c r="F993" s="92" t="s">
        <v>511</v>
      </c>
      <c r="G993" s="374" t="s">
        <v>4867</v>
      </c>
      <c r="H993" s="21"/>
      <c r="I993" s="92"/>
      <c r="J993" s="92"/>
      <c r="K993" s="92"/>
      <c r="L993" s="92"/>
      <c r="M993" s="92"/>
      <c r="N993" s="92"/>
      <c r="O993" s="92"/>
      <c r="P993" s="92"/>
      <c r="Q993" s="92"/>
      <c r="R993" s="92"/>
      <c r="S993" s="92"/>
      <c r="T993" s="92"/>
      <c r="U993" s="92"/>
      <c r="V993" s="92"/>
      <c r="W993" s="92"/>
      <c r="X993" s="92"/>
      <c r="Y993" s="92"/>
      <c r="Z993" s="92"/>
    </row>
    <row r="994" spans="1:26" ht="12.75">
      <c r="A994" s="92" t="s">
        <v>7807</v>
      </c>
      <c r="B994" s="372">
        <v>2012</v>
      </c>
      <c r="C994" s="372">
        <v>23197664</v>
      </c>
      <c r="D994" s="92" t="s">
        <v>7808</v>
      </c>
      <c r="E994" s="261" t="str">
        <f t="shared" si="0"/>
        <v>https://pubmed.ncbi.nlm.nih.gov/23197664</v>
      </c>
      <c r="F994" s="92" t="s">
        <v>511</v>
      </c>
      <c r="G994" s="374" t="s">
        <v>4744</v>
      </c>
      <c r="H994" s="21"/>
      <c r="I994" s="92"/>
      <c r="J994" s="92"/>
      <c r="K994" s="92"/>
      <c r="L994" s="92"/>
      <c r="M994" s="92"/>
      <c r="N994" s="92"/>
      <c r="O994" s="92"/>
      <c r="P994" s="92"/>
      <c r="Q994" s="92"/>
      <c r="R994" s="92"/>
      <c r="S994" s="92"/>
      <c r="T994" s="92"/>
      <c r="U994" s="92"/>
      <c r="V994" s="92"/>
      <c r="W994" s="92"/>
      <c r="X994" s="92"/>
      <c r="Y994" s="92"/>
      <c r="Z994" s="92"/>
    </row>
    <row r="995" spans="1:26" ht="12.75">
      <c r="A995" s="92" t="s">
        <v>7809</v>
      </c>
      <c r="B995" s="372">
        <v>2013</v>
      </c>
      <c r="C995" s="372">
        <v>23543565</v>
      </c>
      <c r="D995" s="92"/>
      <c r="E995" s="261" t="str">
        <f t="shared" si="0"/>
        <v>https://pubmed.ncbi.nlm.nih.gov/23543565</v>
      </c>
      <c r="F995" s="92" t="s">
        <v>511</v>
      </c>
      <c r="G995" s="92" t="s">
        <v>4592</v>
      </c>
      <c r="H995" s="92"/>
      <c r="I995" s="92"/>
      <c r="J995" s="92"/>
      <c r="K995" s="92"/>
      <c r="L995" s="92"/>
      <c r="M995" s="92"/>
      <c r="N995" s="92"/>
      <c r="O995" s="92"/>
      <c r="P995" s="92"/>
      <c r="Q995" s="92"/>
      <c r="R995" s="92"/>
      <c r="S995" s="92"/>
      <c r="T995" s="92"/>
      <c r="U995" s="92"/>
      <c r="V995" s="92"/>
      <c r="W995" s="92"/>
      <c r="X995" s="92"/>
      <c r="Y995" s="92"/>
      <c r="Z995" s="92"/>
    </row>
    <row r="996" spans="1:26" ht="12.75">
      <c r="A996" s="92" t="s">
        <v>7810</v>
      </c>
      <c r="B996" s="372">
        <v>2007</v>
      </c>
      <c r="C996" s="372">
        <v>17261831</v>
      </c>
      <c r="D996" s="92" t="s">
        <v>7811</v>
      </c>
      <c r="E996" s="261" t="str">
        <f t="shared" si="0"/>
        <v>https://pubmed.ncbi.nlm.nih.gov/17261831</v>
      </c>
      <c r="F996" s="92" t="s">
        <v>511</v>
      </c>
      <c r="G996" s="92" t="s">
        <v>4536</v>
      </c>
      <c r="H996" s="92"/>
      <c r="I996" s="92"/>
      <c r="J996" s="92"/>
      <c r="K996" s="92"/>
      <c r="L996" s="92"/>
      <c r="M996" s="92"/>
      <c r="N996" s="92"/>
      <c r="O996" s="92"/>
      <c r="P996" s="92"/>
      <c r="Q996" s="92"/>
      <c r="R996" s="92"/>
      <c r="S996" s="92"/>
      <c r="T996" s="92"/>
      <c r="U996" s="92"/>
      <c r="V996" s="92"/>
      <c r="W996" s="92"/>
      <c r="X996" s="92"/>
      <c r="Y996" s="92"/>
      <c r="Z996" s="92"/>
    </row>
    <row r="997" spans="1:26" ht="12.75">
      <c r="A997" s="92" t="s">
        <v>7812</v>
      </c>
      <c r="B997" s="372">
        <v>2005</v>
      </c>
      <c r="C997" s="372">
        <v>15712100</v>
      </c>
      <c r="D997" s="92"/>
      <c r="E997" s="261" t="str">
        <f t="shared" si="0"/>
        <v>https://pubmed.ncbi.nlm.nih.gov/15712100</v>
      </c>
      <c r="F997" s="92" t="s">
        <v>511</v>
      </c>
      <c r="G997" s="374" t="s">
        <v>5299</v>
      </c>
      <c r="H997" s="21"/>
      <c r="I997" s="92"/>
      <c r="J997" s="92"/>
      <c r="K997" s="92"/>
      <c r="L997" s="92"/>
      <c r="M997" s="92"/>
      <c r="N997" s="92"/>
      <c r="O997" s="92"/>
      <c r="P997" s="92"/>
      <c r="Q997" s="92"/>
      <c r="R997" s="92"/>
      <c r="S997" s="92"/>
      <c r="T997" s="92"/>
      <c r="U997" s="92"/>
      <c r="V997" s="92"/>
      <c r="W997" s="92"/>
      <c r="X997" s="92"/>
      <c r="Y997" s="92"/>
      <c r="Z997" s="92"/>
    </row>
    <row r="998" spans="1:26" ht="12.75">
      <c r="A998" s="92" t="s">
        <v>7813</v>
      </c>
      <c r="B998" s="372">
        <v>2014</v>
      </c>
      <c r="C998" s="372">
        <v>24658627</v>
      </c>
      <c r="D998" s="92"/>
      <c r="E998" s="261" t="str">
        <f t="shared" si="0"/>
        <v>https://pubmed.ncbi.nlm.nih.gov/24658627</v>
      </c>
      <c r="F998" s="92" t="s">
        <v>511</v>
      </c>
      <c r="G998" s="374" t="s">
        <v>5299</v>
      </c>
      <c r="H998" s="21"/>
      <c r="I998" s="92"/>
      <c r="J998" s="92"/>
      <c r="K998" s="92"/>
      <c r="L998" s="92"/>
      <c r="M998" s="92"/>
      <c r="N998" s="92"/>
      <c r="O998" s="92"/>
      <c r="P998" s="92"/>
      <c r="Q998" s="92"/>
      <c r="R998" s="92"/>
      <c r="S998" s="92"/>
      <c r="T998" s="92"/>
      <c r="U998" s="92"/>
      <c r="V998" s="92"/>
      <c r="W998" s="92"/>
      <c r="X998" s="92"/>
      <c r="Y998" s="92"/>
      <c r="Z998" s="92"/>
    </row>
    <row r="999" spans="1:26" ht="12.75">
      <c r="A999" s="92" t="s">
        <v>7814</v>
      </c>
      <c r="B999" s="372">
        <v>2015</v>
      </c>
      <c r="C999" s="372">
        <v>25539282</v>
      </c>
      <c r="D999" s="92"/>
      <c r="E999" s="261" t="str">
        <f t="shared" si="0"/>
        <v>https://pubmed.ncbi.nlm.nih.gov/25539282</v>
      </c>
      <c r="F999" s="92" t="s">
        <v>511</v>
      </c>
      <c r="G999" s="92" t="s">
        <v>4592</v>
      </c>
      <c r="H999" s="92"/>
      <c r="I999" s="92"/>
      <c r="J999" s="92"/>
      <c r="K999" s="92"/>
      <c r="L999" s="92"/>
      <c r="M999" s="92"/>
      <c r="N999" s="92"/>
      <c r="O999" s="92"/>
      <c r="P999" s="92"/>
      <c r="Q999" s="92"/>
      <c r="R999" s="92"/>
      <c r="S999" s="92"/>
      <c r="T999" s="92"/>
      <c r="U999" s="92"/>
      <c r="V999" s="92"/>
      <c r="W999" s="92"/>
      <c r="X999" s="92"/>
      <c r="Y999" s="92"/>
      <c r="Z999" s="92"/>
    </row>
    <row r="1000" spans="1:26" ht="12.75">
      <c r="A1000" s="92" t="s">
        <v>7815</v>
      </c>
      <c r="B1000" s="372">
        <v>2010</v>
      </c>
      <c r="C1000" s="372">
        <v>20831302</v>
      </c>
      <c r="D1000" s="92"/>
      <c r="E1000" s="261" t="str">
        <f t="shared" si="0"/>
        <v>https://pubmed.ncbi.nlm.nih.gov/20831302</v>
      </c>
      <c r="F1000" s="92" t="s">
        <v>511</v>
      </c>
      <c r="G1000" s="374" t="s">
        <v>8442</v>
      </c>
      <c r="H1000" s="21"/>
      <c r="I1000" s="21"/>
      <c r="J1000" s="92"/>
      <c r="K1000" s="92"/>
      <c r="L1000" s="92"/>
      <c r="M1000" s="92"/>
      <c r="N1000" s="92"/>
      <c r="O1000" s="92"/>
      <c r="P1000" s="92"/>
      <c r="Q1000" s="92"/>
      <c r="R1000" s="92"/>
      <c r="S1000" s="92"/>
      <c r="T1000" s="92"/>
      <c r="U1000" s="92"/>
      <c r="V1000" s="92"/>
      <c r="W1000" s="92"/>
      <c r="X1000" s="92"/>
      <c r="Y1000" s="92"/>
      <c r="Z1000" s="92"/>
    </row>
    <row r="1001" spans="1:26" ht="12.75">
      <c r="A1001" s="92" t="s">
        <v>7817</v>
      </c>
      <c r="B1001" s="372">
        <v>1997</v>
      </c>
      <c r="C1001" s="372">
        <v>9176537</v>
      </c>
      <c r="D1001" s="92" t="s">
        <v>7818</v>
      </c>
      <c r="E1001" s="261" t="str">
        <f t="shared" si="0"/>
        <v>https://pubmed.ncbi.nlm.nih.gov/9176537</v>
      </c>
      <c r="F1001" s="92" t="s">
        <v>511</v>
      </c>
      <c r="G1001" s="374" t="s">
        <v>4867</v>
      </c>
      <c r="H1001" s="92"/>
      <c r="I1001" s="92" t="s">
        <v>6460</v>
      </c>
      <c r="J1001" s="92"/>
      <c r="K1001" s="92"/>
      <c r="L1001" s="92"/>
      <c r="M1001" s="92"/>
      <c r="N1001" s="92"/>
      <c r="O1001" s="92"/>
      <c r="P1001" s="92"/>
      <c r="Q1001" s="92"/>
      <c r="R1001" s="92"/>
      <c r="S1001" s="92"/>
      <c r="T1001" s="92"/>
      <c r="U1001" s="92"/>
      <c r="V1001" s="92"/>
      <c r="W1001" s="92"/>
      <c r="X1001" s="92"/>
      <c r="Y1001" s="92"/>
      <c r="Z1001" s="92"/>
    </row>
    <row r="1002" spans="1:26" ht="12.75">
      <c r="A1002" s="92" t="s">
        <v>7819</v>
      </c>
      <c r="B1002" s="372">
        <v>2012</v>
      </c>
      <c r="C1002" s="372">
        <v>22566017</v>
      </c>
      <c r="D1002" s="92" t="s">
        <v>7820</v>
      </c>
      <c r="E1002" s="261" t="str">
        <f t="shared" si="0"/>
        <v>https://pubmed.ncbi.nlm.nih.gov/22566017</v>
      </c>
      <c r="F1002" s="92" t="s">
        <v>511</v>
      </c>
      <c r="G1002" s="374" t="s">
        <v>7821</v>
      </c>
      <c r="H1002" s="21"/>
      <c r="I1002" s="21"/>
      <c r="J1002" s="21"/>
      <c r="K1002" s="92"/>
      <c r="L1002" s="92"/>
      <c r="M1002" s="92"/>
      <c r="N1002" s="92"/>
      <c r="O1002" s="92"/>
      <c r="P1002" s="92"/>
      <c r="Q1002" s="92"/>
      <c r="R1002" s="92"/>
      <c r="S1002" s="92"/>
      <c r="T1002" s="92"/>
      <c r="U1002" s="92"/>
      <c r="V1002" s="92"/>
      <c r="W1002" s="92"/>
      <c r="X1002" s="92"/>
      <c r="Y1002" s="92"/>
      <c r="Z1002" s="92"/>
    </row>
    <row r="1003" spans="1:26" ht="12.75">
      <c r="A1003" s="92" t="s">
        <v>7822</v>
      </c>
      <c r="B1003" s="372">
        <v>2011</v>
      </c>
      <c r="C1003" s="372">
        <v>21182466</v>
      </c>
      <c r="D1003" s="92" t="s">
        <v>7823</v>
      </c>
      <c r="E1003" s="261" t="str">
        <f t="shared" si="0"/>
        <v>https://pubmed.ncbi.nlm.nih.gov/21182466</v>
      </c>
      <c r="F1003" s="92" t="s">
        <v>511</v>
      </c>
      <c r="G1003" s="92" t="s">
        <v>4592</v>
      </c>
      <c r="H1003" s="92"/>
      <c r="I1003" s="92"/>
      <c r="J1003" s="92"/>
      <c r="K1003" s="92"/>
      <c r="L1003" s="92"/>
      <c r="M1003" s="92"/>
      <c r="N1003" s="92"/>
      <c r="O1003" s="92"/>
      <c r="P1003" s="92"/>
      <c r="Q1003" s="92"/>
      <c r="R1003" s="92"/>
      <c r="S1003" s="92"/>
      <c r="T1003" s="92"/>
      <c r="U1003" s="92"/>
      <c r="V1003" s="92"/>
      <c r="W1003" s="92"/>
      <c r="X1003" s="92"/>
      <c r="Y1003" s="92"/>
      <c r="Z1003" s="92"/>
    </row>
    <row r="1004" spans="1:26" ht="12.75">
      <c r="A1004" s="92" t="s">
        <v>7824</v>
      </c>
      <c r="B1004" s="372">
        <v>2019</v>
      </c>
      <c r="C1004" s="372">
        <v>31553360</v>
      </c>
      <c r="D1004" s="92" t="s">
        <v>7825</v>
      </c>
      <c r="E1004" s="261" t="str">
        <f t="shared" si="0"/>
        <v>https://pubmed.ncbi.nlm.nih.gov/31553360</v>
      </c>
      <c r="F1004" s="92" t="s">
        <v>511</v>
      </c>
      <c r="G1004" s="374" t="s">
        <v>7826</v>
      </c>
      <c r="H1004" s="21"/>
      <c r="I1004" s="21"/>
      <c r="J1004" s="92"/>
      <c r="K1004" s="92"/>
      <c r="L1004" s="92"/>
      <c r="M1004" s="92"/>
      <c r="N1004" s="92"/>
      <c r="O1004" s="92"/>
      <c r="P1004" s="92"/>
      <c r="Q1004" s="92"/>
      <c r="R1004" s="92"/>
      <c r="S1004" s="92"/>
      <c r="T1004" s="92"/>
      <c r="U1004" s="92"/>
      <c r="V1004" s="92"/>
      <c r="W1004" s="92"/>
      <c r="X1004" s="92"/>
      <c r="Y1004" s="92"/>
      <c r="Z1004" s="92"/>
    </row>
    <row r="1005" spans="1:26" ht="12.75">
      <c r="A1005" s="92" t="s">
        <v>7827</v>
      </c>
      <c r="B1005" s="372">
        <v>2007</v>
      </c>
      <c r="C1005" s="372">
        <v>17666472</v>
      </c>
      <c r="D1005" s="92"/>
      <c r="E1005" s="261" t="str">
        <f t="shared" si="0"/>
        <v>https://pubmed.ncbi.nlm.nih.gov/17666472</v>
      </c>
      <c r="F1005" s="92" t="s">
        <v>511</v>
      </c>
      <c r="G1005" s="374" t="s">
        <v>4744</v>
      </c>
      <c r="H1005" s="21"/>
      <c r="I1005" s="92"/>
      <c r="J1005" s="92"/>
      <c r="K1005" s="92"/>
      <c r="L1005" s="92"/>
      <c r="M1005" s="92"/>
      <c r="N1005" s="92"/>
      <c r="O1005" s="92"/>
      <c r="P1005" s="92"/>
      <c r="Q1005" s="92"/>
      <c r="R1005" s="92"/>
      <c r="S1005" s="92"/>
      <c r="T1005" s="92"/>
      <c r="U1005" s="92"/>
      <c r="V1005" s="92"/>
      <c r="W1005" s="92"/>
      <c r="X1005" s="92"/>
      <c r="Y1005" s="92"/>
      <c r="Z1005" s="92"/>
    </row>
    <row r="1006" spans="1:26" ht="12.75">
      <c r="A1006" s="92" t="s">
        <v>7828</v>
      </c>
      <c r="B1006" s="372">
        <v>2011</v>
      </c>
      <c r="C1006" s="372">
        <v>21397770</v>
      </c>
      <c r="D1006" s="92"/>
      <c r="E1006" s="261" t="str">
        <f t="shared" si="0"/>
        <v>https://pubmed.ncbi.nlm.nih.gov/21397770</v>
      </c>
      <c r="F1006" s="92" t="s">
        <v>511</v>
      </c>
      <c r="G1006" s="374" t="s">
        <v>4867</v>
      </c>
      <c r="H1006" s="21"/>
      <c r="I1006" s="92"/>
      <c r="J1006" s="92"/>
      <c r="K1006" s="92"/>
      <c r="L1006" s="92"/>
      <c r="M1006" s="92"/>
      <c r="N1006" s="92"/>
      <c r="O1006" s="92"/>
      <c r="P1006" s="92"/>
      <c r="Q1006" s="92"/>
      <c r="R1006" s="92"/>
      <c r="S1006" s="92"/>
      <c r="T1006" s="92"/>
      <c r="U1006" s="92"/>
      <c r="V1006" s="92"/>
      <c r="W1006" s="92"/>
      <c r="X1006" s="92"/>
      <c r="Y1006" s="92"/>
      <c r="Z1006" s="92"/>
    </row>
    <row r="1007" spans="1:26" ht="12.75">
      <c r="A1007" s="92" t="s">
        <v>7829</v>
      </c>
      <c r="B1007" s="372">
        <v>2020</v>
      </c>
      <c r="C1007" s="372">
        <v>32614699</v>
      </c>
      <c r="D1007" s="92"/>
      <c r="E1007" s="261" t="str">
        <f t="shared" si="0"/>
        <v>https://pubmed.ncbi.nlm.nih.gov/32614699</v>
      </c>
      <c r="F1007" s="92" t="s">
        <v>511</v>
      </c>
      <c r="G1007" s="374" t="s">
        <v>5157</v>
      </c>
      <c r="H1007" s="21"/>
      <c r="I1007" s="21"/>
      <c r="J1007" s="92"/>
      <c r="K1007" s="92"/>
      <c r="L1007" s="92"/>
      <c r="M1007" s="92"/>
      <c r="N1007" s="92"/>
      <c r="O1007" s="92"/>
      <c r="P1007" s="92"/>
      <c r="Q1007" s="92"/>
      <c r="R1007" s="92"/>
      <c r="S1007" s="92"/>
      <c r="T1007" s="92"/>
      <c r="U1007" s="92"/>
      <c r="V1007" s="92"/>
      <c r="W1007" s="92"/>
      <c r="X1007" s="92"/>
      <c r="Y1007" s="92"/>
      <c r="Z1007" s="92"/>
    </row>
    <row r="1008" spans="1:26" ht="12.75">
      <c r="A1008" s="92" t="s">
        <v>7830</v>
      </c>
      <c r="B1008" s="372">
        <v>2001</v>
      </c>
      <c r="C1008" s="372">
        <v>11577362</v>
      </c>
      <c r="D1008" s="92"/>
      <c r="E1008" s="261" t="str">
        <f t="shared" si="0"/>
        <v>https://pubmed.ncbi.nlm.nih.gov/11577362</v>
      </c>
      <c r="F1008" s="92" t="s">
        <v>6251</v>
      </c>
      <c r="G1008" s="92" t="s">
        <v>6623</v>
      </c>
      <c r="H1008" s="92"/>
      <c r="I1008" s="92"/>
      <c r="J1008" s="92"/>
      <c r="K1008" s="92"/>
      <c r="L1008" s="92"/>
      <c r="M1008" s="92"/>
      <c r="N1008" s="92"/>
      <c r="O1008" s="92"/>
      <c r="P1008" s="92"/>
      <c r="Q1008" s="92"/>
      <c r="R1008" s="92"/>
      <c r="S1008" s="92"/>
      <c r="T1008" s="92"/>
      <c r="U1008" s="92"/>
      <c r="V1008" s="92"/>
      <c r="W1008" s="92"/>
      <c r="X1008" s="92"/>
      <c r="Y1008" s="92"/>
      <c r="Z1008" s="92"/>
    </row>
    <row r="1009" spans="1:26" ht="12.75">
      <c r="A1009" s="92" t="s">
        <v>7831</v>
      </c>
      <c r="B1009" s="372">
        <v>2020</v>
      </c>
      <c r="C1009" s="372">
        <v>32565483</v>
      </c>
      <c r="D1009" s="92" t="s">
        <v>7832</v>
      </c>
      <c r="E1009" s="261" t="str">
        <f t="shared" si="0"/>
        <v>https://pubmed.ncbi.nlm.nih.gov/32565483</v>
      </c>
      <c r="F1009" s="92" t="s">
        <v>511</v>
      </c>
      <c r="G1009" s="374" t="s">
        <v>8443</v>
      </c>
      <c r="H1009" s="92"/>
      <c r="I1009" s="92"/>
      <c r="J1009" s="92"/>
      <c r="K1009" s="92"/>
      <c r="L1009" s="92"/>
      <c r="M1009" s="92"/>
      <c r="N1009" s="92"/>
      <c r="O1009" s="92"/>
      <c r="P1009" s="92"/>
      <c r="Q1009" s="92"/>
      <c r="R1009" s="92"/>
      <c r="S1009" s="92"/>
      <c r="T1009" s="92"/>
      <c r="U1009" s="92"/>
      <c r="V1009" s="92"/>
      <c r="W1009" s="92"/>
      <c r="X1009" s="92"/>
      <c r="Y1009" s="92"/>
      <c r="Z1009" s="92"/>
    </row>
    <row r="1010" spans="1:26" ht="12.75">
      <c r="A1010" s="92" t="s">
        <v>7834</v>
      </c>
      <c r="B1010" s="372">
        <v>2016</v>
      </c>
      <c r="C1010" s="372">
        <v>27311495</v>
      </c>
      <c r="D1010" s="92"/>
      <c r="E1010" s="261" t="str">
        <f t="shared" si="0"/>
        <v>https://pubmed.ncbi.nlm.nih.gov/27311495</v>
      </c>
      <c r="F1010" s="92" t="s">
        <v>511</v>
      </c>
      <c r="G1010" s="374" t="s">
        <v>4744</v>
      </c>
      <c r="H1010" s="21"/>
      <c r="I1010" s="92"/>
      <c r="J1010" s="92"/>
      <c r="K1010" s="92"/>
      <c r="L1010" s="92"/>
      <c r="M1010" s="92"/>
      <c r="N1010" s="92"/>
      <c r="O1010" s="92"/>
      <c r="P1010" s="92"/>
      <c r="Q1010" s="92"/>
      <c r="R1010" s="92"/>
      <c r="S1010" s="92"/>
      <c r="T1010" s="92"/>
      <c r="U1010" s="92"/>
      <c r="V1010" s="92"/>
      <c r="W1010" s="92"/>
      <c r="X1010" s="92"/>
      <c r="Y1010" s="92"/>
      <c r="Z1010" s="92"/>
    </row>
    <row r="1011" spans="1:26" ht="12.75">
      <c r="A1011" s="92" t="s">
        <v>7835</v>
      </c>
      <c r="B1011" s="372">
        <v>2021</v>
      </c>
      <c r="C1011" s="372">
        <v>33624299</v>
      </c>
      <c r="D1011" s="92"/>
      <c r="E1011" s="261" t="str">
        <f t="shared" si="0"/>
        <v>https://pubmed.ncbi.nlm.nih.gov/33624299</v>
      </c>
      <c r="F1011" s="92" t="s">
        <v>511</v>
      </c>
      <c r="G1011" s="92" t="s">
        <v>8412</v>
      </c>
      <c r="H1011" s="92"/>
      <c r="I1011" s="92"/>
      <c r="J1011" s="92"/>
      <c r="K1011" s="92"/>
      <c r="L1011" s="92"/>
      <c r="M1011" s="92"/>
      <c r="N1011" s="92"/>
      <c r="O1011" s="92"/>
      <c r="P1011" s="92"/>
      <c r="Q1011" s="92"/>
      <c r="R1011" s="92"/>
      <c r="S1011" s="92"/>
      <c r="T1011" s="92"/>
      <c r="U1011" s="92"/>
      <c r="V1011" s="92"/>
      <c r="W1011" s="92"/>
      <c r="X1011" s="92"/>
      <c r="Y1011" s="92"/>
      <c r="Z1011" s="92"/>
    </row>
    <row r="1012" spans="1:26" ht="12.75">
      <c r="A1012" s="92" t="s">
        <v>7836</v>
      </c>
      <c r="B1012" s="372">
        <v>2004</v>
      </c>
      <c r="C1012" s="372">
        <v>15502061</v>
      </c>
      <c r="D1012" s="92"/>
      <c r="E1012" s="261" t="str">
        <f t="shared" si="0"/>
        <v>https://pubmed.ncbi.nlm.nih.gov/15502061</v>
      </c>
      <c r="F1012" s="92" t="s">
        <v>511</v>
      </c>
      <c r="G1012" s="374" t="s">
        <v>4867</v>
      </c>
      <c r="H1012" s="21"/>
      <c r="I1012" s="92"/>
      <c r="J1012" s="92"/>
      <c r="K1012" s="92"/>
      <c r="L1012" s="92"/>
      <c r="M1012" s="92"/>
      <c r="N1012" s="92"/>
      <c r="O1012" s="92"/>
      <c r="P1012" s="92"/>
      <c r="Q1012" s="92"/>
      <c r="R1012" s="92"/>
      <c r="S1012" s="92"/>
      <c r="T1012" s="92"/>
      <c r="U1012" s="92"/>
      <c r="V1012" s="92"/>
      <c r="W1012" s="92"/>
      <c r="X1012" s="92"/>
      <c r="Y1012" s="92"/>
      <c r="Z1012" s="92"/>
    </row>
    <row r="1013" spans="1:26" ht="12.75">
      <c r="A1013" s="92" t="s">
        <v>7837</v>
      </c>
      <c r="B1013" s="372">
        <v>2014</v>
      </c>
      <c r="C1013" s="372">
        <v>25379846</v>
      </c>
      <c r="D1013" s="92"/>
      <c r="E1013" s="261" t="str">
        <f t="shared" si="0"/>
        <v>https://pubmed.ncbi.nlm.nih.gov/25379846</v>
      </c>
      <c r="F1013" s="92" t="s">
        <v>511</v>
      </c>
      <c r="G1013" s="92" t="s">
        <v>4433</v>
      </c>
      <c r="H1013" s="92"/>
      <c r="I1013" s="92"/>
      <c r="J1013" s="92"/>
      <c r="K1013" s="92"/>
      <c r="L1013" s="92"/>
      <c r="M1013" s="92"/>
      <c r="N1013" s="92"/>
      <c r="O1013" s="92"/>
      <c r="P1013" s="92"/>
      <c r="Q1013" s="92"/>
      <c r="R1013" s="92"/>
      <c r="S1013" s="92"/>
      <c r="T1013" s="92"/>
      <c r="U1013" s="92"/>
      <c r="V1013" s="92"/>
      <c r="W1013" s="92"/>
      <c r="X1013" s="92"/>
      <c r="Y1013" s="92"/>
      <c r="Z1013" s="92"/>
    </row>
    <row r="1014" spans="1:26" ht="12.75">
      <c r="A1014" s="92" t="s">
        <v>7838</v>
      </c>
      <c r="B1014" s="372">
        <v>2016</v>
      </c>
      <c r="C1014" s="372">
        <v>26860641</v>
      </c>
      <c r="D1014" s="92"/>
      <c r="E1014" s="261" t="str">
        <f t="shared" si="0"/>
        <v>https://pubmed.ncbi.nlm.nih.gov/26860641</v>
      </c>
      <c r="F1014" s="92" t="s">
        <v>511</v>
      </c>
      <c r="G1014" s="374" t="s">
        <v>5299</v>
      </c>
      <c r="H1014" s="21"/>
      <c r="I1014" s="92"/>
      <c r="J1014" s="92"/>
      <c r="K1014" s="92"/>
      <c r="L1014" s="92"/>
      <c r="M1014" s="92"/>
      <c r="N1014" s="92"/>
      <c r="O1014" s="92"/>
      <c r="P1014" s="92"/>
      <c r="Q1014" s="92"/>
      <c r="R1014" s="92"/>
      <c r="S1014" s="92"/>
      <c r="T1014" s="92"/>
      <c r="U1014" s="92"/>
      <c r="V1014" s="92"/>
      <c r="W1014" s="92"/>
      <c r="X1014" s="92"/>
      <c r="Y1014" s="92"/>
      <c r="Z1014" s="92"/>
    </row>
    <row r="1015" spans="1:26" ht="12.75">
      <c r="A1015" s="92" t="s">
        <v>7839</v>
      </c>
      <c r="B1015" s="372">
        <v>2012</v>
      </c>
      <c r="C1015" s="372">
        <v>22352764</v>
      </c>
      <c r="D1015" s="92"/>
      <c r="E1015" s="261" t="str">
        <f t="shared" si="0"/>
        <v>https://pubmed.ncbi.nlm.nih.gov/22352764</v>
      </c>
      <c r="F1015" s="92" t="s">
        <v>511</v>
      </c>
      <c r="G1015" s="374" t="s">
        <v>4867</v>
      </c>
      <c r="H1015" s="21"/>
      <c r="I1015" s="92"/>
      <c r="J1015" s="92"/>
      <c r="K1015" s="92"/>
      <c r="L1015" s="92"/>
      <c r="M1015" s="92"/>
      <c r="N1015" s="92"/>
      <c r="O1015" s="92"/>
      <c r="P1015" s="92"/>
      <c r="Q1015" s="92"/>
      <c r="R1015" s="92"/>
      <c r="S1015" s="92"/>
      <c r="T1015" s="92"/>
      <c r="U1015" s="92"/>
      <c r="V1015" s="92"/>
      <c r="W1015" s="92"/>
      <c r="X1015" s="92"/>
      <c r="Y1015" s="92"/>
      <c r="Z1015" s="92"/>
    </row>
    <row r="1016" spans="1:26" ht="12.75">
      <c r="A1016" s="92" t="s">
        <v>7840</v>
      </c>
      <c r="B1016" s="372">
        <v>2016</v>
      </c>
      <c r="C1016" s="372">
        <v>26813845</v>
      </c>
      <c r="D1016" s="92"/>
      <c r="E1016" s="261" t="str">
        <f t="shared" si="0"/>
        <v>https://pubmed.ncbi.nlm.nih.gov/26813845</v>
      </c>
      <c r="F1016" s="92" t="s">
        <v>511</v>
      </c>
      <c r="G1016" s="374" t="s">
        <v>5157</v>
      </c>
      <c r="H1016" s="21"/>
      <c r="I1016" s="21"/>
      <c r="J1016" s="92"/>
      <c r="K1016" s="92"/>
      <c r="L1016" s="92"/>
      <c r="M1016" s="92"/>
      <c r="N1016" s="92"/>
      <c r="O1016" s="92"/>
      <c r="P1016" s="92"/>
      <c r="Q1016" s="92"/>
      <c r="R1016" s="92"/>
      <c r="S1016" s="92"/>
      <c r="T1016" s="92"/>
      <c r="U1016" s="92"/>
      <c r="V1016" s="92"/>
      <c r="W1016" s="92"/>
      <c r="X1016" s="92"/>
      <c r="Y1016" s="92"/>
      <c r="Z1016" s="92"/>
    </row>
    <row r="1017" spans="1:26" ht="12.75">
      <c r="A1017" s="92" t="s">
        <v>7841</v>
      </c>
      <c r="B1017" s="372">
        <v>1999</v>
      </c>
      <c r="C1017" s="372">
        <v>10097242</v>
      </c>
      <c r="D1017" s="92"/>
      <c r="E1017" s="261" t="str">
        <f t="shared" si="0"/>
        <v>https://pubmed.ncbi.nlm.nih.gov/10097242</v>
      </c>
      <c r="F1017" s="92" t="s">
        <v>511</v>
      </c>
      <c r="G1017" s="92" t="s">
        <v>4592</v>
      </c>
      <c r="H1017" s="92"/>
      <c r="I1017" s="92"/>
      <c r="J1017" s="92"/>
      <c r="K1017" s="92"/>
      <c r="L1017" s="92"/>
      <c r="M1017" s="92"/>
      <c r="N1017" s="92"/>
      <c r="O1017" s="92"/>
      <c r="P1017" s="92"/>
      <c r="Q1017" s="92"/>
      <c r="R1017" s="92"/>
      <c r="S1017" s="92"/>
      <c r="T1017" s="92"/>
      <c r="U1017" s="92"/>
      <c r="V1017" s="92"/>
      <c r="W1017" s="92"/>
      <c r="X1017" s="92"/>
      <c r="Y1017" s="92"/>
      <c r="Z1017" s="92"/>
    </row>
    <row r="1018" spans="1:26" ht="12.75">
      <c r="A1018" s="92" t="s">
        <v>7842</v>
      </c>
      <c r="B1018" s="372">
        <v>2006</v>
      </c>
      <c r="C1018" s="372">
        <v>16377473</v>
      </c>
      <c r="D1018" s="92"/>
      <c r="E1018" s="261" t="str">
        <f t="shared" si="0"/>
        <v>https://pubmed.ncbi.nlm.nih.gov/16377473</v>
      </c>
      <c r="F1018" s="92" t="s">
        <v>511</v>
      </c>
      <c r="G1018" s="92" t="s">
        <v>4592</v>
      </c>
      <c r="H1018" s="92"/>
      <c r="I1018" s="92"/>
      <c r="J1018" s="92"/>
      <c r="K1018" s="92"/>
      <c r="L1018" s="92"/>
      <c r="M1018" s="92"/>
      <c r="N1018" s="92"/>
      <c r="O1018" s="92"/>
      <c r="P1018" s="92"/>
      <c r="Q1018" s="92"/>
      <c r="R1018" s="92"/>
      <c r="S1018" s="92"/>
      <c r="T1018" s="92"/>
      <c r="U1018" s="92"/>
      <c r="V1018" s="92"/>
      <c r="W1018" s="92"/>
      <c r="X1018" s="92"/>
      <c r="Y1018" s="92"/>
      <c r="Z1018" s="92"/>
    </row>
    <row r="1019" spans="1:26" ht="12.75">
      <c r="A1019" s="92" t="s">
        <v>7843</v>
      </c>
      <c r="B1019" s="372">
        <v>2017</v>
      </c>
      <c r="C1019" s="372">
        <v>29390382</v>
      </c>
      <c r="D1019" s="92" t="s">
        <v>7844</v>
      </c>
      <c r="E1019" s="261" t="str">
        <f t="shared" si="0"/>
        <v>https://pubmed.ncbi.nlm.nih.gov/29390382</v>
      </c>
      <c r="F1019" s="92" t="s">
        <v>511</v>
      </c>
      <c r="G1019" s="92" t="s">
        <v>4592</v>
      </c>
      <c r="H1019" s="92"/>
      <c r="I1019" s="92"/>
      <c r="J1019" s="92"/>
      <c r="K1019" s="92"/>
      <c r="L1019" s="92"/>
      <c r="M1019" s="92"/>
      <c r="N1019" s="92"/>
      <c r="O1019" s="92"/>
      <c r="P1019" s="92"/>
      <c r="Q1019" s="92"/>
      <c r="R1019" s="92"/>
      <c r="S1019" s="92"/>
      <c r="T1019" s="92"/>
      <c r="U1019" s="92"/>
      <c r="V1019" s="92"/>
      <c r="W1019" s="92"/>
      <c r="X1019" s="92"/>
      <c r="Y1019" s="92"/>
      <c r="Z1019" s="92"/>
    </row>
    <row r="1020" spans="1:26" ht="12.75">
      <c r="A1020" s="92" t="s">
        <v>7845</v>
      </c>
      <c r="B1020" s="372">
        <v>2015</v>
      </c>
      <c r="C1020" s="372">
        <v>25645443</v>
      </c>
      <c r="D1020" s="92" t="s">
        <v>7846</v>
      </c>
      <c r="E1020" s="261" t="str">
        <f t="shared" si="0"/>
        <v>https://pubmed.ncbi.nlm.nih.gov/25645443</v>
      </c>
      <c r="F1020" s="92" t="s">
        <v>511</v>
      </c>
      <c r="G1020" s="92" t="s">
        <v>4592</v>
      </c>
      <c r="H1020" s="92"/>
      <c r="I1020" s="92"/>
      <c r="J1020" s="92"/>
      <c r="K1020" s="92"/>
      <c r="L1020" s="92"/>
      <c r="M1020" s="92"/>
      <c r="N1020" s="92"/>
      <c r="O1020" s="92"/>
      <c r="P1020" s="92"/>
      <c r="Q1020" s="92"/>
      <c r="R1020" s="92"/>
      <c r="S1020" s="92"/>
      <c r="T1020" s="92"/>
      <c r="U1020" s="92"/>
      <c r="V1020" s="92"/>
      <c r="W1020" s="92"/>
      <c r="X1020" s="92"/>
      <c r="Y1020" s="92"/>
      <c r="Z1020" s="92"/>
    </row>
    <row r="1021" spans="1:26" ht="12.75">
      <c r="A1021" s="92" t="s">
        <v>7847</v>
      </c>
      <c r="B1021" s="372">
        <v>2016</v>
      </c>
      <c r="C1021" s="372">
        <v>26595348</v>
      </c>
      <c r="D1021" s="92"/>
      <c r="E1021" s="261" t="str">
        <f t="shared" si="0"/>
        <v>https://pubmed.ncbi.nlm.nih.gov/26595348</v>
      </c>
      <c r="F1021" s="92" t="s">
        <v>511</v>
      </c>
      <c r="G1021" s="374" t="s">
        <v>7848</v>
      </c>
      <c r="H1021" s="21"/>
      <c r="I1021" s="21"/>
      <c r="J1021" s="92"/>
      <c r="K1021" s="92"/>
      <c r="L1021" s="92"/>
      <c r="M1021" s="92"/>
      <c r="N1021" s="92"/>
      <c r="O1021" s="92"/>
      <c r="P1021" s="92"/>
      <c r="Q1021" s="92"/>
      <c r="R1021" s="92"/>
      <c r="S1021" s="92"/>
      <c r="T1021" s="92"/>
      <c r="U1021" s="92"/>
      <c r="V1021" s="92"/>
      <c r="W1021" s="92"/>
      <c r="X1021" s="92"/>
      <c r="Y1021" s="92"/>
      <c r="Z1021" s="92"/>
    </row>
    <row r="1022" spans="1:26" ht="12.75">
      <c r="A1022" s="92" t="s">
        <v>7849</v>
      </c>
      <c r="B1022" s="372">
        <v>2017</v>
      </c>
      <c r="C1022" s="372">
        <v>28110911</v>
      </c>
      <c r="D1022" s="92"/>
      <c r="E1022" s="261" t="str">
        <f t="shared" si="0"/>
        <v>https://pubmed.ncbi.nlm.nih.gov/28110911</v>
      </c>
      <c r="F1022" s="92" t="s">
        <v>511</v>
      </c>
      <c r="G1022" s="374" t="s">
        <v>4867</v>
      </c>
      <c r="H1022" s="21"/>
      <c r="I1022" s="92"/>
      <c r="J1022" s="92"/>
      <c r="K1022" s="92"/>
      <c r="L1022" s="92"/>
      <c r="M1022" s="92"/>
      <c r="N1022" s="92"/>
      <c r="O1022" s="92"/>
      <c r="P1022" s="92"/>
      <c r="Q1022" s="92"/>
      <c r="R1022" s="92"/>
      <c r="S1022" s="92"/>
      <c r="T1022" s="92"/>
      <c r="U1022" s="92"/>
      <c r="V1022" s="92"/>
      <c r="W1022" s="92"/>
      <c r="X1022" s="92"/>
      <c r="Y1022" s="92"/>
      <c r="Z1022" s="92"/>
    </row>
    <row r="1023" spans="1:26" ht="12.75">
      <c r="A1023" s="92" t="s">
        <v>7850</v>
      </c>
      <c r="B1023" s="372">
        <v>2016</v>
      </c>
      <c r="C1023" s="372">
        <v>27622299</v>
      </c>
      <c r="D1023" s="92" t="s">
        <v>7851</v>
      </c>
      <c r="E1023" s="261" t="str">
        <f t="shared" si="0"/>
        <v>https://pubmed.ncbi.nlm.nih.gov/27622299</v>
      </c>
      <c r="F1023" s="92" t="s">
        <v>511</v>
      </c>
      <c r="G1023" s="92" t="s">
        <v>4592</v>
      </c>
      <c r="H1023" s="92"/>
      <c r="I1023" s="92"/>
      <c r="J1023" s="92"/>
      <c r="K1023" s="92"/>
      <c r="L1023" s="92"/>
      <c r="M1023" s="92"/>
      <c r="N1023" s="92"/>
      <c r="O1023" s="92"/>
      <c r="P1023" s="92"/>
      <c r="Q1023" s="92"/>
      <c r="R1023" s="92"/>
      <c r="S1023" s="92"/>
      <c r="T1023" s="92"/>
      <c r="U1023" s="92"/>
      <c r="V1023" s="92"/>
      <c r="W1023" s="92"/>
      <c r="X1023" s="92"/>
      <c r="Y1023" s="92"/>
      <c r="Z1023" s="92"/>
    </row>
    <row r="1024" spans="1:26" ht="12.75">
      <c r="A1024" s="92" t="s">
        <v>7852</v>
      </c>
      <c r="B1024" s="372">
        <v>2003</v>
      </c>
      <c r="C1024" s="372">
        <v>14633783</v>
      </c>
      <c r="D1024" s="92"/>
      <c r="E1024" s="261" t="str">
        <f t="shared" si="0"/>
        <v>https://pubmed.ncbi.nlm.nih.gov/14633783</v>
      </c>
      <c r="F1024" s="92" t="s">
        <v>511</v>
      </c>
      <c r="G1024" s="92" t="s">
        <v>4592</v>
      </c>
      <c r="H1024" s="92"/>
      <c r="I1024" s="92"/>
      <c r="J1024" s="92"/>
      <c r="K1024" s="92"/>
      <c r="L1024" s="92"/>
      <c r="M1024" s="92"/>
      <c r="N1024" s="92"/>
      <c r="O1024" s="92"/>
      <c r="P1024" s="92"/>
      <c r="Q1024" s="92"/>
      <c r="R1024" s="92"/>
      <c r="S1024" s="92"/>
      <c r="T1024" s="92"/>
      <c r="U1024" s="92"/>
      <c r="V1024" s="92"/>
      <c r="W1024" s="92"/>
      <c r="X1024" s="92"/>
      <c r="Y1024" s="92"/>
      <c r="Z1024" s="92"/>
    </row>
    <row r="1025" spans="1:26" ht="12.75">
      <c r="A1025" s="92" t="s">
        <v>7853</v>
      </c>
      <c r="B1025" s="372">
        <v>2018</v>
      </c>
      <c r="C1025" s="372">
        <v>30545359</v>
      </c>
      <c r="D1025" s="92" t="s">
        <v>7854</v>
      </c>
      <c r="E1025" s="261" t="str">
        <f t="shared" si="0"/>
        <v>https://pubmed.ncbi.nlm.nih.gov/30545359</v>
      </c>
      <c r="F1025" s="92" t="s">
        <v>511</v>
      </c>
      <c r="G1025" s="92" t="s">
        <v>4592</v>
      </c>
      <c r="H1025" s="92"/>
      <c r="I1025" s="92"/>
      <c r="J1025" s="92"/>
      <c r="K1025" s="92"/>
      <c r="L1025" s="92"/>
      <c r="M1025" s="92"/>
      <c r="N1025" s="92"/>
      <c r="O1025" s="92"/>
      <c r="P1025" s="92"/>
      <c r="Q1025" s="92"/>
      <c r="R1025" s="92"/>
      <c r="S1025" s="92"/>
      <c r="T1025" s="92"/>
      <c r="U1025" s="92"/>
      <c r="V1025" s="92"/>
      <c r="W1025" s="92"/>
      <c r="X1025" s="92"/>
      <c r="Y1025" s="92"/>
      <c r="Z1025" s="92"/>
    </row>
    <row r="1026" spans="1:26" ht="12.75">
      <c r="A1026" s="92" t="s">
        <v>7855</v>
      </c>
      <c r="B1026" s="372">
        <v>2002</v>
      </c>
      <c r="C1026" s="372">
        <v>12000479</v>
      </c>
      <c r="D1026" s="92"/>
      <c r="E1026" s="261" t="str">
        <f t="shared" si="0"/>
        <v>https://pubmed.ncbi.nlm.nih.gov/12000479</v>
      </c>
      <c r="F1026" s="92" t="s">
        <v>511</v>
      </c>
      <c r="G1026" s="374" t="s">
        <v>4744</v>
      </c>
      <c r="H1026" s="21"/>
      <c r="I1026" s="92"/>
      <c r="J1026" s="92"/>
      <c r="K1026" s="92"/>
      <c r="L1026" s="92"/>
      <c r="M1026" s="92"/>
      <c r="N1026" s="92"/>
      <c r="O1026" s="92"/>
      <c r="P1026" s="92"/>
      <c r="Q1026" s="92"/>
      <c r="R1026" s="92"/>
      <c r="S1026" s="92"/>
      <c r="T1026" s="92"/>
      <c r="U1026" s="92"/>
      <c r="V1026" s="92"/>
      <c r="W1026" s="92"/>
      <c r="X1026" s="92"/>
      <c r="Y1026" s="92"/>
      <c r="Z1026" s="92"/>
    </row>
    <row r="1027" spans="1:26" ht="12.75">
      <c r="A1027" s="92" t="s">
        <v>7856</v>
      </c>
      <c r="B1027" s="372">
        <v>2012</v>
      </c>
      <c r="C1027" s="372">
        <v>22556187</v>
      </c>
      <c r="D1027" s="92"/>
      <c r="E1027" s="261" t="str">
        <f t="shared" si="0"/>
        <v>https://pubmed.ncbi.nlm.nih.gov/22556187</v>
      </c>
      <c r="F1027" s="92" t="s">
        <v>511</v>
      </c>
      <c r="G1027" s="374" t="s">
        <v>6412</v>
      </c>
      <c r="H1027" s="21"/>
      <c r="I1027" s="92"/>
      <c r="J1027" s="92"/>
      <c r="K1027" s="92"/>
      <c r="L1027" s="92"/>
      <c r="M1027" s="92"/>
      <c r="N1027" s="92"/>
      <c r="O1027" s="92"/>
      <c r="P1027" s="92"/>
      <c r="Q1027" s="92"/>
      <c r="R1027" s="92"/>
      <c r="S1027" s="92"/>
      <c r="T1027" s="92"/>
      <c r="U1027" s="92"/>
      <c r="V1027" s="92"/>
      <c r="W1027" s="92"/>
      <c r="X1027" s="92"/>
      <c r="Y1027" s="92"/>
      <c r="Z1027" s="92"/>
    </row>
    <row r="1028" spans="1:26" ht="12.75">
      <c r="A1028" s="92" t="s">
        <v>7857</v>
      </c>
      <c r="B1028" s="372">
        <v>2014</v>
      </c>
      <c r="C1028" s="372">
        <v>25084088</v>
      </c>
      <c r="D1028" s="92"/>
      <c r="E1028" s="261" t="str">
        <f t="shared" si="0"/>
        <v>https://pubmed.ncbi.nlm.nih.gov/25084088</v>
      </c>
      <c r="F1028" s="92" t="s">
        <v>511</v>
      </c>
      <c r="G1028" s="374" t="s">
        <v>4744</v>
      </c>
      <c r="H1028" s="21"/>
      <c r="I1028" s="92"/>
      <c r="J1028" s="92"/>
      <c r="K1028" s="92"/>
      <c r="L1028" s="92"/>
      <c r="M1028" s="92"/>
      <c r="N1028" s="92"/>
      <c r="O1028" s="92"/>
      <c r="P1028" s="92"/>
      <c r="Q1028" s="92"/>
      <c r="R1028" s="92"/>
      <c r="S1028" s="92"/>
      <c r="T1028" s="92"/>
      <c r="U1028" s="92"/>
      <c r="V1028" s="92"/>
      <c r="W1028" s="92"/>
      <c r="X1028" s="92"/>
      <c r="Y1028" s="92"/>
      <c r="Z1028" s="92"/>
    </row>
    <row r="1029" spans="1:26" ht="12.75">
      <c r="A1029" s="92" t="s">
        <v>7858</v>
      </c>
      <c r="B1029" s="372">
        <v>2021</v>
      </c>
      <c r="C1029" s="372">
        <v>33187978</v>
      </c>
      <c r="D1029" s="92" t="s">
        <v>7859</v>
      </c>
      <c r="E1029" s="261" t="str">
        <f t="shared" si="0"/>
        <v>https://pubmed.ncbi.nlm.nih.gov/33187978</v>
      </c>
      <c r="F1029" s="92" t="s">
        <v>511</v>
      </c>
      <c r="G1029" s="374" t="s">
        <v>7860</v>
      </c>
      <c r="H1029" s="21"/>
      <c r="I1029" s="92"/>
      <c r="J1029" s="92"/>
      <c r="K1029" s="92"/>
      <c r="L1029" s="92"/>
      <c r="M1029" s="92"/>
      <c r="N1029" s="92"/>
      <c r="O1029" s="92"/>
      <c r="P1029" s="92"/>
      <c r="Q1029" s="92"/>
      <c r="R1029" s="92"/>
      <c r="S1029" s="92"/>
      <c r="T1029" s="92"/>
      <c r="U1029" s="92"/>
      <c r="V1029" s="92"/>
      <c r="W1029" s="92"/>
      <c r="X1029" s="92"/>
      <c r="Y1029" s="92"/>
      <c r="Z1029" s="92"/>
    </row>
    <row r="1030" spans="1:26" ht="12.75">
      <c r="A1030" s="92" t="s">
        <v>7861</v>
      </c>
      <c r="B1030" s="372">
        <v>2008</v>
      </c>
      <c r="C1030" s="372">
        <v>18698879</v>
      </c>
      <c r="D1030" s="92"/>
      <c r="E1030" s="261" t="str">
        <f t="shared" si="0"/>
        <v>https://pubmed.ncbi.nlm.nih.gov/18698879</v>
      </c>
      <c r="F1030" s="92" t="s">
        <v>511</v>
      </c>
      <c r="G1030" s="92" t="s">
        <v>4592</v>
      </c>
      <c r="H1030" s="92"/>
      <c r="I1030" s="92"/>
      <c r="J1030" s="92"/>
      <c r="K1030" s="92"/>
      <c r="L1030" s="92"/>
      <c r="M1030" s="92"/>
      <c r="N1030" s="92"/>
      <c r="O1030" s="92"/>
      <c r="P1030" s="92"/>
      <c r="Q1030" s="92"/>
      <c r="R1030" s="92"/>
      <c r="S1030" s="92"/>
      <c r="T1030" s="92"/>
      <c r="U1030" s="92"/>
      <c r="V1030" s="92"/>
      <c r="W1030" s="92"/>
      <c r="X1030" s="92"/>
      <c r="Y1030" s="92"/>
      <c r="Z1030" s="92"/>
    </row>
    <row r="1031" spans="1:26" ht="12.75">
      <c r="A1031" s="92" t="s">
        <v>7862</v>
      </c>
      <c r="B1031" s="372">
        <v>2020</v>
      </c>
      <c r="C1031" s="372">
        <v>32514626</v>
      </c>
      <c r="D1031" s="92" t="s">
        <v>7863</v>
      </c>
      <c r="E1031" s="261" t="str">
        <f t="shared" si="0"/>
        <v>https://pubmed.ncbi.nlm.nih.gov/32514626</v>
      </c>
      <c r="F1031" s="92" t="s">
        <v>511</v>
      </c>
      <c r="G1031" s="92" t="s">
        <v>4592</v>
      </c>
      <c r="H1031" s="92"/>
      <c r="I1031" s="92"/>
      <c r="J1031" s="92"/>
      <c r="K1031" s="92"/>
      <c r="L1031" s="92"/>
      <c r="M1031" s="92"/>
      <c r="N1031" s="92"/>
      <c r="O1031" s="92"/>
      <c r="P1031" s="92"/>
      <c r="Q1031" s="92"/>
      <c r="R1031" s="92"/>
      <c r="S1031" s="92"/>
      <c r="T1031" s="92"/>
      <c r="U1031" s="92"/>
      <c r="V1031" s="92"/>
      <c r="W1031" s="92"/>
      <c r="X1031" s="92"/>
      <c r="Y1031" s="92"/>
      <c r="Z1031" s="92"/>
    </row>
    <row r="1032" spans="1:26" ht="12.75">
      <c r="A1032" s="92" t="s">
        <v>7864</v>
      </c>
      <c r="B1032" s="372">
        <v>2017</v>
      </c>
      <c r="C1032" s="372">
        <v>29236286</v>
      </c>
      <c r="D1032" s="92" t="s">
        <v>7865</v>
      </c>
      <c r="E1032" s="261" t="str">
        <f t="shared" si="0"/>
        <v>https://pubmed.ncbi.nlm.nih.gov/29236286</v>
      </c>
      <c r="F1032" s="92" t="s">
        <v>511</v>
      </c>
      <c r="G1032" s="92" t="s">
        <v>4592</v>
      </c>
      <c r="H1032" s="92"/>
      <c r="I1032" s="92"/>
      <c r="J1032" s="92"/>
      <c r="K1032" s="92"/>
      <c r="L1032" s="92"/>
      <c r="M1032" s="92"/>
      <c r="N1032" s="92"/>
      <c r="O1032" s="92"/>
      <c r="P1032" s="92"/>
      <c r="Q1032" s="92"/>
      <c r="R1032" s="92"/>
      <c r="S1032" s="92"/>
      <c r="T1032" s="92"/>
      <c r="U1032" s="92"/>
      <c r="V1032" s="92"/>
      <c r="W1032" s="92"/>
      <c r="X1032" s="92"/>
      <c r="Y1032" s="92"/>
      <c r="Z1032" s="92"/>
    </row>
    <row r="1033" spans="1:26" ht="12.75">
      <c r="A1033" s="92" t="s">
        <v>7864</v>
      </c>
      <c r="B1033" s="372">
        <v>2019</v>
      </c>
      <c r="C1033" s="372">
        <v>30605229</v>
      </c>
      <c r="D1033" s="92" t="s">
        <v>7866</v>
      </c>
      <c r="E1033" s="261" t="str">
        <f t="shared" si="0"/>
        <v>https://pubmed.ncbi.nlm.nih.gov/30605229</v>
      </c>
      <c r="F1033" s="92" t="s">
        <v>511</v>
      </c>
      <c r="G1033" s="92" t="s">
        <v>8412</v>
      </c>
      <c r="H1033" s="92"/>
      <c r="I1033" s="92"/>
      <c r="J1033" s="92"/>
      <c r="K1033" s="92"/>
      <c r="L1033" s="92"/>
      <c r="M1033" s="92"/>
      <c r="N1033" s="92"/>
      <c r="O1033" s="92"/>
      <c r="P1033" s="92"/>
      <c r="Q1033" s="92"/>
      <c r="R1033" s="92"/>
      <c r="S1033" s="92"/>
      <c r="T1033" s="92"/>
      <c r="U1033" s="92"/>
      <c r="V1033" s="92"/>
      <c r="W1033" s="92"/>
      <c r="X1033" s="92"/>
      <c r="Y1033" s="92"/>
      <c r="Z1033" s="92"/>
    </row>
    <row r="1034" spans="1:26" ht="12.75">
      <c r="A1034" s="92" t="s">
        <v>464</v>
      </c>
      <c r="B1034" s="372">
        <v>2018</v>
      </c>
      <c r="C1034" s="372">
        <v>29684148</v>
      </c>
      <c r="D1034" s="92"/>
      <c r="E1034" s="376" t="str">
        <f t="shared" si="0"/>
        <v>https://pubmed.ncbi.nlm.nih.gov/29684148</v>
      </c>
      <c r="F1034" s="21"/>
      <c r="G1034" s="92"/>
      <c r="H1034" s="92" t="s">
        <v>511</v>
      </c>
      <c r="I1034" s="92"/>
      <c r="J1034" s="92"/>
      <c r="K1034" s="92"/>
      <c r="L1034" s="92"/>
      <c r="M1034" s="92"/>
      <c r="N1034" s="92"/>
      <c r="O1034" s="92"/>
      <c r="P1034" s="92"/>
      <c r="Q1034" s="92"/>
      <c r="R1034" s="92"/>
      <c r="S1034" s="92"/>
      <c r="T1034" s="92"/>
      <c r="U1034" s="92"/>
      <c r="V1034" s="92"/>
      <c r="W1034" s="92"/>
      <c r="X1034" s="92"/>
      <c r="Y1034" s="92"/>
      <c r="Z1034" s="92"/>
    </row>
    <row r="1035" spans="1:26" ht="12.75">
      <c r="A1035" s="92" t="s">
        <v>7867</v>
      </c>
      <c r="B1035" s="372">
        <v>2010</v>
      </c>
      <c r="C1035" s="372">
        <v>21149931</v>
      </c>
      <c r="D1035" s="92"/>
      <c r="E1035" s="261" t="str">
        <f t="shared" si="0"/>
        <v>https://pubmed.ncbi.nlm.nih.gov/21149931</v>
      </c>
      <c r="F1035" s="92" t="s">
        <v>511</v>
      </c>
      <c r="G1035" s="374" t="s">
        <v>5299</v>
      </c>
      <c r="H1035" s="21"/>
      <c r="I1035" s="92"/>
      <c r="J1035" s="92"/>
      <c r="K1035" s="92"/>
      <c r="L1035" s="92"/>
      <c r="M1035" s="92"/>
      <c r="N1035" s="92"/>
      <c r="O1035" s="92"/>
      <c r="P1035" s="92"/>
      <c r="Q1035" s="92"/>
      <c r="R1035" s="92"/>
      <c r="S1035" s="92"/>
      <c r="T1035" s="92"/>
      <c r="U1035" s="92"/>
      <c r="V1035" s="92"/>
      <c r="W1035" s="92"/>
      <c r="X1035" s="92"/>
      <c r="Y1035" s="92"/>
      <c r="Z1035" s="92"/>
    </row>
    <row r="1036" spans="1:26" ht="12.75">
      <c r="A1036" s="92" t="s">
        <v>7868</v>
      </c>
      <c r="B1036" s="372">
        <v>2015</v>
      </c>
      <c r="C1036" s="372">
        <v>26669566</v>
      </c>
      <c r="D1036" s="92" t="s">
        <v>7869</v>
      </c>
      <c r="E1036" s="261" t="str">
        <f t="shared" si="0"/>
        <v>https://pubmed.ncbi.nlm.nih.gov/26669566</v>
      </c>
      <c r="F1036" s="92" t="s">
        <v>511</v>
      </c>
      <c r="G1036" s="92" t="s">
        <v>4592</v>
      </c>
      <c r="H1036" s="92"/>
      <c r="I1036" s="92"/>
      <c r="J1036" s="92"/>
      <c r="K1036" s="92"/>
      <c r="L1036" s="92"/>
      <c r="M1036" s="92"/>
      <c r="N1036" s="92"/>
      <c r="O1036" s="92"/>
      <c r="P1036" s="92"/>
      <c r="Q1036" s="92"/>
      <c r="R1036" s="92"/>
      <c r="S1036" s="92"/>
      <c r="T1036" s="92"/>
      <c r="U1036" s="92"/>
      <c r="V1036" s="92"/>
      <c r="W1036" s="92"/>
      <c r="X1036" s="92"/>
      <c r="Y1036" s="92"/>
      <c r="Z1036" s="92"/>
    </row>
    <row r="1037" spans="1:26" ht="12.75">
      <c r="A1037" s="92" t="s">
        <v>7870</v>
      </c>
      <c r="B1037" s="372">
        <v>2014</v>
      </c>
      <c r="C1037" s="372">
        <v>25066627</v>
      </c>
      <c r="D1037" s="92"/>
      <c r="E1037" s="261" t="str">
        <f t="shared" si="0"/>
        <v>https://pubmed.ncbi.nlm.nih.gov/25066627</v>
      </c>
      <c r="F1037" s="92" t="s">
        <v>511</v>
      </c>
      <c r="G1037" s="92" t="s">
        <v>4592</v>
      </c>
      <c r="H1037" s="92"/>
      <c r="I1037" s="92"/>
      <c r="J1037" s="92"/>
      <c r="K1037" s="92"/>
      <c r="L1037" s="92"/>
      <c r="M1037" s="92"/>
      <c r="N1037" s="92"/>
      <c r="O1037" s="92"/>
      <c r="P1037" s="92"/>
      <c r="Q1037" s="92"/>
      <c r="R1037" s="92"/>
      <c r="S1037" s="92"/>
      <c r="T1037" s="92"/>
      <c r="U1037" s="92"/>
      <c r="V1037" s="92"/>
      <c r="W1037" s="92"/>
      <c r="X1037" s="92"/>
      <c r="Y1037" s="92"/>
      <c r="Z1037" s="92"/>
    </row>
    <row r="1038" spans="1:26" ht="12.75">
      <c r="A1038" s="92" t="s">
        <v>7871</v>
      </c>
      <c r="B1038" s="372">
        <v>2018</v>
      </c>
      <c r="C1038" s="372">
        <v>29096426</v>
      </c>
      <c r="D1038" s="92" t="s">
        <v>7872</v>
      </c>
      <c r="E1038" s="261" t="str">
        <f t="shared" si="0"/>
        <v>https://pubmed.ncbi.nlm.nih.gov/29096426</v>
      </c>
      <c r="F1038" s="92" t="s">
        <v>511</v>
      </c>
      <c r="G1038" s="374" t="s">
        <v>5299</v>
      </c>
      <c r="H1038" s="21"/>
      <c r="I1038" s="92"/>
      <c r="J1038" s="92"/>
      <c r="K1038" s="92"/>
      <c r="L1038" s="92"/>
      <c r="M1038" s="92"/>
      <c r="N1038" s="92"/>
      <c r="O1038" s="92"/>
      <c r="P1038" s="92"/>
      <c r="Q1038" s="92"/>
      <c r="R1038" s="92"/>
      <c r="S1038" s="92"/>
      <c r="T1038" s="92"/>
      <c r="U1038" s="92"/>
      <c r="V1038" s="92"/>
      <c r="W1038" s="92"/>
      <c r="X1038" s="92"/>
      <c r="Y1038" s="92"/>
      <c r="Z1038" s="92"/>
    </row>
    <row r="1039" spans="1:26" ht="12.75">
      <c r="A1039" s="92" t="s">
        <v>7873</v>
      </c>
      <c r="B1039" s="372">
        <v>2014</v>
      </c>
      <c r="C1039" s="372">
        <v>24612209</v>
      </c>
      <c r="D1039" s="92"/>
      <c r="E1039" s="261" t="str">
        <f t="shared" si="0"/>
        <v>https://pubmed.ncbi.nlm.nih.gov/24612209</v>
      </c>
      <c r="F1039" s="92" t="s">
        <v>511</v>
      </c>
      <c r="G1039" s="374" t="s">
        <v>7874</v>
      </c>
      <c r="H1039" s="21"/>
      <c r="I1039" s="92"/>
      <c r="J1039" s="92"/>
      <c r="K1039" s="92"/>
      <c r="L1039" s="92"/>
      <c r="M1039" s="92"/>
      <c r="N1039" s="92"/>
      <c r="O1039" s="92"/>
      <c r="P1039" s="92"/>
      <c r="Q1039" s="92"/>
      <c r="R1039" s="92"/>
      <c r="S1039" s="92"/>
      <c r="T1039" s="92"/>
      <c r="U1039" s="92"/>
      <c r="V1039" s="92"/>
      <c r="W1039" s="92"/>
      <c r="X1039" s="92"/>
      <c r="Y1039" s="92"/>
      <c r="Z1039" s="92"/>
    </row>
    <row r="1040" spans="1:26" ht="12.75">
      <c r="A1040" s="92" t="s">
        <v>7875</v>
      </c>
      <c r="B1040" s="372">
        <v>2005</v>
      </c>
      <c r="C1040" s="372">
        <v>15937757</v>
      </c>
      <c r="D1040" s="92"/>
      <c r="E1040" s="261" t="str">
        <f t="shared" si="0"/>
        <v>https://pubmed.ncbi.nlm.nih.gov/15937757</v>
      </c>
      <c r="F1040" s="92" t="s">
        <v>511</v>
      </c>
      <c r="G1040" s="374" t="s">
        <v>4744</v>
      </c>
      <c r="H1040" s="21"/>
      <c r="I1040" s="92"/>
      <c r="J1040" s="92"/>
      <c r="K1040" s="92"/>
      <c r="L1040" s="92"/>
      <c r="M1040" s="92"/>
      <c r="N1040" s="92"/>
      <c r="O1040" s="92"/>
      <c r="P1040" s="92"/>
      <c r="Q1040" s="92"/>
      <c r="R1040" s="92"/>
      <c r="S1040" s="92"/>
      <c r="T1040" s="92"/>
      <c r="U1040" s="92"/>
      <c r="V1040" s="92"/>
      <c r="W1040" s="92"/>
      <c r="X1040" s="92"/>
      <c r="Y1040" s="92"/>
      <c r="Z1040" s="92"/>
    </row>
    <row r="1041" spans="1:26" ht="12.75">
      <c r="A1041" s="92" t="s">
        <v>7876</v>
      </c>
      <c r="B1041" s="372">
        <v>2014</v>
      </c>
      <c r="C1041" s="372">
        <v>24127238</v>
      </c>
      <c r="D1041" s="92" t="s">
        <v>7877</v>
      </c>
      <c r="E1041" s="261" t="str">
        <f t="shared" si="0"/>
        <v>https://pubmed.ncbi.nlm.nih.gov/24127238</v>
      </c>
      <c r="F1041" s="92" t="s">
        <v>511</v>
      </c>
      <c r="G1041" s="374" t="s">
        <v>7878</v>
      </c>
      <c r="H1041" s="21"/>
      <c r="I1041" s="21"/>
      <c r="J1041" s="92"/>
      <c r="K1041" s="92"/>
      <c r="L1041" s="92"/>
      <c r="M1041" s="92"/>
      <c r="N1041" s="92"/>
      <c r="O1041" s="92"/>
      <c r="P1041" s="92"/>
      <c r="Q1041" s="92"/>
      <c r="R1041" s="92"/>
      <c r="S1041" s="92"/>
      <c r="T1041" s="92"/>
      <c r="U1041" s="92"/>
      <c r="V1041" s="92"/>
      <c r="W1041" s="92"/>
      <c r="X1041" s="92"/>
      <c r="Y1041" s="92"/>
      <c r="Z1041" s="92"/>
    </row>
    <row r="1042" spans="1:26" ht="12.75">
      <c r="A1042" s="92" t="s">
        <v>7879</v>
      </c>
      <c r="B1042" s="372">
        <v>2015</v>
      </c>
      <c r="C1042" s="372">
        <v>26545294</v>
      </c>
      <c r="D1042" s="92"/>
      <c r="E1042" s="261" t="str">
        <f t="shared" si="0"/>
        <v>https://pubmed.ncbi.nlm.nih.gov/26545294</v>
      </c>
      <c r="F1042" s="92" t="s">
        <v>511</v>
      </c>
      <c r="G1042" s="92" t="s">
        <v>4592</v>
      </c>
      <c r="H1042" s="92"/>
      <c r="I1042" s="92"/>
      <c r="J1042" s="92"/>
      <c r="K1042" s="92"/>
      <c r="L1042" s="92"/>
      <c r="M1042" s="92"/>
      <c r="N1042" s="92"/>
      <c r="O1042" s="92"/>
      <c r="P1042" s="92"/>
      <c r="Q1042" s="92"/>
      <c r="R1042" s="92"/>
      <c r="S1042" s="92"/>
      <c r="T1042" s="92"/>
      <c r="U1042" s="92"/>
      <c r="V1042" s="92"/>
      <c r="W1042" s="92"/>
      <c r="X1042" s="92"/>
      <c r="Y1042" s="92"/>
      <c r="Z1042" s="92"/>
    </row>
    <row r="1043" spans="1:26" ht="12.75">
      <c r="A1043" s="92" t="s">
        <v>7880</v>
      </c>
      <c r="B1043" s="372">
        <v>2009</v>
      </c>
      <c r="C1043" s="372">
        <v>19819004</v>
      </c>
      <c r="D1043" s="92"/>
      <c r="E1043" s="261" t="str">
        <f t="shared" si="0"/>
        <v>https://pubmed.ncbi.nlm.nih.gov/19819004</v>
      </c>
      <c r="F1043" s="92" t="s">
        <v>511</v>
      </c>
      <c r="G1043" s="374" t="s">
        <v>4744</v>
      </c>
      <c r="H1043" s="21"/>
      <c r="I1043" s="92"/>
      <c r="J1043" s="92"/>
      <c r="K1043" s="92"/>
      <c r="L1043" s="92"/>
      <c r="M1043" s="92"/>
      <c r="N1043" s="92"/>
      <c r="O1043" s="92"/>
      <c r="P1043" s="92"/>
      <c r="Q1043" s="92"/>
      <c r="R1043" s="92"/>
      <c r="S1043" s="92"/>
      <c r="T1043" s="92"/>
      <c r="U1043" s="92"/>
      <c r="V1043" s="92"/>
      <c r="W1043" s="92"/>
      <c r="X1043" s="92"/>
      <c r="Y1043" s="92"/>
      <c r="Z1043" s="92"/>
    </row>
    <row r="1044" spans="1:26" ht="12.75">
      <c r="A1044" s="92" t="s">
        <v>7881</v>
      </c>
      <c r="B1044" s="372">
        <v>2015</v>
      </c>
      <c r="C1044" s="372">
        <v>26424674</v>
      </c>
      <c r="D1044" s="92"/>
      <c r="E1044" s="261" t="str">
        <f t="shared" si="0"/>
        <v>https://pubmed.ncbi.nlm.nih.gov/26424674</v>
      </c>
      <c r="F1044" s="92" t="s">
        <v>511</v>
      </c>
      <c r="G1044" s="92" t="s">
        <v>5273</v>
      </c>
      <c r="H1044" s="92"/>
      <c r="I1044" s="92"/>
      <c r="J1044" s="92"/>
      <c r="K1044" s="92"/>
      <c r="L1044" s="92"/>
      <c r="M1044" s="92"/>
      <c r="N1044" s="92"/>
      <c r="O1044" s="92"/>
      <c r="P1044" s="92"/>
      <c r="Q1044" s="92"/>
      <c r="R1044" s="92"/>
      <c r="S1044" s="92"/>
      <c r="T1044" s="92"/>
      <c r="U1044" s="92"/>
      <c r="V1044" s="92"/>
      <c r="W1044" s="92"/>
      <c r="X1044" s="92"/>
      <c r="Y1044" s="92"/>
      <c r="Z1044" s="92"/>
    </row>
    <row r="1045" spans="1:26" ht="12.75">
      <c r="A1045" s="92" t="s">
        <v>7882</v>
      </c>
      <c r="B1045" s="372">
        <v>2017</v>
      </c>
      <c r="C1045" s="372">
        <v>29046448</v>
      </c>
      <c r="D1045" s="92" t="s">
        <v>7883</v>
      </c>
      <c r="E1045" s="261" t="str">
        <f t="shared" si="0"/>
        <v>https://pubmed.ncbi.nlm.nih.gov/29046448</v>
      </c>
      <c r="F1045" s="92" t="s">
        <v>511</v>
      </c>
      <c r="G1045" s="374" t="s">
        <v>4346</v>
      </c>
      <c r="H1045" s="92"/>
      <c r="I1045" s="92"/>
      <c r="J1045" s="92"/>
      <c r="K1045" s="92"/>
      <c r="L1045" s="92"/>
      <c r="M1045" s="92"/>
      <c r="N1045" s="92"/>
      <c r="O1045" s="92"/>
      <c r="P1045" s="92"/>
      <c r="Q1045" s="92"/>
      <c r="R1045" s="92"/>
      <c r="S1045" s="92"/>
      <c r="T1045" s="92"/>
      <c r="U1045" s="92"/>
      <c r="V1045" s="92"/>
      <c r="W1045" s="92"/>
      <c r="X1045" s="92"/>
      <c r="Y1045" s="92"/>
      <c r="Z1045" s="92"/>
    </row>
    <row r="1046" spans="1:26" ht="12.75">
      <c r="A1046" s="92" t="s">
        <v>7884</v>
      </c>
      <c r="B1046" s="372">
        <v>2009</v>
      </c>
      <c r="C1046" s="372">
        <v>19596875</v>
      </c>
      <c r="D1046" s="92" t="s">
        <v>7885</v>
      </c>
      <c r="E1046" s="261" t="str">
        <f t="shared" si="0"/>
        <v>https://pubmed.ncbi.nlm.nih.gov/19596875</v>
      </c>
      <c r="F1046" s="92" t="s">
        <v>511</v>
      </c>
      <c r="G1046" s="92" t="s">
        <v>8412</v>
      </c>
      <c r="H1046" s="92"/>
      <c r="I1046" s="92"/>
      <c r="J1046" s="92"/>
      <c r="K1046" s="92"/>
      <c r="L1046" s="92"/>
      <c r="M1046" s="92"/>
      <c r="N1046" s="92"/>
      <c r="O1046" s="92"/>
      <c r="P1046" s="92"/>
      <c r="Q1046" s="92"/>
      <c r="R1046" s="92"/>
      <c r="S1046" s="92"/>
      <c r="T1046" s="92"/>
      <c r="U1046" s="92"/>
      <c r="V1046" s="92"/>
      <c r="W1046" s="92"/>
      <c r="X1046" s="92"/>
      <c r="Y1046" s="92"/>
      <c r="Z1046" s="92"/>
    </row>
    <row r="1047" spans="1:26" ht="12.75">
      <c r="A1047" s="92" t="s">
        <v>7886</v>
      </c>
      <c r="B1047" s="372">
        <v>1998</v>
      </c>
      <c r="C1047" s="372">
        <v>9857785</v>
      </c>
      <c r="D1047" s="92"/>
      <c r="E1047" s="261" t="str">
        <f t="shared" si="0"/>
        <v>https://pubmed.ncbi.nlm.nih.gov/9857785</v>
      </c>
      <c r="F1047" s="92" t="s">
        <v>511</v>
      </c>
      <c r="G1047" s="374" t="s">
        <v>4744</v>
      </c>
      <c r="H1047" s="21"/>
      <c r="I1047" s="92"/>
      <c r="J1047" s="92"/>
      <c r="K1047" s="92"/>
      <c r="L1047" s="92"/>
      <c r="M1047" s="92"/>
      <c r="N1047" s="92"/>
      <c r="O1047" s="92"/>
      <c r="P1047" s="92"/>
      <c r="Q1047" s="92"/>
      <c r="R1047" s="92"/>
      <c r="S1047" s="92"/>
      <c r="T1047" s="92"/>
      <c r="U1047" s="92"/>
      <c r="V1047" s="92"/>
      <c r="W1047" s="92"/>
      <c r="X1047" s="92"/>
      <c r="Y1047" s="92"/>
      <c r="Z1047" s="92"/>
    </row>
    <row r="1048" spans="1:26" ht="12.75">
      <c r="A1048" s="92" t="s">
        <v>7887</v>
      </c>
      <c r="B1048" s="372">
        <v>2017</v>
      </c>
      <c r="C1048" s="372">
        <v>28363363</v>
      </c>
      <c r="D1048" s="92"/>
      <c r="E1048" s="261" t="str">
        <f t="shared" si="0"/>
        <v>https://pubmed.ncbi.nlm.nih.gov/28363363</v>
      </c>
      <c r="F1048" s="92" t="s">
        <v>511</v>
      </c>
      <c r="G1048" s="374" t="s">
        <v>4744</v>
      </c>
      <c r="H1048" s="21"/>
      <c r="I1048" s="92"/>
      <c r="J1048" s="92"/>
      <c r="K1048" s="92"/>
      <c r="L1048" s="92"/>
      <c r="M1048" s="92"/>
      <c r="N1048" s="92"/>
      <c r="O1048" s="92"/>
      <c r="P1048" s="92"/>
      <c r="Q1048" s="92"/>
      <c r="R1048" s="92"/>
      <c r="S1048" s="92"/>
      <c r="T1048" s="92"/>
      <c r="U1048" s="92"/>
      <c r="V1048" s="92"/>
      <c r="W1048" s="92"/>
      <c r="X1048" s="92"/>
      <c r="Y1048" s="92"/>
      <c r="Z1048" s="92"/>
    </row>
    <row r="1049" spans="1:26" ht="12.75">
      <c r="A1049" s="92" t="s">
        <v>7888</v>
      </c>
      <c r="B1049" s="372">
        <v>2001</v>
      </c>
      <c r="C1049" s="372">
        <v>11506098</v>
      </c>
      <c r="D1049" s="92"/>
      <c r="E1049" s="261" t="str">
        <f t="shared" si="0"/>
        <v>https://pubmed.ncbi.nlm.nih.gov/11506098</v>
      </c>
      <c r="F1049" s="92" t="s">
        <v>511</v>
      </c>
      <c r="G1049" s="374" t="s">
        <v>4744</v>
      </c>
      <c r="H1049" s="21"/>
      <c r="I1049" s="92"/>
      <c r="J1049" s="92"/>
      <c r="K1049" s="92"/>
      <c r="L1049" s="92"/>
      <c r="M1049" s="92"/>
      <c r="N1049" s="92"/>
      <c r="O1049" s="92"/>
      <c r="P1049" s="92"/>
      <c r="Q1049" s="92"/>
      <c r="R1049" s="92"/>
      <c r="S1049" s="92"/>
      <c r="T1049" s="92"/>
      <c r="U1049" s="92"/>
      <c r="V1049" s="92"/>
      <c r="W1049" s="92"/>
      <c r="X1049" s="92"/>
      <c r="Y1049" s="92"/>
      <c r="Z1049" s="92"/>
    </row>
    <row r="1050" spans="1:26" ht="12.75">
      <c r="A1050" s="92" t="s">
        <v>7889</v>
      </c>
      <c r="B1050" s="372">
        <v>2013</v>
      </c>
      <c r="C1050" s="372">
        <v>23829867</v>
      </c>
      <c r="D1050" s="92" t="s">
        <v>7890</v>
      </c>
      <c r="E1050" s="261" t="str">
        <f t="shared" si="0"/>
        <v>https://pubmed.ncbi.nlm.nih.gov/23829867</v>
      </c>
      <c r="F1050" s="92" t="s">
        <v>511</v>
      </c>
      <c r="G1050" s="374" t="s">
        <v>4744</v>
      </c>
      <c r="H1050" s="21"/>
      <c r="I1050" s="92"/>
      <c r="J1050" s="92"/>
      <c r="K1050" s="92"/>
      <c r="L1050" s="92"/>
      <c r="M1050" s="92"/>
      <c r="N1050" s="92"/>
      <c r="O1050" s="92"/>
      <c r="P1050" s="92"/>
      <c r="Q1050" s="92"/>
      <c r="R1050" s="92"/>
      <c r="S1050" s="92"/>
      <c r="T1050" s="92"/>
      <c r="U1050" s="92"/>
      <c r="V1050" s="92"/>
      <c r="W1050" s="92"/>
      <c r="X1050" s="92"/>
      <c r="Y1050" s="92"/>
      <c r="Z1050" s="92"/>
    </row>
    <row r="1051" spans="1:26" ht="12.75">
      <c r="A1051" s="92" t="s">
        <v>7891</v>
      </c>
      <c r="B1051" s="372">
        <v>2020</v>
      </c>
      <c r="C1051" s="372">
        <v>32570237</v>
      </c>
      <c r="D1051" s="92"/>
      <c r="E1051" s="261" t="str">
        <f t="shared" si="0"/>
        <v>https://pubmed.ncbi.nlm.nih.gov/32570237</v>
      </c>
      <c r="F1051" s="92" t="s">
        <v>511</v>
      </c>
      <c r="G1051" s="374" t="s">
        <v>4744</v>
      </c>
      <c r="H1051" s="92"/>
      <c r="I1051" s="374" t="s">
        <v>6429</v>
      </c>
      <c r="J1051" s="92"/>
      <c r="K1051" s="92"/>
      <c r="L1051" s="92"/>
      <c r="M1051" s="92"/>
      <c r="N1051" s="92"/>
      <c r="O1051" s="92"/>
      <c r="P1051" s="92"/>
      <c r="Q1051" s="92"/>
      <c r="R1051" s="92"/>
      <c r="S1051" s="92"/>
      <c r="T1051" s="92"/>
      <c r="U1051" s="92"/>
      <c r="V1051" s="92"/>
      <c r="W1051" s="92"/>
      <c r="X1051" s="92"/>
      <c r="Y1051" s="92"/>
      <c r="Z1051" s="92"/>
    </row>
    <row r="1052" spans="1:26" ht="12.75">
      <c r="A1052" s="92" t="s">
        <v>7892</v>
      </c>
      <c r="B1052" s="372">
        <v>2014</v>
      </c>
      <c r="C1052" s="372">
        <v>24569099</v>
      </c>
      <c r="D1052" s="92"/>
      <c r="E1052" s="261" t="str">
        <f t="shared" si="0"/>
        <v>https://pubmed.ncbi.nlm.nih.gov/24569099</v>
      </c>
      <c r="F1052" s="92" t="s">
        <v>511</v>
      </c>
      <c r="G1052" s="374" t="s">
        <v>4867</v>
      </c>
      <c r="H1052" s="21"/>
      <c r="I1052" s="92"/>
      <c r="J1052" s="92"/>
      <c r="K1052" s="92"/>
      <c r="L1052" s="92"/>
      <c r="M1052" s="92"/>
      <c r="N1052" s="92"/>
      <c r="O1052" s="92"/>
      <c r="P1052" s="92"/>
      <c r="Q1052" s="92"/>
      <c r="R1052" s="92"/>
      <c r="S1052" s="92"/>
      <c r="T1052" s="92"/>
      <c r="U1052" s="92"/>
      <c r="V1052" s="92"/>
      <c r="W1052" s="92"/>
      <c r="X1052" s="92"/>
      <c r="Y1052" s="92"/>
      <c r="Z1052" s="92"/>
    </row>
    <row r="1053" spans="1:26" ht="12.75">
      <c r="A1053" s="92" t="s">
        <v>7893</v>
      </c>
      <c r="B1053" s="372">
        <v>2002</v>
      </c>
      <c r="C1053" s="372">
        <v>11931398</v>
      </c>
      <c r="D1053" s="92"/>
      <c r="E1053" s="261" t="str">
        <f t="shared" si="0"/>
        <v>https://pubmed.ncbi.nlm.nih.gov/11931398</v>
      </c>
      <c r="F1053" s="92" t="s">
        <v>511</v>
      </c>
      <c r="G1053" s="374" t="s">
        <v>4744</v>
      </c>
      <c r="H1053" s="21"/>
      <c r="I1053" s="92"/>
      <c r="J1053" s="92"/>
      <c r="K1053" s="92"/>
      <c r="L1053" s="92"/>
      <c r="M1053" s="92"/>
      <c r="N1053" s="92"/>
      <c r="O1053" s="92"/>
      <c r="P1053" s="92"/>
      <c r="Q1053" s="92"/>
      <c r="R1053" s="92"/>
      <c r="S1053" s="92"/>
      <c r="T1053" s="92"/>
      <c r="U1053" s="92"/>
      <c r="V1053" s="92"/>
      <c r="W1053" s="92"/>
      <c r="X1053" s="92"/>
      <c r="Y1053" s="92"/>
      <c r="Z1053" s="92"/>
    </row>
    <row r="1054" spans="1:26" ht="12.75">
      <c r="A1054" s="92" t="s">
        <v>7894</v>
      </c>
      <c r="B1054" s="372">
        <v>1997</v>
      </c>
      <c r="C1054" s="372">
        <v>9130921</v>
      </c>
      <c r="D1054" s="92"/>
      <c r="E1054" s="261" t="str">
        <f t="shared" si="0"/>
        <v>https://pubmed.ncbi.nlm.nih.gov/9130921</v>
      </c>
      <c r="F1054" s="92" t="s">
        <v>511</v>
      </c>
      <c r="G1054" s="92" t="s">
        <v>4592</v>
      </c>
      <c r="H1054" s="92"/>
      <c r="I1054" s="92"/>
      <c r="J1054" s="92"/>
      <c r="K1054" s="92"/>
      <c r="L1054" s="92"/>
      <c r="M1054" s="92"/>
      <c r="N1054" s="92"/>
      <c r="O1054" s="92"/>
      <c r="P1054" s="92"/>
      <c r="Q1054" s="92"/>
      <c r="R1054" s="92"/>
      <c r="S1054" s="92"/>
      <c r="T1054" s="92"/>
      <c r="U1054" s="92"/>
      <c r="V1054" s="92"/>
      <c r="W1054" s="92"/>
      <c r="X1054" s="92"/>
      <c r="Y1054" s="92"/>
      <c r="Z1054" s="92"/>
    </row>
    <row r="1055" spans="1:26" ht="12.75">
      <c r="A1055" s="92" t="s">
        <v>7895</v>
      </c>
      <c r="B1055" s="372">
        <v>2021</v>
      </c>
      <c r="C1055" s="372">
        <v>33752741</v>
      </c>
      <c r="D1055" s="92" t="s">
        <v>7896</v>
      </c>
      <c r="E1055" s="261" t="str">
        <f t="shared" si="0"/>
        <v>https://pubmed.ncbi.nlm.nih.gov/33752741</v>
      </c>
      <c r="F1055" s="92" t="s">
        <v>511</v>
      </c>
      <c r="G1055" s="374" t="s">
        <v>4744</v>
      </c>
      <c r="H1055" s="21"/>
      <c r="I1055" s="92"/>
      <c r="J1055" s="92"/>
      <c r="K1055" s="92"/>
      <c r="L1055" s="92"/>
      <c r="M1055" s="92"/>
      <c r="N1055" s="92"/>
      <c r="O1055" s="92"/>
      <c r="P1055" s="92"/>
      <c r="Q1055" s="92"/>
      <c r="R1055" s="92"/>
      <c r="S1055" s="92"/>
      <c r="T1055" s="92"/>
      <c r="U1055" s="92"/>
      <c r="V1055" s="92"/>
      <c r="W1055" s="92"/>
      <c r="X1055" s="92"/>
      <c r="Y1055" s="92"/>
      <c r="Z1055" s="92"/>
    </row>
    <row r="1056" spans="1:26" ht="12.75">
      <c r="A1056" s="92" t="s">
        <v>7897</v>
      </c>
      <c r="B1056" s="372">
        <v>2005</v>
      </c>
      <c r="C1056" s="372">
        <v>16336426</v>
      </c>
      <c r="D1056" s="92"/>
      <c r="E1056" s="261" t="str">
        <f t="shared" si="0"/>
        <v>https://pubmed.ncbi.nlm.nih.gov/16336426</v>
      </c>
      <c r="F1056" s="92" t="s">
        <v>511</v>
      </c>
      <c r="G1056" s="92" t="s">
        <v>4592</v>
      </c>
      <c r="H1056" s="92"/>
      <c r="I1056" s="92"/>
      <c r="J1056" s="92"/>
      <c r="K1056" s="92"/>
      <c r="L1056" s="92"/>
      <c r="M1056" s="92"/>
      <c r="N1056" s="92"/>
      <c r="O1056" s="92"/>
      <c r="P1056" s="92"/>
      <c r="Q1056" s="92"/>
      <c r="R1056" s="92"/>
      <c r="S1056" s="92"/>
      <c r="T1056" s="92"/>
      <c r="U1056" s="92"/>
      <c r="V1056" s="92"/>
      <c r="W1056" s="92"/>
      <c r="X1056" s="92"/>
      <c r="Y1056" s="92"/>
      <c r="Z1056" s="92"/>
    </row>
    <row r="1057" spans="1:26" ht="12.75">
      <c r="A1057" s="92" t="s">
        <v>7898</v>
      </c>
      <c r="B1057" s="372">
        <v>2015</v>
      </c>
      <c r="C1057" s="372">
        <v>26548790</v>
      </c>
      <c r="D1057" s="92" t="s">
        <v>7899</v>
      </c>
      <c r="E1057" s="261" t="str">
        <f t="shared" si="0"/>
        <v>https://pubmed.ncbi.nlm.nih.gov/26548790</v>
      </c>
      <c r="F1057" s="92" t="s">
        <v>511</v>
      </c>
      <c r="G1057" s="374" t="s">
        <v>7900</v>
      </c>
      <c r="H1057" s="21"/>
      <c r="I1057" s="21"/>
      <c r="J1057" s="21"/>
      <c r="K1057" s="92"/>
      <c r="L1057" s="92"/>
      <c r="M1057" s="92"/>
      <c r="N1057" s="92"/>
      <c r="O1057" s="92"/>
      <c r="P1057" s="92"/>
      <c r="Q1057" s="92"/>
      <c r="R1057" s="92"/>
      <c r="S1057" s="92"/>
      <c r="T1057" s="92"/>
      <c r="U1057" s="92"/>
      <c r="V1057" s="92"/>
      <c r="W1057" s="92"/>
      <c r="X1057" s="92"/>
      <c r="Y1057" s="92"/>
      <c r="Z1057" s="92"/>
    </row>
    <row r="1058" spans="1:26" ht="12.75">
      <c r="A1058" s="92" t="s">
        <v>7901</v>
      </c>
      <c r="B1058" s="372">
        <v>2018</v>
      </c>
      <c r="C1058" s="372">
        <v>30425150</v>
      </c>
      <c r="D1058" s="92" t="s">
        <v>7902</v>
      </c>
      <c r="E1058" s="261" t="str">
        <f t="shared" si="0"/>
        <v>https://pubmed.ncbi.nlm.nih.gov/30425150</v>
      </c>
      <c r="F1058" s="92" t="s">
        <v>511</v>
      </c>
      <c r="G1058" s="374" t="s">
        <v>7903</v>
      </c>
      <c r="H1058" s="21"/>
      <c r="I1058" s="92"/>
      <c r="J1058" s="92"/>
      <c r="K1058" s="92"/>
      <c r="L1058" s="92"/>
      <c r="M1058" s="92"/>
      <c r="N1058" s="92"/>
      <c r="O1058" s="92"/>
      <c r="P1058" s="92"/>
      <c r="Q1058" s="92"/>
      <c r="R1058" s="92"/>
      <c r="S1058" s="92"/>
      <c r="T1058" s="92"/>
      <c r="U1058" s="92"/>
      <c r="V1058" s="92"/>
      <c r="W1058" s="92"/>
      <c r="X1058" s="92"/>
      <c r="Y1058" s="92"/>
      <c r="Z1058" s="92"/>
    </row>
    <row r="1059" spans="1:26" ht="12.75">
      <c r="A1059" s="92" t="s">
        <v>7904</v>
      </c>
      <c r="B1059" s="372">
        <v>2020</v>
      </c>
      <c r="C1059" s="372">
        <v>31988012</v>
      </c>
      <c r="D1059" s="92"/>
      <c r="E1059" s="261" t="str">
        <f t="shared" si="0"/>
        <v>https://pubmed.ncbi.nlm.nih.gov/31988012</v>
      </c>
      <c r="F1059" s="92" t="s">
        <v>511</v>
      </c>
      <c r="G1059" s="92" t="s">
        <v>4592</v>
      </c>
      <c r="H1059" s="92"/>
      <c r="I1059" s="92"/>
      <c r="J1059" s="92"/>
      <c r="K1059" s="92"/>
      <c r="L1059" s="92"/>
      <c r="M1059" s="92"/>
      <c r="N1059" s="92"/>
      <c r="O1059" s="92"/>
      <c r="P1059" s="92"/>
      <c r="Q1059" s="92"/>
      <c r="R1059" s="92"/>
      <c r="S1059" s="92"/>
      <c r="T1059" s="92"/>
      <c r="U1059" s="92"/>
      <c r="V1059" s="92"/>
      <c r="W1059" s="92"/>
      <c r="X1059" s="92"/>
      <c r="Y1059" s="92"/>
      <c r="Z1059" s="92"/>
    </row>
    <row r="1060" spans="1:26" ht="12.75">
      <c r="A1060" s="92" t="s">
        <v>7905</v>
      </c>
      <c r="B1060" s="372">
        <v>2018</v>
      </c>
      <c r="C1060" s="372">
        <v>29499578</v>
      </c>
      <c r="D1060" s="92"/>
      <c r="E1060" s="261" t="str">
        <f t="shared" si="0"/>
        <v>https://pubmed.ncbi.nlm.nih.gov/29499578</v>
      </c>
      <c r="F1060" s="92" t="s">
        <v>511</v>
      </c>
      <c r="G1060" s="374" t="s">
        <v>4744</v>
      </c>
      <c r="H1060" s="21"/>
      <c r="I1060" s="92"/>
      <c r="J1060" s="92"/>
      <c r="K1060" s="92"/>
      <c r="L1060" s="92"/>
      <c r="M1060" s="92"/>
      <c r="N1060" s="92"/>
      <c r="O1060" s="92"/>
      <c r="P1060" s="92"/>
      <c r="Q1060" s="92"/>
      <c r="R1060" s="92"/>
      <c r="S1060" s="92"/>
      <c r="T1060" s="92"/>
      <c r="U1060" s="92"/>
      <c r="V1060" s="92"/>
      <c r="W1060" s="92"/>
      <c r="X1060" s="92"/>
      <c r="Y1060" s="92"/>
      <c r="Z1060" s="92"/>
    </row>
    <row r="1061" spans="1:26" ht="12.75">
      <c r="A1061" s="92" t="s">
        <v>7906</v>
      </c>
      <c r="B1061" s="372">
        <v>2011</v>
      </c>
      <c r="C1061" s="372">
        <v>21679267</v>
      </c>
      <c r="D1061" s="92" t="s">
        <v>7907</v>
      </c>
      <c r="E1061" s="261" t="str">
        <f t="shared" si="0"/>
        <v>https://pubmed.ncbi.nlm.nih.gov/21679267</v>
      </c>
      <c r="F1061" s="92" t="s">
        <v>511</v>
      </c>
      <c r="G1061" s="374" t="s">
        <v>7908</v>
      </c>
      <c r="H1061" s="21"/>
      <c r="I1061" s="21"/>
      <c r="J1061" s="92"/>
      <c r="K1061" s="92"/>
      <c r="L1061" s="92"/>
      <c r="M1061" s="92"/>
      <c r="N1061" s="92"/>
      <c r="O1061" s="92"/>
      <c r="P1061" s="92"/>
      <c r="Q1061" s="92"/>
      <c r="R1061" s="92"/>
      <c r="S1061" s="92"/>
      <c r="T1061" s="92"/>
      <c r="U1061" s="92"/>
      <c r="V1061" s="92"/>
      <c r="W1061" s="92"/>
      <c r="X1061" s="92"/>
      <c r="Y1061" s="92"/>
      <c r="Z1061" s="92"/>
    </row>
    <row r="1062" spans="1:26" ht="12.75">
      <c r="A1062" s="92" t="s">
        <v>7909</v>
      </c>
      <c r="B1062" s="372">
        <v>2018</v>
      </c>
      <c r="C1062" s="372">
        <v>30292578</v>
      </c>
      <c r="D1062" s="92" t="s">
        <v>7910</v>
      </c>
      <c r="E1062" s="261" t="str">
        <f t="shared" si="0"/>
        <v>https://pubmed.ncbi.nlm.nih.gov/30292578</v>
      </c>
      <c r="F1062" s="92" t="s">
        <v>511</v>
      </c>
      <c r="G1062" s="374" t="s">
        <v>5157</v>
      </c>
      <c r="H1062" s="21"/>
      <c r="I1062" s="21"/>
      <c r="J1062" s="92"/>
      <c r="K1062" s="92"/>
      <c r="L1062" s="92"/>
      <c r="M1062" s="92"/>
      <c r="N1062" s="92"/>
      <c r="O1062" s="92"/>
      <c r="P1062" s="92"/>
      <c r="Q1062" s="92"/>
      <c r="R1062" s="92"/>
      <c r="S1062" s="92"/>
      <c r="T1062" s="92"/>
      <c r="U1062" s="92"/>
      <c r="V1062" s="92"/>
      <c r="W1062" s="92"/>
      <c r="X1062" s="92"/>
      <c r="Y1062" s="92"/>
      <c r="Z1062" s="92"/>
    </row>
    <row r="1063" spans="1:26" ht="12.75">
      <c r="A1063" s="92" t="s">
        <v>7911</v>
      </c>
      <c r="B1063" s="372">
        <v>2016</v>
      </c>
      <c r="C1063" s="372">
        <v>26865723</v>
      </c>
      <c r="D1063" s="92" t="s">
        <v>7912</v>
      </c>
      <c r="E1063" s="261" t="str">
        <f t="shared" si="0"/>
        <v>https://pubmed.ncbi.nlm.nih.gov/26865723</v>
      </c>
      <c r="F1063" s="92" t="s">
        <v>511</v>
      </c>
      <c r="G1063" s="374" t="s">
        <v>7913</v>
      </c>
      <c r="H1063" s="21"/>
      <c r="I1063" s="92"/>
      <c r="J1063" s="92"/>
      <c r="K1063" s="92"/>
      <c r="L1063" s="92"/>
      <c r="M1063" s="92"/>
      <c r="N1063" s="92"/>
      <c r="O1063" s="92"/>
      <c r="P1063" s="92"/>
      <c r="Q1063" s="92"/>
      <c r="R1063" s="92"/>
      <c r="S1063" s="92"/>
      <c r="T1063" s="92"/>
      <c r="U1063" s="92"/>
      <c r="V1063" s="92"/>
      <c r="W1063" s="92"/>
      <c r="X1063" s="92"/>
      <c r="Y1063" s="92"/>
      <c r="Z1063" s="92"/>
    </row>
    <row r="1064" spans="1:26" ht="12.75">
      <c r="A1064" s="92" t="s">
        <v>7914</v>
      </c>
      <c r="B1064" s="372">
        <v>2013</v>
      </c>
      <c r="C1064" s="372">
        <v>23533318</v>
      </c>
      <c r="D1064" s="92" t="s">
        <v>7915</v>
      </c>
      <c r="E1064" s="261" t="str">
        <f t="shared" si="0"/>
        <v>https://pubmed.ncbi.nlm.nih.gov/23533318</v>
      </c>
      <c r="F1064" s="92" t="s">
        <v>511</v>
      </c>
      <c r="G1064" s="374" t="s">
        <v>4744</v>
      </c>
      <c r="H1064" s="21"/>
      <c r="I1064" s="92"/>
      <c r="J1064" s="92"/>
      <c r="K1064" s="92"/>
      <c r="L1064" s="92"/>
      <c r="M1064" s="92"/>
      <c r="N1064" s="92"/>
      <c r="O1064" s="92"/>
      <c r="P1064" s="92"/>
      <c r="Q1064" s="92"/>
      <c r="R1064" s="92"/>
      <c r="S1064" s="92"/>
      <c r="T1064" s="92"/>
      <c r="U1064" s="92"/>
      <c r="V1064" s="92"/>
      <c r="W1064" s="92"/>
      <c r="X1064" s="92"/>
      <c r="Y1064" s="92"/>
      <c r="Z1064" s="92"/>
    </row>
    <row r="1065" spans="1:26" ht="12.75">
      <c r="A1065" s="92" t="s">
        <v>7916</v>
      </c>
      <c r="B1065" s="372">
        <v>2003</v>
      </c>
      <c r="C1065" s="372">
        <v>12889718</v>
      </c>
      <c r="D1065" s="92"/>
      <c r="E1065" s="261" t="str">
        <f t="shared" si="0"/>
        <v>https://pubmed.ncbi.nlm.nih.gov/12889718</v>
      </c>
      <c r="F1065" s="92" t="s">
        <v>511</v>
      </c>
      <c r="G1065" s="374" t="s">
        <v>4744</v>
      </c>
      <c r="H1065" s="21"/>
      <c r="I1065" s="92"/>
      <c r="J1065" s="92"/>
      <c r="K1065" s="92"/>
      <c r="L1065" s="92"/>
      <c r="M1065" s="92"/>
      <c r="N1065" s="92"/>
      <c r="O1065" s="92"/>
      <c r="P1065" s="92"/>
      <c r="Q1065" s="92"/>
      <c r="R1065" s="92"/>
      <c r="S1065" s="92"/>
      <c r="T1065" s="92"/>
      <c r="U1065" s="92"/>
      <c r="V1065" s="92"/>
      <c r="W1065" s="92"/>
      <c r="X1065" s="92"/>
      <c r="Y1065" s="92"/>
      <c r="Z1065" s="92"/>
    </row>
    <row r="1066" spans="1:26" ht="12.75">
      <c r="A1066" s="92" t="s">
        <v>7917</v>
      </c>
      <c r="B1066" s="372">
        <v>2014</v>
      </c>
      <c r="C1066" s="372">
        <v>24487591</v>
      </c>
      <c r="D1066" s="92" t="s">
        <v>7918</v>
      </c>
      <c r="E1066" s="261" t="str">
        <f t="shared" si="0"/>
        <v>https://pubmed.ncbi.nlm.nih.gov/24487591</v>
      </c>
      <c r="F1066" s="92" t="s">
        <v>511</v>
      </c>
      <c r="G1066" s="374" t="s">
        <v>7919</v>
      </c>
      <c r="H1066" s="21"/>
      <c r="I1066" s="92"/>
      <c r="J1066" s="92"/>
      <c r="K1066" s="92"/>
      <c r="L1066" s="92"/>
      <c r="M1066" s="92"/>
      <c r="N1066" s="92"/>
      <c r="O1066" s="92"/>
      <c r="P1066" s="92"/>
      <c r="Q1066" s="92"/>
      <c r="R1066" s="92"/>
      <c r="S1066" s="92"/>
      <c r="T1066" s="92"/>
      <c r="U1066" s="92"/>
      <c r="V1066" s="92"/>
      <c r="W1066" s="92"/>
      <c r="X1066" s="92"/>
      <c r="Y1066" s="92"/>
      <c r="Z1066" s="92"/>
    </row>
    <row r="1067" spans="1:26" ht="12.75">
      <c r="A1067" s="92" t="s">
        <v>7920</v>
      </c>
      <c r="B1067" s="372">
        <v>2015</v>
      </c>
      <c r="C1067" s="372">
        <v>26193126</v>
      </c>
      <c r="D1067" s="92"/>
      <c r="E1067" s="261" t="str">
        <f t="shared" si="0"/>
        <v>https://pubmed.ncbi.nlm.nih.gov/26193126</v>
      </c>
      <c r="F1067" s="92" t="s">
        <v>511</v>
      </c>
      <c r="G1067" s="374" t="s">
        <v>4744</v>
      </c>
      <c r="H1067" s="21"/>
      <c r="I1067" s="92"/>
      <c r="J1067" s="92"/>
      <c r="K1067" s="92"/>
      <c r="L1067" s="92"/>
      <c r="M1067" s="92"/>
      <c r="N1067" s="92"/>
      <c r="O1067" s="92"/>
      <c r="P1067" s="92"/>
      <c r="Q1067" s="92"/>
      <c r="R1067" s="92"/>
      <c r="S1067" s="92"/>
      <c r="T1067" s="92"/>
      <c r="U1067" s="92"/>
      <c r="V1067" s="92"/>
      <c r="W1067" s="92"/>
      <c r="X1067" s="92"/>
      <c r="Y1067" s="92"/>
      <c r="Z1067" s="92"/>
    </row>
    <row r="1068" spans="1:26" ht="12.75">
      <c r="A1068" s="92" t="s">
        <v>7921</v>
      </c>
      <c r="B1068" s="372">
        <v>2018</v>
      </c>
      <c r="C1068" s="372">
        <v>30045416</v>
      </c>
      <c r="D1068" s="92" t="s">
        <v>7922</v>
      </c>
      <c r="E1068" s="261" t="str">
        <f t="shared" si="0"/>
        <v>https://pubmed.ncbi.nlm.nih.gov/30045416</v>
      </c>
      <c r="F1068" s="92" t="s">
        <v>511</v>
      </c>
      <c r="G1068" s="92" t="s">
        <v>4592</v>
      </c>
      <c r="H1068" s="92"/>
      <c r="I1068" s="92"/>
      <c r="J1068" s="92"/>
      <c r="K1068" s="92"/>
      <c r="L1068" s="92"/>
      <c r="M1068" s="92"/>
      <c r="N1068" s="92"/>
      <c r="O1068" s="92"/>
      <c r="P1068" s="92"/>
      <c r="Q1068" s="92"/>
      <c r="R1068" s="92"/>
      <c r="S1068" s="92"/>
      <c r="T1068" s="92"/>
      <c r="U1068" s="92"/>
      <c r="V1068" s="92"/>
      <c r="W1068" s="92"/>
      <c r="X1068" s="92"/>
      <c r="Y1068" s="92"/>
      <c r="Z1068" s="92"/>
    </row>
    <row r="1069" spans="1:26" ht="12.75">
      <c r="A1069" s="92" t="s">
        <v>7923</v>
      </c>
      <c r="B1069" s="372">
        <v>2016</v>
      </c>
      <c r="C1069" s="372">
        <v>26675837</v>
      </c>
      <c r="D1069" s="92"/>
      <c r="E1069" s="261" t="str">
        <f t="shared" si="0"/>
        <v>https://pubmed.ncbi.nlm.nih.gov/26675837</v>
      </c>
      <c r="F1069" s="92" t="s">
        <v>511</v>
      </c>
      <c r="G1069" s="92" t="s">
        <v>4592</v>
      </c>
      <c r="H1069" s="92"/>
      <c r="I1069" s="92"/>
      <c r="J1069" s="92"/>
      <c r="K1069" s="92"/>
      <c r="L1069" s="92"/>
      <c r="M1069" s="92"/>
      <c r="N1069" s="92"/>
      <c r="O1069" s="92"/>
      <c r="P1069" s="92"/>
      <c r="Q1069" s="92"/>
      <c r="R1069" s="92"/>
      <c r="S1069" s="92"/>
      <c r="T1069" s="92"/>
      <c r="U1069" s="92"/>
      <c r="V1069" s="92"/>
      <c r="W1069" s="92"/>
      <c r="X1069" s="92"/>
      <c r="Y1069" s="92"/>
      <c r="Z1069" s="92"/>
    </row>
    <row r="1070" spans="1:26" ht="12.75">
      <c r="A1070" s="92" t="s">
        <v>7924</v>
      </c>
      <c r="B1070" s="372">
        <v>2012</v>
      </c>
      <c r="C1070" s="372">
        <v>22366350</v>
      </c>
      <c r="D1070" s="92" t="s">
        <v>7925</v>
      </c>
      <c r="E1070" s="261" t="str">
        <f t="shared" si="0"/>
        <v>https://pubmed.ncbi.nlm.nih.gov/22366350</v>
      </c>
      <c r="F1070" s="92" t="s">
        <v>511</v>
      </c>
      <c r="G1070" s="374" t="s">
        <v>7926</v>
      </c>
      <c r="H1070" s="21"/>
      <c r="I1070" s="92"/>
      <c r="J1070" s="92"/>
      <c r="K1070" s="92"/>
      <c r="L1070" s="92"/>
      <c r="M1070" s="92"/>
      <c r="N1070" s="92"/>
      <c r="O1070" s="92"/>
      <c r="P1070" s="92"/>
      <c r="Q1070" s="92"/>
      <c r="R1070" s="92"/>
      <c r="S1070" s="92"/>
      <c r="T1070" s="92"/>
      <c r="U1070" s="92"/>
      <c r="V1070" s="92"/>
      <c r="W1070" s="92"/>
      <c r="X1070" s="92"/>
      <c r="Y1070" s="92"/>
      <c r="Z1070" s="92"/>
    </row>
    <row r="1071" spans="1:26" ht="12.75">
      <c r="A1071" s="92" t="s">
        <v>7927</v>
      </c>
      <c r="B1071" s="372">
        <v>2008</v>
      </c>
      <c r="C1071" s="372">
        <v>18575220</v>
      </c>
      <c r="D1071" s="92"/>
      <c r="E1071" s="261" t="str">
        <f t="shared" si="0"/>
        <v>https://pubmed.ncbi.nlm.nih.gov/18575220</v>
      </c>
      <c r="F1071" s="92" t="s">
        <v>511</v>
      </c>
      <c r="G1071" s="374" t="s">
        <v>4867</v>
      </c>
      <c r="H1071" s="21"/>
      <c r="I1071" s="92"/>
      <c r="J1071" s="92"/>
      <c r="K1071" s="92"/>
      <c r="L1071" s="92"/>
      <c r="M1071" s="92"/>
      <c r="N1071" s="92"/>
      <c r="O1071" s="92"/>
      <c r="P1071" s="92"/>
      <c r="Q1071" s="92"/>
      <c r="R1071" s="92"/>
      <c r="S1071" s="92"/>
      <c r="T1071" s="92"/>
      <c r="U1071" s="92"/>
      <c r="V1071" s="92"/>
      <c r="W1071" s="92"/>
      <c r="X1071" s="92"/>
      <c r="Y1071" s="92"/>
      <c r="Z1071" s="92"/>
    </row>
    <row r="1072" spans="1:26" ht="12.75">
      <c r="A1072" s="92" t="s">
        <v>7928</v>
      </c>
      <c r="B1072" s="372">
        <v>2010</v>
      </c>
      <c r="C1072" s="372">
        <v>19731330</v>
      </c>
      <c r="D1072" s="92" t="s">
        <v>7929</v>
      </c>
      <c r="E1072" s="261" t="str">
        <f t="shared" si="0"/>
        <v>https://pubmed.ncbi.nlm.nih.gov/19731330</v>
      </c>
      <c r="F1072" s="92" t="s">
        <v>511</v>
      </c>
      <c r="G1072" s="374" t="s">
        <v>4744</v>
      </c>
      <c r="H1072" s="21"/>
      <c r="I1072" s="92"/>
      <c r="J1072" s="92"/>
      <c r="K1072" s="92"/>
      <c r="L1072" s="92"/>
      <c r="M1072" s="92"/>
      <c r="N1072" s="92"/>
      <c r="O1072" s="92"/>
      <c r="P1072" s="92"/>
      <c r="Q1072" s="92"/>
      <c r="R1072" s="92"/>
      <c r="S1072" s="92"/>
      <c r="T1072" s="92"/>
      <c r="U1072" s="92"/>
      <c r="V1072" s="92"/>
      <c r="W1072" s="92"/>
      <c r="X1072" s="92"/>
      <c r="Y1072" s="92"/>
      <c r="Z1072" s="92"/>
    </row>
    <row r="1073" spans="1:26" ht="12.75">
      <c r="A1073" s="92" t="s">
        <v>7930</v>
      </c>
      <c r="B1073" s="372">
        <v>2018</v>
      </c>
      <c r="C1073" s="372">
        <v>30064057</v>
      </c>
      <c r="D1073" s="92"/>
      <c r="E1073" s="261" t="str">
        <f t="shared" si="0"/>
        <v>https://pubmed.ncbi.nlm.nih.gov/30064057</v>
      </c>
      <c r="F1073" s="92" t="s">
        <v>511</v>
      </c>
      <c r="G1073" s="92" t="s">
        <v>4592</v>
      </c>
      <c r="H1073" s="92"/>
      <c r="I1073" s="92"/>
      <c r="J1073" s="92"/>
      <c r="K1073" s="92"/>
      <c r="L1073" s="92"/>
      <c r="M1073" s="92"/>
      <c r="N1073" s="92"/>
      <c r="O1073" s="92"/>
      <c r="P1073" s="92"/>
      <c r="Q1073" s="92"/>
      <c r="R1073" s="92"/>
      <c r="S1073" s="92"/>
      <c r="T1073" s="92"/>
      <c r="U1073" s="92"/>
      <c r="V1073" s="92"/>
      <c r="W1073" s="92"/>
      <c r="X1073" s="92"/>
      <c r="Y1073" s="92"/>
      <c r="Z1073" s="92"/>
    </row>
    <row r="1074" spans="1:26" ht="12.75">
      <c r="A1074" s="92" t="s">
        <v>7931</v>
      </c>
      <c r="B1074" s="372">
        <v>2005</v>
      </c>
      <c r="C1074" s="372">
        <v>16184030</v>
      </c>
      <c r="D1074" s="92"/>
      <c r="E1074" s="261" t="str">
        <f t="shared" si="0"/>
        <v>https://pubmed.ncbi.nlm.nih.gov/16184030</v>
      </c>
      <c r="F1074" s="92" t="s">
        <v>511</v>
      </c>
      <c r="G1074" s="374" t="s">
        <v>4867</v>
      </c>
      <c r="H1074" s="21"/>
      <c r="I1074" s="92"/>
      <c r="J1074" s="92"/>
      <c r="K1074" s="92"/>
      <c r="L1074" s="92"/>
      <c r="M1074" s="92"/>
      <c r="N1074" s="92"/>
      <c r="O1074" s="92"/>
      <c r="P1074" s="92"/>
      <c r="Q1074" s="92"/>
      <c r="R1074" s="92"/>
      <c r="S1074" s="92"/>
      <c r="T1074" s="92"/>
      <c r="U1074" s="92"/>
      <c r="V1074" s="92"/>
      <c r="W1074" s="92"/>
      <c r="X1074" s="92"/>
      <c r="Y1074" s="92"/>
      <c r="Z1074" s="92"/>
    </row>
    <row r="1075" spans="1:26" ht="12.75">
      <c r="A1075" s="92" t="s">
        <v>7932</v>
      </c>
      <c r="B1075" s="372">
        <v>2019</v>
      </c>
      <c r="C1075" s="372">
        <v>31038649</v>
      </c>
      <c r="D1075" s="92" t="s">
        <v>7933</v>
      </c>
      <c r="E1075" s="261" t="str">
        <f t="shared" si="0"/>
        <v>https://pubmed.ncbi.nlm.nih.gov/31038649</v>
      </c>
      <c r="F1075" s="92" t="s">
        <v>511</v>
      </c>
      <c r="G1075" s="92" t="s">
        <v>4592</v>
      </c>
      <c r="H1075" s="92"/>
      <c r="I1075" s="92"/>
      <c r="J1075" s="92"/>
      <c r="K1075" s="92"/>
      <c r="L1075" s="92"/>
      <c r="M1075" s="92"/>
      <c r="N1075" s="92"/>
      <c r="O1075" s="92"/>
      <c r="P1075" s="92"/>
      <c r="Q1075" s="92"/>
      <c r="R1075" s="92"/>
      <c r="S1075" s="92"/>
      <c r="T1075" s="92"/>
      <c r="U1075" s="92"/>
      <c r="V1075" s="92"/>
      <c r="W1075" s="92"/>
      <c r="X1075" s="92"/>
      <c r="Y1075" s="92"/>
      <c r="Z1075" s="92"/>
    </row>
    <row r="1076" spans="1:26" ht="12.75">
      <c r="A1076" s="92" t="s">
        <v>7934</v>
      </c>
      <c r="B1076" s="372">
        <v>2016</v>
      </c>
      <c r="C1076" s="372">
        <v>26811108</v>
      </c>
      <c r="D1076" s="92"/>
      <c r="E1076" s="261" t="str">
        <f t="shared" si="0"/>
        <v>https://pubmed.ncbi.nlm.nih.gov/26811108</v>
      </c>
      <c r="F1076" s="92" t="s">
        <v>511</v>
      </c>
      <c r="G1076" s="92" t="s">
        <v>8412</v>
      </c>
      <c r="H1076" s="92"/>
      <c r="I1076" s="92"/>
      <c r="J1076" s="92"/>
      <c r="K1076" s="92"/>
      <c r="L1076" s="92"/>
      <c r="M1076" s="92"/>
      <c r="N1076" s="92"/>
      <c r="O1076" s="92"/>
      <c r="P1076" s="92"/>
      <c r="Q1076" s="92"/>
      <c r="R1076" s="92"/>
      <c r="S1076" s="92"/>
      <c r="T1076" s="92"/>
      <c r="U1076" s="92"/>
      <c r="V1076" s="92"/>
      <c r="W1076" s="92"/>
      <c r="X1076" s="92"/>
      <c r="Y1076" s="92"/>
      <c r="Z1076" s="92"/>
    </row>
    <row r="1077" spans="1:26" ht="12.75">
      <c r="A1077" s="92" t="s">
        <v>7935</v>
      </c>
      <c r="B1077" s="372">
        <v>2017</v>
      </c>
      <c r="C1077" s="372">
        <v>28466147</v>
      </c>
      <c r="D1077" s="92" t="s">
        <v>7936</v>
      </c>
      <c r="E1077" s="261" t="str">
        <f t="shared" si="0"/>
        <v>https://pubmed.ncbi.nlm.nih.gov/28466147</v>
      </c>
      <c r="F1077" s="92" t="s">
        <v>511</v>
      </c>
      <c r="G1077" s="92" t="s">
        <v>7937</v>
      </c>
      <c r="H1077" s="92"/>
      <c r="I1077" s="92"/>
      <c r="J1077" s="92"/>
      <c r="K1077" s="92"/>
      <c r="L1077" s="92"/>
      <c r="M1077" s="92"/>
      <c r="N1077" s="92"/>
      <c r="O1077" s="92"/>
      <c r="P1077" s="92"/>
      <c r="Q1077" s="92"/>
      <c r="R1077" s="92"/>
      <c r="S1077" s="92"/>
      <c r="T1077" s="92"/>
      <c r="U1077" s="92"/>
      <c r="V1077" s="92"/>
      <c r="W1077" s="92"/>
      <c r="X1077" s="92"/>
      <c r="Y1077" s="92"/>
      <c r="Z1077" s="92"/>
    </row>
    <row r="1078" spans="1:26" ht="12.75">
      <c r="A1078" s="92" t="s">
        <v>7938</v>
      </c>
      <c r="B1078" s="372">
        <v>2009</v>
      </c>
      <c r="C1078" s="372">
        <v>19404150</v>
      </c>
      <c r="D1078" s="92"/>
      <c r="E1078" s="261" t="str">
        <f t="shared" si="0"/>
        <v>https://pubmed.ncbi.nlm.nih.gov/19404150</v>
      </c>
      <c r="F1078" s="92" t="s">
        <v>511</v>
      </c>
      <c r="G1078" s="374" t="s">
        <v>5157</v>
      </c>
      <c r="H1078" s="21"/>
      <c r="I1078" s="21"/>
      <c r="J1078" s="92"/>
      <c r="K1078" s="92"/>
      <c r="L1078" s="92"/>
      <c r="M1078" s="92"/>
      <c r="N1078" s="92"/>
      <c r="O1078" s="92"/>
      <c r="P1078" s="92"/>
      <c r="Q1078" s="92"/>
      <c r="R1078" s="92"/>
      <c r="S1078" s="92"/>
      <c r="T1078" s="92"/>
      <c r="U1078" s="92"/>
      <c r="V1078" s="92"/>
      <c r="W1078" s="92"/>
      <c r="X1078" s="92"/>
      <c r="Y1078" s="92"/>
      <c r="Z1078" s="92"/>
    </row>
    <row r="1079" spans="1:26" ht="12.75">
      <c r="A1079" s="92" t="s">
        <v>7939</v>
      </c>
      <c r="B1079" s="372">
        <v>2017</v>
      </c>
      <c r="C1079" s="372">
        <v>27590399</v>
      </c>
      <c r="D1079" s="92"/>
      <c r="E1079" s="261" t="str">
        <f t="shared" si="0"/>
        <v>https://pubmed.ncbi.nlm.nih.gov/27590399</v>
      </c>
      <c r="F1079" s="92" t="s">
        <v>511</v>
      </c>
      <c r="G1079" s="92" t="s">
        <v>8412</v>
      </c>
      <c r="H1079" s="92"/>
      <c r="I1079" s="92"/>
      <c r="J1079" s="92"/>
      <c r="K1079" s="92"/>
      <c r="L1079" s="92"/>
      <c r="M1079" s="92"/>
      <c r="N1079" s="92"/>
      <c r="O1079" s="92"/>
      <c r="P1079" s="92"/>
      <c r="Q1079" s="92"/>
      <c r="R1079" s="92"/>
      <c r="S1079" s="92"/>
      <c r="T1079" s="92"/>
      <c r="U1079" s="92"/>
      <c r="V1079" s="92"/>
      <c r="W1079" s="92"/>
      <c r="X1079" s="92"/>
      <c r="Y1079" s="92"/>
      <c r="Z1079" s="92"/>
    </row>
    <row r="1080" spans="1:26" ht="12.75">
      <c r="A1080" s="92" t="s">
        <v>7940</v>
      </c>
      <c r="B1080" s="372">
        <v>2004</v>
      </c>
      <c r="C1080" s="372">
        <v>15019871</v>
      </c>
      <c r="D1080" s="92"/>
      <c r="E1080" s="261" t="str">
        <f t="shared" si="0"/>
        <v>https://pubmed.ncbi.nlm.nih.gov/15019871</v>
      </c>
      <c r="F1080" s="92" t="s">
        <v>511</v>
      </c>
      <c r="G1080" s="374" t="s">
        <v>7662</v>
      </c>
      <c r="H1080" s="21"/>
      <c r="I1080" s="92"/>
      <c r="J1080" s="92"/>
      <c r="K1080" s="92"/>
      <c r="L1080" s="92"/>
      <c r="M1080" s="92"/>
      <c r="N1080" s="92"/>
      <c r="O1080" s="92"/>
      <c r="P1080" s="92"/>
      <c r="Q1080" s="92"/>
      <c r="R1080" s="92"/>
      <c r="S1080" s="92"/>
      <c r="T1080" s="92"/>
      <c r="U1080" s="92"/>
      <c r="V1080" s="92"/>
      <c r="W1080" s="92"/>
      <c r="X1080" s="92"/>
      <c r="Y1080" s="92"/>
      <c r="Z1080" s="92"/>
    </row>
    <row r="1081" spans="1:26" ht="12.75">
      <c r="A1081" s="92" t="s">
        <v>7941</v>
      </c>
      <c r="B1081" s="372">
        <v>2013</v>
      </c>
      <c r="C1081" s="372">
        <v>23642326</v>
      </c>
      <c r="D1081" s="92"/>
      <c r="E1081" s="261" t="str">
        <f t="shared" si="0"/>
        <v>https://pubmed.ncbi.nlm.nih.gov/23642326</v>
      </c>
      <c r="F1081" s="92" t="s">
        <v>511</v>
      </c>
      <c r="G1081" s="374" t="s">
        <v>8444</v>
      </c>
      <c r="H1081" s="21"/>
      <c r="I1081" s="92"/>
      <c r="J1081" s="92"/>
      <c r="K1081" s="92"/>
      <c r="L1081" s="92"/>
      <c r="M1081" s="92"/>
      <c r="N1081" s="92"/>
      <c r="O1081" s="92"/>
      <c r="P1081" s="92"/>
      <c r="Q1081" s="92"/>
      <c r="R1081" s="92"/>
      <c r="S1081" s="92"/>
      <c r="T1081" s="92"/>
      <c r="U1081" s="92"/>
      <c r="V1081" s="92"/>
      <c r="W1081" s="92"/>
      <c r="X1081" s="92"/>
      <c r="Y1081" s="92"/>
      <c r="Z1081" s="92"/>
    </row>
    <row r="1082" spans="1:26" ht="12.75">
      <c r="A1082" s="92" t="s">
        <v>7943</v>
      </c>
      <c r="B1082" s="372">
        <v>2017</v>
      </c>
      <c r="C1082" s="372">
        <v>28027521</v>
      </c>
      <c r="D1082" s="92"/>
      <c r="E1082" s="261" t="str">
        <f t="shared" si="0"/>
        <v>https://pubmed.ncbi.nlm.nih.gov/28027521</v>
      </c>
      <c r="F1082" s="92" t="s">
        <v>511</v>
      </c>
      <c r="G1082" s="374" t="s">
        <v>4867</v>
      </c>
      <c r="H1082" s="21"/>
      <c r="I1082" s="92"/>
      <c r="J1082" s="92"/>
      <c r="K1082" s="92"/>
      <c r="L1082" s="92"/>
      <c r="M1082" s="92"/>
      <c r="N1082" s="92"/>
      <c r="O1082" s="92"/>
      <c r="P1082" s="92"/>
      <c r="Q1082" s="92"/>
      <c r="R1082" s="92"/>
      <c r="S1082" s="92"/>
      <c r="T1082" s="92"/>
      <c r="U1082" s="92"/>
      <c r="V1082" s="92"/>
      <c r="W1082" s="92"/>
      <c r="X1082" s="92"/>
      <c r="Y1082" s="92"/>
      <c r="Z1082" s="92"/>
    </row>
    <row r="1083" spans="1:26" ht="12.75">
      <c r="A1083" s="92" t="s">
        <v>7944</v>
      </c>
      <c r="B1083" s="372">
        <v>2009</v>
      </c>
      <c r="C1083" s="372">
        <v>19841406</v>
      </c>
      <c r="D1083" s="92"/>
      <c r="E1083" s="261" t="str">
        <f t="shared" si="0"/>
        <v>https://pubmed.ncbi.nlm.nih.gov/19841406</v>
      </c>
      <c r="F1083" s="92" t="s">
        <v>511</v>
      </c>
      <c r="G1083" s="92" t="s">
        <v>4660</v>
      </c>
      <c r="H1083" s="92"/>
      <c r="I1083" s="92"/>
      <c r="J1083" s="92"/>
      <c r="K1083" s="92"/>
      <c r="L1083" s="92"/>
      <c r="M1083" s="92"/>
      <c r="N1083" s="92"/>
      <c r="O1083" s="92"/>
      <c r="P1083" s="92"/>
      <c r="Q1083" s="92"/>
      <c r="R1083" s="92"/>
      <c r="S1083" s="92"/>
      <c r="T1083" s="92"/>
      <c r="U1083" s="92"/>
      <c r="V1083" s="92"/>
      <c r="W1083" s="92"/>
      <c r="X1083" s="92"/>
      <c r="Y1083" s="92"/>
      <c r="Z1083" s="92"/>
    </row>
    <row r="1084" spans="1:26" ht="12.75">
      <c r="A1084" s="92" t="s">
        <v>7945</v>
      </c>
      <c r="B1084" s="372">
        <v>2012</v>
      </c>
      <c r="C1084" s="372">
        <v>22291468</v>
      </c>
      <c r="D1084" s="92" t="s">
        <v>7946</v>
      </c>
      <c r="E1084" s="261" t="str">
        <f t="shared" si="0"/>
        <v>https://pubmed.ncbi.nlm.nih.gov/22291468</v>
      </c>
      <c r="F1084" s="92" t="s">
        <v>511</v>
      </c>
      <c r="G1084" s="92" t="s">
        <v>4592</v>
      </c>
      <c r="H1084" s="92"/>
      <c r="I1084" s="92"/>
      <c r="J1084" s="92"/>
      <c r="K1084" s="92"/>
      <c r="L1084" s="92"/>
      <c r="M1084" s="92"/>
      <c r="N1084" s="92"/>
      <c r="O1084" s="92"/>
      <c r="P1084" s="92"/>
      <c r="Q1084" s="92"/>
      <c r="R1084" s="92"/>
      <c r="S1084" s="92"/>
      <c r="T1084" s="92"/>
      <c r="U1084" s="92"/>
      <c r="V1084" s="92"/>
      <c r="W1084" s="92"/>
      <c r="X1084" s="92"/>
      <c r="Y1084" s="92"/>
      <c r="Z1084" s="92"/>
    </row>
    <row r="1085" spans="1:26" ht="12.75">
      <c r="A1085" s="92" t="s">
        <v>7947</v>
      </c>
      <c r="B1085" s="372">
        <v>1992</v>
      </c>
      <c r="C1085" s="372">
        <v>1727803</v>
      </c>
      <c r="D1085" s="92"/>
      <c r="E1085" s="261" t="str">
        <f t="shared" si="0"/>
        <v>https://pubmed.ncbi.nlm.nih.gov/1727803</v>
      </c>
      <c r="F1085" s="92" t="s">
        <v>511</v>
      </c>
      <c r="G1085" s="374" t="s">
        <v>4744</v>
      </c>
      <c r="H1085" s="21"/>
      <c r="I1085" s="92"/>
      <c r="J1085" s="92"/>
      <c r="K1085" s="92"/>
      <c r="L1085" s="92"/>
      <c r="M1085" s="92"/>
      <c r="N1085" s="92"/>
      <c r="O1085" s="92"/>
      <c r="P1085" s="92"/>
      <c r="Q1085" s="92"/>
      <c r="R1085" s="92"/>
      <c r="S1085" s="92"/>
      <c r="T1085" s="92"/>
      <c r="U1085" s="92"/>
      <c r="V1085" s="92"/>
      <c r="W1085" s="92"/>
      <c r="X1085" s="92"/>
      <c r="Y1085" s="92"/>
      <c r="Z1085" s="92"/>
    </row>
    <row r="1086" spans="1:26" ht="12.75">
      <c r="A1086" s="92" t="s">
        <v>7948</v>
      </c>
      <c r="B1086" s="372">
        <v>2016</v>
      </c>
      <c r="C1086" s="372">
        <v>26966058</v>
      </c>
      <c r="D1086" s="92" t="s">
        <v>7949</v>
      </c>
      <c r="E1086" s="261" t="str">
        <f t="shared" si="0"/>
        <v>https://pubmed.ncbi.nlm.nih.gov/26966058</v>
      </c>
      <c r="F1086" s="92" t="s">
        <v>511</v>
      </c>
      <c r="G1086" s="374" t="s">
        <v>7950</v>
      </c>
      <c r="H1086" s="21"/>
      <c r="I1086" s="92"/>
      <c r="J1086" s="92"/>
      <c r="K1086" s="92"/>
      <c r="L1086" s="92"/>
      <c r="M1086" s="92"/>
      <c r="N1086" s="92"/>
      <c r="O1086" s="92"/>
      <c r="P1086" s="92"/>
      <c r="Q1086" s="92"/>
      <c r="R1086" s="92"/>
      <c r="S1086" s="92"/>
      <c r="T1086" s="92"/>
      <c r="U1086" s="92"/>
      <c r="V1086" s="92"/>
      <c r="W1086" s="92"/>
      <c r="X1086" s="92"/>
      <c r="Y1086" s="92"/>
      <c r="Z1086" s="92"/>
    </row>
    <row r="1087" spans="1:26" ht="12.75">
      <c r="A1087" s="92" t="s">
        <v>7951</v>
      </c>
      <c r="B1087" s="372">
        <v>2018</v>
      </c>
      <c r="C1087" s="372">
        <v>29399800</v>
      </c>
      <c r="D1087" s="92"/>
      <c r="E1087" s="261" t="str">
        <f t="shared" si="0"/>
        <v>https://pubmed.ncbi.nlm.nih.gov/29399800</v>
      </c>
      <c r="F1087" s="92" t="s">
        <v>511</v>
      </c>
      <c r="G1087" s="374" t="s">
        <v>5157</v>
      </c>
      <c r="H1087" s="21"/>
      <c r="I1087" s="21"/>
      <c r="J1087" s="92"/>
      <c r="K1087" s="92"/>
      <c r="L1087" s="92"/>
      <c r="M1087" s="92"/>
      <c r="N1087" s="92"/>
      <c r="O1087" s="92"/>
      <c r="P1087" s="92"/>
      <c r="Q1087" s="92"/>
      <c r="R1087" s="92"/>
      <c r="S1087" s="92"/>
      <c r="T1087" s="92"/>
      <c r="U1087" s="92"/>
      <c r="V1087" s="92"/>
      <c r="W1087" s="92"/>
      <c r="X1087" s="92"/>
      <c r="Y1087" s="92"/>
      <c r="Z1087" s="92"/>
    </row>
    <row r="1088" spans="1:26" ht="12.75">
      <c r="A1088" s="92" t="s">
        <v>7952</v>
      </c>
      <c r="B1088" s="372">
        <v>2012</v>
      </c>
      <c r="C1088" s="372">
        <v>22715866</v>
      </c>
      <c r="D1088" s="92" t="s">
        <v>7953</v>
      </c>
      <c r="E1088" s="261" t="str">
        <f t="shared" si="0"/>
        <v>https://pubmed.ncbi.nlm.nih.gov/22715866</v>
      </c>
      <c r="F1088" s="92" t="s">
        <v>511</v>
      </c>
      <c r="G1088" s="374" t="s">
        <v>7954</v>
      </c>
      <c r="H1088" s="21"/>
      <c r="I1088" s="92"/>
      <c r="J1088" s="92"/>
      <c r="K1088" s="92"/>
      <c r="L1088" s="92"/>
      <c r="M1088" s="92"/>
      <c r="N1088" s="92"/>
      <c r="O1088" s="92"/>
      <c r="P1088" s="92"/>
      <c r="Q1088" s="92"/>
      <c r="R1088" s="92"/>
      <c r="S1088" s="92"/>
      <c r="T1088" s="92"/>
      <c r="U1088" s="92"/>
      <c r="V1088" s="92"/>
      <c r="W1088" s="92"/>
      <c r="X1088" s="92"/>
      <c r="Y1088" s="92"/>
      <c r="Z1088" s="92"/>
    </row>
    <row r="1089" spans="1:26" ht="12.75">
      <c r="A1089" s="92" t="s">
        <v>7955</v>
      </c>
      <c r="B1089" s="372">
        <v>2012</v>
      </c>
      <c r="C1089" s="372">
        <v>22642919</v>
      </c>
      <c r="D1089" s="92" t="s">
        <v>7956</v>
      </c>
      <c r="E1089" s="261" t="str">
        <f t="shared" si="0"/>
        <v>https://pubmed.ncbi.nlm.nih.gov/22642919</v>
      </c>
      <c r="F1089" s="92" t="s">
        <v>511</v>
      </c>
      <c r="G1089" s="92" t="s">
        <v>4592</v>
      </c>
      <c r="H1089" s="92"/>
      <c r="I1089" s="92"/>
      <c r="J1089" s="92"/>
      <c r="K1089" s="92"/>
      <c r="L1089" s="92"/>
      <c r="M1089" s="92"/>
      <c r="N1089" s="92"/>
      <c r="O1089" s="92"/>
      <c r="P1089" s="92"/>
      <c r="Q1089" s="92"/>
      <c r="R1089" s="92"/>
      <c r="S1089" s="92"/>
      <c r="T1089" s="92"/>
      <c r="U1089" s="92"/>
      <c r="V1089" s="92"/>
      <c r="W1089" s="92"/>
      <c r="X1089" s="92"/>
      <c r="Y1089" s="92"/>
      <c r="Z1089" s="92"/>
    </row>
    <row r="1090" spans="1:26" ht="12.75">
      <c r="A1090" s="92" t="s">
        <v>7957</v>
      </c>
      <c r="B1090" s="372">
        <v>2021</v>
      </c>
      <c r="C1090" s="372">
        <v>33676886</v>
      </c>
      <c r="D1090" s="92"/>
      <c r="E1090" s="261" t="str">
        <f t="shared" si="0"/>
        <v>https://pubmed.ncbi.nlm.nih.gov/33676886</v>
      </c>
      <c r="F1090" s="92" t="s">
        <v>511</v>
      </c>
      <c r="G1090" s="374" t="s">
        <v>5157</v>
      </c>
      <c r="H1090" s="21"/>
      <c r="I1090" s="21"/>
      <c r="J1090" s="92"/>
      <c r="K1090" s="92"/>
      <c r="L1090" s="92"/>
      <c r="M1090" s="92"/>
      <c r="N1090" s="92"/>
      <c r="O1090" s="92"/>
      <c r="P1090" s="92"/>
      <c r="Q1090" s="92"/>
      <c r="R1090" s="92"/>
      <c r="S1090" s="92"/>
      <c r="T1090" s="92"/>
      <c r="U1090" s="92"/>
      <c r="V1090" s="92"/>
      <c r="W1090" s="92"/>
      <c r="X1090" s="92"/>
      <c r="Y1090" s="92"/>
      <c r="Z1090" s="92"/>
    </row>
    <row r="1091" spans="1:26" ht="12.75">
      <c r="A1091" s="92" t="s">
        <v>7958</v>
      </c>
      <c r="B1091" s="372">
        <v>2004</v>
      </c>
      <c r="C1091" s="372">
        <v>15038947</v>
      </c>
      <c r="D1091" s="92"/>
      <c r="E1091" s="261" t="str">
        <f t="shared" si="0"/>
        <v>https://pubmed.ncbi.nlm.nih.gov/15038947</v>
      </c>
      <c r="F1091" s="92" t="s">
        <v>511</v>
      </c>
      <c r="G1091" s="374" t="s">
        <v>4867</v>
      </c>
      <c r="H1091" s="21"/>
      <c r="I1091" s="92"/>
      <c r="J1091" s="92"/>
      <c r="K1091" s="92"/>
      <c r="L1091" s="92"/>
      <c r="M1091" s="92"/>
      <c r="N1091" s="92"/>
      <c r="O1091" s="92"/>
      <c r="P1091" s="92"/>
      <c r="Q1091" s="92"/>
      <c r="R1091" s="92"/>
      <c r="S1091" s="92"/>
      <c r="T1091" s="92"/>
      <c r="U1091" s="92"/>
      <c r="V1091" s="92"/>
      <c r="W1091" s="92"/>
      <c r="X1091" s="92"/>
      <c r="Y1091" s="92"/>
      <c r="Z1091" s="92"/>
    </row>
    <row r="1092" spans="1:26" ht="12.75">
      <c r="A1092" s="92" t="s">
        <v>7959</v>
      </c>
      <c r="B1092" s="372">
        <v>2009</v>
      </c>
      <c r="C1092" s="372">
        <v>20030830</v>
      </c>
      <c r="D1092" s="92" t="s">
        <v>7960</v>
      </c>
      <c r="E1092" s="261" t="str">
        <f t="shared" si="0"/>
        <v>https://pubmed.ncbi.nlm.nih.gov/20030830</v>
      </c>
      <c r="F1092" s="92" t="s">
        <v>511</v>
      </c>
      <c r="G1092" s="374" t="s">
        <v>5157</v>
      </c>
      <c r="H1092" s="21"/>
      <c r="I1092" s="21"/>
      <c r="J1092" s="92"/>
      <c r="K1092" s="92"/>
      <c r="L1092" s="92"/>
      <c r="M1092" s="92"/>
      <c r="N1092" s="92"/>
      <c r="O1092" s="92"/>
      <c r="P1092" s="92"/>
      <c r="Q1092" s="92"/>
      <c r="R1092" s="92"/>
      <c r="S1092" s="92"/>
      <c r="T1092" s="92"/>
      <c r="U1092" s="92"/>
      <c r="V1092" s="92"/>
      <c r="W1092" s="92"/>
      <c r="X1092" s="92"/>
      <c r="Y1092" s="92"/>
      <c r="Z1092" s="92"/>
    </row>
    <row r="1093" spans="1:26" ht="12.75">
      <c r="A1093" s="92" t="s">
        <v>7961</v>
      </c>
      <c r="B1093" s="372">
        <v>2020</v>
      </c>
      <c r="C1093" s="372">
        <v>33239013</v>
      </c>
      <c r="D1093" s="92" t="s">
        <v>7962</v>
      </c>
      <c r="E1093" s="261" t="str">
        <f t="shared" si="0"/>
        <v>https://pubmed.ncbi.nlm.nih.gov/33239013</v>
      </c>
      <c r="F1093" s="92" t="s">
        <v>511</v>
      </c>
      <c r="G1093" s="374" t="s">
        <v>4744</v>
      </c>
      <c r="H1093" s="92"/>
      <c r="I1093" s="92" t="s">
        <v>6625</v>
      </c>
      <c r="J1093" s="92"/>
      <c r="K1093" s="92"/>
      <c r="L1093" s="92"/>
      <c r="M1093" s="92"/>
      <c r="N1093" s="92"/>
      <c r="O1093" s="92"/>
      <c r="P1093" s="92"/>
      <c r="Q1093" s="92"/>
      <c r="R1093" s="92"/>
      <c r="S1093" s="92"/>
      <c r="T1093" s="92"/>
      <c r="U1093" s="92"/>
      <c r="V1093" s="92"/>
      <c r="W1093" s="92"/>
      <c r="X1093" s="92"/>
      <c r="Y1093" s="92"/>
      <c r="Z1093" s="92"/>
    </row>
    <row r="1094" spans="1:26" ht="12.75">
      <c r="A1094" s="92" t="s">
        <v>7961</v>
      </c>
      <c r="B1094" s="372">
        <v>2019</v>
      </c>
      <c r="C1094" s="372">
        <v>31483515</v>
      </c>
      <c r="D1094" s="92"/>
      <c r="E1094" s="261" t="str">
        <f t="shared" si="0"/>
        <v>https://pubmed.ncbi.nlm.nih.gov/31483515</v>
      </c>
      <c r="F1094" s="92" t="s">
        <v>511</v>
      </c>
      <c r="G1094" s="374" t="s">
        <v>7963</v>
      </c>
      <c r="H1094" s="21"/>
      <c r="I1094" s="92"/>
      <c r="J1094" s="92"/>
      <c r="K1094" s="92"/>
      <c r="L1094" s="92"/>
      <c r="M1094" s="92"/>
      <c r="N1094" s="92"/>
      <c r="O1094" s="92"/>
      <c r="P1094" s="92"/>
      <c r="Q1094" s="92"/>
      <c r="R1094" s="92"/>
      <c r="S1094" s="92"/>
      <c r="T1094" s="92"/>
      <c r="U1094" s="92"/>
      <c r="V1094" s="92"/>
      <c r="W1094" s="92"/>
      <c r="X1094" s="92"/>
      <c r="Y1094" s="92"/>
      <c r="Z1094" s="92"/>
    </row>
    <row r="1095" spans="1:26" ht="12.75">
      <c r="A1095" s="92" t="s">
        <v>7964</v>
      </c>
      <c r="B1095" s="372">
        <v>1998</v>
      </c>
      <c r="C1095" s="372">
        <v>9487210</v>
      </c>
      <c r="D1095" s="92"/>
      <c r="E1095" s="261" t="str">
        <f t="shared" si="0"/>
        <v>https://pubmed.ncbi.nlm.nih.gov/9487210</v>
      </c>
      <c r="F1095" s="92" t="s">
        <v>511</v>
      </c>
      <c r="G1095" s="374" t="s">
        <v>4744</v>
      </c>
      <c r="H1095" s="21"/>
      <c r="I1095" s="92"/>
      <c r="J1095" s="92"/>
      <c r="K1095" s="92"/>
      <c r="L1095" s="92"/>
      <c r="M1095" s="92"/>
      <c r="N1095" s="92"/>
      <c r="O1095" s="92"/>
      <c r="P1095" s="92"/>
      <c r="Q1095" s="92"/>
      <c r="R1095" s="92"/>
      <c r="S1095" s="92"/>
      <c r="T1095" s="92"/>
      <c r="U1095" s="92"/>
      <c r="V1095" s="92"/>
      <c r="W1095" s="92"/>
      <c r="X1095" s="92"/>
      <c r="Y1095" s="92"/>
      <c r="Z1095" s="92"/>
    </row>
    <row r="1096" spans="1:26" ht="12.75">
      <c r="A1096" s="92" t="s">
        <v>7965</v>
      </c>
      <c r="B1096" s="372">
        <v>1995</v>
      </c>
      <c r="C1096" s="372">
        <v>7849309</v>
      </c>
      <c r="D1096" s="92"/>
      <c r="E1096" s="261" t="str">
        <f t="shared" si="0"/>
        <v>https://pubmed.ncbi.nlm.nih.gov/7849309</v>
      </c>
      <c r="F1096" s="92" t="s">
        <v>511</v>
      </c>
      <c r="G1096" s="374" t="s">
        <v>4346</v>
      </c>
      <c r="H1096" s="92"/>
      <c r="I1096" s="92"/>
      <c r="J1096" s="92"/>
      <c r="K1096" s="92"/>
      <c r="L1096" s="92"/>
      <c r="M1096" s="92"/>
      <c r="N1096" s="92"/>
      <c r="O1096" s="92"/>
      <c r="P1096" s="92"/>
      <c r="Q1096" s="92"/>
      <c r="R1096" s="92"/>
      <c r="S1096" s="92"/>
      <c r="T1096" s="92"/>
      <c r="U1096" s="92"/>
      <c r="V1096" s="92"/>
      <c r="W1096" s="92"/>
      <c r="X1096" s="92"/>
      <c r="Y1096" s="92"/>
      <c r="Z1096" s="92"/>
    </row>
    <row r="1097" spans="1:26" ht="12.75">
      <c r="A1097" s="92" t="s">
        <v>7965</v>
      </c>
      <c r="B1097" s="372">
        <v>1995</v>
      </c>
      <c r="C1097" s="372">
        <v>7742543</v>
      </c>
      <c r="D1097" s="92"/>
      <c r="E1097" s="261" t="str">
        <f t="shared" si="0"/>
        <v>https://pubmed.ncbi.nlm.nih.gov/7742543</v>
      </c>
      <c r="F1097" s="92" t="s">
        <v>511</v>
      </c>
      <c r="G1097" s="374" t="s">
        <v>4744</v>
      </c>
      <c r="H1097" s="21"/>
      <c r="I1097" s="92"/>
      <c r="J1097" s="92"/>
      <c r="K1097" s="92"/>
      <c r="L1097" s="92"/>
      <c r="M1097" s="92"/>
      <c r="N1097" s="92"/>
      <c r="O1097" s="92"/>
      <c r="P1097" s="92"/>
      <c r="Q1097" s="92"/>
      <c r="R1097" s="92"/>
      <c r="S1097" s="92"/>
      <c r="T1097" s="92"/>
      <c r="U1097" s="92"/>
      <c r="V1097" s="92"/>
      <c r="W1097" s="92"/>
      <c r="X1097" s="92"/>
      <c r="Y1097" s="92"/>
      <c r="Z1097" s="92"/>
    </row>
    <row r="1098" spans="1:26" ht="12.75">
      <c r="A1098" s="92" t="s">
        <v>7966</v>
      </c>
      <c r="B1098" s="372">
        <v>2015</v>
      </c>
      <c r="C1098" s="372">
        <v>25552421</v>
      </c>
      <c r="D1098" s="92"/>
      <c r="E1098" s="261" t="str">
        <f t="shared" si="0"/>
        <v>https://pubmed.ncbi.nlm.nih.gov/25552421</v>
      </c>
      <c r="F1098" s="92" t="s">
        <v>511</v>
      </c>
      <c r="G1098" s="374" t="s">
        <v>5157</v>
      </c>
      <c r="H1098" s="21"/>
      <c r="I1098" s="21"/>
      <c r="J1098" s="92"/>
      <c r="K1098" s="92"/>
      <c r="L1098" s="92"/>
      <c r="M1098" s="92"/>
      <c r="N1098" s="92"/>
      <c r="O1098" s="92"/>
      <c r="P1098" s="92"/>
      <c r="Q1098" s="92"/>
      <c r="R1098" s="92"/>
      <c r="S1098" s="92"/>
      <c r="T1098" s="92"/>
      <c r="U1098" s="92"/>
      <c r="V1098" s="92"/>
      <c r="W1098" s="92"/>
      <c r="X1098" s="92"/>
      <c r="Y1098" s="92"/>
      <c r="Z1098" s="92"/>
    </row>
    <row r="1099" spans="1:26" ht="12.75">
      <c r="A1099" s="92" t="s">
        <v>7967</v>
      </c>
      <c r="B1099" s="372">
        <v>2019</v>
      </c>
      <c r="C1099" s="372">
        <v>30379749</v>
      </c>
      <c r="D1099" s="92"/>
      <c r="E1099" s="261" t="str">
        <f t="shared" si="0"/>
        <v>https://pubmed.ncbi.nlm.nih.gov/30379749</v>
      </c>
      <c r="F1099" s="92" t="s">
        <v>511</v>
      </c>
      <c r="G1099" s="374" t="s">
        <v>4867</v>
      </c>
      <c r="H1099" s="21"/>
      <c r="I1099" s="92"/>
      <c r="J1099" s="92"/>
      <c r="K1099" s="92"/>
      <c r="L1099" s="92"/>
      <c r="M1099" s="92"/>
      <c r="N1099" s="92"/>
      <c r="O1099" s="92"/>
      <c r="P1099" s="92"/>
      <c r="Q1099" s="92"/>
      <c r="R1099" s="92"/>
      <c r="S1099" s="92"/>
      <c r="T1099" s="92"/>
      <c r="U1099" s="92"/>
      <c r="V1099" s="92"/>
      <c r="W1099" s="92"/>
      <c r="X1099" s="92"/>
      <c r="Y1099" s="92"/>
      <c r="Z1099" s="92"/>
    </row>
    <row r="1100" spans="1:26" ht="12.75">
      <c r="A1100" s="92" t="s">
        <v>7968</v>
      </c>
      <c r="B1100" s="372">
        <v>2019</v>
      </c>
      <c r="C1100" s="372">
        <v>30972546</v>
      </c>
      <c r="D1100" s="92"/>
      <c r="E1100" s="261" t="str">
        <f t="shared" si="0"/>
        <v>https://pubmed.ncbi.nlm.nih.gov/30972546</v>
      </c>
      <c r="F1100" s="92" t="s">
        <v>511</v>
      </c>
      <c r="G1100" s="374" t="s">
        <v>6712</v>
      </c>
      <c r="H1100" s="21"/>
      <c r="I1100" s="92"/>
      <c r="J1100" s="92"/>
      <c r="K1100" s="92"/>
      <c r="L1100" s="92"/>
      <c r="M1100" s="92"/>
      <c r="N1100" s="92"/>
      <c r="O1100" s="92"/>
      <c r="P1100" s="92"/>
      <c r="Q1100" s="92"/>
      <c r="R1100" s="92"/>
      <c r="S1100" s="92"/>
      <c r="T1100" s="92"/>
      <c r="U1100" s="92"/>
      <c r="V1100" s="92"/>
      <c r="W1100" s="92"/>
      <c r="X1100" s="92"/>
      <c r="Y1100" s="92"/>
      <c r="Z1100" s="92"/>
    </row>
    <row r="1101" spans="1:26" ht="12.75">
      <c r="A1101" s="92" t="s">
        <v>7969</v>
      </c>
      <c r="B1101" s="372">
        <v>2017</v>
      </c>
      <c r="C1101" s="372">
        <v>28322440</v>
      </c>
      <c r="D1101" s="92" t="s">
        <v>7970</v>
      </c>
      <c r="E1101" s="261" t="str">
        <f t="shared" si="0"/>
        <v>https://pubmed.ncbi.nlm.nih.gov/28322440</v>
      </c>
      <c r="F1101" s="92" t="s">
        <v>511</v>
      </c>
      <c r="G1101" s="92" t="s">
        <v>4592</v>
      </c>
      <c r="H1101" s="92"/>
      <c r="I1101" s="92"/>
      <c r="J1101" s="92"/>
      <c r="K1101" s="92"/>
      <c r="L1101" s="92"/>
      <c r="M1101" s="92"/>
      <c r="N1101" s="92"/>
      <c r="O1101" s="92"/>
      <c r="P1101" s="92"/>
      <c r="Q1101" s="92"/>
      <c r="R1101" s="92"/>
      <c r="S1101" s="92"/>
      <c r="T1101" s="92"/>
      <c r="U1101" s="92"/>
      <c r="V1101" s="92"/>
      <c r="W1101" s="92"/>
      <c r="X1101" s="92"/>
      <c r="Y1101" s="92"/>
      <c r="Z1101" s="92"/>
    </row>
    <row r="1102" spans="1:26" ht="12.75">
      <c r="A1102" s="92" t="s">
        <v>7971</v>
      </c>
      <c r="B1102" s="372">
        <v>2012</v>
      </c>
      <c r="C1102" s="372">
        <v>22228415</v>
      </c>
      <c r="D1102" s="92"/>
      <c r="E1102" s="261" t="str">
        <f t="shared" si="0"/>
        <v>https://pubmed.ncbi.nlm.nih.gov/22228415</v>
      </c>
      <c r="F1102" s="92" t="s">
        <v>511</v>
      </c>
      <c r="G1102" s="374" t="s">
        <v>5157</v>
      </c>
      <c r="H1102" s="21"/>
      <c r="I1102" s="21"/>
      <c r="J1102" s="92"/>
      <c r="K1102" s="92"/>
      <c r="L1102" s="92"/>
      <c r="M1102" s="92"/>
      <c r="N1102" s="92"/>
      <c r="O1102" s="92"/>
      <c r="P1102" s="92"/>
      <c r="Q1102" s="92"/>
      <c r="R1102" s="92"/>
      <c r="S1102" s="92"/>
      <c r="T1102" s="92"/>
      <c r="U1102" s="92"/>
      <c r="V1102" s="92"/>
      <c r="W1102" s="92"/>
      <c r="X1102" s="92"/>
      <c r="Y1102" s="92"/>
      <c r="Z1102" s="92"/>
    </row>
    <row r="1103" spans="1:26" ht="12.75">
      <c r="A1103" s="92" t="s">
        <v>7972</v>
      </c>
      <c r="B1103" s="372">
        <v>2014</v>
      </c>
      <c r="C1103" s="372">
        <v>24330348</v>
      </c>
      <c r="D1103" s="92"/>
      <c r="E1103" s="261" t="str">
        <f t="shared" si="0"/>
        <v>https://pubmed.ncbi.nlm.nih.gov/24330348</v>
      </c>
      <c r="F1103" s="92" t="s">
        <v>511</v>
      </c>
      <c r="G1103" s="92" t="s">
        <v>4592</v>
      </c>
      <c r="H1103" s="92"/>
      <c r="I1103" s="92"/>
      <c r="J1103" s="92"/>
      <c r="K1103" s="92"/>
      <c r="L1103" s="92"/>
      <c r="M1103" s="92"/>
      <c r="N1103" s="92"/>
      <c r="O1103" s="92"/>
      <c r="P1103" s="92"/>
      <c r="Q1103" s="92"/>
      <c r="R1103" s="92"/>
      <c r="S1103" s="92"/>
      <c r="T1103" s="92"/>
      <c r="U1103" s="92"/>
      <c r="V1103" s="92"/>
      <c r="W1103" s="92"/>
      <c r="X1103" s="92"/>
      <c r="Y1103" s="92"/>
      <c r="Z1103" s="92"/>
    </row>
    <row r="1104" spans="1:26" ht="12.75">
      <c r="A1104" s="92" t="s">
        <v>7973</v>
      </c>
      <c r="B1104" s="372">
        <v>2006</v>
      </c>
      <c r="C1104" s="372">
        <v>16969761</v>
      </c>
      <c r="D1104" s="92"/>
      <c r="E1104" s="261" t="str">
        <f t="shared" si="0"/>
        <v>https://pubmed.ncbi.nlm.nih.gov/16969761</v>
      </c>
      <c r="F1104" s="92" t="s">
        <v>511</v>
      </c>
      <c r="G1104" s="92" t="s">
        <v>4592</v>
      </c>
      <c r="H1104" s="92"/>
      <c r="I1104" s="92"/>
      <c r="J1104" s="92"/>
      <c r="K1104" s="92"/>
      <c r="L1104" s="92"/>
      <c r="M1104" s="92"/>
      <c r="N1104" s="92"/>
      <c r="O1104" s="92"/>
      <c r="P1104" s="92"/>
      <c r="Q1104" s="92"/>
      <c r="R1104" s="92"/>
      <c r="S1104" s="92"/>
      <c r="T1104" s="92"/>
      <c r="U1104" s="92"/>
      <c r="V1104" s="92"/>
      <c r="W1104" s="92"/>
      <c r="X1104" s="92"/>
      <c r="Y1104" s="92"/>
      <c r="Z1104" s="92"/>
    </row>
    <row r="1105" spans="1:26" ht="12.75">
      <c r="A1105" s="92" t="s">
        <v>7974</v>
      </c>
      <c r="B1105" s="372">
        <v>2020</v>
      </c>
      <c r="C1105" s="372">
        <v>32632956</v>
      </c>
      <c r="D1105" s="92" t="s">
        <v>7975</v>
      </c>
      <c r="E1105" s="261" t="str">
        <f t="shared" si="0"/>
        <v>https://pubmed.ncbi.nlm.nih.gov/32632956</v>
      </c>
      <c r="F1105" s="92" t="s">
        <v>511</v>
      </c>
      <c r="G1105" s="92" t="s">
        <v>8412</v>
      </c>
      <c r="H1105" s="92"/>
      <c r="I1105" s="92"/>
      <c r="J1105" s="92"/>
      <c r="K1105" s="92"/>
      <c r="L1105" s="92"/>
      <c r="M1105" s="92"/>
      <c r="N1105" s="92"/>
      <c r="O1105" s="92"/>
      <c r="P1105" s="92"/>
      <c r="Q1105" s="92"/>
      <c r="R1105" s="92"/>
      <c r="S1105" s="92"/>
      <c r="T1105" s="92"/>
      <c r="U1105" s="92"/>
      <c r="V1105" s="92"/>
      <c r="W1105" s="92"/>
      <c r="X1105" s="92"/>
      <c r="Y1105" s="92"/>
      <c r="Z1105" s="92"/>
    </row>
    <row r="1106" spans="1:26" ht="12.75">
      <c r="A1106" s="92" t="s">
        <v>7976</v>
      </c>
      <c r="B1106" s="372">
        <v>2019</v>
      </c>
      <c r="C1106" s="372">
        <v>31521532</v>
      </c>
      <c r="D1106" s="92"/>
      <c r="E1106" s="261" t="str">
        <f t="shared" si="0"/>
        <v>https://pubmed.ncbi.nlm.nih.gov/31521532</v>
      </c>
      <c r="F1106" s="92" t="s">
        <v>511</v>
      </c>
      <c r="G1106" s="374" t="s">
        <v>5299</v>
      </c>
      <c r="H1106" s="21"/>
      <c r="I1106" s="92"/>
      <c r="J1106" s="92"/>
      <c r="K1106" s="92"/>
      <c r="L1106" s="92"/>
      <c r="M1106" s="92"/>
      <c r="N1106" s="92"/>
      <c r="O1106" s="92"/>
      <c r="P1106" s="92"/>
      <c r="Q1106" s="92"/>
      <c r="R1106" s="92"/>
      <c r="S1106" s="92"/>
      <c r="T1106" s="92"/>
      <c r="U1106" s="92"/>
      <c r="V1106" s="92"/>
      <c r="W1106" s="92"/>
      <c r="X1106" s="92"/>
      <c r="Y1106" s="92"/>
      <c r="Z1106" s="92"/>
    </row>
    <row r="1107" spans="1:26" ht="12.75">
      <c r="A1107" s="92" t="s">
        <v>7977</v>
      </c>
      <c r="B1107" s="372">
        <v>2020</v>
      </c>
      <c r="C1107" s="372">
        <v>32317559</v>
      </c>
      <c r="D1107" s="92" t="s">
        <v>7978</v>
      </c>
      <c r="E1107" s="261" t="str">
        <f t="shared" si="0"/>
        <v>https://pubmed.ncbi.nlm.nih.gov/32317559</v>
      </c>
      <c r="F1107" s="92" t="s">
        <v>511</v>
      </c>
      <c r="G1107" s="374" t="s">
        <v>7979</v>
      </c>
      <c r="H1107" s="21"/>
      <c r="I1107" s="92"/>
      <c r="J1107" s="92"/>
      <c r="K1107" s="92"/>
      <c r="L1107" s="92"/>
      <c r="M1107" s="92"/>
      <c r="N1107" s="92"/>
      <c r="O1107" s="92"/>
      <c r="P1107" s="92"/>
      <c r="Q1107" s="92"/>
      <c r="R1107" s="92"/>
      <c r="S1107" s="92"/>
      <c r="T1107" s="92"/>
      <c r="U1107" s="92"/>
      <c r="V1107" s="92"/>
      <c r="W1107" s="92"/>
      <c r="X1107" s="92"/>
      <c r="Y1107" s="92"/>
      <c r="Z1107" s="92"/>
    </row>
    <row r="1108" spans="1:26" ht="12.75">
      <c r="A1108" s="92" t="s">
        <v>7980</v>
      </c>
      <c r="B1108" s="372">
        <v>1999</v>
      </c>
      <c r="C1108" s="372">
        <v>10440399</v>
      </c>
      <c r="D1108" s="92"/>
      <c r="E1108" s="261" t="str">
        <f t="shared" si="0"/>
        <v>https://pubmed.ncbi.nlm.nih.gov/10440399</v>
      </c>
      <c r="F1108" s="92" t="s">
        <v>511</v>
      </c>
      <c r="G1108" s="374" t="s">
        <v>4744</v>
      </c>
      <c r="H1108" s="21"/>
      <c r="I1108" s="92"/>
      <c r="J1108" s="92"/>
      <c r="K1108" s="92"/>
      <c r="L1108" s="92"/>
      <c r="M1108" s="92"/>
      <c r="N1108" s="92"/>
      <c r="O1108" s="92"/>
      <c r="P1108" s="92"/>
      <c r="Q1108" s="92"/>
      <c r="R1108" s="92"/>
      <c r="S1108" s="92"/>
      <c r="T1108" s="92"/>
      <c r="U1108" s="92"/>
      <c r="V1108" s="92"/>
      <c r="W1108" s="92"/>
      <c r="X1108" s="92"/>
      <c r="Y1108" s="92"/>
      <c r="Z1108" s="92"/>
    </row>
    <row r="1109" spans="1:26" ht="12.75">
      <c r="A1109" s="92" t="s">
        <v>7981</v>
      </c>
      <c r="B1109" s="372">
        <v>2019</v>
      </c>
      <c r="C1109" s="372">
        <v>30759101</v>
      </c>
      <c r="D1109" s="92" t="s">
        <v>7982</v>
      </c>
      <c r="E1109" s="261" t="str">
        <f t="shared" si="0"/>
        <v>https://pubmed.ncbi.nlm.nih.gov/30759101</v>
      </c>
      <c r="F1109" s="92" t="s">
        <v>511</v>
      </c>
      <c r="G1109" s="374" t="s">
        <v>7983</v>
      </c>
      <c r="H1109" s="21"/>
      <c r="I1109" s="92"/>
      <c r="J1109" s="92"/>
      <c r="K1109" s="92"/>
      <c r="L1109" s="92"/>
      <c r="M1109" s="92"/>
      <c r="N1109" s="92"/>
      <c r="O1109" s="92"/>
      <c r="P1109" s="92"/>
      <c r="Q1109" s="92"/>
      <c r="R1109" s="92"/>
      <c r="S1109" s="92"/>
      <c r="T1109" s="92"/>
      <c r="U1109" s="92"/>
      <c r="V1109" s="92"/>
      <c r="W1109" s="92"/>
      <c r="X1109" s="92"/>
      <c r="Y1109" s="92"/>
      <c r="Z1109" s="92"/>
    </row>
    <row r="1110" spans="1:26" ht="12.75">
      <c r="A1110" s="92" t="s">
        <v>7984</v>
      </c>
      <c r="B1110" s="372">
        <v>2020</v>
      </c>
      <c r="C1110" s="372">
        <v>32822455</v>
      </c>
      <c r="D1110" s="92"/>
      <c r="E1110" s="261" t="str">
        <f t="shared" si="0"/>
        <v>https://pubmed.ncbi.nlm.nih.gov/32822455</v>
      </c>
      <c r="F1110" s="92" t="s">
        <v>511</v>
      </c>
      <c r="G1110" s="92" t="s">
        <v>5273</v>
      </c>
      <c r="H1110" s="92"/>
      <c r="I1110" s="92"/>
      <c r="J1110" s="92"/>
      <c r="K1110" s="92"/>
      <c r="L1110" s="92"/>
      <c r="M1110" s="92"/>
      <c r="N1110" s="92"/>
      <c r="O1110" s="92"/>
      <c r="P1110" s="92"/>
      <c r="Q1110" s="92"/>
      <c r="R1110" s="92"/>
      <c r="S1110" s="92"/>
      <c r="T1110" s="92"/>
      <c r="U1110" s="92"/>
      <c r="V1110" s="92"/>
      <c r="W1110" s="92"/>
      <c r="X1110" s="92"/>
      <c r="Y1110" s="92"/>
      <c r="Z1110" s="92"/>
    </row>
    <row r="1111" spans="1:26" ht="12.75">
      <c r="A1111" s="92" t="s">
        <v>7985</v>
      </c>
      <c r="B1111" s="372">
        <v>2014</v>
      </c>
      <c r="C1111" s="372">
        <v>24957530</v>
      </c>
      <c r="D1111" s="92"/>
      <c r="E1111" s="261" t="str">
        <f t="shared" si="0"/>
        <v>https://pubmed.ncbi.nlm.nih.gov/24957530</v>
      </c>
      <c r="F1111" s="92" t="s">
        <v>511</v>
      </c>
      <c r="G1111" s="374" t="s">
        <v>5299</v>
      </c>
      <c r="H1111" s="21"/>
      <c r="I1111" s="92"/>
      <c r="J1111" s="92"/>
      <c r="K1111" s="92"/>
      <c r="L1111" s="92"/>
      <c r="M1111" s="92"/>
      <c r="N1111" s="92"/>
      <c r="O1111" s="92"/>
      <c r="P1111" s="92"/>
      <c r="Q1111" s="92"/>
      <c r="R1111" s="92"/>
      <c r="S1111" s="92"/>
      <c r="T1111" s="92"/>
      <c r="U1111" s="92"/>
      <c r="V1111" s="92"/>
      <c r="W1111" s="92"/>
      <c r="X1111" s="92"/>
      <c r="Y1111" s="92"/>
      <c r="Z1111" s="92"/>
    </row>
    <row r="1112" spans="1:26" ht="12.75">
      <c r="A1112" s="92" t="s">
        <v>7986</v>
      </c>
      <c r="B1112" s="372">
        <v>2020</v>
      </c>
      <c r="C1112" s="372">
        <v>32544159</v>
      </c>
      <c r="D1112" s="92" t="s">
        <v>7987</v>
      </c>
      <c r="E1112" s="261" t="str">
        <f t="shared" si="0"/>
        <v>https://pubmed.ncbi.nlm.nih.gov/32544159</v>
      </c>
      <c r="F1112" s="92" t="s">
        <v>511</v>
      </c>
      <c r="G1112" s="374" t="s">
        <v>4867</v>
      </c>
      <c r="H1112" s="21"/>
      <c r="I1112" s="92"/>
      <c r="J1112" s="92"/>
      <c r="K1112" s="92"/>
      <c r="L1112" s="92"/>
      <c r="M1112" s="92"/>
      <c r="N1112" s="92"/>
      <c r="O1112" s="92"/>
      <c r="P1112" s="92"/>
      <c r="Q1112" s="92"/>
      <c r="R1112" s="92"/>
      <c r="S1112" s="92"/>
      <c r="T1112" s="92"/>
      <c r="U1112" s="92"/>
      <c r="V1112" s="92"/>
      <c r="W1112" s="92"/>
      <c r="X1112" s="92"/>
      <c r="Y1112" s="92"/>
      <c r="Z1112" s="92"/>
    </row>
    <row r="1113" spans="1:26" ht="12.75">
      <c r="A1113" s="92" t="s">
        <v>7988</v>
      </c>
      <c r="B1113" s="372">
        <v>1996</v>
      </c>
      <c r="C1113" s="372">
        <v>8986972</v>
      </c>
      <c r="D1113" s="92"/>
      <c r="E1113" s="261" t="str">
        <f t="shared" si="0"/>
        <v>https://pubmed.ncbi.nlm.nih.gov/8986972</v>
      </c>
      <c r="F1113" s="92" t="s">
        <v>511</v>
      </c>
      <c r="G1113" s="374" t="s">
        <v>4867</v>
      </c>
      <c r="H1113" s="21"/>
      <c r="I1113" s="92"/>
      <c r="J1113" s="92"/>
      <c r="K1113" s="92"/>
      <c r="L1113" s="92"/>
      <c r="M1113" s="92"/>
      <c r="N1113" s="92"/>
      <c r="O1113" s="92"/>
      <c r="P1113" s="92"/>
      <c r="Q1113" s="92"/>
      <c r="R1113" s="92"/>
      <c r="S1113" s="92"/>
      <c r="T1113" s="92"/>
      <c r="U1113" s="92"/>
      <c r="V1113" s="92"/>
      <c r="W1113" s="92"/>
      <c r="X1113" s="92"/>
      <c r="Y1113" s="92"/>
      <c r="Z1113" s="92"/>
    </row>
    <row r="1114" spans="1:26" ht="12.75">
      <c r="A1114" s="92" t="s">
        <v>7989</v>
      </c>
      <c r="B1114" s="372">
        <v>2016</v>
      </c>
      <c r="C1114" s="372">
        <v>26642773</v>
      </c>
      <c r="D1114" s="92"/>
      <c r="E1114" s="261" t="str">
        <f t="shared" si="0"/>
        <v>https://pubmed.ncbi.nlm.nih.gov/26642773</v>
      </c>
      <c r="F1114" s="92" t="s">
        <v>511</v>
      </c>
      <c r="G1114" s="92" t="s">
        <v>4592</v>
      </c>
      <c r="H1114" s="92"/>
      <c r="I1114" s="92"/>
      <c r="J1114" s="92"/>
      <c r="K1114" s="92"/>
      <c r="L1114" s="92"/>
      <c r="M1114" s="92"/>
      <c r="N1114" s="92"/>
      <c r="O1114" s="92"/>
      <c r="P1114" s="92"/>
      <c r="Q1114" s="92"/>
      <c r="R1114" s="92"/>
      <c r="S1114" s="92"/>
      <c r="T1114" s="92"/>
      <c r="U1114" s="92"/>
      <c r="V1114" s="92"/>
      <c r="W1114" s="92"/>
      <c r="X1114" s="92"/>
      <c r="Y1114" s="92"/>
      <c r="Z1114" s="92"/>
    </row>
    <row r="1115" spans="1:26" ht="12.75">
      <c r="A1115" s="92" t="s">
        <v>7990</v>
      </c>
      <c r="B1115" s="372">
        <v>2019</v>
      </c>
      <c r="C1115" s="372">
        <v>31047114</v>
      </c>
      <c r="D1115" s="92" t="s">
        <v>7991</v>
      </c>
      <c r="E1115" s="261" t="str">
        <f t="shared" si="0"/>
        <v>https://pubmed.ncbi.nlm.nih.gov/31047114</v>
      </c>
      <c r="F1115" s="92" t="s">
        <v>511</v>
      </c>
      <c r="G1115" s="374" t="s">
        <v>4744</v>
      </c>
      <c r="H1115" s="21"/>
      <c r="I1115" s="92"/>
      <c r="J1115" s="92"/>
      <c r="K1115" s="92"/>
      <c r="L1115" s="92"/>
      <c r="M1115" s="92"/>
      <c r="N1115" s="92"/>
      <c r="O1115" s="92"/>
      <c r="P1115" s="92"/>
      <c r="Q1115" s="92"/>
      <c r="R1115" s="92"/>
      <c r="S1115" s="92"/>
      <c r="T1115" s="92"/>
      <c r="U1115" s="92"/>
      <c r="V1115" s="92"/>
      <c r="W1115" s="92"/>
      <c r="X1115" s="92"/>
      <c r="Y1115" s="92"/>
      <c r="Z1115" s="92"/>
    </row>
    <row r="1116" spans="1:26" ht="12.75">
      <c r="A1116" s="92" t="s">
        <v>7992</v>
      </c>
      <c r="B1116" s="372">
        <v>2017</v>
      </c>
      <c r="C1116" s="372">
        <v>28086819</v>
      </c>
      <c r="D1116" s="92" t="s">
        <v>7993</v>
      </c>
      <c r="E1116" s="261" t="str">
        <f t="shared" si="0"/>
        <v>https://pubmed.ncbi.nlm.nih.gov/28086819</v>
      </c>
      <c r="F1116" s="92" t="s">
        <v>511</v>
      </c>
      <c r="G1116" s="92" t="s">
        <v>4592</v>
      </c>
      <c r="H1116" s="92"/>
      <c r="I1116" s="92"/>
      <c r="J1116" s="92"/>
      <c r="K1116" s="92"/>
      <c r="L1116" s="92"/>
      <c r="M1116" s="92"/>
      <c r="N1116" s="92"/>
      <c r="O1116" s="92"/>
      <c r="P1116" s="92"/>
      <c r="Q1116" s="92"/>
      <c r="R1116" s="92"/>
      <c r="S1116" s="92"/>
      <c r="T1116" s="92"/>
      <c r="U1116" s="92"/>
      <c r="V1116" s="92"/>
      <c r="W1116" s="92"/>
      <c r="X1116" s="92"/>
      <c r="Y1116" s="92"/>
      <c r="Z1116" s="92"/>
    </row>
    <row r="1117" spans="1:26" ht="12.75">
      <c r="A1117" s="92" t="s">
        <v>7994</v>
      </c>
      <c r="B1117" s="372">
        <v>2006</v>
      </c>
      <c r="C1117" s="372">
        <v>16433809</v>
      </c>
      <c r="D1117" s="92"/>
      <c r="E1117" s="261" t="str">
        <f t="shared" si="0"/>
        <v>https://pubmed.ncbi.nlm.nih.gov/16433809</v>
      </c>
      <c r="F1117" s="92" t="s">
        <v>511</v>
      </c>
      <c r="G1117" s="374" t="s">
        <v>4867</v>
      </c>
      <c r="H1117" s="21"/>
      <c r="I1117" s="92"/>
      <c r="J1117" s="92"/>
      <c r="K1117" s="92"/>
      <c r="L1117" s="92"/>
      <c r="M1117" s="92"/>
      <c r="N1117" s="92"/>
      <c r="O1117" s="92"/>
      <c r="P1117" s="92"/>
      <c r="Q1117" s="92"/>
      <c r="R1117" s="92"/>
      <c r="S1117" s="92"/>
      <c r="T1117" s="92"/>
      <c r="U1117" s="92"/>
      <c r="V1117" s="92"/>
      <c r="W1117" s="92"/>
      <c r="X1117" s="92"/>
      <c r="Y1117" s="92"/>
      <c r="Z1117" s="92"/>
    </row>
    <row r="1118" spans="1:26" ht="12.75">
      <c r="A1118" s="92" t="s">
        <v>7995</v>
      </c>
      <c r="B1118" s="372">
        <v>2018</v>
      </c>
      <c r="C1118" s="372">
        <v>29741289</v>
      </c>
      <c r="D1118" s="92" t="s">
        <v>7996</v>
      </c>
      <c r="E1118" s="261" t="str">
        <f t="shared" si="0"/>
        <v>https://pubmed.ncbi.nlm.nih.gov/29741289</v>
      </c>
      <c r="F1118" s="92" t="s">
        <v>511</v>
      </c>
      <c r="G1118" s="92" t="s">
        <v>4592</v>
      </c>
      <c r="H1118" s="92"/>
      <c r="I1118" s="92"/>
      <c r="J1118" s="92"/>
      <c r="K1118" s="92"/>
      <c r="L1118" s="92"/>
      <c r="M1118" s="92"/>
      <c r="N1118" s="92"/>
      <c r="O1118" s="92"/>
      <c r="P1118" s="92"/>
      <c r="Q1118" s="92"/>
      <c r="R1118" s="92"/>
      <c r="S1118" s="92"/>
      <c r="T1118" s="92"/>
      <c r="U1118" s="92"/>
      <c r="V1118" s="92"/>
      <c r="W1118" s="92"/>
      <c r="X1118" s="92"/>
      <c r="Y1118" s="92"/>
      <c r="Z1118" s="92"/>
    </row>
    <row r="1119" spans="1:26" ht="12.75">
      <c r="A1119" s="92" t="s">
        <v>7997</v>
      </c>
      <c r="B1119" s="372">
        <v>2009</v>
      </c>
      <c r="C1119" s="372">
        <v>19329911</v>
      </c>
      <c r="D1119" s="92"/>
      <c r="E1119" s="261" t="str">
        <f t="shared" si="0"/>
        <v>https://pubmed.ncbi.nlm.nih.gov/19329911</v>
      </c>
      <c r="F1119" s="92" t="s">
        <v>511</v>
      </c>
      <c r="G1119" s="92" t="s">
        <v>4592</v>
      </c>
      <c r="H1119" s="92"/>
      <c r="I1119" s="92"/>
      <c r="J1119" s="92"/>
      <c r="K1119" s="92"/>
      <c r="L1119" s="92"/>
      <c r="M1119" s="92"/>
      <c r="N1119" s="92"/>
      <c r="O1119" s="92"/>
      <c r="P1119" s="92"/>
      <c r="Q1119" s="92"/>
      <c r="R1119" s="92"/>
      <c r="S1119" s="92"/>
      <c r="T1119" s="92"/>
      <c r="U1119" s="92"/>
      <c r="V1119" s="92"/>
      <c r="W1119" s="92"/>
      <c r="X1119" s="92"/>
      <c r="Y1119" s="92"/>
      <c r="Z1119" s="92"/>
    </row>
    <row r="1120" spans="1:26" ht="12.75">
      <c r="A1120" s="92" t="s">
        <v>7998</v>
      </c>
      <c r="B1120" s="372">
        <v>2002</v>
      </c>
      <c r="C1120" s="372">
        <v>11838623</v>
      </c>
      <c r="D1120" s="92"/>
      <c r="E1120" s="261" t="str">
        <f t="shared" si="0"/>
        <v>https://pubmed.ncbi.nlm.nih.gov/11838623</v>
      </c>
      <c r="F1120" s="92" t="s">
        <v>511</v>
      </c>
      <c r="G1120" s="374" t="s">
        <v>4744</v>
      </c>
      <c r="H1120" s="21"/>
      <c r="I1120" s="92"/>
      <c r="J1120" s="92"/>
      <c r="K1120" s="92"/>
      <c r="L1120" s="92"/>
      <c r="M1120" s="92"/>
      <c r="N1120" s="92"/>
      <c r="O1120" s="92"/>
      <c r="P1120" s="92"/>
      <c r="Q1120" s="92"/>
      <c r="R1120" s="92"/>
      <c r="S1120" s="92"/>
      <c r="T1120" s="92"/>
      <c r="U1120" s="92"/>
      <c r="V1120" s="92"/>
      <c r="W1120" s="92"/>
      <c r="X1120" s="92"/>
      <c r="Y1120" s="92"/>
      <c r="Z1120" s="92"/>
    </row>
    <row r="1121" spans="1:26" ht="12.75">
      <c r="A1121" s="92" t="s">
        <v>7999</v>
      </c>
      <c r="B1121" s="372">
        <v>2018</v>
      </c>
      <c r="C1121" s="372">
        <v>29984534</v>
      </c>
      <c r="D1121" s="92"/>
      <c r="E1121" s="261" t="str">
        <f t="shared" si="0"/>
        <v>https://pubmed.ncbi.nlm.nih.gov/29984534</v>
      </c>
      <c r="F1121" s="92" t="s">
        <v>511</v>
      </c>
      <c r="G1121" s="374" t="s">
        <v>8000</v>
      </c>
      <c r="H1121" s="21"/>
      <c r="I1121" s="92"/>
      <c r="J1121" s="92"/>
      <c r="K1121" s="92"/>
      <c r="L1121" s="92"/>
      <c r="M1121" s="92"/>
      <c r="N1121" s="92"/>
      <c r="O1121" s="92"/>
      <c r="P1121" s="92"/>
      <c r="Q1121" s="92"/>
      <c r="R1121" s="92"/>
      <c r="S1121" s="92"/>
      <c r="T1121" s="92"/>
      <c r="U1121" s="92"/>
      <c r="V1121" s="92"/>
      <c r="W1121" s="92"/>
      <c r="X1121" s="92"/>
      <c r="Y1121" s="92"/>
      <c r="Z1121" s="92"/>
    </row>
    <row r="1122" spans="1:26" ht="12.75">
      <c r="A1122" s="92" t="s">
        <v>8001</v>
      </c>
      <c r="B1122" s="372">
        <v>2005</v>
      </c>
      <c r="C1122" s="372">
        <v>16210717</v>
      </c>
      <c r="D1122" s="92"/>
      <c r="E1122" s="261" t="str">
        <f t="shared" si="0"/>
        <v>https://pubmed.ncbi.nlm.nih.gov/16210717</v>
      </c>
      <c r="F1122" s="92" t="s">
        <v>511</v>
      </c>
      <c r="G1122" s="374" t="s">
        <v>4867</v>
      </c>
      <c r="H1122" s="21"/>
      <c r="I1122" s="92"/>
      <c r="J1122" s="92"/>
      <c r="K1122" s="92"/>
      <c r="L1122" s="92"/>
      <c r="M1122" s="92"/>
      <c r="N1122" s="92"/>
      <c r="O1122" s="92"/>
      <c r="P1122" s="92"/>
      <c r="Q1122" s="92"/>
      <c r="R1122" s="92"/>
      <c r="S1122" s="92"/>
      <c r="T1122" s="92"/>
      <c r="U1122" s="92"/>
      <c r="V1122" s="92"/>
      <c r="W1122" s="92"/>
      <c r="X1122" s="92"/>
      <c r="Y1122" s="92"/>
      <c r="Z1122" s="92"/>
    </row>
    <row r="1123" spans="1:26" ht="12.75">
      <c r="A1123" s="92" t="s">
        <v>8002</v>
      </c>
      <c r="B1123" s="372">
        <v>2014</v>
      </c>
      <c r="C1123" s="372">
        <v>24867876</v>
      </c>
      <c r="D1123" s="92" t="s">
        <v>8003</v>
      </c>
      <c r="E1123" s="261" t="str">
        <f t="shared" si="0"/>
        <v>https://pubmed.ncbi.nlm.nih.gov/24867876</v>
      </c>
      <c r="F1123" s="92" t="s">
        <v>511</v>
      </c>
      <c r="G1123" s="92" t="s">
        <v>4592</v>
      </c>
      <c r="H1123" s="92"/>
      <c r="I1123" s="92"/>
      <c r="J1123" s="92"/>
      <c r="K1123" s="92"/>
      <c r="L1123" s="92"/>
      <c r="M1123" s="92"/>
      <c r="N1123" s="92"/>
      <c r="O1123" s="92"/>
      <c r="P1123" s="92"/>
      <c r="Q1123" s="92"/>
      <c r="R1123" s="92"/>
      <c r="S1123" s="92"/>
      <c r="T1123" s="92"/>
      <c r="U1123" s="92"/>
      <c r="V1123" s="92"/>
      <c r="W1123" s="92"/>
      <c r="X1123" s="92"/>
      <c r="Y1123" s="92"/>
      <c r="Z1123" s="92"/>
    </row>
    <row r="1124" spans="1:26" ht="12.75">
      <c r="A1124" s="92" t="s">
        <v>8004</v>
      </c>
      <c r="B1124" s="372">
        <v>2020</v>
      </c>
      <c r="C1124" s="372">
        <v>32034016</v>
      </c>
      <c r="D1124" s="92" t="s">
        <v>8005</v>
      </c>
      <c r="E1124" s="261" t="str">
        <f t="shared" si="0"/>
        <v>https://pubmed.ncbi.nlm.nih.gov/32034016</v>
      </c>
      <c r="F1124" s="92" t="s">
        <v>511</v>
      </c>
      <c r="G1124" s="374" t="s">
        <v>4744</v>
      </c>
      <c r="H1124" s="21"/>
      <c r="I1124" s="92"/>
      <c r="J1124" s="92"/>
      <c r="K1124" s="92"/>
      <c r="L1124" s="92"/>
      <c r="M1124" s="92"/>
      <c r="N1124" s="92"/>
      <c r="O1124" s="92"/>
      <c r="P1124" s="92"/>
      <c r="Q1124" s="92"/>
      <c r="R1124" s="92"/>
      <c r="S1124" s="92"/>
      <c r="T1124" s="92"/>
      <c r="U1124" s="92"/>
      <c r="V1124" s="92"/>
      <c r="W1124" s="92"/>
      <c r="X1124" s="92"/>
      <c r="Y1124" s="92"/>
      <c r="Z1124" s="92"/>
    </row>
    <row r="1125" spans="1:26" ht="12.75">
      <c r="A1125" s="92" t="s">
        <v>8006</v>
      </c>
      <c r="B1125" s="372">
        <v>2016</v>
      </c>
      <c r="C1125" s="372">
        <v>26516810</v>
      </c>
      <c r="D1125" s="92" t="s">
        <v>8007</v>
      </c>
      <c r="E1125" s="261" t="str">
        <f t="shared" si="0"/>
        <v>https://pubmed.ncbi.nlm.nih.gov/26516810</v>
      </c>
      <c r="F1125" s="92" t="s">
        <v>511</v>
      </c>
      <c r="G1125" s="374" t="s">
        <v>5157</v>
      </c>
      <c r="H1125" s="21"/>
      <c r="I1125" s="21"/>
      <c r="J1125" s="92"/>
      <c r="K1125" s="92"/>
      <c r="L1125" s="92"/>
      <c r="M1125" s="92"/>
      <c r="N1125" s="92"/>
      <c r="O1125" s="92"/>
      <c r="P1125" s="92"/>
      <c r="Q1125" s="92"/>
      <c r="R1125" s="92"/>
      <c r="S1125" s="92"/>
      <c r="T1125" s="92"/>
      <c r="U1125" s="92"/>
      <c r="V1125" s="92"/>
      <c r="W1125" s="92"/>
      <c r="X1125" s="92"/>
      <c r="Y1125" s="92"/>
      <c r="Z1125" s="92"/>
    </row>
    <row r="1126" spans="1:26" ht="12.75">
      <c r="A1126" s="92" t="s">
        <v>8008</v>
      </c>
      <c r="B1126" s="372">
        <v>2019</v>
      </c>
      <c r="C1126" s="372">
        <v>31470092</v>
      </c>
      <c r="D1126" s="92"/>
      <c r="E1126" s="261" t="str">
        <f t="shared" si="0"/>
        <v>https://pubmed.ncbi.nlm.nih.gov/31470092</v>
      </c>
      <c r="F1126" s="92" t="s">
        <v>511</v>
      </c>
      <c r="G1126" s="92" t="s">
        <v>4592</v>
      </c>
      <c r="H1126" s="92"/>
      <c r="I1126" s="92"/>
      <c r="J1126" s="92"/>
      <c r="K1126" s="92"/>
      <c r="L1126" s="92"/>
      <c r="M1126" s="92"/>
      <c r="N1126" s="92"/>
      <c r="O1126" s="92"/>
      <c r="P1126" s="92"/>
      <c r="Q1126" s="92"/>
      <c r="R1126" s="92"/>
      <c r="S1126" s="92"/>
      <c r="T1126" s="92"/>
      <c r="U1126" s="92"/>
      <c r="V1126" s="92"/>
      <c r="W1126" s="92"/>
      <c r="X1126" s="92"/>
      <c r="Y1126" s="92"/>
      <c r="Z1126" s="92"/>
    </row>
    <row r="1127" spans="1:26" ht="12.75">
      <c r="A1127" s="92" t="s">
        <v>8009</v>
      </c>
      <c r="B1127" s="372">
        <v>2011</v>
      </c>
      <c r="C1127" s="372">
        <v>21428765</v>
      </c>
      <c r="D1127" s="92"/>
      <c r="E1127" s="261" t="str">
        <f t="shared" si="0"/>
        <v>https://pubmed.ncbi.nlm.nih.gov/21428765</v>
      </c>
      <c r="F1127" s="92" t="s">
        <v>511</v>
      </c>
      <c r="G1127" s="374" t="s">
        <v>5157</v>
      </c>
      <c r="H1127" s="21"/>
      <c r="I1127" s="21"/>
      <c r="J1127" s="92"/>
      <c r="K1127" s="92"/>
      <c r="L1127" s="92"/>
      <c r="M1127" s="92"/>
      <c r="N1127" s="92"/>
      <c r="O1127" s="92"/>
      <c r="P1127" s="92"/>
      <c r="Q1127" s="92"/>
      <c r="R1127" s="92"/>
      <c r="S1127" s="92"/>
      <c r="T1127" s="92"/>
      <c r="U1127" s="92"/>
      <c r="V1127" s="92"/>
      <c r="W1127" s="92"/>
      <c r="X1127" s="92"/>
      <c r="Y1127" s="92"/>
      <c r="Z1127" s="92"/>
    </row>
    <row r="1128" spans="1:26" ht="12.75">
      <c r="A1128" s="92" t="s">
        <v>8010</v>
      </c>
      <c r="B1128" s="372">
        <v>2015</v>
      </c>
      <c r="C1128" s="372">
        <v>26100123</v>
      </c>
      <c r="D1128" s="92" t="s">
        <v>8011</v>
      </c>
      <c r="E1128" s="261" t="str">
        <f t="shared" si="0"/>
        <v>https://pubmed.ncbi.nlm.nih.gov/26100123</v>
      </c>
      <c r="F1128" s="92" t="s">
        <v>511</v>
      </c>
      <c r="G1128" s="92" t="s">
        <v>5273</v>
      </c>
      <c r="H1128" s="92"/>
      <c r="I1128" s="92"/>
      <c r="J1128" s="92"/>
      <c r="K1128" s="92"/>
      <c r="L1128" s="92"/>
      <c r="M1128" s="92"/>
      <c r="N1128" s="92"/>
      <c r="O1128" s="92"/>
      <c r="P1128" s="92"/>
      <c r="Q1128" s="92"/>
      <c r="R1128" s="92"/>
      <c r="S1128" s="92"/>
      <c r="T1128" s="92"/>
      <c r="U1128" s="92"/>
      <c r="V1128" s="92"/>
      <c r="W1128" s="92"/>
      <c r="X1128" s="92"/>
      <c r="Y1128" s="92"/>
      <c r="Z1128" s="92"/>
    </row>
    <row r="1129" spans="1:26" ht="12.75">
      <c r="A1129" s="92" t="s">
        <v>8012</v>
      </c>
      <c r="B1129" s="372">
        <v>2013</v>
      </c>
      <c r="C1129" s="372">
        <v>23731986</v>
      </c>
      <c r="D1129" s="92" t="s">
        <v>8013</v>
      </c>
      <c r="E1129" s="261" t="str">
        <f t="shared" si="0"/>
        <v>https://pubmed.ncbi.nlm.nih.gov/23731986</v>
      </c>
      <c r="F1129" s="92" t="s">
        <v>511</v>
      </c>
      <c r="G1129" s="374" t="s">
        <v>4867</v>
      </c>
      <c r="H1129" s="21"/>
      <c r="I1129" s="92"/>
      <c r="J1129" s="92"/>
      <c r="K1129" s="92"/>
      <c r="L1129" s="92"/>
      <c r="M1129" s="92"/>
      <c r="N1129" s="92"/>
      <c r="O1129" s="92"/>
      <c r="P1129" s="92"/>
      <c r="Q1129" s="92"/>
      <c r="R1129" s="92"/>
      <c r="S1129" s="92"/>
      <c r="T1129" s="92"/>
      <c r="U1129" s="92"/>
      <c r="V1129" s="92"/>
      <c r="W1129" s="92"/>
      <c r="X1129" s="92"/>
      <c r="Y1129" s="92"/>
      <c r="Z1129" s="92"/>
    </row>
    <row r="1130" spans="1:26" ht="12.75">
      <c r="A1130" s="92" t="s">
        <v>8014</v>
      </c>
      <c r="B1130" s="372">
        <v>2011</v>
      </c>
      <c r="C1130" s="372">
        <v>21562405</v>
      </c>
      <c r="D1130" s="92"/>
      <c r="E1130" s="261" t="str">
        <f t="shared" si="0"/>
        <v>https://pubmed.ncbi.nlm.nih.gov/21562405</v>
      </c>
      <c r="F1130" s="92" t="s">
        <v>511</v>
      </c>
      <c r="G1130" s="374" t="s">
        <v>4744</v>
      </c>
      <c r="H1130" s="21"/>
      <c r="I1130" s="92"/>
      <c r="J1130" s="92"/>
      <c r="K1130" s="92"/>
      <c r="L1130" s="92"/>
      <c r="M1130" s="92"/>
      <c r="N1130" s="92"/>
      <c r="O1130" s="92"/>
      <c r="P1130" s="92"/>
      <c r="Q1130" s="92"/>
      <c r="R1130" s="92"/>
      <c r="S1130" s="92"/>
      <c r="T1130" s="92"/>
      <c r="U1130" s="92"/>
      <c r="V1130" s="92"/>
      <c r="W1130" s="92"/>
      <c r="X1130" s="92"/>
      <c r="Y1130" s="92"/>
      <c r="Z1130" s="92"/>
    </row>
    <row r="1131" spans="1:26" ht="12.75">
      <c r="A1131" s="92" t="s">
        <v>8015</v>
      </c>
      <c r="B1131" s="372">
        <v>2019</v>
      </c>
      <c r="C1131" s="372">
        <v>30482392</v>
      </c>
      <c r="D1131" s="92"/>
      <c r="E1131" s="261" t="str">
        <f t="shared" si="0"/>
        <v>https://pubmed.ncbi.nlm.nih.gov/30482392</v>
      </c>
      <c r="F1131" s="92" t="s">
        <v>511</v>
      </c>
      <c r="G1131" s="374" t="s">
        <v>4744</v>
      </c>
      <c r="H1131" s="21"/>
      <c r="I1131" s="92"/>
      <c r="J1131" s="92"/>
      <c r="K1131" s="92"/>
      <c r="L1131" s="92"/>
      <c r="M1131" s="92"/>
      <c r="N1131" s="92"/>
      <c r="O1131" s="92"/>
      <c r="P1131" s="92"/>
      <c r="Q1131" s="92"/>
      <c r="R1131" s="92"/>
      <c r="S1131" s="92"/>
      <c r="T1131" s="92"/>
      <c r="U1131" s="92"/>
      <c r="V1131" s="92"/>
      <c r="W1131" s="92"/>
      <c r="X1131" s="92"/>
      <c r="Y1131" s="92"/>
      <c r="Z1131" s="92"/>
    </row>
    <row r="1132" spans="1:26" ht="12.75">
      <c r="A1132" s="92" t="s">
        <v>8016</v>
      </c>
      <c r="B1132" s="372">
        <v>2021</v>
      </c>
      <c r="C1132" s="372">
        <v>33306989</v>
      </c>
      <c r="D1132" s="92" t="s">
        <v>8017</v>
      </c>
      <c r="E1132" s="261" t="str">
        <f t="shared" si="0"/>
        <v>https://pubmed.ncbi.nlm.nih.gov/33306989</v>
      </c>
      <c r="F1132" s="92" t="s">
        <v>511</v>
      </c>
      <c r="G1132" s="374" t="s">
        <v>6412</v>
      </c>
      <c r="H1132" s="21"/>
      <c r="I1132" s="92"/>
      <c r="J1132" s="92"/>
      <c r="K1132" s="92"/>
      <c r="L1132" s="92"/>
      <c r="M1132" s="92"/>
      <c r="N1132" s="92"/>
      <c r="O1132" s="92"/>
      <c r="P1132" s="92"/>
      <c r="Q1132" s="92"/>
      <c r="R1132" s="92"/>
      <c r="S1132" s="92"/>
      <c r="T1132" s="92"/>
      <c r="U1132" s="92"/>
      <c r="V1132" s="92"/>
      <c r="W1132" s="92"/>
      <c r="X1132" s="92"/>
      <c r="Y1132" s="92"/>
      <c r="Z1132" s="92"/>
    </row>
    <row r="1133" spans="1:26" ht="12.75">
      <c r="A1133" s="92" t="s">
        <v>8018</v>
      </c>
      <c r="B1133" s="372">
        <v>2009</v>
      </c>
      <c r="C1133" s="372">
        <v>20021340</v>
      </c>
      <c r="D1133" s="92"/>
      <c r="E1133" s="261" t="str">
        <f t="shared" si="0"/>
        <v>https://pubmed.ncbi.nlm.nih.gov/20021340</v>
      </c>
      <c r="F1133" s="92" t="s">
        <v>511</v>
      </c>
      <c r="G1133" s="374" t="s">
        <v>8019</v>
      </c>
      <c r="H1133" s="21"/>
      <c r="I1133" s="92"/>
      <c r="J1133" s="92"/>
      <c r="K1133" s="92"/>
      <c r="L1133" s="92"/>
      <c r="M1133" s="92"/>
      <c r="N1133" s="92"/>
      <c r="O1133" s="92"/>
      <c r="P1133" s="92"/>
      <c r="Q1133" s="92"/>
      <c r="R1133" s="92"/>
      <c r="S1133" s="92"/>
      <c r="T1133" s="92"/>
      <c r="U1133" s="92"/>
      <c r="V1133" s="92"/>
      <c r="W1133" s="92"/>
      <c r="X1133" s="92"/>
      <c r="Y1133" s="92"/>
      <c r="Z1133" s="92"/>
    </row>
    <row r="1134" spans="1:26" ht="12.75">
      <c r="A1134" s="92" t="s">
        <v>8020</v>
      </c>
      <c r="B1134" s="372">
        <v>2010</v>
      </c>
      <c r="C1134" s="372">
        <v>20847149</v>
      </c>
      <c r="D1134" s="92" t="s">
        <v>8021</v>
      </c>
      <c r="E1134" s="261" t="str">
        <f t="shared" si="0"/>
        <v>https://pubmed.ncbi.nlm.nih.gov/20847149</v>
      </c>
      <c r="F1134" s="92" t="s">
        <v>511</v>
      </c>
      <c r="G1134" s="374" t="s">
        <v>5157</v>
      </c>
      <c r="H1134" s="21"/>
      <c r="I1134" s="21"/>
      <c r="J1134" s="92"/>
      <c r="K1134" s="92"/>
      <c r="L1134" s="92"/>
      <c r="M1134" s="92"/>
      <c r="N1134" s="92"/>
      <c r="O1134" s="92"/>
      <c r="P1134" s="92"/>
      <c r="Q1134" s="92"/>
      <c r="R1134" s="92"/>
      <c r="S1134" s="92"/>
      <c r="T1134" s="92"/>
      <c r="U1134" s="92"/>
      <c r="V1134" s="92"/>
      <c r="W1134" s="92"/>
      <c r="X1134" s="92"/>
      <c r="Y1134" s="92"/>
      <c r="Z1134" s="92"/>
    </row>
    <row r="1135" spans="1:26" ht="12.75">
      <c r="A1135" s="92" t="s">
        <v>480</v>
      </c>
      <c r="B1135" s="372">
        <v>2019</v>
      </c>
      <c r="C1135" s="372">
        <v>30787276</v>
      </c>
      <c r="D1135" s="92" t="s">
        <v>8022</v>
      </c>
      <c r="E1135" s="376" t="str">
        <f t="shared" si="0"/>
        <v>https://pubmed.ncbi.nlm.nih.gov/30787276</v>
      </c>
      <c r="F1135" s="21"/>
      <c r="G1135" s="92"/>
      <c r="H1135" s="92" t="s">
        <v>511</v>
      </c>
      <c r="I1135" s="92"/>
      <c r="J1135" s="92"/>
      <c r="K1135" s="92"/>
      <c r="L1135" s="92"/>
      <c r="M1135" s="92"/>
      <c r="N1135" s="92"/>
      <c r="O1135" s="92"/>
      <c r="P1135" s="92"/>
      <c r="Q1135" s="92"/>
      <c r="R1135" s="92"/>
      <c r="S1135" s="92"/>
      <c r="T1135" s="92"/>
      <c r="U1135" s="92"/>
      <c r="V1135" s="92"/>
      <c r="W1135" s="92"/>
      <c r="X1135" s="92"/>
      <c r="Y1135" s="92"/>
      <c r="Z1135" s="92"/>
    </row>
    <row r="1136" spans="1:26" ht="12.75">
      <c r="A1136" s="92" t="s">
        <v>8023</v>
      </c>
      <c r="B1136" s="372">
        <v>2010</v>
      </c>
      <c r="C1136" s="372">
        <v>20347483</v>
      </c>
      <c r="D1136" s="92" t="s">
        <v>8024</v>
      </c>
      <c r="E1136" s="261" t="str">
        <f t="shared" si="0"/>
        <v>https://pubmed.ncbi.nlm.nih.gov/20347483</v>
      </c>
      <c r="F1136" s="92" t="s">
        <v>511</v>
      </c>
      <c r="G1136" s="374" t="s">
        <v>4744</v>
      </c>
      <c r="H1136" s="21"/>
      <c r="I1136" s="92"/>
      <c r="J1136" s="92"/>
      <c r="K1136" s="92"/>
      <c r="L1136" s="92"/>
      <c r="M1136" s="92"/>
      <c r="N1136" s="92"/>
      <c r="O1136" s="92"/>
      <c r="P1136" s="92"/>
      <c r="Q1136" s="92"/>
      <c r="R1136" s="92"/>
      <c r="S1136" s="92"/>
      <c r="T1136" s="92"/>
      <c r="U1136" s="92"/>
      <c r="V1136" s="92"/>
      <c r="W1136" s="92"/>
      <c r="X1136" s="92"/>
      <c r="Y1136" s="92"/>
      <c r="Z1136" s="92"/>
    </row>
    <row r="1137" spans="1:26" ht="12.75">
      <c r="A1137" s="92" t="s">
        <v>8025</v>
      </c>
      <c r="B1137" s="372">
        <v>2014</v>
      </c>
      <c r="C1137" s="372">
        <v>25175097</v>
      </c>
      <c r="D1137" s="92"/>
      <c r="E1137" s="261" t="str">
        <f t="shared" si="0"/>
        <v>https://pubmed.ncbi.nlm.nih.gov/25175097</v>
      </c>
      <c r="F1137" s="92" t="s">
        <v>511</v>
      </c>
      <c r="G1137" s="374" t="s">
        <v>5299</v>
      </c>
      <c r="H1137" s="21"/>
      <c r="I1137" s="92"/>
      <c r="J1137" s="92"/>
      <c r="K1137" s="92"/>
      <c r="L1137" s="92"/>
      <c r="M1137" s="92"/>
      <c r="N1137" s="92"/>
      <c r="O1137" s="92"/>
      <c r="P1137" s="92"/>
      <c r="Q1137" s="92"/>
      <c r="R1137" s="92"/>
      <c r="S1137" s="92"/>
      <c r="T1137" s="92"/>
      <c r="U1137" s="92"/>
      <c r="V1137" s="92"/>
      <c r="W1137" s="92"/>
      <c r="X1137" s="92"/>
      <c r="Y1137" s="92"/>
      <c r="Z1137" s="92"/>
    </row>
    <row r="1138" spans="1:26" ht="12.75">
      <c r="A1138" s="92" t="s">
        <v>8026</v>
      </c>
      <c r="B1138" s="372">
        <v>2020</v>
      </c>
      <c r="C1138" s="372">
        <v>31927782</v>
      </c>
      <c r="D1138" s="92" t="s">
        <v>8027</v>
      </c>
      <c r="E1138" s="261" t="str">
        <f t="shared" si="0"/>
        <v>https://pubmed.ncbi.nlm.nih.gov/31927782</v>
      </c>
      <c r="F1138" s="92" t="s">
        <v>511</v>
      </c>
      <c r="G1138" s="92" t="s">
        <v>8412</v>
      </c>
      <c r="H1138" s="92"/>
      <c r="I1138" s="92"/>
      <c r="J1138" s="92"/>
      <c r="K1138" s="92"/>
      <c r="L1138" s="92"/>
      <c r="M1138" s="92"/>
      <c r="N1138" s="92"/>
      <c r="O1138" s="92"/>
      <c r="P1138" s="92"/>
      <c r="Q1138" s="92"/>
      <c r="R1138" s="92"/>
      <c r="S1138" s="92"/>
      <c r="T1138" s="92"/>
      <c r="U1138" s="92"/>
      <c r="V1138" s="92"/>
      <c r="W1138" s="92"/>
      <c r="X1138" s="92"/>
      <c r="Y1138" s="92"/>
      <c r="Z1138" s="92"/>
    </row>
    <row r="1139" spans="1:26" ht="12.75">
      <c r="A1139" s="92" t="s">
        <v>8028</v>
      </c>
      <c r="B1139" s="372">
        <v>2016</v>
      </c>
      <c r="C1139" s="372">
        <v>26501852</v>
      </c>
      <c r="D1139" s="92"/>
      <c r="E1139" s="261" t="str">
        <f t="shared" si="0"/>
        <v>https://pubmed.ncbi.nlm.nih.gov/26501852</v>
      </c>
      <c r="F1139" s="92" t="s">
        <v>511</v>
      </c>
      <c r="G1139" s="92" t="s">
        <v>4592</v>
      </c>
      <c r="H1139" s="92"/>
      <c r="I1139" s="92"/>
      <c r="J1139" s="92"/>
      <c r="K1139" s="92"/>
      <c r="L1139" s="92"/>
      <c r="M1139" s="92"/>
      <c r="N1139" s="92"/>
      <c r="O1139" s="92"/>
      <c r="P1139" s="92"/>
      <c r="Q1139" s="92"/>
      <c r="R1139" s="92"/>
      <c r="S1139" s="92"/>
      <c r="T1139" s="92"/>
      <c r="U1139" s="92"/>
      <c r="V1139" s="92"/>
      <c r="W1139" s="92"/>
      <c r="X1139" s="92"/>
      <c r="Y1139" s="92"/>
      <c r="Z1139" s="92"/>
    </row>
    <row r="1140" spans="1:26" ht="12.75">
      <c r="A1140" s="92" t="s">
        <v>8029</v>
      </c>
      <c r="B1140" s="372">
        <v>2011</v>
      </c>
      <c r="C1140" s="372">
        <v>21056523</v>
      </c>
      <c r="D1140" s="92"/>
      <c r="E1140" s="261" t="str">
        <f t="shared" si="0"/>
        <v>https://pubmed.ncbi.nlm.nih.gov/21056523</v>
      </c>
      <c r="F1140" s="92" t="s">
        <v>511</v>
      </c>
      <c r="G1140" s="92" t="s">
        <v>4592</v>
      </c>
      <c r="H1140" s="92"/>
      <c r="I1140" s="92"/>
      <c r="J1140" s="92"/>
      <c r="K1140" s="92"/>
      <c r="L1140" s="92"/>
      <c r="M1140" s="92"/>
      <c r="N1140" s="92"/>
      <c r="O1140" s="92"/>
      <c r="P1140" s="92"/>
      <c r="Q1140" s="92"/>
      <c r="R1140" s="92"/>
      <c r="S1140" s="92"/>
      <c r="T1140" s="92"/>
      <c r="U1140" s="92"/>
      <c r="V1140" s="92"/>
      <c r="W1140" s="92"/>
      <c r="X1140" s="92"/>
      <c r="Y1140" s="92"/>
      <c r="Z1140" s="92"/>
    </row>
    <row r="1141" spans="1:26" ht="12.75">
      <c r="A1141" s="92" t="s">
        <v>8030</v>
      </c>
      <c r="B1141" s="372">
        <v>2014</v>
      </c>
      <c r="C1141" s="372">
        <v>25318353</v>
      </c>
      <c r="D1141" s="92" t="s">
        <v>8031</v>
      </c>
      <c r="E1141" s="261" t="str">
        <f t="shared" si="0"/>
        <v>https://pubmed.ncbi.nlm.nih.gov/25318353</v>
      </c>
      <c r="F1141" s="92" t="s">
        <v>511</v>
      </c>
      <c r="G1141" s="92" t="s">
        <v>5273</v>
      </c>
      <c r="H1141" s="92"/>
      <c r="I1141" s="92"/>
      <c r="J1141" s="92"/>
      <c r="K1141" s="92"/>
      <c r="L1141" s="92"/>
      <c r="M1141" s="92"/>
      <c r="N1141" s="92"/>
      <c r="O1141" s="92"/>
      <c r="P1141" s="92"/>
      <c r="Q1141" s="92"/>
      <c r="R1141" s="92"/>
      <c r="S1141" s="92"/>
      <c r="T1141" s="92"/>
      <c r="U1141" s="92"/>
      <c r="V1141" s="92"/>
      <c r="W1141" s="92"/>
      <c r="X1141" s="92"/>
      <c r="Y1141" s="92"/>
      <c r="Z1141" s="92"/>
    </row>
    <row r="1142" spans="1:26" ht="12.75">
      <c r="A1142" s="92" t="s">
        <v>8032</v>
      </c>
      <c r="B1142" s="372">
        <v>2016</v>
      </c>
      <c r="C1142" s="372">
        <v>27930518</v>
      </c>
      <c r="D1142" s="92" t="s">
        <v>8033</v>
      </c>
      <c r="E1142" s="261" t="str">
        <f t="shared" si="0"/>
        <v>https://pubmed.ncbi.nlm.nih.gov/27930518</v>
      </c>
      <c r="F1142" s="92" t="s">
        <v>511</v>
      </c>
      <c r="G1142" s="374" t="s">
        <v>5157</v>
      </c>
      <c r="H1142" s="21"/>
      <c r="I1142" s="21"/>
      <c r="J1142" s="92"/>
      <c r="K1142" s="92"/>
      <c r="L1142" s="92"/>
      <c r="M1142" s="92"/>
      <c r="N1142" s="92"/>
      <c r="O1142" s="92"/>
      <c r="P1142" s="92"/>
      <c r="Q1142" s="92"/>
      <c r="R1142" s="92"/>
      <c r="S1142" s="92"/>
      <c r="T1142" s="92"/>
      <c r="U1142" s="92"/>
      <c r="V1142" s="92"/>
      <c r="W1142" s="92"/>
      <c r="X1142" s="92"/>
      <c r="Y1142" s="92"/>
      <c r="Z1142" s="92"/>
    </row>
    <row r="1143" spans="1:26" ht="12.75">
      <c r="A1143" s="92" t="s">
        <v>8034</v>
      </c>
      <c r="B1143" s="372">
        <v>2012</v>
      </c>
      <c r="C1143" s="372">
        <v>22170311</v>
      </c>
      <c r="D1143" s="92"/>
      <c r="E1143" s="261" t="str">
        <f t="shared" si="0"/>
        <v>https://pubmed.ncbi.nlm.nih.gov/22170311</v>
      </c>
      <c r="F1143" s="92" t="s">
        <v>511</v>
      </c>
      <c r="G1143" s="374" t="s">
        <v>8035</v>
      </c>
      <c r="H1143" s="21"/>
      <c r="I1143" s="92"/>
      <c r="J1143" s="92"/>
      <c r="K1143" s="92"/>
      <c r="L1143" s="92"/>
      <c r="M1143" s="92"/>
      <c r="N1143" s="92"/>
      <c r="O1143" s="92"/>
      <c r="P1143" s="92"/>
      <c r="Q1143" s="92"/>
      <c r="R1143" s="92"/>
      <c r="S1143" s="92"/>
      <c r="T1143" s="92"/>
      <c r="U1143" s="92"/>
      <c r="V1143" s="92"/>
      <c r="W1143" s="92"/>
      <c r="X1143" s="92"/>
      <c r="Y1143" s="92"/>
      <c r="Z1143" s="92"/>
    </row>
    <row r="1144" spans="1:26" ht="12.75">
      <c r="A1144" s="92" t="s">
        <v>8036</v>
      </c>
      <c r="B1144" s="372">
        <v>2016</v>
      </c>
      <c r="C1144" s="372">
        <v>27529553</v>
      </c>
      <c r="D1144" s="92" t="s">
        <v>8037</v>
      </c>
      <c r="E1144" s="261" t="str">
        <f t="shared" si="0"/>
        <v>https://pubmed.ncbi.nlm.nih.gov/27529553</v>
      </c>
      <c r="F1144" s="92" t="s">
        <v>511</v>
      </c>
      <c r="G1144" s="92" t="s">
        <v>5273</v>
      </c>
      <c r="H1144" s="92"/>
      <c r="I1144" s="92"/>
      <c r="J1144" s="92"/>
      <c r="K1144" s="92"/>
      <c r="L1144" s="92"/>
      <c r="M1144" s="92"/>
      <c r="N1144" s="92"/>
      <c r="O1144" s="92"/>
      <c r="P1144" s="92"/>
      <c r="Q1144" s="92"/>
      <c r="R1144" s="92"/>
      <c r="S1144" s="92"/>
      <c r="T1144" s="92"/>
      <c r="U1144" s="92"/>
      <c r="V1144" s="92"/>
      <c r="W1144" s="92"/>
      <c r="X1144" s="92"/>
      <c r="Y1144" s="92"/>
      <c r="Z1144" s="92"/>
    </row>
    <row r="1145" spans="1:26" ht="12.75">
      <c r="A1145" s="92" t="s">
        <v>8038</v>
      </c>
      <c r="B1145" s="372">
        <v>2015</v>
      </c>
      <c r="C1145" s="372">
        <v>26355086</v>
      </c>
      <c r="D1145" s="92" t="s">
        <v>8039</v>
      </c>
      <c r="E1145" s="261" t="str">
        <f t="shared" si="0"/>
        <v>https://pubmed.ncbi.nlm.nih.gov/26355086</v>
      </c>
      <c r="F1145" s="92" t="s">
        <v>511</v>
      </c>
      <c r="G1145" s="374" t="s">
        <v>8040</v>
      </c>
      <c r="H1145" s="21"/>
      <c r="I1145" s="92"/>
      <c r="J1145" s="92"/>
      <c r="K1145" s="92"/>
      <c r="L1145" s="92"/>
      <c r="M1145" s="92"/>
      <c r="N1145" s="92"/>
      <c r="O1145" s="92"/>
      <c r="P1145" s="92"/>
      <c r="Q1145" s="92"/>
      <c r="R1145" s="92"/>
      <c r="S1145" s="92"/>
      <c r="T1145" s="92"/>
      <c r="U1145" s="92"/>
      <c r="V1145" s="92"/>
      <c r="W1145" s="92"/>
      <c r="X1145" s="92"/>
      <c r="Y1145" s="92"/>
      <c r="Z1145" s="92"/>
    </row>
    <row r="1146" spans="1:26" ht="12.75">
      <c r="A1146" s="92" t="s">
        <v>8041</v>
      </c>
      <c r="B1146" s="372">
        <v>2020</v>
      </c>
      <c r="C1146" s="372">
        <v>32423584</v>
      </c>
      <c r="D1146" s="92" t="s">
        <v>8042</v>
      </c>
      <c r="E1146" s="261" t="str">
        <f t="shared" si="0"/>
        <v>https://pubmed.ncbi.nlm.nih.gov/32423584</v>
      </c>
      <c r="F1146" s="92" t="s">
        <v>511</v>
      </c>
      <c r="G1146" s="374" t="s">
        <v>4744</v>
      </c>
      <c r="H1146" s="21"/>
      <c r="I1146" s="92"/>
      <c r="J1146" s="92"/>
      <c r="K1146" s="92"/>
      <c r="L1146" s="92"/>
      <c r="M1146" s="92"/>
      <c r="N1146" s="92"/>
      <c r="O1146" s="92"/>
      <c r="P1146" s="92"/>
      <c r="Q1146" s="92"/>
      <c r="R1146" s="92"/>
      <c r="S1146" s="92"/>
      <c r="T1146" s="92"/>
      <c r="U1146" s="92"/>
      <c r="V1146" s="92"/>
      <c r="W1146" s="92"/>
      <c r="X1146" s="92"/>
      <c r="Y1146" s="92"/>
      <c r="Z1146" s="92"/>
    </row>
    <row r="1147" spans="1:26" ht="12.75">
      <c r="A1147" s="92" t="s">
        <v>8041</v>
      </c>
      <c r="B1147" s="372">
        <v>2016</v>
      </c>
      <c r="C1147" s="372">
        <v>27824918</v>
      </c>
      <c r="D1147" s="92" t="s">
        <v>8043</v>
      </c>
      <c r="E1147" s="261" t="str">
        <f t="shared" si="0"/>
        <v>https://pubmed.ncbi.nlm.nih.gov/27824918</v>
      </c>
      <c r="F1147" s="92" t="s">
        <v>511</v>
      </c>
      <c r="G1147" s="374" t="s">
        <v>8044</v>
      </c>
      <c r="H1147" s="21"/>
      <c r="I1147" s="92"/>
      <c r="J1147" s="92"/>
      <c r="K1147" s="92"/>
      <c r="L1147" s="92"/>
      <c r="M1147" s="92"/>
      <c r="N1147" s="92"/>
      <c r="O1147" s="92"/>
      <c r="P1147" s="92"/>
      <c r="Q1147" s="92"/>
      <c r="R1147" s="92"/>
      <c r="S1147" s="92"/>
      <c r="T1147" s="92"/>
      <c r="U1147" s="92"/>
      <c r="V1147" s="92"/>
      <c r="W1147" s="92"/>
      <c r="X1147" s="92"/>
      <c r="Y1147" s="92"/>
      <c r="Z1147" s="92"/>
    </row>
    <row r="1148" spans="1:26" ht="12.75">
      <c r="A1148" s="92" t="s">
        <v>8041</v>
      </c>
      <c r="B1148" s="372">
        <v>2015</v>
      </c>
      <c r="C1148" s="372">
        <v>26263042</v>
      </c>
      <c r="D1148" s="92" t="s">
        <v>8045</v>
      </c>
      <c r="E1148" s="261" t="str">
        <f t="shared" si="0"/>
        <v>https://pubmed.ncbi.nlm.nih.gov/26263042</v>
      </c>
      <c r="F1148" s="92" t="s">
        <v>511</v>
      </c>
      <c r="G1148" s="92" t="s">
        <v>4592</v>
      </c>
      <c r="H1148" s="92"/>
      <c r="I1148" s="92"/>
      <c r="J1148" s="92"/>
      <c r="K1148" s="92"/>
      <c r="L1148" s="92"/>
      <c r="M1148" s="92"/>
      <c r="N1148" s="92"/>
      <c r="O1148" s="92"/>
      <c r="P1148" s="92"/>
      <c r="Q1148" s="92"/>
      <c r="R1148" s="92"/>
      <c r="S1148" s="92"/>
      <c r="T1148" s="92"/>
      <c r="U1148" s="92"/>
      <c r="V1148" s="92"/>
      <c r="W1148" s="92"/>
      <c r="X1148" s="92"/>
      <c r="Y1148" s="92"/>
      <c r="Z1148" s="92"/>
    </row>
    <row r="1149" spans="1:26" ht="12.75">
      <c r="A1149" s="92" t="s">
        <v>8046</v>
      </c>
      <c r="B1149" s="372">
        <v>2019</v>
      </c>
      <c r="C1149" s="372">
        <v>30850411</v>
      </c>
      <c r="D1149" s="92" t="s">
        <v>8047</v>
      </c>
      <c r="E1149" s="261" t="str">
        <f t="shared" si="0"/>
        <v>https://pubmed.ncbi.nlm.nih.gov/30850411</v>
      </c>
      <c r="F1149" s="92" t="s">
        <v>511</v>
      </c>
      <c r="G1149" s="374" t="s">
        <v>4867</v>
      </c>
      <c r="H1149" s="21"/>
      <c r="I1149" s="92"/>
      <c r="J1149" s="92"/>
      <c r="K1149" s="92"/>
      <c r="L1149" s="92"/>
      <c r="M1149" s="92"/>
      <c r="N1149" s="92"/>
      <c r="O1149" s="92"/>
      <c r="P1149" s="92"/>
      <c r="Q1149" s="92"/>
      <c r="R1149" s="92"/>
      <c r="S1149" s="92"/>
      <c r="T1149" s="92"/>
      <c r="U1149" s="92"/>
      <c r="V1149" s="92"/>
      <c r="W1149" s="92"/>
      <c r="X1149" s="92"/>
      <c r="Y1149" s="92"/>
      <c r="Z1149" s="92"/>
    </row>
    <row r="1150" spans="1:26" ht="12.75">
      <c r="A1150" s="92" t="s">
        <v>8048</v>
      </c>
      <c r="B1150" s="372">
        <v>2018</v>
      </c>
      <c r="C1150" s="372">
        <v>29938790</v>
      </c>
      <c r="D1150" s="92" t="s">
        <v>8049</v>
      </c>
      <c r="E1150" s="261" t="str">
        <f t="shared" si="0"/>
        <v>https://pubmed.ncbi.nlm.nih.gov/29938790</v>
      </c>
      <c r="F1150" s="92" t="s">
        <v>511</v>
      </c>
      <c r="G1150" s="92" t="s">
        <v>4592</v>
      </c>
      <c r="H1150" s="92"/>
      <c r="I1150" s="92"/>
      <c r="J1150" s="92"/>
      <c r="K1150" s="92"/>
      <c r="L1150" s="92"/>
      <c r="M1150" s="92"/>
      <c r="N1150" s="92"/>
      <c r="O1150" s="92"/>
      <c r="P1150" s="92"/>
      <c r="Q1150" s="92"/>
      <c r="R1150" s="92"/>
      <c r="S1150" s="92"/>
      <c r="T1150" s="92"/>
      <c r="U1150" s="92"/>
      <c r="V1150" s="92"/>
      <c r="W1150" s="92"/>
      <c r="X1150" s="92"/>
      <c r="Y1150" s="92"/>
      <c r="Z1150" s="92"/>
    </row>
    <row r="1151" spans="1:26" ht="12.75">
      <c r="A1151" s="92" t="s">
        <v>8050</v>
      </c>
      <c r="B1151" s="372">
        <v>2019</v>
      </c>
      <c r="C1151" s="372">
        <v>31307586</v>
      </c>
      <c r="D1151" s="92"/>
      <c r="E1151" s="261" t="str">
        <f t="shared" si="0"/>
        <v>https://pubmed.ncbi.nlm.nih.gov/31307586</v>
      </c>
      <c r="F1151" s="92" t="s">
        <v>511</v>
      </c>
      <c r="G1151" s="92" t="s">
        <v>4592</v>
      </c>
      <c r="H1151" s="92"/>
      <c r="I1151" s="92"/>
      <c r="J1151" s="92"/>
      <c r="K1151" s="92"/>
      <c r="L1151" s="92"/>
      <c r="M1151" s="92"/>
      <c r="N1151" s="92"/>
      <c r="O1151" s="92"/>
      <c r="P1151" s="92"/>
      <c r="Q1151" s="92"/>
      <c r="R1151" s="92"/>
      <c r="S1151" s="92"/>
      <c r="T1151" s="92"/>
      <c r="U1151" s="92"/>
      <c r="V1151" s="92"/>
      <c r="W1151" s="92"/>
      <c r="X1151" s="92"/>
      <c r="Y1151" s="92"/>
      <c r="Z1151" s="92"/>
    </row>
    <row r="1152" spans="1:26" ht="12.75">
      <c r="A1152" s="92" t="s">
        <v>1404</v>
      </c>
      <c r="B1152" s="372">
        <v>2020</v>
      </c>
      <c r="C1152" s="372">
        <v>32822347</v>
      </c>
      <c r="D1152" s="92" t="s">
        <v>4253</v>
      </c>
      <c r="E1152" s="376" t="str">
        <f t="shared" si="0"/>
        <v>https://pubmed.ncbi.nlm.nih.gov/32822347</v>
      </c>
      <c r="F1152" s="21"/>
      <c r="G1152" s="92"/>
      <c r="H1152" s="92" t="s">
        <v>511</v>
      </c>
      <c r="I1152" s="92"/>
      <c r="J1152" s="92"/>
      <c r="K1152" s="92"/>
      <c r="L1152" s="92"/>
      <c r="M1152" s="92"/>
      <c r="N1152" s="92"/>
      <c r="O1152" s="92"/>
      <c r="P1152" s="92"/>
      <c r="Q1152" s="92"/>
      <c r="R1152" s="92"/>
      <c r="S1152" s="92"/>
      <c r="T1152" s="92"/>
      <c r="U1152" s="92"/>
      <c r="V1152" s="92"/>
      <c r="W1152" s="92"/>
      <c r="X1152" s="92"/>
      <c r="Y1152" s="92"/>
      <c r="Z1152" s="92"/>
    </row>
    <row r="1153" spans="1:26" ht="12.75">
      <c r="A1153" s="92" t="s">
        <v>8051</v>
      </c>
      <c r="B1153" s="372">
        <v>1999</v>
      </c>
      <c r="C1153" s="372">
        <v>10100087</v>
      </c>
      <c r="D1153" s="92"/>
      <c r="E1153" s="261" t="str">
        <f t="shared" si="0"/>
        <v>https://pubmed.ncbi.nlm.nih.gov/10100087</v>
      </c>
      <c r="F1153" s="92" t="s">
        <v>511</v>
      </c>
      <c r="G1153" s="92" t="s">
        <v>4592</v>
      </c>
      <c r="H1153" s="92"/>
      <c r="I1153" s="92"/>
      <c r="J1153" s="92"/>
      <c r="K1153" s="92"/>
      <c r="L1153" s="92"/>
      <c r="M1153" s="92"/>
      <c r="N1153" s="92"/>
      <c r="O1153" s="92"/>
      <c r="P1153" s="92"/>
      <c r="Q1153" s="92"/>
      <c r="R1153" s="92"/>
      <c r="S1153" s="92"/>
      <c r="T1153" s="92"/>
      <c r="U1153" s="92"/>
      <c r="V1153" s="92"/>
      <c r="W1153" s="92"/>
      <c r="X1153" s="92"/>
      <c r="Y1153" s="92"/>
      <c r="Z1153" s="92"/>
    </row>
    <row r="1154" spans="1:26" ht="12.75">
      <c r="A1154" s="92" t="s">
        <v>8052</v>
      </c>
      <c r="B1154" s="372">
        <v>2018</v>
      </c>
      <c r="C1154" s="372">
        <v>30168576</v>
      </c>
      <c r="D1154" s="92" t="s">
        <v>8053</v>
      </c>
      <c r="E1154" s="261" t="str">
        <f t="shared" si="0"/>
        <v>https://pubmed.ncbi.nlm.nih.gov/30168576</v>
      </c>
      <c r="F1154" s="92" t="s">
        <v>511</v>
      </c>
      <c r="G1154" s="92" t="s">
        <v>8412</v>
      </c>
      <c r="H1154" s="92"/>
      <c r="I1154" s="92"/>
      <c r="J1154" s="92"/>
      <c r="K1154" s="92"/>
      <c r="L1154" s="92"/>
      <c r="M1154" s="92"/>
      <c r="N1154" s="92"/>
      <c r="O1154" s="92"/>
      <c r="P1154" s="92"/>
      <c r="Q1154" s="92"/>
      <c r="R1154" s="92"/>
      <c r="S1154" s="92"/>
      <c r="T1154" s="92"/>
      <c r="U1154" s="92"/>
      <c r="V1154" s="92"/>
      <c r="W1154" s="92"/>
      <c r="X1154" s="92"/>
      <c r="Y1154" s="92"/>
      <c r="Z1154" s="92"/>
    </row>
    <row r="1155" spans="1:26" ht="12.75">
      <c r="A1155" s="92" t="s">
        <v>8054</v>
      </c>
      <c r="B1155" s="372">
        <v>2018</v>
      </c>
      <c r="C1155" s="372">
        <v>29487219</v>
      </c>
      <c r="D1155" s="92" t="s">
        <v>8055</v>
      </c>
      <c r="E1155" s="261" t="str">
        <f t="shared" si="0"/>
        <v>https://pubmed.ncbi.nlm.nih.gov/29487219</v>
      </c>
      <c r="F1155" s="92" t="s">
        <v>511</v>
      </c>
      <c r="G1155" s="374" t="s">
        <v>4867</v>
      </c>
      <c r="H1155" s="21"/>
      <c r="I1155" s="92"/>
      <c r="J1155" s="92"/>
      <c r="K1155" s="92"/>
      <c r="L1155" s="92"/>
      <c r="M1155" s="92"/>
      <c r="N1155" s="92"/>
      <c r="O1155" s="92"/>
      <c r="P1155" s="92"/>
      <c r="Q1155" s="92"/>
      <c r="R1155" s="92"/>
      <c r="S1155" s="92"/>
      <c r="T1155" s="92"/>
      <c r="U1155" s="92"/>
      <c r="V1155" s="92"/>
      <c r="W1155" s="92"/>
      <c r="X1155" s="92"/>
      <c r="Y1155" s="92"/>
      <c r="Z1155" s="92"/>
    </row>
    <row r="1156" spans="1:26" ht="12.75">
      <c r="A1156" s="92" t="s">
        <v>8056</v>
      </c>
      <c r="B1156" s="372">
        <v>2017</v>
      </c>
      <c r="C1156" s="372">
        <v>28436969</v>
      </c>
      <c r="D1156" s="92"/>
      <c r="E1156" s="261" t="str">
        <f t="shared" si="0"/>
        <v>https://pubmed.ncbi.nlm.nih.gov/28436969</v>
      </c>
      <c r="F1156" s="92" t="s">
        <v>511</v>
      </c>
      <c r="G1156" s="374" t="s">
        <v>4867</v>
      </c>
      <c r="H1156" s="21"/>
      <c r="I1156" s="92"/>
      <c r="J1156" s="92"/>
      <c r="K1156" s="92"/>
      <c r="L1156" s="92"/>
      <c r="M1156" s="92"/>
      <c r="N1156" s="92"/>
      <c r="O1156" s="92"/>
      <c r="P1156" s="92"/>
      <c r="Q1156" s="92"/>
      <c r="R1156" s="92"/>
      <c r="S1156" s="92"/>
      <c r="T1156" s="92"/>
      <c r="U1156" s="92"/>
      <c r="V1156" s="92"/>
      <c r="W1156" s="92"/>
      <c r="X1156" s="92"/>
      <c r="Y1156" s="92"/>
      <c r="Z1156" s="92"/>
    </row>
    <row r="1157" spans="1:26" ht="12.75">
      <c r="A1157" s="92" t="s">
        <v>8057</v>
      </c>
      <c r="B1157" s="372">
        <v>2012</v>
      </c>
      <c r="C1157" s="372">
        <v>22494019</v>
      </c>
      <c r="D1157" s="92"/>
      <c r="E1157" s="261" t="str">
        <f t="shared" si="0"/>
        <v>https://pubmed.ncbi.nlm.nih.gov/22494019</v>
      </c>
      <c r="F1157" s="92" t="s">
        <v>511</v>
      </c>
      <c r="G1157" s="374" t="s">
        <v>4744</v>
      </c>
      <c r="H1157" s="21"/>
      <c r="I1157" s="92"/>
      <c r="J1157" s="92"/>
      <c r="K1157" s="92"/>
      <c r="L1157" s="92"/>
      <c r="M1157" s="92"/>
      <c r="N1157" s="92"/>
      <c r="O1157" s="92"/>
      <c r="P1157" s="92"/>
      <c r="Q1157" s="92"/>
      <c r="R1157" s="92"/>
      <c r="S1157" s="92"/>
      <c r="T1157" s="92"/>
      <c r="U1157" s="92"/>
      <c r="V1157" s="92"/>
      <c r="W1157" s="92"/>
      <c r="X1157" s="92"/>
      <c r="Y1157" s="92"/>
      <c r="Z1157" s="92"/>
    </row>
    <row r="1158" spans="1:26" ht="12.75">
      <c r="A1158" s="92" t="s">
        <v>8058</v>
      </c>
      <c r="B1158" s="372">
        <v>1997</v>
      </c>
      <c r="C1158" s="372">
        <v>9315790</v>
      </c>
      <c r="D1158" s="92"/>
      <c r="E1158" s="261" t="str">
        <f t="shared" si="0"/>
        <v>https://pubmed.ncbi.nlm.nih.gov/9315790</v>
      </c>
      <c r="F1158" s="92" t="s">
        <v>511</v>
      </c>
      <c r="G1158" s="374" t="s">
        <v>4744</v>
      </c>
      <c r="H1158" s="21"/>
      <c r="I1158" s="92"/>
      <c r="J1158" s="92"/>
      <c r="K1158" s="92"/>
      <c r="L1158" s="92"/>
      <c r="M1158" s="92"/>
      <c r="N1158" s="92"/>
      <c r="O1158" s="92"/>
      <c r="P1158" s="92"/>
      <c r="Q1158" s="92"/>
      <c r="R1158" s="92"/>
      <c r="S1158" s="92"/>
      <c r="T1158" s="92"/>
      <c r="U1158" s="92"/>
      <c r="V1158" s="92"/>
      <c r="W1158" s="92"/>
      <c r="X1158" s="92"/>
      <c r="Y1158" s="92"/>
      <c r="Z1158" s="92"/>
    </row>
    <row r="1159" spans="1:26" ht="12.75">
      <c r="A1159" s="92" t="s">
        <v>8059</v>
      </c>
      <c r="B1159" s="372">
        <v>2010</v>
      </c>
      <c r="C1159" s="372">
        <v>21708057</v>
      </c>
      <c r="D1159" s="92"/>
      <c r="E1159" s="261" t="str">
        <f t="shared" si="0"/>
        <v>https://pubmed.ncbi.nlm.nih.gov/21708057</v>
      </c>
      <c r="F1159" s="92" t="s">
        <v>511</v>
      </c>
      <c r="G1159" s="374" t="s">
        <v>4744</v>
      </c>
      <c r="H1159" s="92"/>
      <c r="I1159" s="374" t="s">
        <v>8060</v>
      </c>
      <c r="J1159" s="92"/>
      <c r="K1159" s="92"/>
      <c r="L1159" s="92"/>
      <c r="M1159" s="92"/>
      <c r="N1159" s="92"/>
      <c r="O1159" s="92"/>
      <c r="P1159" s="92"/>
      <c r="Q1159" s="92"/>
      <c r="R1159" s="92"/>
      <c r="S1159" s="92"/>
      <c r="T1159" s="92"/>
      <c r="U1159" s="92"/>
      <c r="V1159" s="92"/>
      <c r="W1159" s="92"/>
      <c r="X1159" s="92"/>
      <c r="Y1159" s="92"/>
      <c r="Z1159" s="92"/>
    </row>
    <row r="1160" spans="1:26" ht="12.75">
      <c r="A1160" s="92" t="s">
        <v>8061</v>
      </c>
      <c r="B1160" s="372">
        <v>2011</v>
      </c>
      <c r="C1160" s="372">
        <v>21714999</v>
      </c>
      <c r="D1160" s="92" t="s">
        <v>8062</v>
      </c>
      <c r="E1160" s="261" t="str">
        <f t="shared" si="0"/>
        <v>https://pubmed.ncbi.nlm.nih.gov/21714999</v>
      </c>
      <c r="F1160" s="92" t="s">
        <v>511</v>
      </c>
      <c r="G1160" s="374" t="s">
        <v>5157</v>
      </c>
      <c r="H1160" s="21"/>
      <c r="I1160" s="21"/>
      <c r="J1160" s="92"/>
      <c r="K1160" s="92"/>
      <c r="L1160" s="92"/>
      <c r="M1160" s="92"/>
      <c r="N1160" s="92"/>
      <c r="O1160" s="92"/>
      <c r="P1160" s="92"/>
      <c r="Q1160" s="92"/>
      <c r="R1160" s="92"/>
      <c r="S1160" s="92"/>
      <c r="T1160" s="92"/>
      <c r="U1160" s="92"/>
      <c r="V1160" s="92"/>
      <c r="W1160" s="92"/>
      <c r="X1160" s="92"/>
      <c r="Y1160" s="92"/>
      <c r="Z1160" s="92"/>
    </row>
    <row r="1161" spans="1:26" ht="12.75">
      <c r="A1161" s="92" t="s">
        <v>8063</v>
      </c>
      <c r="B1161" s="372">
        <v>2017</v>
      </c>
      <c r="C1161" s="372">
        <v>28557548</v>
      </c>
      <c r="D1161" s="92" t="s">
        <v>8064</v>
      </c>
      <c r="E1161" s="261" t="str">
        <f t="shared" si="0"/>
        <v>https://pubmed.ncbi.nlm.nih.gov/28557548</v>
      </c>
      <c r="F1161" s="92" t="s">
        <v>511</v>
      </c>
      <c r="G1161" s="374" t="s">
        <v>4744</v>
      </c>
      <c r="H1161" s="21"/>
      <c r="I1161" s="92"/>
      <c r="J1161" s="92"/>
      <c r="K1161" s="92"/>
      <c r="L1161" s="92"/>
      <c r="M1161" s="92"/>
      <c r="N1161" s="92"/>
      <c r="O1161" s="92"/>
      <c r="P1161" s="92"/>
      <c r="Q1161" s="92"/>
      <c r="R1161" s="92"/>
      <c r="S1161" s="92"/>
      <c r="T1161" s="92"/>
      <c r="U1161" s="92"/>
      <c r="V1161" s="92"/>
      <c r="W1161" s="92"/>
      <c r="X1161" s="92"/>
      <c r="Y1161" s="92"/>
      <c r="Z1161" s="92"/>
    </row>
    <row r="1162" spans="1:26" ht="12.75">
      <c r="A1162" s="92" t="s">
        <v>8065</v>
      </c>
      <c r="B1162" s="372">
        <v>2011</v>
      </c>
      <c r="C1162" s="372">
        <v>21474905</v>
      </c>
      <c r="D1162" s="92"/>
      <c r="E1162" s="261" t="str">
        <f t="shared" si="0"/>
        <v>https://pubmed.ncbi.nlm.nih.gov/21474905</v>
      </c>
      <c r="F1162" s="92" t="s">
        <v>511</v>
      </c>
      <c r="G1162" s="374" t="s">
        <v>5299</v>
      </c>
      <c r="H1162" s="21"/>
      <c r="I1162" s="92"/>
      <c r="J1162" s="92"/>
      <c r="K1162" s="92"/>
      <c r="L1162" s="92"/>
      <c r="M1162" s="92"/>
      <c r="N1162" s="92"/>
      <c r="O1162" s="92"/>
      <c r="P1162" s="92"/>
      <c r="Q1162" s="92"/>
      <c r="R1162" s="92"/>
      <c r="S1162" s="92"/>
      <c r="T1162" s="92"/>
      <c r="U1162" s="92"/>
      <c r="V1162" s="92"/>
      <c r="W1162" s="92"/>
      <c r="X1162" s="92"/>
      <c r="Y1162" s="92"/>
      <c r="Z1162" s="92"/>
    </row>
    <row r="1163" spans="1:26" ht="12.75">
      <c r="A1163" s="92" t="s">
        <v>8066</v>
      </c>
      <c r="B1163" s="372">
        <v>1987</v>
      </c>
      <c r="C1163" s="372">
        <v>2952125</v>
      </c>
      <c r="D1163" s="92"/>
      <c r="E1163" s="261" t="str">
        <f t="shared" si="0"/>
        <v>https://pubmed.ncbi.nlm.nih.gov/2952125</v>
      </c>
      <c r="F1163" s="92" t="s">
        <v>511</v>
      </c>
      <c r="G1163" s="374" t="s">
        <v>4744</v>
      </c>
      <c r="H1163" s="21"/>
      <c r="I1163" s="92"/>
      <c r="J1163" s="92"/>
      <c r="K1163" s="92"/>
      <c r="L1163" s="92"/>
      <c r="M1163" s="92"/>
      <c r="N1163" s="92"/>
      <c r="O1163" s="92"/>
      <c r="P1163" s="92"/>
      <c r="Q1163" s="92"/>
      <c r="R1163" s="92"/>
      <c r="S1163" s="92"/>
      <c r="T1163" s="92"/>
      <c r="U1163" s="92"/>
      <c r="V1163" s="92"/>
      <c r="W1163" s="92"/>
      <c r="X1163" s="92"/>
      <c r="Y1163" s="92"/>
      <c r="Z1163" s="92"/>
    </row>
    <row r="1164" spans="1:26" ht="12.75">
      <c r="A1164" s="92" t="s">
        <v>8067</v>
      </c>
      <c r="B1164" s="372">
        <v>2021</v>
      </c>
      <c r="C1164" s="372">
        <v>33567185</v>
      </c>
      <c r="D1164" s="92"/>
      <c r="E1164" s="261" t="str">
        <f t="shared" si="0"/>
        <v>https://pubmed.ncbi.nlm.nih.gov/33567185</v>
      </c>
      <c r="F1164" s="92" t="s">
        <v>511</v>
      </c>
      <c r="G1164" s="374" t="s">
        <v>5157</v>
      </c>
      <c r="H1164" s="21"/>
      <c r="I1164" s="21"/>
      <c r="J1164" s="92"/>
      <c r="K1164" s="92"/>
      <c r="L1164" s="92"/>
      <c r="M1164" s="92"/>
      <c r="N1164" s="92"/>
      <c r="O1164" s="92"/>
      <c r="P1164" s="92"/>
      <c r="Q1164" s="92"/>
      <c r="R1164" s="92"/>
      <c r="S1164" s="92"/>
      <c r="T1164" s="92"/>
      <c r="U1164" s="92"/>
      <c r="V1164" s="92"/>
      <c r="W1164" s="92"/>
      <c r="X1164" s="92"/>
      <c r="Y1164" s="92"/>
      <c r="Z1164" s="92"/>
    </row>
    <row r="1165" spans="1:26" ht="12.75">
      <c r="A1165" s="92" t="s">
        <v>8068</v>
      </c>
      <c r="B1165" s="372">
        <v>2018</v>
      </c>
      <c r="C1165" s="372">
        <v>30055608</v>
      </c>
      <c r="D1165" s="92" t="s">
        <v>8069</v>
      </c>
      <c r="E1165" s="261" t="str">
        <f t="shared" si="0"/>
        <v>https://pubmed.ncbi.nlm.nih.gov/30055608</v>
      </c>
      <c r="F1165" s="92" t="s">
        <v>511</v>
      </c>
      <c r="G1165" s="374" t="s">
        <v>4744</v>
      </c>
      <c r="H1165" s="21"/>
      <c r="I1165" s="92"/>
      <c r="J1165" s="92"/>
      <c r="K1165" s="92"/>
      <c r="L1165" s="92"/>
      <c r="M1165" s="92"/>
      <c r="N1165" s="92"/>
      <c r="O1165" s="92"/>
      <c r="P1165" s="92"/>
      <c r="Q1165" s="92"/>
      <c r="R1165" s="92"/>
      <c r="S1165" s="92"/>
      <c r="T1165" s="92"/>
      <c r="U1165" s="92"/>
      <c r="V1165" s="92"/>
      <c r="W1165" s="92"/>
      <c r="X1165" s="92"/>
      <c r="Y1165" s="92"/>
      <c r="Z1165" s="92"/>
    </row>
    <row r="1166" spans="1:26" ht="12.75">
      <c r="A1166" s="92" t="s">
        <v>8070</v>
      </c>
      <c r="B1166" s="372">
        <v>2006</v>
      </c>
      <c r="C1166" s="372">
        <v>16449273</v>
      </c>
      <c r="D1166" s="92" t="s">
        <v>8071</v>
      </c>
      <c r="E1166" s="261" t="str">
        <f t="shared" si="0"/>
        <v>https://pubmed.ncbi.nlm.nih.gov/16449273</v>
      </c>
      <c r="F1166" s="92" t="s">
        <v>511</v>
      </c>
      <c r="G1166" s="374" t="s">
        <v>4867</v>
      </c>
      <c r="H1166" s="21"/>
      <c r="I1166" s="92"/>
      <c r="J1166" s="92"/>
      <c r="K1166" s="92"/>
      <c r="L1166" s="92"/>
      <c r="M1166" s="92"/>
      <c r="N1166" s="92"/>
      <c r="O1166" s="92"/>
      <c r="P1166" s="92"/>
      <c r="Q1166" s="92"/>
      <c r="R1166" s="92"/>
      <c r="S1166" s="92"/>
      <c r="T1166" s="92"/>
      <c r="U1166" s="92"/>
      <c r="V1166" s="92"/>
      <c r="W1166" s="92"/>
      <c r="X1166" s="92"/>
      <c r="Y1166" s="92"/>
      <c r="Z1166" s="92"/>
    </row>
    <row r="1167" spans="1:26" ht="12.75">
      <c r="A1167" s="92" t="s">
        <v>8072</v>
      </c>
      <c r="B1167" s="372">
        <v>1998</v>
      </c>
      <c r="C1167" s="372">
        <v>9566483</v>
      </c>
      <c r="D1167" s="92"/>
      <c r="E1167" s="261" t="str">
        <f t="shared" si="0"/>
        <v>https://pubmed.ncbi.nlm.nih.gov/9566483</v>
      </c>
      <c r="F1167" s="92" t="s">
        <v>511</v>
      </c>
      <c r="G1167" s="92" t="s">
        <v>4592</v>
      </c>
      <c r="H1167" s="92"/>
      <c r="I1167" s="92"/>
      <c r="J1167" s="92"/>
      <c r="K1167" s="92"/>
      <c r="L1167" s="92"/>
      <c r="M1167" s="92"/>
      <c r="N1167" s="92"/>
      <c r="O1167" s="92"/>
      <c r="P1167" s="92"/>
      <c r="Q1167" s="92"/>
      <c r="R1167" s="92"/>
      <c r="S1167" s="92"/>
      <c r="T1167" s="92"/>
      <c r="U1167" s="92"/>
      <c r="V1167" s="92"/>
      <c r="W1167" s="92"/>
      <c r="X1167" s="92"/>
      <c r="Y1167" s="92"/>
      <c r="Z1167" s="92"/>
    </row>
    <row r="1168" spans="1:26" ht="12.75">
      <c r="A1168" s="92" t="s">
        <v>8073</v>
      </c>
      <c r="B1168" s="372">
        <v>2016</v>
      </c>
      <c r="C1168" s="372">
        <v>27329280</v>
      </c>
      <c r="D1168" s="92"/>
      <c r="E1168" s="261" t="str">
        <f t="shared" si="0"/>
        <v>https://pubmed.ncbi.nlm.nih.gov/27329280</v>
      </c>
      <c r="F1168" s="92" t="s">
        <v>511</v>
      </c>
      <c r="G1168" s="374" t="s">
        <v>5157</v>
      </c>
      <c r="H1168" s="21"/>
      <c r="I1168" s="21"/>
      <c r="J1168" s="92"/>
      <c r="K1168" s="92"/>
      <c r="L1168" s="92"/>
      <c r="M1168" s="92"/>
      <c r="N1168" s="92"/>
      <c r="O1168" s="92"/>
      <c r="P1168" s="92"/>
      <c r="Q1168" s="92"/>
      <c r="R1168" s="92"/>
      <c r="S1168" s="92"/>
      <c r="T1168" s="92"/>
      <c r="U1168" s="92"/>
      <c r="V1168" s="92"/>
      <c r="W1168" s="92"/>
      <c r="X1168" s="92"/>
      <c r="Y1168" s="92"/>
      <c r="Z1168" s="92"/>
    </row>
    <row r="1169" spans="1:26" ht="12.75">
      <c r="A1169" s="92" t="s">
        <v>8074</v>
      </c>
      <c r="B1169" s="372">
        <v>2017</v>
      </c>
      <c r="C1169" s="372">
        <v>28216284</v>
      </c>
      <c r="D1169" s="92"/>
      <c r="E1169" s="261" t="str">
        <f t="shared" si="0"/>
        <v>https://pubmed.ncbi.nlm.nih.gov/28216284</v>
      </c>
      <c r="F1169" s="92" t="s">
        <v>511</v>
      </c>
      <c r="G1169" s="374" t="s">
        <v>6712</v>
      </c>
      <c r="H1169" s="21"/>
      <c r="I1169" s="92"/>
      <c r="J1169" s="92"/>
      <c r="K1169" s="92"/>
      <c r="L1169" s="92"/>
      <c r="M1169" s="92"/>
      <c r="N1169" s="92"/>
      <c r="O1169" s="92"/>
      <c r="P1169" s="92"/>
      <c r="Q1169" s="92"/>
      <c r="R1169" s="92"/>
      <c r="S1169" s="92"/>
      <c r="T1169" s="92"/>
      <c r="U1169" s="92"/>
      <c r="V1169" s="92"/>
      <c r="W1169" s="92"/>
      <c r="X1169" s="92"/>
      <c r="Y1169" s="92"/>
      <c r="Z1169" s="92"/>
    </row>
    <row r="1170" spans="1:26" ht="12.75">
      <c r="A1170" s="92" t="s">
        <v>8075</v>
      </c>
      <c r="B1170" s="372">
        <v>2015</v>
      </c>
      <c r="C1170" s="372">
        <v>26269925</v>
      </c>
      <c r="D1170" s="92"/>
      <c r="E1170" s="261" t="str">
        <f t="shared" si="0"/>
        <v>https://pubmed.ncbi.nlm.nih.gov/26269925</v>
      </c>
      <c r="F1170" s="92" t="s">
        <v>511</v>
      </c>
      <c r="G1170" s="92" t="s">
        <v>4592</v>
      </c>
      <c r="H1170" s="92"/>
      <c r="I1170" s="92"/>
      <c r="J1170" s="92"/>
      <c r="K1170" s="92"/>
      <c r="L1170" s="92"/>
      <c r="M1170" s="92"/>
      <c r="N1170" s="92"/>
      <c r="O1170" s="92"/>
      <c r="P1170" s="92"/>
      <c r="Q1170" s="92"/>
      <c r="R1170" s="92"/>
      <c r="S1170" s="92"/>
      <c r="T1170" s="92"/>
      <c r="U1170" s="92"/>
      <c r="V1170" s="92"/>
      <c r="W1170" s="92"/>
      <c r="X1170" s="92"/>
      <c r="Y1170" s="92"/>
      <c r="Z1170" s="92"/>
    </row>
    <row r="1171" spans="1:26" ht="12.75">
      <c r="A1171" s="92" t="s">
        <v>8076</v>
      </c>
      <c r="B1171" s="372">
        <v>2018</v>
      </c>
      <c r="C1171" s="372">
        <v>29603217</v>
      </c>
      <c r="D1171" s="92"/>
      <c r="E1171" s="261" t="str">
        <f t="shared" si="0"/>
        <v>https://pubmed.ncbi.nlm.nih.gov/29603217</v>
      </c>
      <c r="F1171" s="92" t="s">
        <v>511</v>
      </c>
      <c r="G1171" s="374" t="s">
        <v>8077</v>
      </c>
      <c r="H1171" s="21"/>
      <c r="I1171" s="21"/>
      <c r="J1171" s="92"/>
      <c r="K1171" s="92"/>
      <c r="L1171" s="92"/>
      <c r="M1171" s="92"/>
      <c r="N1171" s="92"/>
      <c r="O1171" s="92"/>
      <c r="P1171" s="92"/>
      <c r="Q1171" s="92"/>
      <c r="R1171" s="92"/>
      <c r="S1171" s="92"/>
      <c r="T1171" s="92"/>
      <c r="U1171" s="92"/>
      <c r="V1171" s="92"/>
      <c r="W1171" s="92"/>
      <c r="X1171" s="92"/>
      <c r="Y1171" s="92"/>
      <c r="Z1171" s="92"/>
    </row>
    <row r="1172" spans="1:26" ht="12.75">
      <c r="A1172" s="92" t="s">
        <v>8078</v>
      </c>
      <c r="B1172" s="372">
        <v>2016</v>
      </c>
      <c r="C1172" s="372">
        <v>27077121</v>
      </c>
      <c r="D1172" s="92" t="s">
        <v>8079</v>
      </c>
      <c r="E1172" s="261" t="str">
        <f t="shared" si="0"/>
        <v>https://pubmed.ncbi.nlm.nih.gov/27077121</v>
      </c>
      <c r="F1172" s="92" t="s">
        <v>511</v>
      </c>
      <c r="G1172" s="374" t="s">
        <v>4744</v>
      </c>
      <c r="H1172" s="21"/>
      <c r="I1172" s="92"/>
      <c r="J1172" s="92"/>
      <c r="K1172" s="92"/>
      <c r="L1172" s="92"/>
      <c r="M1172" s="92"/>
      <c r="N1172" s="92"/>
      <c r="O1172" s="92"/>
      <c r="P1172" s="92"/>
      <c r="Q1172" s="92"/>
      <c r="R1172" s="92"/>
      <c r="S1172" s="92"/>
      <c r="T1172" s="92"/>
      <c r="U1172" s="92"/>
      <c r="V1172" s="92"/>
      <c r="W1172" s="92"/>
      <c r="X1172" s="92"/>
      <c r="Y1172" s="92"/>
      <c r="Z1172" s="92"/>
    </row>
    <row r="1173" spans="1:26" ht="12.75">
      <c r="A1173" s="92" t="s">
        <v>8080</v>
      </c>
      <c r="B1173" s="372">
        <v>2010</v>
      </c>
      <c r="C1173" s="372">
        <v>20803300</v>
      </c>
      <c r="D1173" s="92"/>
      <c r="E1173" s="261" t="str">
        <f t="shared" si="0"/>
        <v>https://pubmed.ncbi.nlm.nih.gov/20803300</v>
      </c>
      <c r="F1173" s="92" t="s">
        <v>511</v>
      </c>
      <c r="G1173" s="374" t="s">
        <v>5157</v>
      </c>
      <c r="H1173" s="21"/>
      <c r="I1173" s="21"/>
      <c r="J1173" s="92"/>
      <c r="K1173" s="92"/>
      <c r="L1173" s="92"/>
      <c r="M1173" s="92"/>
      <c r="N1173" s="92"/>
      <c r="O1173" s="92"/>
      <c r="P1173" s="92"/>
      <c r="Q1173" s="92"/>
      <c r="R1173" s="92"/>
      <c r="S1173" s="92"/>
      <c r="T1173" s="92"/>
      <c r="U1173" s="92"/>
      <c r="V1173" s="92"/>
      <c r="W1173" s="92"/>
      <c r="X1173" s="92"/>
      <c r="Y1173" s="92"/>
      <c r="Z1173" s="92"/>
    </row>
    <row r="1174" spans="1:26" ht="12.75">
      <c r="A1174" s="92" t="s">
        <v>8081</v>
      </c>
      <c r="B1174" s="372">
        <v>2015</v>
      </c>
      <c r="C1174" s="372">
        <v>25583294</v>
      </c>
      <c r="D1174" s="92"/>
      <c r="E1174" s="261" t="str">
        <f t="shared" si="0"/>
        <v>https://pubmed.ncbi.nlm.nih.gov/25583294</v>
      </c>
      <c r="F1174" s="92" t="s">
        <v>511</v>
      </c>
      <c r="G1174" s="92" t="s">
        <v>4592</v>
      </c>
      <c r="H1174" s="92"/>
      <c r="I1174" s="92"/>
      <c r="J1174" s="92"/>
      <c r="K1174" s="92"/>
      <c r="L1174" s="92"/>
      <c r="M1174" s="92"/>
      <c r="N1174" s="92"/>
      <c r="O1174" s="92"/>
      <c r="P1174" s="92"/>
      <c r="Q1174" s="92"/>
      <c r="R1174" s="92"/>
      <c r="S1174" s="92"/>
      <c r="T1174" s="92"/>
      <c r="U1174" s="92"/>
      <c r="V1174" s="92"/>
      <c r="W1174" s="92"/>
      <c r="X1174" s="92"/>
      <c r="Y1174" s="92"/>
      <c r="Z1174" s="92"/>
    </row>
    <row r="1175" spans="1:26" ht="12.75">
      <c r="A1175" s="92" t="s">
        <v>8082</v>
      </c>
      <c r="B1175" s="372">
        <v>2002</v>
      </c>
      <c r="C1175" s="372">
        <v>12581507</v>
      </c>
      <c r="D1175" s="92"/>
      <c r="E1175" s="261" t="str">
        <f t="shared" si="0"/>
        <v>https://pubmed.ncbi.nlm.nih.gov/12581507</v>
      </c>
      <c r="F1175" s="92" t="s">
        <v>511</v>
      </c>
      <c r="G1175" s="374" t="s">
        <v>4867</v>
      </c>
      <c r="H1175" s="21"/>
      <c r="I1175" s="92"/>
      <c r="J1175" s="92"/>
      <c r="K1175" s="92"/>
      <c r="L1175" s="92"/>
      <c r="M1175" s="92"/>
      <c r="N1175" s="92"/>
      <c r="O1175" s="92"/>
      <c r="P1175" s="92"/>
      <c r="Q1175" s="92"/>
      <c r="R1175" s="92"/>
      <c r="S1175" s="92"/>
      <c r="T1175" s="92"/>
      <c r="U1175" s="92"/>
      <c r="V1175" s="92"/>
      <c r="W1175" s="92"/>
      <c r="X1175" s="92"/>
      <c r="Y1175" s="92"/>
      <c r="Z1175" s="92"/>
    </row>
    <row r="1176" spans="1:26" ht="12.75">
      <c r="A1176" s="92" t="s">
        <v>8083</v>
      </c>
      <c r="B1176" s="372">
        <v>2020</v>
      </c>
      <c r="C1176" s="372">
        <v>32791241</v>
      </c>
      <c r="D1176" s="92" t="s">
        <v>8084</v>
      </c>
      <c r="E1176" s="261" t="str">
        <f t="shared" si="0"/>
        <v>https://pubmed.ncbi.nlm.nih.gov/32791241</v>
      </c>
      <c r="F1176" s="92" t="s">
        <v>511</v>
      </c>
      <c r="G1176" s="92" t="s">
        <v>4592</v>
      </c>
      <c r="H1176" s="92"/>
      <c r="I1176" s="92"/>
      <c r="J1176" s="92"/>
      <c r="K1176" s="92"/>
      <c r="L1176" s="92"/>
      <c r="M1176" s="92"/>
      <c r="N1176" s="92"/>
      <c r="O1176" s="92"/>
      <c r="P1176" s="92"/>
      <c r="Q1176" s="92"/>
      <c r="R1176" s="92"/>
      <c r="S1176" s="92"/>
      <c r="T1176" s="92"/>
      <c r="U1176" s="92"/>
      <c r="V1176" s="92"/>
      <c r="W1176" s="92"/>
      <c r="X1176" s="92"/>
      <c r="Y1176" s="92"/>
      <c r="Z1176" s="92"/>
    </row>
    <row r="1177" spans="1:26" ht="12.75">
      <c r="A1177" s="92" t="s">
        <v>8085</v>
      </c>
      <c r="B1177" s="372">
        <v>2006</v>
      </c>
      <c r="C1177" s="372">
        <v>17083854</v>
      </c>
      <c r="D1177" s="92"/>
      <c r="E1177" s="261" t="str">
        <f t="shared" si="0"/>
        <v>https://pubmed.ncbi.nlm.nih.gov/17083854</v>
      </c>
      <c r="F1177" s="92" t="s">
        <v>511</v>
      </c>
      <c r="G1177" s="92" t="s">
        <v>4592</v>
      </c>
      <c r="H1177" s="92"/>
      <c r="I1177" s="92"/>
      <c r="J1177" s="92"/>
      <c r="K1177" s="92"/>
      <c r="L1177" s="92"/>
      <c r="M1177" s="92"/>
      <c r="N1177" s="92"/>
      <c r="O1177" s="92"/>
      <c r="P1177" s="92"/>
      <c r="Q1177" s="92"/>
      <c r="R1177" s="92"/>
      <c r="S1177" s="92"/>
      <c r="T1177" s="92"/>
      <c r="U1177" s="92"/>
      <c r="V1177" s="92"/>
      <c r="W1177" s="92"/>
      <c r="X1177" s="92"/>
      <c r="Y1177" s="92"/>
      <c r="Z1177" s="92"/>
    </row>
    <row r="1178" spans="1:26" ht="12.75">
      <c r="A1178" s="92" t="s">
        <v>8086</v>
      </c>
      <c r="B1178" s="372">
        <v>2016</v>
      </c>
      <c r="C1178" s="372">
        <v>27115264</v>
      </c>
      <c r="D1178" s="92"/>
      <c r="E1178" s="261" t="str">
        <f t="shared" si="0"/>
        <v>https://pubmed.ncbi.nlm.nih.gov/27115264</v>
      </c>
      <c r="F1178" s="92" t="s">
        <v>511</v>
      </c>
      <c r="G1178" s="374" t="s">
        <v>5157</v>
      </c>
      <c r="H1178" s="21"/>
      <c r="I1178" s="21"/>
      <c r="J1178" s="92"/>
      <c r="K1178" s="92"/>
      <c r="L1178" s="92"/>
      <c r="M1178" s="92"/>
      <c r="N1178" s="92"/>
      <c r="O1178" s="92"/>
      <c r="P1178" s="92"/>
      <c r="Q1178" s="92"/>
      <c r="R1178" s="92"/>
      <c r="S1178" s="92"/>
      <c r="T1178" s="92"/>
      <c r="U1178" s="92"/>
      <c r="V1178" s="92"/>
      <c r="W1178" s="92"/>
      <c r="X1178" s="92"/>
      <c r="Y1178" s="92"/>
      <c r="Z1178" s="92"/>
    </row>
    <row r="1179" spans="1:26" ht="12.75">
      <c r="A1179" s="92" t="s">
        <v>8087</v>
      </c>
      <c r="B1179" s="372">
        <v>2015</v>
      </c>
      <c r="C1179" s="372">
        <v>25923779</v>
      </c>
      <c r="D1179" s="92" t="s">
        <v>8088</v>
      </c>
      <c r="E1179" s="261" t="str">
        <f t="shared" si="0"/>
        <v>https://pubmed.ncbi.nlm.nih.gov/25923779</v>
      </c>
      <c r="F1179" s="92" t="s">
        <v>511</v>
      </c>
      <c r="G1179" s="374" t="s">
        <v>8445</v>
      </c>
      <c r="H1179" s="21"/>
      <c r="I1179" s="21"/>
      <c r="J1179" s="92"/>
      <c r="K1179" s="92"/>
      <c r="L1179" s="92"/>
      <c r="M1179" s="92"/>
      <c r="N1179" s="92"/>
      <c r="O1179" s="92"/>
      <c r="P1179" s="92"/>
      <c r="Q1179" s="92"/>
      <c r="R1179" s="92"/>
      <c r="S1179" s="92"/>
      <c r="T1179" s="92"/>
      <c r="U1179" s="92"/>
      <c r="V1179" s="92"/>
      <c r="W1179" s="92"/>
      <c r="X1179" s="92"/>
      <c r="Y1179" s="92"/>
      <c r="Z1179" s="92"/>
    </row>
    <row r="1180" spans="1:26" ht="12.75">
      <c r="A1180" s="92" t="s">
        <v>8090</v>
      </c>
      <c r="B1180" s="372">
        <v>2016</v>
      </c>
      <c r="C1180" s="372">
        <v>25894886</v>
      </c>
      <c r="D1180" s="92" t="s">
        <v>8091</v>
      </c>
      <c r="E1180" s="261" t="str">
        <f t="shared" si="0"/>
        <v>https://pubmed.ncbi.nlm.nih.gov/25894886</v>
      </c>
      <c r="F1180" s="92" t="s">
        <v>511</v>
      </c>
      <c r="G1180" s="92" t="s">
        <v>8412</v>
      </c>
      <c r="H1180" s="92"/>
      <c r="I1180" s="92"/>
      <c r="J1180" s="92"/>
      <c r="K1180" s="92"/>
      <c r="L1180" s="92"/>
      <c r="M1180" s="92"/>
      <c r="N1180" s="92"/>
      <c r="O1180" s="92"/>
      <c r="P1180" s="92"/>
      <c r="Q1180" s="92"/>
      <c r="R1180" s="92"/>
      <c r="S1180" s="92"/>
      <c r="T1180" s="92"/>
      <c r="U1180" s="92"/>
      <c r="V1180" s="92"/>
      <c r="W1180" s="92"/>
      <c r="X1180" s="92"/>
      <c r="Y1180" s="92"/>
      <c r="Z1180" s="92"/>
    </row>
    <row r="1181" spans="1:26" ht="12.75">
      <c r="A1181" s="92" t="s">
        <v>8092</v>
      </c>
      <c r="B1181" s="372">
        <v>2015</v>
      </c>
      <c r="C1181" s="372">
        <v>26168834</v>
      </c>
      <c r="D1181" s="92" t="s">
        <v>8093</v>
      </c>
      <c r="E1181" s="261" t="str">
        <f t="shared" si="0"/>
        <v>https://pubmed.ncbi.nlm.nih.gov/26168834</v>
      </c>
      <c r="F1181" s="92" t="s">
        <v>511</v>
      </c>
      <c r="G1181" s="374" t="s">
        <v>5157</v>
      </c>
      <c r="H1181" s="21"/>
      <c r="I1181" s="21"/>
      <c r="J1181" s="92"/>
      <c r="K1181" s="92"/>
      <c r="L1181" s="92"/>
      <c r="M1181" s="92"/>
      <c r="N1181" s="92"/>
      <c r="O1181" s="92"/>
      <c r="P1181" s="92"/>
      <c r="Q1181" s="92"/>
      <c r="R1181" s="92"/>
      <c r="S1181" s="92"/>
      <c r="T1181" s="92"/>
      <c r="U1181" s="92"/>
      <c r="V1181" s="92"/>
      <c r="W1181" s="92"/>
      <c r="X1181" s="92"/>
      <c r="Y1181" s="92"/>
      <c r="Z1181" s="92"/>
    </row>
    <row r="1182" spans="1:26" ht="12.75">
      <c r="A1182" s="92" t="s">
        <v>8094</v>
      </c>
      <c r="B1182" s="372">
        <v>2020</v>
      </c>
      <c r="C1182" s="372">
        <v>31821904</v>
      </c>
      <c r="D1182" s="92" t="s">
        <v>8095</v>
      </c>
      <c r="E1182" s="261" t="str">
        <f t="shared" si="0"/>
        <v>https://pubmed.ncbi.nlm.nih.gov/31821904</v>
      </c>
      <c r="F1182" s="92" t="s">
        <v>511</v>
      </c>
      <c r="G1182" s="92" t="s">
        <v>8412</v>
      </c>
      <c r="H1182" s="92"/>
      <c r="I1182" s="92"/>
      <c r="J1182" s="92"/>
      <c r="K1182" s="92"/>
      <c r="L1182" s="92"/>
      <c r="M1182" s="92"/>
      <c r="N1182" s="92"/>
      <c r="O1182" s="92"/>
      <c r="P1182" s="92"/>
      <c r="Q1182" s="92"/>
      <c r="R1182" s="92"/>
      <c r="S1182" s="92"/>
      <c r="T1182" s="92"/>
      <c r="U1182" s="92"/>
      <c r="V1182" s="92"/>
      <c r="W1182" s="92"/>
      <c r="X1182" s="92"/>
      <c r="Y1182" s="92"/>
      <c r="Z1182" s="92"/>
    </row>
    <row r="1183" spans="1:26" ht="12.75">
      <c r="A1183" s="92" t="s">
        <v>8096</v>
      </c>
      <c r="B1183" s="372">
        <v>2020</v>
      </c>
      <c r="C1183" s="372">
        <v>32925778</v>
      </c>
      <c r="D1183" s="92" t="s">
        <v>8097</v>
      </c>
      <c r="E1183" s="261" t="str">
        <f t="shared" si="0"/>
        <v>https://pubmed.ncbi.nlm.nih.gov/32925778</v>
      </c>
      <c r="F1183" s="92" t="s">
        <v>511</v>
      </c>
      <c r="G1183" s="374" t="s">
        <v>5299</v>
      </c>
      <c r="H1183" s="21"/>
      <c r="I1183" s="92"/>
      <c r="J1183" s="92"/>
      <c r="K1183" s="92"/>
      <c r="L1183" s="92"/>
      <c r="M1183" s="92"/>
      <c r="N1183" s="92"/>
      <c r="O1183" s="92"/>
      <c r="P1183" s="92"/>
      <c r="Q1183" s="92"/>
      <c r="R1183" s="92"/>
      <c r="S1183" s="92"/>
      <c r="T1183" s="92"/>
      <c r="U1183" s="92"/>
      <c r="V1183" s="92"/>
      <c r="W1183" s="92"/>
      <c r="X1183" s="92"/>
      <c r="Y1183" s="92"/>
      <c r="Z1183" s="92"/>
    </row>
    <row r="1184" spans="1:26" ht="12.75">
      <c r="A1184" s="92" t="s">
        <v>8098</v>
      </c>
      <c r="B1184" s="372">
        <v>2019</v>
      </c>
      <c r="C1184" s="372">
        <v>31235403</v>
      </c>
      <c r="D1184" s="92"/>
      <c r="E1184" s="261" t="str">
        <f t="shared" si="0"/>
        <v>https://pubmed.ncbi.nlm.nih.gov/31235403</v>
      </c>
      <c r="F1184" s="92" t="s">
        <v>511</v>
      </c>
      <c r="G1184" s="92" t="s">
        <v>4592</v>
      </c>
      <c r="H1184" s="92"/>
      <c r="I1184" s="92"/>
      <c r="J1184" s="92"/>
      <c r="K1184" s="92"/>
      <c r="L1184" s="92"/>
      <c r="M1184" s="92"/>
      <c r="N1184" s="92"/>
      <c r="O1184" s="92"/>
      <c r="P1184" s="92"/>
      <c r="Q1184" s="92"/>
      <c r="R1184" s="92"/>
      <c r="S1184" s="92"/>
      <c r="T1184" s="92"/>
      <c r="U1184" s="92"/>
      <c r="V1184" s="92"/>
      <c r="W1184" s="92"/>
      <c r="X1184" s="92"/>
      <c r="Y1184" s="92"/>
      <c r="Z1184" s="92"/>
    </row>
    <row r="1185" spans="1:26" ht="12.75">
      <c r="A1185" s="92" t="s">
        <v>8099</v>
      </c>
      <c r="B1185" s="372">
        <v>2016</v>
      </c>
      <c r="C1185" s="372">
        <v>26718001</v>
      </c>
      <c r="D1185" s="92"/>
      <c r="E1185" s="261" t="str">
        <f t="shared" si="0"/>
        <v>https://pubmed.ncbi.nlm.nih.gov/26718001</v>
      </c>
      <c r="F1185" s="92" t="s">
        <v>511</v>
      </c>
      <c r="G1185" s="92" t="s">
        <v>5273</v>
      </c>
      <c r="H1185" s="92"/>
      <c r="I1185" s="92"/>
      <c r="J1185" s="92"/>
      <c r="K1185" s="92"/>
      <c r="L1185" s="92"/>
      <c r="M1185" s="92"/>
      <c r="N1185" s="92"/>
      <c r="O1185" s="92"/>
      <c r="P1185" s="92"/>
      <c r="Q1185" s="92"/>
      <c r="R1185" s="92"/>
      <c r="S1185" s="92"/>
      <c r="T1185" s="92"/>
      <c r="U1185" s="92"/>
      <c r="V1185" s="92"/>
      <c r="W1185" s="92"/>
      <c r="X1185" s="92"/>
      <c r="Y1185" s="92"/>
      <c r="Z1185" s="92"/>
    </row>
    <row r="1186" spans="1:26" ht="12.75">
      <c r="A1186" s="92" t="s">
        <v>8100</v>
      </c>
      <c r="B1186" s="372">
        <v>2014</v>
      </c>
      <c r="C1186" s="372">
        <v>24276956</v>
      </c>
      <c r="D1186" s="92"/>
      <c r="E1186" s="261" t="str">
        <f t="shared" si="0"/>
        <v>https://pubmed.ncbi.nlm.nih.gov/24276956</v>
      </c>
      <c r="F1186" s="92" t="s">
        <v>511</v>
      </c>
      <c r="G1186" s="92" t="s">
        <v>8412</v>
      </c>
      <c r="H1186" s="92"/>
      <c r="I1186" s="92"/>
      <c r="J1186" s="92"/>
      <c r="K1186" s="92"/>
      <c r="L1186" s="92"/>
      <c r="M1186" s="92"/>
      <c r="N1186" s="92"/>
      <c r="O1186" s="92"/>
      <c r="P1186" s="92"/>
      <c r="Q1186" s="92"/>
      <c r="R1186" s="92"/>
      <c r="S1186" s="92"/>
      <c r="T1186" s="92"/>
      <c r="U1186" s="92"/>
      <c r="V1186" s="92"/>
      <c r="W1186" s="92"/>
      <c r="X1186" s="92"/>
      <c r="Y1186" s="92"/>
      <c r="Z1186" s="92"/>
    </row>
    <row r="1187" spans="1:26" ht="12.75">
      <c r="A1187" s="92" t="s">
        <v>8101</v>
      </c>
      <c r="B1187" s="372">
        <v>2011</v>
      </c>
      <c r="C1187" s="372">
        <v>21306238</v>
      </c>
      <c r="D1187" s="92" t="s">
        <v>8102</v>
      </c>
      <c r="E1187" s="261" t="str">
        <f t="shared" si="0"/>
        <v>https://pubmed.ncbi.nlm.nih.gov/21306238</v>
      </c>
      <c r="F1187" s="92" t="s">
        <v>511</v>
      </c>
      <c r="G1187" s="374" t="s">
        <v>4744</v>
      </c>
      <c r="H1187" s="21"/>
      <c r="I1187" s="92"/>
      <c r="J1187" s="92"/>
      <c r="K1187" s="92"/>
      <c r="L1187" s="92"/>
      <c r="M1187" s="92"/>
      <c r="N1187" s="92"/>
      <c r="O1187" s="92"/>
      <c r="P1187" s="92"/>
      <c r="Q1187" s="92"/>
      <c r="R1187" s="92"/>
      <c r="S1187" s="92"/>
      <c r="T1187" s="92"/>
      <c r="U1187" s="92"/>
      <c r="V1187" s="92"/>
      <c r="W1187" s="92"/>
      <c r="X1187" s="92"/>
      <c r="Y1187" s="92"/>
      <c r="Z1187" s="92"/>
    </row>
    <row r="1188" spans="1:26" ht="12.75">
      <c r="A1188" s="92" t="s">
        <v>8103</v>
      </c>
      <c r="B1188" s="372">
        <v>2018</v>
      </c>
      <c r="C1188" s="372">
        <v>30008076</v>
      </c>
      <c r="D1188" s="92"/>
      <c r="E1188" s="261" t="str">
        <f t="shared" si="0"/>
        <v>https://pubmed.ncbi.nlm.nih.gov/30008076</v>
      </c>
      <c r="F1188" s="92" t="s">
        <v>511</v>
      </c>
      <c r="G1188" s="92" t="s">
        <v>7640</v>
      </c>
      <c r="H1188" s="92"/>
      <c r="I1188" s="92"/>
      <c r="J1188" s="92"/>
      <c r="K1188" s="92"/>
      <c r="L1188" s="92"/>
      <c r="M1188" s="92"/>
      <c r="N1188" s="92"/>
      <c r="O1188" s="92"/>
      <c r="P1188" s="92"/>
      <c r="Q1188" s="92"/>
      <c r="R1188" s="92"/>
      <c r="S1188" s="92"/>
      <c r="T1188" s="92"/>
      <c r="U1188" s="92"/>
      <c r="V1188" s="92"/>
      <c r="W1188" s="92"/>
      <c r="X1188" s="92"/>
      <c r="Y1188" s="92"/>
      <c r="Z1188" s="92"/>
    </row>
    <row r="1189" spans="1:26" ht="12.75">
      <c r="A1189" s="92" t="s">
        <v>8104</v>
      </c>
      <c r="B1189" s="372">
        <v>2018</v>
      </c>
      <c r="C1189" s="372">
        <v>29968171</v>
      </c>
      <c r="D1189" s="92"/>
      <c r="E1189" s="261" t="str">
        <f t="shared" si="0"/>
        <v>https://pubmed.ncbi.nlm.nih.gov/29968171</v>
      </c>
      <c r="F1189" s="92" t="s">
        <v>511</v>
      </c>
      <c r="G1189" s="92" t="s">
        <v>4592</v>
      </c>
      <c r="H1189" s="92"/>
      <c r="I1189" s="92"/>
      <c r="J1189" s="92"/>
      <c r="K1189" s="92"/>
      <c r="L1189" s="92"/>
      <c r="M1189" s="92"/>
      <c r="N1189" s="92"/>
      <c r="O1189" s="92"/>
      <c r="P1189" s="92"/>
      <c r="Q1189" s="92"/>
      <c r="R1189" s="92"/>
      <c r="S1189" s="92"/>
      <c r="T1189" s="92"/>
      <c r="U1189" s="92"/>
      <c r="V1189" s="92"/>
      <c r="W1189" s="92"/>
      <c r="X1189" s="92"/>
      <c r="Y1189" s="92"/>
      <c r="Z1189" s="92"/>
    </row>
    <row r="1190" spans="1:26" ht="12.75">
      <c r="A1190" s="92" t="s">
        <v>8105</v>
      </c>
      <c r="B1190" s="372">
        <v>2017</v>
      </c>
      <c r="C1190" s="372">
        <v>28220330</v>
      </c>
      <c r="D1190" s="92"/>
      <c r="E1190" s="261" t="str">
        <f t="shared" si="0"/>
        <v>https://pubmed.ncbi.nlm.nih.gov/28220330</v>
      </c>
      <c r="F1190" s="92" t="s">
        <v>511</v>
      </c>
      <c r="G1190" s="92" t="s">
        <v>4592</v>
      </c>
      <c r="H1190" s="92"/>
      <c r="I1190" s="92"/>
      <c r="J1190" s="92"/>
      <c r="K1190" s="92"/>
      <c r="L1190" s="92"/>
      <c r="M1190" s="92"/>
      <c r="N1190" s="92"/>
      <c r="O1190" s="92"/>
      <c r="P1190" s="92"/>
      <c r="Q1190" s="92"/>
      <c r="R1190" s="92"/>
      <c r="S1190" s="92"/>
      <c r="T1190" s="92"/>
      <c r="U1190" s="92"/>
      <c r="V1190" s="92"/>
      <c r="W1190" s="92"/>
      <c r="X1190" s="92"/>
      <c r="Y1190" s="92"/>
      <c r="Z1190" s="92"/>
    </row>
    <row r="1191" spans="1:26" ht="12.75">
      <c r="A1191" s="92" t="s">
        <v>8106</v>
      </c>
      <c r="B1191" s="372">
        <v>2015</v>
      </c>
      <c r="C1191" s="372">
        <v>26558953</v>
      </c>
      <c r="D1191" s="92" t="s">
        <v>8107</v>
      </c>
      <c r="E1191" s="261" t="str">
        <f t="shared" si="0"/>
        <v>https://pubmed.ncbi.nlm.nih.gov/26558953</v>
      </c>
      <c r="F1191" s="92" t="s">
        <v>511</v>
      </c>
      <c r="G1191" s="92" t="s">
        <v>4592</v>
      </c>
      <c r="H1191" s="92"/>
      <c r="I1191" s="92"/>
      <c r="J1191" s="92"/>
      <c r="K1191" s="92"/>
      <c r="L1191" s="92"/>
      <c r="M1191" s="92"/>
      <c r="N1191" s="92"/>
      <c r="O1191" s="92"/>
      <c r="P1191" s="92"/>
      <c r="Q1191" s="92"/>
      <c r="R1191" s="92"/>
      <c r="S1191" s="92"/>
      <c r="T1191" s="92"/>
      <c r="U1191" s="92"/>
      <c r="V1191" s="92"/>
      <c r="W1191" s="92"/>
      <c r="X1191" s="92"/>
      <c r="Y1191" s="92"/>
      <c r="Z1191" s="92"/>
    </row>
    <row r="1192" spans="1:26" ht="12.75">
      <c r="A1192" s="92" t="s">
        <v>8108</v>
      </c>
      <c r="B1192" s="372">
        <v>2019</v>
      </c>
      <c r="C1192" s="372">
        <v>30822358</v>
      </c>
      <c r="D1192" s="92" t="s">
        <v>8109</v>
      </c>
      <c r="E1192" s="261" t="str">
        <f t="shared" si="0"/>
        <v>https://pubmed.ncbi.nlm.nih.gov/30822358</v>
      </c>
      <c r="F1192" s="92" t="s">
        <v>511</v>
      </c>
      <c r="G1192" s="374" t="s">
        <v>6585</v>
      </c>
      <c r="H1192" s="21"/>
      <c r="I1192" s="92"/>
      <c r="J1192" s="92"/>
      <c r="K1192" s="92"/>
      <c r="L1192" s="92"/>
      <c r="M1192" s="92"/>
      <c r="N1192" s="92"/>
      <c r="O1192" s="92"/>
      <c r="P1192" s="92"/>
      <c r="Q1192" s="92"/>
      <c r="R1192" s="92"/>
      <c r="S1192" s="92"/>
      <c r="T1192" s="92"/>
      <c r="U1192" s="92"/>
      <c r="V1192" s="92"/>
      <c r="W1192" s="92"/>
      <c r="X1192" s="92"/>
      <c r="Y1192" s="92"/>
      <c r="Z1192" s="92"/>
    </row>
    <row r="1193" spans="1:26" ht="12.75">
      <c r="A1193" s="92" t="s">
        <v>8110</v>
      </c>
      <c r="B1193" s="372">
        <v>2019</v>
      </c>
      <c r="C1193" s="372">
        <v>31314192</v>
      </c>
      <c r="D1193" s="92"/>
      <c r="E1193" s="261" t="str">
        <f t="shared" si="0"/>
        <v>https://pubmed.ncbi.nlm.nih.gov/31314192</v>
      </c>
      <c r="F1193" s="92" t="s">
        <v>511</v>
      </c>
      <c r="G1193" s="92" t="s">
        <v>4592</v>
      </c>
      <c r="H1193" s="92"/>
      <c r="I1193" s="92"/>
      <c r="J1193" s="92"/>
      <c r="K1193" s="92"/>
      <c r="L1193" s="92"/>
      <c r="M1193" s="92"/>
      <c r="N1193" s="92"/>
      <c r="O1193" s="92"/>
      <c r="P1193" s="92"/>
      <c r="Q1193" s="92"/>
      <c r="R1193" s="92"/>
      <c r="S1193" s="92"/>
      <c r="T1193" s="92"/>
      <c r="U1193" s="92"/>
      <c r="V1193" s="92"/>
      <c r="W1193" s="92"/>
      <c r="X1193" s="92"/>
      <c r="Y1193" s="92"/>
      <c r="Z1193" s="92"/>
    </row>
    <row r="1194" spans="1:26" ht="12.75">
      <c r="A1194" s="92" t="s">
        <v>8111</v>
      </c>
      <c r="B1194" s="372">
        <v>2017</v>
      </c>
      <c r="C1194" s="372">
        <v>28847985</v>
      </c>
      <c r="D1194" s="92"/>
      <c r="E1194" s="261" t="str">
        <f t="shared" si="0"/>
        <v>https://pubmed.ncbi.nlm.nih.gov/28847985</v>
      </c>
      <c r="F1194" s="92" t="s">
        <v>511</v>
      </c>
      <c r="G1194" s="92" t="s">
        <v>4592</v>
      </c>
      <c r="H1194" s="92"/>
      <c r="I1194" s="92"/>
      <c r="J1194" s="92"/>
      <c r="K1194" s="92"/>
      <c r="L1194" s="92"/>
      <c r="M1194" s="92"/>
      <c r="N1194" s="92"/>
      <c r="O1194" s="92"/>
      <c r="P1194" s="92"/>
      <c r="Q1194" s="92"/>
      <c r="R1194" s="92"/>
      <c r="S1194" s="92"/>
      <c r="T1194" s="92"/>
      <c r="U1194" s="92"/>
      <c r="V1194" s="92"/>
      <c r="W1194" s="92"/>
      <c r="X1194" s="92"/>
      <c r="Y1194" s="92"/>
      <c r="Z1194" s="92"/>
    </row>
    <row r="1195" spans="1:26" ht="12.75">
      <c r="A1195" s="92" t="s">
        <v>8112</v>
      </c>
      <c r="B1195" s="372">
        <v>2019</v>
      </c>
      <c r="C1195" s="372">
        <v>30264146</v>
      </c>
      <c r="D1195" s="92" t="s">
        <v>8113</v>
      </c>
      <c r="E1195" s="261" t="str">
        <f t="shared" si="0"/>
        <v>https://pubmed.ncbi.nlm.nih.gov/30264146</v>
      </c>
      <c r="F1195" s="92" t="s">
        <v>511</v>
      </c>
      <c r="G1195" s="374" t="s">
        <v>8114</v>
      </c>
      <c r="H1195" s="21"/>
      <c r="I1195" s="92"/>
      <c r="J1195" s="92"/>
      <c r="K1195" s="92"/>
      <c r="L1195" s="92"/>
      <c r="M1195" s="92"/>
      <c r="N1195" s="92"/>
      <c r="O1195" s="92"/>
      <c r="P1195" s="92"/>
      <c r="Q1195" s="92"/>
      <c r="R1195" s="92"/>
      <c r="S1195" s="92"/>
      <c r="T1195" s="92"/>
      <c r="U1195" s="92"/>
      <c r="V1195" s="92"/>
      <c r="W1195" s="92"/>
      <c r="X1195" s="92"/>
      <c r="Y1195" s="92"/>
      <c r="Z1195" s="92"/>
    </row>
    <row r="1196" spans="1:26" ht="12.75">
      <c r="A1196" s="92" t="s">
        <v>8115</v>
      </c>
      <c r="B1196" s="372">
        <v>2012</v>
      </c>
      <c r="C1196" s="372">
        <v>22520143</v>
      </c>
      <c r="D1196" s="92"/>
      <c r="E1196" s="261" t="str">
        <f t="shared" si="0"/>
        <v>https://pubmed.ncbi.nlm.nih.gov/22520143</v>
      </c>
      <c r="F1196" s="92" t="s">
        <v>511</v>
      </c>
      <c r="G1196" s="374" t="s">
        <v>4867</v>
      </c>
      <c r="H1196" s="21"/>
      <c r="I1196" s="92"/>
      <c r="J1196" s="92"/>
      <c r="K1196" s="92"/>
      <c r="L1196" s="92"/>
      <c r="M1196" s="92"/>
      <c r="N1196" s="92"/>
      <c r="O1196" s="92"/>
      <c r="P1196" s="92"/>
      <c r="Q1196" s="92"/>
      <c r="R1196" s="92"/>
      <c r="S1196" s="92"/>
      <c r="T1196" s="92"/>
      <c r="U1196" s="92"/>
      <c r="V1196" s="92"/>
      <c r="W1196" s="92"/>
      <c r="X1196" s="92"/>
      <c r="Y1196" s="92"/>
      <c r="Z1196" s="92"/>
    </row>
    <row r="1197" spans="1:26" ht="12.75">
      <c r="A1197" s="92" t="s">
        <v>8116</v>
      </c>
      <c r="B1197" s="372">
        <v>2006</v>
      </c>
      <c r="C1197" s="372">
        <v>16789795</v>
      </c>
      <c r="D1197" s="92"/>
      <c r="E1197" s="261" t="str">
        <f t="shared" si="0"/>
        <v>https://pubmed.ncbi.nlm.nih.gov/16789795</v>
      </c>
      <c r="F1197" s="92" t="s">
        <v>511</v>
      </c>
      <c r="G1197" s="92" t="s">
        <v>4592</v>
      </c>
      <c r="H1197" s="92"/>
      <c r="I1197" s="92"/>
      <c r="J1197" s="92"/>
      <c r="K1197" s="92"/>
      <c r="L1197" s="92"/>
      <c r="M1197" s="92"/>
      <c r="N1197" s="92"/>
      <c r="O1197" s="92"/>
      <c r="P1197" s="92"/>
      <c r="Q1197" s="92"/>
      <c r="R1197" s="92"/>
      <c r="S1197" s="92"/>
      <c r="T1197" s="92"/>
      <c r="U1197" s="92"/>
      <c r="V1197" s="92"/>
      <c r="W1197" s="92"/>
      <c r="X1197" s="92"/>
      <c r="Y1197" s="92"/>
      <c r="Z1197" s="92"/>
    </row>
    <row r="1198" spans="1:26" ht="12.75">
      <c r="A1198" s="92" t="s">
        <v>8116</v>
      </c>
      <c r="B1198" s="372">
        <v>1996</v>
      </c>
      <c r="C1198" s="372">
        <v>9004827</v>
      </c>
      <c r="D1198" s="92"/>
      <c r="E1198" s="261" t="str">
        <f t="shared" si="0"/>
        <v>https://pubmed.ncbi.nlm.nih.gov/9004827</v>
      </c>
      <c r="F1198" s="92" t="s">
        <v>511</v>
      </c>
      <c r="G1198" s="92" t="s">
        <v>6623</v>
      </c>
      <c r="H1198" s="92"/>
      <c r="I1198" s="92"/>
      <c r="J1198" s="92"/>
      <c r="K1198" s="92"/>
      <c r="L1198" s="92"/>
      <c r="M1198" s="92"/>
      <c r="N1198" s="92"/>
      <c r="O1198" s="92"/>
      <c r="P1198" s="92"/>
      <c r="Q1198" s="92"/>
      <c r="R1198" s="92"/>
      <c r="S1198" s="92"/>
      <c r="T1198" s="92"/>
      <c r="U1198" s="92"/>
      <c r="V1198" s="92"/>
      <c r="W1198" s="92"/>
      <c r="X1198" s="92"/>
      <c r="Y1198" s="92"/>
      <c r="Z1198" s="92"/>
    </row>
    <row r="1199" spans="1:26" ht="12.75">
      <c r="A1199" s="92" t="s">
        <v>8117</v>
      </c>
      <c r="B1199" s="372">
        <v>2013</v>
      </c>
      <c r="C1199" s="372">
        <v>23706063</v>
      </c>
      <c r="D1199" s="92" t="s">
        <v>8118</v>
      </c>
      <c r="E1199" s="261" t="str">
        <f t="shared" si="0"/>
        <v>https://pubmed.ncbi.nlm.nih.gov/23706063</v>
      </c>
      <c r="F1199" s="92" t="s">
        <v>511</v>
      </c>
      <c r="G1199" s="374" t="s">
        <v>4744</v>
      </c>
      <c r="H1199" s="92"/>
      <c r="I1199" s="92" t="s">
        <v>6625</v>
      </c>
      <c r="J1199" s="92"/>
      <c r="K1199" s="92"/>
      <c r="L1199" s="92"/>
      <c r="M1199" s="92"/>
      <c r="N1199" s="92"/>
      <c r="O1199" s="92"/>
      <c r="P1199" s="92"/>
      <c r="Q1199" s="92"/>
      <c r="R1199" s="92"/>
      <c r="S1199" s="92"/>
      <c r="T1199" s="92"/>
      <c r="U1199" s="92"/>
      <c r="V1199" s="92"/>
      <c r="W1199" s="92"/>
      <c r="X1199" s="92"/>
      <c r="Y1199" s="92"/>
      <c r="Z1199" s="92"/>
    </row>
    <row r="1200" spans="1:26" ht="12.75">
      <c r="A1200" s="92" t="s">
        <v>8119</v>
      </c>
      <c r="B1200" s="372">
        <v>2011</v>
      </c>
      <c r="C1200" s="372">
        <v>21820469</v>
      </c>
      <c r="D1200" s="92" t="s">
        <v>8120</v>
      </c>
      <c r="E1200" s="261" t="str">
        <f t="shared" si="0"/>
        <v>https://pubmed.ncbi.nlm.nih.gov/21820469</v>
      </c>
      <c r="F1200" s="92" t="s">
        <v>511</v>
      </c>
      <c r="G1200" s="92" t="s">
        <v>4592</v>
      </c>
      <c r="H1200" s="92"/>
      <c r="I1200" s="92"/>
      <c r="J1200" s="92"/>
      <c r="K1200" s="92"/>
      <c r="L1200" s="92"/>
      <c r="M1200" s="92"/>
      <c r="N1200" s="92"/>
      <c r="O1200" s="92"/>
      <c r="P1200" s="92"/>
      <c r="Q1200" s="92"/>
      <c r="R1200" s="92"/>
      <c r="S1200" s="92"/>
      <c r="T1200" s="92"/>
      <c r="U1200" s="92"/>
      <c r="V1200" s="92"/>
      <c r="W1200" s="92"/>
      <c r="X1200" s="92"/>
      <c r="Y1200" s="92"/>
      <c r="Z1200" s="92"/>
    </row>
    <row r="1201" spans="1:26" ht="12.75">
      <c r="A1201" s="92" t="s">
        <v>8121</v>
      </c>
      <c r="B1201" s="372">
        <v>2014</v>
      </c>
      <c r="C1201" s="372">
        <v>24552184</v>
      </c>
      <c r="D1201" s="92" t="s">
        <v>8122</v>
      </c>
      <c r="E1201" s="261" t="str">
        <f t="shared" si="0"/>
        <v>https://pubmed.ncbi.nlm.nih.gov/24552184</v>
      </c>
      <c r="F1201" s="92" t="s">
        <v>511</v>
      </c>
      <c r="G1201" s="374" t="s">
        <v>4744</v>
      </c>
      <c r="H1201" s="21"/>
      <c r="I1201" s="92"/>
      <c r="J1201" s="92"/>
      <c r="K1201" s="92"/>
      <c r="L1201" s="92"/>
      <c r="M1201" s="92"/>
      <c r="N1201" s="92"/>
      <c r="O1201" s="92"/>
      <c r="P1201" s="92"/>
      <c r="Q1201" s="92"/>
      <c r="R1201" s="92"/>
      <c r="S1201" s="92"/>
      <c r="T1201" s="92"/>
      <c r="U1201" s="92"/>
      <c r="V1201" s="92"/>
      <c r="W1201" s="92"/>
      <c r="X1201" s="92"/>
      <c r="Y1201" s="92"/>
      <c r="Z1201" s="92"/>
    </row>
    <row r="1202" spans="1:26" ht="12.75">
      <c r="A1202" s="92" t="s">
        <v>8121</v>
      </c>
      <c r="B1202" s="372">
        <v>2009</v>
      </c>
      <c r="C1202" s="372">
        <v>19995118</v>
      </c>
      <c r="D1202" s="92"/>
      <c r="E1202" s="261" t="str">
        <f t="shared" si="0"/>
        <v>https://pubmed.ncbi.nlm.nih.gov/19995118</v>
      </c>
      <c r="F1202" s="92" t="s">
        <v>511</v>
      </c>
      <c r="G1202" s="374" t="s">
        <v>4867</v>
      </c>
      <c r="H1202" s="21"/>
      <c r="I1202" s="92"/>
      <c r="J1202" s="92"/>
      <c r="K1202" s="92"/>
      <c r="L1202" s="92"/>
      <c r="M1202" s="92"/>
      <c r="N1202" s="92"/>
      <c r="O1202" s="92"/>
      <c r="P1202" s="92"/>
      <c r="Q1202" s="92"/>
      <c r="R1202" s="92"/>
      <c r="S1202" s="92"/>
      <c r="T1202" s="92"/>
      <c r="U1202" s="92"/>
      <c r="V1202" s="92"/>
      <c r="W1202" s="92"/>
      <c r="X1202" s="92"/>
      <c r="Y1202" s="92"/>
      <c r="Z1202" s="92"/>
    </row>
    <row r="1203" spans="1:26" ht="12.75">
      <c r="A1203" s="92" t="s">
        <v>8121</v>
      </c>
      <c r="B1203" s="372">
        <v>2017</v>
      </c>
      <c r="C1203" s="372">
        <v>28916599</v>
      </c>
      <c r="D1203" s="92" t="s">
        <v>8123</v>
      </c>
      <c r="E1203" s="261" t="str">
        <f t="shared" si="0"/>
        <v>https://pubmed.ncbi.nlm.nih.gov/28916599</v>
      </c>
      <c r="F1203" s="92" t="s">
        <v>511</v>
      </c>
      <c r="G1203" s="374" t="s">
        <v>5157</v>
      </c>
      <c r="H1203" s="21"/>
      <c r="I1203" s="21"/>
      <c r="J1203" s="92"/>
      <c r="K1203" s="92"/>
      <c r="L1203" s="92"/>
      <c r="M1203" s="92"/>
      <c r="N1203" s="92"/>
      <c r="O1203" s="92"/>
      <c r="P1203" s="92"/>
      <c r="Q1203" s="92"/>
      <c r="R1203" s="92"/>
      <c r="S1203" s="92"/>
      <c r="T1203" s="92"/>
      <c r="U1203" s="92"/>
      <c r="V1203" s="92"/>
      <c r="W1203" s="92"/>
      <c r="X1203" s="92"/>
      <c r="Y1203" s="92"/>
      <c r="Z1203" s="92"/>
    </row>
    <row r="1204" spans="1:26" ht="12.75">
      <c r="A1204" s="92" t="s">
        <v>8124</v>
      </c>
      <c r="B1204" s="372">
        <v>2010</v>
      </c>
      <c r="C1204" s="372">
        <v>20600013</v>
      </c>
      <c r="D1204" s="92"/>
      <c r="E1204" s="261" t="str">
        <f t="shared" si="0"/>
        <v>https://pubmed.ncbi.nlm.nih.gov/20600013</v>
      </c>
      <c r="F1204" s="92" t="s">
        <v>511</v>
      </c>
      <c r="G1204" s="374" t="s">
        <v>4744</v>
      </c>
      <c r="H1204" s="21"/>
      <c r="I1204" s="92"/>
      <c r="J1204" s="92"/>
      <c r="K1204" s="92"/>
      <c r="L1204" s="92"/>
      <c r="M1204" s="92"/>
      <c r="N1204" s="92"/>
      <c r="O1204" s="92"/>
      <c r="P1204" s="92"/>
      <c r="Q1204" s="92"/>
      <c r="R1204" s="92"/>
      <c r="S1204" s="92"/>
      <c r="T1204" s="92"/>
      <c r="U1204" s="92"/>
      <c r="V1204" s="92"/>
      <c r="W1204" s="92"/>
      <c r="X1204" s="92"/>
      <c r="Y1204" s="92"/>
      <c r="Z1204" s="92"/>
    </row>
    <row r="1205" spans="1:26" ht="12.75">
      <c r="A1205" s="92" t="s">
        <v>8124</v>
      </c>
      <c r="B1205" s="372">
        <v>2000</v>
      </c>
      <c r="C1205" s="372">
        <v>11106715</v>
      </c>
      <c r="D1205" s="92"/>
      <c r="E1205" s="261" t="str">
        <f t="shared" si="0"/>
        <v>https://pubmed.ncbi.nlm.nih.gov/11106715</v>
      </c>
      <c r="F1205" s="92" t="s">
        <v>511</v>
      </c>
      <c r="G1205" s="374" t="s">
        <v>4744</v>
      </c>
      <c r="H1205" s="21"/>
      <c r="I1205" s="92"/>
      <c r="J1205" s="92"/>
      <c r="K1205" s="92"/>
      <c r="L1205" s="92"/>
      <c r="M1205" s="92"/>
      <c r="N1205" s="92"/>
      <c r="O1205" s="92"/>
      <c r="P1205" s="92"/>
      <c r="Q1205" s="92"/>
      <c r="R1205" s="92"/>
      <c r="S1205" s="92"/>
      <c r="T1205" s="92"/>
      <c r="U1205" s="92"/>
      <c r="V1205" s="92"/>
      <c r="W1205" s="92"/>
      <c r="X1205" s="92"/>
      <c r="Y1205" s="92"/>
      <c r="Z1205" s="92"/>
    </row>
    <row r="1206" spans="1:26" ht="12.75">
      <c r="A1206" s="92" t="s">
        <v>8125</v>
      </c>
      <c r="B1206" s="372">
        <v>2019</v>
      </c>
      <c r="C1206" s="372">
        <v>30712199</v>
      </c>
      <c r="D1206" s="92"/>
      <c r="E1206" s="261" t="str">
        <f t="shared" si="0"/>
        <v>https://pubmed.ncbi.nlm.nih.gov/30712199</v>
      </c>
      <c r="F1206" s="92" t="s">
        <v>511</v>
      </c>
      <c r="G1206" s="92" t="s">
        <v>4592</v>
      </c>
      <c r="H1206" s="92"/>
      <c r="I1206" s="92"/>
      <c r="J1206" s="92"/>
      <c r="K1206" s="92"/>
      <c r="L1206" s="92"/>
      <c r="M1206" s="92"/>
      <c r="N1206" s="92"/>
      <c r="O1206" s="92"/>
      <c r="P1206" s="92"/>
      <c r="Q1206" s="92"/>
      <c r="R1206" s="92"/>
      <c r="S1206" s="92"/>
      <c r="T1206" s="92"/>
      <c r="U1206" s="92"/>
      <c r="V1206" s="92"/>
      <c r="W1206" s="92"/>
      <c r="X1206" s="92"/>
      <c r="Y1206" s="92"/>
      <c r="Z1206" s="92"/>
    </row>
    <row r="1207" spans="1:26" ht="12.75">
      <c r="A1207" s="92" t="s">
        <v>8126</v>
      </c>
      <c r="B1207" s="372">
        <v>2019</v>
      </c>
      <c r="C1207" s="372">
        <v>31835962</v>
      </c>
      <c r="D1207" s="92" t="s">
        <v>8127</v>
      </c>
      <c r="E1207" s="261" t="str">
        <f t="shared" si="0"/>
        <v>https://pubmed.ncbi.nlm.nih.gov/31835962</v>
      </c>
      <c r="F1207" s="92" t="s">
        <v>511</v>
      </c>
      <c r="G1207" s="374" t="s">
        <v>8128</v>
      </c>
      <c r="H1207" s="21"/>
      <c r="I1207" s="92"/>
      <c r="J1207" s="92"/>
      <c r="K1207" s="92"/>
      <c r="L1207" s="92"/>
      <c r="M1207" s="92"/>
      <c r="N1207" s="92"/>
      <c r="O1207" s="92"/>
      <c r="P1207" s="92"/>
      <c r="Q1207" s="92"/>
      <c r="R1207" s="92"/>
      <c r="S1207" s="92"/>
      <c r="T1207" s="92"/>
      <c r="U1207" s="92"/>
      <c r="V1207" s="92"/>
      <c r="W1207" s="92"/>
      <c r="X1207" s="92"/>
      <c r="Y1207" s="92"/>
      <c r="Z1207" s="92"/>
    </row>
    <row r="1208" spans="1:26" ht="12.75">
      <c r="A1208" s="92" t="s">
        <v>8129</v>
      </c>
      <c r="B1208" s="372">
        <v>2009</v>
      </c>
      <c r="C1208" s="372">
        <v>19856067</v>
      </c>
      <c r="D1208" s="92"/>
      <c r="E1208" s="261" t="str">
        <f t="shared" si="0"/>
        <v>https://pubmed.ncbi.nlm.nih.gov/19856067</v>
      </c>
      <c r="F1208" s="92" t="s">
        <v>511</v>
      </c>
      <c r="G1208" s="374" t="s">
        <v>4744</v>
      </c>
      <c r="H1208" s="21"/>
      <c r="I1208" s="92"/>
      <c r="J1208" s="92"/>
      <c r="K1208" s="92"/>
      <c r="L1208" s="92"/>
      <c r="M1208" s="92"/>
      <c r="N1208" s="92"/>
      <c r="O1208" s="92"/>
      <c r="P1208" s="92"/>
      <c r="Q1208" s="92"/>
      <c r="R1208" s="92"/>
      <c r="S1208" s="92"/>
      <c r="T1208" s="92"/>
      <c r="U1208" s="92"/>
      <c r="V1208" s="92"/>
      <c r="W1208" s="92"/>
      <c r="X1208" s="92"/>
      <c r="Y1208" s="92"/>
      <c r="Z1208" s="92"/>
    </row>
    <row r="1209" spans="1:26" ht="12.75">
      <c r="A1209" s="92" t="s">
        <v>8130</v>
      </c>
      <c r="B1209" s="372">
        <v>2017</v>
      </c>
      <c r="C1209" s="372">
        <v>29265171</v>
      </c>
      <c r="D1209" s="92" t="s">
        <v>8131</v>
      </c>
      <c r="E1209" s="261" t="str">
        <f t="shared" si="0"/>
        <v>https://pubmed.ncbi.nlm.nih.gov/29265171</v>
      </c>
      <c r="F1209" s="92" t="s">
        <v>511</v>
      </c>
      <c r="G1209" s="92" t="s">
        <v>4592</v>
      </c>
      <c r="H1209" s="92"/>
      <c r="I1209" s="92"/>
      <c r="J1209" s="92"/>
      <c r="K1209" s="92"/>
      <c r="L1209" s="92"/>
      <c r="M1209" s="92"/>
      <c r="N1209" s="92"/>
      <c r="O1209" s="92"/>
      <c r="P1209" s="92"/>
      <c r="Q1209" s="92"/>
      <c r="R1209" s="92"/>
      <c r="S1209" s="92"/>
      <c r="T1209" s="92"/>
      <c r="U1209" s="92"/>
      <c r="V1209" s="92"/>
      <c r="W1209" s="92"/>
      <c r="X1209" s="92"/>
      <c r="Y1209" s="92"/>
      <c r="Z1209" s="92"/>
    </row>
    <row r="1210" spans="1:26" ht="12.75">
      <c r="A1210" s="92" t="s">
        <v>8130</v>
      </c>
      <c r="B1210" s="372">
        <v>2013</v>
      </c>
      <c r="C1210" s="372">
        <v>23900970</v>
      </c>
      <c r="D1210" s="92"/>
      <c r="E1210" s="261" t="str">
        <f t="shared" si="0"/>
        <v>https://pubmed.ncbi.nlm.nih.gov/23900970</v>
      </c>
      <c r="F1210" s="92" t="s">
        <v>511</v>
      </c>
      <c r="G1210" s="92" t="s">
        <v>4592</v>
      </c>
      <c r="H1210" s="92"/>
      <c r="I1210" s="92"/>
      <c r="J1210" s="92"/>
      <c r="K1210" s="92"/>
      <c r="L1210" s="92"/>
      <c r="M1210" s="92"/>
      <c r="N1210" s="92"/>
      <c r="O1210" s="92"/>
      <c r="P1210" s="92"/>
      <c r="Q1210" s="92"/>
      <c r="R1210" s="92"/>
      <c r="S1210" s="92"/>
      <c r="T1210" s="92"/>
      <c r="U1210" s="92"/>
      <c r="V1210" s="92"/>
      <c r="W1210" s="92"/>
      <c r="X1210" s="92"/>
      <c r="Y1210" s="92"/>
      <c r="Z1210" s="92"/>
    </row>
    <row r="1211" spans="1:26" ht="12.75">
      <c r="A1211" s="92" t="s">
        <v>8132</v>
      </c>
      <c r="B1211" s="372">
        <v>2019</v>
      </c>
      <c r="C1211" s="372">
        <v>31032524</v>
      </c>
      <c r="D1211" s="92"/>
      <c r="E1211" s="261" t="str">
        <f t="shared" si="0"/>
        <v>https://pubmed.ncbi.nlm.nih.gov/31032524</v>
      </c>
      <c r="F1211" s="92" t="s">
        <v>511</v>
      </c>
      <c r="G1211" s="374" t="s">
        <v>6712</v>
      </c>
      <c r="H1211" s="21"/>
      <c r="I1211" s="92"/>
      <c r="J1211" s="92"/>
      <c r="K1211" s="92"/>
      <c r="L1211" s="92"/>
      <c r="M1211" s="92"/>
      <c r="N1211" s="92"/>
      <c r="O1211" s="92"/>
      <c r="P1211" s="92"/>
      <c r="Q1211" s="92"/>
      <c r="R1211" s="92"/>
      <c r="S1211" s="92"/>
      <c r="T1211" s="92"/>
      <c r="U1211" s="92"/>
      <c r="V1211" s="92"/>
      <c r="W1211" s="92"/>
      <c r="X1211" s="92"/>
      <c r="Y1211" s="92"/>
      <c r="Z1211" s="92"/>
    </row>
    <row r="1212" spans="1:26" ht="12.75">
      <c r="A1212" s="92" t="s">
        <v>8133</v>
      </c>
      <c r="B1212" s="372">
        <v>2016</v>
      </c>
      <c r="C1212" s="372">
        <v>26837471</v>
      </c>
      <c r="D1212" s="92" t="s">
        <v>8134</v>
      </c>
      <c r="E1212" s="261" t="str">
        <f t="shared" si="0"/>
        <v>https://pubmed.ncbi.nlm.nih.gov/26837471</v>
      </c>
      <c r="F1212" s="92" t="s">
        <v>511</v>
      </c>
      <c r="G1212" s="374" t="s">
        <v>4867</v>
      </c>
      <c r="H1212" s="21"/>
      <c r="I1212" s="92"/>
      <c r="J1212" s="92"/>
      <c r="K1212" s="92"/>
      <c r="L1212" s="92"/>
      <c r="M1212" s="92"/>
      <c r="N1212" s="92"/>
      <c r="O1212" s="92"/>
      <c r="P1212" s="92"/>
      <c r="Q1212" s="92"/>
      <c r="R1212" s="92"/>
      <c r="S1212" s="92"/>
      <c r="T1212" s="92"/>
      <c r="U1212" s="92"/>
      <c r="V1212" s="92"/>
      <c r="W1212" s="92"/>
      <c r="X1212" s="92"/>
      <c r="Y1212" s="92"/>
      <c r="Z1212" s="92"/>
    </row>
    <row r="1213" spans="1:26" ht="12.75">
      <c r="A1213" s="92" t="s">
        <v>5230</v>
      </c>
      <c r="B1213" s="372">
        <v>2017</v>
      </c>
      <c r="C1213" s="372">
        <v>28424287</v>
      </c>
      <c r="D1213" s="92" t="s">
        <v>8135</v>
      </c>
      <c r="E1213" s="261" t="str">
        <f t="shared" si="0"/>
        <v>https://pubmed.ncbi.nlm.nih.gov/28424287</v>
      </c>
      <c r="F1213" s="92" t="s">
        <v>511</v>
      </c>
      <c r="G1213" s="374" t="s">
        <v>8446</v>
      </c>
      <c r="H1213" s="21"/>
      <c r="I1213" s="92"/>
      <c r="J1213" s="92"/>
      <c r="K1213" s="92"/>
      <c r="L1213" s="92"/>
      <c r="M1213" s="92"/>
      <c r="N1213" s="92"/>
      <c r="O1213" s="92"/>
      <c r="P1213" s="92"/>
      <c r="Q1213" s="92"/>
      <c r="R1213" s="92"/>
      <c r="S1213" s="92"/>
      <c r="T1213" s="92"/>
      <c r="U1213" s="92"/>
      <c r="V1213" s="92"/>
      <c r="W1213" s="92"/>
      <c r="X1213" s="92"/>
      <c r="Y1213" s="92"/>
      <c r="Z1213" s="92"/>
    </row>
    <row r="1214" spans="1:26" ht="12.75">
      <c r="A1214" s="92" t="s">
        <v>8137</v>
      </c>
      <c r="B1214" s="372">
        <v>2020</v>
      </c>
      <c r="C1214" s="372">
        <v>32360583</v>
      </c>
      <c r="D1214" s="92" t="s">
        <v>8138</v>
      </c>
      <c r="E1214" s="261" t="str">
        <f t="shared" si="0"/>
        <v>https://pubmed.ncbi.nlm.nih.gov/32360583</v>
      </c>
      <c r="F1214" s="92" t="s">
        <v>511</v>
      </c>
      <c r="G1214" s="92" t="s">
        <v>8412</v>
      </c>
      <c r="H1214" s="92"/>
      <c r="I1214" s="92"/>
      <c r="J1214" s="92"/>
      <c r="K1214" s="92"/>
      <c r="L1214" s="92"/>
      <c r="M1214" s="92"/>
      <c r="N1214" s="92"/>
      <c r="O1214" s="92"/>
      <c r="P1214" s="92"/>
      <c r="Q1214" s="92"/>
      <c r="R1214" s="92"/>
      <c r="S1214" s="92"/>
      <c r="T1214" s="92"/>
      <c r="U1214" s="92"/>
      <c r="V1214" s="92"/>
      <c r="W1214" s="92"/>
      <c r="X1214" s="92"/>
      <c r="Y1214" s="92"/>
      <c r="Z1214" s="92"/>
    </row>
    <row r="1215" spans="1:26" ht="12.75">
      <c r="A1215" s="92" t="s">
        <v>8139</v>
      </c>
      <c r="B1215" s="372">
        <v>2019</v>
      </c>
      <c r="C1215" s="372">
        <v>31182140</v>
      </c>
      <c r="D1215" s="92" t="s">
        <v>8140</v>
      </c>
      <c r="E1215" s="261" t="str">
        <f t="shared" si="0"/>
        <v>https://pubmed.ncbi.nlm.nih.gov/31182140</v>
      </c>
      <c r="F1215" s="92" t="s">
        <v>511</v>
      </c>
      <c r="G1215" s="374" t="s">
        <v>8422</v>
      </c>
      <c r="H1215" s="92"/>
      <c r="I1215" s="92"/>
      <c r="J1215" s="92"/>
      <c r="K1215" s="92"/>
      <c r="L1215" s="92"/>
      <c r="M1215" s="92"/>
      <c r="N1215" s="92"/>
      <c r="O1215" s="92"/>
      <c r="P1215" s="92"/>
      <c r="Q1215" s="92"/>
      <c r="R1215" s="92"/>
      <c r="S1215" s="92"/>
      <c r="T1215" s="92"/>
      <c r="U1215" s="92"/>
      <c r="V1215" s="92"/>
      <c r="W1215" s="92"/>
      <c r="X1215" s="92"/>
      <c r="Y1215" s="92"/>
      <c r="Z1215" s="92"/>
    </row>
    <row r="1216" spans="1:26" ht="12.75">
      <c r="A1216" s="92" t="s">
        <v>8141</v>
      </c>
      <c r="B1216" s="372">
        <v>2015</v>
      </c>
      <c r="C1216" s="372">
        <v>26378046</v>
      </c>
      <c r="D1216" s="92" t="s">
        <v>8142</v>
      </c>
      <c r="E1216" s="261" t="str">
        <f t="shared" si="0"/>
        <v>https://pubmed.ncbi.nlm.nih.gov/26378046</v>
      </c>
      <c r="F1216" s="92" t="s">
        <v>511</v>
      </c>
      <c r="G1216" s="92" t="s">
        <v>8412</v>
      </c>
      <c r="H1216" s="92"/>
      <c r="I1216" s="92"/>
      <c r="J1216" s="92"/>
      <c r="K1216" s="92"/>
      <c r="L1216" s="92"/>
      <c r="M1216" s="92"/>
      <c r="N1216" s="92"/>
      <c r="O1216" s="92"/>
      <c r="P1216" s="92"/>
      <c r="Q1216" s="92"/>
      <c r="R1216" s="92"/>
      <c r="S1216" s="92"/>
      <c r="T1216" s="92"/>
      <c r="U1216" s="92"/>
      <c r="V1216" s="92"/>
      <c r="W1216" s="92"/>
      <c r="X1216" s="92"/>
      <c r="Y1216" s="92"/>
      <c r="Z1216" s="92"/>
    </row>
    <row r="1217" spans="1:26" ht="12.75">
      <c r="A1217" s="92" t="s">
        <v>8143</v>
      </c>
      <c r="B1217" s="372">
        <v>2018</v>
      </c>
      <c r="C1217" s="372">
        <v>29884593</v>
      </c>
      <c r="D1217" s="92"/>
      <c r="E1217" s="261" t="str">
        <f t="shared" si="0"/>
        <v>https://pubmed.ncbi.nlm.nih.gov/29884593</v>
      </c>
      <c r="F1217" s="92" t="s">
        <v>511</v>
      </c>
      <c r="G1217" s="374" t="s">
        <v>4744</v>
      </c>
      <c r="H1217" s="21"/>
      <c r="I1217" s="92"/>
      <c r="J1217" s="92"/>
      <c r="K1217" s="92"/>
      <c r="L1217" s="92"/>
      <c r="M1217" s="92"/>
      <c r="N1217" s="92"/>
      <c r="O1217" s="92"/>
      <c r="P1217" s="92"/>
      <c r="Q1217" s="92"/>
      <c r="R1217" s="92"/>
      <c r="S1217" s="92"/>
      <c r="T1217" s="92"/>
      <c r="U1217" s="92"/>
      <c r="V1217" s="92"/>
      <c r="W1217" s="92"/>
      <c r="X1217" s="92"/>
      <c r="Y1217" s="92"/>
      <c r="Z1217" s="92"/>
    </row>
    <row r="1218" spans="1:26" ht="12.75">
      <c r="A1218" s="92" t="s">
        <v>8144</v>
      </c>
      <c r="B1218" s="372">
        <v>2003</v>
      </c>
      <c r="C1218" s="372">
        <v>14768404</v>
      </c>
      <c r="D1218" s="92"/>
      <c r="E1218" s="261" t="str">
        <f t="shared" si="0"/>
        <v>https://pubmed.ncbi.nlm.nih.gov/14768404</v>
      </c>
      <c r="F1218" s="92" t="s">
        <v>511</v>
      </c>
      <c r="G1218" s="92" t="s">
        <v>4592</v>
      </c>
      <c r="H1218" s="92"/>
      <c r="I1218" s="92"/>
      <c r="J1218" s="92"/>
      <c r="K1218" s="92"/>
      <c r="L1218" s="92"/>
      <c r="M1218" s="92"/>
      <c r="N1218" s="92"/>
      <c r="O1218" s="92"/>
      <c r="P1218" s="92"/>
      <c r="Q1218" s="92"/>
      <c r="R1218" s="92"/>
      <c r="S1218" s="92"/>
      <c r="T1218" s="92"/>
      <c r="U1218" s="92"/>
      <c r="V1218" s="92"/>
      <c r="W1218" s="92"/>
      <c r="X1218" s="92"/>
      <c r="Y1218" s="92"/>
      <c r="Z1218" s="92"/>
    </row>
    <row r="1219" spans="1:26" ht="12.75">
      <c r="A1219" s="92" t="s">
        <v>8145</v>
      </c>
      <c r="B1219" s="372">
        <v>2020</v>
      </c>
      <c r="C1219" s="372">
        <v>31539538</v>
      </c>
      <c r="D1219" s="92" t="s">
        <v>8146</v>
      </c>
      <c r="E1219" s="261" t="str">
        <f t="shared" si="0"/>
        <v>https://pubmed.ncbi.nlm.nih.gov/31539538</v>
      </c>
      <c r="F1219" s="92" t="s">
        <v>511</v>
      </c>
      <c r="G1219" s="92" t="s">
        <v>4592</v>
      </c>
      <c r="H1219" s="92"/>
      <c r="I1219" s="92"/>
      <c r="J1219" s="92"/>
      <c r="K1219" s="92"/>
      <c r="L1219" s="92"/>
      <c r="M1219" s="92"/>
      <c r="N1219" s="92"/>
      <c r="O1219" s="92"/>
      <c r="P1219" s="92"/>
      <c r="Q1219" s="92"/>
      <c r="R1219" s="92"/>
      <c r="S1219" s="92"/>
      <c r="T1219" s="92"/>
      <c r="U1219" s="92"/>
      <c r="V1219" s="92"/>
      <c r="W1219" s="92"/>
      <c r="X1219" s="92"/>
      <c r="Y1219" s="92"/>
      <c r="Z1219" s="92"/>
    </row>
    <row r="1220" spans="1:26" ht="12.75">
      <c r="A1220" s="92" t="s">
        <v>8147</v>
      </c>
      <c r="B1220" s="372">
        <v>2018</v>
      </c>
      <c r="C1220" s="372">
        <v>29714519</v>
      </c>
      <c r="D1220" s="92"/>
      <c r="E1220" s="261" t="str">
        <f t="shared" si="0"/>
        <v>https://pubmed.ncbi.nlm.nih.gov/29714519</v>
      </c>
      <c r="F1220" s="92" t="s">
        <v>511</v>
      </c>
      <c r="G1220" s="92" t="s">
        <v>4592</v>
      </c>
      <c r="H1220" s="92"/>
      <c r="I1220" s="92"/>
      <c r="J1220" s="92"/>
      <c r="K1220" s="92"/>
      <c r="L1220" s="92"/>
      <c r="M1220" s="92"/>
      <c r="N1220" s="92"/>
      <c r="O1220" s="92"/>
      <c r="P1220" s="92"/>
      <c r="Q1220" s="92"/>
      <c r="R1220" s="92"/>
      <c r="S1220" s="92"/>
      <c r="T1220" s="92"/>
      <c r="U1220" s="92"/>
      <c r="V1220" s="92"/>
      <c r="W1220" s="92"/>
      <c r="X1220" s="92"/>
      <c r="Y1220" s="92"/>
      <c r="Z1220" s="92"/>
    </row>
    <row r="1221" spans="1:26" ht="12.75">
      <c r="A1221" s="92" t="s">
        <v>8148</v>
      </c>
      <c r="B1221" s="372">
        <v>2019</v>
      </c>
      <c r="C1221" s="372">
        <v>31752973</v>
      </c>
      <c r="D1221" s="92" t="s">
        <v>8149</v>
      </c>
      <c r="E1221" s="261" t="str">
        <f t="shared" si="0"/>
        <v>https://pubmed.ncbi.nlm.nih.gov/31752973</v>
      </c>
      <c r="F1221" s="92" t="s">
        <v>511</v>
      </c>
      <c r="G1221" s="92" t="s">
        <v>8412</v>
      </c>
      <c r="H1221" s="92"/>
      <c r="I1221" s="92"/>
      <c r="J1221" s="92"/>
      <c r="K1221" s="92"/>
      <c r="L1221" s="92"/>
      <c r="M1221" s="92"/>
      <c r="N1221" s="92"/>
      <c r="O1221" s="92"/>
      <c r="P1221" s="92"/>
      <c r="Q1221" s="92"/>
      <c r="R1221" s="92"/>
      <c r="S1221" s="92"/>
      <c r="T1221" s="92"/>
      <c r="U1221" s="92"/>
      <c r="V1221" s="92"/>
      <c r="W1221" s="92"/>
      <c r="X1221" s="92"/>
      <c r="Y1221" s="92"/>
      <c r="Z1221" s="92"/>
    </row>
    <row r="1222" spans="1:26" ht="12.75">
      <c r="A1222" s="92"/>
      <c r="B1222" s="372">
        <v>1998</v>
      </c>
      <c r="C1222" s="372">
        <v>9738173</v>
      </c>
      <c r="D1222" s="92"/>
      <c r="E1222" s="261" t="str">
        <f t="shared" si="0"/>
        <v>https://pubmed.ncbi.nlm.nih.gov/9738173</v>
      </c>
      <c r="F1222" s="92" t="s">
        <v>511</v>
      </c>
      <c r="G1222" s="374" t="s">
        <v>4744</v>
      </c>
      <c r="H1222" s="21"/>
      <c r="I1222" s="92"/>
      <c r="J1222" s="92"/>
      <c r="K1222" s="92"/>
      <c r="L1222" s="92"/>
      <c r="M1222" s="92"/>
      <c r="N1222" s="92"/>
      <c r="O1222" s="92"/>
      <c r="P1222" s="92"/>
      <c r="Q1222" s="92"/>
      <c r="R1222" s="92"/>
      <c r="S1222" s="92"/>
      <c r="T1222" s="92"/>
      <c r="U1222" s="92"/>
      <c r="V1222" s="92"/>
      <c r="W1222" s="92"/>
      <c r="X1222" s="92"/>
      <c r="Y1222" s="92"/>
      <c r="Z1222" s="92"/>
    </row>
    <row r="1223" spans="1:26" ht="12.75">
      <c r="A1223" s="92"/>
      <c r="B1223" s="372"/>
      <c r="C1223" s="372"/>
      <c r="D1223" s="92"/>
      <c r="E1223" s="92"/>
      <c r="F1223" s="92"/>
      <c r="G1223" s="92"/>
      <c r="H1223" s="92"/>
      <c r="I1223" s="92"/>
      <c r="J1223" s="92"/>
      <c r="K1223" s="92"/>
      <c r="L1223" s="92"/>
      <c r="M1223" s="92"/>
      <c r="N1223" s="92"/>
      <c r="O1223" s="92"/>
      <c r="P1223" s="92"/>
      <c r="Q1223" s="92"/>
      <c r="R1223" s="92"/>
      <c r="S1223" s="92"/>
      <c r="T1223" s="92"/>
      <c r="U1223" s="92"/>
      <c r="V1223" s="92"/>
      <c r="W1223" s="92"/>
      <c r="X1223" s="92"/>
      <c r="Y1223" s="92"/>
      <c r="Z1223" s="92"/>
    </row>
    <row r="1224" spans="1:26" ht="12.75">
      <c r="A1224" s="92"/>
      <c r="B1224" s="372"/>
      <c r="C1224" s="372"/>
      <c r="D1224" s="92"/>
      <c r="E1224" s="92"/>
      <c r="F1224" s="92"/>
      <c r="G1224" s="92"/>
      <c r="H1224" s="92"/>
      <c r="I1224" s="92"/>
      <c r="J1224" s="92"/>
      <c r="K1224" s="92"/>
      <c r="L1224" s="92"/>
      <c r="M1224" s="92"/>
      <c r="N1224" s="92"/>
      <c r="O1224" s="92"/>
      <c r="P1224" s="92"/>
      <c r="Q1224" s="92"/>
      <c r="R1224" s="92"/>
      <c r="S1224" s="92"/>
      <c r="T1224" s="92"/>
      <c r="U1224" s="92"/>
      <c r="V1224" s="92"/>
      <c r="W1224" s="92"/>
      <c r="X1224" s="92"/>
      <c r="Y1224" s="92"/>
      <c r="Z1224" s="92"/>
    </row>
    <row r="1225" spans="1:26" ht="12.75">
      <c r="A1225" s="92"/>
      <c r="B1225" s="372"/>
      <c r="C1225" s="372"/>
      <c r="D1225" s="92"/>
      <c r="E1225" s="92"/>
      <c r="F1225" s="92"/>
      <c r="G1225" s="92"/>
      <c r="H1225" s="92"/>
      <c r="I1225" s="92"/>
      <c r="J1225" s="92"/>
      <c r="K1225" s="92"/>
      <c r="L1225" s="92"/>
      <c r="M1225" s="92"/>
      <c r="N1225" s="92"/>
      <c r="O1225" s="92"/>
      <c r="P1225" s="92"/>
      <c r="Q1225" s="92"/>
      <c r="R1225" s="92"/>
      <c r="S1225" s="92"/>
      <c r="T1225" s="92"/>
      <c r="U1225" s="92"/>
      <c r="V1225" s="92"/>
      <c r="W1225" s="92"/>
      <c r="X1225" s="92"/>
      <c r="Y1225" s="92"/>
      <c r="Z1225" s="92"/>
    </row>
    <row r="1226" spans="1:26" ht="12.75">
      <c r="A1226" s="92"/>
      <c r="B1226" s="372"/>
      <c r="C1226" s="372"/>
      <c r="D1226" s="92"/>
      <c r="E1226" s="92"/>
      <c r="F1226" s="92"/>
      <c r="G1226" s="92"/>
      <c r="H1226" s="92"/>
      <c r="I1226" s="92"/>
      <c r="J1226" s="92"/>
      <c r="K1226" s="92"/>
      <c r="L1226" s="92"/>
      <c r="M1226" s="92"/>
      <c r="N1226" s="92"/>
      <c r="O1226" s="92"/>
      <c r="P1226" s="92"/>
      <c r="Q1226" s="92"/>
      <c r="R1226" s="92"/>
      <c r="S1226" s="92"/>
      <c r="T1226" s="92"/>
      <c r="U1226" s="92"/>
      <c r="V1226" s="92"/>
      <c r="W1226" s="92"/>
      <c r="X1226" s="92"/>
      <c r="Y1226" s="92"/>
      <c r="Z1226" s="92"/>
    </row>
    <row r="1227" spans="1:26" ht="12.75">
      <c r="A1227" s="92"/>
      <c r="B1227" s="372"/>
      <c r="C1227" s="372"/>
      <c r="D1227" s="92"/>
      <c r="E1227" s="92"/>
      <c r="F1227" s="92"/>
      <c r="G1227" s="92"/>
      <c r="H1227" s="92"/>
      <c r="I1227" s="92"/>
      <c r="J1227" s="92"/>
      <c r="K1227" s="92"/>
      <c r="L1227" s="92"/>
      <c r="M1227" s="92"/>
      <c r="N1227" s="92"/>
      <c r="O1227" s="92"/>
      <c r="P1227" s="92"/>
      <c r="Q1227" s="92"/>
      <c r="R1227" s="92"/>
      <c r="S1227" s="92"/>
      <c r="T1227" s="92"/>
      <c r="U1227" s="92"/>
      <c r="V1227" s="92"/>
      <c r="W1227" s="92"/>
      <c r="X1227" s="92"/>
      <c r="Y1227" s="92"/>
      <c r="Z1227" s="92"/>
    </row>
    <row r="1228" spans="1:26" ht="12.75">
      <c r="A1228" s="92"/>
      <c r="B1228" s="372"/>
      <c r="C1228" s="372"/>
      <c r="D1228" s="92"/>
      <c r="E1228" s="92"/>
      <c r="F1228" s="92"/>
      <c r="G1228" s="92"/>
      <c r="H1228" s="92"/>
      <c r="I1228" s="92"/>
      <c r="J1228" s="92"/>
      <c r="K1228" s="92"/>
      <c r="L1228" s="92"/>
      <c r="M1228" s="92"/>
      <c r="N1228" s="92"/>
      <c r="O1228" s="92"/>
      <c r="P1228" s="92"/>
      <c r="Q1228" s="92"/>
      <c r="R1228" s="92"/>
      <c r="S1228" s="92"/>
      <c r="T1228" s="92"/>
      <c r="U1228" s="92"/>
      <c r="V1228" s="92"/>
      <c r="W1228" s="92"/>
      <c r="X1228" s="92"/>
      <c r="Y1228" s="92"/>
      <c r="Z1228" s="92"/>
    </row>
    <row r="1229" spans="1:26" ht="12.75">
      <c r="A1229" s="92"/>
      <c r="B1229" s="372"/>
      <c r="C1229" s="372"/>
      <c r="D1229" s="92"/>
      <c r="E1229" s="92"/>
      <c r="F1229" s="92"/>
      <c r="G1229" s="92"/>
      <c r="H1229" s="92"/>
      <c r="I1229" s="92"/>
      <c r="J1229" s="92"/>
      <c r="K1229" s="92"/>
      <c r="L1229" s="92"/>
      <c r="M1229" s="92"/>
      <c r="N1229" s="92"/>
      <c r="O1229" s="92"/>
      <c r="P1229" s="92"/>
      <c r="Q1229" s="92"/>
      <c r="R1229" s="92"/>
      <c r="S1229" s="92"/>
      <c r="T1229" s="92"/>
      <c r="U1229" s="92"/>
      <c r="V1229" s="92"/>
      <c r="W1229" s="92"/>
      <c r="X1229" s="92"/>
      <c r="Y1229" s="92"/>
      <c r="Z1229" s="92"/>
    </row>
    <row r="1230" spans="1:26" ht="12.75">
      <c r="A1230" s="92"/>
      <c r="B1230" s="372"/>
      <c r="C1230" s="372"/>
      <c r="D1230" s="92"/>
      <c r="E1230" s="92"/>
      <c r="F1230" s="92"/>
      <c r="G1230" s="92"/>
      <c r="H1230" s="92"/>
      <c r="I1230" s="92"/>
      <c r="J1230" s="92"/>
      <c r="K1230" s="92"/>
      <c r="L1230" s="92"/>
      <c r="M1230" s="92"/>
      <c r="N1230" s="92"/>
      <c r="O1230" s="92"/>
      <c r="P1230" s="92"/>
      <c r="Q1230" s="92"/>
      <c r="R1230" s="92"/>
      <c r="S1230" s="92"/>
      <c r="T1230" s="92"/>
      <c r="U1230" s="92"/>
      <c r="V1230" s="92"/>
      <c r="W1230" s="92"/>
      <c r="X1230" s="92"/>
      <c r="Y1230" s="92"/>
      <c r="Z1230" s="92"/>
    </row>
    <row r="1231" spans="1:26" ht="12.75">
      <c r="A1231" s="92"/>
      <c r="B1231" s="372"/>
      <c r="C1231" s="372"/>
      <c r="D1231" s="92"/>
      <c r="E1231" s="92"/>
      <c r="F1231" s="92"/>
      <c r="G1231" s="92"/>
      <c r="H1231" s="92"/>
      <c r="I1231" s="92"/>
      <c r="J1231" s="92"/>
      <c r="K1231" s="92"/>
      <c r="L1231" s="92"/>
      <c r="M1231" s="92"/>
      <c r="N1231" s="92"/>
      <c r="O1231" s="92"/>
      <c r="P1231" s="92"/>
      <c r="Q1231" s="92"/>
      <c r="R1231" s="92"/>
      <c r="S1231" s="92"/>
      <c r="T1231" s="92"/>
      <c r="U1231" s="92"/>
      <c r="V1231" s="92"/>
      <c r="W1231" s="92"/>
      <c r="X1231" s="92"/>
      <c r="Y1231" s="92"/>
      <c r="Z1231" s="92"/>
    </row>
    <row r="1232" spans="1:26" ht="12.75">
      <c r="A1232" s="92"/>
      <c r="B1232" s="372"/>
      <c r="C1232" s="372"/>
      <c r="D1232" s="92"/>
      <c r="E1232" s="92"/>
      <c r="F1232" s="92"/>
      <c r="G1232" s="92"/>
      <c r="H1232" s="92"/>
      <c r="I1232" s="92"/>
      <c r="J1232" s="92"/>
      <c r="K1232" s="92"/>
      <c r="L1232" s="92"/>
      <c r="M1232" s="92"/>
      <c r="N1232" s="92"/>
      <c r="O1232" s="92"/>
      <c r="P1232" s="92"/>
      <c r="Q1232" s="92"/>
      <c r="R1232" s="92"/>
      <c r="S1232" s="92"/>
      <c r="T1232" s="92"/>
      <c r="U1232" s="92"/>
      <c r="V1232" s="92"/>
      <c r="W1232" s="92"/>
      <c r="X1232" s="92"/>
      <c r="Y1232" s="92"/>
      <c r="Z1232" s="92"/>
    </row>
    <row r="1233" spans="1:26" ht="12.75">
      <c r="A1233" s="92"/>
      <c r="B1233" s="372"/>
      <c r="C1233" s="372"/>
      <c r="D1233" s="92"/>
      <c r="E1233" s="92"/>
      <c r="F1233" s="92"/>
      <c r="G1233" s="92"/>
      <c r="H1233" s="92"/>
      <c r="I1233" s="92"/>
      <c r="J1233" s="92"/>
      <c r="K1233" s="92"/>
      <c r="L1233" s="92"/>
      <c r="M1233" s="92"/>
      <c r="N1233" s="92"/>
      <c r="O1233" s="92"/>
      <c r="P1233" s="92"/>
      <c r="Q1233" s="92"/>
      <c r="R1233" s="92"/>
      <c r="S1233" s="92"/>
      <c r="T1233" s="92"/>
      <c r="U1233" s="92"/>
      <c r="V1233" s="92"/>
      <c r="W1233" s="92"/>
      <c r="X1233" s="92"/>
      <c r="Y1233" s="92"/>
      <c r="Z1233" s="92"/>
    </row>
    <row r="1234" spans="1:26" ht="12.75">
      <c r="A1234" s="92"/>
      <c r="B1234" s="372"/>
      <c r="C1234" s="372"/>
      <c r="D1234" s="92"/>
      <c r="E1234" s="92"/>
      <c r="F1234" s="92"/>
      <c r="G1234" s="92"/>
      <c r="H1234" s="92"/>
      <c r="I1234" s="92"/>
      <c r="J1234" s="92"/>
      <c r="K1234" s="92"/>
      <c r="L1234" s="92"/>
      <c r="M1234" s="92"/>
      <c r="N1234" s="92"/>
      <c r="O1234" s="92"/>
      <c r="P1234" s="92"/>
      <c r="Q1234" s="92"/>
      <c r="R1234" s="92"/>
      <c r="S1234" s="92"/>
      <c r="T1234" s="92"/>
      <c r="U1234" s="92"/>
      <c r="V1234" s="92"/>
      <c r="W1234" s="92"/>
      <c r="X1234" s="92"/>
      <c r="Y1234" s="92"/>
      <c r="Z1234" s="92"/>
    </row>
    <row r="1235" spans="1:26" ht="12.75">
      <c r="A1235" s="92"/>
      <c r="B1235" s="372"/>
      <c r="C1235" s="372"/>
      <c r="D1235" s="92"/>
      <c r="E1235" s="92"/>
      <c r="F1235" s="92"/>
      <c r="G1235" s="92"/>
      <c r="H1235" s="92"/>
      <c r="I1235" s="92"/>
      <c r="J1235" s="92"/>
      <c r="K1235" s="92"/>
      <c r="L1235" s="92"/>
      <c r="M1235" s="92"/>
      <c r="N1235" s="92"/>
      <c r="O1235" s="92"/>
      <c r="P1235" s="92"/>
      <c r="Q1235" s="92"/>
      <c r="R1235" s="92"/>
      <c r="S1235" s="92"/>
      <c r="T1235" s="92"/>
      <c r="U1235" s="92"/>
      <c r="V1235" s="92"/>
      <c r="W1235" s="92"/>
      <c r="X1235" s="92"/>
      <c r="Y1235" s="92"/>
      <c r="Z1235" s="92"/>
    </row>
    <row r="1236" spans="1:26" ht="12.75">
      <c r="A1236" s="92"/>
      <c r="B1236" s="372"/>
      <c r="C1236" s="372"/>
      <c r="D1236" s="92"/>
      <c r="E1236" s="92"/>
      <c r="F1236" s="92"/>
      <c r="G1236" s="92"/>
      <c r="H1236" s="92"/>
      <c r="I1236" s="92"/>
      <c r="J1236" s="92"/>
      <c r="K1236" s="92"/>
      <c r="L1236" s="92"/>
      <c r="M1236" s="92"/>
      <c r="N1236" s="92"/>
      <c r="O1236" s="92"/>
      <c r="P1236" s="92"/>
      <c r="Q1236" s="92"/>
      <c r="R1236" s="92"/>
      <c r="S1236" s="92"/>
      <c r="T1236" s="92"/>
      <c r="U1236" s="92"/>
      <c r="V1236" s="92"/>
      <c r="W1236" s="92"/>
      <c r="X1236" s="92"/>
      <c r="Y1236" s="92"/>
      <c r="Z1236" s="92"/>
    </row>
    <row r="1237" spans="1:26" ht="12.75">
      <c r="A1237" s="92"/>
      <c r="B1237" s="372"/>
      <c r="C1237" s="372"/>
      <c r="D1237" s="92"/>
      <c r="E1237" s="92"/>
      <c r="F1237" s="92"/>
      <c r="G1237" s="92"/>
      <c r="H1237" s="92"/>
      <c r="I1237" s="92"/>
      <c r="J1237" s="92"/>
      <c r="K1237" s="92"/>
      <c r="L1237" s="92"/>
      <c r="M1237" s="92"/>
      <c r="N1237" s="92"/>
      <c r="O1237" s="92"/>
      <c r="P1237" s="92"/>
      <c r="Q1237" s="92"/>
      <c r="R1237" s="92"/>
      <c r="S1237" s="92"/>
      <c r="T1237" s="92"/>
      <c r="U1237" s="92"/>
      <c r="V1237" s="92"/>
      <c r="W1237" s="92"/>
      <c r="X1237" s="92"/>
      <c r="Y1237" s="92"/>
      <c r="Z1237" s="92"/>
    </row>
    <row r="1238" spans="1:26" ht="12.75">
      <c r="A1238" s="92"/>
      <c r="B1238" s="372"/>
      <c r="C1238" s="372"/>
      <c r="D1238" s="92"/>
      <c r="E1238" s="92"/>
      <c r="F1238" s="92"/>
      <c r="G1238" s="92"/>
      <c r="H1238" s="92"/>
      <c r="I1238" s="92"/>
      <c r="J1238" s="92"/>
      <c r="K1238" s="92"/>
      <c r="L1238" s="92"/>
      <c r="M1238" s="92"/>
      <c r="N1238" s="92"/>
      <c r="O1238" s="92"/>
      <c r="P1238" s="92"/>
      <c r="Q1238" s="92"/>
      <c r="R1238" s="92"/>
      <c r="S1238" s="92"/>
      <c r="T1238" s="92"/>
      <c r="U1238" s="92"/>
      <c r="V1238" s="92"/>
      <c r="W1238" s="92"/>
      <c r="X1238" s="92"/>
      <c r="Y1238" s="92"/>
      <c r="Z1238" s="92"/>
    </row>
    <row r="1239" spans="1:26" ht="12.75">
      <c r="A1239" s="92"/>
      <c r="B1239" s="372"/>
      <c r="C1239" s="372"/>
      <c r="D1239" s="92"/>
      <c r="E1239" s="92"/>
      <c r="F1239" s="92"/>
      <c r="G1239" s="92"/>
      <c r="H1239" s="92"/>
      <c r="I1239" s="92"/>
      <c r="J1239" s="92"/>
      <c r="K1239" s="92"/>
      <c r="L1239" s="92"/>
      <c r="M1239" s="92"/>
      <c r="N1239" s="92"/>
      <c r="O1239" s="92"/>
      <c r="P1239" s="92"/>
      <c r="Q1239" s="92"/>
      <c r="R1239" s="92"/>
      <c r="S1239" s="92"/>
      <c r="T1239" s="92"/>
      <c r="U1239" s="92"/>
      <c r="V1239" s="92"/>
      <c r="W1239" s="92"/>
      <c r="X1239" s="92"/>
      <c r="Y1239" s="92"/>
      <c r="Z1239" s="92"/>
    </row>
    <row r="1240" spans="1:26" ht="12.75">
      <c r="A1240" s="92"/>
      <c r="B1240" s="372"/>
      <c r="C1240" s="372"/>
      <c r="D1240" s="92"/>
      <c r="E1240" s="92"/>
      <c r="F1240" s="92"/>
      <c r="G1240" s="92"/>
      <c r="H1240" s="92"/>
      <c r="I1240" s="92"/>
      <c r="J1240" s="92"/>
      <c r="K1240" s="92"/>
      <c r="L1240" s="92"/>
      <c r="M1240" s="92"/>
      <c r="N1240" s="92"/>
      <c r="O1240" s="92"/>
      <c r="P1240" s="92"/>
      <c r="Q1240" s="92"/>
      <c r="R1240" s="92"/>
      <c r="S1240" s="92"/>
      <c r="T1240" s="92"/>
      <c r="U1240" s="92"/>
      <c r="V1240" s="92"/>
      <c r="W1240" s="92"/>
      <c r="X1240" s="92"/>
      <c r="Y1240" s="92"/>
      <c r="Z1240" s="92"/>
    </row>
    <row r="1241" spans="1:26" ht="12.75">
      <c r="A1241" s="92"/>
      <c r="B1241" s="372"/>
      <c r="C1241" s="372"/>
      <c r="D1241" s="92"/>
      <c r="E1241" s="92"/>
      <c r="F1241" s="92"/>
      <c r="G1241" s="92"/>
      <c r="H1241" s="92"/>
      <c r="I1241" s="92"/>
      <c r="J1241" s="92"/>
      <c r="K1241" s="92"/>
      <c r="L1241" s="92"/>
      <c r="M1241" s="92"/>
      <c r="N1241" s="92"/>
      <c r="O1241" s="92"/>
      <c r="P1241" s="92"/>
      <c r="Q1241" s="92"/>
      <c r="R1241" s="92"/>
      <c r="S1241" s="92"/>
      <c r="T1241" s="92"/>
      <c r="U1241" s="92"/>
      <c r="V1241" s="92"/>
      <c r="W1241" s="92"/>
      <c r="X1241" s="92"/>
      <c r="Y1241" s="92"/>
      <c r="Z1241" s="92"/>
    </row>
    <row r="1242" spans="1:26" ht="12.75">
      <c r="A1242" s="92"/>
      <c r="B1242" s="372"/>
      <c r="C1242" s="372"/>
      <c r="D1242" s="92"/>
      <c r="E1242" s="92"/>
      <c r="F1242" s="92"/>
      <c r="G1242" s="92"/>
      <c r="H1242" s="92"/>
      <c r="I1242" s="92"/>
      <c r="J1242" s="92"/>
      <c r="K1242" s="92"/>
      <c r="L1242" s="92"/>
      <c r="M1242" s="92"/>
      <c r="N1242" s="92"/>
      <c r="O1242" s="92"/>
      <c r="P1242" s="92"/>
      <c r="Q1242" s="92"/>
      <c r="R1242" s="92"/>
      <c r="S1242" s="92"/>
      <c r="T1242" s="92"/>
      <c r="U1242" s="92"/>
      <c r="V1242" s="92"/>
      <c r="W1242" s="92"/>
      <c r="X1242" s="92"/>
      <c r="Y1242" s="92"/>
      <c r="Z1242" s="92"/>
    </row>
    <row r="1243" spans="1:26" ht="12.75">
      <c r="A1243" s="92"/>
      <c r="B1243" s="372"/>
      <c r="C1243" s="372"/>
      <c r="D1243" s="92"/>
      <c r="E1243" s="92"/>
      <c r="F1243" s="92"/>
      <c r="G1243" s="92"/>
      <c r="H1243" s="92"/>
      <c r="I1243" s="92"/>
      <c r="J1243" s="92"/>
      <c r="K1243" s="92"/>
      <c r="L1243" s="92"/>
      <c r="M1243" s="92"/>
      <c r="N1243" s="92"/>
      <c r="O1243" s="92"/>
      <c r="P1243" s="92"/>
      <c r="Q1243" s="92"/>
      <c r="R1243" s="92"/>
      <c r="S1243" s="92"/>
      <c r="T1243" s="92"/>
      <c r="U1243" s="92"/>
      <c r="V1243" s="92"/>
      <c r="W1243" s="92"/>
      <c r="X1243" s="92"/>
      <c r="Y1243" s="92"/>
      <c r="Z1243" s="92"/>
    </row>
    <row r="1244" spans="1:26" ht="12.75">
      <c r="A1244" s="92"/>
      <c r="B1244" s="372"/>
      <c r="C1244" s="372"/>
      <c r="D1244" s="92"/>
      <c r="E1244" s="92"/>
      <c r="F1244" s="92"/>
      <c r="G1244" s="92"/>
      <c r="H1244" s="92"/>
      <c r="I1244" s="92"/>
      <c r="J1244" s="92"/>
      <c r="K1244" s="92"/>
      <c r="L1244" s="92"/>
      <c r="M1244" s="92"/>
      <c r="N1244" s="92"/>
      <c r="O1244" s="92"/>
      <c r="P1244" s="92"/>
      <c r="Q1244" s="92"/>
      <c r="R1244" s="92"/>
      <c r="S1244" s="92"/>
      <c r="T1244" s="92"/>
      <c r="U1244" s="92"/>
      <c r="V1244" s="92"/>
      <c r="W1244" s="92"/>
      <c r="X1244" s="92"/>
      <c r="Y1244" s="92"/>
      <c r="Z1244" s="92"/>
    </row>
    <row r="1245" spans="1:26" ht="12.75">
      <c r="A1245" s="92"/>
      <c r="B1245" s="372"/>
      <c r="C1245" s="372"/>
      <c r="D1245" s="92"/>
      <c r="E1245" s="92"/>
      <c r="F1245" s="92"/>
      <c r="G1245" s="92"/>
      <c r="H1245" s="92"/>
      <c r="I1245" s="92"/>
      <c r="J1245" s="92"/>
      <c r="K1245" s="92"/>
      <c r="L1245" s="92"/>
      <c r="M1245" s="92"/>
      <c r="N1245" s="92"/>
      <c r="O1245" s="92"/>
      <c r="P1245" s="92"/>
      <c r="Q1245" s="92"/>
      <c r="R1245" s="92"/>
      <c r="S1245" s="92"/>
      <c r="T1245" s="92"/>
      <c r="U1245" s="92"/>
      <c r="V1245" s="92"/>
      <c r="W1245" s="92"/>
      <c r="X1245" s="92"/>
      <c r="Y1245" s="92"/>
      <c r="Z1245" s="92"/>
    </row>
    <row r="1246" spans="1:26" ht="12.75">
      <c r="A1246" s="92"/>
      <c r="B1246" s="372"/>
      <c r="C1246" s="372"/>
      <c r="D1246" s="92"/>
      <c r="E1246" s="92"/>
      <c r="F1246" s="92"/>
      <c r="G1246" s="92"/>
      <c r="H1246" s="92"/>
      <c r="I1246" s="92"/>
      <c r="J1246" s="92"/>
      <c r="K1246" s="92"/>
      <c r="L1246" s="92"/>
      <c r="M1246" s="92"/>
      <c r="N1246" s="92"/>
      <c r="O1246" s="92"/>
      <c r="P1246" s="92"/>
      <c r="Q1246" s="92"/>
      <c r="R1246" s="92"/>
      <c r="S1246" s="92"/>
      <c r="T1246" s="92"/>
      <c r="U1246" s="92"/>
      <c r="V1246" s="92"/>
      <c r="W1246" s="92"/>
      <c r="X1246" s="92"/>
      <c r="Y1246" s="92"/>
      <c r="Z1246" s="92"/>
    </row>
    <row r="1247" spans="1:26" ht="12.75">
      <c r="A1247" s="92"/>
      <c r="B1247" s="372"/>
      <c r="C1247" s="372"/>
      <c r="D1247" s="92"/>
      <c r="E1247" s="92"/>
      <c r="F1247" s="92"/>
      <c r="G1247" s="92"/>
      <c r="H1247" s="92"/>
      <c r="I1247" s="92"/>
      <c r="J1247" s="92"/>
      <c r="K1247" s="92"/>
      <c r="L1247" s="92"/>
      <c r="M1247" s="92"/>
      <c r="N1247" s="92"/>
      <c r="O1247" s="92"/>
      <c r="P1247" s="92"/>
      <c r="Q1247" s="92"/>
      <c r="R1247" s="92"/>
      <c r="S1247" s="92"/>
      <c r="T1247" s="92"/>
      <c r="U1247" s="92"/>
      <c r="V1247" s="92"/>
      <c r="W1247" s="92"/>
      <c r="X1247" s="92"/>
      <c r="Y1247" s="92"/>
      <c r="Z1247" s="92"/>
    </row>
    <row r="1248" spans="1:26" ht="12.75">
      <c r="A1248" s="92"/>
      <c r="B1248" s="372"/>
      <c r="C1248" s="372"/>
      <c r="D1248" s="92"/>
      <c r="E1248" s="92"/>
      <c r="F1248" s="92"/>
      <c r="G1248" s="92"/>
      <c r="H1248" s="92"/>
      <c r="I1248" s="92"/>
      <c r="J1248" s="92"/>
      <c r="K1248" s="92"/>
      <c r="L1248" s="92"/>
      <c r="M1248" s="92"/>
      <c r="N1248" s="92"/>
      <c r="O1248" s="92"/>
      <c r="P1248" s="92"/>
      <c r="Q1248" s="92"/>
      <c r="R1248" s="92"/>
      <c r="S1248" s="92"/>
      <c r="T1248" s="92"/>
      <c r="U1248" s="92"/>
      <c r="V1248" s="92"/>
      <c r="W1248" s="92"/>
      <c r="X1248" s="92"/>
      <c r="Y1248" s="92"/>
      <c r="Z1248" s="92"/>
    </row>
    <row r="1249" spans="1:26" ht="12.75">
      <c r="A1249" s="92"/>
      <c r="B1249" s="372"/>
      <c r="C1249" s="372"/>
      <c r="D1249" s="92"/>
      <c r="E1249" s="92"/>
      <c r="F1249" s="92"/>
      <c r="G1249" s="92"/>
      <c r="H1249" s="92"/>
      <c r="I1249" s="92"/>
      <c r="J1249" s="92"/>
      <c r="K1249" s="92"/>
      <c r="L1249" s="92"/>
      <c r="M1249" s="92"/>
      <c r="N1249" s="92"/>
      <c r="O1249" s="92"/>
      <c r="P1249" s="92"/>
      <c r="Q1249" s="92"/>
      <c r="R1249" s="92"/>
      <c r="S1249" s="92"/>
      <c r="T1249" s="92"/>
      <c r="U1249" s="92"/>
      <c r="V1249" s="92"/>
      <c r="W1249" s="92"/>
      <c r="X1249" s="92"/>
      <c r="Y1249" s="92"/>
      <c r="Z1249" s="92"/>
    </row>
    <row r="1250" spans="1:26" ht="12.75">
      <c r="A1250" s="92"/>
      <c r="B1250" s="372"/>
      <c r="C1250" s="372"/>
      <c r="D1250" s="92"/>
      <c r="E1250" s="92"/>
      <c r="F1250" s="92"/>
      <c r="G1250" s="92"/>
      <c r="H1250" s="92"/>
      <c r="I1250" s="92"/>
      <c r="J1250" s="92"/>
      <c r="K1250" s="92"/>
      <c r="L1250" s="92"/>
      <c r="M1250" s="92"/>
      <c r="N1250" s="92"/>
      <c r="O1250" s="92"/>
      <c r="P1250" s="92"/>
      <c r="Q1250" s="92"/>
      <c r="R1250" s="92"/>
      <c r="S1250" s="92"/>
      <c r="T1250" s="92"/>
      <c r="U1250" s="92"/>
      <c r="V1250" s="92"/>
      <c r="W1250" s="92"/>
      <c r="X1250" s="92"/>
      <c r="Y1250" s="92"/>
      <c r="Z1250" s="92"/>
    </row>
    <row r="1251" spans="1:26" ht="12.75">
      <c r="A1251" s="92"/>
      <c r="B1251" s="372"/>
      <c r="C1251" s="372"/>
      <c r="D1251" s="92"/>
      <c r="E1251" s="92"/>
      <c r="F1251" s="92"/>
      <c r="G1251" s="92"/>
      <c r="H1251" s="92"/>
      <c r="I1251" s="92"/>
      <c r="J1251" s="92"/>
      <c r="K1251" s="92"/>
      <c r="L1251" s="92"/>
      <c r="M1251" s="92"/>
      <c r="N1251" s="92"/>
      <c r="O1251" s="92"/>
      <c r="P1251" s="92"/>
      <c r="Q1251" s="92"/>
      <c r="R1251" s="92"/>
      <c r="S1251" s="92"/>
      <c r="T1251" s="92"/>
      <c r="U1251" s="92"/>
      <c r="V1251" s="92"/>
      <c r="W1251" s="92"/>
      <c r="X1251" s="92"/>
      <c r="Y1251" s="92"/>
      <c r="Z1251" s="92"/>
    </row>
    <row r="1252" spans="1:26" ht="12.75">
      <c r="A1252" s="92"/>
      <c r="B1252" s="372"/>
      <c r="C1252" s="372"/>
      <c r="D1252" s="92"/>
      <c r="E1252" s="92"/>
      <c r="F1252" s="92"/>
      <c r="G1252" s="92"/>
      <c r="H1252" s="92"/>
      <c r="I1252" s="92"/>
      <c r="J1252" s="92"/>
      <c r="K1252" s="92"/>
      <c r="L1252" s="92"/>
      <c r="M1252" s="92"/>
      <c r="N1252" s="92"/>
      <c r="O1252" s="92"/>
      <c r="P1252" s="92"/>
      <c r="Q1252" s="92"/>
      <c r="R1252" s="92"/>
      <c r="S1252" s="92"/>
      <c r="T1252" s="92"/>
      <c r="U1252" s="92"/>
      <c r="V1252" s="92"/>
      <c r="W1252" s="92"/>
      <c r="X1252" s="92"/>
      <c r="Y1252" s="92"/>
      <c r="Z1252" s="92"/>
    </row>
    <row r="1253" spans="1:26" ht="12.75">
      <c r="A1253" s="92"/>
      <c r="B1253" s="372"/>
      <c r="C1253" s="372"/>
      <c r="D1253" s="92"/>
      <c r="E1253" s="92"/>
      <c r="F1253" s="92"/>
      <c r="G1253" s="92"/>
      <c r="H1253" s="92"/>
      <c r="I1253" s="92"/>
      <c r="J1253" s="92"/>
      <c r="K1253" s="92"/>
      <c r="L1253" s="92"/>
      <c r="M1253" s="92"/>
      <c r="N1253" s="92"/>
      <c r="O1253" s="92"/>
      <c r="P1253" s="92"/>
      <c r="Q1253" s="92"/>
      <c r="R1253" s="92"/>
      <c r="S1253" s="92"/>
      <c r="T1253" s="92"/>
      <c r="U1253" s="92"/>
      <c r="V1253" s="92"/>
      <c r="W1253" s="92"/>
      <c r="X1253" s="92"/>
      <c r="Y1253" s="92"/>
      <c r="Z1253" s="92"/>
    </row>
    <row r="1254" spans="1:26" ht="12.75">
      <c r="A1254" s="92"/>
      <c r="B1254" s="372"/>
      <c r="C1254" s="372"/>
      <c r="D1254" s="92"/>
      <c r="E1254" s="92"/>
      <c r="F1254" s="92"/>
      <c r="G1254" s="92"/>
      <c r="H1254" s="92"/>
      <c r="I1254" s="92"/>
      <c r="J1254" s="92"/>
      <c r="K1254" s="92"/>
      <c r="L1254" s="92"/>
      <c r="M1254" s="92"/>
      <c r="N1254" s="92"/>
      <c r="O1254" s="92"/>
      <c r="P1254" s="92"/>
      <c r="Q1254" s="92"/>
      <c r="R1254" s="92"/>
      <c r="S1254" s="92"/>
      <c r="T1254" s="92"/>
      <c r="U1254" s="92"/>
      <c r="V1254" s="92"/>
      <c r="W1254" s="92"/>
      <c r="X1254" s="92"/>
      <c r="Y1254" s="92"/>
      <c r="Z1254" s="92"/>
    </row>
    <row r="1255" spans="1:26" ht="12.75">
      <c r="A1255" s="92"/>
      <c r="B1255" s="372"/>
      <c r="C1255" s="372"/>
      <c r="D1255" s="92"/>
      <c r="E1255" s="92"/>
      <c r="F1255" s="92"/>
      <c r="G1255" s="92"/>
      <c r="H1255" s="92"/>
      <c r="I1255" s="92"/>
      <c r="J1255" s="92"/>
      <c r="K1255" s="92"/>
      <c r="L1255" s="92"/>
      <c r="M1255" s="92"/>
      <c r="N1255" s="92"/>
      <c r="O1255" s="92"/>
      <c r="P1255" s="92"/>
      <c r="Q1255" s="92"/>
      <c r="R1255" s="92"/>
      <c r="S1255" s="92"/>
      <c r="T1255" s="92"/>
      <c r="U1255" s="92"/>
      <c r="V1255" s="92"/>
      <c r="W1255" s="92"/>
      <c r="X1255" s="92"/>
      <c r="Y1255" s="92"/>
      <c r="Z1255" s="92"/>
    </row>
    <row r="1256" spans="1:26" ht="12.75">
      <c r="A1256" s="92"/>
      <c r="B1256" s="372"/>
      <c r="C1256" s="372"/>
      <c r="D1256" s="92"/>
      <c r="E1256" s="92"/>
      <c r="F1256" s="92"/>
      <c r="G1256" s="92"/>
      <c r="H1256" s="92"/>
      <c r="I1256" s="92"/>
      <c r="J1256" s="92"/>
      <c r="K1256" s="92"/>
      <c r="L1256" s="92"/>
      <c r="M1256" s="92"/>
      <c r="N1256" s="92"/>
      <c r="O1256" s="92"/>
      <c r="P1256" s="92"/>
      <c r="Q1256" s="92"/>
      <c r="R1256" s="92"/>
      <c r="S1256" s="92"/>
      <c r="T1256" s="92"/>
      <c r="U1256" s="92"/>
      <c r="V1256" s="92"/>
      <c r="W1256" s="92"/>
      <c r="X1256" s="92"/>
      <c r="Y1256" s="92"/>
      <c r="Z1256" s="92"/>
    </row>
    <row r="1257" spans="1:26" ht="12.75">
      <c r="A1257" s="92"/>
      <c r="B1257" s="372"/>
      <c r="C1257" s="372"/>
      <c r="D1257" s="92"/>
      <c r="E1257" s="92"/>
      <c r="F1257" s="92"/>
      <c r="G1257" s="92"/>
      <c r="H1257" s="92"/>
      <c r="I1257" s="92"/>
      <c r="J1257" s="92"/>
      <c r="K1257" s="92"/>
      <c r="L1257" s="92"/>
      <c r="M1257" s="92"/>
      <c r="N1257" s="92"/>
      <c r="O1257" s="92"/>
      <c r="P1257" s="92"/>
      <c r="Q1257" s="92"/>
      <c r="R1257" s="92"/>
      <c r="S1257" s="92"/>
      <c r="T1257" s="92"/>
      <c r="U1257" s="92"/>
      <c r="V1257" s="92"/>
      <c r="W1257" s="92"/>
      <c r="X1257" s="92"/>
      <c r="Y1257" s="92"/>
      <c r="Z1257" s="92"/>
    </row>
    <row r="1258" spans="1:26" ht="12.75">
      <c r="A1258" s="92"/>
      <c r="B1258" s="372"/>
      <c r="C1258" s="372"/>
      <c r="D1258" s="92"/>
      <c r="E1258" s="92"/>
      <c r="F1258" s="92"/>
      <c r="G1258" s="92"/>
      <c r="H1258" s="92"/>
      <c r="I1258" s="92"/>
      <c r="J1258" s="92"/>
      <c r="K1258" s="92"/>
      <c r="L1258" s="92"/>
      <c r="M1258" s="92"/>
      <c r="N1258" s="92"/>
      <c r="O1258" s="92"/>
      <c r="P1258" s="92"/>
      <c r="Q1258" s="92"/>
      <c r="R1258" s="92"/>
      <c r="S1258" s="92"/>
      <c r="T1258" s="92"/>
      <c r="U1258" s="92"/>
      <c r="V1258" s="92"/>
      <c r="W1258" s="92"/>
      <c r="X1258" s="92"/>
      <c r="Y1258" s="92"/>
      <c r="Z1258" s="92"/>
    </row>
    <row r="1259" spans="1:26" ht="12.75">
      <c r="A1259" s="92"/>
      <c r="B1259" s="372"/>
      <c r="C1259" s="372"/>
      <c r="D1259" s="92"/>
      <c r="E1259" s="92"/>
      <c r="F1259" s="92"/>
      <c r="G1259" s="92"/>
      <c r="H1259" s="92"/>
      <c r="I1259" s="92"/>
      <c r="J1259" s="92"/>
      <c r="K1259" s="92"/>
      <c r="L1259" s="92"/>
      <c r="M1259" s="92"/>
      <c r="N1259" s="92"/>
      <c r="O1259" s="92"/>
      <c r="P1259" s="92"/>
      <c r="Q1259" s="92"/>
      <c r="R1259" s="92"/>
      <c r="S1259" s="92"/>
      <c r="T1259" s="92"/>
      <c r="U1259" s="92"/>
      <c r="V1259" s="92"/>
      <c r="W1259" s="92"/>
      <c r="X1259" s="92"/>
      <c r="Y1259" s="92"/>
      <c r="Z1259" s="92"/>
    </row>
    <row r="1260" spans="1:26" ht="12.75">
      <c r="A1260" s="92"/>
      <c r="B1260" s="372"/>
      <c r="C1260" s="372"/>
      <c r="D1260" s="92"/>
      <c r="E1260" s="92"/>
      <c r="F1260" s="92"/>
      <c r="G1260" s="92"/>
      <c r="H1260" s="92"/>
      <c r="I1260" s="92"/>
      <c r="J1260" s="92"/>
      <c r="K1260" s="92"/>
      <c r="L1260" s="92"/>
      <c r="M1260" s="92"/>
      <c r="N1260" s="92"/>
      <c r="O1260" s="92"/>
      <c r="P1260" s="92"/>
      <c r="Q1260" s="92"/>
      <c r="R1260" s="92"/>
      <c r="S1260" s="92"/>
      <c r="T1260" s="92"/>
      <c r="U1260" s="92"/>
      <c r="V1260" s="92"/>
      <c r="W1260" s="92"/>
      <c r="X1260" s="92"/>
      <c r="Y1260" s="92"/>
      <c r="Z1260" s="92"/>
    </row>
    <row r="1261" spans="1:26" ht="12.75">
      <c r="A1261" s="92"/>
      <c r="B1261" s="372"/>
      <c r="C1261" s="372"/>
      <c r="D1261" s="92"/>
      <c r="E1261" s="92"/>
      <c r="F1261" s="92"/>
      <c r="G1261" s="92"/>
      <c r="H1261" s="92"/>
      <c r="I1261" s="92"/>
      <c r="J1261" s="92"/>
      <c r="K1261" s="92"/>
      <c r="L1261" s="92"/>
      <c r="M1261" s="92"/>
      <c r="N1261" s="92"/>
      <c r="O1261" s="92"/>
      <c r="P1261" s="92"/>
      <c r="Q1261" s="92"/>
      <c r="R1261" s="92"/>
      <c r="S1261" s="92"/>
      <c r="T1261" s="92"/>
      <c r="U1261" s="92"/>
      <c r="V1261" s="92"/>
      <c r="W1261" s="92"/>
      <c r="X1261" s="92"/>
      <c r="Y1261" s="92"/>
      <c r="Z1261" s="92"/>
    </row>
    <row r="1262" spans="1:26" ht="12.75">
      <c r="A1262" s="92"/>
      <c r="B1262" s="372"/>
      <c r="C1262" s="372"/>
      <c r="D1262" s="92"/>
      <c r="E1262" s="92"/>
      <c r="F1262" s="92"/>
      <c r="G1262" s="92"/>
      <c r="H1262" s="92"/>
      <c r="I1262" s="92"/>
      <c r="J1262" s="92"/>
      <c r="K1262" s="92"/>
      <c r="L1262" s="92"/>
      <c r="M1262" s="92"/>
      <c r="N1262" s="92"/>
      <c r="O1262" s="92"/>
      <c r="P1262" s="92"/>
      <c r="Q1262" s="92"/>
      <c r="R1262" s="92"/>
      <c r="S1262" s="92"/>
      <c r="T1262" s="92"/>
      <c r="U1262" s="92"/>
      <c r="V1262" s="92"/>
      <c r="W1262" s="92"/>
      <c r="X1262" s="92"/>
      <c r="Y1262" s="92"/>
      <c r="Z1262" s="92"/>
    </row>
    <row r="1263" spans="1:26" ht="12.75">
      <c r="A1263" s="92"/>
      <c r="B1263" s="372"/>
      <c r="C1263" s="372"/>
      <c r="D1263" s="92"/>
      <c r="E1263" s="92"/>
      <c r="F1263" s="92"/>
      <c r="G1263" s="92"/>
      <c r="H1263" s="92"/>
      <c r="I1263" s="92"/>
      <c r="J1263" s="92"/>
      <c r="K1263" s="92"/>
      <c r="L1263" s="92"/>
      <c r="M1263" s="92"/>
      <c r="N1263" s="92"/>
      <c r="O1263" s="92"/>
      <c r="P1263" s="92"/>
      <c r="Q1263" s="92"/>
      <c r="R1263" s="92"/>
      <c r="S1263" s="92"/>
      <c r="T1263" s="92"/>
      <c r="U1263" s="92"/>
      <c r="V1263" s="92"/>
      <c r="W1263" s="92"/>
      <c r="X1263" s="92"/>
      <c r="Y1263" s="92"/>
      <c r="Z1263" s="92"/>
    </row>
    <row r="1264" spans="1:26" ht="12.75">
      <c r="A1264" s="92"/>
      <c r="B1264" s="372"/>
      <c r="C1264" s="372"/>
      <c r="D1264" s="92"/>
      <c r="E1264" s="92"/>
      <c r="F1264" s="92"/>
      <c r="G1264" s="92"/>
      <c r="H1264" s="92"/>
      <c r="I1264" s="92"/>
      <c r="J1264" s="92"/>
      <c r="K1264" s="92"/>
      <c r="L1264" s="92"/>
      <c r="M1264" s="92"/>
      <c r="N1264" s="92"/>
      <c r="O1264" s="92"/>
      <c r="P1264" s="92"/>
      <c r="Q1264" s="92"/>
      <c r="R1264" s="92"/>
      <c r="S1264" s="92"/>
      <c r="T1264" s="92"/>
      <c r="U1264" s="92"/>
      <c r="V1264" s="92"/>
      <c r="W1264" s="92"/>
      <c r="X1264" s="92"/>
      <c r="Y1264" s="92"/>
      <c r="Z1264" s="92"/>
    </row>
    <row r="1265" spans="1:26" ht="12.75">
      <c r="A1265" s="92"/>
      <c r="B1265" s="372"/>
      <c r="C1265" s="372"/>
      <c r="D1265" s="92"/>
      <c r="E1265" s="92"/>
      <c r="F1265" s="92"/>
      <c r="G1265" s="92"/>
      <c r="H1265" s="92"/>
      <c r="I1265" s="92"/>
      <c r="J1265" s="92"/>
      <c r="K1265" s="92"/>
      <c r="L1265" s="92"/>
      <c r="M1265" s="92"/>
      <c r="N1265" s="92"/>
      <c r="O1265" s="92"/>
      <c r="P1265" s="92"/>
      <c r="Q1265" s="92"/>
      <c r="R1265" s="92"/>
      <c r="S1265" s="92"/>
      <c r="T1265" s="92"/>
      <c r="U1265" s="92"/>
      <c r="V1265" s="92"/>
      <c r="W1265" s="92"/>
      <c r="X1265" s="92"/>
      <c r="Y1265" s="92"/>
      <c r="Z1265" s="92"/>
    </row>
    <row r="1266" spans="1:26" ht="12.75">
      <c r="A1266" s="92"/>
      <c r="B1266" s="372"/>
      <c r="C1266" s="372"/>
      <c r="D1266" s="92"/>
      <c r="E1266" s="92"/>
      <c r="F1266" s="92"/>
      <c r="G1266" s="92"/>
      <c r="H1266" s="92"/>
      <c r="I1266" s="92"/>
      <c r="J1266" s="92"/>
      <c r="K1266" s="92"/>
      <c r="L1266" s="92"/>
      <c r="M1266" s="92"/>
      <c r="N1266" s="92"/>
      <c r="O1266" s="92"/>
      <c r="P1266" s="92"/>
      <c r="Q1266" s="92"/>
      <c r="R1266" s="92"/>
      <c r="S1266" s="92"/>
      <c r="T1266" s="92"/>
      <c r="U1266" s="92"/>
      <c r="V1266" s="92"/>
      <c r="W1266" s="92"/>
      <c r="X1266" s="92"/>
      <c r="Y1266" s="92"/>
      <c r="Z1266" s="92"/>
    </row>
    <row r="1267" spans="1:26" ht="12.75">
      <c r="A1267" s="92"/>
      <c r="B1267" s="372"/>
      <c r="C1267" s="372"/>
      <c r="D1267" s="92"/>
      <c r="E1267" s="92"/>
      <c r="F1267" s="92"/>
      <c r="G1267" s="92"/>
      <c r="H1267" s="92"/>
      <c r="I1267" s="92"/>
      <c r="J1267" s="92"/>
      <c r="K1267" s="92"/>
      <c r="L1267" s="92"/>
      <c r="M1267" s="92"/>
      <c r="N1267" s="92"/>
      <c r="O1267" s="92"/>
      <c r="P1267" s="92"/>
      <c r="Q1267" s="92"/>
      <c r="R1267" s="92"/>
      <c r="S1267" s="92"/>
      <c r="T1267" s="92"/>
      <c r="U1267" s="92"/>
      <c r="V1267" s="92"/>
      <c r="W1267" s="92"/>
      <c r="X1267" s="92"/>
      <c r="Y1267" s="92"/>
      <c r="Z1267" s="92"/>
    </row>
    <row r="1268" spans="1:26" ht="12.75">
      <c r="A1268" s="92"/>
      <c r="B1268" s="372"/>
      <c r="C1268" s="372"/>
      <c r="D1268" s="92"/>
      <c r="E1268" s="92"/>
      <c r="F1268" s="92"/>
      <c r="G1268" s="92"/>
      <c r="H1268" s="92"/>
      <c r="I1268" s="92"/>
      <c r="J1268" s="92"/>
      <c r="K1268" s="92"/>
      <c r="L1268" s="92"/>
      <c r="M1268" s="92"/>
      <c r="N1268" s="92"/>
      <c r="O1268" s="92"/>
      <c r="P1268" s="92"/>
      <c r="Q1268" s="92"/>
      <c r="R1268" s="92"/>
      <c r="S1268" s="92"/>
      <c r="T1268" s="92"/>
      <c r="U1268" s="92"/>
      <c r="V1268" s="92"/>
      <c r="W1268" s="92"/>
      <c r="X1268" s="92"/>
      <c r="Y1268" s="92"/>
      <c r="Z1268" s="92"/>
    </row>
    <row r="1269" spans="1:26" ht="12.75">
      <c r="A1269" s="92"/>
      <c r="B1269" s="372"/>
      <c r="C1269" s="372"/>
      <c r="D1269" s="92"/>
      <c r="E1269" s="92"/>
      <c r="F1269" s="92"/>
      <c r="G1269" s="92"/>
      <c r="H1269" s="92"/>
      <c r="I1269" s="92"/>
      <c r="J1269" s="92"/>
      <c r="K1269" s="92"/>
      <c r="L1269" s="92"/>
      <c r="M1269" s="92"/>
      <c r="N1269" s="92"/>
      <c r="O1269" s="92"/>
      <c r="P1269" s="92"/>
      <c r="Q1269" s="92"/>
      <c r="R1269" s="92"/>
      <c r="S1269" s="92"/>
      <c r="T1269" s="92"/>
      <c r="U1269" s="92"/>
      <c r="V1269" s="92"/>
      <c r="W1269" s="92"/>
      <c r="X1269" s="92"/>
      <c r="Y1269" s="92"/>
      <c r="Z1269" s="92"/>
    </row>
    <row r="1270" spans="1:26" ht="12.75">
      <c r="A1270" s="92"/>
      <c r="B1270" s="372"/>
      <c r="C1270" s="372"/>
      <c r="D1270" s="92"/>
      <c r="E1270" s="92"/>
      <c r="F1270" s="92"/>
      <c r="G1270" s="92"/>
      <c r="H1270" s="92"/>
      <c r="I1270" s="92"/>
      <c r="J1270" s="92"/>
      <c r="K1270" s="92"/>
      <c r="L1270" s="92"/>
      <c r="M1270" s="92"/>
      <c r="N1270" s="92"/>
      <c r="O1270" s="92"/>
      <c r="P1270" s="92"/>
      <c r="Q1270" s="92"/>
      <c r="R1270" s="92"/>
      <c r="S1270" s="92"/>
      <c r="T1270" s="92"/>
      <c r="U1270" s="92"/>
      <c r="V1270" s="92"/>
      <c r="W1270" s="92"/>
      <c r="X1270" s="92"/>
      <c r="Y1270" s="92"/>
      <c r="Z1270" s="92"/>
    </row>
    <row r="1271" spans="1:26" ht="12.75">
      <c r="A1271" s="92"/>
      <c r="B1271" s="372"/>
      <c r="C1271" s="372"/>
      <c r="D1271" s="92"/>
      <c r="E1271" s="92"/>
      <c r="F1271" s="92"/>
      <c r="G1271" s="92"/>
      <c r="H1271" s="92"/>
      <c r="I1271" s="92"/>
      <c r="J1271" s="92"/>
      <c r="K1271" s="92"/>
      <c r="L1271" s="92"/>
      <c r="M1271" s="92"/>
      <c r="N1271" s="92"/>
      <c r="O1271" s="92"/>
      <c r="P1271" s="92"/>
      <c r="Q1271" s="92"/>
      <c r="R1271" s="92"/>
      <c r="S1271" s="92"/>
      <c r="T1271" s="92"/>
      <c r="U1271" s="92"/>
      <c r="V1271" s="92"/>
      <c r="W1271" s="92"/>
      <c r="X1271" s="92"/>
      <c r="Y1271" s="92"/>
      <c r="Z1271" s="92"/>
    </row>
    <row r="1272" spans="1:26" ht="12.75">
      <c r="A1272" s="92"/>
      <c r="B1272" s="372"/>
      <c r="C1272" s="372"/>
      <c r="D1272" s="92"/>
      <c r="E1272" s="92"/>
      <c r="F1272" s="92"/>
      <c r="G1272" s="92"/>
      <c r="H1272" s="92"/>
      <c r="I1272" s="92"/>
      <c r="J1272" s="92"/>
      <c r="K1272" s="92"/>
      <c r="L1272" s="92"/>
      <c r="M1272" s="92"/>
      <c r="N1272" s="92"/>
      <c r="O1272" s="92"/>
      <c r="P1272" s="92"/>
      <c r="Q1272" s="92"/>
      <c r="R1272" s="92"/>
      <c r="S1272" s="92"/>
      <c r="T1272" s="92"/>
      <c r="U1272" s="92"/>
      <c r="V1272" s="92"/>
      <c r="W1272" s="92"/>
      <c r="X1272" s="92"/>
      <c r="Y1272" s="92"/>
      <c r="Z1272" s="92"/>
    </row>
    <row r="1273" spans="1:26" ht="12.75">
      <c r="A1273" s="92"/>
      <c r="B1273" s="372"/>
      <c r="C1273" s="372"/>
      <c r="D1273" s="92"/>
      <c r="E1273" s="92"/>
      <c r="F1273" s="92"/>
      <c r="G1273" s="92"/>
      <c r="H1273" s="92"/>
      <c r="I1273" s="92"/>
      <c r="J1273" s="92"/>
      <c r="K1273" s="92"/>
      <c r="L1273" s="92"/>
      <c r="M1273" s="92"/>
      <c r="N1273" s="92"/>
      <c r="O1273" s="92"/>
      <c r="P1273" s="92"/>
      <c r="Q1273" s="92"/>
      <c r="R1273" s="92"/>
      <c r="S1273" s="92"/>
      <c r="T1273" s="92"/>
      <c r="U1273" s="92"/>
      <c r="V1273" s="92"/>
      <c r="W1273" s="92"/>
      <c r="X1273" s="92"/>
      <c r="Y1273" s="92"/>
      <c r="Z1273" s="92"/>
    </row>
    <row r="1274" spans="1:26" ht="12.75">
      <c r="A1274" s="92"/>
      <c r="B1274" s="372"/>
      <c r="C1274" s="372"/>
      <c r="D1274" s="92"/>
      <c r="E1274" s="92"/>
      <c r="F1274" s="92"/>
      <c r="G1274" s="92"/>
      <c r="H1274" s="92"/>
      <c r="I1274" s="92"/>
      <c r="J1274" s="92"/>
      <c r="K1274" s="92"/>
      <c r="L1274" s="92"/>
      <c r="M1274" s="92"/>
      <c r="N1274" s="92"/>
      <c r="O1274" s="92"/>
      <c r="P1274" s="92"/>
      <c r="Q1274" s="92"/>
      <c r="R1274" s="92"/>
      <c r="S1274" s="92"/>
      <c r="T1274" s="92"/>
      <c r="U1274" s="92"/>
      <c r="V1274" s="92"/>
      <c r="W1274" s="92"/>
      <c r="X1274" s="92"/>
      <c r="Y1274" s="92"/>
      <c r="Z1274" s="92"/>
    </row>
    <row r="1275" spans="1:26" ht="12.75">
      <c r="A1275" s="92"/>
      <c r="B1275" s="372"/>
      <c r="C1275" s="372"/>
      <c r="D1275" s="92"/>
      <c r="E1275" s="92"/>
      <c r="F1275" s="92"/>
      <c r="G1275" s="92"/>
      <c r="H1275" s="92"/>
      <c r="I1275" s="92"/>
      <c r="J1275" s="92"/>
      <c r="K1275" s="92"/>
      <c r="L1275" s="92"/>
      <c r="M1275" s="92"/>
      <c r="N1275" s="92"/>
      <c r="O1275" s="92"/>
      <c r="P1275" s="92"/>
      <c r="Q1275" s="92"/>
      <c r="R1275" s="92"/>
      <c r="S1275" s="92"/>
      <c r="T1275" s="92"/>
      <c r="U1275" s="92"/>
      <c r="V1275" s="92"/>
      <c r="W1275" s="92"/>
      <c r="X1275" s="92"/>
      <c r="Y1275" s="92"/>
      <c r="Z1275" s="92"/>
    </row>
    <row r="1276" spans="1:26" ht="12.75">
      <c r="A1276" s="92"/>
      <c r="B1276" s="372"/>
      <c r="C1276" s="372"/>
      <c r="D1276" s="92"/>
      <c r="E1276" s="92"/>
      <c r="F1276" s="92"/>
      <c r="G1276" s="92"/>
      <c r="H1276" s="92"/>
      <c r="I1276" s="92"/>
      <c r="J1276" s="92"/>
      <c r="K1276" s="92"/>
      <c r="L1276" s="92"/>
      <c r="M1276" s="92"/>
      <c r="N1276" s="92"/>
      <c r="O1276" s="92"/>
      <c r="P1276" s="92"/>
      <c r="Q1276" s="92"/>
      <c r="R1276" s="92"/>
      <c r="S1276" s="92"/>
      <c r="T1276" s="92"/>
      <c r="U1276" s="92"/>
      <c r="V1276" s="92"/>
      <c r="W1276" s="92"/>
      <c r="X1276" s="92"/>
      <c r="Y1276" s="92"/>
      <c r="Z1276" s="92"/>
    </row>
    <row r="1277" spans="1:26" ht="12.75">
      <c r="A1277" s="92"/>
      <c r="B1277" s="372"/>
      <c r="C1277" s="372"/>
      <c r="D1277" s="92"/>
      <c r="E1277" s="92"/>
      <c r="F1277" s="92"/>
      <c r="G1277" s="92"/>
      <c r="H1277" s="92"/>
      <c r="I1277" s="92"/>
      <c r="J1277" s="92"/>
      <c r="K1277" s="92"/>
      <c r="L1277" s="92"/>
      <c r="M1277" s="92"/>
      <c r="N1277" s="92"/>
      <c r="O1277" s="92"/>
      <c r="P1277" s="92"/>
      <c r="Q1277" s="92"/>
      <c r="R1277" s="92"/>
      <c r="S1277" s="92"/>
      <c r="T1277" s="92"/>
      <c r="U1277" s="92"/>
      <c r="V1277" s="92"/>
      <c r="W1277" s="92"/>
      <c r="X1277" s="92"/>
      <c r="Y1277" s="92"/>
      <c r="Z1277" s="92"/>
    </row>
    <row r="1278" spans="1:26" ht="12.75">
      <c r="A1278" s="92"/>
      <c r="B1278" s="372"/>
      <c r="C1278" s="372"/>
      <c r="D1278" s="92"/>
      <c r="E1278" s="92"/>
      <c r="F1278" s="92"/>
      <c r="G1278" s="92"/>
      <c r="H1278" s="92"/>
      <c r="I1278" s="92"/>
      <c r="J1278" s="92"/>
      <c r="K1278" s="92"/>
      <c r="L1278" s="92"/>
      <c r="M1278" s="92"/>
      <c r="N1278" s="92"/>
      <c r="O1278" s="92"/>
      <c r="P1278" s="92"/>
      <c r="Q1278" s="92"/>
      <c r="R1278" s="92"/>
      <c r="S1278" s="92"/>
      <c r="T1278" s="92"/>
      <c r="U1278" s="92"/>
      <c r="V1278" s="92"/>
      <c r="W1278" s="92"/>
      <c r="X1278" s="92"/>
      <c r="Y1278" s="92"/>
      <c r="Z1278" s="92"/>
    </row>
    <row r="1279" spans="1:26" ht="12.75">
      <c r="A1279" s="92"/>
      <c r="B1279" s="372"/>
      <c r="C1279" s="372"/>
      <c r="D1279" s="92"/>
      <c r="E1279" s="92"/>
      <c r="F1279" s="92"/>
      <c r="G1279" s="92"/>
      <c r="H1279" s="92"/>
      <c r="I1279" s="92"/>
      <c r="J1279" s="92"/>
      <c r="K1279" s="92"/>
      <c r="L1279" s="92"/>
      <c r="M1279" s="92"/>
      <c r="N1279" s="92"/>
      <c r="O1279" s="92"/>
      <c r="P1279" s="92"/>
      <c r="Q1279" s="92"/>
      <c r="R1279" s="92"/>
      <c r="S1279" s="92"/>
      <c r="T1279" s="92"/>
      <c r="U1279" s="92"/>
      <c r="V1279" s="92"/>
      <c r="W1279" s="92"/>
      <c r="X1279" s="92"/>
      <c r="Y1279" s="92"/>
      <c r="Z1279" s="92"/>
    </row>
    <row r="1280" spans="1:26" ht="12.75">
      <c r="A1280" s="92"/>
      <c r="B1280" s="372"/>
      <c r="C1280" s="372"/>
      <c r="D1280" s="92"/>
      <c r="E1280" s="92"/>
      <c r="F1280" s="92"/>
      <c r="G1280" s="92"/>
      <c r="H1280" s="92"/>
      <c r="I1280" s="92"/>
      <c r="J1280" s="92"/>
      <c r="K1280" s="92"/>
      <c r="L1280" s="92"/>
      <c r="M1280" s="92"/>
      <c r="N1280" s="92"/>
      <c r="O1280" s="92"/>
      <c r="P1280" s="92"/>
      <c r="Q1280" s="92"/>
      <c r="R1280" s="92"/>
      <c r="S1280" s="92"/>
      <c r="T1280" s="92"/>
      <c r="U1280" s="92"/>
      <c r="V1280" s="92"/>
      <c r="W1280" s="92"/>
      <c r="X1280" s="92"/>
      <c r="Y1280" s="92"/>
      <c r="Z1280" s="92"/>
    </row>
    <row r="1281" spans="1:26" ht="12.75">
      <c r="A1281" s="92"/>
      <c r="B1281" s="372"/>
      <c r="C1281" s="372"/>
      <c r="D1281" s="92"/>
      <c r="E1281" s="92"/>
      <c r="F1281" s="92"/>
      <c r="G1281" s="92"/>
      <c r="H1281" s="92"/>
      <c r="I1281" s="92"/>
      <c r="J1281" s="92"/>
      <c r="K1281" s="92"/>
      <c r="L1281" s="92"/>
      <c r="M1281" s="92"/>
      <c r="N1281" s="92"/>
      <c r="O1281" s="92"/>
      <c r="P1281" s="92"/>
      <c r="Q1281" s="92"/>
      <c r="R1281" s="92"/>
      <c r="S1281" s="92"/>
      <c r="T1281" s="92"/>
      <c r="U1281" s="92"/>
      <c r="V1281" s="92"/>
      <c r="W1281" s="92"/>
      <c r="X1281" s="92"/>
      <c r="Y1281" s="92"/>
      <c r="Z1281" s="92"/>
    </row>
    <row r="1282" spans="1:26" ht="12.75">
      <c r="A1282" s="92"/>
      <c r="B1282" s="372"/>
      <c r="C1282" s="372"/>
      <c r="D1282" s="92"/>
      <c r="E1282" s="92"/>
      <c r="F1282" s="92"/>
      <c r="G1282" s="92"/>
      <c r="H1282" s="92"/>
      <c r="I1282" s="92"/>
      <c r="J1282" s="92"/>
      <c r="K1282" s="92"/>
      <c r="L1282" s="92"/>
      <c r="M1282" s="92"/>
      <c r="N1282" s="92"/>
      <c r="O1282" s="92"/>
      <c r="P1282" s="92"/>
      <c r="Q1282" s="92"/>
      <c r="R1282" s="92"/>
      <c r="S1282" s="92"/>
      <c r="T1282" s="92"/>
      <c r="U1282" s="92"/>
      <c r="V1282" s="92"/>
      <c r="W1282" s="92"/>
      <c r="X1282" s="92"/>
      <c r="Y1282" s="92"/>
      <c r="Z1282" s="92"/>
    </row>
    <row r="1283" spans="1:26" ht="12.75">
      <c r="A1283" s="92"/>
      <c r="B1283" s="372"/>
      <c r="C1283" s="372"/>
      <c r="D1283" s="92"/>
      <c r="E1283" s="92"/>
      <c r="F1283" s="92"/>
      <c r="G1283" s="92"/>
      <c r="H1283" s="92"/>
      <c r="I1283" s="92"/>
      <c r="J1283" s="92"/>
      <c r="K1283" s="92"/>
      <c r="L1283" s="92"/>
      <c r="M1283" s="92"/>
      <c r="N1283" s="92"/>
      <c r="O1283" s="92"/>
      <c r="P1283" s="92"/>
      <c r="Q1283" s="92"/>
      <c r="R1283" s="92"/>
      <c r="S1283" s="92"/>
      <c r="T1283" s="92"/>
      <c r="U1283" s="92"/>
      <c r="V1283" s="92"/>
      <c r="W1283" s="92"/>
      <c r="X1283" s="92"/>
      <c r="Y1283" s="92"/>
      <c r="Z1283" s="92"/>
    </row>
    <row r="1284" spans="1:26" ht="12.75">
      <c r="A1284" s="92"/>
      <c r="B1284" s="372"/>
      <c r="C1284" s="372"/>
      <c r="D1284" s="92"/>
      <c r="E1284" s="92"/>
      <c r="F1284" s="92"/>
      <c r="G1284" s="92"/>
      <c r="H1284" s="92"/>
      <c r="I1284" s="92"/>
      <c r="J1284" s="92"/>
      <c r="K1284" s="92"/>
      <c r="L1284" s="92"/>
      <c r="M1284" s="92"/>
      <c r="N1284" s="92"/>
      <c r="O1284" s="92"/>
      <c r="P1284" s="92"/>
      <c r="Q1284" s="92"/>
      <c r="R1284" s="92"/>
      <c r="S1284" s="92"/>
      <c r="T1284" s="92"/>
      <c r="U1284" s="92"/>
      <c r="V1284" s="92"/>
      <c r="W1284" s="92"/>
      <c r="X1284" s="92"/>
      <c r="Y1284" s="92"/>
      <c r="Z1284" s="92"/>
    </row>
    <row r="1285" spans="1:26" ht="12.75">
      <c r="A1285" s="92"/>
      <c r="B1285" s="372"/>
      <c r="C1285" s="372"/>
      <c r="D1285" s="92"/>
      <c r="E1285" s="92"/>
      <c r="F1285" s="92"/>
      <c r="G1285" s="92"/>
      <c r="H1285" s="92"/>
      <c r="I1285" s="92"/>
      <c r="J1285" s="92"/>
      <c r="K1285" s="92"/>
      <c r="L1285" s="92"/>
      <c r="M1285" s="92"/>
      <c r="N1285" s="92"/>
      <c r="O1285" s="92"/>
      <c r="P1285" s="92"/>
      <c r="Q1285" s="92"/>
      <c r="R1285" s="92"/>
      <c r="S1285" s="92"/>
      <c r="T1285" s="92"/>
      <c r="U1285" s="92"/>
      <c r="V1285" s="92"/>
      <c r="W1285" s="92"/>
      <c r="X1285" s="92"/>
      <c r="Y1285" s="92"/>
      <c r="Z1285" s="92"/>
    </row>
    <row r="1286" spans="1:26" ht="12.75">
      <c r="A1286" s="92"/>
      <c r="B1286" s="372"/>
      <c r="C1286" s="372"/>
      <c r="D1286" s="92"/>
      <c r="E1286" s="92"/>
      <c r="F1286" s="92"/>
      <c r="G1286" s="92"/>
      <c r="H1286" s="92"/>
      <c r="I1286" s="92"/>
      <c r="J1286" s="92"/>
      <c r="K1286" s="92"/>
      <c r="L1286" s="92"/>
      <c r="M1286" s="92"/>
      <c r="N1286" s="92"/>
      <c r="O1286" s="92"/>
      <c r="P1286" s="92"/>
      <c r="Q1286" s="92"/>
      <c r="R1286" s="92"/>
      <c r="S1286" s="92"/>
      <c r="T1286" s="92"/>
      <c r="U1286" s="92"/>
      <c r="V1286" s="92"/>
      <c r="W1286" s="92"/>
      <c r="X1286" s="92"/>
      <c r="Y1286" s="92"/>
      <c r="Z1286" s="92"/>
    </row>
    <row r="1287" spans="1:26" ht="12.75">
      <c r="A1287" s="92"/>
      <c r="B1287" s="372"/>
      <c r="C1287" s="372"/>
      <c r="D1287" s="92"/>
      <c r="E1287" s="92"/>
      <c r="F1287" s="92"/>
      <c r="G1287" s="92"/>
      <c r="H1287" s="92"/>
      <c r="I1287" s="92"/>
      <c r="J1287" s="92"/>
      <c r="K1287" s="92"/>
      <c r="L1287" s="92"/>
      <c r="M1287" s="92"/>
      <c r="N1287" s="92"/>
      <c r="O1287" s="92"/>
      <c r="P1287" s="92"/>
      <c r="Q1287" s="92"/>
      <c r="R1287" s="92"/>
      <c r="S1287" s="92"/>
      <c r="T1287" s="92"/>
      <c r="U1287" s="92"/>
      <c r="V1287" s="92"/>
      <c r="W1287" s="92"/>
      <c r="X1287" s="92"/>
      <c r="Y1287" s="92"/>
      <c r="Z1287" s="92"/>
    </row>
    <row r="1288" spans="1:26" ht="12.75">
      <c r="A1288" s="92"/>
      <c r="B1288" s="372"/>
      <c r="C1288" s="372"/>
      <c r="D1288" s="92"/>
      <c r="E1288" s="92"/>
      <c r="F1288" s="92"/>
      <c r="G1288" s="92"/>
      <c r="H1288" s="92"/>
      <c r="I1288" s="92"/>
      <c r="J1288" s="92"/>
      <c r="K1288" s="92"/>
      <c r="L1288" s="92"/>
      <c r="M1288" s="92"/>
      <c r="N1288" s="92"/>
      <c r="O1288" s="92"/>
      <c r="P1288" s="92"/>
      <c r="Q1288" s="92"/>
      <c r="R1288" s="92"/>
      <c r="S1288" s="92"/>
      <c r="T1288" s="92"/>
      <c r="U1288" s="92"/>
      <c r="V1288" s="92"/>
      <c r="W1288" s="92"/>
      <c r="X1288" s="92"/>
      <c r="Y1288" s="92"/>
      <c r="Z1288" s="92"/>
    </row>
    <row r="1289" spans="1:26" ht="12.75">
      <c r="A1289" s="92"/>
      <c r="B1289" s="372"/>
      <c r="C1289" s="372"/>
      <c r="D1289" s="92"/>
      <c r="E1289" s="92"/>
      <c r="F1289" s="92"/>
      <c r="G1289" s="92"/>
      <c r="H1289" s="92"/>
      <c r="I1289" s="92"/>
      <c r="J1289" s="92"/>
      <c r="K1289" s="92"/>
      <c r="L1289" s="92"/>
      <c r="M1289" s="92"/>
      <c r="N1289" s="92"/>
      <c r="O1289" s="92"/>
      <c r="P1289" s="92"/>
      <c r="Q1289" s="92"/>
      <c r="R1289" s="92"/>
      <c r="S1289" s="92"/>
      <c r="T1289" s="92"/>
      <c r="U1289" s="92"/>
      <c r="V1289" s="92"/>
      <c r="W1289" s="92"/>
      <c r="X1289" s="92"/>
      <c r="Y1289" s="92"/>
      <c r="Z1289" s="92"/>
    </row>
    <row r="1290" spans="1:26" ht="12.75">
      <c r="A1290" s="92"/>
      <c r="B1290" s="372"/>
      <c r="C1290" s="372"/>
      <c r="D1290" s="92"/>
      <c r="E1290" s="92"/>
      <c r="F1290" s="92"/>
      <c r="G1290" s="92"/>
      <c r="H1290" s="92"/>
      <c r="I1290" s="92"/>
      <c r="J1290" s="92"/>
      <c r="K1290" s="92"/>
      <c r="L1290" s="92"/>
      <c r="M1290" s="92"/>
      <c r="N1290" s="92"/>
      <c r="O1290" s="92"/>
      <c r="P1290" s="92"/>
      <c r="Q1290" s="92"/>
      <c r="R1290" s="92"/>
      <c r="S1290" s="92"/>
      <c r="T1290" s="92"/>
      <c r="U1290" s="92"/>
      <c r="V1290" s="92"/>
      <c r="W1290" s="92"/>
      <c r="X1290" s="92"/>
      <c r="Y1290" s="92"/>
      <c r="Z1290" s="92"/>
    </row>
    <row r="1291" spans="1:26" ht="12.75">
      <c r="A1291" s="92"/>
      <c r="B1291" s="372"/>
      <c r="C1291" s="372"/>
      <c r="D1291" s="92"/>
      <c r="E1291" s="92"/>
      <c r="F1291" s="92"/>
      <c r="G1291" s="92"/>
      <c r="H1291" s="92"/>
      <c r="I1291" s="92"/>
      <c r="J1291" s="92"/>
      <c r="K1291" s="92"/>
      <c r="L1291" s="92"/>
      <c r="M1291" s="92"/>
      <c r="N1291" s="92"/>
      <c r="O1291" s="92"/>
      <c r="P1291" s="92"/>
      <c r="Q1291" s="92"/>
      <c r="R1291" s="92"/>
      <c r="S1291" s="92"/>
      <c r="T1291" s="92"/>
      <c r="U1291" s="92"/>
      <c r="V1291" s="92"/>
      <c r="W1291" s="92"/>
      <c r="X1291" s="92"/>
      <c r="Y1291" s="92"/>
      <c r="Z1291" s="92"/>
    </row>
    <row r="1292" spans="1:26" ht="12.75">
      <c r="A1292" s="92"/>
      <c r="B1292" s="372"/>
      <c r="C1292" s="372"/>
      <c r="D1292" s="92"/>
      <c r="E1292" s="92"/>
      <c r="F1292" s="92"/>
      <c r="G1292" s="92"/>
      <c r="H1292" s="92"/>
      <c r="I1292" s="92"/>
      <c r="J1292" s="92"/>
      <c r="K1292" s="92"/>
      <c r="L1292" s="92"/>
      <c r="M1292" s="92"/>
      <c r="N1292" s="92"/>
      <c r="O1292" s="92"/>
      <c r="P1292" s="92"/>
      <c r="Q1292" s="92"/>
      <c r="R1292" s="92"/>
      <c r="S1292" s="92"/>
      <c r="T1292" s="92"/>
      <c r="U1292" s="92"/>
      <c r="V1292" s="92"/>
      <c r="W1292" s="92"/>
      <c r="X1292" s="92"/>
      <c r="Y1292" s="92"/>
      <c r="Z1292" s="92"/>
    </row>
    <row r="1293" spans="1:26" ht="12.75">
      <c r="A1293" s="92"/>
      <c r="B1293" s="372"/>
      <c r="C1293" s="372"/>
      <c r="D1293" s="92"/>
      <c r="E1293" s="92"/>
      <c r="F1293" s="92"/>
      <c r="G1293" s="92"/>
      <c r="H1293" s="92"/>
      <c r="I1293" s="92"/>
      <c r="J1293" s="92"/>
      <c r="K1293" s="92"/>
      <c r="L1293" s="92"/>
      <c r="M1293" s="92"/>
      <c r="N1293" s="92"/>
      <c r="O1293" s="92"/>
      <c r="P1293" s="92"/>
      <c r="Q1293" s="92"/>
      <c r="R1293" s="92"/>
      <c r="S1293" s="92"/>
      <c r="T1293" s="92"/>
      <c r="U1293" s="92"/>
      <c r="V1293" s="92"/>
      <c r="W1293" s="92"/>
      <c r="X1293" s="92"/>
      <c r="Y1293" s="92"/>
      <c r="Z1293" s="92"/>
    </row>
    <row r="1294" spans="1:26" ht="12.75">
      <c r="A1294" s="92"/>
      <c r="B1294" s="372"/>
      <c r="C1294" s="372"/>
      <c r="D1294" s="92"/>
      <c r="E1294" s="92"/>
      <c r="F1294" s="92"/>
      <c r="G1294" s="92"/>
      <c r="H1294" s="92"/>
      <c r="I1294" s="92"/>
      <c r="J1294" s="92"/>
      <c r="K1294" s="92"/>
      <c r="L1294" s="92"/>
      <c r="M1294" s="92"/>
      <c r="N1294" s="92"/>
      <c r="O1294" s="92"/>
      <c r="P1294" s="92"/>
      <c r="Q1294" s="92"/>
      <c r="R1294" s="92"/>
      <c r="S1294" s="92"/>
      <c r="T1294" s="92"/>
      <c r="U1294" s="92"/>
      <c r="V1294" s="92"/>
      <c r="W1294" s="92"/>
      <c r="X1294" s="92"/>
      <c r="Y1294" s="92"/>
      <c r="Z1294" s="92"/>
    </row>
    <row r="1295" spans="1:26" ht="12.75">
      <c r="A1295" s="92"/>
      <c r="B1295" s="372"/>
      <c r="C1295" s="372"/>
      <c r="D1295" s="92"/>
      <c r="E1295" s="92"/>
      <c r="F1295" s="92"/>
      <c r="G1295" s="92"/>
      <c r="H1295" s="92"/>
      <c r="I1295" s="92"/>
      <c r="J1295" s="92"/>
      <c r="K1295" s="92"/>
      <c r="L1295" s="92"/>
      <c r="M1295" s="92"/>
      <c r="N1295" s="92"/>
      <c r="O1295" s="92"/>
      <c r="P1295" s="92"/>
      <c r="Q1295" s="92"/>
      <c r="R1295" s="92"/>
      <c r="S1295" s="92"/>
      <c r="T1295" s="92"/>
      <c r="U1295" s="92"/>
      <c r="V1295" s="92"/>
      <c r="W1295" s="92"/>
      <c r="X1295" s="92"/>
      <c r="Y1295" s="92"/>
      <c r="Z1295" s="92"/>
    </row>
    <row r="1296" spans="1:26" ht="12.75">
      <c r="A1296" s="92"/>
      <c r="B1296" s="372"/>
      <c r="C1296" s="372"/>
      <c r="D1296" s="92"/>
      <c r="E1296" s="92"/>
      <c r="F1296" s="92"/>
      <c r="G1296" s="92"/>
      <c r="H1296" s="92"/>
      <c r="I1296" s="92"/>
      <c r="J1296" s="92"/>
      <c r="K1296" s="92"/>
      <c r="L1296" s="92"/>
      <c r="M1296" s="92"/>
      <c r="N1296" s="92"/>
      <c r="O1296" s="92"/>
      <c r="P1296" s="92"/>
      <c r="Q1296" s="92"/>
      <c r="R1296" s="92"/>
      <c r="S1296" s="92"/>
      <c r="T1296" s="92"/>
      <c r="U1296" s="92"/>
      <c r="V1296" s="92"/>
      <c r="W1296" s="92"/>
      <c r="X1296" s="92"/>
      <c r="Y1296" s="92"/>
      <c r="Z1296" s="92"/>
    </row>
    <row r="1297" spans="1:26" ht="12.75">
      <c r="A1297" s="92"/>
      <c r="B1297" s="372"/>
      <c r="C1297" s="372"/>
      <c r="D1297" s="92"/>
      <c r="E1297" s="92"/>
      <c r="F1297" s="92"/>
      <c r="G1297" s="92"/>
      <c r="H1297" s="92"/>
      <c r="I1297" s="92"/>
      <c r="J1297" s="92"/>
      <c r="K1297" s="92"/>
      <c r="L1297" s="92"/>
      <c r="M1297" s="92"/>
      <c r="N1297" s="92"/>
      <c r="O1297" s="92"/>
      <c r="P1297" s="92"/>
      <c r="Q1297" s="92"/>
      <c r="R1297" s="92"/>
      <c r="S1297" s="92"/>
      <c r="T1297" s="92"/>
      <c r="U1297" s="92"/>
      <c r="V1297" s="92"/>
      <c r="W1297" s="92"/>
      <c r="X1297" s="92"/>
      <c r="Y1297" s="92"/>
      <c r="Z1297" s="92"/>
    </row>
    <row r="1298" spans="1:26" ht="12.75">
      <c r="A1298" s="92"/>
      <c r="B1298" s="372"/>
      <c r="C1298" s="372"/>
      <c r="D1298" s="92"/>
      <c r="E1298" s="92"/>
      <c r="F1298" s="92"/>
      <c r="G1298" s="92"/>
      <c r="H1298" s="92"/>
      <c r="I1298" s="92"/>
      <c r="J1298" s="92"/>
      <c r="K1298" s="92"/>
      <c r="L1298" s="92"/>
      <c r="M1298" s="92"/>
      <c r="N1298" s="92"/>
      <c r="O1298" s="92"/>
      <c r="P1298" s="92"/>
      <c r="Q1298" s="92"/>
      <c r="R1298" s="92"/>
      <c r="S1298" s="92"/>
      <c r="T1298" s="92"/>
      <c r="U1298" s="92"/>
      <c r="V1298" s="92"/>
      <c r="W1298" s="92"/>
      <c r="X1298" s="92"/>
      <c r="Y1298" s="92"/>
      <c r="Z1298" s="92"/>
    </row>
    <row r="1299" spans="1:26" ht="12.75">
      <c r="A1299" s="92"/>
      <c r="B1299" s="372"/>
      <c r="C1299" s="372"/>
      <c r="D1299" s="92"/>
      <c r="E1299" s="92"/>
      <c r="F1299" s="92"/>
      <c r="G1299" s="92"/>
      <c r="H1299" s="92"/>
      <c r="I1299" s="92"/>
      <c r="J1299" s="92"/>
      <c r="K1299" s="92"/>
      <c r="L1299" s="92"/>
      <c r="M1299" s="92"/>
      <c r="N1299" s="92"/>
      <c r="O1299" s="92"/>
      <c r="P1299" s="92"/>
      <c r="Q1299" s="92"/>
      <c r="R1299" s="92"/>
      <c r="S1299" s="92"/>
      <c r="T1299" s="92"/>
      <c r="U1299" s="92"/>
      <c r="V1299" s="92"/>
      <c r="W1299" s="92"/>
      <c r="X1299" s="92"/>
      <c r="Y1299" s="92"/>
      <c r="Z1299" s="92"/>
    </row>
    <row r="1300" spans="1:26" ht="12.75">
      <c r="A1300" s="92"/>
      <c r="B1300" s="372"/>
      <c r="C1300" s="372"/>
      <c r="D1300" s="92"/>
      <c r="E1300" s="92"/>
      <c r="F1300" s="92"/>
      <c r="G1300" s="92"/>
      <c r="H1300" s="92"/>
      <c r="I1300" s="92"/>
      <c r="J1300" s="92"/>
      <c r="K1300" s="92"/>
      <c r="L1300" s="92"/>
      <c r="M1300" s="92"/>
      <c r="N1300" s="92"/>
      <c r="O1300" s="92"/>
      <c r="P1300" s="92"/>
      <c r="Q1300" s="92"/>
      <c r="R1300" s="92"/>
      <c r="S1300" s="92"/>
      <c r="T1300" s="92"/>
      <c r="U1300" s="92"/>
      <c r="V1300" s="92"/>
      <c r="W1300" s="92"/>
      <c r="X1300" s="92"/>
      <c r="Y1300" s="92"/>
      <c r="Z1300" s="92"/>
    </row>
    <row r="1301" spans="1:26" ht="12.75">
      <c r="A1301" s="92"/>
      <c r="B1301" s="372"/>
      <c r="C1301" s="372"/>
      <c r="D1301" s="92"/>
      <c r="E1301" s="92"/>
      <c r="F1301" s="92"/>
      <c r="G1301" s="92"/>
      <c r="H1301" s="92"/>
      <c r="I1301" s="92"/>
      <c r="J1301" s="92"/>
      <c r="K1301" s="92"/>
      <c r="L1301" s="92"/>
      <c r="M1301" s="92"/>
      <c r="N1301" s="92"/>
      <c r="O1301" s="92"/>
      <c r="P1301" s="92"/>
      <c r="Q1301" s="92"/>
      <c r="R1301" s="92"/>
      <c r="S1301" s="92"/>
      <c r="T1301" s="92"/>
      <c r="U1301" s="92"/>
      <c r="V1301" s="92"/>
      <c r="W1301" s="92"/>
      <c r="X1301" s="92"/>
      <c r="Y1301" s="92"/>
      <c r="Z1301" s="92"/>
    </row>
    <row r="1302" spans="1:26" ht="12.75">
      <c r="A1302" s="92"/>
      <c r="B1302" s="372"/>
      <c r="C1302" s="372"/>
      <c r="D1302" s="92"/>
      <c r="E1302" s="92"/>
      <c r="F1302" s="92"/>
      <c r="G1302" s="92"/>
      <c r="H1302" s="92"/>
      <c r="I1302" s="92"/>
      <c r="J1302" s="92"/>
      <c r="K1302" s="92"/>
      <c r="L1302" s="92"/>
      <c r="M1302" s="92"/>
      <c r="N1302" s="92"/>
      <c r="O1302" s="92"/>
      <c r="P1302" s="92"/>
      <c r="Q1302" s="92"/>
      <c r="R1302" s="92"/>
      <c r="S1302" s="92"/>
      <c r="T1302" s="92"/>
      <c r="U1302" s="92"/>
      <c r="V1302" s="92"/>
      <c r="W1302" s="92"/>
      <c r="X1302" s="92"/>
      <c r="Y1302" s="92"/>
      <c r="Z1302" s="92"/>
    </row>
    <row r="1303" spans="1:26" ht="12.75">
      <c r="A1303" s="92"/>
      <c r="B1303" s="372"/>
      <c r="C1303" s="372"/>
      <c r="D1303" s="92"/>
      <c r="E1303" s="92"/>
      <c r="F1303" s="92"/>
      <c r="G1303" s="92"/>
      <c r="H1303" s="92"/>
      <c r="I1303" s="92"/>
      <c r="J1303" s="92"/>
      <c r="K1303" s="92"/>
      <c r="L1303" s="92"/>
      <c r="M1303" s="92"/>
      <c r="N1303" s="92"/>
      <c r="O1303" s="92"/>
      <c r="P1303" s="92"/>
      <c r="Q1303" s="92"/>
      <c r="R1303" s="92"/>
      <c r="S1303" s="92"/>
      <c r="T1303" s="92"/>
      <c r="U1303" s="92"/>
      <c r="V1303" s="92"/>
      <c r="W1303" s="92"/>
      <c r="X1303" s="92"/>
      <c r="Y1303" s="92"/>
      <c r="Z1303" s="92"/>
    </row>
    <row r="1304" spans="1:26" ht="12.75">
      <c r="A1304" s="92"/>
      <c r="B1304" s="372"/>
      <c r="C1304" s="372"/>
      <c r="D1304" s="92"/>
      <c r="E1304" s="92"/>
      <c r="F1304" s="92"/>
      <c r="G1304" s="92"/>
      <c r="H1304" s="92"/>
      <c r="I1304" s="92"/>
      <c r="J1304" s="92"/>
      <c r="K1304" s="92"/>
      <c r="L1304" s="92"/>
      <c r="M1304" s="92"/>
      <c r="N1304" s="92"/>
      <c r="O1304" s="92"/>
      <c r="P1304" s="92"/>
      <c r="Q1304" s="92"/>
      <c r="R1304" s="92"/>
      <c r="S1304" s="92"/>
      <c r="T1304" s="92"/>
      <c r="U1304" s="92"/>
      <c r="V1304" s="92"/>
      <c r="W1304" s="92"/>
      <c r="X1304" s="92"/>
      <c r="Y1304" s="92"/>
      <c r="Z1304" s="92"/>
    </row>
    <row r="1305" spans="1:26" ht="12.75">
      <c r="A1305" s="92"/>
      <c r="B1305" s="372"/>
      <c r="C1305" s="372"/>
      <c r="D1305" s="92"/>
      <c r="E1305" s="92"/>
      <c r="F1305" s="92"/>
      <c r="G1305" s="92"/>
      <c r="H1305" s="92"/>
      <c r="I1305" s="92"/>
      <c r="J1305" s="92"/>
      <c r="K1305" s="92"/>
      <c r="L1305" s="92"/>
      <c r="M1305" s="92"/>
      <c r="N1305" s="92"/>
      <c r="O1305" s="92"/>
      <c r="P1305" s="92"/>
      <c r="Q1305" s="92"/>
      <c r="R1305" s="92"/>
      <c r="S1305" s="92"/>
      <c r="T1305" s="92"/>
      <c r="U1305" s="92"/>
      <c r="V1305" s="92"/>
      <c r="W1305" s="92"/>
      <c r="X1305" s="92"/>
      <c r="Y1305" s="92"/>
      <c r="Z1305" s="92"/>
    </row>
    <row r="1306" spans="1:26" ht="12.75">
      <c r="A1306" s="92"/>
      <c r="B1306" s="372"/>
      <c r="C1306" s="372"/>
      <c r="D1306" s="92"/>
      <c r="E1306" s="92"/>
      <c r="F1306" s="92"/>
      <c r="G1306" s="92"/>
      <c r="H1306" s="92"/>
      <c r="I1306" s="92"/>
      <c r="J1306" s="92"/>
      <c r="K1306" s="92"/>
      <c r="L1306" s="92"/>
      <c r="M1306" s="92"/>
      <c r="N1306" s="92"/>
      <c r="O1306" s="92"/>
      <c r="P1306" s="92"/>
      <c r="Q1306" s="92"/>
      <c r="R1306" s="92"/>
      <c r="S1306" s="92"/>
      <c r="T1306" s="92"/>
      <c r="U1306" s="92"/>
      <c r="V1306" s="92"/>
      <c r="W1306" s="92"/>
      <c r="X1306" s="92"/>
      <c r="Y1306" s="92"/>
      <c r="Z1306" s="92"/>
    </row>
    <row r="1307" spans="1:26" ht="12.75">
      <c r="A1307" s="92"/>
      <c r="B1307" s="372"/>
      <c r="C1307" s="372"/>
      <c r="D1307" s="92"/>
      <c r="E1307" s="92"/>
      <c r="F1307" s="92"/>
      <c r="G1307" s="92"/>
      <c r="H1307" s="92"/>
      <c r="I1307" s="92"/>
      <c r="J1307" s="92"/>
      <c r="K1307" s="92"/>
      <c r="L1307" s="92"/>
      <c r="M1307" s="92"/>
      <c r="N1307" s="92"/>
      <c r="O1307" s="92"/>
      <c r="P1307" s="92"/>
      <c r="Q1307" s="92"/>
      <c r="R1307" s="92"/>
      <c r="S1307" s="92"/>
      <c r="T1307" s="92"/>
      <c r="U1307" s="92"/>
      <c r="V1307" s="92"/>
      <c r="W1307" s="92"/>
      <c r="X1307" s="92"/>
      <c r="Y1307" s="92"/>
      <c r="Z1307" s="92"/>
    </row>
    <row r="1308" spans="1:26" ht="12.75">
      <c r="A1308" s="92"/>
      <c r="B1308" s="372"/>
      <c r="C1308" s="372"/>
      <c r="D1308" s="92"/>
      <c r="E1308" s="92"/>
      <c r="F1308" s="92"/>
      <c r="G1308" s="92"/>
      <c r="H1308" s="92"/>
      <c r="I1308" s="92"/>
      <c r="J1308" s="92"/>
      <c r="K1308" s="92"/>
      <c r="L1308" s="92"/>
      <c r="M1308" s="92"/>
      <c r="N1308" s="92"/>
      <c r="O1308" s="92"/>
      <c r="P1308" s="92"/>
      <c r="Q1308" s="92"/>
      <c r="R1308" s="92"/>
      <c r="S1308" s="92"/>
      <c r="T1308" s="92"/>
      <c r="U1308" s="92"/>
      <c r="V1308" s="92"/>
      <c r="W1308" s="92"/>
      <c r="X1308" s="92"/>
      <c r="Y1308" s="92"/>
      <c r="Z1308" s="92"/>
    </row>
    <row r="1309" spans="1:26" ht="12.75">
      <c r="A1309" s="92"/>
      <c r="B1309" s="372"/>
      <c r="C1309" s="372"/>
      <c r="D1309" s="92"/>
      <c r="E1309" s="92"/>
      <c r="F1309" s="92"/>
      <c r="G1309" s="92"/>
      <c r="H1309" s="92"/>
      <c r="I1309" s="92"/>
      <c r="J1309" s="92"/>
      <c r="K1309" s="92"/>
      <c r="L1309" s="92"/>
      <c r="M1309" s="92"/>
      <c r="N1309" s="92"/>
      <c r="O1309" s="92"/>
      <c r="P1309" s="92"/>
      <c r="Q1309" s="92"/>
      <c r="R1309" s="92"/>
      <c r="S1309" s="92"/>
      <c r="T1309" s="92"/>
      <c r="U1309" s="92"/>
      <c r="V1309" s="92"/>
      <c r="W1309" s="92"/>
      <c r="X1309" s="92"/>
      <c r="Y1309" s="92"/>
      <c r="Z1309" s="92"/>
    </row>
    <row r="1310" spans="1:26" ht="12.75">
      <c r="A1310" s="92"/>
      <c r="B1310" s="372"/>
      <c r="C1310" s="372"/>
      <c r="D1310" s="92"/>
      <c r="E1310" s="92"/>
      <c r="F1310" s="92"/>
      <c r="G1310" s="92"/>
      <c r="H1310" s="92"/>
      <c r="I1310" s="92"/>
      <c r="J1310" s="92"/>
      <c r="K1310" s="92"/>
      <c r="L1310" s="92"/>
      <c r="M1310" s="92"/>
      <c r="N1310" s="92"/>
      <c r="O1310" s="92"/>
      <c r="P1310" s="92"/>
      <c r="Q1310" s="92"/>
      <c r="R1310" s="92"/>
      <c r="S1310" s="92"/>
      <c r="T1310" s="92"/>
      <c r="U1310" s="92"/>
      <c r="V1310" s="92"/>
      <c r="W1310" s="92"/>
      <c r="X1310" s="92"/>
      <c r="Y1310" s="92"/>
      <c r="Z1310" s="92"/>
    </row>
    <row r="1311" spans="1:26" ht="12.75">
      <c r="A1311" s="92"/>
      <c r="B1311" s="372"/>
      <c r="C1311" s="372"/>
      <c r="D1311" s="92"/>
      <c r="E1311" s="92"/>
      <c r="F1311" s="92"/>
      <c r="G1311" s="92"/>
      <c r="H1311" s="92"/>
      <c r="I1311" s="92"/>
      <c r="J1311" s="92"/>
      <c r="K1311" s="92"/>
      <c r="L1311" s="92"/>
      <c r="M1311" s="92"/>
      <c r="N1311" s="92"/>
      <c r="O1311" s="92"/>
      <c r="P1311" s="92"/>
      <c r="Q1311" s="92"/>
      <c r="R1311" s="92"/>
      <c r="S1311" s="92"/>
      <c r="T1311" s="92"/>
      <c r="U1311" s="92"/>
      <c r="V1311" s="92"/>
      <c r="W1311" s="92"/>
      <c r="X1311" s="92"/>
      <c r="Y1311" s="92"/>
      <c r="Z1311" s="92"/>
    </row>
    <row r="1312" spans="1:26" ht="12.75">
      <c r="A1312" s="92"/>
      <c r="B1312" s="372"/>
      <c r="C1312" s="372"/>
      <c r="D1312" s="92"/>
      <c r="E1312" s="92"/>
      <c r="F1312" s="92"/>
      <c r="G1312" s="92"/>
      <c r="H1312" s="92"/>
      <c r="I1312" s="92"/>
      <c r="J1312" s="92"/>
      <c r="K1312" s="92"/>
      <c r="L1312" s="92"/>
      <c r="M1312" s="92"/>
      <c r="N1312" s="92"/>
      <c r="O1312" s="92"/>
      <c r="P1312" s="92"/>
      <c r="Q1312" s="92"/>
      <c r="R1312" s="92"/>
      <c r="S1312" s="92"/>
      <c r="T1312" s="92"/>
      <c r="U1312" s="92"/>
      <c r="V1312" s="92"/>
      <c r="W1312" s="92"/>
      <c r="X1312" s="92"/>
      <c r="Y1312" s="92"/>
      <c r="Z1312" s="92"/>
    </row>
    <row r="1313" spans="1:26" ht="12.75">
      <c r="A1313" s="92"/>
      <c r="B1313" s="372"/>
      <c r="C1313" s="372"/>
      <c r="D1313" s="92"/>
      <c r="E1313" s="92"/>
      <c r="F1313" s="92"/>
      <c r="G1313" s="92"/>
      <c r="H1313" s="92"/>
      <c r="I1313" s="92"/>
      <c r="J1313" s="92"/>
      <c r="K1313" s="92"/>
      <c r="L1313" s="92"/>
      <c r="M1313" s="92"/>
      <c r="N1313" s="92"/>
      <c r="O1313" s="92"/>
      <c r="P1313" s="92"/>
      <c r="Q1313" s="92"/>
      <c r="R1313" s="92"/>
      <c r="S1313" s="92"/>
      <c r="T1313" s="92"/>
      <c r="U1313" s="92"/>
      <c r="V1313" s="92"/>
      <c r="W1313" s="92"/>
      <c r="X1313" s="92"/>
      <c r="Y1313" s="92"/>
      <c r="Z1313" s="92"/>
    </row>
    <row r="1314" spans="1:26" ht="12.75">
      <c r="A1314" s="92"/>
      <c r="B1314" s="372"/>
      <c r="C1314" s="372"/>
      <c r="D1314" s="92"/>
      <c r="E1314" s="92"/>
      <c r="F1314" s="92"/>
      <c r="G1314" s="92"/>
      <c r="H1314" s="92"/>
      <c r="I1314" s="92"/>
      <c r="J1314" s="92"/>
      <c r="K1314" s="92"/>
      <c r="L1314" s="92"/>
      <c r="M1314" s="92"/>
      <c r="N1314" s="92"/>
      <c r="O1314" s="92"/>
      <c r="P1314" s="92"/>
      <c r="Q1314" s="92"/>
      <c r="R1314" s="92"/>
      <c r="S1314" s="92"/>
      <c r="T1314" s="92"/>
      <c r="U1314" s="92"/>
      <c r="V1314" s="92"/>
      <c r="W1314" s="92"/>
      <c r="X1314" s="92"/>
      <c r="Y1314" s="92"/>
      <c r="Z1314" s="92"/>
    </row>
    <row r="1315" spans="1:26" ht="12.75">
      <c r="A1315" s="92"/>
      <c r="B1315" s="372"/>
      <c r="C1315" s="372"/>
      <c r="D1315" s="92"/>
      <c r="E1315" s="92"/>
      <c r="F1315" s="92"/>
      <c r="G1315" s="92"/>
      <c r="H1315" s="92"/>
      <c r="I1315" s="92"/>
      <c r="J1315" s="92"/>
      <c r="K1315" s="92"/>
      <c r="L1315" s="92"/>
      <c r="M1315" s="92"/>
      <c r="N1315" s="92"/>
      <c r="O1315" s="92"/>
      <c r="P1315" s="92"/>
      <c r="Q1315" s="92"/>
      <c r="R1315" s="92"/>
      <c r="S1315" s="92"/>
      <c r="T1315" s="92"/>
      <c r="U1315" s="92"/>
      <c r="V1315" s="92"/>
      <c r="W1315" s="92"/>
      <c r="X1315" s="92"/>
      <c r="Y1315" s="92"/>
      <c r="Z1315" s="92"/>
    </row>
    <row r="1316" spans="1:26" ht="12.75">
      <c r="A1316" s="92"/>
      <c r="B1316" s="372"/>
      <c r="C1316" s="372"/>
      <c r="D1316" s="92"/>
      <c r="E1316" s="92"/>
      <c r="F1316" s="92"/>
      <c r="G1316" s="92"/>
      <c r="H1316" s="92"/>
      <c r="I1316" s="92"/>
      <c r="J1316" s="92"/>
      <c r="K1316" s="92"/>
      <c r="L1316" s="92"/>
      <c r="M1316" s="92"/>
      <c r="N1316" s="92"/>
      <c r="O1316" s="92"/>
      <c r="P1316" s="92"/>
      <c r="Q1316" s="92"/>
      <c r="R1316" s="92"/>
      <c r="S1316" s="92"/>
      <c r="T1316" s="92"/>
      <c r="U1316" s="92"/>
      <c r="V1316" s="92"/>
      <c r="W1316" s="92"/>
      <c r="X1316" s="92"/>
      <c r="Y1316" s="92"/>
      <c r="Z1316" s="92"/>
    </row>
    <row r="1317" spans="1:26" ht="12.75">
      <c r="A1317" s="92"/>
      <c r="B1317" s="372"/>
      <c r="C1317" s="372"/>
      <c r="D1317" s="92"/>
      <c r="E1317" s="92"/>
      <c r="F1317" s="92"/>
      <c r="G1317" s="92"/>
      <c r="H1317" s="92"/>
      <c r="I1317" s="92"/>
      <c r="J1317" s="92"/>
      <c r="K1317" s="92"/>
      <c r="L1317" s="92"/>
      <c r="M1317" s="92"/>
      <c r="N1317" s="92"/>
      <c r="O1317" s="92"/>
      <c r="P1317" s="92"/>
      <c r="Q1317" s="92"/>
      <c r="R1317" s="92"/>
      <c r="S1317" s="92"/>
      <c r="T1317" s="92"/>
      <c r="U1317" s="92"/>
      <c r="V1317" s="92"/>
      <c r="W1317" s="92"/>
      <c r="X1317" s="92"/>
      <c r="Y1317" s="92"/>
      <c r="Z1317" s="92"/>
    </row>
    <row r="1318" spans="1:26" ht="12.75">
      <c r="A1318" s="92"/>
      <c r="B1318" s="372"/>
      <c r="C1318" s="372"/>
      <c r="D1318" s="92"/>
      <c r="E1318" s="92"/>
      <c r="F1318" s="92"/>
      <c r="G1318" s="92"/>
      <c r="H1318" s="92"/>
      <c r="I1318" s="92"/>
      <c r="J1318" s="92"/>
      <c r="K1318" s="92"/>
      <c r="L1318" s="92"/>
      <c r="M1318" s="92"/>
      <c r="N1318" s="92"/>
      <c r="O1318" s="92"/>
      <c r="P1318" s="92"/>
      <c r="Q1318" s="92"/>
      <c r="R1318" s="92"/>
      <c r="S1318" s="92"/>
      <c r="T1318" s="92"/>
      <c r="U1318" s="92"/>
      <c r="V1318" s="92"/>
      <c r="W1318" s="92"/>
      <c r="X1318" s="92"/>
      <c r="Y1318" s="92"/>
      <c r="Z1318" s="92"/>
    </row>
    <row r="1319" spans="1:26" ht="12.75">
      <c r="A1319" s="92"/>
      <c r="B1319" s="372"/>
      <c r="C1319" s="372"/>
      <c r="D1319" s="92"/>
      <c r="E1319" s="92"/>
      <c r="F1319" s="92"/>
      <c r="G1319" s="92"/>
      <c r="H1319" s="92"/>
      <c r="I1319" s="92"/>
      <c r="J1319" s="92"/>
      <c r="K1319" s="92"/>
      <c r="L1319" s="92"/>
      <c r="M1319" s="92"/>
      <c r="N1319" s="92"/>
      <c r="O1319" s="92"/>
      <c r="P1319" s="92"/>
      <c r="Q1319" s="92"/>
      <c r="R1319" s="92"/>
      <c r="S1319" s="92"/>
      <c r="T1319" s="92"/>
      <c r="U1319" s="92"/>
      <c r="V1319" s="92"/>
      <c r="W1319" s="92"/>
      <c r="X1319" s="92"/>
      <c r="Y1319" s="92"/>
      <c r="Z1319" s="92"/>
    </row>
    <row r="1320" spans="1:26" ht="12.75">
      <c r="A1320" s="92"/>
      <c r="B1320" s="372"/>
      <c r="C1320" s="372"/>
      <c r="D1320" s="92"/>
      <c r="E1320" s="92"/>
      <c r="F1320" s="92"/>
      <c r="G1320" s="92"/>
      <c r="H1320" s="92"/>
      <c r="I1320" s="92"/>
      <c r="J1320" s="92"/>
      <c r="K1320" s="92"/>
      <c r="L1320" s="92"/>
      <c r="M1320" s="92"/>
      <c r="N1320" s="92"/>
      <c r="O1320" s="92"/>
      <c r="P1320" s="92"/>
      <c r="Q1320" s="92"/>
      <c r="R1320" s="92"/>
      <c r="S1320" s="92"/>
      <c r="T1320" s="92"/>
      <c r="U1320" s="92"/>
      <c r="V1320" s="92"/>
      <c r="W1320" s="92"/>
      <c r="X1320" s="92"/>
      <c r="Y1320" s="92"/>
      <c r="Z1320" s="92"/>
    </row>
    <row r="1321" spans="1:26" ht="12.75">
      <c r="A1321" s="92"/>
      <c r="B1321" s="372"/>
      <c r="C1321" s="372"/>
      <c r="D1321" s="92"/>
      <c r="E1321" s="92"/>
      <c r="F1321" s="92"/>
      <c r="G1321" s="92"/>
      <c r="H1321" s="92"/>
      <c r="I1321" s="92"/>
      <c r="J1321" s="92"/>
      <c r="K1321" s="92"/>
      <c r="L1321" s="92"/>
      <c r="M1321" s="92"/>
      <c r="N1321" s="92"/>
      <c r="O1321" s="92"/>
      <c r="P1321" s="92"/>
      <c r="Q1321" s="92"/>
      <c r="R1321" s="92"/>
      <c r="S1321" s="92"/>
      <c r="T1321" s="92"/>
      <c r="U1321" s="92"/>
      <c r="V1321" s="92"/>
      <c r="W1321" s="92"/>
      <c r="X1321" s="92"/>
      <c r="Y1321" s="92"/>
      <c r="Z1321" s="92"/>
    </row>
    <row r="1322" spans="1:26" ht="12.75">
      <c r="A1322" s="92"/>
      <c r="B1322" s="372"/>
      <c r="C1322" s="372"/>
      <c r="D1322" s="92"/>
      <c r="E1322" s="92"/>
      <c r="F1322" s="92"/>
      <c r="G1322" s="92"/>
      <c r="H1322" s="92"/>
      <c r="I1322" s="92"/>
      <c r="J1322" s="92"/>
      <c r="K1322" s="92"/>
      <c r="L1322" s="92"/>
      <c r="M1322" s="92"/>
      <c r="N1322" s="92"/>
      <c r="O1322" s="92"/>
      <c r="P1322" s="92"/>
      <c r="Q1322" s="92"/>
      <c r="R1322" s="92"/>
      <c r="S1322" s="92"/>
      <c r="T1322" s="92"/>
      <c r="U1322" s="92"/>
      <c r="V1322" s="92"/>
      <c r="W1322" s="92"/>
      <c r="X1322" s="92"/>
      <c r="Y1322" s="92"/>
      <c r="Z1322" s="9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outlinePr summaryBelow="0" summaryRight="0"/>
  </sheetPr>
  <dimension ref="A1:N1339"/>
  <sheetViews>
    <sheetView workbookViewId="0"/>
  </sheetViews>
  <sheetFormatPr defaultColWidth="14.42578125" defaultRowHeight="15.75" customHeight="1"/>
  <cols>
    <col min="1" max="1" width="16" customWidth="1"/>
  </cols>
  <sheetData>
    <row r="1" spans="1:14">
      <c r="A1" s="275" t="s">
        <v>8447</v>
      </c>
      <c r="B1" s="276" t="s">
        <v>4583</v>
      </c>
      <c r="C1" s="276" t="s">
        <v>8448</v>
      </c>
      <c r="D1" s="276" t="s">
        <v>8449</v>
      </c>
      <c r="E1" s="276" t="s">
        <v>8450</v>
      </c>
      <c r="F1" s="276" t="s">
        <v>247</v>
      </c>
      <c r="G1" s="276" t="s">
        <v>8451</v>
      </c>
      <c r="H1" s="276" t="s">
        <v>4581</v>
      </c>
      <c r="I1" s="276" t="s">
        <v>8452</v>
      </c>
      <c r="J1" s="276" t="s">
        <v>4582</v>
      </c>
      <c r="K1" s="276" t="s">
        <v>8453</v>
      </c>
      <c r="L1" s="276" t="s">
        <v>8454</v>
      </c>
      <c r="M1" s="275" t="s">
        <v>8455</v>
      </c>
      <c r="N1" s="377" t="s">
        <v>8456</v>
      </c>
    </row>
    <row r="2" spans="1:14" ht="15.75" customHeight="1">
      <c r="A2" s="363">
        <f>VLOOKUP(B2, 'PubMed 4.14.21 Results'!B:B, 1, FALSE)</f>
        <v>3722374</v>
      </c>
      <c r="B2" s="363">
        <v>3722374</v>
      </c>
      <c r="C2" s="362" t="s">
        <v>8457</v>
      </c>
      <c r="D2" s="362" t="s">
        <v>8458</v>
      </c>
      <c r="E2" s="362" t="s">
        <v>8459</v>
      </c>
      <c r="F2" s="362" t="s">
        <v>7391</v>
      </c>
      <c r="G2" s="362" t="s">
        <v>8460</v>
      </c>
      <c r="H2" s="363">
        <v>1986</v>
      </c>
      <c r="I2" s="378">
        <v>31594</v>
      </c>
      <c r="J2" s="362" t="s">
        <v>7392</v>
      </c>
      <c r="K2" s="365"/>
      <c r="L2" s="362" t="s">
        <v>8461</v>
      </c>
    </row>
    <row r="3" spans="1:14" ht="15.75" customHeight="1">
      <c r="A3" s="363">
        <f>VLOOKUP(B3, 'PubMed 4.14.21 Results'!B:B, 1, FALSE)</f>
        <v>2952125</v>
      </c>
      <c r="B3" s="363">
        <v>2952125</v>
      </c>
      <c r="C3" s="362" t="s">
        <v>8462</v>
      </c>
      <c r="D3" s="362" t="s">
        <v>8463</v>
      </c>
      <c r="E3" s="362" t="s">
        <v>8464</v>
      </c>
      <c r="F3" s="362" t="s">
        <v>8066</v>
      </c>
      <c r="G3" s="362" t="s">
        <v>8465</v>
      </c>
      <c r="H3" s="363">
        <v>1987</v>
      </c>
      <c r="I3" s="378">
        <v>31837</v>
      </c>
      <c r="J3" s="365"/>
      <c r="K3" s="365"/>
      <c r="L3" s="362" t="s">
        <v>8466</v>
      </c>
    </row>
    <row r="4" spans="1:14" ht="15.75" customHeight="1">
      <c r="A4" s="363">
        <f>VLOOKUP(B4, 'PubMed 4.14.21 Results'!B:B, 1, FALSE)</f>
        <v>2193497</v>
      </c>
      <c r="B4" s="363">
        <v>2193497</v>
      </c>
      <c r="C4" s="362" t="s">
        <v>8467</v>
      </c>
      <c r="D4" s="362" t="s">
        <v>8468</v>
      </c>
      <c r="E4" s="362" t="s">
        <v>8469</v>
      </c>
      <c r="F4" s="362" t="s">
        <v>6408</v>
      </c>
      <c r="G4" s="362" t="s">
        <v>8470</v>
      </c>
      <c r="H4" s="363">
        <v>1990</v>
      </c>
      <c r="I4" s="378">
        <v>33055</v>
      </c>
      <c r="J4" s="365"/>
      <c r="K4" s="365"/>
      <c r="L4" s="362" t="s">
        <v>8471</v>
      </c>
    </row>
    <row r="5" spans="1:14" ht="15.75" customHeight="1">
      <c r="A5" s="363">
        <f>VLOOKUP(B5, 'PubMed 4.14.21 Results'!B:B, 1, FALSE)</f>
        <v>1687320</v>
      </c>
      <c r="B5" s="363">
        <v>1687320</v>
      </c>
      <c r="C5" s="362" t="s">
        <v>8472</v>
      </c>
      <c r="D5" s="362" t="s">
        <v>8473</v>
      </c>
      <c r="E5" s="362" t="s">
        <v>8474</v>
      </c>
      <c r="F5" s="362" t="s">
        <v>6664</v>
      </c>
      <c r="G5" s="362" t="s">
        <v>8475</v>
      </c>
      <c r="H5" s="363">
        <v>1991</v>
      </c>
      <c r="I5" s="378">
        <v>33239</v>
      </c>
      <c r="J5" s="365"/>
      <c r="K5" s="365"/>
      <c r="L5" s="362" t="s">
        <v>8476</v>
      </c>
    </row>
    <row r="6" spans="1:14" ht="15.75" customHeight="1">
      <c r="A6" s="363">
        <f>VLOOKUP(B6, 'PubMed 4.14.21 Results'!B:B, 1, FALSE)</f>
        <v>1727803</v>
      </c>
      <c r="B6" s="363">
        <v>1727803</v>
      </c>
      <c r="C6" s="362" t="s">
        <v>8477</v>
      </c>
      <c r="D6" s="362" t="s">
        <v>8478</v>
      </c>
      <c r="E6" s="362" t="s">
        <v>8479</v>
      </c>
      <c r="F6" s="362" t="s">
        <v>7947</v>
      </c>
      <c r="G6" s="362" t="s">
        <v>8480</v>
      </c>
      <c r="H6" s="363">
        <v>1992</v>
      </c>
      <c r="I6" s="378">
        <v>33604</v>
      </c>
      <c r="J6" s="365"/>
      <c r="K6" s="365"/>
      <c r="L6" s="362" t="s">
        <v>8481</v>
      </c>
    </row>
    <row r="7" spans="1:14" ht="15.75" customHeight="1">
      <c r="A7" s="363">
        <f>VLOOKUP(B7, 'PubMed 4.14.21 Results'!B:B, 1, FALSE)</f>
        <v>1443450</v>
      </c>
      <c r="B7" s="363">
        <v>1443450</v>
      </c>
      <c r="C7" s="362" t="s">
        <v>8482</v>
      </c>
      <c r="D7" s="362" t="s">
        <v>8483</v>
      </c>
      <c r="E7" s="362" t="s">
        <v>8484</v>
      </c>
      <c r="F7" s="362" t="s">
        <v>6664</v>
      </c>
      <c r="G7" s="362" t="s">
        <v>8485</v>
      </c>
      <c r="H7" s="363">
        <v>1992</v>
      </c>
      <c r="I7" s="378">
        <v>33817</v>
      </c>
      <c r="J7" s="365"/>
      <c r="K7" s="365"/>
      <c r="L7" s="362" t="s">
        <v>8486</v>
      </c>
    </row>
    <row r="8" spans="1:14" ht="15.75" customHeight="1">
      <c r="A8" s="363">
        <f>VLOOKUP(B8, 'PubMed 4.14.21 Results'!B:B, 1, FALSE)</f>
        <v>8267692</v>
      </c>
      <c r="B8" s="363">
        <v>8267692</v>
      </c>
      <c r="C8" s="362" t="s">
        <v>8487</v>
      </c>
      <c r="D8" s="362" t="s">
        <v>8488</v>
      </c>
      <c r="E8" s="362" t="s">
        <v>8489</v>
      </c>
      <c r="F8" s="362" t="s">
        <v>6664</v>
      </c>
      <c r="G8" s="362" t="s">
        <v>8490</v>
      </c>
      <c r="H8" s="363">
        <v>1993</v>
      </c>
      <c r="I8" s="378">
        <v>33970</v>
      </c>
      <c r="J8" s="365"/>
      <c r="K8" s="365"/>
      <c r="L8" s="362" t="s">
        <v>8491</v>
      </c>
    </row>
    <row r="9" spans="1:14" ht="15.75" customHeight="1">
      <c r="A9" s="363">
        <f>VLOOKUP(B9, 'PubMed 4.14.21 Results'!B:B, 1, FALSE)</f>
        <v>8313933</v>
      </c>
      <c r="B9" s="363">
        <v>8313933</v>
      </c>
      <c r="C9" s="362" t="s">
        <v>8492</v>
      </c>
      <c r="D9" s="362" t="s">
        <v>8493</v>
      </c>
      <c r="E9" s="362" t="s">
        <v>8494</v>
      </c>
      <c r="F9" s="362" t="s">
        <v>6664</v>
      </c>
      <c r="G9" s="362" t="s">
        <v>8495</v>
      </c>
      <c r="H9" s="363">
        <v>1993</v>
      </c>
      <c r="I9" s="378">
        <v>33970</v>
      </c>
      <c r="J9" s="365"/>
      <c r="K9" s="365"/>
      <c r="L9" s="362" t="s">
        <v>8496</v>
      </c>
    </row>
    <row r="10" spans="1:14" ht="15.75" customHeight="1">
      <c r="A10" s="363">
        <f>VLOOKUP(B10, 'PubMed 4.14.21 Results'!B:B, 1, FALSE)</f>
        <v>8445199</v>
      </c>
      <c r="B10" s="363">
        <v>8445199</v>
      </c>
      <c r="C10" s="362" t="s">
        <v>8497</v>
      </c>
      <c r="D10" s="362" t="s">
        <v>8498</v>
      </c>
      <c r="E10" s="362" t="s">
        <v>8499</v>
      </c>
      <c r="F10" s="362" t="s">
        <v>6586</v>
      </c>
      <c r="G10" s="362" t="s">
        <v>8500</v>
      </c>
      <c r="H10" s="363">
        <v>1993</v>
      </c>
      <c r="I10" s="378">
        <v>33970</v>
      </c>
      <c r="J10" s="365"/>
      <c r="K10" s="365"/>
      <c r="L10" s="365"/>
    </row>
    <row r="11" spans="1:14" ht="15.75" customHeight="1">
      <c r="A11" s="363">
        <f>VLOOKUP(B11, 'PubMed 4.14.21 Results'!B:B, 1, FALSE)</f>
        <v>8482086</v>
      </c>
      <c r="B11" s="363">
        <v>8482086</v>
      </c>
      <c r="C11" s="362" t="s">
        <v>8501</v>
      </c>
      <c r="D11" s="362" t="s">
        <v>8502</v>
      </c>
      <c r="E11" s="362" t="s">
        <v>8503</v>
      </c>
      <c r="F11" s="362" t="s">
        <v>6561</v>
      </c>
      <c r="G11" s="362" t="s">
        <v>8504</v>
      </c>
      <c r="H11" s="363">
        <v>1993</v>
      </c>
      <c r="I11" s="378">
        <v>34090</v>
      </c>
      <c r="J11" s="365"/>
      <c r="K11" s="365"/>
      <c r="L11" s="362" t="s">
        <v>8505</v>
      </c>
    </row>
    <row r="12" spans="1:14" ht="15.75" customHeight="1">
      <c r="A12" s="363">
        <f>VLOOKUP(B12, 'PubMed 4.14.21 Results'!B:B, 1, FALSE)</f>
        <v>7691504</v>
      </c>
      <c r="B12" s="363">
        <v>7691504</v>
      </c>
      <c r="C12" s="362" t="s">
        <v>8506</v>
      </c>
      <c r="D12" s="362" t="s">
        <v>8507</v>
      </c>
      <c r="E12" s="362" t="s">
        <v>8508</v>
      </c>
      <c r="F12" s="362" t="s">
        <v>6949</v>
      </c>
      <c r="G12" s="362" t="s">
        <v>8509</v>
      </c>
      <c r="H12" s="363">
        <v>1993</v>
      </c>
      <c r="I12" s="378">
        <v>34151</v>
      </c>
      <c r="J12" s="365"/>
      <c r="K12" s="365"/>
      <c r="L12" s="362" t="s">
        <v>8510</v>
      </c>
    </row>
    <row r="13" spans="1:14" ht="15.75" customHeight="1">
      <c r="A13" s="363">
        <f>VLOOKUP(B13, 'PubMed 4.14.21 Results'!B:B, 1, FALSE)</f>
        <v>8413475</v>
      </c>
      <c r="B13" s="363">
        <v>8413475</v>
      </c>
      <c r="C13" s="362" t="s">
        <v>8511</v>
      </c>
      <c r="D13" s="362" t="s">
        <v>8512</v>
      </c>
      <c r="E13" s="362" t="s">
        <v>8513</v>
      </c>
      <c r="F13" s="362" t="s">
        <v>6991</v>
      </c>
      <c r="G13" s="362" t="s">
        <v>8514</v>
      </c>
      <c r="H13" s="363">
        <v>1993</v>
      </c>
      <c r="I13" s="378">
        <v>34291</v>
      </c>
      <c r="J13" s="365"/>
      <c r="K13" s="365"/>
      <c r="L13" s="362" t="s">
        <v>8515</v>
      </c>
    </row>
    <row r="14" spans="1:14" ht="15.75" customHeight="1">
      <c r="A14" s="363">
        <f>VLOOKUP(B14, 'PubMed 4.14.21 Results'!B:B, 1, FALSE)</f>
        <v>8124803</v>
      </c>
      <c r="B14" s="363">
        <v>8124803</v>
      </c>
      <c r="C14" s="362" t="s">
        <v>8516</v>
      </c>
      <c r="D14" s="362" t="s">
        <v>8517</v>
      </c>
      <c r="E14" s="362" t="s">
        <v>8518</v>
      </c>
      <c r="F14" s="362" t="s">
        <v>7781</v>
      </c>
      <c r="G14" s="362" t="s">
        <v>8519</v>
      </c>
      <c r="H14" s="363">
        <v>1994</v>
      </c>
      <c r="I14" s="378">
        <v>34394</v>
      </c>
      <c r="J14" s="365"/>
      <c r="K14" s="365"/>
      <c r="L14" s="362" t="s">
        <v>8520</v>
      </c>
    </row>
    <row r="15" spans="1:14" ht="15.75" customHeight="1">
      <c r="A15" s="363">
        <f>VLOOKUP(B15, 'PubMed 4.14.21 Results'!B:B, 1, FALSE)</f>
        <v>7516250</v>
      </c>
      <c r="B15" s="363">
        <v>7516250</v>
      </c>
      <c r="C15" s="362" t="s">
        <v>8521</v>
      </c>
      <c r="D15" s="362" t="s">
        <v>8522</v>
      </c>
      <c r="E15" s="362" t="s">
        <v>8523</v>
      </c>
      <c r="F15" s="362" t="s">
        <v>6486</v>
      </c>
      <c r="G15" s="362" t="s">
        <v>8524</v>
      </c>
      <c r="H15" s="363">
        <v>1994</v>
      </c>
      <c r="I15" s="378">
        <v>34486</v>
      </c>
      <c r="J15" s="365"/>
      <c r="K15" s="365"/>
      <c r="L15" s="362" t="s">
        <v>8525</v>
      </c>
    </row>
    <row r="16" spans="1:14" ht="15.75" customHeight="1">
      <c r="A16" s="363">
        <f>VLOOKUP(B16, 'PubMed 4.14.21 Results'!B:B, 1, FALSE)</f>
        <v>8022537</v>
      </c>
      <c r="B16" s="363">
        <v>8022537</v>
      </c>
      <c r="C16" s="362" t="s">
        <v>8526</v>
      </c>
      <c r="D16" s="362" t="s">
        <v>8527</v>
      </c>
      <c r="E16" s="362" t="s">
        <v>8528</v>
      </c>
      <c r="F16" s="362" t="s">
        <v>7652</v>
      </c>
      <c r="G16" s="362" t="s">
        <v>8529</v>
      </c>
      <c r="H16" s="363">
        <v>1994</v>
      </c>
      <c r="I16" s="378">
        <v>34486</v>
      </c>
      <c r="J16" s="365"/>
      <c r="K16" s="365"/>
      <c r="L16" s="365"/>
    </row>
    <row r="17" spans="1:12" ht="15.75" customHeight="1">
      <c r="A17" s="363">
        <f>VLOOKUP(B17, 'PubMed 4.14.21 Results'!B:B, 1, FALSE)</f>
        <v>7956274</v>
      </c>
      <c r="B17" s="363">
        <v>7956274</v>
      </c>
      <c r="C17" s="362" t="s">
        <v>8530</v>
      </c>
      <c r="D17" s="362" t="s">
        <v>8531</v>
      </c>
      <c r="E17" s="362" t="s">
        <v>8532</v>
      </c>
      <c r="F17" s="362" t="s">
        <v>6765</v>
      </c>
      <c r="G17" s="362" t="s">
        <v>8504</v>
      </c>
      <c r="H17" s="363">
        <v>1994</v>
      </c>
      <c r="I17" s="378">
        <v>34639</v>
      </c>
      <c r="J17" s="365"/>
      <c r="K17" s="365"/>
      <c r="L17" s="365"/>
    </row>
    <row r="18" spans="1:12" ht="15.75" customHeight="1">
      <c r="A18" s="363">
        <f>VLOOKUP(B18, 'PubMed 4.14.21 Results'!B:B, 1, FALSE)</f>
        <v>7652502</v>
      </c>
      <c r="B18" s="363">
        <v>7652502</v>
      </c>
      <c r="C18" s="362" t="s">
        <v>8533</v>
      </c>
      <c r="D18" s="362" t="s">
        <v>8534</v>
      </c>
      <c r="E18" s="362" t="s">
        <v>8535</v>
      </c>
      <c r="F18" s="362" t="s">
        <v>6544</v>
      </c>
      <c r="G18" s="362" t="s">
        <v>8536</v>
      </c>
      <c r="H18" s="363">
        <v>1995</v>
      </c>
      <c r="I18" s="378">
        <v>34700</v>
      </c>
      <c r="J18" s="365"/>
      <c r="K18" s="365"/>
      <c r="L18" s="365"/>
    </row>
    <row r="19" spans="1:12" ht="15.75" customHeight="1">
      <c r="A19" s="363">
        <f>VLOOKUP(B19, 'PubMed 4.14.21 Results'!B:B, 1, FALSE)</f>
        <v>7849309</v>
      </c>
      <c r="B19" s="363">
        <v>7849309</v>
      </c>
      <c r="C19" s="362" t="s">
        <v>8537</v>
      </c>
      <c r="D19" s="362" t="s">
        <v>8538</v>
      </c>
      <c r="E19" s="362" t="s">
        <v>8539</v>
      </c>
      <c r="F19" s="362" t="s">
        <v>7965</v>
      </c>
      <c r="G19" s="362" t="s">
        <v>8540</v>
      </c>
      <c r="H19" s="363">
        <v>1995</v>
      </c>
      <c r="I19" s="378">
        <v>34745</v>
      </c>
      <c r="J19" s="365"/>
      <c r="K19" s="365"/>
      <c r="L19" s="365"/>
    </row>
    <row r="20" spans="1:12" ht="15.75" customHeight="1">
      <c r="A20" s="363">
        <f>VLOOKUP(B20, 'PubMed 4.14.21 Results'!B:B, 1, FALSE)</f>
        <v>7742543</v>
      </c>
      <c r="B20" s="363">
        <v>7742543</v>
      </c>
      <c r="C20" s="362" t="s">
        <v>8541</v>
      </c>
      <c r="D20" s="362" t="s">
        <v>8542</v>
      </c>
      <c r="E20" s="362" t="s">
        <v>8543</v>
      </c>
      <c r="F20" s="362" t="s">
        <v>7965</v>
      </c>
      <c r="G20" s="362" t="s">
        <v>8540</v>
      </c>
      <c r="H20" s="363">
        <v>1995</v>
      </c>
      <c r="I20" s="378">
        <v>34834</v>
      </c>
      <c r="J20" s="365"/>
      <c r="K20" s="365"/>
      <c r="L20" s="365"/>
    </row>
    <row r="21" spans="1:12" ht="15.75" customHeight="1">
      <c r="A21" s="363">
        <f>VLOOKUP(B21, 'PubMed 4.14.21 Results'!B:B, 1, FALSE)</f>
        <v>7595741</v>
      </c>
      <c r="B21" s="363">
        <v>7595741</v>
      </c>
      <c r="C21" s="362" t="s">
        <v>8544</v>
      </c>
      <c r="D21" s="362" t="s">
        <v>8545</v>
      </c>
      <c r="E21" s="362" t="s">
        <v>8546</v>
      </c>
      <c r="F21" s="362" t="s">
        <v>7216</v>
      </c>
      <c r="G21" s="362" t="s">
        <v>8547</v>
      </c>
      <c r="H21" s="363">
        <v>1995</v>
      </c>
      <c r="I21" s="378">
        <v>35004</v>
      </c>
      <c r="J21" s="365"/>
      <c r="K21" s="365"/>
      <c r="L21" s="362" t="s">
        <v>8548</v>
      </c>
    </row>
    <row r="22" spans="1:12" ht="15.75" customHeight="1">
      <c r="A22" s="363">
        <f>VLOOKUP(B22, 'PubMed 4.14.21 Results'!B:B, 1, FALSE)</f>
        <v>8630718</v>
      </c>
      <c r="B22" s="363">
        <v>8630718</v>
      </c>
      <c r="C22" s="362" t="s">
        <v>8549</v>
      </c>
      <c r="D22" s="362" t="s">
        <v>8550</v>
      </c>
      <c r="E22" s="362" t="s">
        <v>8551</v>
      </c>
      <c r="F22" s="362" t="s">
        <v>6389</v>
      </c>
      <c r="G22" s="362" t="s">
        <v>8552</v>
      </c>
      <c r="H22" s="363">
        <v>1996</v>
      </c>
      <c r="I22" s="378">
        <v>35186</v>
      </c>
      <c r="J22" s="365"/>
      <c r="K22" s="365"/>
      <c r="L22" s="362" t="s">
        <v>8553</v>
      </c>
    </row>
    <row r="23" spans="1:12" ht="15.75" customHeight="1">
      <c r="A23" s="363">
        <f>VLOOKUP(B23, 'PubMed 4.14.21 Results'!B:B, 1, FALSE)</f>
        <v>8938880</v>
      </c>
      <c r="B23" s="363">
        <v>8938880</v>
      </c>
      <c r="C23" s="362" t="s">
        <v>8554</v>
      </c>
      <c r="D23" s="362" t="s">
        <v>8555</v>
      </c>
      <c r="E23" s="362" t="s">
        <v>8556</v>
      </c>
      <c r="F23" s="362" t="s">
        <v>6459</v>
      </c>
      <c r="G23" s="362" t="s">
        <v>8557</v>
      </c>
      <c r="H23" s="363">
        <v>1996</v>
      </c>
      <c r="I23" s="378">
        <v>35309</v>
      </c>
      <c r="J23" s="365"/>
      <c r="K23" s="365"/>
      <c r="L23" s="365"/>
    </row>
    <row r="24" spans="1:12" ht="15.75" customHeight="1">
      <c r="A24" s="363">
        <f>VLOOKUP(B24, 'PubMed 4.14.21 Results'!B:B, 1, FALSE)</f>
        <v>9004827</v>
      </c>
      <c r="B24" s="363">
        <v>9004827</v>
      </c>
      <c r="C24" s="362" t="s">
        <v>8558</v>
      </c>
      <c r="D24" s="362" t="s">
        <v>8559</v>
      </c>
      <c r="E24" s="362" t="s">
        <v>8560</v>
      </c>
      <c r="F24" s="362" t="s">
        <v>8116</v>
      </c>
      <c r="G24" s="362" t="s">
        <v>8561</v>
      </c>
      <c r="H24" s="363">
        <v>1996</v>
      </c>
      <c r="I24" s="378">
        <v>35339</v>
      </c>
      <c r="J24" s="365"/>
      <c r="K24" s="365"/>
      <c r="L24" s="365"/>
    </row>
    <row r="25" spans="1:12" ht="15.75" customHeight="1">
      <c r="A25" s="363">
        <f>VLOOKUP(B25, 'PubMed 4.14.21 Results'!B:B, 1, FALSE)</f>
        <v>8986972</v>
      </c>
      <c r="B25" s="363">
        <v>8986972</v>
      </c>
      <c r="C25" s="362" t="s">
        <v>8562</v>
      </c>
      <c r="D25" s="362" t="s">
        <v>8563</v>
      </c>
      <c r="E25" s="362" t="s">
        <v>8564</v>
      </c>
      <c r="F25" s="362" t="s">
        <v>7988</v>
      </c>
      <c r="G25" s="362" t="s">
        <v>8565</v>
      </c>
      <c r="H25" s="363">
        <v>1996</v>
      </c>
      <c r="I25" s="378">
        <v>35400</v>
      </c>
      <c r="J25" s="365"/>
      <c r="K25" s="365"/>
      <c r="L25" s="362" t="s">
        <v>8566</v>
      </c>
    </row>
    <row r="26" spans="1:12" ht="15.75" customHeight="1">
      <c r="A26" s="363">
        <f>VLOOKUP(B26, 'PubMed 4.14.21 Results'!B:B, 1, FALSE)</f>
        <v>9130921</v>
      </c>
      <c r="B26" s="363">
        <v>9130921</v>
      </c>
      <c r="C26" s="362" t="s">
        <v>8567</v>
      </c>
      <c r="D26" s="362" t="s">
        <v>8568</v>
      </c>
      <c r="E26" s="362" t="s">
        <v>8569</v>
      </c>
      <c r="F26" s="362" t="s">
        <v>7894</v>
      </c>
      <c r="G26" s="362" t="s">
        <v>8570</v>
      </c>
      <c r="H26" s="363">
        <v>1997</v>
      </c>
      <c r="I26" s="378">
        <v>35521</v>
      </c>
      <c r="J26" s="365"/>
      <c r="K26" s="365"/>
      <c r="L26" s="362" t="s">
        <v>8571</v>
      </c>
    </row>
    <row r="27" spans="1:12" ht="15.75" customHeight="1">
      <c r="A27" s="363">
        <f>VLOOKUP(B27, 'PubMed 4.14.21 Results'!B:B, 1, FALSE)</f>
        <v>9176537</v>
      </c>
      <c r="B27" s="363">
        <v>9176537</v>
      </c>
      <c r="C27" s="362" t="s">
        <v>8572</v>
      </c>
      <c r="D27" s="362" t="s">
        <v>8573</v>
      </c>
      <c r="E27" s="362" t="s">
        <v>8574</v>
      </c>
      <c r="F27" s="362" t="s">
        <v>7817</v>
      </c>
      <c r="G27" s="362" t="s">
        <v>8575</v>
      </c>
      <c r="H27" s="363">
        <v>1997</v>
      </c>
      <c r="I27" s="378">
        <v>35551</v>
      </c>
      <c r="J27" s="434" t="s">
        <v>7818</v>
      </c>
      <c r="K27" s="425"/>
      <c r="L27" s="362" t="s">
        <v>8576</v>
      </c>
    </row>
    <row r="28" spans="1:12" ht="15.75" customHeight="1">
      <c r="A28" s="363">
        <f>VLOOKUP(B28, 'PubMed 4.14.21 Results'!B:B, 1, FALSE)</f>
        <v>9153367</v>
      </c>
      <c r="B28" s="363">
        <v>9153367</v>
      </c>
      <c r="C28" s="362" t="s">
        <v>8577</v>
      </c>
      <c r="D28" s="362" t="s">
        <v>8578</v>
      </c>
      <c r="E28" s="362" t="s">
        <v>8579</v>
      </c>
      <c r="F28" s="362" t="s">
        <v>4737</v>
      </c>
      <c r="G28" s="362" t="s">
        <v>8580</v>
      </c>
      <c r="H28" s="363">
        <v>1997</v>
      </c>
      <c r="I28" s="378">
        <v>35571</v>
      </c>
      <c r="J28" s="365"/>
      <c r="K28" s="365"/>
      <c r="L28" s="365"/>
    </row>
    <row r="29" spans="1:12" ht="15.75" customHeight="1">
      <c r="A29" s="363">
        <f>VLOOKUP(B29, 'PubMed 4.14.21 Results'!B:B, 1, FALSE)</f>
        <v>9198182</v>
      </c>
      <c r="B29" s="363">
        <v>9198182</v>
      </c>
      <c r="C29" s="362" t="s">
        <v>8581</v>
      </c>
      <c r="D29" s="362" t="s">
        <v>8582</v>
      </c>
      <c r="E29" s="362" t="s">
        <v>8583</v>
      </c>
      <c r="F29" s="362" t="s">
        <v>7189</v>
      </c>
      <c r="G29" s="362" t="s">
        <v>8584</v>
      </c>
      <c r="H29" s="363">
        <v>1997</v>
      </c>
      <c r="I29" s="378">
        <v>35612</v>
      </c>
      <c r="J29" s="365"/>
      <c r="K29" s="365"/>
      <c r="L29" s="365"/>
    </row>
    <row r="30" spans="1:12" ht="15.75" customHeight="1">
      <c r="A30" s="363">
        <f>VLOOKUP(B30, 'PubMed 4.14.21 Results'!B:B, 1, FALSE)</f>
        <v>9317200</v>
      </c>
      <c r="B30" s="363">
        <v>9317200</v>
      </c>
      <c r="C30" s="362" t="s">
        <v>8585</v>
      </c>
      <c r="D30" s="362" t="s">
        <v>8586</v>
      </c>
      <c r="E30" s="362" t="s">
        <v>8587</v>
      </c>
      <c r="F30" s="362" t="s">
        <v>7693</v>
      </c>
      <c r="G30" s="362" t="s">
        <v>8588</v>
      </c>
      <c r="H30" s="363">
        <v>1997</v>
      </c>
      <c r="I30" s="378">
        <v>35612</v>
      </c>
      <c r="J30" s="365"/>
      <c r="K30" s="365"/>
      <c r="L30" s="365"/>
    </row>
    <row r="31" spans="1:12" ht="15.75" customHeight="1">
      <c r="A31" s="363">
        <f>VLOOKUP(B31, 'PubMed 4.14.21 Results'!B:B, 1, FALSE)</f>
        <v>9296243</v>
      </c>
      <c r="B31" s="363">
        <v>9296243</v>
      </c>
      <c r="C31" s="362" t="s">
        <v>8589</v>
      </c>
      <c r="D31" s="362" t="s">
        <v>8590</v>
      </c>
      <c r="E31" s="362" t="s">
        <v>8591</v>
      </c>
      <c r="F31" s="362" t="s">
        <v>7169</v>
      </c>
      <c r="G31" s="362" t="s">
        <v>8592</v>
      </c>
      <c r="H31" s="363">
        <v>1997</v>
      </c>
      <c r="I31" s="378">
        <v>35693</v>
      </c>
      <c r="J31" s="365"/>
      <c r="K31" s="365"/>
      <c r="L31" s="362" t="s">
        <v>8593</v>
      </c>
    </row>
    <row r="32" spans="1:12" ht="15.75" customHeight="1">
      <c r="A32" s="363">
        <f>VLOOKUP(B32, 'PubMed 4.14.21 Results'!B:B, 1, FALSE)</f>
        <v>9315790</v>
      </c>
      <c r="B32" s="363">
        <v>9315790</v>
      </c>
      <c r="C32" s="362" t="s">
        <v>8594</v>
      </c>
      <c r="D32" s="362" t="s">
        <v>8595</v>
      </c>
      <c r="E32" s="362" t="s">
        <v>8596</v>
      </c>
      <c r="F32" s="362" t="s">
        <v>8058</v>
      </c>
      <c r="G32" s="362" t="s">
        <v>8597</v>
      </c>
      <c r="H32" s="363">
        <v>1997</v>
      </c>
      <c r="I32" s="378">
        <v>35710</v>
      </c>
      <c r="J32" s="365"/>
      <c r="K32" s="365"/>
      <c r="L32" s="362" t="s">
        <v>8598</v>
      </c>
    </row>
    <row r="33" spans="1:12" ht="15.75" customHeight="1">
      <c r="A33" s="363">
        <f>VLOOKUP(B33, 'PubMed 4.14.21 Results'!B:B, 1, FALSE)</f>
        <v>9237318</v>
      </c>
      <c r="B33" s="363">
        <v>9237318</v>
      </c>
      <c r="C33" s="362" t="s">
        <v>8599</v>
      </c>
      <c r="D33" s="362" t="s">
        <v>8600</v>
      </c>
      <c r="E33" s="362" t="s">
        <v>8601</v>
      </c>
      <c r="F33" s="362" t="s">
        <v>7677</v>
      </c>
      <c r="G33" s="362" t="s">
        <v>8602</v>
      </c>
      <c r="H33" s="363">
        <v>1997</v>
      </c>
      <c r="I33" s="378">
        <v>35704</v>
      </c>
      <c r="J33" s="365"/>
      <c r="K33" s="365"/>
      <c r="L33" s="362" t="s">
        <v>8603</v>
      </c>
    </row>
    <row r="34" spans="1:12" ht="15.75" customHeight="1">
      <c r="A34" s="363">
        <f>VLOOKUP(B34, 'PubMed 4.14.21 Results'!B:B, 1, FALSE)</f>
        <v>9566483</v>
      </c>
      <c r="B34" s="363">
        <v>9566483</v>
      </c>
      <c r="C34" s="362" t="s">
        <v>8604</v>
      </c>
      <c r="D34" s="362" t="s">
        <v>8605</v>
      </c>
      <c r="E34" s="362" t="s">
        <v>8606</v>
      </c>
      <c r="F34" s="362" t="s">
        <v>8072</v>
      </c>
      <c r="G34" s="362" t="s">
        <v>8607</v>
      </c>
      <c r="H34" s="363">
        <v>1998</v>
      </c>
      <c r="I34" s="378">
        <v>35920</v>
      </c>
      <c r="J34" s="365"/>
      <c r="K34" s="365"/>
      <c r="L34" s="362" t="s">
        <v>8608</v>
      </c>
    </row>
    <row r="35" spans="1:12" ht="15.75" customHeight="1">
      <c r="A35" s="363">
        <f>VLOOKUP(B35, 'PubMed 4.14.21 Results'!B:B, 1, FALSE)</f>
        <v>9487210</v>
      </c>
      <c r="B35" s="363">
        <v>9487210</v>
      </c>
      <c r="C35" s="362" t="s">
        <v>8609</v>
      </c>
      <c r="D35" s="362" t="s">
        <v>8610</v>
      </c>
      <c r="E35" s="362" t="s">
        <v>8611</v>
      </c>
      <c r="F35" s="362" t="s">
        <v>7964</v>
      </c>
      <c r="G35" s="362" t="s">
        <v>8612</v>
      </c>
      <c r="H35" s="363">
        <v>1998</v>
      </c>
      <c r="I35" s="378">
        <v>35860</v>
      </c>
      <c r="J35" s="365"/>
      <c r="K35" s="365"/>
      <c r="L35" s="362" t="s">
        <v>8613</v>
      </c>
    </row>
    <row r="36" spans="1:12" ht="15.75" customHeight="1">
      <c r="A36" s="363">
        <f>VLOOKUP(B36, 'PubMed 4.14.21 Results'!B:B, 1, FALSE)</f>
        <v>9660258</v>
      </c>
      <c r="B36" s="363">
        <v>9660258</v>
      </c>
      <c r="C36" s="362" t="s">
        <v>8614</v>
      </c>
      <c r="D36" s="362" t="s">
        <v>8615</v>
      </c>
      <c r="E36" s="362" t="s">
        <v>8616</v>
      </c>
      <c r="F36" s="362" t="s">
        <v>7312</v>
      </c>
      <c r="G36" s="362" t="s">
        <v>8617</v>
      </c>
      <c r="H36" s="363">
        <v>1998</v>
      </c>
      <c r="I36" s="378">
        <v>35987</v>
      </c>
      <c r="J36" s="365"/>
      <c r="K36" s="365"/>
      <c r="L36" s="362" t="s">
        <v>8618</v>
      </c>
    </row>
    <row r="37" spans="1:12" ht="15.75" customHeight="1">
      <c r="A37" s="363">
        <f>VLOOKUP(B37, 'PubMed 4.14.21 Results'!B:B, 1, FALSE)</f>
        <v>9658250</v>
      </c>
      <c r="B37" s="363">
        <v>9658250</v>
      </c>
      <c r="C37" s="362" t="s">
        <v>8619</v>
      </c>
      <c r="D37" s="362" t="s">
        <v>8620</v>
      </c>
      <c r="E37" s="362" t="s">
        <v>8621</v>
      </c>
      <c r="F37" s="362" t="s">
        <v>7425</v>
      </c>
      <c r="G37" s="362" t="s">
        <v>8622</v>
      </c>
      <c r="H37" s="363">
        <v>1998</v>
      </c>
      <c r="I37" s="378">
        <v>35987</v>
      </c>
      <c r="J37" s="365"/>
      <c r="K37" s="365"/>
      <c r="L37" s="362" t="s">
        <v>8623</v>
      </c>
    </row>
    <row r="38" spans="1:12" ht="15.75" customHeight="1">
      <c r="A38" s="363">
        <f>VLOOKUP(B38, 'PubMed 4.14.21 Results'!B:B, 1, FALSE)</f>
        <v>9669649</v>
      </c>
      <c r="B38" s="363">
        <v>9669649</v>
      </c>
      <c r="C38" s="362" t="s">
        <v>8624</v>
      </c>
      <c r="D38" s="362" t="s">
        <v>8625</v>
      </c>
      <c r="E38" s="362" t="s">
        <v>8626</v>
      </c>
      <c r="F38" s="362" t="s">
        <v>7616</v>
      </c>
      <c r="G38" s="362" t="s">
        <v>8627</v>
      </c>
      <c r="H38" s="363">
        <v>1998</v>
      </c>
      <c r="I38" s="378">
        <v>35997</v>
      </c>
      <c r="J38" s="365"/>
      <c r="K38" s="365"/>
      <c r="L38" s="362" t="s">
        <v>8628</v>
      </c>
    </row>
    <row r="39" spans="1:12" ht="15.75" customHeight="1">
      <c r="A39" s="363">
        <f>VLOOKUP(B39, 'PubMed 4.14.21 Results'!B:B, 1, FALSE)</f>
        <v>9715823</v>
      </c>
      <c r="B39" s="363">
        <v>9715823</v>
      </c>
      <c r="C39" s="362" t="s">
        <v>8629</v>
      </c>
      <c r="D39" s="362" t="s">
        <v>8630</v>
      </c>
      <c r="E39" s="362" t="s">
        <v>8631</v>
      </c>
      <c r="F39" s="362" t="s">
        <v>7712</v>
      </c>
      <c r="G39" s="362" t="s">
        <v>8632</v>
      </c>
      <c r="H39" s="363">
        <v>1998</v>
      </c>
      <c r="I39" s="378">
        <v>36033</v>
      </c>
      <c r="J39" s="365"/>
      <c r="K39" s="365"/>
      <c r="L39" s="362" t="s">
        <v>8633</v>
      </c>
    </row>
    <row r="40" spans="1:12" ht="15.75" customHeight="1">
      <c r="A40" s="363">
        <f>VLOOKUP(B40, 'PubMed 4.14.21 Results'!B:B, 1, FALSE)</f>
        <v>9738173</v>
      </c>
      <c r="B40" s="363">
        <v>9738173</v>
      </c>
      <c r="C40" s="434" t="s">
        <v>8634</v>
      </c>
      <c r="D40" s="425"/>
      <c r="E40" s="434" t="s">
        <v>8635</v>
      </c>
      <c r="F40" s="425"/>
      <c r="G40" s="362" t="s">
        <v>8636</v>
      </c>
      <c r="H40" s="363">
        <v>1998</v>
      </c>
      <c r="I40" s="378">
        <v>36055</v>
      </c>
      <c r="J40" s="365"/>
      <c r="K40" s="365"/>
      <c r="L40" s="365"/>
    </row>
    <row r="41" spans="1:12" ht="15.75" customHeight="1">
      <c r="A41" s="363">
        <f>VLOOKUP(B41, 'PubMed 4.14.21 Results'!B:B, 1, FALSE)</f>
        <v>9829449</v>
      </c>
      <c r="B41" s="363">
        <v>9829449</v>
      </c>
      <c r="C41" s="362" t="s">
        <v>8637</v>
      </c>
      <c r="D41" s="362" t="s">
        <v>8638</v>
      </c>
      <c r="E41" s="362" t="s">
        <v>8639</v>
      </c>
      <c r="F41" s="362" t="s">
        <v>7595</v>
      </c>
      <c r="G41" s="362" t="s">
        <v>8640</v>
      </c>
      <c r="H41" s="363">
        <v>1998</v>
      </c>
      <c r="I41" s="378">
        <v>36125</v>
      </c>
      <c r="J41" s="365"/>
      <c r="K41" s="365"/>
      <c r="L41" s="362" t="s">
        <v>8641</v>
      </c>
    </row>
    <row r="42" spans="1:12" ht="15.75" customHeight="1">
      <c r="A42" s="363">
        <f>VLOOKUP(B42, 'PubMed 4.14.21 Results'!B:B, 1, FALSE)</f>
        <v>9857785</v>
      </c>
      <c r="B42" s="363">
        <v>9857785</v>
      </c>
      <c r="C42" s="362" t="s">
        <v>8642</v>
      </c>
      <c r="D42" s="362" t="s">
        <v>8643</v>
      </c>
      <c r="E42" s="362" t="s">
        <v>8644</v>
      </c>
      <c r="F42" s="362" t="s">
        <v>7886</v>
      </c>
      <c r="G42" s="362" t="s">
        <v>8645</v>
      </c>
      <c r="H42" s="363">
        <v>1998</v>
      </c>
      <c r="I42" s="378">
        <v>36148</v>
      </c>
      <c r="J42" s="365"/>
      <c r="K42" s="365"/>
      <c r="L42" s="362" t="s">
        <v>8646</v>
      </c>
    </row>
    <row r="43" spans="1:12">
      <c r="A43" s="363">
        <f>VLOOKUP(B43, 'PubMed 4.14.21 Results'!B:B, 1, FALSE)</f>
        <v>10100087</v>
      </c>
      <c r="B43" s="363">
        <v>10100087</v>
      </c>
      <c r="C43" s="362" t="s">
        <v>8647</v>
      </c>
      <c r="D43" s="362" t="s">
        <v>8648</v>
      </c>
      <c r="E43" s="362" t="s">
        <v>8649</v>
      </c>
      <c r="F43" s="362" t="s">
        <v>8051</v>
      </c>
      <c r="G43" s="362" t="s">
        <v>8650</v>
      </c>
      <c r="H43" s="363">
        <v>1999</v>
      </c>
      <c r="I43" s="378">
        <v>36251</v>
      </c>
      <c r="J43" s="365"/>
      <c r="K43" s="365"/>
      <c r="L43" s="362" t="s">
        <v>8651</v>
      </c>
    </row>
    <row r="44" spans="1:12">
      <c r="A44" s="363">
        <f>VLOOKUP(B44, 'PubMed 4.14.21 Results'!B:B, 1, FALSE)</f>
        <v>10524601</v>
      </c>
      <c r="B44" s="363">
        <v>10524601</v>
      </c>
      <c r="C44" s="362" t="s">
        <v>8652</v>
      </c>
      <c r="D44" s="362" t="s">
        <v>8653</v>
      </c>
      <c r="E44" s="362" t="s">
        <v>8654</v>
      </c>
      <c r="F44" s="362" t="s">
        <v>6719</v>
      </c>
      <c r="G44" s="362" t="s">
        <v>8655</v>
      </c>
      <c r="H44" s="363">
        <v>1999</v>
      </c>
      <c r="I44" s="378">
        <v>36452</v>
      </c>
      <c r="J44" s="434" t="s">
        <v>6720</v>
      </c>
      <c r="K44" s="425"/>
      <c r="L44" s="362" t="s">
        <v>8656</v>
      </c>
    </row>
    <row r="45" spans="1:12">
      <c r="A45" s="363">
        <f>VLOOKUP(B45, 'PubMed 4.14.21 Results'!B:B, 1, FALSE)</f>
        <v>9990745</v>
      </c>
      <c r="B45" s="363">
        <v>9990745</v>
      </c>
      <c r="C45" s="362" t="s">
        <v>8657</v>
      </c>
      <c r="D45" s="362" t="s">
        <v>8658</v>
      </c>
      <c r="E45" s="362" t="s">
        <v>8659</v>
      </c>
      <c r="F45" s="362" t="s">
        <v>6872</v>
      </c>
      <c r="G45" s="362" t="s">
        <v>8660</v>
      </c>
      <c r="H45" s="363">
        <v>1999</v>
      </c>
      <c r="I45" s="378">
        <v>36208</v>
      </c>
      <c r="J45" s="365"/>
      <c r="K45" s="365"/>
      <c r="L45" s="362" t="s">
        <v>8661</v>
      </c>
    </row>
    <row r="46" spans="1:12">
      <c r="A46" s="363">
        <f>VLOOKUP(B46, 'PubMed 4.14.21 Results'!B:B, 1, FALSE)</f>
        <v>10097242</v>
      </c>
      <c r="B46" s="363">
        <v>10097242</v>
      </c>
      <c r="C46" s="362" t="s">
        <v>8662</v>
      </c>
      <c r="D46" s="362" t="s">
        <v>8663</v>
      </c>
      <c r="E46" s="362" t="s">
        <v>8664</v>
      </c>
      <c r="F46" s="362" t="s">
        <v>7841</v>
      </c>
      <c r="G46" s="362" t="s">
        <v>8665</v>
      </c>
      <c r="H46" s="363">
        <v>1999</v>
      </c>
      <c r="I46" s="378">
        <v>36250</v>
      </c>
      <c r="J46" s="365"/>
      <c r="K46" s="365"/>
      <c r="L46" s="362" t="s">
        <v>8666</v>
      </c>
    </row>
    <row r="47" spans="1:12">
      <c r="A47" s="363">
        <f>VLOOKUP(B47, 'PubMed 4.14.21 Results'!B:B, 1, FALSE)</f>
        <v>10212013</v>
      </c>
      <c r="B47" s="363">
        <v>10212013</v>
      </c>
      <c r="C47" s="362" t="s">
        <v>8667</v>
      </c>
      <c r="D47" s="362" t="s">
        <v>8668</v>
      </c>
      <c r="E47" s="362" t="s">
        <v>8669</v>
      </c>
      <c r="F47" s="362" t="s">
        <v>7418</v>
      </c>
      <c r="G47" s="362" t="s">
        <v>8670</v>
      </c>
      <c r="H47" s="363">
        <v>1999</v>
      </c>
      <c r="I47" s="378">
        <v>36272</v>
      </c>
      <c r="J47" s="365"/>
      <c r="K47" s="365"/>
      <c r="L47" s="362" t="s">
        <v>8671</v>
      </c>
    </row>
    <row r="48" spans="1:12">
      <c r="A48" s="363">
        <f>VLOOKUP(B48, 'PubMed 4.14.21 Results'!B:B, 1, FALSE)</f>
        <v>10223933</v>
      </c>
      <c r="B48" s="363">
        <v>10223933</v>
      </c>
      <c r="C48" s="362" t="s">
        <v>8672</v>
      </c>
      <c r="D48" s="362" t="s">
        <v>8673</v>
      </c>
      <c r="E48" s="362" t="s">
        <v>8674</v>
      </c>
      <c r="F48" s="362" t="s">
        <v>7405</v>
      </c>
      <c r="G48" s="362" t="s">
        <v>8675</v>
      </c>
      <c r="H48" s="363">
        <v>1999</v>
      </c>
      <c r="I48" s="378">
        <v>36281</v>
      </c>
      <c r="J48" s="362" t="s">
        <v>7406</v>
      </c>
      <c r="K48" s="365"/>
      <c r="L48" s="362" t="s">
        <v>8676</v>
      </c>
    </row>
    <row r="49" spans="1:12">
      <c r="A49" s="363">
        <f>VLOOKUP(B49, 'PubMed 4.14.21 Results'!B:B, 1, FALSE)</f>
        <v>10468325</v>
      </c>
      <c r="B49" s="363">
        <v>10468325</v>
      </c>
      <c r="C49" s="362" t="s">
        <v>8677</v>
      </c>
      <c r="D49" s="362" t="s">
        <v>8678</v>
      </c>
      <c r="E49" s="362" t="s">
        <v>8679</v>
      </c>
      <c r="F49" s="362" t="s">
        <v>7450</v>
      </c>
      <c r="G49" s="362" t="s">
        <v>8680</v>
      </c>
      <c r="H49" s="363">
        <v>1999</v>
      </c>
      <c r="I49" s="378">
        <v>36404</v>
      </c>
      <c r="J49" s="365"/>
      <c r="K49" s="365"/>
      <c r="L49" s="362" t="s">
        <v>8681</v>
      </c>
    </row>
    <row r="50" spans="1:12">
      <c r="A50" s="363">
        <f>VLOOKUP(B50, 'PubMed 4.14.21 Results'!B:B, 1, FALSE)</f>
        <v>10383509</v>
      </c>
      <c r="B50" s="363">
        <v>10383509</v>
      </c>
      <c r="C50" s="362" t="s">
        <v>8682</v>
      </c>
      <c r="D50" s="362" t="s">
        <v>8683</v>
      </c>
      <c r="E50" s="362" t="s">
        <v>8684</v>
      </c>
      <c r="F50" s="362" t="s">
        <v>6624</v>
      </c>
      <c r="G50" s="362" t="s">
        <v>8685</v>
      </c>
      <c r="H50" s="363">
        <v>1999</v>
      </c>
      <c r="I50" s="378">
        <v>36337</v>
      </c>
      <c r="J50" s="365"/>
      <c r="K50" s="365"/>
      <c r="L50" s="362" t="s">
        <v>8686</v>
      </c>
    </row>
    <row r="51" spans="1:12">
      <c r="A51" s="363">
        <f>VLOOKUP(B51, 'PubMed 4.14.21 Results'!B:B, 1, FALSE)</f>
        <v>10394023</v>
      </c>
      <c r="B51" s="363">
        <v>10394023</v>
      </c>
      <c r="C51" s="362" t="s">
        <v>8687</v>
      </c>
      <c r="D51" s="362" t="s">
        <v>8688</v>
      </c>
      <c r="E51" s="362" t="s">
        <v>8689</v>
      </c>
      <c r="F51" s="362" t="s">
        <v>7066</v>
      </c>
      <c r="G51" s="362" t="s">
        <v>8690</v>
      </c>
      <c r="H51" s="363">
        <v>1999</v>
      </c>
      <c r="I51" s="378">
        <v>36349</v>
      </c>
      <c r="J51" s="365"/>
      <c r="K51" s="365"/>
      <c r="L51" s="362" t="s">
        <v>8691</v>
      </c>
    </row>
    <row r="52" spans="1:12">
      <c r="A52" s="363">
        <f>VLOOKUP(B52, 'PubMed 4.14.21 Results'!B:B, 1, FALSE)</f>
        <v>10385768</v>
      </c>
      <c r="B52" s="363">
        <v>10385768</v>
      </c>
      <c r="C52" s="362" t="s">
        <v>8692</v>
      </c>
      <c r="D52" s="362" t="s">
        <v>8693</v>
      </c>
      <c r="E52" s="362" t="s">
        <v>8694</v>
      </c>
      <c r="F52" s="362" t="s">
        <v>7550</v>
      </c>
      <c r="G52" s="362" t="s">
        <v>8665</v>
      </c>
      <c r="H52" s="363">
        <v>1999</v>
      </c>
      <c r="I52" s="378">
        <v>36342</v>
      </c>
      <c r="J52" s="365"/>
      <c r="K52" s="365"/>
      <c r="L52" s="362" t="s">
        <v>8695</v>
      </c>
    </row>
    <row r="53" spans="1:12">
      <c r="A53" s="363">
        <f>VLOOKUP(B53, 'PubMed 4.14.21 Results'!B:B, 1, FALSE)</f>
        <v>10469179</v>
      </c>
      <c r="B53" s="363">
        <v>10469179</v>
      </c>
      <c r="C53" s="362" t="s">
        <v>8696</v>
      </c>
      <c r="D53" s="362" t="s">
        <v>8697</v>
      </c>
      <c r="E53" s="362" t="s">
        <v>8698</v>
      </c>
      <c r="F53" s="362" t="s">
        <v>7749</v>
      </c>
      <c r="G53" s="362" t="s">
        <v>8699</v>
      </c>
      <c r="H53" s="363">
        <v>1999</v>
      </c>
      <c r="I53" s="378">
        <v>36404</v>
      </c>
      <c r="J53" s="365"/>
      <c r="K53" s="365"/>
      <c r="L53" s="362" t="s">
        <v>8700</v>
      </c>
    </row>
    <row r="54" spans="1:12">
      <c r="A54" s="363">
        <f>VLOOKUP(B54, 'PubMed 4.14.21 Results'!B:B, 1, FALSE)</f>
        <v>10411194</v>
      </c>
      <c r="B54" s="363">
        <v>10411194</v>
      </c>
      <c r="C54" s="362" t="s">
        <v>8701</v>
      </c>
      <c r="D54" s="362" t="s">
        <v>8702</v>
      </c>
      <c r="E54" s="362" t="s">
        <v>8703</v>
      </c>
      <c r="F54" s="362" t="s">
        <v>4050</v>
      </c>
      <c r="G54" s="362" t="s">
        <v>8580</v>
      </c>
      <c r="H54" s="363">
        <v>1999</v>
      </c>
      <c r="I54" s="378">
        <v>36361</v>
      </c>
      <c r="J54" s="365"/>
      <c r="K54" s="365"/>
      <c r="L54" s="362" t="s">
        <v>8704</v>
      </c>
    </row>
    <row r="55" spans="1:12">
      <c r="A55" s="363">
        <f>VLOOKUP(B55, 'PubMed 4.14.21 Results'!B:B, 1, FALSE)</f>
        <v>10411849</v>
      </c>
      <c r="B55" s="363">
        <v>10411849</v>
      </c>
      <c r="C55" s="362" t="s">
        <v>8705</v>
      </c>
      <c r="D55" s="362" t="s">
        <v>8706</v>
      </c>
      <c r="E55" s="362" t="s">
        <v>8707</v>
      </c>
      <c r="F55" s="362" t="s">
        <v>6396</v>
      </c>
      <c r="G55" s="362" t="s">
        <v>8519</v>
      </c>
      <c r="H55" s="363">
        <v>1999</v>
      </c>
      <c r="I55" s="378">
        <v>36362</v>
      </c>
      <c r="J55" s="365"/>
      <c r="K55" s="365"/>
      <c r="L55" s="362" t="s">
        <v>8708</v>
      </c>
    </row>
    <row r="56" spans="1:12">
      <c r="A56" s="363">
        <f>VLOOKUP(B56, 'PubMed 4.14.21 Results'!B:B, 1, FALSE)</f>
        <v>10440399</v>
      </c>
      <c r="B56" s="363">
        <v>10440399</v>
      </c>
      <c r="C56" s="362" t="s">
        <v>8709</v>
      </c>
      <c r="D56" s="362" t="s">
        <v>8710</v>
      </c>
      <c r="E56" s="362" t="s">
        <v>8711</v>
      </c>
      <c r="F56" s="362" t="s">
        <v>7980</v>
      </c>
      <c r="G56" s="362" t="s">
        <v>8712</v>
      </c>
      <c r="H56" s="363">
        <v>1999</v>
      </c>
      <c r="I56" s="378">
        <v>36382</v>
      </c>
      <c r="J56" s="365"/>
      <c r="K56" s="365"/>
      <c r="L56" s="362" t="s">
        <v>8713</v>
      </c>
    </row>
    <row r="57" spans="1:12">
      <c r="A57" s="363">
        <f>VLOOKUP(B57, 'PubMed 4.14.21 Results'!B:B, 1, FALSE)</f>
        <v>10492259</v>
      </c>
      <c r="B57" s="363">
        <v>10492259</v>
      </c>
      <c r="C57" s="362" t="s">
        <v>8714</v>
      </c>
      <c r="D57" s="362" t="s">
        <v>8715</v>
      </c>
      <c r="E57" s="362" t="s">
        <v>8716</v>
      </c>
      <c r="F57" s="362" t="s">
        <v>7700</v>
      </c>
      <c r="G57" s="362" t="s">
        <v>8597</v>
      </c>
      <c r="H57" s="363">
        <v>1999</v>
      </c>
      <c r="I57" s="378">
        <v>36427</v>
      </c>
      <c r="J57" s="365"/>
      <c r="K57" s="365"/>
      <c r="L57" s="362" t="s">
        <v>8717</v>
      </c>
    </row>
    <row r="58" spans="1:12">
      <c r="A58" s="363">
        <f>VLOOKUP(B58, 'PubMed 4.14.21 Results'!B:B, 1, FALSE)</f>
        <v>10546007</v>
      </c>
      <c r="B58" s="363">
        <v>10546007</v>
      </c>
      <c r="C58" s="362" t="s">
        <v>8718</v>
      </c>
      <c r="D58" s="362" t="s">
        <v>8719</v>
      </c>
      <c r="E58" s="362" t="s">
        <v>8720</v>
      </c>
      <c r="F58" s="362" t="s">
        <v>6546</v>
      </c>
      <c r="G58" s="362" t="s">
        <v>8721</v>
      </c>
      <c r="H58" s="363">
        <v>1999</v>
      </c>
      <c r="I58" s="378">
        <v>36469</v>
      </c>
      <c r="J58" s="365"/>
      <c r="K58" s="365"/>
      <c r="L58" s="362" t="s">
        <v>8722</v>
      </c>
    </row>
    <row r="59" spans="1:12">
      <c r="A59" s="363">
        <f>VLOOKUP(B59, 'PubMed 4.14.21 Results'!B:B, 1, FALSE)</f>
        <v>10632735</v>
      </c>
      <c r="B59" s="363">
        <v>10632735</v>
      </c>
      <c r="C59" s="362" t="s">
        <v>8723</v>
      </c>
      <c r="D59" s="362" t="s">
        <v>8724</v>
      </c>
      <c r="E59" s="362" t="s">
        <v>8725</v>
      </c>
      <c r="F59" s="362" t="s">
        <v>6786</v>
      </c>
      <c r="G59" s="362" t="s">
        <v>8699</v>
      </c>
      <c r="H59" s="363">
        <v>2000</v>
      </c>
      <c r="I59" s="378">
        <v>36538</v>
      </c>
      <c r="J59" s="365"/>
      <c r="K59" s="365"/>
      <c r="L59" s="362" t="s">
        <v>8726</v>
      </c>
    </row>
    <row r="60" spans="1:12">
      <c r="A60" s="363">
        <f>VLOOKUP(B60, 'PubMed 4.14.21 Results'!B:B, 1, FALSE)</f>
        <v>10731376</v>
      </c>
      <c r="B60" s="363">
        <v>10731376</v>
      </c>
      <c r="C60" s="362" t="s">
        <v>8727</v>
      </c>
      <c r="D60" s="362" t="s">
        <v>8728</v>
      </c>
      <c r="E60" s="362" t="s">
        <v>8729</v>
      </c>
      <c r="F60" s="362" t="s">
        <v>6622</v>
      </c>
      <c r="G60" s="362" t="s">
        <v>8730</v>
      </c>
      <c r="H60" s="363">
        <v>2000</v>
      </c>
      <c r="I60" s="378">
        <v>36610</v>
      </c>
      <c r="J60" s="365"/>
      <c r="K60" s="365"/>
      <c r="L60" s="365"/>
    </row>
    <row r="61" spans="1:12">
      <c r="A61" s="363">
        <f>VLOOKUP(B61, 'PubMed 4.14.21 Results'!B:B, 1, FALSE)</f>
        <v>11060682</v>
      </c>
      <c r="B61" s="363">
        <v>11060682</v>
      </c>
      <c r="C61" s="362" t="s">
        <v>8731</v>
      </c>
      <c r="D61" s="362" t="s">
        <v>8732</v>
      </c>
      <c r="E61" s="362" t="s">
        <v>8733</v>
      </c>
      <c r="F61" s="362" t="s">
        <v>6503</v>
      </c>
      <c r="G61" s="362" t="s">
        <v>8734</v>
      </c>
      <c r="H61" s="363">
        <v>2000</v>
      </c>
      <c r="I61" s="378">
        <v>36834</v>
      </c>
      <c r="J61" s="365"/>
      <c r="K61" s="365"/>
      <c r="L61" s="362" t="s">
        <v>8735</v>
      </c>
    </row>
    <row r="62" spans="1:12">
      <c r="A62" s="363">
        <f>VLOOKUP(B62, 'PubMed 4.14.21 Results'!B:B, 1, FALSE)</f>
        <v>10859993</v>
      </c>
      <c r="B62" s="363">
        <v>10859993</v>
      </c>
      <c r="C62" s="362" t="s">
        <v>8736</v>
      </c>
      <c r="D62" s="362" t="s">
        <v>8737</v>
      </c>
      <c r="E62" s="362" t="s">
        <v>8738</v>
      </c>
      <c r="F62" s="362" t="s">
        <v>6830</v>
      </c>
      <c r="G62" s="362" t="s">
        <v>8739</v>
      </c>
      <c r="H62" s="363">
        <v>2000</v>
      </c>
      <c r="I62" s="378">
        <v>36699</v>
      </c>
      <c r="J62" s="365"/>
      <c r="K62" s="365"/>
      <c r="L62" s="362" t="s">
        <v>8740</v>
      </c>
    </row>
    <row r="63" spans="1:12">
      <c r="A63" s="363">
        <f>VLOOKUP(B63, 'PubMed 4.14.21 Results'!B:B, 1, FALSE)</f>
        <v>10958210</v>
      </c>
      <c r="B63" s="363">
        <v>10958210</v>
      </c>
      <c r="C63" s="362" t="s">
        <v>8741</v>
      </c>
      <c r="D63" s="362" t="s">
        <v>8742</v>
      </c>
      <c r="E63" s="362" t="s">
        <v>8743</v>
      </c>
      <c r="F63" s="362" t="s">
        <v>7580</v>
      </c>
      <c r="G63" s="362" t="s">
        <v>8744</v>
      </c>
      <c r="H63" s="363">
        <v>2000</v>
      </c>
      <c r="I63" s="378">
        <v>36763</v>
      </c>
      <c r="J63" s="365"/>
      <c r="K63" s="365"/>
      <c r="L63" s="362" t="s">
        <v>8745</v>
      </c>
    </row>
    <row r="64" spans="1:12">
      <c r="A64" s="363">
        <f>VLOOKUP(B64, 'PubMed 4.14.21 Results'!B:B, 1, FALSE)</f>
        <v>11022799</v>
      </c>
      <c r="B64" s="363">
        <v>11022799</v>
      </c>
      <c r="C64" s="362" t="s">
        <v>8746</v>
      </c>
      <c r="D64" s="362" t="s">
        <v>8747</v>
      </c>
      <c r="E64" s="362" t="s">
        <v>8748</v>
      </c>
      <c r="F64" s="362" t="s">
        <v>6485</v>
      </c>
      <c r="G64" s="362" t="s">
        <v>8749</v>
      </c>
      <c r="H64" s="363">
        <v>2000</v>
      </c>
      <c r="I64" s="378">
        <v>36806</v>
      </c>
      <c r="J64" s="365"/>
      <c r="K64" s="365"/>
      <c r="L64" s="362" t="s">
        <v>8750</v>
      </c>
    </row>
    <row r="65" spans="1:12">
      <c r="A65" s="363">
        <f>VLOOKUP(B65, 'PubMed 4.14.21 Results'!B:B, 1, FALSE)</f>
        <v>11106715</v>
      </c>
      <c r="B65" s="363">
        <v>11106715</v>
      </c>
      <c r="C65" s="362" t="s">
        <v>8751</v>
      </c>
      <c r="D65" s="362" t="s">
        <v>8752</v>
      </c>
      <c r="E65" s="362" t="s">
        <v>8753</v>
      </c>
      <c r="F65" s="362" t="s">
        <v>8124</v>
      </c>
      <c r="G65" s="362" t="s">
        <v>8514</v>
      </c>
      <c r="H65" s="363">
        <v>2000</v>
      </c>
      <c r="I65" s="378">
        <v>36867</v>
      </c>
      <c r="J65" s="365"/>
      <c r="K65" s="365"/>
      <c r="L65" s="362" t="s">
        <v>8754</v>
      </c>
    </row>
    <row r="66" spans="1:12">
      <c r="A66" s="363">
        <f>VLOOKUP(B66, 'PubMed 4.14.21 Results'!B:B, 1, FALSE)</f>
        <v>11134441</v>
      </c>
      <c r="B66" s="363">
        <v>11134441</v>
      </c>
      <c r="C66" s="362" t="s">
        <v>8755</v>
      </c>
      <c r="D66" s="362" t="s">
        <v>8756</v>
      </c>
      <c r="E66" s="362" t="s">
        <v>8757</v>
      </c>
      <c r="F66" s="362" t="s">
        <v>6987</v>
      </c>
      <c r="G66" s="362" t="s">
        <v>8636</v>
      </c>
      <c r="H66" s="363">
        <v>2001</v>
      </c>
      <c r="I66" s="378">
        <v>36894</v>
      </c>
      <c r="J66" s="365"/>
      <c r="K66" s="365"/>
      <c r="L66" s="362" t="s">
        <v>8758</v>
      </c>
    </row>
    <row r="67" spans="1:12">
      <c r="A67" s="363">
        <f>VLOOKUP(B67, 'PubMed 4.14.21 Results'!B:B, 1, FALSE)</f>
        <v>11268707</v>
      </c>
      <c r="B67" s="363">
        <v>11268707</v>
      </c>
      <c r="C67" s="362" t="s">
        <v>8759</v>
      </c>
      <c r="D67" s="362" t="s">
        <v>8760</v>
      </c>
      <c r="E67" s="362" t="s">
        <v>8761</v>
      </c>
      <c r="F67" s="362" t="s">
        <v>7071</v>
      </c>
      <c r="G67" s="362" t="s">
        <v>8762</v>
      </c>
      <c r="H67" s="363">
        <v>2001</v>
      </c>
      <c r="I67" s="378">
        <v>36978</v>
      </c>
      <c r="J67" s="365"/>
      <c r="K67" s="365"/>
      <c r="L67" s="362" t="s">
        <v>8763</v>
      </c>
    </row>
    <row r="68" spans="1:12">
      <c r="A68" s="363">
        <f>VLOOKUP(B68, 'PubMed 4.14.21 Results'!B:B, 1, FALSE)</f>
        <v>11176767</v>
      </c>
      <c r="B68" s="363">
        <v>11176767</v>
      </c>
      <c r="C68" s="362" t="s">
        <v>8764</v>
      </c>
      <c r="D68" s="362" t="s">
        <v>8765</v>
      </c>
      <c r="E68" s="362" t="s">
        <v>8766</v>
      </c>
      <c r="F68" s="362" t="s">
        <v>6567</v>
      </c>
      <c r="G68" s="362" t="s">
        <v>8767</v>
      </c>
      <c r="H68" s="363">
        <v>2001</v>
      </c>
      <c r="I68" s="378">
        <v>36937</v>
      </c>
      <c r="J68" s="365"/>
      <c r="K68" s="365"/>
      <c r="L68" s="362" t="s">
        <v>8768</v>
      </c>
    </row>
    <row r="69" spans="1:12">
      <c r="A69" s="363">
        <f>VLOOKUP(B69, 'PubMed 4.14.21 Results'!B:B, 1, FALSE)</f>
        <v>11310443</v>
      </c>
      <c r="B69" s="363">
        <v>11310443</v>
      </c>
      <c r="C69" s="362" t="s">
        <v>8769</v>
      </c>
      <c r="D69" s="362" t="s">
        <v>8770</v>
      </c>
      <c r="E69" s="362" t="s">
        <v>8771</v>
      </c>
      <c r="F69" s="362" t="s">
        <v>6785</v>
      </c>
      <c r="G69" s="362" t="s">
        <v>8772</v>
      </c>
      <c r="H69" s="363">
        <v>2001</v>
      </c>
      <c r="I69" s="378">
        <v>37001</v>
      </c>
      <c r="J69" s="365"/>
      <c r="K69" s="365"/>
      <c r="L69" s="362" t="s">
        <v>8773</v>
      </c>
    </row>
    <row r="70" spans="1:12">
      <c r="A70" s="363">
        <f>VLOOKUP(B70, 'PubMed 4.14.21 Results'!B:B, 1, FALSE)</f>
        <v>11322999</v>
      </c>
      <c r="B70" s="363">
        <v>11322999</v>
      </c>
      <c r="C70" s="362" t="s">
        <v>8774</v>
      </c>
      <c r="D70" s="362" t="s">
        <v>8775</v>
      </c>
      <c r="E70" s="362" t="s">
        <v>8776</v>
      </c>
      <c r="F70" s="362" t="s">
        <v>7778</v>
      </c>
      <c r="G70" s="362" t="s">
        <v>8777</v>
      </c>
      <c r="H70" s="363">
        <v>2001</v>
      </c>
      <c r="I70" s="378">
        <v>37008</v>
      </c>
      <c r="J70" s="365"/>
      <c r="K70" s="365"/>
      <c r="L70" s="362" t="s">
        <v>8778</v>
      </c>
    </row>
    <row r="71" spans="1:12">
      <c r="A71" s="363">
        <f>VLOOKUP(B71, 'PubMed 4.14.21 Results'!B:B, 1, FALSE)</f>
        <v>11275039</v>
      </c>
      <c r="B71" s="363">
        <v>11275039</v>
      </c>
      <c r="C71" s="362" t="s">
        <v>8779</v>
      </c>
      <c r="D71" s="362" t="s">
        <v>8780</v>
      </c>
      <c r="E71" s="362" t="s">
        <v>8781</v>
      </c>
      <c r="F71" s="362" t="s">
        <v>6970</v>
      </c>
      <c r="G71" s="362" t="s">
        <v>8782</v>
      </c>
      <c r="H71" s="363">
        <v>2001</v>
      </c>
      <c r="I71" s="378">
        <v>36979</v>
      </c>
      <c r="J71" s="365"/>
      <c r="K71" s="365"/>
      <c r="L71" s="362" t="s">
        <v>8783</v>
      </c>
    </row>
    <row r="72" spans="1:12">
      <c r="A72" s="363">
        <f>VLOOKUP(B72, 'PubMed 4.14.21 Results'!B:B, 1, FALSE)</f>
        <v>11297595</v>
      </c>
      <c r="B72" s="363">
        <v>11297595</v>
      </c>
      <c r="C72" s="362" t="s">
        <v>8784</v>
      </c>
      <c r="D72" s="362" t="s">
        <v>8785</v>
      </c>
      <c r="E72" s="362" t="s">
        <v>8786</v>
      </c>
      <c r="F72" s="362" t="s">
        <v>6456</v>
      </c>
      <c r="G72" s="362" t="s">
        <v>8787</v>
      </c>
      <c r="H72" s="363">
        <v>2001</v>
      </c>
      <c r="I72" s="378">
        <v>36993</v>
      </c>
      <c r="J72" s="365"/>
      <c r="K72" s="365"/>
      <c r="L72" s="362" t="s">
        <v>8788</v>
      </c>
    </row>
    <row r="73" spans="1:12">
      <c r="A73" s="363">
        <f>VLOOKUP(B73, 'PubMed 4.14.21 Results'!B:B, 1, FALSE)</f>
        <v>11397654</v>
      </c>
      <c r="B73" s="363">
        <v>11397654</v>
      </c>
      <c r="C73" s="362" t="s">
        <v>8789</v>
      </c>
      <c r="D73" s="362" t="s">
        <v>8790</v>
      </c>
      <c r="E73" s="362" t="s">
        <v>8791</v>
      </c>
      <c r="F73" s="362" t="s">
        <v>7233</v>
      </c>
      <c r="G73" s="362" t="s">
        <v>8792</v>
      </c>
      <c r="H73" s="363">
        <v>2001</v>
      </c>
      <c r="I73" s="378">
        <v>37051</v>
      </c>
      <c r="J73" s="365"/>
      <c r="K73" s="365"/>
      <c r="L73" s="362" t="s">
        <v>8793</v>
      </c>
    </row>
    <row r="74" spans="1:12">
      <c r="A74" s="363">
        <f>VLOOKUP(B74, 'PubMed 4.14.21 Results'!B:B, 1, FALSE)</f>
        <v>11445748</v>
      </c>
      <c r="B74" s="363">
        <v>11445748</v>
      </c>
      <c r="C74" s="362" t="s">
        <v>8794</v>
      </c>
      <c r="D74" s="362" t="s">
        <v>8795</v>
      </c>
      <c r="E74" s="362" t="s">
        <v>8796</v>
      </c>
      <c r="F74" s="362" t="s">
        <v>5170</v>
      </c>
      <c r="G74" s="362" t="s">
        <v>8504</v>
      </c>
      <c r="H74" s="363">
        <v>2001</v>
      </c>
      <c r="I74" s="378">
        <v>37083</v>
      </c>
      <c r="J74" s="365"/>
      <c r="K74" s="365"/>
      <c r="L74" s="362" t="s">
        <v>8797</v>
      </c>
    </row>
    <row r="75" spans="1:12">
      <c r="A75" s="363">
        <f>VLOOKUP(B75, 'PubMed 4.14.21 Results'!B:B, 1, FALSE)</f>
        <v>11534883</v>
      </c>
      <c r="B75" s="363">
        <v>11534883</v>
      </c>
      <c r="C75" s="362" t="s">
        <v>8798</v>
      </c>
      <c r="D75" s="362" t="s">
        <v>8799</v>
      </c>
      <c r="E75" s="362" t="s">
        <v>8800</v>
      </c>
      <c r="F75" s="362" t="s">
        <v>6748</v>
      </c>
      <c r="G75" s="362" t="s">
        <v>8801</v>
      </c>
      <c r="H75" s="363">
        <v>2001</v>
      </c>
      <c r="I75" s="378">
        <v>37140</v>
      </c>
      <c r="J75" s="365"/>
      <c r="K75" s="365"/>
      <c r="L75" s="362" t="s">
        <v>8802</v>
      </c>
    </row>
    <row r="76" spans="1:12">
      <c r="A76" s="363">
        <f>VLOOKUP(B76, 'PubMed 4.14.21 Results'!B:B, 1, FALSE)</f>
        <v>11506098</v>
      </c>
      <c r="B76" s="363">
        <v>11506098</v>
      </c>
      <c r="C76" s="362" t="s">
        <v>8803</v>
      </c>
      <c r="D76" s="362" t="s">
        <v>8804</v>
      </c>
      <c r="E76" s="362" t="s">
        <v>8805</v>
      </c>
      <c r="F76" s="362" t="s">
        <v>7888</v>
      </c>
      <c r="G76" s="362" t="s">
        <v>8806</v>
      </c>
      <c r="H76" s="363">
        <v>2001</v>
      </c>
      <c r="I76" s="378">
        <v>37120</v>
      </c>
      <c r="J76" s="365"/>
      <c r="K76" s="365"/>
      <c r="L76" s="362" t="s">
        <v>8807</v>
      </c>
    </row>
    <row r="77" spans="1:12">
      <c r="A77" s="363">
        <f>VLOOKUP(B77, 'PubMed 4.14.21 Results'!B:B, 1, FALSE)</f>
        <v>11511404</v>
      </c>
      <c r="B77" s="363">
        <v>11511404</v>
      </c>
      <c r="C77" s="362" t="s">
        <v>8808</v>
      </c>
      <c r="D77" s="362" t="s">
        <v>8809</v>
      </c>
      <c r="E77" s="362" t="s">
        <v>8810</v>
      </c>
      <c r="F77" s="362" t="s">
        <v>6756</v>
      </c>
      <c r="G77" s="362" t="s">
        <v>8811</v>
      </c>
      <c r="H77" s="363">
        <v>2001</v>
      </c>
      <c r="I77" s="378">
        <v>37124</v>
      </c>
      <c r="J77" s="365"/>
      <c r="K77" s="365"/>
      <c r="L77" s="362" t="s">
        <v>8812</v>
      </c>
    </row>
    <row r="78" spans="1:12">
      <c r="A78" s="363">
        <f>VLOOKUP(B78, 'PubMed 4.14.21 Results'!B:B, 1, FALSE)</f>
        <v>11520724</v>
      </c>
      <c r="B78" s="363">
        <v>11520724</v>
      </c>
      <c r="C78" s="362" t="s">
        <v>8813</v>
      </c>
      <c r="D78" s="362" t="s">
        <v>8814</v>
      </c>
      <c r="E78" s="362" t="s">
        <v>8815</v>
      </c>
      <c r="F78" s="362" t="s">
        <v>7451</v>
      </c>
      <c r="G78" s="362" t="s">
        <v>8524</v>
      </c>
      <c r="H78" s="363">
        <v>2001</v>
      </c>
      <c r="I78" s="378">
        <v>37128</v>
      </c>
      <c r="J78" s="365"/>
      <c r="K78" s="365"/>
      <c r="L78" s="362" t="s">
        <v>8816</v>
      </c>
    </row>
    <row r="79" spans="1:12">
      <c r="A79" s="363">
        <f>VLOOKUP(B79, 'PubMed 4.14.21 Results'!B:B, 1, FALSE)</f>
        <v>11555564</v>
      </c>
      <c r="B79" s="363">
        <v>11555564</v>
      </c>
      <c r="C79" s="362" t="s">
        <v>8817</v>
      </c>
      <c r="D79" s="362" t="s">
        <v>8818</v>
      </c>
      <c r="E79" s="362" t="s">
        <v>8819</v>
      </c>
      <c r="F79" s="362" t="s">
        <v>7471</v>
      </c>
      <c r="G79" s="362" t="s">
        <v>8597</v>
      </c>
      <c r="H79" s="363">
        <v>2001</v>
      </c>
      <c r="I79" s="378">
        <v>37148</v>
      </c>
      <c r="J79" s="365"/>
      <c r="K79" s="365"/>
      <c r="L79" s="362" t="s">
        <v>8820</v>
      </c>
    </row>
    <row r="80" spans="1:12">
      <c r="A80" s="363">
        <f>VLOOKUP(B80, 'PubMed 4.14.21 Results'!B:B, 1, FALSE)</f>
        <v>11577362</v>
      </c>
      <c r="B80" s="363">
        <v>11577362</v>
      </c>
      <c r="C80" s="362" t="s">
        <v>8821</v>
      </c>
      <c r="D80" s="362" t="s">
        <v>8822</v>
      </c>
      <c r="E80" s="362" t="s">
        <v>8823</v>
      </c>
      <c r="F80" s="362" t="s">
        <v>7830</v>
      </c>
      <c r="G80" s="362" t="s">
        <v>8824</v>
      </c>
      <c r="H80" s="363">
        <v>2001</v>
      </c>
      <c r="I80" s="378">
        <v>37163</v>
      </c>
      <c r="J80" s="365"/>
      <c r="K80" s="365"/>
      <c r="L80" s="362" t="s">
        <v>8825</v>
      </c>
    </row>
    <row r="81" spans="1:12">
      <c r="A81" s="363">
        <f>VLOOKUP(B81, 'PubMed 4.14.21 Results'!B:B, 1, FALSE)</f>
        <v>11700399</v>
      </c>
      <c r="B81" s="363">
        <v>11700399</v>
      </c>
      <c r="C81" s="362" t="s">
        <v>8826</v>
      </c>
      <c r="D81" s="362" t="s">
        <v>8827</v>
      </c>
      <c r="E81" s="362" t="s">
        <v>8828</v>
      </c>
      <c r="F81" s="362" t="s">
        <v>4737</v>
      </c>
      <c r="G81" s="362" t="s">
        <v>8504</v>
      </c>
      <c r="H81" s="363">
        <v>2001</v>
      </c>
      <c r="I81" s="378">
        <v>37204</v>
      </c>
      <c r="J81" s="365"/>
      <c r="K81" s="365"/>
      <c r="L81" s="362" t="s">
        <v>8829</v>
      </c>
    </row>
    <row r="82" spans="1:12">
      <c r="A82" s="363">
        <f>VLOOKUP(B82, 'PubMed 4.14.21 Results'!B:B, 1, FALSE)</f>
        <v>11816438</v>
      </c>
      <c r="B82" s="363">
        <v>11816438</v>
      </c>
      <c r="C82" s="362" t="s">
        <v>8830</v>
      </c>
      <c r="D82" s="362" t="s">
        <v>8831</v>
      </c>
      <c r="E82" s="362" t="s">
        <v>8832</v>
      </c>
      <c r="F82" s="362" t="s">
        <v>6445</v>
      </c>
      <c r="G82" s="362" t="s">
        <v>8833</v>
      </c>
      <c r="H82" s="363">
        <v>2001</v>
      </c>
      <c r="I82" s="378">
        <v>37287</v>
      </c>
      <c r="J82" s="365"/>
      <c r="K82" s="365"/>
      <c r="L82" s="362" t="s">
        <v>8834</v>
      </c>
    </row>
    <row r="83" spans="1:12">
      <c r="A83" s="363">
        <f>VLOOKUP(B83, 'PubMed 4.14.21 Results'!B:B, 1, FALSE)</f>
        <v>11770694</v>
      </c>
      <c r="B83" s="363">
        <v>11770694</v>
      </c>
      <c r="C83" s="362" t="s">
        <v>8835</v>
      </c>
      <c r="D83" s="362" t="s">
        <v>8836</v>
      </c>
      <c r="E83" s="362" t="s">
        <v>8837</v>
      </c>
      <c r="F83" s="362" t="s">
        <v>6738</v>
      </c>
      <c r="G83" s="362" t="s">
        <v>8552</v>
      </c>
      <c r="H83" s="363">
        <v>2001</v>
      </c>
      <c r="I83" s="378">
        <v>37261</v>
      </c>
      <c r="J83" s="365"/>
      <c r="K83" s="365"/>
      <c r="L83" s="362" t="s">
        <v>8838</v>
      </c>
    </row>
    <row r="84" spans="1:12">
      <c r="A84" s="363">
        <f>VLOOKUP(B84, 'PubMed 4.14.21 Results'!B:B, 1, FALSE)</f>
        <v>11878792</v>
      </c>
      <c r="B84" s="363">
        <v>11878792</v>
      </c>
      <c r="C84" s="362" t="s">
        <v>8839</v>
      </c>
      <c r="D84" s="362" t="s">
        <v>8840</v>
      </c>
      <c r="E84" s="362" t="s">
        <v>8841</v>
      </c>
      <c r="F84" s="362" t="s">
        <v>6978</v>
      </c>
      <c r="G84" s="362" t="s">
        <v>8842</v>
      </c>
      <c r="H84" s="363">
        <v>2001</v>
      </c>
      <c r="I84" s="378">
        <v>37322</v>
      </c>
      <c r="J84" s="434" t="s">
        <v>6979</v>
      </c>
      <c r="K84" s="425"/>
      <c r="L84" s="362" t="s">
        <v>8843</v>
      </c>
    </row>
    <row r="85" spans="1:12">
      <c r="A85" s="363">
        <f>VLOOKUP(B85, 'PubMed 4.14.21 Results'!B:B, 1, FALSE)</f>
        <v>11782035</v>
      </c>
      <c r="B85" s="363">
        <v>11782035</v>
      </c>
      <c r="C85" s="362" t="s">
        <v>8844</v>
      </c>
      <c r="D85" s="362" t="s">
        <v>8845</v>
      </c>
      <c r="E85" s="362" t="s">
        <v>8846</v>
      </c>
      <c r="F85" s="362" t="s">
        <v>7333</v>
      </c>
      <c r="G85" s="362" t="s">
        <v>8847</v>
      </c>
      <c r="H85" s="363">
        <v>2001</v>
      </c>
      <c r="I85" s="378">
        <v>37266</v>
      </c>
      <c r="J85" s="365"/>
      <c r="K85" s="365"/>
      <c r="L85" s="362" t="s">
        <v>8848</v>
      </c>
    </row>
    <row r="86" spans="1:12">
      <c r="A86" s="363">
        <f>VLOOKUP(B86, 'PubMed 4.14.21 Results'!B:B, 1, FALSE)</f>
        <v>11838623</v>
      </c>
      <c r="B86" s="363">
        <v>11838623</v>
      </c>
      <c r="C86" s="362" t="s">
        <v>8849</v>
      </c>
      <c r="D86" s="362" t="s">
        <v>8850</v>
      </c>
      <c r="E86" s="362" t="s">
        <v>8851</v>
      </c>
      <c r="F86" s="362" t="s">
        <v>7998</v>
      </c>
      <c r="G86" s="362" t="s">
        <v>8852</v>
      </c>
      <c r="H86" s="363">
        <v>2002</v>
      </c>
      <c r="I86" s="378">
        <v>37300</v>
      </c>
      <c r="J86" s="365"/>
      <c r="K86" s="365"/>
      <c r="L86" s="362" t="s">
        <v>8853</v>
      </c>
    </row>
    <row r="87" spans="1:12">
      <c r="A87" s="363">
        <f>VLOOKUP(B87, 'PubMed 4.14.21 Results'!B:B, 1, FALSE)</f>
        <v>11869630</v>
      </c>
      <c r="B87" s="363">
        <v>11869630</v>
      </c>
      <c r="C87" s="362" t="s">
        <v>8854</v>
      </c>
      <c r="D87" s="362" t="s">
        <v>8855</v>
      </c>
      <c r="E87" s="362" t="s">
        <v>8856</v>
      </c>
      <c r="F87" s="362" t="s">
        <v>6940</v>
      </c>
      <c r="G87" s="362" t="s">
        <v>8857</v>
      </c>
      <c r="H87" s="363">
        <v>2002</v>
      </c>
      <c r="I87" s="378">
        <v>37316</v>
      </c>
      <c r="J87" s="365"/>
      <c r="K87" s="365"/>
      <c r="L87" s="362" t="s">
        <v>8858</v>
      </c>
    </row>
    <row r="88" spans="1:12">
      <c r="A88" s="363">
        <f>VLOOKUP(B88, 'PubMed 4.14.21 Results'!B:B, 1, FALSE)</f>
        <v>11899571</v>
      </c>
      <c r="B88" s="363">
        <v>11899571</v>
      </c>
      <c r="C88" s="362" t="s">
        <v>8859</v>
      </c>
      <c r="D88" s="362" t="s">
        <v>8860</v>
      </c>
      <c r="E88" s="362" t="s">
        <v>8861</v>
      </c>
      <c r="F88" s="362" t="s">
        <v>7220</v>
      </c>
      <c r="G88" s="362" t="s">
        <v>8730</v>
      </c>
      <c r="H88" s="363">
        <v>2002</v>
      </c>
      <c r="I88" s="378">
        <v>37335</v>
      </c>
      <c r="J88" s="365"/>
      <c r="K88" s="365"/>
      <c r="L88" s="365"/>
    </row>
    <row r="89" spans="1:12">
      <c r="A89" s="363">
        <f>VLOOKUP(B89, 'PubMed 4.14.21 Results'!B:B, 1, FALSE)</f>
        <v>11931398</v>
      </c>
      <c r="B89" s="363">
        <v>11931398</v>
      </c>
      <c r="C89" s="362" t="s">
        <v>8862</v>
      </c>
      <c r="D89" s="362" t="s">
        <v>8863</v>
      </c>
      <c r="E89" s="362" t="s">
        <v>8864</v>
      </c>
      <c r="F89" s="362" t="s">
        <v>7893</v>
      </c>
      <c r="G89" s="362" t="s">
        <v>8865</v>
      </c>
      <c r="H89" s="363">
        <v>2002</v>
      </c>
      <c r="I89" s="378">
        <v>37351</v>
      </c>
      <c r="J89" s="365"/>
      <c r="K89" s="365"/>
      <c r="L89" s="365"/>
    </row>
    <row r="90" spans="1:12">
      <c r="A90" s="363">
        <f>VLOOKUP(B90, 'PubMed 4.14.21 Results'!B:B, 1, FALSE)</f>
        <v>12053708</v>
      </c>
      <c r="B90" s="363">
        <v>12053708</v>
      </c>
      <c r="C90" s="362" t="s">
        <v>8866</v>
      </c>
      <c r="D90" s="362" t="s">
        <v>8867</v>
      </c>
      <c r="E90" s="362" t="s">
        <v>8868</v>
      </c>
      <c r="F90" s="362" t="s">
        <v>7229</v>
      </c>
      <c r="G90" s="362" t="s">
        <v>8869</v>
      </c>
      <c r="H90" s="363">
        <v>2002</v>
      </c>
      <c r="I90" s="378">
        <v>37418</v>
      </c>
      <c r="J90" s="434" t="s">
        <v>7230</v>
      </c>
      <c r="K90" s="425"/>
      <c r="L90" s="365"/>
    </row>
    <row r="91" spans="1:12">
      <c r="A91" s="363">
        <f>VLOOKUP(B91, 'PubMed 4.14.21 Results'!B:B, 1, FALSE)</f>
        <v>12076499</v>
      </c>
      <c r="B91" s="363">
        <v>12076499</v>
      </c>
      <c r="C91" s="362" t="s">
        <v>8870</v>
      </c>
      <c r="D91" s="362" t="s">
        <v>8871</v>
      </c>
      <c r="E91" s="362" t="s">
        <v>8872</v>
      </c>
      <c r="F91" s="362" t="s">
        <v>7412</v>
      </c>
      <c r="G91" s="362" t="s">
        <v>8857</v>
      </c>
      <c r="H91" s="363">
        <v>2002</v>
      </c>
      <c r="I91" s="378">
        <v>37429</v>
      </c>
      <c r="J91" s="434" t="s">
        <v>7413</v>
      </c>
      <c r="K91" s="425"/>
      <c r="L91" s="362" t="s">
        <v>8873</v>
      </c>
    </row>
    <row r="92" spans="1:12">
      <c r="A92" s="363">
        <f>VLOOKUP(B92, 'PubMed 4.14.21 Results'!B:B, 1, FALSE)</f>
        <v>12214158</v>
      </c>
      <c r="B92" s="363">
        <v>12214158</v>
      </c>
      <c r="C92" s="362" t="s">
        <v>8874</v>
      </c>
      <c r="D92" s="362" t="s">
        <v>8875</v>
      </c>
      <c r="E92" s="362" t="s">
        <v>8876</v>
      </c>
      <c r="F92" s="362" t="s">
        <v>7778</v>
      </c>
      <c r="G92" s="362" t="s">
        <v>8877</v>
      </c>
      <c r="H92" s="363">
        <v>2002</v>
      </c>
      <c r="I92" s="378">
        <v>37505</v>
      </c>
      <c r="J92" s="365"/>
      <c r="K92" s="365"/>
      <c r="L92" s="362" t="s">
        <v>8878</v>
      </c>
    </row>
    <row r="93" spans="1:12">
      <c r="A93" s="363">
        <f>VLOOKUP(B93, 'PubMed 4.14.21 Results'!B:B, 1, FALSE)</f>
        <v>12581507</v>
      </c>
      <c r="B93" s="363">
        <v>12581507</v>
      </c>
      <c r="C93" s="362" t="s">
        <v>8879</v>
      </c>
      <c r="D93" s="362" t="s">
        <v>8880</v>
      </c>
      <c r="E93" s="362" t="s">
        <v>8881</v>
      </c>
      <c r="F93" s="362" t="s">
        <v>8082</v>
      </c>
      <c r="G93" s="362" t="s">
        <v>8882</v>
      </c>
      <c r="H93" s="363">
        <v>2002</v>
      </c>
      <c r="I93" s="378">
        <v>37665</v>
      </c>
      <c r="J93" s="365"/>
      <c r="K93" s="365"/>
      <c r="L93" s="362" t="s">
        <v>8883</v>
      </c>
    </row>
    <row r="94" spans="1:12">
      <c r="A94" s="363">
        <f>VLOOKUP(B94, 'PubMed 4.14.21 Results'!B:B, 1, FALSE)</f>
        <v>11952024</v>
      </c>
      <c r="B94" s="363">
        <v>11952024</v>
      </c>
      <c r="C94" s="362" t="s">
        <v>8884</v>
      </c>
      <c r="D94" s="362" t="s">
        <v>8885</v>
      </c>
      <c r="E94" s="362" t="s">
        <v>8886</v>
      </c>
      <c r="F94" s="362" t="s">
        <v>6718</v>
      </c>
      <c r="G94" s="362" t="s">
        <v>8640</v>
      </c>
      <c r="H94" s="363">
        <v>2002</v>
      </c>
      <c r="I94" s="378">
        <v>37362</v>
      </c>
      <c r="J94" s="365"/>
      <c r="K94" s="365"/>
      <c r="L94" s="362" t="s">
        <v>8887</v>
      </c>
    </row>
    <row r="95" spans="1:12">
      <c r="A95" s="363">
        <f>VLOOKUP(B95, 'PubMed 4.14.21 Results'!B:B, 1, FALSE)</f>
        <v>11923699</v>
      </c>
      <c r="B95" s="363">
        <v>11923699</v>
      </c>
      <c r="C95" s="362" t="s">
        <v>8888</v>
      </c>
      <c r="D95" s="362" t="s">
        <v>8889</v>
      </c>
      <c r="E95" s="362" t="s">
        <v>8890</v>
      </c>
      <c r="F95" s="362" t="s">
        <v>7263</v>
      </c>
      <c r="G95" s="362" t="s">
        <v>8712</v>
      </c>
      <c r="H95" s="363">
        <v>2002</v>
      </c>
      <c r="I95" s="378">
        <v>37345</v>
      </c>
      <c r="J95" s="365"/>
      <c r="K95" s="365"/>
      <c r="L95" s="362" t="s">
        <v>8891</v>
      </c>
    </row>
    <row r="96" spans="1:12">
      <c r="A96" s="363">
        <f>VLOOKUP(B96, 'PubMed 4.14.21 Results'!B:B, 1, FALSE)</f>
        <v>12000479</v>
      </c>
      <c r="B96" s="363">
        <v>12000479</v>
      </c>
      <c r="C96" s="362" t="s">
        <v>8892</v>
      </c>
      <c r="D96" s="362" t="s">
        <v>8893</v>
      </c>
      <c r="E96" s="362" t="s">
        <v>8894</v>
      </c>
      <c r="F96" s="362" t="s">
        <v>7855</v>
      </c>
      <c r="G96" s="362" t="s">
        <v>8895</v>
      </c>
      <c r="H96" s="363">
        <v>2002</v>
      </c>
      <c r="I96" s="378">
        <v>37386</v>
      </c>
      <c r="J96" s="365"/>
      <c r="K96" s="365"/>
      <c r="L96" s="362" t="s">
        <v>8896</v>
      </c>
    </row>
    <row r="97" spans="1:12">
      <c r="A97" s="363">
        <f>VLOOKUP(B97, 'PubMed 4.14.21 Results'!B:B, 1, FALSE)</f>
        <v>12047793</v>
      </c>
      <c r="B97" s="363">
        <v>12047793</v>
      </c>
      <c r="C97" s="362" t="s">
        <v>8897</v>
      </c>
      <c r="D97" s="362" t="s">
        <v>8898</v>
      </c>
      <c r="E97" s="362" t="s">
        <v>8899</v>
      </c>
      <c r="F97" s="362" t="s">
        <v>7436</v>
      </c>
      <c r="G97" s="362" t="s">
        <v>8900</v>
      </c>
      <c r="H97" s="363">
        <v>2002</v>
      </c>
      <c r="I97" s="378">
        <v>37413</v>
      </c>
      <c r="J97" s="365"/>
      <c r="K97" s="365"/>
      <c r="L97" s="362" t="s">
        <v>8901</v>
      </c>
    </row>
    <row r="98" spans="1:12">
      <c r="A98" s="363">
        <f>VLOOKUP(B98, 'PubMed 4.14.21 Results'!B:B, 1, FALSE)</f>
        <v>12122828</v>
      </c>
      <c r="B98" s="363">
        <v>12122828</v>
      </c>
      <c r="C98" s="362" t="s">
        <v>8902</v>
      </c>
      <c r="D98" s="362" t="s">
        <v>8903</v>
      </c>
      <c r="E98" s="362" t="s">
        <v>8904</v>
      </c>
      <c r="F98" s="362" t="s">
        <v>6688</v>
      </c>
      <c r="G98" s="362" t="s">
        <v>8905</v>
      </c>
      <c r="H98" s="363">
        <v>2002</v>
      </c>
      <c r="I98" s="378">
        <v>37456</v>
      </c>
      <c r="J98" s="365"/>
      <c r="K98" s="365"/>
      <c r="L98" s="362" t="s">
        <v>8906</v>
      </c>
    </row>
    <row r="99" spans="1:12">
      <c r="A99" s="363">
        <f>VLOOKUP(B99, 'PubMed 4.14.21 Results'!B:B, 1, FALSE)</f>
        <v>12132490</v>
      </c>
      <c r="B99" s="363">
        <v>12132490</v>
      </c>
      <c r="C99" s="362" t="s">
        <v>8907</v>
      </c>
      <c r="D99" s="362" t="s">
        <v>8908</v>
      </c>
      <c r="E99" s="362" t="s">
        <v>8909</v>
      </c>
      <c r="F99" s="362" t="s">
        <v>6591</v>
      </c>
      <c r="G99" s="362" t="s">
        <v>8910</v>
      </c>
      <c r="H99" s="363">
        <v>2002</v>
      </c>
      <c r="I99" s="378">
        <v>37460</v>
      </c>
      <c r="J99" s="365"/>
      <c r="K99" s="365"/>
      <c r="L99" s="362" t="s">
        <v>8911</v>
      </c>
    </row>
    <row r="100" spans="1:12">
      <c r="A100" s="363">
        <f>VLOOKUP(B100, 'PubMed 4.14.21 Results'!B:B, 1, FALSE)</f>
        <v>11953468</v>
      </c>
      <c r="B100" s="363">
        <v>11953468</v>
      </c>
      <c r="C100" s="362" t="s">
        <v>8912</v>
      </c>
      <c r="D100" s="362" t="s">
        <v>8913</v>
      </c>
      <c r="E100" s="362" t="s">
        <v>8914</v>
      </c>
      <c r="F100" s="362" t="s">
        <v>7231</v>
      </c>
      <c r="G100" s="362" t="s">
        <v>8915</v>
      </c>
      <c r="H100" s="363">
        <v>2002</v>
      </c>
      <c r="I100" s="378">
        <v>37362</v>
      </c>
      <c r="J100" s="362" t="s">
        <v>7232</v>
      </c>
      <c r="K100" s="362" t="s">
        <v>8916</v>
      </c>
      <c r="L100" s="362" t="s">
        <v>8917</v>
      </c>
    </row>
    <row r="101" spans="1:12">
      <c r="A101" s="363">
        <f>VLOOKUP(B101, 'PubMed 4.14.21 Results'!B:B, 1, FALSE)</f>
        <v>12097784</v>
      </c>
      <c r="B101" s="363">
        <v>12097784</v>
      </c>
      <c r="C101" s="362" t="s">
        <v>8918</v>
      </c>
      <c r="D101" s="362" t="s">
        <v>8919</v>
      </c>
      <c r="E101" s="362" t="s">
        <v>8920</v>
      </c>
      <c r="F101" s="362" t="s">
        <v>6846</v>
      </c>
      <c r="G101" s="362" t="s">
        <v>8921</v>
      </c>
      <c r="H101" s="363">
        <v>2002</v>
      </c>
      <c r="I101" s="378">
        <v>37442</v>
      </c>
      <c r="J101" s="365"/>
      <c r="K101" s="365"/>
      <c r="L101" s="362" t="s">
        <v>8922</v>
      </c>
    </row>
    <row r="102" spans="1:12">
      <c r="A102" s="363">
        <f>VLOOKUP(B102, 'PubMed 4.14.21 Results'!B:B, 1, FALSE)</f>
        <v>12222084</v>
      </c>
      <c r="B102" s="363">
        <v>12222084</v>
      </c>
      <c r="C102" s="362" t="s">
        <v>8923</v>
      </c>
      <c r="D102" s="362" t="s">
        <v>8924</v>
      </c>
      <c r="E102" s="362" t="s">
        <v>8925</v>
      </c>
      <c r="F102" s="362" t="s">
        <v>7798</v>
      </c>
      <c r="G102" s="362" t="s">
        <v>8926</v>
      </c>
      <c r="H102" s="363">
        <v>2002</v>
      </c>
      <c r="I102" s="378">
        <v>37511</v>
      </c>
      <c r="J102" s="365"/>
      <c r="K102" s="365"/>
      <c r="L102" s="362" t="s">
        <v>8927</v>
      </c>
    </row>
    <row r="103" spans="1:12">
      <c r="A103" s="363">
        <f>VLOOKUP(B103, 'PubMed 4.14.21 Results'!B:B, 1, FALSE)</f>
        <v>12186604</v>
      </c>
      <c r="B103" s="363">
        <v>12186604</v>
      </c>
      <c r="C103" s="362" t="s">
        <v>8928</v>
      </c>
      <c r="D103" s="362" t="s">
        <v>8929</v>
      </c>
      <c r="E103" s="362" t="s">
        <v>8930</v>
      </c>
      <c r="F103" s="362" t="s">
        <v>6438</v>
      </c>
      <c r="G103" s="362" t="s">
        <v>8580</v>
      </c>
      <c r="H103" s="363">
        <v>2002</v>
      </c>
      <c r="I103" s="378">
        <v>37489</v>
      </c>
      <c r="J103" s="365"/>
      <c r="K103" s="365"/>
      <c r="L103" s="362" t="s">
        <v>8931</v>
      </c>
    </row>
    <row r="104" spans="1:12">
      <c r="A104" s="363">
        <f>VLOOKUP(B104, 'PubMed 4.14.21 Results'!B:B, 1, FALSE)</f>
        <v>12198006</v>
      </c>
      <c r="B104" s="363">
        <v>12198006</v>
      </c>
      <c r="C104" s="362" t="s">
        <v>8932</v>
      </c>
      <c r="D104" s="362" t="s">
        <v>8933</v>
      </c>
      <c r="E104" s="362" t="s">
        <v>8934</v>
      </c>
      <c r="F104" s="362" t="s">
        <v>7332</v>
      </c>
      <c r="G104" s="362" t="s">
        <v>8935</v>
      </c>
      <c r="H104" s="363">
        <v>2002</v>
      </c>
      <c r="I104" s="378">
        <v>37497</v>
      </c>
      <c r="J104" s="365"/>
      <c r="K104" s="365"/>
      <c r="L104" s="362" t="s">
        <v>8936</v>
      </c>
    </row>
    <row r="105" spans="1:12">
      <c r="A105" s="363">
        <f>VLOOKUP(B105, 'PubMed 4.14.21 Results'!B:B, 1, FALSE)</f>
        <v>12523876</v>
      </c>
      <c r="B105" s="363">
        <v>12523876</v>
      </c>
      <c r="C105" s="362" t="s">
        <v>8937</v>
      </c>
      <c r="D105" s="362" t="s">
        <v>8938</v>
      </c>
      <c r="E105" s="362" t="s">
        <v>8939</v>
      </c>
      <c r="F105" s="362" t="s">
        <v>7716</v>
      </c>
      <c r="G105" s="362" t="s">
        <v>8852</v>
      </c>
      <c r="H105" s="363">
        <v>2002</v>
      </c>
      <c r="I105" s="378">
        <v>37635</v>
      </c>
      <c r="J105" s="365"/>
      <c r="K105" s="365"/>
      <c r="L105" s="362" t="s">
        <v>8940</v>
      </c>
    </row>
    <row r="106" spans="1:12">
      <c r="A106" s="363">
        <f>VLOOKUP(B106, 'PubMed 4.14.21 Results'!B:B, 1, FALSE)</f>
        <v>12544987</v>
      </c>
      <c r="B106" s="363">
        <v>12544987</v>
      </c>
      <c r="C106" s="362" t="s">
        <v>8941</v>
      </c>
      <c r="D106" s="362" t="s">
        <v>8942</v>
      </c>
      <c r="E106" s="362" t="s">
        <v>8943</v>
      </c>
      <c r="F106" s="362" t="s">
        <v>6816</v>
      </c>
      <c r="G106" s="362" t="s">
        <v>8504</v>
      </c>
      <c r="H106" s="363">
        <v>2003</v>
      </c>
      <c r="I106" s="378">
        <v>37646</v>
      </c>
      <c r="J106" s="365"/>
      <c r="K106" s="365"/>
      <c r="L106" s="362" t="s">
        <v>8944</v>
      </c>
    </row>
    <row r="107" spans="1:12">
      <c r="A107" s="363">
        <f>VLOOKUP(B107, 'PubMed 4.14.21 Results'!B:B, 1, FALSE)</f>
        <v>12803883</v>
      </c>
      <c r="B107" s="363">
        <v>12803883</v>
      </c>
      <c r="C107" s="362" t="s">
        <v>8945</v>
      </c>
      <c r="D107" s="362" t="s">
        <v>8946</v>
      </c>
      <c r="E107" s="362" t="s">
        <v>8947</v>
      </c>
      <c r="F107" s="362" t="s">
        <v>6627</v>
      </c>
      <c r="G107" s="362" t="s">
        <v>8948</v>
      </c>
      <c r="H107" s="363">
        <v>2003</v>
      </c>
      <c r="I107" s="378">
        <v>37786</v>
      </c>
      <c r="J107" s="365"/>
      <c r="K107" s="365"/>
      <c r="L107" s="362" t="s">
        <v>8949</v>
      </c>
    </row>
    <row r="108" spans="1:12">
      <c r="A108" s="363">
        <f>VLOOKUP(B108, 'PubMed 4.14.21 Results'!B:B, 1, FALSE)</f>
        <v>14633783</v>
      </c>
      <c r="B108" s="363">
        <v>14633783</v>
      </c>
      <c r="C108" s="362" t="s">
        <v>8950</v>
      </c>
      <c r="D108" s="362" t="s">
        <v>8951</v>
      </c>
      <c r="E108" s="362" t="s">
        <v>8952</v>
      </c>
      <c r="F108" s="362" t="s">
        <v>7852</v>
      </c>
      <c r="G108" s="362" t="s">
        <v>8953</v>
      </c>
      <c r="H108" s="363">
        <v>2003</v>
      </c>
      <c r="I108" s="378">
        <v>37950</v>
      </c>
      <c r="J108" s="365"/>
      <c r="K108" s="365"/>
      <c r="L108" s="362" t="s">
        <v>8954</v>
      </c>
    </row>
    <row r="109" spans="1:12">
      <c r="A109" s="363">
        <f>VLOOKUP(B109, 'PubMed 4.14.21 Results'!B:B, 1, FALSE)</f>
        <v>12635507</v>
      </c>
      <c r="B109" s="363">
        <v>12635507</v>
      </c>
      <c r="C109" s="362" t="s">
        <v>8955</v>
      </c>
      <c r="D109" s="362" t="s">
        <v>8956</v>
      </c>
      <c r="E109" s="362" t="s">
        <v>8957</v>
      </c>
      <c r="F109" s="362" t="s">
        <v>6570</v>
      </c>
      <c r="G109" s="362" t="s">
        <v>8958</v>
      </c>
      <c r="H109" s="363">
        <v>2003</v>
      </c>
      <c r="I109" s="378">
        <v>37695</v>
      </c>
      <c r="J109" s="365"/>
      <c r="K109" s="365"/>
      <c r="L109" s="362" t="s">
        <v>8959</v>
      </c>
    </row>
    <row r="110" spans="1:12">
      <c r="A110" s="363">
        <f>VLOOKUP(B110, 'PubMed 4.14.21 Results'!B:B, 1, FALSE)</f>
        <v>12653747</v>
      </c>
      <c r="B110" s="363">
        <v>12653747</v>
      </c>
      <c r="C110" s="362" t="s">
        <v>8960</v>
      </c>
      <c r="D110" s="362" t="s">
        <v>8961</v>
      </c>
      <c r="E110" s="362" t="s">
        <v>8962</v>
      </c>
      <c r="F110" s="362" t="s">
        <v>7718</v>
      </c>
      <c r="G110" s="362" t="s">
        <v>8963</v>
      </c>
      <c r="H110" s="363">
        <v>2003</v>
      </c>
      <c r="I110" s="378">
        <v>37706</v>
      </c>
      <c r="J110" s="365"/>
      <c r="K110" s="365"/>
      <c r="L110" s="362" t="s">
        <v>8964</v>
      </c>
    </row>
    <row r="111" spans="1:12">
      <c r="A111" s="363">
        <f>VLOOKUP(B111, 'PubMed 4.14.21 Results'!B:B, 1, FALSE)</f>
        <v>12730439</v>
      </c>
      <c r="B111" s="363">
        <v>12730439</v>
      </c>
      <c r="C111" s="362" t="s">
        <v>8965</v>
      </c>
      <c r="D111" s="362" t="s">
        <v>8966</v>
      </c>
      <c r="E111" s="362" t="s">
        <v>8967</v>
      </c>
      <c r="F111" s="362" t="s">
        <v>6834</v>
      </c>
      <c r="G111" s="362" t="s">
        <v>8968</v>
      </c>
      <c r="H111" s="363">
        <v>2003</v>
      </c>
      <c r="I111" s="378">
        <v>37747</v>
      </c>
      <c r="J111" s="365"/>
      <c r="K111" s="365"/>
      <c r="L111" s="362" t="s">
        <v>8969</v>
      </c>
    </row>
    <row r="112" spans="1:12">
      <c r="A112" s="363">
        <f>VLOOKUP(B112, 'PubMed 4.14.21 Results'!B:B, 1, FALSE)</f>
        <v>12700452</v>
      </c>
      <c r="B112" s="363">
        <v>12700452</v>
      </c>
      <c r="C112" s="362" t="s">
        <v>8970</v>
      </c>
      <c r="D112" s="362" t="s">
        <v>8971</v>
      </c>
      <c r="E112" s="362" t="s">
        <v>8972</v>
      </c>
      <c r="F112" s="362" t="s">
        <v>7604</v>
      </c>
      <c r="G112" s="362" t="s">
        <v>8915</v>
      </c>
      <c r="H112" s="363">
        <v>2003</v>
      </c>
      <c r="I112" s="378">
        <v>37729</v>
      </c>
      <c r="J112" s="365"/>
      <c r="K112" s="365"/>
      <c r="L112" s="362" t="s">
        <v>8973</v>
      </c>
    </row>
    <row r="113" spans="1:12">
      <c r="A113" s="363">
        <f>VLOOKUP(B113, 'PubMed 4.14.21 Results'!B:B, 1, FALSE)</f>
        <v>12763980</v>
      </c>
      <c r="B113" s="363">
        <v>12763980</v>
      </c>
      <c r="C113" s="362" t="s">
        <v>8974</v>
      </c>
      <c r="D113" s="362" t="s">
        <v>8975</v>
      </c>
      <c r="E113" s="362" t="s">
        <v>8976</v>
      </c>
      <c r="F113" s="362" t="s">
        <v>7598</v>
      </c>
      <c r="G113" s="362" t="s">
        <v>8977</v>
      </c>
      <c r="H113" s="363">
        <v>2003</v>
      </c>
      <c r="I113" s="378">
        <v>37765</v>
      </c>
      <c r="J113" s="362" t="s">
        <v>7600</v>
      </c>
      <c r="K113" s="365"/>
      <c r="L113" s="362" t="s">
        <v>8978</v>
      </c>
    </row>
    <row r="114" spans="1:12">
      <c r="A114" s="363">
        <f>VLOOKUP(B114, 'PubMed 4.14.21 Results'!B:B, 1, FALSE)</f>
        <v>12712239</v>
      </c>
      <c r="B114" s="363">
        <v>12712239</v>
      </c>
      <c r="C114" s="362" t="s">
        <v>8979</v>
      </c>
      <c r="D114" s="362" t="s">
        <v>8980</v>
      </c>
      <c r="E114" s="362" t="s">
        <v>8981</v>
      </c>
      <c r="F114" s="362" t="s">
        <v>6765</v>
      </c>
      <c r="G114" s="362" t="s">
        <v>8617</v>
      </c>
      <c r="H114" s="363">
        <v>2003</v>
      </c>
      <c r="I114" s="378">
        <v>37736</v>
      </c>
      <c r="J114" s="365"/>
      <c r="K114" s="365"/>
      <c r="L114" s="362" t="s">
        <v>8982</v>
      </c>
    </row>
    <row r="115" spans="1:12">
      <c r="A115" s="363">
        <f>VLOOKUP(B115, 'PubMed 4.14.21 Results'!B:B, 1, FALSE)</f>
        <v>12775315</v>
      </c>
      <c r="B115" s="363">
        <v>12775315</v>
      </c>
      <c r="C115" s="362" t="s">
        <v>8983</v>
      </c>
      <c r="D115" s="362" t="s">
        <v>8984</v>
      </c>
      <c r="E115" s="362" t="s">
        <v>8985</v>
      </c>
      <c r="F115" s="362" t="s">
        <v>7150</v>
      </c>
      <c r="G115" s="362" t="s">
        <v>8986</v>
      </c>
      <c r="H115" s="363">
        <v>2003</v>
      </c>
      <c r="I115" s="378">
        <v>37772</v>
      </c>
      <c r="J115" s="365"/>
      <c r="K115" s="365"/>
      <c r="L115" s="362" t="s">
        <v>8987</v>
      </c>
    </row>
    <row r="116" spans="1:12">
      <c r="A116" s="363">
        <f>VLOOKUP(B116, 'PubMed 4.14.21 Results'!B:B, 1, FALSE)</f>
        <v>12794395</v>
      </c>
      <c r="B116" s="363">
        <v>12794395</v>
      </c>
      <c r="C116" s="362" t="s">
        <v>8988</v>
      </c>
      <c r="D116" s="362" t="s">
        <v>8989</v>
      </c>
      <c r="E116" s="362" t="s">
        <v>8990</v>
      </c>
      <c r="F116" s="362" t="s">
        <v>7768</v>
      </c>
      <c r="G116" s="362" t="s">
        <v>8504</v>
      </c>
      <c r="H116" s="363">
        <v>2003</v>
      </c>
      <c r="I116" s="378">
        <v>37782</v>
      </c>
      <c r="J116" s="365"/>
      <c r="K116" s="365"/>
      <c r="L116" s="362" t="s">
        <v>8991</v>
      </c>
    </row>
    <row r="117" spans="1:12">
      <c r="A117" s="363">
        <f>VLOOKUP(B117, 'PubMed 4.14.21 Results'!B:B, 1, FALSE)</f>
        <v>12889718</v>
      </c>
      <c r="B117" s="363">
        <v>12889718</v>
      </c>
      <c r="C117" s="362" t="s">
        <v>8992</v>
      </c>
      <c r="D117" s="362" t="s">
        <v>8993</v>
      </c>
      <c r="E117" s="362" t="s">
        <v>8994</v>
      </c>
      <c r="F117" s="362" t="s">
        <v>7916</v>
      </c>
      <c r="G117" s="362" t="s">
        <v>8995</v>
      </c>
      <c r="H117" s="363">
        <v>2003</v>
      </c>
      <c r="I117" s="378">
        <v>37835</v>
      </c>
      <c r="J117" s="365"/>
      <c r="K117" s="365"/>
      <c r="L117" s="365"/>
    </row>
    <row r="118" spans="1:12">
      <c r="A118" s="363">
        <f>VLOOKUP(B118, 'PubMed 4.14.21 Results'!B:B, 1, FALSE)</f>
        <v>14641355</v>
      </c>
      <c r="B118" s="363">
        <v>14641355</v>
      </c>
      <c r="C118" s="362" t="s">
        <v>8996</v>
      </c>
      <c r="D118" s="362" t="s">
        <v>8997</v>
      </c>
      <c r="E118" s="362" t="s">
        <v>8998</v>
      </c>
      <c r="F118" s="362" t="s">
        <v>6537</v>
      </c>
      <c r="G118" s="362" t="s">
        <v>8999</v>
      </c>
      <c r="H118" s="363">
        <v>2003</v>
      </c>
      <c r="I118" s="378">
        <v>37959</v>
      </c>
      <c r="J118" s="365"/>
      <c r="K118" s="365"/>
      <c r="L118" s="362" t="s">
        <v>9000</v>
      </c>
    </row>
    <row r="119" spans="1:12">
      <c r="A119" s="363">
        <f>VLOOKUP(B119, 'PubMed 4.14.21 Results'!B:B, 1, FALSE)</f>
        <v>14515117</v>
      </c>
      <c r="B119" s="363">
        <v>14515117</v>
      </c>
      <c r="C119" s="362" t="s">
        <v>9001</v>
      </c>
      <c r="D119" s="362" t="s">
        <v>9002</v>
      </c>
      <c r="E119" s="362" t="s">
        <v>9003</v>
      </c>
      <c r="F119" s="362" t="s">
        <v>6418</v>
      </c>
      <c r="G119" s="362" t="s">
        <v>9004</v>
      </c>
      <c r="H119" s="363">
        <v>2003</v>
      </c>
      <c r="I119" s="378">
        <v>37894</v>
      </c>
      <c r="J119" s="365"/>
      <c r="K119" s="365"/>
      <c r="L119" s="362" t="s">
        <v>9005</v>
      </c>
    </row>
    <row r="120" spans="1:12">
      <c r="A120" s="363">
        <f>VLOOKUP(B120, 'PubMed 4.14.21 Results'!B:B, 1, FALSE)</f>
        <v>14529922</v>
      </c>
      <c r="B120" s="363">
        <v>14529922</v>
      </c>
      <c r="C120" s="362" t="s">
        <v>9006</v>
      </c>
      <c r="D120" s="362" t="s">
        <v>9007</v>
      </c>
      <c r="E120" s="362" t="s">
        <v>9008</v>
      </c>
      <c r="F120" s="362" t="s">
        <v>7558</v>
      </c>
      <c r="G120" s="362" t="s">
        <v>9009</v>
      </c>
      <c r="H120" s="363">
        <v>2003</v>
      </c>
      <c r="I120" s="378">
        <v>37902</v>
      </c>
      <c r="J120" s="365"/>
      <c r="K120" s="365"/>
      <c r="L120" s="362" t="s">
        <v>9010</v>
      </c>
    </row>
    <row r="121" spans="1:12">
      <c r="A121" s="363">
        <f>VLOOKUP(B121, 'PubMed 4.14.21 Results'!B:B, 1, FALSE)</f>
        <v>12957419</v>
      </c>
      <c r="B121" s="363">
        <v>12957419</v>
      </c>
      <c r="C121" s="362" t="s">
        <v>9011</v>
      </c>
      <c r="D121" s="362" t="s">
        <v>9012</v>
      </c>
      <c r="E121" s="362" t="s">
        <v>9013</v>
      </c>
      <c r="F121" s="362" t="s">
        <v>6640</v>
      </c>
      <c r="G121" s="362" t="s">
        <v>9014</v>
      </c>
      <c r="H121" s="363">
        <v>2003</v>
      </c>
      <c r="I121" s="378">
        <v>37870</v>
      </c>
      <c r="J121" s="365"/>
      <c r="K121" s="365"/>
      <c r="L121" s="362" t="s">
        <v>9015</v>
      </c>
    </row>
    <row r="122" spans="1:12">
      <c r="A122" s="363">
        <f>VLOOKUP(B122, 'PubMed 4.14.21 Results'!B:B, 1, FALSE)</f>
        <v>14688494</v>
      </c>
      <c r="B122" s="363">
        <v>14688494</v>
      </c>
      <c r="C122" s="362" t="s">
        <v>9016</v>
      </c>
      <c r="D122" s="362" t="s">
        <v>9017</v>
      </c>
      <c r="E122" s="362" t="s">
        <v>9018</v>
      </c>
      <c r="F122" s="362" t="s">
        <v>7303</v>
      </c>
      <c r="G122" s="362" t="s">
        <v>9019</v>
      </c>
      <c r="H122" s="363">
        <v>2003</v>
      </c>
      <c r="I122" s="378">
        <v>37978</v>
      </c>
      <c r="J122" s="365"/>
      <c r="K122" s="365"/>
      <c r="L122" s="362" t="s">
        <v>9020</v>
      </c>
    </row>
    <row r="123" spans="1:12">
      <c r="A123" s="363">
        <f>VLOOKUP(B123, 'PubMed 4.14.21 Results'!B:B, 1, FALSE)</f>
        <v>14768404</v>
      </c>
      <c r="B123" s="363">
        <v>14768404</v>
      </c>
      <c r="C123" s="362" t="s">
        <v>9021</v>
      </c>
      <c r="D123" s="362" t="s">
        <v>9022</v>
      </c>
      <c r="E123" s="362" t="s">
        <v>9023</v>
      </c>
      <c r="F123" s="362" t="s">
        <v>8144</v>
      </c>
      <c r="G123" s="362" t="s">
        <v>9024</v>
      </c>
      <c r="H123" s="363">
        <v>2003</v>
      </c>
      <c r="I123" s="378">
        <v>38028</v>
      </c>
      <c r="J123" s="365"/>
      <c r="K123" s="365"/>
      <c r="L123" s="365"/>
    </row>
    <row r="124" spans="1:12">
      <c r="A124" s="363">
        <f>VLOOKUP(B124, 'PubMed 4.14.21 Results'!B:B, 1, FALSE)</f>
        <v>14667790</v>
      </c>
      <c r="B124" s="363">
        <v>14667790</v>
      </c>
      <c r="C124" s="362" t="s">
        <v>9025</v>
      </c>
      <c r="D124" s="362" t="s">
        <v>9026</v>
      </c>
      <c r="E124" s="362" t="s">
        <v>9027</v>
      </c>
      <c r="F124" s="362" t="s">
        <v>6931</v>
      </c>
      <c r="G124" s="362" t="s">
        <v>9028</v>
      </c>
      <c r="H124" s="363">
        <v>2004</v>
      </c>
      <c r="I124" s="378">
        <v>37967</v>
      </c>
      <c r="J124" s="365"/>
      <c r="K124" s="365"/>
      <c r="L124" s="362" t="s">
        <v>9029</v>
      </c>
    </row>
    <row r="125" spans="1:12">
      <c r="A125" s="363">
        <f>VLOOKUP(B125, 'PubMed 4.14.21 Results'!B:B, 1, FALSE)</f>
        <v>14674941</v>
      </c>
      <c r="B125" s="363">
        <v>14674941</v>
      </c>
      <c r="C125" s="362" t="s">
        <v>9030</v>
      </c>
      <c r="D125" s="362" t="s">
        <v>9031</v>
      </c>
      <c r="E125" s="362" t="s">
        <v>9032</v>
      </c>
      <c r="F125" s="362" t="s">
        <v>6603</v>
      </c>
      <c r="G125" s="362" t="s">
        <v>8485</v>
      </c>
      <c r="H125" s="363">
        <v>2004</v>
      </c>
      <c r="I125" s="378">
        <v>37972</v>
      </c>
      <c r="J125" s="365"/>
      <c r="K125" s="365"/>
      <c r="L125" s="362" t="s">
        <v>9033</v>
      </c>
    </row>
    <row r="126" spans="1:12">
      <c r="A126" s="363">
        <f>VLOOKUP(B126, 'PubMed 4.14.21 Results'!B:B, 1, FALSE)</f>
        <v>14872423</v>
      </c>
      <c r="B126" s="363">
        <v>14872423</v>
      </c>
      <c r="C126" s="362" t="s">
        <v>9034</v>
      </c>
      <c r="D126" s="362" t="s">
        <v>9035</v>
      </c>
      <c r="E126" s="362" t="s">
        <v>9036</v>
      </c>
      <c r="F126" s="362" t="s">
        <v>7241</v>
      </c>
      <c r="G126" s="362" t="s">
        <v>8588</v>
      </c>
      <c r="H126" s="363">
        <v>2004</v>
      </c>
      <c r="I126" s="378">
        <v>38029</v>
      </c>
      <c r="J126" s="365"/>
      <c r="K126" s="365"/>
      <c r="L126" s="362" t="s">
        <v>9037</v>
      </c>
    </row>
    <row r="127" spans="1:12">
      <c r="A127" s="363">
        <f>VLOOKUP(B127, 'PubMed 4.14.21 Results'!B:B, 1, FALSE)</f>
        <v>14996516</v>
      </c>
      <c r="B127" s="363">
        <v>14996516</v>
      </c>
      <c r="C127" s="362" t="s">
        <v>9038</v>
      </c>
      <c r="D127" s="362" t="s">
        <v>9039</v>
      </c>
      <c r="E127" s="362" t="s">
        <v>9040</v>
      </c>
      <c r="F127" s="362" t="s">
        <v>4000</v>
      </c>
      <c r="G127" s="362" t="s">
        <v>8640</v>
      </c>
      <c r="H127" s="363">
        <v>2004</v>
      </c>
      <c r="I127" s="378">
        <v>38051</v>
      </c>
      <c r="J127" s="365"/>
      <c r="K127" s="365"/>
      <c r="L127" s="362" t="s">
        <v>9041</v>
      </c>
    </row>
    <row r="128" spans="1:12">
      <c r="A128" s="363">
        <f>VLOOKUP(B128, 'PubMed 4.14.21 Results'!B:B, 1, FALSE)</f>
        <v>15055564</v>
      </c>
      <c r="B128" s="363">
        <v>15055564</v>
      </c>
      <c r="C128" s="362" t="s">
        <v>9042</v>
      </c>
      <c r="D128" s="362" t="s">
        <v>9043</v>
      </c>
      <c r="E128" s="362" t="s">
        <v>9044</v>
      </c>
      <c r="F128" s="362" t="s">
        <v>6738</v>
      </c>
      <c r="G128" s="362" t="s">
        <v>9045</v>
      </c>
      <c r="H128" s="363">
        <v>2004</v>
      </c>
      <c r="I128" s="378">
        <v>38079</v>
      </c>
      <c r="J128" s="365"/>
      <c r="K128" s="365"/>
      <c r="L128" s="365"/>
    </row>
    <row r="129" spans="1:12">
      <c r="A129" s="363">
        <f>VLOOKUP(B129, 'PubMed 4.14.21 Results'!B:B, 1, FALSE)</f>
        <v>15099124</v>
      </c>
      <c r="B129" s="363">
        <v>15099124</v>
      </c>
      <c r="C129" s="362" t="s">
        <v>9046</v>
      </c>
      <c r="D129" s="362" t="s">
        <v>9047</v>
      </c>
      <c r="E129" s="362" t="s">
        <v>9048</v>
      </c>
      <c r="F129" s="362" t="s">
        <v>7620</v>
      </c>
      <c r="G129" s="362" t="s">
        <v>9049</v>
      </c>
      <c r="H129" s="363">
        <v>2004</v>
      </c>
      <c r="I129" s="378">
        <v>38099</v>
      </c>
      <c r="J129" s="365"/>
      <c r="K129" s="365"/>
      <c r="L129" s="362" t="s">
        <v>9050</v>
      </c>
    </row>
    <row r="130" spans="1:12">
      <c r="A130" s="363">
        <f>VLOOKUP(B130, 'PubMed 4.14.21 Results'!B:B, 1, FALSE)</f>
        <v>15134469</v>
      </c>
      <c r="B130" s="363">
        <v>15134469</v>
      </c>
      <c r="C130" s="362" t="s">
        <v>9051</v>
      </c>
      <c r="D130" s="362" t="s">
        <v>9052</v>
      </c>
      <c r="E130" s="362" t="s">
        <v>9053</v>
      </c>
      <c r="F130" s="362" t="s">
        <v>6450</v>
      </c>
      <c r="G130" s="362" t="s">
        <v>9054</v>
      </c>
      <c r="H130" s="363">
        <v>2004</v>
      </c>
      <c r="I130" s="378">
        <v>38119</v>
      </c>
      <c r="J130" s="365"/>
      <c r="K130" s="365"/>
      <c r="L130" s="362" t="s">
        <v>9055</v>
      </c>
    </row>
    <row r="131" spans="1:12">
      <c r="A131" s="363">
        <f>VLOOKUP(B131, 'PubMed 4.14.21 Results'!B:B, 1, FALSE)</f>
        <v>15225401</v>
      </c>
      <c r="B131" s="363">
        <v>15225401</v>
      </c>
      <c r="C131" s="362" t="s">
        <v>9056</v>
      </c>
      <c r="D131" s="362" t="s">
        <v>9057</v>
      </c>
      <c r="E131" s="362" t="s">
        <v>9058</v>
      </c>
      <c r="F131" s="362" t="s">
        <v>7143</v>
      </c>
      <c r="G131" s="362" t="s">
        <v>9059</v>
      </c>
      <c r="H131" s="363">
        <v>2004</v>
      </c>
      <c r="I131" s="378">
        <v>38169</v>
      </c>
      <c r="J131" s="365"/>
      <c r="K131" s="365"/>
      <c r="L131" s="362" t="s">
        <v>9060</v>
      </c>
    </row>
    <row r="132" spans="1:12">
      <c r="A132" s="363">
        <f>VLOOKUP(B132, 'PubMed 4.14.21 Results'!B:B, 1, FALSE)</f>
        <v>15266443</v>
      </c>
      <c r="B132" s="363">
        <v>15266443</v>
      </c>
      <c r="C132" s="362" t="s">
        <v>9061</v>
      </c>
      <c r="D132" s="362" t="s">
        <v>9062</v>
      </c>
      <c r="E132" s="362" t="s">
        <v>9063</v>
      </c>
      <c r="F132" s="362" t="s">
        <v>6415</v>
      </c>
      <c r="G132" s="362" t="s">
        <v>8857</v>
      </c>
      <c r="H132" s="363">
        <v>2004</v>
      </c>
      <c r="I132" s="378">
        <v>38190</v>
      </c>
      <c r="J132" s="434" t="s">
        <v>6416</v>
      </c>
      <c r="K132" s="425"/>
      <c r="L132" s="362" t="s">
        <v>9064</v>
      </c>
    </row>
    <row r="133" spans="1:12">
      <c r="A133" s="363">
        <f>VLOOKUP(B133, 'PubMed 4.14.21 Results'!B:B, 1, FALSE)</f>
        <v>15038947</v>
      </c>
      <c r="B133" s="363">
        <v>15038947</v>
      </c>
      <c r="C133" s="362" t="s">
        <v>9065</v>
      </c>
      <c r="D133" s="362" t="s">
        <v>9066</v>
      </c>
      <c r="E133" s="362" t="s">
        <v>9067</v>
      </c>
      <c r="F133" s="362" t="s">
        <v>7958</v>
      </c>
      <c r="G133" s="362" t="s">
        <v>8640</v>
      </c>
      <c r="H133" s="363">
        <v>2004</v>
      </c>
      <c r="I133" s="378">
        <v>38071</v>
      </c>
      <c r="J133" s="365"/>
      <c r="K133" s="365"/>
      <c r="L133" s="362" t="s">
        <v>9068</v>
      </c>
    </row>
    <row r="134" spans="1:12">
      <c r="A134" s="363">
        <f>VLOOKUP(B134, 'PubMed 4.14.21 Results'!B:B, 1, FALSE)</f>
        <v>14872017</v>
      </c>
      <c r="B134" s="363">
        <v>14872017</v>
      </c>
      <c r="C134" s="362" t="s">
        <v>9069</v>
      </c>
      <c r="D134" s="362" t="s">
        <v>9070</v>
      </c>
      <c r="E134" s="362" t="s">
        <v>9071</v>
      </c>
      <c r="F134" s="362" t="s">
        <v>6795</v>
      </c>
      <c r="G134" s="362" t="s">
        <v>8529</v>
      </c>
      <c r="H134" s="363">
        <v>2004</v>
      </c>
      <c r="I134" s="378">
        <v>38029</v>
      </c>
      <c r="J134" s="365"/>
      <c r="K134" s="365"/>
      <c r="L134" s="362" t="s">
        <v>9072</v>
      </c>
    </row>
    <row r="135" spans="1:12">
      <c r="A135" s="363">
        <f>VLOOKUP(B135, 'PubMed 4.14.21 Results'!B:B, 1, FALSE)</f>
        <v>15019871</v>
      </c>
      <c r="B135" s="363">
        <v>15019871</v>
      </c>
      <c r="C135" s="362" t="s">
        <v>9073</v>
      </c>
      <c r="D135" s="362" t="s">
        <v>9074</v>
      </c>
      <c r="E135" s="362" t="s">
        <v>9075</v>
      </c>
      <c r="F135" s="362" t="s">
        <v>7940</v>
      </c>
      <c r="G135" s="362" t="s">
        <v>8470</v>
      </c>
      <c r="H135" s="363">
        <v>2004</v>
      </c>
      <c r="I135" s="378">
        <v>38063</v>
      </c>
      <c r="J135" s="365"/>
      <c r="K135" s="365"/>
      <c r="L135" s="362" t="s">
        <v>9076</v>
      </c>
    </row>
    <row r="136" spans="1:12">
      <c r="A136" s="363">
        <f>VLOOKUP(B136, 'PubMed 4.14.21 Results'!B:B, 1, FALSE)</f>
        <v>14996699</v>
      </c>
      <c r="B136" s="363">
        <v>14996699</v>
      </c>
      <c r="C136" s="362" t="s">
        <v>9077</v>
      </c>
      <c r="D136" s="362" t="s">
        <v>9078</v>
      </c>
      <c r="E136" s="362" t="s">
        <v>9079</v>
      </c>
      <c r="F136" s="362" t="s">
        <v>7598</v>
      </c>
      <c r="G136" s="362" t="s">
        <v>8977</v>
      </c>
      <c r="H136" s="363">
        <v>2004</v>
      </c>
      <c r="I136" s="378">
        <v>38051</v>
      </c>
      <c r="J136" s="362" t="s">
        <v>7599</v>
      </c>
      <c r="K136" s="365"/>
      <c r="L136" s="362" t="s">
        <v>9080</v>
      </c>
    </row>
    <row r="137" spans="1:12">
      <c r="A137" s="363">
        <f>VLOOKUP(B137, 'PubMed 4.14.21 Results'!B:B, 1, FALSE)</f>
        <v>15180356</v>
      </c>
      <c r="B137" s="363">
        <v>15180356</v>
      </c>
      <c r="C137" s="362" t="s">
        <v>9081</v>
      </c>
      <c r="D137" s="362" t="s">
        <v>9082</v>
      </c>
      <c r="E137" s="362" t="s">
        <v>9083</v>
      </c>
      <c r="F137" s="362" t="s">
        <v>6664</v>
      </c>
      <c r="G137" s="362" t="s">
        <v>9084</v>
      </c>
      <c r="H137" s="363">
        <v>2004</v>
      </c>
      <c r="I137" s="378">
        <v>38146</v>
      </c>
      <c r="J137" s="365"/>
      <c r="K137" s="365"/>
      <c r="L137" s="365"/>
    </row>
    <row r="138" spans="1:12">
      <c r="A138" s="363">
        <f>VLOOKUP(B138, 'PubMed 4.14.21 Results'!B:B, 1, FALSE)</f>
        <v>15123391</v>
      </c>
      <c r="B138" s="363">
        <v>15123391</v>
      </c>
      <c r="C138" s="362" t="s">
        <v>9085</v>
      </c>
      <c r="D138" s="362" t="s">
        <v>9086</v>
      </c>
      <c r="E138" s="362" t="s">
        <v>9087</v>
      </c>
      <c r="F138" s="362" t="s">
        <v>7468</v>
      </c>
      <c r="G138" s="362" t="s">
        <v>9088</v>
      </c>
      <c r="H138" s="363">
        <v>2004</v>
      </c>
      <c r="I138" s="378">
        <v>38112</v>
      </c>
      <c r="J138" s="365"/>
      <c r="K138" s="365"/>
      <c r="L138" s="362" t="s">
        <v>9089</v>
      </c>
    </row>
    <row r="139" spans="1:12">
      <c r="A139" s="363">
        <f>VLOOKUP(B139, 'PubMed 4.14.21 Results'!B:B, 1, FALSE)</f>
        <v>15190957</v>
      </c>
      <c r="B139" s="363">
        <v>15190957</v>
      </c>
      <c r="C139" s="362" t="s">
        <v>9090</v>
      </c>
      <c r="D139" s="362" t="s">
        <v>9091</v>
      </c>
      <c r="E139" s="362" t="s">
        <v>9092</v>
      </c>
      <c r="F139" s="362" t="s">
        <v>7667</v>
      </c>
      <c r="G139" s="362" t="s">
        <v>8504</v>
      </c>
      <c r="H139" s="363">
        <v>2004</v>
      </c>
      <c r="I139" s="378">
        <v>38150</v>
      </c>
      <c r="J139" s="365"/>
      <c r="K139" s="365"/>
      <c r="L139" s="362" t="s">
        <v>9093</v>
      </c>
    </row>
    <row r="140" spans="1:12">
      <c r="A140" s="363">
        <f>VLOOKUP(B140, 'PubMed 4.14.21 Results'!B:B, 1, FALSE)</f>
        <v>32288145</v>
      </c>
      <c r="B140" s="363">
        <v>32288145</v>
      </c>
      <c r="C140" s="362" t="s">
        <v>9094</v>
      </c>
      <c r="D140" s="362" t="s">
        <v>9095</v>
      </c>
      <c r="E140" s="362" t="s">
        <v>9096</v>
      </c>
      <c r="F140" s="362" t="s">
        <v>6927</v>
      </c>
      <c r="G140" s="362" t="s">
        <v>9097</v>
      </c>
      <c r="H140" s="363">
        <v>2004</v>
      </c>
      <c r="I140" s="378">
        <v>43936</v>
      </c>
      <c r="J140" s="434" t="s">
        <v>6928</v>
      </c>
      <c r="K140" s="425"/>
      <c r="L140" s="362" t="s">
        <v>9098</v>
      </c>
    </row>
    <row r="141" spans="1:12">
      <c r="A141" s="363">
        <f>VLOOKUP(B141, 'PubMed 4.14.21 Results'!B:B, 1, FALSE)</f>
        <v>15178511</v>
      </c>
      <c r="B141" s="363">
        <v>15178511</v>
      </c>
      <c r="C141" s="362" t="s">
        <v>9099</v>
      </c>
      <c r="D141" s="362" t="s">
        <v>9100</v>
      </c>
      <c r="E141" s="362" t="s">
        <v>9101</v>
      </c>
      <c r="F141" s="362" t="s">
        <v>6735</v>
      </c>
      <c r="G141" s="362" t="s">
        <v>8470</v>
      </c>
      <c r="H141" s="363">
        <v>2004</v>
      </c>
      <c r="I141" s="378">
        <v>38143</v>
      </c>
      <c r="J141" s="365"/>
      <c r="K141" s="365"/>
      <c r="L141" s="362" t="s">
        <v>9102</v>
      </c>
    </row>
    <row r="142" spans="1:12">
      <c r="A142" s="363">
        <f>VLOOKUP(B142, 'PubMed 4.14.21 Results'!B:B, 1, FALSE)</f>
        <v>15218439</v>
      </c>
      <c r="B142" s="363">
        <v>15218439</v>
      </c>
      <c r="C142" s="362" t="s">
        <v>9103</v>
      </c>
      <c r="D142" s="362" t="s">
        <v>9104</v>
      </c>
      <c r="E142" s="362" t="s">
        <v>9105</v>
      </c>
      <c r="F142" s="362" t="s">
        <v>6476</v>
      </c>
      <c r="G142" s="362" t="s">
        <v>9106</v>
      </c>
      <c r="H142" s="363">
        <v>2004</v>
      </c>
      <c r="I142" s="378">
        <v>38164</v>
      </c>
      <c r="J142" s="365"/>
      <c r="K142" s="365"/>
      <c r="L142" s="362" t="s">
        <v>9107</v>
      </c>
    </row>
    <row r="143" spans="1:12">
      <c r="A143" s="363">
        <f>VLOOKUP(B143, 'PubMed 4.14.21 Results'!B:B, 1, FALSE)</f>
        <v>15538306</v>
      </c>
      <c r="B143" s="363">
        <v>15538306</v>
      </c>
      <c r="C143" s="362" t="s">
        <v>9108</v>
      </c>
      <c r="D143" s="362" t="s">
        <v>9109</v>
      </c>
      <c r="E143" s="362" t="s">
        <v>9110</v>
      </c>
      <c r="F143" s="362" t="s">
        <v>6441</v>
      </c>
      <c r="G143" s="362" t="s">
        <v>9111</v>
      </c>
      <c r="H143" s="363">
        <v>2004</v>
      </c>
      <c r="I143" s="378">
        <v>38304</v>
      </c>
      <c r="J143" s="365"/>
      <c r="K143" s="365"/>
      <c r="L143" s="362" t="s">
        <v>9112</v>
      </c>
    </row>
    <row r="144" spans="1:12">
      <c r="A144" s="363">
        <f>VLOOKUP(B144, 'PubMed 4.14.21 Results'!B:B, 1, FALSE)</f>
        <v>15568608</v>
      </c>
      <c r="B144" s="363">
        <v>15568608</v>
      </c>
      <c r="C144" s="362" t="s">
        <v>9113</v>
      </c>
      <c r="D144" s="362" t="s">
        <v>9114</v>
      </c>
      <c r="E144" s="362" t="s">
        <v>9115</v>
      </c>
      <c r="F144" s="362" t="s">
        <v>7741</v>
      </c>
      <c r="G144" s="362" t="s">
        <v>8730</v>
      </c>
      <c r="H144" s="363">
        <v>2004</v>
      </c>
      <c r="I144" s="378">
        <v>38322</v>
      </c>
      <c r="J144" s="365"/>
      <c r="K144" s="365"/>
      <c r="L144" s="365"/>
    </row>
    <row r="145" spans="1:12">
      <c r="A145" s="363">
        <f>VLOOKUP(B145, 'PubMed 4.14.21 Results'!B:B, 1, FALSE)</f>
        <v>15502061</v>
      </c>
      <c r="B145" s="363">
        <v>15502061</v>
      </c>
      <c r="C145" s="362" t="s">
        <v>9116</v>
      </c>
      <c r="D145" s="362" t="s">
        <v>9117</v>
      </c>
      <c r="E145" s="362" t="s">
        <v>9118</v>
      </c>
      <c r="F145" s="362" t="s">
        <v>7836</v>
      </c>
      <c r="G145" s="362" t="s">
        <v>9119</v>
      </c>
      <c r="H145" s="363">
        <v>2004</v>
      </c>
      <c r="I145" s="378">
        <v>38287</v>
      </c>
      <c r="J145" s="365"/>
      <c r="K145" s="365"/>
      <c r="L145" s="362" t="s">
        <v>9120</v>
      </c>
    </row>
    <row r="146" spans="1:12">
      <c r="A146" s="363">
        <f>VLOOKUP(B146, 'PubMed 4.14.21 Results'!B:B, 1, FALSE)</f>
        <v>15622577</v>
      </c>
      <c r="B146" s="363">
        <v>15622577</v>
      </c>
      <c r="C146" s="362" t="s">
        <v>9121</v>
      </c>
      <c r="D146" s="362" t="s">
        <v>9122</v>
      </c>
      <c r="E146" s="362" t="s">
        <v>9123</v>
      </c>
      <c r="F146" s="362" t="s">
        <v>7549</v>
      </c>
      <c r="G146" s="362" t="s">
        <v>9124</v>
      </c>
      <c r="H146" s="363">
        <v>2004</v>
      </c>
      <c r="I146" s="378">
        <v>38350</v>
      </c>
      <c r="J146" s="365"/>
      <c r="K146" s="365"/>
      <c r="L146" s="362" t="s">
        <v>9125</v>
      </c>
    </row>
    <row r="147" spans="1:12">
      <c r="A147" s="363">
        <f>VLOOKUP(B147, 'PubMed 4.14.21 Results'!B:B, 1, FALSE)</f>
        <v>15638050</v>
      </c>
      <c r="B147" s="363">
        <v>15638050</v>
      </c>
      <c r="C147" s="362" t="s">
        <v>9126</v>
      </c>
      <c r="D147" s="362" t="s">
        <v>9127</v>
      </c>
      <c r="E147" s="362" t="s">
        <v>9128</v>
      </c>
      <c r="F147" s="362" t="s">
        <v>6920</v>
      </c>
      <c r="G147" s="362" t="s">
        <v>9129</v>
      </c>
      <c r="H147" s="363">
        <v>2004</v>
      </c>
      <c r="I147" s="378">
        <v>38363</v>
      </c>
      <c r="J147" s="365"/>
      <c r="K147" s="365"/>
      <c r="L147" s="365"/>
    </row>
    <row r="148" spans="1:12">
      <c r="A148" s="363">
        <f>VLOOKUP(B148, 'PubMed 4.14.21 Results'!B:B, 1, FALSE)</f>
        <v>15649831</v>
      </c>
      <c r="B148" s="363">
        <v>15649831</v>
      </c>
      <c r="C148" s="362" t="s">
        <v>9130</v>
      </c>
      <c r="D148" s="362" t="s">
        <v>9131</v>
      </c>
      <c r="E148" s="362" t="s">
        <v>9132</v>
      </c>
      <c r="F148" s="362" t="s">
        <v>7165</v>
      </c>
      <c r="G148" s="362" t="s">
        <v>9133</v>
      </c>
      <c r="H148" s="363">
        <v>2004</v>
      </c>
      <c r="I148" s="378">
        <v>38367</v>
      </c>
      <c r="J148" s="365"/>
      <c r="K148" s="365"/>
      <c r="L148" s="362" t="s">
        <v>9134</v>
      </c>
    </row>
    <row r="149" spans="1:12">
      <c r="A149" s="363">
        <f>VLOOKUP(B149, 'PubMed 4.14.21 Results'!B:B, 1, FALSE)</f>
        <v>15673386</v>
      </c>
      <c r="B149" s="363">
        <v>15673386</v>
      </c>
      <c r="C149" s="362" t="s">
        <v>9135</v>
      </c>
      <c r="D149" s="362" t="s">
        <v>9136</v>
      </c>
      <c r="E149" s="362" t="s">
        <v>9137</v>
      </c>
      <c r="F149" s="362" t="s">
        <v>6409</v>
      </c>
      <c r="G149" s="362" t="s">
        <v>9138</v>
      </c>
      <c r="H149" s="363">
        <v>2005</v>
      </c>
      <c r="I149" s="378">
        <v>38380</v>
      </c>
      <c r="J149" s="365"/>
      <c r="K149" s="365"/>
      <c r="L149" s="362" t="s">
        <v>9139</v>
      </c>
    </row>
    <row r="150" spans="1:12">
      <c r="A150" s="363">
        <f>VLOOKUP(B150, 'PubMed 4.14.21 Results'!B:B, 1, FALSE)</f>
        <v>15687880</v>
      </c>
      <c r="B150" s="363">
        <v>15687880</v>
      </c>
      <c r="C150" s="362" t="s">
        <v>9140</v>
      </c>
      <c r="D150" s="362" t="s">
        <v>9141</v>
      </c>
      <c r="E150" s="362" t="s">
        <v>9142</v>
      </c>
      <c r="F150" s="362" t="s">
        <v>6533</v>
      </c>
      <c r="G150" s="362" t="s">
        <v>9143</v>
      </c>
      <c r="H150" s="363">
        <v>2005</v>
      </c>
      <c r="I150" s="378">
        <v>38386</v>
      </c>
      <c r="J150" s="365"/>
      <c r="K150" s="365"/>
      <c r="L150" s="365"/>
    </row>
    <row r="151" spans="1:12">
      <c r="A151" s="363">
        <f>VLOOKUP(B151, 'PubMed 4.14.21 Results'!B:B, 1, FALSE)</f>
        <v>15601653</v>
      </c>
      <c r="B151" s="363">
        <v>15601653</v>
      </c>
      <c r="C151" s="362" t="s">
        <v>9144</v>
      </c>
      <c r="D151" s="362" t="s">
        <v>9145</v>
      </c>
      <c r="E151" s="362" t="s">
        <v>9146</v>
      </c>
      <c r="F151" s="362" t="s">
        <v>6821</v>
      </c>
      <c r="G151" s="362" t="s">
        <v>9147</v>
      </c>
      <c r="H151" s="363">
        <v>2005</v>
      </c>
      <c r="I151" s="378">
        <v>38338</v>
      </c>
      <c r="J151" s="365"/>
      <c r="K151" s="365"/>
      <c r="L151" s="362" t="s">
        <v>9148</v>
      </c>
    </row>
    <row r="152" spans="1:12">
      <c r="A152" s="363">
        <f>VLOOKUP(B152, 'PubMed 4.14.21 Results'!B:B, 1, FALSE)</f>
        <v>15712100</v>
      </c>
      <c r="B152" s="363">
        <v>15712100</v>
      </c>
      <c r="C152" s="362" t="s">
        <v>9149</v>
      </c>
      <c r="D152" s="362" t="s">
        <v>9150</v>
      </c>
      <c r="E152" s="362" t="s">
        <v>9151</v>
      </c>
      <c r="F152" s="362" t="s">
        <v>7812</v>
      </c>
      <c r="G152" s="362" t="s">
        <v>9152</v>
      </c>
      <c r="H152" s="363">
        <v>2005</v>
      </c>
      <c r="I152" s="378">
        <v>38399</v>
      </c>
      <c r="J152" s="365"/>
      <c r="K152" s="365"/>
      <c r="L152" s="362" t="s">
        <v>9153</v>
      </c>
    </row>
    <row r="153" spans="1:12">
      <c r="A153" s="363">
        <f>VLOOKUP(B153, 'PubMed 4.14.21 Results'!B:B, 1, FALSE)</f>
        <v>15679715</v>
      </c>
      <c r="B153" s="363">
        <v>15679715</v>
      </c>
      <c r="C153" s="362" t="s">
        <v>9154</v>
      </c>
      <c r="D153" s="362" t="s">
        <v>9155</v>
      </c>
      <c r="E153" s="362" t="s">
        <v>9156</v>
      </c>
      <c r="F153" s="362" t="s">
        <v>7095</v>
      </c>
      <c r="G153" s="362" t="s">
        <v>8485</v>
      </c>
      <c r="H153" s="363">
        <v>2005</v>
      </c>
      <c r="I153" s="378">
        <v>38384</v>
      </c>
      <c r="J153" s="365"/>
      <c r="K153" s="365"/>
      <c r="L153" s="362" t="s">
        <v>9157</v>
      </c>
    </row>
    <row r="154" spans="1:12">
      <c r="A154" s="363">
        <f>VLOOKUP(B154, 'PubMed 4.14.21 Results'!B:B, 1, FALSE)</f>
        <v>15725883</v>
      </c>
      <c r="B154" s="363">
        <v>15725883</v>
      </c>
      <c r="C154" s="362" t="s">
        <v>9158</v>
      </c>
      <c r="D154" s="362" t="s">
        <v>9159</v>
      </c>
      <c r="E154" s="362" t="s">
        <v>9160</v>
      </c>
      <c r="F154" s="362" t="s">
        <v>7078</v>
      </c>
      <c r="G154" s="362" t="s">
        <v>9161</v>
      </c>
      <c r="H154" s="363">
        <v>2005</v>
      </c>
      <c r="I154" s="378">
        <v>38407</v>
      </c>
      <c r="J154" s="365"/>
      <c r="K154" s="365"/>
      <c r="L154" s="362" t="s">
        <v>9162</v>
      </c>
    </row>
    <row r="155" spans="1:12">
      <c r="A155" s="363">
        <f>VLOOKUP(B155, 'PubMed 4.14.21 Results'!B:B, 1, FALSE)</f>
        <v>15899734</v>
      </c>
      <c r="B155" s="363">
        <v>15899734</v>
      </c>
      <c r="C155" s="362" t="s">
        <v>9163</v>
      </c>
      <c r="D155" s="362" t="s">
        <v>9164</v>
      </c>
      <c r="E155" s="362" t="s">
        <v>9165</v>
      </c>
      <c r="F155" s="362" t="s">
        <v>6526</v>
      </c>
      <c r="G155" s="362" t="s">
        <v>8670</v>
      </c>
      <c r="H155" s="363">
        <v>2005</v>
      </c>
      <c r="I155" s="378">
        <v>38491</v>
      </c>
      <c r="J155" s="365"/>
      <c r="K155" s="365"/>
      <c r="L155" s="362" t="s">
        <v>9166</v>
      </c>
    </row>
    <row r="156" spans="1:12">
      <c r="A156" s="363">
        <f>VLOOKUP(B156, 'PubMed 4.14.21 Results'!B:B, 1, FALSE)</f>
        <v>15969878</v>
      </c>
      <c r="B156" s="363">
        <v>15969878</v>
      </c>
      <c r="C156" s="362" t="s">
        <v>9167</v>
      </c>
      <c r="D156" s="362" t="s">
        <v>9168</v>
      </c>
      <c r="E156" s="362" t="s">
        <v>9169</v>
      </c>
      <c r="F156" s="362" t="s">
        <v>6804</v>
      </c>
      <c r="G156" s="362" t="s">
        <v>8762</v>
      </c>
      <c r="H156" s="363">
        <v>2005</v>
      </c>
      <c r="I156" s="378">
        <v>38526</v>
      </c>
      <c r="J156" s="365"/>
      <c r="K156" s="365"/>
      <c r="L156" s="362" t="s">
        <v>9170</v>
      </c>
    </row>
    <row r="157" spans="1:12">
      <c r="A157" s="363">
        <f>VLOOKUP(B157, 'PubMed 4.14.21 Results'!B:B, 1, FALSE)</f>
        <v>15868230</v>
      </c>
      <c r="B157" s="363">
        <v>15868230</v>
      </c>
      <c r="C157" s="362" t="s">
        <v>9171</v>
      </c>
      <c r="D157" s="362" t="s">
        <v>9172</v>
      </c>
      <c r="E157" s="362" t="s">
        <v>9173</v>
      </c>
      <c r="F157" s="362" t="s">
        <v>6676</v>
      </c>
      <c r="G157" s="362" t="s">
        <v>9124</v>
      </c>
      <c r="H157" s="363">
        <v>2005</v>
      </c>
      <c r="I157" s="378">
        <v>38476</v>
      </c>
      <c r="J157" s="365"/>
      <c r="K157" s="365"/>
      <c r="L157" s="362" t="s">
        <v>9174</v>
      </c>
    </row>
    <row r="158" spans="1:12">
      <c r="A158" s="363">
        <f>VLOOKUP(B158, 'PubMed 4.14.21 Results'!B:B, 1, FALSE)</f>
        <v>15937757</v>
      </c>
      <c r="B158" s="363">
        <v>15937757</v>
      </c>
      <c r="C158" s="362" t="s">
        <v>9175</v>
      </c>
      <c r="D158" s="362" t="s">
        <v>9176</v>
      </c>
      <c r="E158" s="362" t="s">
        <v>9177</v>
      </c>
      <c r="F158" s="362" t="s">
        <v>7875</v>
      </c>
      <c r="G158" s="362" t="s">
        <v>9152</v>
      </c>
      <c r="H158" s="363">
        <v>2005</v>
      </c>
      <c r="I158" s="378">
        <v>38510</v>
      </c>
      <c r="J158" s="365"/>
      <c r="K158" s="365"/>
      <c r="L158" s="362" t="s">
        <v>9178</v>
      </c>
    </row>
    <row r="159" spans="1:12">
      <c r="A159" s="363">
        <f>VLOOKUP(B159, 'PubMed 4.14.21 Results'!B:B, 1, FALSE)</f>
        <v>16049907</v>
      </c>
      <c r="B159" s="363">
        <v>16049907</v>
      </c>
      <c r="C159" s="362" t="s">
        <v>9179</v>
      </c>
      <c r="D159" s="362" t="s">
        <v>9180</v>
      </c>
      <c r="E159" s="362" t="s">
        <v>9181</v>
      </c>
      <c r="F159" s="362" t="s">
        <v>7501</v>
      </c>
      <c r="G159" s="362" t="s">
        <v>9182</v>
      </c>
      <c r="H159" s="363">
        <v>2005</v>
      </c>
      <c r="I159" s="378">
        <v>38562</v>
      </c>
      <c r="J159" s="365"/>
      <c r="K159" s="365"/>
      <c r="L159" s="362" t="s">
        <v>9183</v>
      </c>
    </row>
    <row r="160" spans="1:12">
      <c r="A160" s="363">
        <f>VLOOKUP(B160, 'PubMed 4.14.21 Results'!B:B, 1, FALSE)</f>
        <v>16104945</v>
      </c>
      <c r="B160" s="363">
        <v>16104945</v>
      </c>
      <c r="C160" s="362" t="s">
        <v>9184</v>
      </c>
      <c r="D160" s="362" t="s">
        <v>9185</v>
      </c>
      <c r="E160" s="362" t="s">
        <v>9186</v>
      </c>
      <c r="F160" s="362" t="s">
        <v>7377</v>
      </c>
      <c r="G160" s="362" t="s">
        <v>9187</v>
      </c>
      <c r="H160" s="363">
        <v>2005</v>
      </c>
      <c r="I160" s="378">
        <v>38582</v>
      </c>
      <c r="J160" s="365"/>
      <c r="K160" s="365"/>
      <c r="L160" s="362" t="s">
        <v>9188</v>
      </c>
    </row>
    <row r="161" spans="1:12">
      <c r="A161" s="363">
        <f>VLOOKUP(B161, 'PubMed 4.14.21 Results'!B:B, 1, FALSE)</f>
        <v>15947280</v>
      </c>
      <c r="B161" s="363">
        <v>15947280</v>
      </c>
      <c r="C161" s="362" t="s">
        <v>9189</v>
      </c>
      <c r="D161" s="362" t="s">
        <v>9190</v>
      </c>
      <c r="E161" s="362" t="s">
        <v>9191</v>
      </c>
      <c r="F161" s="362" t="s">
        <v>7014</v>
      </c>
      <c r="G161" s="362" t="s">
        <v>8524</v>
      </c>
      <c r="H161" s="363">
        <v>2005</v>
      </c>
      <c r="I161" s="378">
        <v>38514</v>
      </c>
      <c r="J161" s="362" t="s">
        <v>7015</v>
      </c>
      <c r="K161" s="362" t="s">
        <v>9192</v>
      </c>
      <c r="L161" s="362" t="s">
        <v>9193</v>
      </c>
    </row>
    <row r="162" spans="1:12">
      <c r="A162" s="363">
        <f>VLOOKUP(B162, 'PubMed 4.14.21 Results'!B:B, 1, FALSE)</f>
        <v>16107978</v>
      </c>
      <c r="B162" s="363">
        <v>16107978</v>
      </c>
      <c r="C162" s="362" t="s">
        <v>9194</v>
      </c>
      <c r="D162" s="362" t="s">
        <v>9195</v>
      </c>
      <c r="E162" s="362" t="s">
        <v>9196</v>
      </c>
      <c r="F162" s="362" t="s">
        <v>551</v>
      </c>
      <c r="G162" s="362" t="s">
        <v>9152</v>
      </c>
      <c r="H162" s="363">
        <v>2005</v>
      </c>
      <c r="I162" s="378">
        <v>38583</v>
      </c>
      <c r="J162" s="365"/>
      <c r="K162" s="365"/>
      <c r="L162" s="362" t="s">
        <v>9197</v>
      </c>
    </row>
    <row r="163" spans="1:12">
      <c r="A163" s="363">
        <f>VLOOKUP(B163, 'PubMed 4.14.21 Results'!B:B, 1, FALSE)</f>
        <v>16210717</v>
      </c>
      <c r="B163" s="363">
        <v>16210717</v>
      </c>
      <c r="C163" s="362" t="s">
        <v>9198</v>
      </c>
      <c r="D163" s="362" t="s">
        <v>9199</v>
      </c>
      <c r="E163" s="362" t="s">
        <v>9200</v>
      </c>
      <c r="F163" s="362" t="s">
        <v>8001</v>
      </c>
      <c r="G163" s="362" t="s">
        <v>8935</v>
      </c>
      <c r="H163" s="363">
        <v>2005</v>
      </c>
      <c r="I163" s="378">
        <v>38633</v>
      </c>
      <c r="J163" s="365"/>
      <c r="K163" s="365"/>
      <c r="L163" s="362" t="s">
        <v>9201</v>
      </c>
    </row>
    <row r="164" spans="1:12">
      <c r="A164" s="363">
        <f>VLOOKUP(B164, 'PubMed 4.14.21 Results'!B:B, 1, FALSE)</f>
        <v>16061267</v>
      </c>
      <c r="B164" s="363">
        <v>16061267</v>
      </c>
      <c r="C164" s="362" t="s">
        <v>9202</v>
      </c>
      <c r="D164" s="362" t="s">
        <v>9203</v>
      </c>
      <c r="E164" s="362" t="s">
        <v>9204</v>
      </c>
      <c r="F164" s="362" t="s">
        <v>6698</v>
      </c>
      <c r="G164" s="362" t="s">
        <v>9205</v>
      </c>
      <c r="H164" s="363">
        <v>2005</v>
      </c>
      <c r="I164" s="378">
        <v>38567</v>
      </c>
      <c r="J164" s="365"/>
      <c r="K164" s="365"/>
      <c r="L164" s="362" t="s">
        <v>9206</v>
      </c>
    </row>
    <row r="165" spans="1:12">
      <c r="A165" s="363">
        <f>VLOOKUP(B165, 'PubMed 4.14.21 Results'!B:B, 1, FALSE)</f>
        <v>16184030</v>
      </c>
      <c r="B165" s="363">
        <v>16184030</v>
      </c>
      <c r="C165" s="362" t="s">
        <v>9207</v>
      </c>
      <c r="D165" s="362" t="s">
        <v>9208</v>
      </c>
      <c r="E165" s="362" t="s">
        <v>9209</v>
      </c>
      <c r="F165" s="362" t="s">
        <v>7931</v>
      </c>
      <c r="G165" s="362" t="s">
        <v>8915</v>
      </c>
      <c r="H165" s="363">
        <v>2005</v>
      </c>
      <c r="I165" s="378">
        <v>38622</v>
      </c>
      <c r="J165" s="365"/>
      <c r="K165" s="365"/>
      <c r="L165" s="362" t="s">
        <v>9210</v>
      </c>
    </row>
    <row r="166" spans="1:12">
      <c r="A166" s="363">
        <f>VLOOKUP(B166, 'PubMed 4.14.21 Results'!B:B, 1, FALSE)</f>
        <v>16235340</v>
      </c>
      <c r="B166" s="363">
        <v>16235340</v>
      </c>
      <c r="C166" s="362" t="s">
        <v>9211</v>
      </c>
      <c r="D166" s="362" t="s">
        <v>9212</v>
      </c>
      <c r="E166" s="362" t="s">
        <v>9213</v>
      </c>
      <c r="F166" s="362" t="s">
        <v>7414</v>
      </c>
      <c r="G166" s="362" t="s">
        <v>8857</v>
      </c>
      <c r="H166" s="363">
        <v>2005</v>
      </c>
      <c r="I166" s="378">
        <v>38645</v>
      </c>
      <c r="J166" s="365"/>
      <c r="K166" s="365"/>
      <c r="L166" s="362" t="s">
        <v>9214</v>
      </c>
    </row>
    <row r="167" spans="1:12">
      <c r="A167" s="363">
        <f>VLOOKUP(B167, 'PubMed 4.14.21 Results'!B:B, 1, FALSE)</f>
        <v>16235370</v>
      </c>
      <c r="B167" s="363">
        <v>16235370</v>
      </c>
      <c r="C167" s="362" t="s">
        <v>9215</v>
      </c>
      <c r="D167" s="362" t="s">
        <v>9216</v>
      </c>
      <c r="E167" s="362" t="s">
        <v>9217</v>
      </c>
      <c r="F167" s="362" t="s">
        <v>7323</v>
      </c>
      <c r="G167" s="362" t="s">
        <v>8857</v>
      </c>
      <c r="H167" s="363">
        <v>2005</v>
      </c>
      <c r="I167" s="378">
        <v>38645</v>
      </c>
      <c r="J167" s="434" t="s">
        <v>7324</v>
      </c>
      <c r="K167" s="425"/>
      <c r="L167" s="362" t="s">
        <v>9218</v>
      </c>
    </row>
    <row r="168" spans="1:12">
      <c r="A168" s="363">
        <f>VLOOKUP(B168, 'PubMed 4.14.21 Results'!B:B, 1, FALSE)</f>
        <v>16292292</v>
      </c>
      <c r="B168" s="363">
        <v>16292292</v>
      </c>
      <c r="C168" s="362" t="s">
        <v>9219</v>
      </c>
      <c r="D168" s="362" t="s">
        <v>9220</v>
      </c>
      <c r="E168" s="362" t="s">
        <v>9221</v>
      </c>
      <c r="F168" s="362" t="s">
        <v>6899</v>
      </c>
      <c r="G168" s="362" t="s">
        <v>9222</v>
      </c>
      <c r="H168" s="363">
        <v>2005</v>
      </c>
      <c r="I168" s="378">
        <v>38674</v>
      </c>
      <c r="J168" s="434" t="s">
        <v>6900</v>
      </c>
      <c r="K168" s="425"/>
      <c r="L168" s="362" t="s">
        <v>9223</v>
      </c>
    </row>
    <row r="169" spans="1:12">
      <c r="A169" s="363">
        <f>VLOOKUP(B169, 'PubMed 4.14.21 Results'!B:B, 1, FALSE)</f>
        <v>16336426</v>
      </c>
      <c r="B169" s="363">
        <v>16336426</v>
      </c>
      <c r="C169" s="362" t="s">
        <v>9224</v>
      </c>
      <c r="D169" s="362" t="s">
        <v>9225</v>
      </c>
      <c r="E169" s="362" t="s">
        <v>9226</v>
      </c>
      <c r="F169" s="362" t="s">
        <v>7897</v>
      </c>
      <c r="G169" s="362" t="s">
        <v>9227</v>
      </c>
      <c r="H169" s="363">
        <v>2005</v>
      </c>
      <c r="I169" s="378">
        <v>38699</v>
      </c>
      <c r="J169" s="365"/>
      <c r="K169" s="365"/>
      <c r="L169" s="362" t="s">
        <v>9228</v>
      </c>
    </row>
    <row r="170" spans="1:12">
      <c r="A170" s="363">
        <f>VLOOKUP(B170, 'PubMed 4.14.21 Results'!B:B, 1, FALSE)</f>
        <v>16379582</v>
      </c>
      <c r="B170" s="363">
        <v>16379582</v>
      </c>
      <c r="C170" s="362" t="s">
        <v>9229</v>
      </c>
      <c r="D170" s="362" t="s">
        <v>9230</v>
      </c>
      <c r="E170" s="362" t="s">
        <v>9231</v>
      </c>
      <c r="F170" s="362" t="s">
        <v>7359</v>
      </c>
      <c r="G170" s="362" t="s">
        <v>9232</v>
      </c>
      <c r="H170" s="363">
        <v>2005</v>
      </c>
      <c r="I170" s="378">
        <v>38715</v>
      </c>
      <c r="J170" s="365"/>
      <c r="K170" s="365"/>
      <c r="L170" s="362" t="s">
        <v>9233</v>
      </c>
    </row>
    <row r="171" spans="1:12">
      <c r="A171" s="363">
        <f>VLOOKUP(B171, 'PubMed 4.14.21 Results'!B:B, 1, FALSE)</f>
        <v>16447468</v>
      </c>
      <c r="B171" s="363">
        <v>16447468</v>
      </c>
      <c r="C171" s="362" t="s">
        <v>9234</v>
      </c>
      <c r="D171" s="362" t="s">
        <v>9235</v>
      </c>
      <c r="E171" s="362" t="s">
        <v>9236</v>
      </c>
      <c r="F171" s="362" t="s">
        <v>6527</v>
      </c>
      <c r="G171" s="362" t="s">
        <v>9237</v>
      </c>
      <c r="H171" s="363">
        <v>2005</v>
      </c>
      <c r="I171" s="378">
        <v>38750</v>
      </c>
      <c r="J171" s="365"/>
      <c r="K171" s="365"/>
      <c r="L171" s="365"/>
    </row>
    <row r="172" spans="1:12">
      <c r="A172" s="363">
        <f>VLOOKUP(B172, 'PubMed 4.14.21 Results'!B:B, 1, FALSE)</f>
        <v>16414334</v>
      </c>
      <c r="B172" s="363">
        <v>16414334</v>
      </c>
      <c r="C172" s="362" t="s">
        <v>9238</v>
      </c>
      <c r="D172" s="362" t="s">
        <v>9239</v>
      </c>
      <c r="E172" s="362" t="s">
        <v>9240</v>
      </c>
      <c r="F172" s="362" t="s">
        <v>7307</v>
      </c>
      <c r="G172" s="362" t="s">
        <v>9241</v>
      </c>
      <c r="H172" s="363">
        <v>2005</v>
      </c>
      <c r="I172" s="378">
        <v>38735</v>
      </c>
      <c r="J172" s="365"/>
      <c r="K172" s="365"/>
      <c r="L172" s="362" t="s">
        <v>9242</v>
      </c>
    </row>
    <row r="173" spans="1:12">
      <c r="A173" s="363">
        <f>VLOOKUP(B173, 'PubMed 4.14.21 Results'!B:B, 1, FALSE)</f>
        <v>16357613</v>
      </c>
      <c r="B173" s="363">
        <v>16357613</v>
      </c>
      <c r="C173" s="362" t="s">
        <v>9243</v>
      </c>
      <c r="D173" s="362" t="s">
        <v>9244</v>
      </c>
      <c r="E173" s="362" t="s">
        <v>9245</v>
      </c>
      <c r="F173" s="362" t="s">
        <v>7764</v>
      </c>
      <c r="G173" s="362" t="s">
        <v>8744</v>
      </c>
      <c r="H173" s="363">
        <v>2006</v>
      </c>
      <c r="I173" s="378">
        <v>38703</v>
      </c>
      <c r="J173" s="365"/>
      <c r="K173" s="365"/>
      <c r="L173" s="362" t="s">
        <v>9246</v>
      </c>
    </row>
    <row r="174" spans="1:12">
      <c r="A174" s="363">
        <f>VLOOKUP(B174, 'PubMed 4.14.21 Results'!B:B, 1, FALSE)</f>
        <v>16443000</v>
      </c>
      <c r="B174" s="363">
        <v>16443000</v>
      </c>
      <c r="C174" s="362" t="s">
        <v>9247</v>
      </c>
      <c r="D174" s="362" t="s">
        <v>9248</v>
      </c>
      <c r="E174" s="362" t="s">
        <v>9249</v>
      </c>
      <c r="F174" s="362" t="s">
        <v>7535</v>
      </c>
      <c r="G174" s="362" t="s">
        <v>9250</v>
      </c>
      <c r="H174" s="363">
        <v>2006</v>
      </c>
      <c r="I174" s="378">
        <v>38748</v>
      </c>
      <c r="J174" s="365"/>
      <c r="K174" s="365"/>
      <c r="L174" s="362" t="s">
        <v>9251</v>
      </c>
    </row>
    <row r="175" spans="1:12">
      <c r="A175" s="363">
        <f>VLOOKUP(B175, 'PubMed 4.14.21 Results'!B:B, 1, FALSE)</f>
        <v>16789795</v>
      </c>
      <c r="B175" s="363">
        <v>16789795</v>
      </c>
      <c r="C175" s="362" t="s">
        <v>9252</v>
      </c>
      <c r="D175" s="362" t="s">
        <v>9253</v>
      </c>
      <c r="E175" s="362" t="s">
        <v>9254</v>
      </c>
      <c r="F175" s="362" t="s">
        <v>8116</v>
      </c>
      <c r="G175" s="362" t="s">
        <v>8509</v>
      </c>
      <c r="H175" s="363">
        <v>2006</v>
      </c>
      <c r="I175" s="378">
        <v>38891</v>
      </c>
      <c r="J175" s="365"/>
      <c r="K175" s="365"/>
      <c r="L175" s="362" t="s">
        <v>9255</v>
      </c>
    </row>
    <row r="176" spans="1:12">
      <c r="A176" s="363">
        <f>VLOOKUP(B176, 'PubMed 4.14.21 Results'!B:B, 1, FALSE)</f>
        <v>17019816</v>
      </c>
      <c r="B176" s="363">
        <v>17019816</v>
      </c>
      <c r="C176" s="362" t="s">
        <v>9256</v>
      </c>
      <c r="D176" s="362" t="s">
        <v>9257</v>
      </c>
      <c r="E176" s="362" t="s">
        <v>9258</v>
      </c>
      <c r="F176" s="362" t="s">
        <v>6655</v>
      </c>
      <c r="G176" s="362" t="s">
        <v>9259</v>
      </c>
      <c r="H176" s="363">
        <v>2006</v>
      </c>
      <c r="I176" s="378">
        <v>38996</v>
      </c>
      <c r="J176" s="365"/>
      <c r="K176" s="365"/>
      <c r="L176" s="365"/>
    </row>
    <row r="177" spans="1:12">
      <c r="A177" s="363">
        <f>VLOOKUP(B177, 'PubMed 4.14.21 Results'!B:B, 1, FALSE)</f>
        <v>17192129</v>
      </c>
      <c r="B177" s="363">
        <v>17192129</v>
      </c>
      <c r="C177" s="362" t="s">
        <v>9260</v>
      </c>
      <c r="D177" s="362" t="s">
        <v>9261</v>
      </c>
      <c r="E177" s="362" t="s">
        <v>9262</v>
      </c>
      <c r="F177" s="362" t="s">
        <v>6863</v>
      </c>
      <c r="G177" s="362" t="s">
        <v>9054</v>
      </c>
      <c r="H177" s="363">
        <v>2006</v>
      </c>
      <c r="I177" s="378">
        <v>39080</v>
      </c>
      <c r="J177" s="365"/>
      <c r="K177" s="365"/>
      <c r="L177" s="362" t="s">
        <v>9263</v>
      </c>
    </row>
    <row r="178" spans="1:12">
      <c r="A178" s="363">
        <f>VLOOKUP(B178, 'PubMed 4.14.21 Results'!B:B, 1, FALSE)</f>
        <v>17319161</v>
      </c>
      <c r="B178" s="363">
        <v>17319161</v>
      </c>
      <c r="C178" s="362" t="s">
        <v>9264</v>
      </c>
      <c r="D178" s="362" t="s">
        <v>9265</v>
      </c>
      <c r="E178" s="362" t="s">
        <v>9266</v>
      </c>
      <c r="F178" s="362" t="s">
        <v>7772</v>
      </c>
      <c r="G178" s="362" t="s">
        <v>9259</v>
      </c>
      <c r="H178" s="363">
        <v>2006</v>
      </c>
      <c r="I178" s="378">
        <v>39140</v>
      </c>
      <c r="J178" s="365"/>
      <c r="K178" s="365"/>
      <c r="L178" s="365"/>
    </row>
    <row r="179" spans="1:12">
      <c r="A179" s="363">
        <f>VLOOKUP(B179, 'PubMed 4.14.21 Results'!B:B, 1, FALSE)</f>
        <v>16437501</v>
      </c>
      <c r="B179" s="363">
        <v>16437501</v>
      </c>
      <c r="C179" s="362" t="s">
        <v>9267</v>
      </c>
      <c r="D179" s="362" t="s">
        <v>9268</v>
      </c>
      <c r="E179" s="362" t="s">
        <v>9269</v>
      </c>
      <c r="F179" s="362" t="s">
        <v>7286</v>
      </c>
      <c r="G179" s="362" t="s">
        <v>8857</v>
      </c>
      <c r="H179" s="363">
        <v>2006</v>
      </c>
      <c r="I179" s="378">
        <v>38744</v>
      </c>
      <c r="J179" s="365"/>
      <c r="K179" s="365"/>
      <c r="L179" s="362" t="s">
        <v>9270</v>
      </c>
    </row>
    <row r="180" spans="1:12">
      <c r="A180" s="363">
        <f>VLOOKUP(B180, 'PubMed 4.14.21 Results'!B:B, 1, FALSE)</f>
        <v>16377473</v>
      </c>
      <c r="B180" s="363">
        <v>16377473</v>
      </c>
      <c r="C180" s="362" t="s">
        <v>9271</v>
      </c>
      <c r="D180" s="362" t="s">
        <v>9272</v>
      </c>
      <c r="E180" s="362" t="s">
        <v>9273</v>
      </c>
      <c r="F180" s="362" t="s">
        <v>7842</v>
      </c>
      <c r="G180" s="362" t="s">
        <v>9274</v>
      </c>
      <c r="H180" s="363">
        <v>2006</v>
      </c>
      <c r="I180" s="378">
        <v>38713</v>
      </c>
      <c r="J180" s="365"/>
      <c r="K180" s="365"/>
      <c r="L180" s="362" t="s">
        <v>9275</v>
      </c>
    </row>
    <row r="181" spans="1:12">
      <c r="A181" s="363">
        <f>VLOOKUP(B181, 'PubMed 4.14.21 Results'!B:B, 1, FALSE)</f>
        <v>16429250</v>
      </c>
      <c r="B181" s="363">
        <v>16429250</v>
      </c>
      <c r="C181" s="362" t="s">
        <v>9276</v>
      </c>
      <c r="D181" s="362" t="s">
        <v>9277</v>
      </c>
      <c r="E181" s="362" t="s">
        <v>9278</v>
      </c>
      <c r="F181" s="362" t="s">
        <v>7518</v>
      </c>
      <c r="G181" s="362" t="s">
        <v>9279</v>
      </c>
      <c r="H181" s="363">
        <v>2006</v>
      </c>
      <c r="I181" s="378">
        <v>38741</v>
      </c>
      <c r="J181" s="434" t="s">
        <v>7519</v>
      </c>
      <c r="K181" s="425"/>
      <c r="L181" s="362" t="s">
        <v>9280</v>
      </c>
    </row>
    <row r="182" spans="1:12">
      <c r="A182" s="363">
        <f>VLOOKUP(B182, 'PubMed 4.14.21 Results'!B:B, 1, FALSE)</f>
        <v>16433809</v>
      </c>
      <c r="B182" s="363">
        <v>16433809</v>
      </c>
      <c r="C182" s="362" t="s">
        <v>9281</v>
      </c>
      <c r="D182" s="362" t="s">
        <v>9282</v>
      </c>
      <c r="E182" s="362" t="s">
        <v>9283</v>
      </c>
      <c r="F182" s="362" t="s">
        <v>7994</v>
      </c>
      <c r="G182" s="362" t="s">
        <v>8963</v>
      </c>
      <c r="H182" s="363">
        <v>2006</v>
      </c>
      <c r="I182" s="378">
        <v>38743</v>
      </c>
      <c r="J182" s="365"/>
      <c r="K182" s="365"/>
      <c r="L182" s="362" t="s">
        <v>9284</v>
      </c>
    </row>
    <row r="183" spans="1:12">
      <c r="A183" s="363">
        <f>VLOOKUP(B183, 'PubMed 4.14.21 Results'!B:B, 1, FALSE)</f>
        <v>16440357</v>
      </c>
      <c r="B183" s="363">
        <v>16440357</v>
      </c>
      <c r="C183" s="362" t="s">
        <v>9285</v>
      </c>
      <c r="D183" s="362" t="s">
        <v>9286</v>
      </c>
      <c r="E183" s="362" t="s">
        <v>9287</v>
      </c>
      <c r="F183" s="362" t="s">
        <v>7120</v>
      </c>
      <c r="G183" s="362" t="s">
        <v>8480</v>
      </c>
      <c r="H183" s="363">
        <v>2006</v>
      </c>
      <c r="I183" s="378">
        <v>38745</v>
      </c>
      <c r="J183" s="365"/>
      <c r="K183" s="365"/>
      <c r="L183" s="362" t="s">
        <v>9288</v>
      </c>
    </row>
    <row r="184" spans="1:12">
      <c r="A184" s="363">
        <f>VLOOKUP(B184, 'PubMed 4.14.21 Results'!B:B, 1, FALSE)</f>
        <v>16454836</v>
      </c>
      <c r="B184" s="363">
        <v>16454836</v>
      </c>
      <c r="C184" s="362" t="s">
        <v>9289</v>
      </c>
      <c r="D184" s="362" t="s">
        <v>9290</v>
      </c>
      <c r="E184" s="362" t="s">
        <v>9291</v>
      </c>
      <c r="F184" s="362" t="s">
        <v>6811</v>
      </c>
      <c r="G184" s="362" t="s">
        <v>9292</v>
      </c>
      <c r="H184" s="363">
        <v>2006</v>
      </c>
      <c r="I184" s="378">
        <v>38752</v>
      </c>
      <c r="J184" s="365"/>
      <c r="K184" s="365"/>
      <c r="L184" s="362" t="s">
        <v>9293</v>
      </c>
    </row>
    <row r="185" spans="1:12">
      <c r="A185" s="363">
        <f>VLOOKUP(B185, 'PubMed 4.14.21 Results'!B:B, 1, FALSE)</f>
        <v>16532130</v>
      </c>
      <c r="B185" s="363">
        <v>16532130</v>
      </c>
      <c r="C185" s="362" t="s">
        <v>9294</v>
      </c>
      <c r="D185" s="362" t="s">
        <v>9295</v>
      </c>
      <c r="E185" s="362" t="s">
        <v>9296</v>
      </c>
      <c r="F185" s="362" t="s">
        <v>7717</v>
      </c>
      <c r="G185" s="362" t="s">
        <v>9297</v>
      </c>
      <c r="H185" s="363">
        <v>2006</v>
      </c>
      <c r="I185" s="378">
        <v>38791</v>
      </c>
      <c r="J185" s="365"/>
      <c r="K185" s="365"/>
      <c r="L185" s="365"/>
    </row>
    <row r="186" spans="1:12">
      <c r="A186" s="363">
        <f>VLOOKUP(B186, 'PubMed 4.14.21 Results'!B:B, 1, FALSE)</f>
        <v>16449273</v>
      </c>
      <c r="B186" s="363">
        <v>16449273</v>
      </c>
      <c r="C186" s="362" t="s">
        <v>9298</v>
      </c>
      <c r="D186" s="362" t="s">
        <v>9299</v>
      </c>
      <c r="E186" s="362" t="s">
        <v>9300</v>
      </c>
      <c r="F186" s="362" t="s">
        <v>8070</v>
      </c>
      <c r="G186" s="362" t="s">
        <v>8575</v>
      </c>
      <c r="H186" s="363">
        <v>2006</v>
      </c>
      <c r="I186" s="378">
        <v>38750</v>
      </c>
      <c r="J186" s="434" t="s">
        <v>8071</v>
      </c>
      <c r="K186" s="425"/>
      <c r="L186" s="362" t="s">
        <v>9301</v>
      </c>
    </row>
    <row r="187" spans="1:12">
      <c r="A187" s="363">
        <f>VLOOKUP(B187, 'PubMed 4.14.21 Results'!B:B, 1, FALSE)</f>
        <v>16714917</v>
      </c>
      <c r="B187" s="363">
        <v>16714917</v>
      </c>
      <c r="C187" s="362" t="s">
        <v>9302</v>
      </c>
      <c r="D187" s="362" t="s">
        <v>9303</v>
      </c>
      <c r="E187" s="362" t="s">
        <v>9304</v>
      </c>
      <c r="F187" s="362" t="s">
        <v>6464</v>
      </c>
      <c r="G187" s="362" t="s">
        <v>9305</v>
      </c>
      <c r="H187" s="363">
        <v>2006</v>
      </c>
      <c r="I187" s="378">
        <v>38860</v>
      </c>
      <c r="J187" s="365"/>
      <c r="K187" s="365"/>
      <c r="L187" s="362" t="s">
        <v>9306</v>
      </c>
    </row>
    <row r="188" spans="1:12">
      <c r="A188" s="363">
        <f>VLOOKUP(B188, 'PubMed 4.14.21 Results'!B:B, 1, FALSE)</f>
        <v>16625638</v>
      </c>
      <c r="B188" s="363">
        <v>16625638</v>
      </c>
      <c r="C188" s="362" t="s">
        <v>9307</v>
      </c>
      <c r="D188" s="362" t="s">
        <v>9308</v>
      </c>
      <c r="E188" s="362" t="s">
        <v>9309</v>
      </c>
      <c r="F188" s="362" t="s">
        <v>7218</v>
      </c>
      <c r="G188" s="362" t="s">
        <v>8857</v>
      </c>
      <c r="H188" s="363">
        <v>2006</v>
      </c>
      <c r="I188" s="378">
        <v>38828</v>
      </c>
      <c r="J188" s="365"/>
      <c r="K188" s="365"/>
      <c r="L188" s="362" t="s">
        <v>9310</v>
      </c>
    </row>
    <row r="189" spans="1:12">
      <c r="A189" s="363">
        <f>VLOOKUP(B189, 'PubMed 4.14.21 Results'!B:B, 1, FALSE)</f>
        <v>16625647</v>
      </c>
      <c r="B189" s="363">
        <v>16625647</v>
      </c>
      <c r="C189" s="362" t="s">
        <v>9311</v>
      </c>
      <c r="D189" s="362" t="s">
        <v>9312</v>
      </c>
      <c r="E189" s="362" t="s">
        <v>9313</v>
      </c>
      <c r="F189" s="362" t="s">
        <v>5155</v>
      </c>
      <c r="G189" s="362" t="s">
        <v>8857</v>
      </c>
      <c r="H189" s="363">
        <v>2006</v>
      </c>
      <c r="I189" s="378">
        <v>38828</v>
      </c>
      <c r="J189" s="434" t="s">
        <v>6982</v>
      </c>
      <c r="K189" s="425"/>
      <c r="L189" s="362" t="s">
        <v>9314</v>
      </c>
    </row>
    <row r="190" spans="1:12">
      <c r="A190" s="363">
        <f>VLOOKUP(B190, 'PubMed 4.14.21 Results'!B:B, 1, FALSE)</f>
        <v>16750680</v>
      </c>
      <c r="B190" s="363">
        <v>16750680</v>
      </c>
      <c r="C190" s="362" t="s">
        <v>9315</v>
      </c>
      <c r="D190" s="362" t="s">
        <v>9316</v>
      </c>
      <c r="E190" s="362" t="s">
        <v>9317</v>
      </c>
      <c r="F190" s="362" t="s">
        <v>7467</v>
      </c>
      <c r="G190" s="362" t="s">
        <v>9014</v>
      </c>
      <c r="H190" s="363">
        <v>2006</v>
      </c>
      <c r="I190" s="378">
        <v>38874</v>
      </c>
      <c r="J190" s="365"/>
      <c r="K190" s="365"/>
      <c r="L190" s="362" t="s">
        <v>9318</v>
      </c>
    </row>
    <row r="191" spans="1:12">
      <c r="A191" s="363">
        <f>VLOOKUP(B191, 'PubMed 4.14.21 Results'!B:B, 1, FALSE)</f>
        <v>16801419</v>
      </c>
      <c r="B191" s="363">
        <v>16801419</v>
      </c>
      <c r="C191" s="362" t="s">
        <v>9319</v>
      </c>
      <c r="D191" s="362" t="s">
        <v>9320</v>
      </c>
      <c r="E191" s="362" t="s">
        <v>9321</v>
      </c>
      <c r="F191" s="362" t="s">
        <v>6760</v>
      </c>
      <c r="G191" s="362" t="s">
        <v>8675</v>
      </c>
      <c r="H191" s="363">
        <v>2006</v>
      </c>
      <c r="I191" s="378">
        <v>38896</v>
      </c>
      <c r="J191" s="434" t="s">
        <v>6761</v>
      </c>
      <c r="K191" s="425"/>
      <c r="L191" s="362" t="s">
        <v>9322</v>
      </c>
    </row>
    <row r="192" spans="1:12">
      <c r="A192" s="363">
        <f>VLOOKUP(B192, 'PubMed 4.14.21 Results'!B:B, 1, FALSE)</f>
        <v>16842449</v>
      </c>
      <c r="B192" s="363">
        <v>16842449</v>
      </c>
      <c r="C192" s="362" t="s">
        <v>9323</v>
      </c>
      <c r="D192" s="362" t="s">
        <v>9324</v>
      </c>
      <c r="E192" s="362" t="s">
        <v>9325</v>
      </c>
      <c r="F192" s="362" t="s">
        <v>7060</v>
      </c>
      <c r="G192" s="362" t="s">
        <v>8685</v>
      </c>
      <c r="H192" s="363">
        <v>2006</v>
      </c>
      <c r="I192" s="378">
        <v>38916</v>
      </c>
      <c r="J192" s="365"/>
      <c r="K192" s="365"/>
      <c r="L192" s="362" t="s">
        <v>9326</v>
      </c>
    </row>
    <row r="193" spans="1:12">
      <c r="A193" s="363">
        <f>VLOOKUP(B193, 'PubMed 4.14.21 Results'!B:B, 1, FALSE)</f>
        <v>16855998</v>
      </c>
      <c r="B193" s="363">
        <v>16855998</v>
      </c>
      <c r="C193" s="362" t="s">
        <v>9327</v>
      </c>
      <c r="D193" s="362" t="s">
        <v>9328</v>
      </c>
      <c r="E193" s="362" t="s">
        <v>9329</v>
      </c>
      <c r="F193" s="362" t="s">
        <v>7300</v>
      </c>
      <c r="G193" s="362" t="s">
        <v>8857</v>
      </c>
      <c r="H193" s="363">
        <v>2006</v>
      </c>
      <c r="I193" s="378">
        <v>38919</v>
      </c>
      <c r="J193" s="365"/>
      <c r="K193" s="365"/>
      <c r="L193" s="362" t="s">
        <v>9330</v>
      </c>
    </row>
    <row r="194" spans="1:12">
      <c r="A194" s="363">
        <f>VLOOKUP(B194, 'PubMed 4.14.21 Results'!B:B, 1, FALSE)</f>
        <v>16899204</v>
      </c>
      <c r="B194" s="363">
        <v>16899204</v>
      </c>
      <c r="C194" s="362" t="s">
        <v>9331</v>
      </c>
      <c r="D194" s="362" t="s">
        <v>9332</v>
      </c>
      <c r="E194" s="362" t="s">
        <v>9333</v>
      </c>
      <c r="F194" s="362" t="s">
        <v>6853</v>
      </c>
      <c r="G194" s="362" t="s">
        <v>9334</v>
      </c>
      <c r="H194" s="363">
        <v>2006</v>
      </c>
      <c r="I194" s="378">
        <v>38940</v>
      </c>
      <c r="J194" s="365"/>
      <c r="K194" s="365"/>
      <c r="L194" s="362" t="s">
        <v>9335</v>
      </c>
    </row>
    <row r="195" spans="1:12">
      <c r="A195" s="363">
        <f>VLOOKUP(B195, 'PubMed 4.14.21 Results'!B:B, 1, FALSE)</f>
        <v>17042674</v>
      </c>
      <c r="B195" s="363">
        <v>17042674</v>
      </c>
      <c r="C195" s="362" t="s">
        <v>9336</v>
      </c>
      <c r="D195" s="362" t="s">
        <v>9337</v>
      </c>
      <c r="E195" s="362" t="s">
        <v>9338</v>
      </c>
      <c r="F195" s="362" t="s">
        <v>7001</v>
      </c>
      <c r="G195" s="362" t="s">
        <v>9339</v>
      </c>
      <c r="H195" s="363">
        <v>2006</v>
      </c>
      <c r="I195" s="378">
        <v>39008</v>
      </c>
      <c r="J195" s="365"/>
      <c r="K195" s="365"/>
      <c r="L195" s="365"/>
    </row>
    <row r="196" spans="1:12">
      <c r="A196" s="363">
        <f>VLOOKUP(B196, 'PubMed 4.14.21 Results'!B:B, 1, FALSE)</f>
        <v>17069098</v>
      </c>
      <c r="B196" s="363">
        <v>17069098</v>
      </c>
      <c r="C196" s="362" t="s">
        <v>9340</v>
      </c>
      <c r="D196" s="362" t="s">
        <v>9341</v>
      </c>
      <c r="E196" s="362" t="s">
        <v>9342</v>
      </c>
      <c r="F196" s="362" t="s">
        <v>6618</v>
      </c>
      <c r="G196" s="362" t="s">
        <v>8552</v>
      </c>
      <c r="H196" s="363">
        <v>2006</v>
      </c>
      <c r="I196" s="378">
        <v>39021</v>
      </c>
      <c r="J196" s="365"/>
      <c r="K196" s="365"/>
      <c r="L196" s="362" t="s">
        <v>9343</v>
      </c>
    </row>
    <row r="197" spans="1:12">
      <c r="A197" s="363">
        <f>VLOOKUP(B197, 'PubMed 4.14.21 Results'!B:B, 1, FALSE)</f>
        <v>17054280</v>
      </c>
      <c r="B197" s="363">
        <v>17054280</v>
      </c>
      <c r="C197" s="362" t="s">
        <v>9344</v>
      </c>
      <c r="D197" s="362" t="s">
        <v>9312</v>
      </c>
      <c r="E197" s="362" t="s">
        <v>9345</v>
      </c>
      <c r="F197" s="362" t="s">
        <v>5155</v>
      </c>
      <c r="G197" s="362" t="s">
        <v>8857</v>
      </c>
      <c r="H197" s="363">
        <v>2006</v>
      </c>
      <c r="I197" s="378">
        <v>39011</v>
      </c>
      <c r="J197" s="434" t="s">
        <v>6981</v>
      </c>
      <c r="K197" s="425"/>
      <c r="L197" s="362" t="s">
        <v>9346</v>
      </c>
    </row>
    <row r="198" spans="1:12">
      <c r="A198" s="363">
        <f>VLOOKUP(B198, 'PubMed 4.14.21 Results'!B:B, 1, FALSE)</f>
        <v>16988008</v>
      </c>
      <c r="B198" s="363">
        <v>16988008</v>
      </c>
      <c r="C198" s="362" t="s">
        <v>9347</v>
      </c>
      <c r="D198" s="362" t="s">
        <v>9348</v>
      </c>
      <c r="E198" s="362" t="s">
        <v>9349</v>
      </c>
      <c r="F198" s="362" t="s">
        <v>7362</v>
      </c>
      <c r="G198" s="362" t="s">
        <v>9350</v>
      </c>
      <c r="H198" s="363">
        <v>2006</v>
      </c>
      <c r="I198" s="378">
        <v>38982</v>
      </c>
      <c r="J198" s="434" t="s">
        <v>7363</v>
      </c>
      <c r="K198" s="425"/>
      <c r="L198" s="362" t="s">
        <v>9351</v>
      </c>
    </row>
    <row r="199" spans="1:12">
      <c r="A199" s="363">
        <f>VLOOKUP(B199, 'PubMed 4.14.21 Results'!B:B, 1, FALSE)</f>
        <v>17034536</v>
      </c>
      <c r="B199" s="363">
        <v>17034536</v>
      </c>
      <c r="C199" s="362" t="s">
        <v>9352</v>
      </c>
      <c r="D199" s="362" t="s">
        <v>9353</v>
      </c>
      <c r="E199" s="362" t="s">
        <v>9354</v>
      </c>
      <c r="F199" s="362" t="s">
        <v>7466</v>
      </c>
      <c r="G199" s="362" t="s">
        <v>8963</v>
      </c>
      <c r="H199" s="363">
        <v>2006</v>
      </c>
      <c r="I199" s="378">
        <v>39003</v>
      </c>
      <c r="J199" s="365"/>
      <c r="K199" s="365"/>
      <c r="L199" s="362" t="s">
        <v>9355</v>
      </c>
    </row>
    <row r="200" spans="1:12">
      <c r="A200" s="363">
        <f>VLOOKUP(B200, 'PubMed 4.14.21 Results'!B:B, 1, FALSE)</f>
        <v>17083854</v>
      </c>
      <c r="B200" s="363">
        <v>17083854</v>
      </c>
      <c r="C200" s="362" t="s">
        <v>9356</v>
      </c>
      <c r="D200" s="362" t="s">
        <v>9357</v>
      </c>
      <c r="E200" s="362" t="s">
        <v>9358</v>
      </c>
      <c r="F200" s="362" t="s">
        <v>8085</v>
      </c>
      <c r="G200" s="362" t="s">
        <v>9359</v>
      </c>
      <c r="H200" s="363">
        <v>2006</v>
      </c>
      <c r="I200" s="378">
        <v>39028</v>
      </c>
      <c r="J200" s="365"/>
      <c r="K200" s="365"/>
      <c r="L200" s="362" t="s">
        <v>9360</v>
      </c>
    </row>
    <row r="201" spans="1:12">
      <c r="A201" s="363">
        <f>VLOOKUP(B201, 'PubMed 4.14.21 Results'!B:B, 1, FALSE)</f>
        <v>17283610</v>
      </c>
      <c r="B201" s="363">
        <v>17283610</v>
      </c>
      <c r="C201" s="362" t="s">
        <v>9361</v>
      </c>
      <c r="D201" s="362" t="s">
        <v>9362</v>
      </c>
      <c r="E201" s="362" t="s">
        <v>9363</v>
      </c>
      <c r="F201" s="362" t="s">
        <v>6683</v>
      </c>
      <c r="G201" s="362" t="s">
        <v>9364</v>
      </c>
      <c r="H201" s="363">
        <v>2006</v>
      </c>
      <c r="I201" s="378">
        <v>39121</v>
      </c>
      <c r="J201" s="434" t="s">
        <v>6684</v>
      </c>
      <c r="K201" s="425"/>
      <c r="L201" s="362" t="s">
        <v>9365</v>
      </c>
    </row>
    <row r="202" spans="1:12">
      <c r="A202" s="363">
        <f>VLOOKUP(B202, 'PubMed 4.14.21 Results'!B:B, 1, FALSE)</f>
        <v>16969761</v>
      </c>
      <c r="B202" s="363">
        <v>16969761</v>
      </c>
      <c r="C202" s="362" t="s">
        <v>9366</v>
      </c>
      <c r="D202" s="362" t="s">
        <v>9367</v>
      </c>
      <c r="E202" s="362" t="s">
        <v>9368</v>
      </c>
      <c r="F202" s="362" t="s">
        <v>7973</v>
      </c>
      <c r="G202" s="362" t="s">
        <v>9369</v>
      </c>
      <c r="H202" s="363">
        <v>2006</v>
      </c>
      <c r="I202" s="378">
        <v>38974</v>
      </c>
      <c r="J202" s="365"/>
      <c r="K202" s="365"/>
      <c r="L202" s="362" t="s">
        <v>9370</v>
      </c>
    </row>
    <row r="203" spans="1:12">
      <c r="A203" s="363">
        <f>VLOOKUP(B203, 'PubMed 4.14.21 Results'!B:B, 1, FALSE)</f>
        <v>17424701</v>
      </c>
      <c r="B203" s="363">
        <v>17424701</v>
      </c>
      <c r="C203" s="362" t="s">
        <v>9371</v>
      </c>
      <c r="D203" s="362" t="s">
        <v>9372</v>
      </c>
      <c r="E203" s="362" t="s">
        <v>9373</v>
      </c>
      <c r="F203" s="362" t="s">
        <v>6810</v>
      </c>
      <c r="G203" s="362" t="s">
        <v>9374</v>
      </c>
      <c r="H203" s="363">
        <v>2007</v>
      </c>
      <c r="I203" s="378">
        <v>39184</v>
      </c>
      <c r="J203" s="365"/>
      <c r="K203" s="365"/>
      <c r="L203" s="365"/>
    </row>
    <row r="204" spans="1:12">
      <c r="A204" s="363">
        <f>VLOOKUP(B204, 'PubMed 4.14.21 Results'!B:B, 1, FALSE)</f>
        <v>17630815</v>
      </c>
      <c r="B204" s="363">
        <v>17630815</v>
      </c>
      <c r="C204" s="362" t="s">
        <v>9375</v>
      </c>
      <c r="D204" s="362" t="s">
        <v>9376</v>
      </c>
      <c r="E204" s="362" t="s">
        <v>9377</v>
      </c>
      <c r="F204" s="362" t="s">
        <v>6969</v>
      </c>
      <c r="G204" s="362" t="s">
        <v>9378</v>
      </c>
      <c r="H204" s="363">
        <v>2007</v>
      </c>
      <c r="I204" s="378">
        <v>39280</v>
      </c>
      <c r="J204" s="365"/>
      <c r="K204" s="365"/>
      <c r="L204" s="362" t="s">
        <v>9379</v>
      </c>
    </row>
    <row r="205" spans="1:12">
      <c r="A205" s="363">
        <f>VLOOKUP(B205, 'PubMed 4.14.21 Results'!B:B, 1, FALSE)</f>
        <v>17684335</v>
      </c>
      <c r="B205" s="363">
        <v>17684335</v>
      </c>
      <c r="C205" s="362" t="s">
        <v>9380</v>
      </c>
      <c r="D205" s="362" t="s">
        <v>9381</v>
      </c>
      <c r="E205" s="362" t="s">
        <v>9382</v>
      </c>
      <c r="F205" s="362" t="s">
        <v>6690</v>
      </c>
      <c r="G205" s="362" t="s">
        <v>9383</v>
      </c>
      <c r="H205" s="363">
        <v>2007</v>
      </c>
      <c r="I205" s="378">
        <v>39303</v>
      </c>
      <c r="J205" s="365"/>
      <c r="K205" s="365"/>
      <c r="L205" s="362" t="s">
        <v>9384</v>
      </c>
    </row>
    <row r="206" spans="1:12">
      <c r="A206" s="363">
        <f>VLOOKUP(B206, 'PubMed 4.14.21 Results'!B:B, 1, FALSE)</f>
        <v>18039501</v>
      </c>
      <c r="B206" s="363">
        <v>18039501</v>
      </c>
      <c r="C206" s="362" t="s">
        <v>9385</v>
      </c>
      <c r="D206" s="362" t="s">
        <v>9386</v>
      </c>
      <c r="E206" s="362" t="s">
        <v>9387</v>
      </c>
      <c r="F206" s="362" t="s">
        <v>6870</v>
      </c>
      <c r="G206" s="362" t="s">
        <v>9388</v>
      </c>
      <c r="H206" s="363">
        <v>2007</v>
      </c>
      <c r="I206" s="378">
        <v>39422</v>
      </c>
      <c r="J206" s="365"/>
      <c r="K206" s="365"/>
      <c r="L206" s="362" t="s">
        <v>9389</v>
      </c>
    </row>
    <row r="207" spans="1:12">
      <c r="A207" s="363">
        <f>VLOOKUP(B207, 'PubMed 4.14.21 Results'!B:B, 1, FALSE)</f>
        <v>17154160</v>
      </c>
      <c r="B207" s="363">
        <v>17154160</v>
      </c>
      <c r="C207" s="362" t="s">
        <v>9390</v>
      </c>
      <c r="D207" s="362" t="s">
        <v>9391</v>
      </c>
      <c r="E207" s="362" t="s">
        <v>9392</v>
      </c>
      <c r="F207" s="362" t="s">
        <v>7609</v>
      </c>
      <c r="G207" s="362" t="s">
        <v>9393</v>
      </c>
      <c r="H207" s="363">
        <v>2007</v>
      </c>
      <c r="I207" s="378">
        <v>39064</v>
      </c>
      <c r="J207" s="365"/>
      <c r="K207" s="365"/>
      <c r="L207" s="362" t="s">
        <v>9394</v>
      </c>
    </row>
    <row r="208" spans="1:12">
      <c r="A208" s="363">
        <f>VLOOKUP(B208, 'PubMed 4.14.21 Results'!B:B, 1, FALSE)</f>
        <v>17261831</v>
      </c>
      <c r="B208" s="363">
        <v>17261831</v>
      </c>
      <c r="C208" s="362" t="s">
        <v>9395</v>
      </c>
      <c r="D208" s="362" t="s">
        <v>9396</v>
      </c>
      <c r="E208" s="362" t="s">
        <v>9397</v>
      </c>
      <c r="F208" s="362" t="s">
        <v>7810</v>
      </c>
      <c r="G208" s="362" t="s">
        <v>9398</v>
      </c>
      <c r="H208" s="363">
        <v>2007</v>
      </c>
      <c r="I208" s="378">
        <v>39113</v>
      </c>
      <c r="J208" s="434" t="s">
        <v>7811</v>
      </c>
      <c r="K208" s="425"/>
      <c r="L208" s="362" t="s">
        <v>9399</v>
      </c>
    </row>
    <row r="209" spans="1:12">
      <c r="A209" s="363">
        <f>VLOOKUP(B209, 'PubMed 4.14.21 Results'!B:B, 1, FALSE)</f>
        <v>16949180</v>
      </c>
      <c r="B209" s="363">
        <v>16949180</v>
      </c>
      <c r="C209" s="362" t="s">
        <v>9400</v>
      </c>
      <c r="D209" s="362" t="s">
        <v>9401</v>
      </c>
      <c r="E209" s="362" t="s">
        <v>9402</v>
      </c>
      <c r="F209" s="362" t="s">
        <v>6657</v>
      </c>
      <c r="G209" s="362" t="s">
        <v>9403</v>
      </c>
      <c r="H209" s="363">
        <v>2007</v>
      </c>
      <c r="I209" s="378">
        <v>38965</v>
      </c>
      <c r="J209" s="365"/>
      <c r="K209" s="365"/>
      <c r="L209" s="362" t="s">
        <v>9404</v>
      </c>
    </row>
    <row r="210" spans="1:12">
      <c r="A210" s="363">
        <f>VLOOKUP(B210, 'PubMed 4.14.21 Results'!B:B, 1, FALSE)</f>
        <v>17237928</v>
      </c>
      <c r="B210" s="363">
        <v>17237928</v>
      </c>
      <c r="C210" s="362" t="s">
        <v>9405</v>
      </c>
      <c r="D210" s="362" t="s">
        <v>9406</v>
      </c>
      <c r="E210" s="362" t="s">
        <v>9407</v>
      </c>
      <c r="F210" s="362" t="s">
        <v>7160</v>
      </c>
      <c r="G210" s="362" t="s">
        <v>9408</v>
      </c>
      <c r="H210" s="363">
        <v>2007</v>
      </c>
      <c r="I210" s="378">
        <v>39106</v>
      </c>
      <c r="J210" s="365"/>
      <c r="K210" s="365"/>
      <c r="L210" s="362" t="s">
        <v>9409</v>
      </c>
    </row>
    <row r="211" spans="1:12">
      <c r="A211" s="363">
        <f>VLOOKUP(B211, 'PubMed 4.14.21 Results'!B:B, 1, FALSE)</f>
        <v>17300401</v>
      </c>
      <c r="B211" s="363">
        <v>17300401</v>
      </c>
      <c r="C211" s="362" t="s">
        <v>9410</v>
      </c>
      <c r="D211" s="362" t="s">
        <v>9411</v>
      </c>
      <c r="E211" s="362" t="s">
        <v>9412</v>
      </c>
      <c r="F211" s="362" t="s">
        <v>7354</v>
      </c>
      <c r="G211" s="362" t="s">
        <v>9227</v>
      </c>
      <c r="H211" s="363">
        <v>2007</v>
      </c>
      <c r="I211" s="378">
        <v>39129</v>
      </c>
      <c r="J211" s="365"/>
      <c r="K211" s="365"/>
      <c r="L211" s="362" t="s">
        <v>9413</v>
      </c>
    </row>
    <row r="212" spans="1:12">
      <c r="A212" s="363">
        <f>VLOOKUP(B212, 'PubMed 4.14.21 Results'!B:B, 1, FALSE)</f>
        <v>17335319</v>
      </c>
      <c r="B212" s="363">
        <v>17335319</v>
      </c>
      <c r="C212" s="362" t="s">
        <v>9414</v>
      </c>
      <c r="D212" s="362" t="s">
        <v>9415</v>
      </c>
      <c r="E212" s="362" t="s">
        <v>9416</v>
      </c>
      <c r="F212" s="362" t="s">
        <v>7148</v>
      </c>
      <c r="G212" s="362" t="s">
        <v>8852</v>
      </c>
      <c r="H212" s="363">
        <v>2007</v>
      </c>
      <c r="I212" s="378">
        <v>39147</v>
      </c>
      <c r="J212" s="365"/>
      <c r="K212" s="365"/>
      <c r="L212" s="365"/>
    </row>
    <row r="213" spans="1:12">
      <c r="A213" s="363">
        <f>VLOOKUP(B213, 'PubMed 4.14.21 Results'!B:B, 1, FALSE)</f>
        <v>17350452</v>
      </c>
      <c r="B213" s="363">
        <v>17350452</v>
      </c>
      <c r="C213" s="362" t="s">
        <v>9417</v>
      </c>
      <c r="D213" s="362" t="s">
        <v>9418</v>
      </c>
      <c r="E213" s="362" t="s">
        <v>9419</v>
      </c>
      <c r="F213" s="362" t="s">
        <v>7491</v>
      </c>
      <c r="G213" s="362" t="s">
        <v>9420</v>
      </c>
      <c r="H213" s="363">
        <v>2007</v>
      </c>
      <c r="I213" s="378">
        <v>39155</v>
      </c>
      <c r="J213" s="365"/>
      <c r="K213" s="365"/>
      <c r="L213" s="362" t="s">
        <v>9421</v>
      </c>
    </row>
    <row r="214" spans="1:12">
      <c r="A214" s="363">
        <f>VLOOKUP(B214, 'PubMed 4.14.21 Results'!B:B, 1, FALSE)</f>
        <v>17391217</v>
      </c>
      <c r="B214" s="363">
        <v>17391217</v>
      </c>
      <c r="C214" s="362" t="s">
        <v>9422</v>
      </c>
      <c r="D214" s="362" t="s">
        <v>9423</v>
      </c>
      <c r="E214" s="362" t="s">
        <v>9424</v>
      </c>
      <c r="F214" s="362" t="s">
        <v>7181</v>
      </c>
      <c r="G214" s="362" t="s">
        <v>9227</v>
      </c>
      <c r="H214" s="363">
        <v>2007</v>
      </c>
      <c r="I214" s="378">
        <v>39171</v>
      </c>
      <c r="J214" s="365"/>
      <c r="K214" s="365"/>
      <c r="L214" s="362" t="s">
        <v>9425</v>
      </c>
    </row>
    <row r="215" spans="1:12">
      <c r="A215" s="363">
        <f>VLOOKUP(B215, 'PubMed 4.14.21 Results'!B:B, 1, FALSE)</f>
        <v>17441794</v>
      </c>
      <c r="B215" s="363">
        <v>17441794</v>
      </c>
      <c r="C215" s="362" t="s">
        <v>9426</v>
      </c>
      <c r="D215" s="362" t="s">
        <v>9427</v>
      </c>
      <c r="E215" s="362" t="s">
        <v>9428</v>
      </c>
      <c r="F215" s="362" t="s">
        <v>6942</v>
      </c>
      <c r="G215" s="362" t="s">
        <v>8485</v>
      </c>
      <c r="H215" s="363">
        <v>2007</v>
      </c>
      <c r="I215" s="378">
        <v>39192</v>
      </c>
      <c r="J215" s="365"/>
      <c r="K215" s="365"/>
      <c r="L215" s="362" t="s">
        <v>9429</v>
      </c>
    </row>
    <row r="216" spans="1:12">
      <c r="A216" s="363">
        <f>VLOOKUP(B216, 'PubMed 4.14.21 Results'!B:B, 1, FALSE)</f>
        <v>17503974</v>
      </c>
      <c r="B216" s="363">
        <v>17503974</v>
      </c>
      <c r="C216" s="362" t="s">
        <v>9430</v>
      </c>
      <c r="D216" s="362" t="s">
        <v>9431</v>
      </c>
      <c r="E216" s="362" t="s">
        <v>9432</v>
      </c>
      <c r="F216" s="362" t="s">
        <v>7353</v>
      </c>
      <c r="G216" s="362" t="s">
        <v>8852</v>
      </c>
      <c r="H216" s="363">
        <v>2007</v>
      </c>
      <c r="I216" s="378">
        <v>39219</v>
      </c>
      <c r="J216" s="365"/>
      <c r="K216" s="365"/>
      <c r="L216" s="362" t="s">
        <v>9433</v>
      </c>
    </row>
    <row r="217" spans="1:12">
      <c r="A217" s="363">
        <f>VLOOKUP(B217, 'PubMed 4.14.21 Results'!B:B, 1, FALSE)</f>
        <v>17509128</v>
      </c>
      <c r="B217" s="363">
        <v>17509128</v>
      </c>
      <c r="C217" s="362" t="s">
        <v>9434</v>
      </c>
      <c r="D217" s="362" t="s">
        <v>9435</v>
      </c>
      <c r="E217" s="362" t="s">
        <v>9436</v>
      </c>
      <c r="F217" s="362" t="s">
        <v>7673</v>
      </c>
      <c r="G217" s="362" t="s">
        <v>9437</v>
      </c>
      <c r="H217" s="363">
        <v>2007</v>
      </c>
      <c r="I217" s="378">
        <v>39221</v>
      </c>
      <c r="J217" s="434" t="s">
        <v>7674</v>
      </c>
      <c r="K217" s="425"/>
      <c r="L217" s="362" t="s">
        <v>9438</v>
      </c>
    </row>
    <row r="218" spans="1:12">
      <c r="A218" s="363">
        <f>VLOOKUP(B218, 'PubMed 4.14.21 Results'!B:B, 1, FALSE)</f>
        <v>17368522</v>
      </c>
      <c r="B218" s="363">
        <v>17368522</v>
      </c>
      <c r="C218" s="362" t="s">
        <v>9439</v>
      </c>
      <c r="D218" s="362" t="s">
        <v>9440</v>
      </c>
      <c r="E218" s="362" t="s">
        <v>9441</v>
      </c>
      <c r="F218" s="362" t="s">
        <v>6896</v>
      </c>
      <c r="G218" s="362" t="s">
        <v>9442</v>
      </c>
      <c r="H218" s="363">
        <v>2007</v>
      </c>
      <c r="I218" s="378">
        <v>39162</v>
      </c>
      <c r="J218" s="365"/>
      <c r="K218" s="365"/>
      <c r="L218" s="362" t="s">
        <v>9443</v>
      </c>
    </row>
    <row r="219" spans="1:12">
      <c r="A219" s="363">
        <f>VLOOKUP(B219, 'PubMed 4.14.21 Results'!B:B, 1, FALSE)</f>
        <v>17559743</v>
      </c>
      <c r="B219" s="363">
        <v>17559743</v>
      </c>
      <c r="C219" s="362" t="s">
        <v>9444</v>
      </c>
      <c r="D219" s="362" t="s">
        <v>9445</v>
      </c>
      <c r="E219" s="362" t="s">
        <v>9446</v>
      </c>
      <c r="F219" s="362" t="s">
        <v>7331</v>
      </c>
      <c r="G219" s="362" t="s">
        <v>8762</v>
      </c>
      <c r="H219" s="363">
        <v>2007</v>
      </c>
      <c r="I219" s="378">
        <v>39248</v>
      </c>
      <c r="J219" s="365"/>
      <c r="K219" s="365"/>
      <c r="L219" s="362" t="s">
        <v>9447</v>
      </c>
    </row>
    <row r="220" spans="1:12">
      <c r="A220" s="363">
        <f>VLOOKUP(B220, 'PubMed 4.14.21 Results'!B:B, 1, FALSE)</f>
        <v>17483254</v>
      </c>
      <c r="B220" s="363">
        <v>17483254</v>
      </c>
      <c r="C220" s="362" t="s">
        <v>9448</v>
      </c>
      <c r="D220" s="362" t="s">
        <v>9449</v>
      </c>
      <c r="E220" s="362" t="s">
        <v>9450</v>
      </c>
      <c r="F220" s="362" t="s">
        <v>6819</v>
      </c>
      <c r="G220" s="362" t="s">
        <v>9451</v>
      </c>
      <c r="H220" s="363">
        <v>2007</v>
      </c>
      <c r="I220" s="378">
        <v>39210</v>
      </c>
      <c r="J220" s="434" t="s">
        <v>6820</v>
      </c>
      <c r="K220" s="425"/>
      <c r="L220" s="362" t="s">
        <v>9452</v>
      </c>
    </row>
    <row r="221" spans="1:12">
      <c r="A221" s="363">
        <f>VLOOKUP(B221, 'PubMed 4.14.21 Results'!B:B, 1, FALSE)</f>
        <v>17517850</v>
      </c>
      <c r="B221" s="363">
        <v>17517850</v>
      </c>
      <c r="C221" s="362" t="s">
        <v>9453</v>
      </c>
      <c r="D221" s="362" t="s">
        <v>9454</v>
      </c>
      <c r="E221" s="362" t="s">
        <v>9455</v>
      </c>
      <c r="F221" s="362" t="s">
        <v>6648</v>
      </c>
      <c r="G221" s="362" t="s">
        <v>8675</v>
      </c>
      <c r="H221" s="363">
        <v>2007</v>
      </c>
      <c r="I221" s="378">
        <v>39225</v>
      </c>
      <c r="J221" s="434" t="s">
        <v>6649</v>
      </c>
      <c r="K221" s="425"/>
      <c r="L221" s="362" t="s">
        <v>9456</v>
      </c>
    </row>
    <row r="222" spans="1:12">
      <c r="A222" s="363">
        <f>VLOOKUP(B222, 'PubMed 4.14.21 Results'!B:B, 1, FALSE)</f>
        <v>17692427</v>
      </c>
      <c r="B222" s="363">
        <v>17692427</v>
      </c>
      <c r="C222" s="362" t="s">
        <v>9457</v>
      </c>
      <c r="D222" s="362" t="s">
        <v>9458</v>
      </c>
      <c r="E222" s="362" t="s">
        <v>9459</v>
      </c>
      <c r="F222" s="362" t="s">
        <v>7262</v>
      </c>
      <c r="G222" s="362" t="s">
        <v>9460</v>
      </c>
      <c r="H222" s="363">
        <v>2007</v>
      </c>
      <c r="I222" s="378">
        <v>39313</v>
      </c>
      <c r="J222" s="365"/>
      <c r="K222" s="365"/>
      <c r="L222" s="362" t="s">
        <v>9461</v>
      </c>
    </row>
    <row r="223" spans="1:12">
      <c r="A223" s="363">
        <f>VLOOKUP(B223, 'PubMed 4.14.21 Results'!B:B, 1, FALSE)</f>
        <v>17257877</v>
      </c>
      <c r="B223" s="363">
        <v>17257877</v>
      </c>
      <c r="C223" s="362" t="s">
        <v>9462</v>
      </c>
      <c r="D223" s="362" t="s">
        <v>9463</v>
      </c>
      <c r="E223" s="362" t="s">
        <v>9464</v>
      </c>
      <c r="F223" s="362" t="s">
        <v>6521</v>
      </c>
      <c r="G223" s="362" t="s">
        <v>9465</v>
      </c>
      <c r="H223" s="363">
        <v>2007</v>
      </c>
      <c r="I223" s="378">
        <v>39112</v>
      </c>
      <c r="J223" s="365"/>
      <c r="K223" s="365"/>
      <c r="L223" s="362" t="s">
        <v>9466</v>
      </c>
    </row>
    <row r="224" spans="1:12">
      <c r="A224" s="363">
        <f>VLOOKUP(B224, 'PubMed 4.14.21 Results'!B:B, 1, FALSE)</f>
        <v>17803871</v>
      </c>
      <c r="B224" s="363">
        <v>17803871</v>
      </c>
      <c r="C224" s="362" t="s">
        <v>9467</v>
      </c>
      <c r="D224" s="362" t="s">
        <v>9468</v>
      </c>
      <c r="E224" s="362" t="s">
        <v>9469</v>
      </c>
      <c r="F224" s="362" t="s">
        <v>6986</v>
      </c>
      <c r="G224" s="362" t="s">
        <v>9470</v>
      </c>
      <c r="H224" s="363">
        <v>2007</v>
      </c>
      <c r="I224" s="378">
        <v>39332</v>
      </c>
      <c r="J224" s="365"/>
      <c r="K224" s="365"/>
      <c r="L224" s="362" t="s">
        <v>9471</v>
      </c>
    </row>
    <row r="225" spans="1:12">
      <c r="A225" s="363">
        <f>VLOOKUP(B225, 'PubMed 4.14.21 Results'!B:B, 1, FALSE)</f>
        <v>18035190</v>
      </c>
      <c r="B225" s="363">
        <v>18035190</v>
      </c>
      <c r="C225" s="362" t="s">
        <v>9472</v>
      </c>
      <c r="D225" s="362" t="s">
        <v>9473</v>
      </c>
      <c r="E225" s="362" t="s">
        <v>9474</v>
      </c>
      <c r="F225" s="362" t="s">
        <v>6734</v>
      </c>
      <c r="G225" s="362" t="s">
        <v>8640</v>
      </c>
      <c r="H225" s="363">
        <v>2007</v>
      </c>
      <c r="I225" s="378">
        <v>39410</v>
      </c>
      <c r="J225" s="365"/>
      <c r="K225" s="365"/>
      <c r="L225" s="362" t="s">
        <v>9475</v>
      </c>
    </row>
    <row r="226" spans="1:12">
      <c r="A226" s="363">
        <f>VLOOKUP(B226, 'PubMed 4.14.21 Results'!B:B, 1, FALSE)</f>
        <v>17666472</v>
      </c>
      <c r="B226" s="363">
        <v>17666472</v>
      </c>
      <c r="C226" s="362" t="s">
        <v>9476</v>
      </c>
      <c r="D226" s="362" t="s">
        <v>9477</v>
      </c>
      <c r="E226" s="362" t="s">
        <v>9478</v>
      </c>
      <c r="F226" s="362" t="s">
        <v>7827</v>
      </c>
      <c r="G226" s="362" t="s">
        <v>8787</v>
      </c>
      <c r="H226" s="363">
        <v>2007</v>
      </c>
      <c r="I226" s="378">
        <v>39296</v>
      </c>
      <c r="J226" s="365"/>
      <c r="K226" s="365"/>
      <c r="L226" s="362" t="s">
        <v>9479</v>
      </c>
    </row>
    <row r="227" spans="1:12">
      <c r="A227" s="363">
        <f>VLOOKUP(B227, 'PubMed 4.14.21 Results'!B:B, 1, FALSE)</f>
        <v>17921712</v>
      </c>
      <c r="B227" s="363">
        <v>17921712</v>
      </c>
      <c r="C227" s="362" t="s">
        <v>9480</v>
      </c>
      <c r="D227" s="362" t="s">
        <v>9481</v>
      </c>
      <c r="E227" s="362" t="s">
        <v>9482</v>
      </c>
      <c r="F227" s="362" t="s">
        <v>7123</v>
      </c>
      <c r="G227" s="362" t="s">
        <v>9483</v>
      </c>
      <c r="H227" s="363">
        <v>2007</v>
      </c>
      <c r="I227" s="378">
        <v>39364</v>
      </c>
      <c r="J227" s="365"/>
      <c r="K227" s="365"/>
      <c r="L227" s="362" t="s">
        <v>9484</v>
      </c>
    </row>
    <row r="228" spans="1:12">
      <c r="A228" s="363">
        <f>VLOOKUP(B228, 'PubMed 4.14.21 Results'!B:B, 1, FALSE)</f>
        <v>19124346</v>
      </c>
      <c r="B228" s="363">
        <v>19124346</v>
      </c>
      <c r="C228" s="362" t="s">
        <v>9485</v>
      </c>
      <c r="D228" s="362" t="s">
        <v>9486</v>
      </c>
      <c r="E228" s="362" t="s">
        <v>9487</v>
      </c>
      <c r="F228" s="362" t="s">
        <v>6631</v>
      </c>
      <c r="G228" s="362" t="s">
        <v>9488</v>
      </c>
      <c r="H228" s="363">
        <v>2007</v>
      </c>
      <c r="I228" s="378">
        <v>39820</v>
      </c>
      <c r="J228" s="365"/>
      <c r="K228" s="365"/>
      <c r="L228" s="362" t="s">
        <v>9489</v>
      </c>
    </row>
    <row r="229" spans="1:12">
      <c r="A229" s="363">
        <f>VLOOKUP(B229, 'PubMed 4.14.21 Results'!B:B, 1, FALSE)</f>
        <v>17943918</v>
      </c>
      <c r="B229" s="363">
        <v>17943918</v>
      </c>
      <c r="C229" s="362" t="s">
        <v>9490</v>
      </c>
      <c r="D229" s="362" t="s">
        <v>9491</v>
      </c>
      <c r="E229" s="362" t="s">
        <v>9492</v>
      </c>
      <c r="F229" s="362" t="s">
        <v>7502</v>
      </c>
      <c r="G229" s="362" t="s">
        <v>8857</v>
      </c>
      <c r="H229" s="363">
        <v>2007</v>
      </c>
      <c r="I229" s="378">
        <v>39374</v>
      </c>
      <c r="J229" s="365"/>
      <c r="K229" s="365"/>
      <c r="L229" s="362" t="s">
        <v>9493</v>
      </c>
    </row>
    <row r="230" spans="1:12">
      <c r="A230" s="363">
        <f>VLOOKUP(B230, 'PubMed 4.14.21 Results'!B:B, 1, FALSE)</f>
        <v>17940977</v>
      </c>
      <c r="B230" s="363">
        <v>17940977</v>
      </c>
      <c r="C230" s="362" t="s">
        <v>9494</v>
      </c>
      <c r="D230" s="362" t="s">
        <v>9495</v>
      </c>
      <c r="E230" s="362" t="s">
        <v>9496</v>
      </c>
      <c r="F230" s="362" t="s">
        <v>7140</v>
      </c>
      <c r="G230" s="362" t="s">
        <v>9497</v>
      </c>
      <c r="H230" s="363">
        <v>2007</v>
      </c>
      <c r="I230" s="378">
        <v>39422</v>
      </c>
      <c r="J230" s="365"/>
      <c r="K230" s="365"/>
      <c r="L230" s="362" t="s">
        <v>9498</v>
      </c>
    </row>
    <row r="231" spans="1:12">
      <c r="A231" s="363">
        <f>VLOOKUP(B231, 'PubMed 4.14.21 Results'!B:B, 1, FALSE)</f>
        <v>17872493</v>
      </c>
      <c r="B231" s="363">
        <v>17872493</v>
      </c>
      <c r="C231" s="362" t="s">
        <v>9499</v>
      </c>
      <c r="D231" s="362" t="s">
        <v>9500</v>
      </c>
      <c r="E231" s="362" t="s">
        <v>9501</v>
      </c>
      <c r="F231" s="362" t="s">
        <v>6866</v>
      </c>
      <c r="G231" s="362" t="s">
        <v>8524</v>
      </c>
      <c r="H231" s="363">
        <v>2007</v>
      </c>
      <c r="I231" s="378">
        <v>39343</v>
      </c>
      <c r="J231" s="365"/>
      <c r="K231" s="365"/>
      <c r="L231" s="362" t="s">
        <v>9502</v>
      </c>
    </row>
    <row r="232" spans="1:12">
      <c r="A232" s="363">
        <f>VLOOKUP(B232, 'PubMed 4.14.21 Results'!B:B, 1, FALSE)</f>
        <v>18073386</v>
      </c>
      <c r="B232" s="363">
        <v>18073386</v>
      </c>
      <c r="C232" s="362" t="s">
        <v>9503</v>
      </c>
      <c r="D232" s="362" t="s">
        <v>9504</v>
      </c>
      <c r="E232" s="362" t="s">
        <v>9505</v>
      </c>
      <c r="F232" s="362" t="s">
        <v>7671</v>
      </c>
      <c r="G232" s="362" t="s">
        <v>9506</v>
      </c>
      <c r="H232" s="363">
        <v>2007</v>
      </c>
      <c r="I232" s="378">
        <v>39429</v>
      </c>
      <c r="J232" s="365"/>
      <c r="K232" s="365"/>
      <c r="L232" s="362" t="s">
        <v>9507</v>
      </c>
    </row>
    <row r="233" spans="1:12">
      <c r="A233" s="363">
        <f>VLOOKUP(B233, 'PubMed 4.14.21 Results'!B:B, 1, FALSE)</f>
        <v>17919763</v>
      </c>
      <c r="B233" s="363">
        <v>17919763</v>
      </c>
      <c r="C233" s="362" t="s">
        <v>9508</v>
      </c>
      <c r="D233" s="362" t="s">
        <v>9509</v>
      </c>
      <c r="E233" s="362" t="s">
        <v>9510</v>
      </c>
      <c r="F233" s="362" t="s">
        <v>7166</v>
      </c>
      <c r="G233" s="362" t="s">
        <v>9511</v>
      </c>
      <c r="H233" s="363">
        <v>2008</v>
      </c>
      <c r="I233" s="378">
        <v>39364</v>
      </c>
      <c r="J233" s="365"/>
      <c r="K233" s="365"/>
      <c r="L233" s="362" t="s">
        <v>9512</v>
      </c>
    </row>
    <row r="234" spans="1:12">
      <c r="A234" s="363">
        <f>VLOOKUP(B234, 'PubMed 4.14.21 Results'!B:B, 1, FALSE)</f>
        <v>18053020</v>
      </c>
      <c r="B234" s="363">
        <v>18053020</v>
      </c>
      <c r="C234" s="362" t="s">
        <v>9513</v>
      </c>
      <c r="D234" s="362" t="s">
        <v>9514</v>
      </c>
      <c r="E234" s="362" t="s">
        <v>9515</v>
      </c>
      <c r="F234" s="362" t="s">
        <v>6877</v>
      </c>
      <c r="G234" s="362" t="s">
        <v>8485</v>
      </c>
      <c r="H234" s="363">
        <v>2008</v>
      </c>
      <c r="I234" s="378">
        <v>39423</v>
      </c>
      <c r="J234" s="365"/>
      <c r="K234" s="365"/>
      <c r="L234" s="362" t="s">
        <v>9516</v>
      </c>
    </row>
    <row r="235" spans="1:12">
      <c r="A235" s="363">
        <f>VLOOKUP(B235, 'PubMed 4.14.21 Results'!B:B, 1, FALSE)</f>
        <v>18273724</v>
      </c>
      <c r="B235" s="363">
        <v>18273724</v>
      </c>
      <c r="C235" s="362" t="s">
        <v>9517</v>
      </c>
      <c r="D235" s="362" t="s">
        <v>9518</v>
      </c>
      <c r="E235" s="362" t="s">
        <v>9519</v>
      </c>
      <c r="F235" s="362" t="s">
        <v>7252</v>
      </c>
      <c r="G235" s="362" t="s">
        <v>8986</v>
      </c>
      <c r="H235" s="363">
        <v>2008</v>
      </c>
      <c r="I235" s="378">
        <v>39493</v>
      </c>
      <c r="J235" s="365"/>
      <c r="K235" s="365"/>
      <c r="L235" s="362" t="s">
        <v>9520</v>
      </c>
    </row>
    <row r="236" spans="1:12">
      <c r="A236" s="363">
        <f>VLOOKUP(B236, 'PubMed 4.14.21 Results'!B:B, 1, FALSE)</f>
        <v>18698879</v>
      </c>
      <c r="B236" s="363">
        <v>18698879</v>
      </c>
      <c r="C236" s="362" t="s">
        <v>9521</v>
      </c>
      <c r="D236" s="362" t="s">
        <v>9522</v>
      </c>
      <c r="E236" s="362" t="s">
        <v>9523</v>
      </c>
      <c r="F236" s="362" t="s">
        <v>7861</v>
      </c>
      <c r="G236" s="362" t="s">
        <v>9524</v>
      </c>
      <c r="H236" s="363">
        <v>2008</v>
      </c>
      <c r="I236" s="378">
        <v>39674</v>
      </c>
      <c r="J236" s="365"/>
      <c r="K236" s="365"/>
      <c r="L236" s="362" t="s">
        <v>9525</v>
      </c>
    </row>
    <row r="237" spans="1:12">
      <c r="A237" s="363">
        <f>VLOOKUP(B237, 'PubMed 4.14.21 Results'!B:B, 1, FALSE)</f>
        <v>18729535</v>
      </c>
      <c r="B237" s="363">
        <v>18729535</v>
      </c>
      <c r="C237" s="362" t="s">
        <v>9526</v>
      </c>
      <c r="D237" s="362" t="s">
        <v>9527</v>
      </c>
      <c r="E237" s="362" t="s">
        <v>9528</v>
      </c>
      <c r="F237" s="362" t="s">
        <v>6771</v>
      </c>
      <c r="G237" s="362" t="s">
        <v>8509</v>
      </c>
      <c r="H237" s="363">
        <v>2008</v>
      </c>
      <c r="I237" s="378">
        <v>39690</v>
      </c>
      <c r="J237" s="365"/>
      <c r="K237" s="365"/>
      <c r="L237" s="362" t="s">
        <v>9529</v>
      </c>
    </row>
    <row r="238" spans="1:12">
      <c r="A238" s="363">
        <f>VLOOKUP(B238, 'PubMed 4.14.21 Results'!B:B, 1, FALSE)</f>
        <v>18771056</v>
      </c>
      <c r="B238" s="363">
        <v>18771056</v>
      </c>
      <c r="C238" s="362" t="s">
        <v>9530</v>
      </c>
      <c r="D238" s="362" t="s">
        <v>9531</v>
      </c>
      <c r="E238" s="362" t="s">
        <v>9532</v>
      </c>
      <c r="F238" s="362" t="s">
        <v>6976</v>
      </c>
      <c r="G238" s="362" t="s">
        <v>9533</v>
      </c>
      <c r="H238" s="363">
        <v>2008</v>
      </c>
      <c r="I238" s="378">
        <v>39697</v>
      </c>
      <c r="J238" s="365"/>
      <c r="K238" s="365"/>
      <c r="L238" s="365"/>
    </row>
    <row r="239" spans="1:12">
      <c r="A239" s="363">
        <f>VLOOKUP(B239, 'PubMed 4.14.21 Results'!B:B, 1, FALSE)</f>
        <v>18778110</v>
      </c>
      <c r="B239" s="363">
        <v>18778110</v>
      </c>
      <c r="C239" s="362" t="s">
        <v>9534</v>
      </c>
      <c r="D239" s="362" t="s">
        <v>9535</v>
      </c>
      <c r="E239" s="362" t="s">
        <v>9536</v>
      </c>
      <c r="F239" s="362" t="s">
        <v>6617</v>
      </c>
      <c r="G239" s="362" t="s">
        <v>9537</v>
      </c>
      <c r="H239" s="363">
        <v>2008</v>
      </c>
      <c r="I239" s="378">
        <v>39701</v>
      </c>
      <c r="J239" s="365"/>
      <c r="K239" s="365"/>
      <c r="L239" s="362" t="s">
        <v>9538</v>
      </c>
    </row>
    <row r="240" spans="1:12">
      <c r="A240" s="363">
        <f>VLOOKUP(B240, 'PubMed 4.14.21 Results'!B:B, 1, FALSE)</f>
        <v>19034219</v>
      </c>
      <c r="B240" s="363">
        <v>19034219</v>
      </c>
      <c r="C240" s="362" t="s">
        <v>9539</v>
      </c>
      <c r="D240" s="362" t="s">
        <v>9540</v>
      </c>
      <c r="E240" s="362" t="s">
        <v>9541</v>
      </c>
      <c r="F240" s="362" t="s">
        <v>7187</v>
      </c>
      <c r="G240" s="362" t="s">
        <v>9542</v>
      </c>
      <c r="H240" s="363">
        <v>2008</v>
      </c>
      <c r="I240" s="378">
        <v>39779</v>
      </c>
      <c r="J240" s="365"/>
      <c r="K240" s="365"/>
      <c r="L240" s="365"/>
    </row>
    <row r="241" spans="1:12">
      <c r="A241" s="363">
        <f>VLOOKUP(B241, 'PubMed 4.14.21 Results'!B:B, 1, FALSE)</f>
        <v>19137906</v>
      </c>
      <c r="B241" s="363">
        <v>19137906</v>
      </c>
      <c r="C241" s="362" t="s">
        <v>9543</v>
      </c>
      <c r="D241" s="362" t="s">
        <v>9544</v>
      </c>
      <c r="E241" s="362" t="s">
        <v>9545</v>
      </c>
      <c r="F241" s="362" t="s">
        <v>6745</v>
      </c>
      <c r="G241" s="362" t="s">
        <v>9546</v>
      </c>
      <c r="H241" s="363">
        <v>2008</v>
      </c>
      <c r="I241" s="378">
        <v>39827</v>
      </c>
      <c r="J241" s="365"/>
      <c r="K241" s="365"/>
      <c r="L241" s="362" t="s">
        <v>9547</v>
      </c>
    </row>
    <row r="242" spans="1:12">
      <c r="A242" s="363">
        <f>VLOOKUP(B242, 'PubMed 4.14.21 Results'!B:B, 1, FALSE)</f>
        <v>18254003</v>
      </c>
      <c r="B242" s="363">
        <v>18254003</v>
      </c>
      <c r="C242" s="362" t="s">
        <v>9548</v>
      </c>
      <c r="D242" s="362" t="s">
        <v>9549</v>
      </c>
      <c r="E242" s="362" t="s">
        <v>9550</v>
      </c>
      <c r="F242" s="362" t="s">
        <v>7634</v>
      </c>
      <c r="G242" s="362" t="s">
        <v>8857</v>
      </c>
      <c r="H242" s="363">
        <v>2008</v>
      </c>
      <c r="I242" s="378">
        <v>39485</v>
      </c>
      <c r="J242" s="365"/>
      <c r="K242" s="365"/>
      <c r="L242" s="362" t="s">
        <v>9551</v>
      </c>
    </row>
    <row r="243" spans="1:12">
      <c r="A243" s="363">
        <f>VLOOKUP(B243, 'PubMed 4.14.21 Results'!B:B, 1, FALSE)</f>
        <v>18308908</v>
      </c>
      <c r="B243" s="363">
        <v>18308908</v>
      </c>
      <c r="C243" s="362" t="s">
        <v>9552</v>
      </c>
      <c r="D243" s="362" t="s">
        <v>9553</v>
      </c>
      <c r="E243" s="362" t="s">
        <v>9554</v>
      </c>
      <c r="F243" s="362" t="s">
        <v>6704</v>
      </c>
      <c r="G243" s="362" t="s">
        <v>9555</v>
      </c>
      <c r="H243" s="363">
        <v>2008</v>
      </c>
      <c r="I243" s="378">
        <v>39508</v>
      </c>
      <c r="J243" s="365"/>
      <c r="K243" s="365"/>
      <c r="L243" s="362" t="s">
        <v>9556</v>
      </c>
    </row>
    <row r="244" spans="1:12">
      <c r="A244" s="363">
        <f>VLOOKUP(B244, 'PubMed 4.14.21 Results'!B:B, 1, FALSE)</f>
        <v>18479659</v>
      </c>
      <c r="B244" s="363">
        <v>18479659</v>
      </c>
      <c r="C244" s="362" t="s">
        <v>9557</v>
      </c>
      <c r="D244" s="362" t="s">
        <v>9558</v>
      </c>
      <c r="E244" s="362" t="s">
        <v>9559</v>
      </c>
      <c r="F244" s="362" t="s">
        <v>6717</v>
      </c>
      <c r="G244" s="362" t="s">
        <v>9560</v>
      </c>
      <c r="H244" s="363">
        <v>2008</v>
      </c>
      <c r="I244" s="378">
        <v>39584</v>
      </c>
      <c r="J244" s="365"/>
      <c r="K244" s="365"/>
      <c r="L244" s="362" t="s">
        <v>9561</v>
      </c>
    </row>
    <row r="245" spans="1:12">
      <c r="A245" s="363">
        <f>VLOOKUP(B245, 'PubMed 4.14.21 Results'!B:B, 1, FALSE)</f>
        <v>17928580</v>
      </c>
      <c r="B245" s="363">
        <v>17928580</v>
      </c>
      <c r="C245" s="362" t="s">
        <v>9562</v>
      </c>
      <c r="D245" s="362" t="s">
        <v>9563</v>
      </c>
      <c r="E245" s="362" t="s">
        <v>9564</v>
      </c>
      <c r="F245" s="362" t="s">
        <v>6840</v>
      </c>
      <c r="G245" s="362" t="s">
        <v>8529</v>
      </c>
      <c r="H245" s="363">
        <v>2008</v>
      </c>
      <c r="I245" s="378">
        <v>39367</v>
      </c>
      <c r="J245" s="365"/>
      <c r="K245" s="365"/>
      <c r="L245" s="362" t="s">
        <v>9565</v>
      </c>
    </row>
    <row r="246" spans="1:12">
      <c r="A246" s="363">
        <f>VLOOKUP(B246, 'PubMed 4.14.21 Results'!B:B, 1, FALSE)</f>
        <v>18333868</v>
      </c>
      <c r="B246" s="363">
        <v>18333868</v>
      </c>
      <c r="C246" s="362" t="s">
        <v>9566</v>
      </c>
      <c r="D246" s="362" t="s">
        <v>9567</v>
      </c>
      <c r="E246" s="362" t="s">
        <v>9568</v>
      </c>
      <c r="F246" s="362" t="s">
        <v>6736</v>
      </c>
      <c r="G246" s="362" t="s">
        <v>9569</v>
      </c>
      <c r="H246" s="363">
        <v>2008</v>
      </c>
      <c r="I246" s="378">
        <v>39533</v>
      </c>
      <c r="J246" s="434" t="s">
        <v>6737</v>
      </c>
      <c r="K246" s="425"/>
      <c r="L246" s="362" t="s">
        <v>9570</v>
      </c>
    </row>
    <row r="247" spans="1:12">
      <c r="A247" s="363">
        <f>VLOOKUP(B247, 'PubMed 4.14.21 Results'!B:B, 1, FALSE)</f>
        <v>18334054</v>
      </c>
      <c r="B247" s="363">
        <v>18334054</v>
      </c>
      <c r="C247" s="362" t="s">
        <v>9571</v>
      </c>
      <c r="D247" s="362" t="s">
        <v>9572</v>
      </c>
      <c r="E247" s="362" t="s">
        <v>9573</v>
      </c>
      <c r="F247" s="362" t="s">
        <v>7544</v>
      </c>
      <c r="G247" s="362" t="s">
        <v>8762</v>
      </c>
      <c r="H247" s="363">
        <v>2008</v>
      </c>
      <c r="I247" s="378">
        <v>39520</v>
      </c>
      <c r="J247" s="365"/>
      <c r="K247" s="365"/>
      <c r="L247" s="362" t="s">
        <v>9574</v>
      </c>
    </row>
    <row r="248" spans="1:12">
      <c r="A248" s="363">
        <f>VLOOKUP(B248, 'PubMed 4.14.21 Results'!B:B, 1, FALSE)</f>
        <v>18425893</v>
      </c>
      <c r="B248" s="363">
        <v>18425893</v>
      </c>
      <c r="C248" s="362" t="s">
        <v>9211</v>
      </c>
      <c r="D248" s="362" t="s">
        <v>9575</v>
      </c>
      <c r="E248" s="362" t="s">
        <v>9576</v>
      </c>
      <c r="F248" s="362" t="s">
        <v>7414</v>
      </c>
      <c r="G248" s="362" t="s">
        <v>8857</v>
      </c>
      <c r="H248" s="363">
        <v>2008</v>
      </c>
      <c r="I248" s="378">
        <v>39560</v>
      </c>
      <c r="J248" s="365"/>
      <c r="K248" s="365"/>
      <c r="L248" s="362" t="s">
        <v>9577</v>
      </c>
    </row>
    <row r="249" spans="1:12">
      <c r="A249" s="363">
        <f>VLOOKUP(B249, 'PubMed 4.14.21 Results'!B:B, 1, FALSE)</f>
        <v>18266994</v>
      </c>
      <c r="B249" s="363">
        <v>18266994</v>
      </c>
      <c r="C249" s="362" t="s">
        <v>9578</v>
      </c>
      <c r="D249" s="362" t="s">
        <v>9579</v>
      </c>
      <c r="E249" s="362" t="s">
        <v>9580</v>
      </c>
      <c r="F249" s="362" t="s">
        <v>6836</v>
      </c>
      <c r="G249" s="362" t="s">
        <v>8685</v>
      </c>
      <c r="H249" s="363">
        <v>2008</v>
      </c>
      <c r="I249" s="378">
        <v>39491</v>
      </c>
      <c r="J249" s="365"/>
      <c r="K249" s="365"/>
      <c r="L249" s="362" t="s">
        <v>9581</v>
      </c>
    </row>
    <row r="250" spans="1:12">
      <c r="A250" s="363">
        <f>VLOOKUP(B250, 'PubMed 4.14.21 Results'!B:B, 1, FALSE)</f>
        <v>18580803</v>
      </c>
      <c r="B250" s="363">
        <v>18580803</v>
      </c>
      <c r="C250" s="362" t="s">
        <v>9582</v>
      </c>
      <c r="D250" s="362" t="s">
        <v>9583</v>
      </c>
      <c r="E250" s="362" t="s">
        <v>9584</v>
      </c>
      <c r="F250" s="362" t="s">
        <v>7646</v>
      </c>
      <c r="G250" s="362" t="s">
        <v>9585</v>
      </c>
      <c r="H250" s="363">
        <v>2008</v>
      </c>
      <c r="I250" s="378">
        <v>39626</v>
      </c>
      <c r="J250" s="365"/>
      <c r="K250" s="365"/>
      <c r="L250" s="362" t="s">
        <v>9586</v>
      </c>
    </row>
    <row r="251" spans="1:12">
      <c r="A251" s="363">
        <f>VLOOKUP(B251, 'PubMed 4.14.21 Results'!B:B, 1, FALSE)</f>
        <v>18641578</v>
      </c>
      <c r="B251" s="363">
        <v>18641578</v>
      </c>
      <c r="C251" s="362" t="s">
        <v>9587</v>
      </c>
      <c r="D251" s="362" t="s">
        <v>9588</v>
      </c>
      <c r="E251" s="362" t="s">
        <v>9589</v>
      </c>
      <c r="F251" s="362" t="s">
        <v>6650</v>
      </c>
      <c r="G251" s="362" t="s">
        <v>9590</v>
      </c>
      <c r="H251" s="363">
        <v>2008</v>
      </c>
      <c r="I251" s="378">
        <v>39651</v>
      </c>
      <c r="J251" s="365"/>
      <c r="K251" s="365"/>
      <c r="L251" s="362" t="s">
        <v>9591</v>
      </c>
    </row>
    <row r="252" spans="1:12">
      <c r="A252" s="363">
        <f>VLOOKUP(B252, 'PubMed 4.14.21 Results'!B:B, 1, FALSE)</f>
        <v>18492259</v>
      </c>
      <c r="B252" s="363">
        <v>18492259</v>
      </c>
      <c r="C252" s="362" t="s">
        <v>9592</v>
      </c>
      <c r="D252" s="362" t="s">
        <v>9593</v>
      </c>
      <c r="E252" s="362" t="s">
        <v>9594</v>
      </c>
      <c r="F252" s="362" t="s">
        <v>7030</v>
      </c>
      <c r="G252" s="362" t="s">
        <v>9595</v>
      </c>
      <c r="H252" s="363">
        <v>2008</v>
      </c>
      <c r="I252" s="378">
        <v>39590</v>
      </c>
      <c r="J252" s="434" t="s">
        <v>7031</v>
      </c>
      <c r="K252" s="425"/>
      <c r="L252" s="362" t="s">
        <v>9596</v>
      </c>
    </row>
    <row r="253" spans="1:12">
      <c r="A253" s="363">
        <f>VLOOKUP(B253, 'PubMed 4.14.21 Results'!B:B, 1, FALSE)</f>
        <v>18363895</v>
      </c>
      <c r="B253" s="363">
        <v>18363895</v>
      </c>
      <c r="C253" s="362" t="s">
        <v>9597</v>
      </c>
      <c r="D253" s="362" t="s">
        <v>9598</v>
      </c>
      <c r="E253" s="362" t="s">
        <v>9599</v>
      </c>
      <c r="F253" s="362" t="s">
        <v>7273</v>
      </c>
      <c r="G253" s="362" t="s">
        <v>8685</v>
      </c>
      <c r="H253" s="363">
        <v>2008</v>
      </c>
      <c r="I253" s="378">
        <v>39535</v>
      </c>
      <c r="J253" s="365"/>
      <c r="K253" s="365"/>
      <c r="L253" s="362" t="s">
        <v>9600</v>
      </c>
    </row>
    <row r="254" spans="1:12">
      <c r="A254" s="363">
        <f>VLOOKUP(B254, 'PubMed 4.14.21 Results'!B:B, 1, FALSE)</f>
        <v>18575220</v>
      </c>
      <c r="B254" s="363">
        <v>18575220</v>
      </c>
      <c r="C254" s="362" t="s">
        <v>9601</v>
      </c>
      <c r="D254" s="362" t="s">
        <v>9602</v>
      </c>
      <c r="E254" s="362" t="s">
        <v>9603</v>
      </c>
      <c r="F254" s="362" t="s">
        <v>7927</v>
      </c>
      <c r="G254" s="362" t="s">
        <v>9604</v>
      </c>
      <c r="H254" s="363">
        <v>2008</v>
      </c>
      <c r="I254" s="378">
        <v>39625</v>
      </c>
      <c r="J254" s="365"/>
      <c r="K254" s="365"/>
      <c r="L254" s="365"/>
    </row>
    <row r="255" spans="1:12">
      <c r="A255" s="363">
        <f>VLOOKUP(B255, 'PubMed 4.14.21 Results'!B:B, 1, FALSE)</f>
        <v>17922274</v>
      </c>
      <c r="B255" s="363">
        <v>17922274</v>
      </c>
      <c r="C255" s="362" t="s">
        <v>9605</v>
      </c>
      <c r="D255" s="362" t="s">
        <v>9606</v>
      </c>
      <c r="E255" s="362" t="s">
        <v>9607</v>
      </c>
      <c r="F255" s="362" t="s">
        <v>7149</v>
      </c>
      <c r="G255" s="362" t="s">
        <v>9608</v>
      </c>
      <c r="H255" s="363">
        <v>2008</v>
      </c>
      <c r="I255" s="378">
        <v>39364</v>
      </c>
      <c r="J255" s="365"/>
      <c r="K255" s="365"/>
      <c r="L255" s="362" t="s">
        <v>9609</v>
      </c>
    </row>
    <row r="256" spans="1:12">
      <c r="A256" s="363">
        <f>VLOOKUP(B256, 'PubMed 4.14.21 Results'!B:B, 1, FALSE)</f>
        <v>18501566</v>
      </c>
      <c r="B256" s="363">
        <v>18501566</v>
      </c>
      <c r="C256" s="362" t="s">
        <v>9610</v>
      </c>
      <c r="D256" s="362" t="s">
        <v>9611</v>
      </c>
      <c r="E256" s="362" t="s">
        <v>9612</v>
      </c>
      <c r="F256" s="362" t="s">
        <v>6973</v>
      </c>
      <c r="G256" s="362" t="s">
        <v>9613</v>
      </c>
      <c r="H256" s="363">
        <v>2008</v>
      </c>
      <c r="I256" s="378">
        <v>39595</v>
      </c>
      <c r="J256" s="365"/>
      <c r="K256" s="365"/>
      <c r="L256" s="362" t="s">
        <v>9614</v>
      </c>
    </row>
    <row r="257" spans="1:12">
      <c r="A257" s="363">
        <f>VLOOKUP(B257, 'PubMed 4.14.21 Results'!B:B, 1, FALSE)</f>
        <v>18536575</v>
      </c>
      <c r="B257" s="363">
        <v>18536575</v>
      </c>
      <c r="C257" s="362" t="s">
        <v>9615</v>
      </c>
      <c r="D257" s="362" t="s">
        <v>9616</v>
      </c>
      <c r="E257" s="362" t="s">
        <v>9617</v>
      </c>
      <c r="F257" s="362" t="s">
        <v>6443</v>
      </c>
      <c r="G257" s="362" t="s">
        <v>9618</v>
      </c>
      <c r="H257" s="363">
        <v>2008</v>
      </c>
      <c r="I257" s="378">
        <v>39609</v>
      </c>
      <c r="J257" s="365"/>
      <c r="K257" s="365"/>
      <c r="L257" s="362" t="s">
        <v>9619</v>
      </c>
    </row>
    <row r="258" spans="1:12">
      <c r="A258" s="363">
        <f>VLOOKUP(B258, 'PubMed 4.14.21 Results'!B:B, 1, FALSE)</f>
        <v>18664153</v>
      </c>
      <c r="B258" s="363">
        <v>18664153</v>
      </c>
      <c r="C258" s="362" t="s">
        <v>9620</v>
      </c>
      <c r="D258" s="362" t="s">
        <v>9621</v>
      </c>
      <c r="E258" s="362" t="s">
        <v>9622</v>
      </c>
      <c r="F258" s="362" t="s">
        <v>7725</v>
      </c>
      <c r="G258" s="362" t="s">
        <v>9604</v>
      </c>
      <c r="H258" s="363">
        <v>2008</v>
      </c>
      <c r="I258" s="378">
        <v>39660</v>
      </c>
      <c r="J258" s="365"/>
      <c r="K258" s="365"/>
      <c r="L258" s="365"/>
    </row>
    <row r="259" spans="1:12">
      <c r="A259" s="363">
        <f>VLOOKUP(B259, 'PubMed 4.14.21 Results'!B:B, 1, FALSE)</f>
        <v>18691983</v>
      </c>
      <c r="B259" s="363">
        <v>18691983</v>
      </c>
      <c r="C259" s="362" t="s">
        <v>9623</v>
      </c>
      <c r="D259" s="362" t="s">
        <v>9624</v>
      </c>
      <c r="E259" s="362" t="s">
        <v>9625</v>
      </c>
      <c r="F259" s="362" t="s">
        <v>7271</v>
      </c>
      <c r="G259" s="362" t="s">
        <v>8640</v>
      </c>
      <c r="H259" s="363">
        <v>2008</v>
      </c>
      <c r="I259" s="378">
        <v>39672</v>
      </c>
      <c r="J259" s="365"/>
      <c r="K259" s="365"/>
      <c r="L259" s="362" t="s">
        <v>9626</v>
      </c>
    </row>
    <row r="260" spans="1:12">
      <c r="A260" s="363">
        <f>VLOOKUP(B260, 'PubMed 4.14.21 Results'!B:B, 1, FALSE)</f>
        <v>18262450</v>
      </c>
      <c r="B260" s="363">
        <v>18262450</v>
      </c>
      <c r="C260" s="362" t="s">
        <v>9627</v>
      </c>
      <c r="D260" s="362" t="s">
        <v>9628</v>
      </c>
      <c r="E260" s="362" t="s">
        <v>9629</v>
      </c>
      <c r="F260" s="362" t="s">
        <v>7025</v>
      </c>
      <c r="G260" s="362" t="s">
        <v>9630</v>
      </c>
      <c r="H260" s="363">
        <v>2008</v>
      </c>
      <c r="I260" s="378">
        <v>39490</v>
      </c>
      <c r="J260" s="365"/>
      <c r="K260" s="365"/>
      <c r="L260" s="362" t="s">
        <v>9631</v>
      </c>
    </row>
    <row r="261" spans="1:12">
      <c r="A261" s="363">
        <f>VLOOKUP(B261, 'PubMed 4.14.21 Results'!B:B, 1, FALSE)</f>
        <v>18565184</v>
      </c>
      <c r="B261" s="363">
        <v>18565184</v>
      </c>
      <c r="C261" s="362" t="s">
        <v>9632</v>
      </c>
      <c r="D261" s="362" t="s">
        <v>9633</v>
      </c>
      <c r="E261" s="362" t="s">
        <v>9634</v>
      </c>
      <c r="F261" s="362" t="s">
        <v>7681</v>
      </c>
      <c r="G261" s="362" t="s">
        <v>8963</v>
      </c>
      <c r="H261" s="363">
        <v>2008</v>
      </c>
      <c r="I261" s="378">
        <v>39620</v>
      </c>
      <c r="J261" s="365"/>
      <c r="K261" s="365"/>
      <c r="L261" s="362" t="s">
        <v>9635</v>
      </c>
    </row>
    <row r="262" spans="1:12">
      <c r="A262" s="363">
        <f>VLOOKUP(B262, 'PubMed 4.14.21 Results'!B:B, 1, FALSE)</f>
        <v>18616780</v>
      </c>
      <c r="B262" s="363">
        <v>18616780</v>
      </c>
      <c r="C262" s="362" t="s">
        <v>9636</v>
      </c>
      <c r="D262" s="362" t="s">
        <v>9637</v>
      </c>
      <c r="E262" s="362" t="s">
        <v>9638</v>
      </c>
      <c r="F262" s="362" t="s">
        <v>6641</v>
      </c>
      <c r="G262" s="362" t="s">
        <v>8963</v>
      </c>
      <c r="H262" s="363">
        <v>2008</v>
      </c>
      <c r="I262" s="378">
        <v>39641</v>
      </c>
      <c r="J262" s="365"/>
      <c r="K262" s="365"/>
      <c r="L262" s="362" t="s">
        <v>9639</v>
      </c>
    </row>
    <row r="263" spans="1:12">
      <c r="A263" s="363">
        <f>VLOOKUP(B263, 'PubMed 4.14.21 Results'!B:B, 1, FALSE)</f>
        <v>18770487</v>
      </c>
      <c r="B263" s="363">
        <v>18770487</v>
      </c>
      <c r="C263" s="362" t="s">
        <v>9640</v>
      </c>
      <c r="D263" s="362" t="s">
        <v>9641</v>
      </c>
      <c r="E263" s="362" t="s">
        <v>9642</v>
      </c>
      <c r="F263" s="362" t="s">
        <v>7054</v>
      </c>
      <c r="G263" s="362" t="s">
        <v>9643</v>
      </c>
      <c r="H263" s="363">
        <v>2008</v>
      </c>
      <c r="I263" s="378">
        <v>39696</v>
      </c>
      <c r="J263" s="365"/>
      <c r="K263" s="365"/>
      <c r="L263" s="362" t="s">
        <v>9644</v>
      </c>
    </row>
    <row r="264" spans="1:12">
      <c r="A264" s="363">
        <f>VLOOKUP(B264, 'PubMed 4.14.21 Results'!B:B, 1, FALSE)</f>
        <v>18826358</v>
      </c>
      <c r="B264" s="363">
        <v>18826358</v>
      </c>
      <c r="C264" s="362" t="s">
        <v>9645</v>
      </c>
      <c r="D264" s="362" t="s">
        <v>9646</v>
      </c>
      <c r="E264" s="362" t="s">
        <v>9647</v>
      </c>
      <c r="F264" s="362" t="s">
        <v>7050</v>
      </c>
      <c r="G264" s="362" t="s">
        <v>9648</v>
      </c>
      <c r="H264" s="363">
        <v>2008</v>
      </c>
      <c r="I264" s="378">
        <v>39723</v>
      </c>
      <c r="J264" s="362" t="s">
        <v>7051</v>
      </c>
      <c r="K264" s="362" t="s">
        <v>9649</v>
      </c>
      <c r="L264" s="362" t="s">
        <v>9650</v>
      </c>
    </row>
    <row r="265" spans="1:12">
      <c r="A265" s="363">
        <f>VLOOKUP(B265, 'PubMed 4.14.21 Results'!B:B, 1, FALSE)</f>
        <v>18769636</v>
      </c>
      <c r="B265" s="363">
        <v>18769636</v>
      </c>
      <c r="C265" s="362" t="s">
        <v>9651</v>
      </c>
      <c r="D265" s="362" t="s">
        <v>9652</v>
      </c>
      <c r="E265" s="362" t="s">
        <v>9653</v>
      </c>
      <c r="F265" s="362" t="s">
        <v>6500</v>
      </c>
      <c r="G265" s="362" t="s">
        <v>9654</v>
      </c>
      <c r="H265" s="363">
        <v>2008</v>
      </c>
      <c r="I265" s="378">
        <v>39696</v>
      </c>
      <c r="J265" s="434" t="s">
        <v>6501</v>
      </c>
      <c r="K265" s="425"/>
      <c r="L265" s="362" t="s">
        <v>9655</v>
      </c>
    </row>
    <row r="266" spans="1:12">
      <c r="A266" s="363">
        <f>VLOOKUP(B266, 'PubMed 4.14.21 Results'!B:B, 1, FALSE)</f>
        <v>18494750</v>
      </c>
      <c r="B266" s="363">
        <v>18494750</v>
      </c>
      <c r="C266" s="362" t="s">
        <v>9656</v>
      </c>
      <c r="D266" s="362" t="s">
        <v>9657</v>
      </c>
      <c r="E266" s="362" t="s">
        <v>9658</v>
      </c>
      <c r="F266" s="362" t="s">
        <v>7162</v>
      </c>
      <c r="G266" s="362" t="s">
        <v>9659</v>
      </c>
      <c r="H266" s="363">
        <v>2008</v>
      </c>
      <c r="I266" s="378">
        <v>39591</v>
      </c>
      <c r="J266" s="365"/>
      <c r="K266" s="365"/>
      <c r="L266" s="362" t="s">
        <v>9660</v>
      </c>
    </row>
    <row r="267" spans="1:12">
      <c r="A267" s="363">
        <f>VLOOKUP(B267, 'PubMed 4.14.21 Results'!B:B, 1, FALSE)</f>
        <v>18989104</v>
      </c>
      <c r="B267" s="363">
        <v>18989104</v>
      </c>
      <c r="C267" s="362" t="s">
        <v>9661</v>
      </c>
      <c r="D267" s="362" t="s">
        <v>9662</v>
      </c>
      <c r="E267" s="362" t="s">
        <v>9663</v>
      </c>
      <c r="F267" s="362" t="s">
        <v>6535</v>
      </c>
      <c r="G267" s="362" t="s">
        <v>9664</v>
      </c>
      <c r="H267" s="363">
        <v>2008</v>
      </c>
      <c r="I267" s="378">
        <v>39760</v>
      </c>
      <c r="J267" s="365"/>
      <c r="K267" s="365"/>
      <c r="L267" s="362" t="s">
        <v>9665</v>
      </c>
    </row>
    <row r="268" spans="1:12">
      <c r="A268" s="363">
        <f>VLOOKUP(B268, 'PubMed 4.14.21 Results'!B:B, 1, FALSE)</f>
        <v>18951937</v>
      </c>
      <c r="B268" s="363">
        <v>18951937</v>
      </c>
      <c r="C268" s="362" t="s">
        <v>9666</v>
      </c>
      <c r="D268" s="362" t="s">
        <v>9667</v>
      </c>
      <c r="E268" s="362" t="s">
        <v>9668</v>
      </c>
      <c r="F268" s="362" t="s">
        <v>7130</v>
      </c>
      <c r="G268" s="362" t="s">
        <v>21</v>
      </c>
      <c r="H268" s="363">
        <v>2008</v>
      </c>
      <c r="I268" s="378">
        <v>39749</v>
      </c>
      <c r="J268" s="365"/>
      <c r="K268" s="365"/>
      <c r="L268" s="362" t="s">
        <v>9669</v>
      </c>
    </row>
    <row r="269" spans="1:12">
      <c r="A269" s="363">
        <f>VLOOKUP(B269, 'PubMed 4.14.21 Results'!B:B, 1, FALSE)</f>
        <v>19275278</v>
      </c>
      <c r="B269" s="363">
        <v>19275278</v>
      </c>
      <c r="C269" s="362" t="s">
        <v>9670</v>
      </c>
      <c r="D269" s="362" t="s">
        <v>9671</v>
      </c>
      <c r="E269" s="362" t="s">
        <v>9672</v>
      </c>
      <c r="F269" s="362" t="s">
        <v>7437</v>
      </c>
      <c r="G269" s="362" t="s">
        <v>8509</v>
      </c>
      <c r="H269" s="363">
        <v>2009</v>
      </c>
      <c r="I269" s="378">
        <v>39884</v>
      </c>
      <c r="J269" s="365"/>
      <c r="K269" s="365"/>
      <c r="L269" s="362" t="s">
        <v>9673</v>
      </c>
    </row>
    <row r="270" spans="1:12">
      <c r="A270" s="363">
        <f>VLOOKUP(B270, 'PubMed 4.14.21 Results'!B:B, 1, FALSE)</f>
        <v>19436693</v>
      </c>
      <c r="B270" s="363">
        <v>19436693</v>
      </c>
      <c r="C270" s="362" t="s">
        <v>9674</v>
      </c>
      <c r="D270" s="362" t="s">
        <v>9675</v>
      </c>
      <c r="E270" s="362" t="s">
        <v>9676</v>
      </c>
      <c r="F270" s="362" t="s">
        <v>6504</v>
      </c>
      <c r="G270" s="362" t="s">
        <v>9677</v>
      </c>
      <c r="H270" s="363">
        <v>2009</v>
      </c>
      <c r="I270" s="378">
        <v>39947</v>
      </c>
      <c r="J270" s="434" t="s">
        <v>6505</v>
      </c>
      <c r="K270" s="425"/>
      <c r="L270" s="365"/>
    </row>
    <row r="271" spans="1:12">
      <c r="A271" s="363">
        <f>VLOOKUP(B271, 'PubMed 4.14.21 Results'!B:B, 1, FALSE)</f>
        <v>19722725</v>
      </c>
      <c r="B271" s="363">
        <v>19722725</v>
      </c>
      <c r="C271" s="362" t="s">
        <v>9678</v>
      </c>
      <c r="D271" s="362" t="s">
        <v>9679</v>
      </c>
      <c r="E271" s="362" t="s">
        <v>9680</v>
      </c>
      <c r="F271" s="362" t="s">
        <v>6938</v>
      </c>
      <c r="G271" s="362" t="s">
        <v>9681</v>
      </c>
      <c r="H271" s="363">
        <v>2009</v>
      </c>
      <c r="I271" s="378">
        <v>40059</v>
      </c>
      <c r="J271" s="365"/>
      <c r="K271" s="365"/>
      <c r="L271" s="362" t="s">
        <v>9682</v>
      </c>
    </row>
    <row r="272" spans="1:12">
      <c r="A272" s="363">
        <f>VLOOKUP(B272, 'PubMed 4.14.21 Results'!B:B, 1, FALSE)</f>
        <v>19852750</v>
      </c>
      <c r="B272" s="363">
        <v>19852750</v>
      </c>
      <c r="C272" s="362" t="s">
        <v>9683</v>
      </c>
      <c r="D272" s="362" t="s">
        <v>9684</v>
      </c>
      <c r="E272" s="362" t="s">
        <v>9685</v>
      </c>
      <c r="F272" s="362" t="s">
        <v>7023</v>
      </c>
      <c r="G272" s="362" t="s">
        <v>9686</v>
      </c>
      <c r="H272" s="363">
        <v>2009</v>
      </c>
      <c r="I272" s="378">
        <v>40113</v>
      </c>
      <c r="J272" s="365"/>
      <c r="K272" s="365"/>
      <c r="L272" s="365"/>
    </row>
    <row r="273" spans="1:12">
      <c r="A273" s="363">
        <f>VLOOKUP(B273, 'PubMed 4.14.21 Results'!B:B, 1, FALSE)</f>
        <v>23074532</v>
      </c>
      <c r="B273" s="363">
        <v>23074532</v>
      </c>
      <c r="C273" s="362" t="s">
        <v>9687</v>
      </c>
      <c r="D273" s="362" t="s">
        <v>9688</v>
      </c>
      <c r="E273" s="362" t="s">
        <v>9689</v>
      </c>
      <c r="F273" s="362" t="s">
        <v>5552</v>
      </c>
      <c r="G273" s="362" t="s">
        <v>9690</v>
      </c>
      <c r="H273" s="363">
        <v>2009</v>
      </c>
      <c r="I273" s="378">
        <v>41200</v>
      </c>
      <c r="J273" s="434" t="s">
        <v>7399</v>
      </c>
      <c r="K273" s="425"/>
      <c r="L273" s="365"/>
    </row>
    <row r="274" spans="1:12">
      <c r="A274" s="363">
        <f>VLOOKUP(B274, 'PubMed 4.14.21 Results'!B:B, 1, FALSE)</f>
        <v>19160254</v>
      </c>
      <c r="B274" s="363">
        <v>19160254</v>
      </c>
      <c r="C274" s="362" t="s">
        <v>9691</v>
      </c>
      <c r="D274" s="362" t="s">
        <v>9692</v>
      </c>
      <c r="E274" s="362" t="s">
        <v>9693</v>
      </c>
      <c r="F274" s="362" t="s">
        <v>7372</v>
      </c>
      <c r="G274" s="362" t="s">
        <v>8857</v>
      </c>
      <c r="H274" s="363">
        <v>2009</v>
      </c>
      <c r="I274" s="378">
        <v>39836</v>
      </c>
      <c r="J274" s="365"/>
      <c r="K274" s="365"/>
      <c r="L274" s="362" t="s">
        <v>9694</v>
      </c>
    </row>
    <row r="275" spans="1:12">
      <c r="A275" s="363">
        <f>VLOOKUP(B275, 'PubMed 4.14.21 Results'!B:B, 1, FALSE)</f>
        <v>19061928</v>
      </c>
      <c r="B275" s="363">
        <v>19061928</v>
      </c>
      <c r="C275" s="362" t="s">
        <v>9695</v>
      </c>
      <c r="D275" s="362" t="s">
        <v>9696</v>
      </c>
      <c r="E275" s="362" t="s">
        <v>9697</v>
      </c>
      <c r="F275" s="362" t="s">
        <v>4199</v>
      </c>
      <c r="G275" s="362" t="s">
        <v>21</v>
      </c>
      <c r="H275" s="363">
        <v>2009</v>
      </c>
      <c r="I275" s="378">
        <v>39791</v>
      </c>
      <c r="J275" s="365"/>
      <c r="K275" s="365"/>
      <c r="L275" s="362" t="s">
        <v>9698</v>
      </c>
    </row>
    <row r="276" spans="1:12">
      <c r="A276" s="363">
        <f>VLOOKUP(B276, 'PubMed 4.14.21 Results'!B:B, 1, FALSE)</f>
        <v>19061423</v>
      </c>
      <c r="B276" s="363">
        <v>19061423</v>
      </c>
      <c r="C276" s="362" t="s">
        <v>9699</v>
      </c>
      <c r="D276" s="362" t="s">
        <v>9700</v>
      </c>
      <c r="E276" s="362" t="s">
        <v>9701</v>
      </c>
      <c r="F276" s="362" t="s">
        <v>7205</v>
      </c>
      <c r="G276" s="362" t="s">
        <v>9497</v>
      </c>
      <c r="H276" s="363">
        <v>2009</v>
      </c>
      <c r="I276" s="378">
        <v>39791</v>
      </c>
      <c r="J276" s="365"/>
      <c r="K276" s="365"/>
      <c r="L276" s="362" t="s">
        <v>9702</v>
      </c>
    </row>
    <row r="277" spans="1:12">
      <c r="A277" s="363">
        <f>VLOOKUP(B277, 'PubMed 4.14.21 Results'!B:B, 1, FALSE)</f>
        <v>19114670</v>
      </c>
      <c r="B277" s="363">
        <v>19114670</v>
      </c>
      <c r="C277" s="362" t="s">
        <v>9703</v>
      </c>
      <c r="D277" s="362" t="s">
        <v>9704</v>
      </c>
      <c r="E277" s="362" t="s">
        <v>9705</v>
      </c>
      <c r="F277" s="362" t="s">
        <v>7073</v>
      </c>
      <c r="G277" s="362" t="s">
        <v>9706</v>
      </c>
      <c r="H277" s="363">
        <v>2009</v>
      </c>
      <c r="I277" s="378">
        <v>39813</v>
      </c>
      <c r="J277" s="365"/>
      <c r="K277" s="365"/>
      <c r="L277" s="362" t="s">
        <v>9707</v>
      </c>
    </row>
    <row r="278" spans="1:12">
      <c r="A278" s="363">
        <f>VLOOKUP(B278, 'PubMed 4.14.21 Results'!B:B, 1, FALSE)</f>
        <v>19154447</v>
      </c>
      <c r="B278" s="363">
        <v>19154447</v>
      </c>
      <c r="C278" s="362" t="s">
        <v>9708</v>
      </c>
      <c r="D278" s="362" t="s">
        <v>9709</v>
      </c>
      <c r="E278" s="362" t="s">
        <v>9710</v>
      </c>
      <c r="F278" s="362" t="s">
        <v>6836</v>
      </c>
      <c r="G278" s="362" t="s">
        <v>9569</v>
      </c>
      <c r="H278" s="363">
        <v>2009</v>
      </c>
      <c r="I278" s="378">
        <v>39835</v>
      </c>
      <c r="J278" s="434" t="s">
        <v>6837</v>
      </c>
      <c r="K278" s="425"/>
      <c r="L278" s="362" t="s">
        <v>9711</v>
      </c>
    </row>
    <row r="279" spans="1:12">
      <c r="A279" s="363">
        <f>VLOOKUP(B279, 'PubMed 4.14.21 Results'!B:B, 1, FALSE)</f>
        <v>19135496</v>
      </c>
      <c r="B279" s="363">
        <v>19135496</v>
      </c>
      <c r="C279" s="362" t="s">
        <v>9712</v>
      </c>
      <c r="D279" s="362" t="s">
        <v>9713</v>
      </c>
      <c r="E279" s="362" t="s">
        <v>9714</v>
      </c>
      <c r="F279" s="362" t="s">
        <v>7235</v>
      </c>
      <c r="G279" s="362" t="s">
        <v>21</v>
      </c>
      <c r="H279" s="363">
        <v>2009</v>
      </c>
      <c r="I279" s="378">
        <v>39826</v>
      </c>
      <c r="J279" s="365"/>
      <c r="K279" s="365"/>
      <c r="L279" s="362" t="s">
        <v>9715</v>
      </c>
    </row>
    <row r="280" spans="1:12">
      <c r="A280" s="363">
        <f>VLOOKUP(B280, 'PubMed 4.14.21 Results'!B:B, 1, FALSE)</f>
        <v>19246990</v>
      </c>
      <c r="B280" s="363">
        <v>19246990</v>
      </c>
      <c r="C280" s="362" t="s">
        <v>9716</v>
      </c>
      <c r="D280" s="362" t="s">
        <v>9717</v>
      </c>
      <c r="E280" s="362" t="s">
        <v>9718</v>
      </c>
      <c r="F280" s="362" t="s">
        <v>6782</v>
      </c>
      <c r="G280" s="362" t="s">
        <v>9719</v>
      </c>
      <c r="H280" s="363">
        <v>2009</v>
      </c>
      <c r="I280" s="378">
        <v>39872</v>
      </c>
      <c r="J280" s="365"/>
      <c r="K280" s="365"/>
      <c r="L280" s="362" t="s">
        <v>9720</v>
      </c>
    </row>
    <row r="281" spans="1:12">
      <c r="A281" s="363">
        <f>VLOOKUP(B281, 'PubMed 4.14.21 Results'!B:B, 1, FALSE)</f>
        <v>19249449</v>
      </c>
      <c r="B281" s="363">
        <v>19249449</v>
      </c>
      <c r="C281" s="362" t="s">
        <v>9721</v>
      </c>
      <c r="D281" s="362" t="s">
        <v>9722</v>
      </c>
      <c r="E281" s="362" t="s">
        <v>9723</v>
      </c>
      <c r="F281" s="362" t="s">
        <v>7575</v>
      </c>
      <c r="G281" s="362" t="s">
        <v>8632</v>
      </c>
      <c r="H281" s="363">
        <v>2009</v>
      </c>
      <c r="I281" s="378">
        <v>39875</v>
      </c>
      <c r="J281" s="365"/>
      <c r="K281" s="365"/>
      <c r="L281" s="362" t="s">
        <v>9724</v>
      </c>
    </row>
    <row r="282" spans="1:12">
      <c r="A282" s="363">
        <f>VLOOKUP(B282, 'PubMed 4.14.21 Results'!B:B, 1, FALSE)</f>
        <v>19440988</v>
      </c>
      <c r="B282" s="363">
        <v>19440988</v>
      </c>
      <c r="C282" s="362" t="s">
        <v>9725</v>
      </c>
      <c r="D282" s="362" t="s">
        <v>9726</v>
      </c>
      <c r="E282" s="362" t="s">
        <v>9727</v>
      </c>
      <c r="F282" s="362" t="s">
        <v>6832</v>
      </c>
      <c r="G282" s="362" t="s">
        <v>9182</v>
      </c>
      <c r="H282" s="363">
        <v>2009</v>
      </c>
      <c r="I282" s="378">
        <v>39948</v>
      </c>
      <c r="J282" s="365"/>
      <c r="K282" s="365"/>
      <c r="L282" s="365"/>
    </row>
    <row r="283" spans="1:12">
      <c r="A283" s="363">
        <f>VLOOKUP(B283, 'PubMed 4.14.21 Results'!B:B, 1, FALSE)</f>
        <v>20021340</v>
      </c>
      <c r="B283" s="363">
        <v>20021340</v>
      </c>
      <c r="C283" s="362" t="s">
        <v>9728</v>
      </c>
      <c r="D283" s="362" t="s">
        <v>9729</v>
      </c>
      <c r="E283" s="362" t="s">
        <v>9730</v>
      </c>
      <c r="F283" s="362" t="s">
        <v>8018</v>
      </c>
      <c r="G283" s="362" t="s">
        <v>9731</v>
      </c>
      <c r="H283" s="363">
        <v>2009</v>
      </c>
      <c r="I283" s="378">
        <v>40169</v>
      </c>
      <c r="J283" s="365"/>
      <c r="K283" s="365"/>
      <c r="L283" s="362" t="s">
        <v>9732</v>
      </c>
    </row>
    <row r="284" spans="1:12">
      <c r="A284" s="363">
        <f>VLOOKUP(B284, 'PubMed 4.14.21 Results'!B:B, 1, FALSE)</f>
        <v>20031822</v>
      </c>
      <c r="B284" s="363">
        <v>20031822</v>
      </c>
      <c r="C284" s="362" t="s">
        <v>9733</v>
      </c>
      <c r="D284" s="362" t="s">
        <v>9734</v>
      </c>
      <c r="E284" s="362" t="s">
        <v>9735</v>
      </c>
      <c r="F284" s="362" t="s">
        <v>6621</v>
      </c>
      <c r="G284" s="362" t="s">
        <v>9736</v>
      </c>
      <c r="H284" s="363">
        <v>2009</v>
      </c>
      <c r="I284" s="378">
        <v>40172</v>
      </c>
      <c r="J284" s="365"/>
      <c r="K284" s="365"/>
      <c r="L284" s="362" t="s">
        <v>9737</v>
      </c>
    </row>
    <row r="285" spans="1:12">
      <c r="A285" s="363">
        <f>VLOOKUP(B285, 'PubMed 4.14.21 Results'!B:B, 1, FALSE)</f>
        <v>21289891</v>
      </c>
      <c r="B285" s="363">
        <v>21289891</v>
      </c>
      <c r="C285" s="362" t="s">
        <v>9738</v>
      </c>
      <c r="D285" s="362" t="s">
        <v>9739</v>
      </c>
      <c r="E285" s="362" t="s">
        <v>9740</v>
      </c>
      <c r="F285" s="362" t="s">
        <v>6724</v>
      </c>
      <c r="G285" s="362" t="s">
        <v>9741</v>
      </c>
      <c r="H285" s="363">
        <v>2009</v>
      </c>
      <c r="I285" s="378">
        <v>40578</v>
      </c>
      <c r="J285" s="434" t="s">
        <v>6725</v>
      </c>
      <c r="K285" s="425"/>
      <c r="L285" s="362" t="s">
        <v>9742</v>
      </c>
    </row>
    <row r="286" spans="1:12">
      <c r="A286" s="363">
        <f>VLOOKUP(B286, 'PubMed 4.14.21 Results'!B:B, 1, FALSE)</f>
        <v>19320979</v>
      </c>
      <c r="B286" s="363">
        <v>19320979</v>
      </c>
      <c r="C286" s="362" t="s">
        <v>9743</v>
      </c>
      <c r="D286" s="362" t="s">
        <v>9744</v>
      </c>
      <c r="E286" s="362" t="s">
        <v>9745</v>
      </c>
      <c r="F286" s="362" t="s">
        <v>7787</v>
      </c>
      <c r="G286" s="362" t="s">
        <v>9746</v>
      </c>
      <c r="H286" s="363">
        <v>2009</v>
      </c>
      <c r="I286" s="378">
        <v>39899</v>
      </c>
      <c r="J286" s="434" t="s">
        <v>7788</v>
      </c>
      <c r="K286" s="425"/>
      <c r="L286" s="362" t="s">
        <v>9747</v>
      </c>
    </row>
    <row r="287" spans="1:12">
      <c r="A287" s="363">
        <f>VLOOKUP(B287, 'PubMed 4.14.21 Results'!B:B, 1, FALSE)</f>
        <v>19329911</v>
      </c>
      <c r="B287" s="363">
        <v>19329911</v>
      </c>
      <c r="C287" s="362" t="s">
        <v>9748</v>
      </c>
      <c r="D287" s="362" t="s">
        <v>9749</v>
      </c>
      <c r="E287" s="362" t="s">
        <v>9750</v>
      </c>
      <c r="F287" s="362" t="s">
        <v>7997</v>
      </c>
      <c r="G287" s="362" t="s">
        <v>9751</v>
      </c>
      <c r="H287" s="363">
        <v>2009</v>
      </c>
      <c r="I287" s="378">
        <v>39903</v>
      </c>
      <c r="J287" s="365"/>
      <c r="K287" s="365"/>
      <c r="L287" s="365"/>
    </row>
    <row r="288" spans="1:12">
      <c r="A288" s="363">
        <f>VLOOKUP(B288, 'PubMed 4.14.21 Results'!B:B, 1, FALSE)</f>
        <v>19341608</v>
      </c>
      <c r="B288" s="363">
        <v>19341608</v>
      </c>
      <c r="C288" s="362" t="s">
        <v>9752</v>
      </c>
      <c r="D288" s="362" t="s">
        <v>9753</v>
      </c>
      <c r="E288" s="362" t="s">
        <v>9754</v>
      </c>
      <c r="F288" s="362" t="s">
        <v>6566</v>
      </c>
      <c r="G288" s="362" t="s">
        <v>9755</v>
      </c>
      <c r="H288" s="363">
        <v>2009</v>
      </c>
      <c r="I288" s="378">
        <v>39907</v>
      </c>
      <c r="J288" s="365"/>
      <c r="K288" s="365"/>
      <c r="L288" s="365"/>
    </row>
    <row r="289" spans="1:12">
      <c r="A289" s="363">
        <f>VLOOKUP(B289, 'PubMed 4.14.21 Results'!B:B, 1, FALSE)</f>
        <v>19370624</v>
      </c>
      <c r="B289" s="363">
        <v>19370624</v>
      </c>
      <c r="C289" s="362" t="s">
        <v>9756</v>
      </c>
      <c r="D289" s="362" t="s">
        <v>9757</v>
      </c>
      <c r="E289" s="362" t="s">
        <v>9758</v>
      </c>
      <c r="F289" s="362" t="s">
        <v>6966</v>
      </c>
      <c r="G289" s="362" t="s">
        <v>8857</v>
      </c>
      <c r="H289" s="363">
        <v>2009</v>
      </c>
      <c r="I289" s="378">
        <v>39920</v>
      </c>
      <c r="J289" s="365"/>
      <c r="K289" s="365"/>
      <c r="L289" s="362" t="s">
        <v>9759</v>
      </c>
    </row>
    <row r="290" spans="1:12">
      <c r="A290" s="363">
        <f>VLOOKUP(B290, 'PubMed 4.14.21 Results'!B:B, 1, FALSE)</f>
        <v>19404150</v>
      </c>
      <c r="B290" s="363">
        <v>19404150</v>
      </c>
      <c r="C290" s="362" t="s">
        <v>9760</v>
      </c>
      <c r="D290" s="362" t="s">
        <v>9761</v>
      </c>
      <c r="E290" s="362" t="s">
        <v>9762</v>
      </c>
      <c r="F290" s="362" t="s">
        <v>7938</v>
      </c>
      <c r="G290" s="362" t="s">
        <v>9585</v>
      </c>
      <c r="H290" s="363">
        <v>2009</v>
      </c>
      <c r="I290" s="378">
        <v>39934</v>
      </c>
      <c r="J290" s="365"/>
      <c r="K290" s="365"/>
      <c r="L290" s="362" t="s">
        <v>9763</v>
      </c>
    </row>
    <row r="291" spans="1:12">
      <c r="A291" s="363">
        <f>VLOOKUP(B291, 'PubMed 4.14.21 Results'!B:B, 1, FALSE)</f>
        <v>19442936</v>
      </c>
      <c r="B291" s="363">
        <v>19442936</v>
      </c>
      <c r="C291" s="362" t="s">
        <v>9764</v>
      </c>
      <c r="D291" s="362" t="s">
        <v>9765</v>
      </c>
      <c r="E291" s="362" t="s">
        <v>9766</v>
      </c>
      <c r="F291" s="362" t="s">
        <v>7719</v>
      </c>
      <c r="G291" s="362" t="s">
        <v>9767</v>
      </c>
      <c r="H291" s="363">
        <v>2009</v>
      </c>
      <c r="I291" s="378">
        <v>39949</v>
      </c>
      <c r="J291" s="365"/>
      <c r="K291" s="365"/>
      <c r="L291" s="362" t="s">
        <v>9768</v>
      </c>
    </row>
    <row r="292" spans="1:12">
      <c r="A292" s="363">
        <f>VLOOKUP(B292, 'PubMed 4.14.21 Results'!B:B, 1, FALSE)</f>
        <v>19492655</v>
      </c>
      <c r="B292" s="363">
        <v>19492655</v>
      </c>
      <c r="C292" s="362" t="s">
        <v>9769</v>
      </c>
      <c r="D292" s="362" t="s">
        <v>9770</v>
      </c>
      <c r="E292" s="362" t="s">
        <v>9771</v>
      </c>
      <c r="F292" s="362" t="s">
        <v>7654</v>
      </c>
      <c r="G292" s="362" t="s">
        <v>8552</v>
      </c>
      <c r="H292" s="363">
        <v>2009</v>
      </c>
      <c r="I292" s="378">
        <v>39969</v>
      </c>
      <c r="J292" s="365"/>
      <c r="K292" s="365"/>
      <c r="L292" s="362" t="s">
        <v>9772</v>
      </c>
    </row>
    <row r="293" spans="1:12">
      <c r="A293" s="363">
        <f>VLOOKUP(B293, 'PubMed 4.14.21 Results'!B:B, 1, FALSE)</f>
        <v>19183164</v>
      </c>
      <c r="B293" s="363">
        <v>19183164</v>
      </c>
      <c r="C293" s="362" t="s">
        <v>9773</v>
      </c>
      <c r="D293" s="362" t="s">
        <v>9774</v>
      </c>
      <c r="E293" s="362" t="s">
        <v>9775</v>
      </c>
      <c r="F293" s="362" t="s">
        <v>6854</v>
      </c>
      <c r="G293" s="362" t="s">
        <v>8485</v>
      </c>
      <c r="H293" s="363">
        <v>2009</v>
      </c>
      <c r="I293" s="378">
        <v>39847</v>
      </c>
      <c r="J293" s="365"/>
      <c r="K293" s="365"/>
      <c r="L293" s="362" t="s">
        <v>9776</v>
      </c>
    </row>
    <row r="294" spans="1:12">
      <c r="A294" s="363">
        <f>VLOOKUP(B294, 'PubMed 4.14.21 Results'!B:B, 1, FALSE)</f>
        <v>19327956</v>
      </c>
      <c r="B294" s="363">
        <v>19327956</v>
      </c>
      <c r="C294" s="362" t="s">
        <v>9777</v>
      </c>
      <c r="D294" s="362" t="s">
        <v>9778</v>
      </c>
      <c r="E294" s="362" t="s">
        <v>9779</v>
      </c>
      <c r="F294" s="362" t="s">
        <v>6693</v>
      </c>
      <c r="G294" s="362" t="s">
        <v>9780</v>
      </c>
      <c r="H294" s="363">
        <v>2009</v>
      </c>
      <c r="I294" s="378">
        <v>39903</v>
      </c>
      <c r="J294" s="365"/>
      <c r="K294" s="365"/>
      <c r="L294" s="362" t="s">
        <v>9781</v>
      </c>
    </row>
    <row r="295" spans="1:12">
      <c r="A295" s="363">
        <f>VLOOKUP(B295, 'PubMed 4.14.21 Results'!B:B, 1, FALSE)</f>
        <v>19505217</v>
      </c>
      <c r="B295" s="363">
        <v>19505217</v>
      </c>
      <c r="C295" s="362" t="s">
        <v>9782</v>
      </c>
      <c r="D295" s="362" t="s">
        <v>9783</v>
      </c>
      <c r="E295" s="362" t="s">
        <v>9784</v>
      </c>
      <c r="F295" s="362" t="s">
        <v>7080</v>
      </c>
      <c r="G295" s="362" t="s">
        <v>9785</v>
      </c>
      <c r="H295" s="363">
        <v>2009</v>
      </c>
      <c r="I295" s="378">
        <v>39974</v>
      </c>
      <c r="J295" s="365"/>
      <c r="K295" s="365"/>
      <c r="L295" s="362" t="s">
        <v>9786</v>
      </c>
    </row>
    <row r="296" spans="1:12">
      <c r="A296" s="363">
        <f>VLOOKUP(B296, 'PubMed 4.14.21 Results'!B:B, 1, FALSE)</f>
        <v>19519591</v>
      </c>
      <c r="B296" s="363">
        <v>19519591</v>
      </c>
      <c r="C296" s="362" t="s">
        <v>9787</v>
      </c>
      <c r="D296" s="362" t="s">
        <v>9788</v>
      </c>
      <c r="E296" s="362" t="s">
        <v>9789</v>
      </c>
      <c r="F296" s="362" t="s">
        <v>6945</v>
      </c>
      <c r="G296" s="362" t="s">
        <v>9790</v>
      </c>
      <c r="H296" s="363">
        <v>2009</v>
      </c>
      <c r="I296" s="378">
        <v>39977</v>
      </c>
      <c r="J296" s="365"/>
      <c r="K296" s="365"/>
      <c r="L296" s="362" t="s">
        <v>9791</v>
      </c>
    </row>
    <row r="297" spans="1:12">
      <c r="A297" s="363">
        <f>VLOOKUP(B297, 'PubMed 4.14.21 Results'!B:B, 1, FALSE)</f>
        <v>27789983</v>
      </c>
      <c r="B297" s="363">
        <v>27789983</v>
      </c>
      <c r="C297" s="362" t="s">
        <v>9792</v>
      </c>
      <c r="D297" s="362" t="s">
        <v>9793</v>
      </c>
      <c r="E297" s="362" t="s">
        <v>9794</v>
      </c>
      <c r="F297" s="362" t="s">
        <v>7301</v>
      </c>
      <c r="G297" s="362" t="s">
        <v>9795</v>
      </c>
      <c r="H297" s="363">
        <v>2009</v>
      </c>
      <c r="I297" s="378">
        <v>39990</v>
      </c>
      <c r="J297" s="434" t="s">
        <v>7302</v>
      </c>
      <c r="K297" s="425"/>
      <c r="L297" s="362" t="s">
        <v>9796</v>
      </c>
    </row>
    <row r="298" spans="1:12">
      <c r="A298" s="363">
        <f>VLOOKUP(B298, 'PubMed 4.14.21 Results'!B:B, 1, FALSE)</f>
        <v>19566925</v>
      </c>
      <c r="B298" s="363">
        <v>19566925</v>
      </c>
      <c r="C298" s="362" t="s">
        <v>9797</v>
      </c>
      <c r="D298" s="362" t="s">
        <v>9798</v>
      </c>
      <c r="E298" s="362" t="s">
        <v>9799</v>
      </c>
      <c r="F298" s="362" t="s">
        <v>6709</v>
      </c>
      <c r="G298" s="362" t="s">
        <v>9800</v>
      </c>
      <c r="H298" s="363">
        <v>2009</v>
      </c>
      <c r="I298" s="378">
        <v>39996</v>
      </c>
      <c r="J298" s="434" t="s">
        <v>6710</v>
      </c>
      <c r="K298" s="425"/>
      <c r="L298" s="362" t="s">
        <v>9801</v>
      </c>
    </row>
    <row r="299" spans="1:12">
      <c r="A299" s="363">
        <f>VLOOKUP(B299, 'PubMed 4.14.21 Results'!B:B, 1, FALSE)</f>
        <v>19476405</v>
      </c>
      <c r="B299" s="363">
        <v>19476405</v>
      </c>
      <c r="C299" s="362" t="s">
        <v>9802</v>
      </c>
      <c r="D299" s="362" t="s">
        <v>9803</v>
      </c>
      <c r="E299" s="362" t="s">
        <v>9804</v>
      </c>
      <c r="F299" s="362" t="s">
        <v>6817</v>
      </c>
      <c r="G299" s="362" t="s">
        <v>8762</v>
      </c>
      <c r="H299" s="363">
        <v>2009</v>
      </c>
      <c r="I299" s="378">
        <v>39963</v>
      </c>
      <c r="J299" s="365"/>
      <c r="K299" s="365"/>
      <c r="L299" s="362" t="s">
        <v>9805</v>
      </c>
    </row>
    <row r="300" spans="1:12">
      <c r="A300" s="363">
        <f>VLOOKUP(B300, 'PubMed 4.14.21 Results'!B:B, 1, FALSE)</f>
        <v>19588358</v>
      </c>
      <c r="B300" s="363">
        <v>19588358</v>
      </c>
      <c r="C300" s="362" t="s">
        <v>9806</v>
      </c>
      <c r="D300" s="362" t="s">
        <v>9807</v>
      </c>
      <c r="E300" s="362" t="s">
        <v>9808</v>
      </c>
      <c r="F300" s="362" t="s">
        <v>6689</v>
      </c>
      <c r="G300" s="362" t="s">
        <v>8857</v>
      </c>
      <c r="H300" s="363">
        <v>2009</v>
      </c>
      <c r="I300" s="378">
        <v>40004</v>
      </c>
      <c r="J300" s="365"/>
      <c r="K300" s="365"/>
      <c r="L300" s="362" t="s">
        <v>9809</v>
      </c>
    </row>
    <row r="301" spans="1:12">
      <c r="A301" s="363">
        <f>VLOOKUP(B301, 'PubMed 4.14.21 Results'!B:B, 1, FALSE)</f>
        <v>19588374</v>
      </c>
      <c r="B301" s="363">
        <v>19588374</v>
      </c>
      <c r="C301" s="362" t="s">
        <v>9810</v>
      </c>
      <c r="D301" s="362" t="s">
        <v>9811</v>
      </c>
      <c r="E301" s="362" t="s">
        <v>9812</v>
      </c>
      <c r="F301" s="362" t="s">
        <v>7804</v>
      </c>
      <c r="G301" s="362" t="s">
        <v>8857</v>
      </c>
      <c r="H301" s="363">
        <v>2009</v>
      </c>
      <c r="I301" s="378">
        <v>40004</v>
      </c>
      <c r="J301" s="365"/>
      <c r="K301" s="365"/>
      <c r="L301" s="362" t="s">
        <v>9813</v>
      </c>
    </row>
    <row r="302" spans="1:12">
      <c r="A302" s="363">
        <f>VLOOKUP(B302, 'PubMed 4.14.21 Results'!B:B, 1, FALSE)</f>
        <v>19636030</v>
      </c>
      <c r="B302" s="363">
        <v>19636030</v>
      </c>
      <c r="C302" s="362" t="s">
        <v>9814</v>
      </c>
      <c r="D302" s="362" t="s">
        <v>9815</v>
      </c>
      <c r="E302" s="362" t="s">
        <v>9816</v>
      </c>
      <c r="F302" s="362" t="s">
        <v>6558</v>
      </c>
      <c r="G302" s="362" t="s">
        <v>8767</v>
      </c>
      <c r="H302" s="363">
        <v>2009</v>
      </c>
      <c r="I302" s="378">
        <v>40023</v>
      </c>
      <c r="J302" s="365"/>
      <c r="K302" s="365"/>
      <c r="L302" s="362" t="s">
        <v>9817</v>
      </c>
    </row>
    <row r="303" spans="1:12">
      <c r="A303" s="363">
        <f>VLOOKUP(B303, 'PubMed 4.14.21 Results'!B:B, 1, FALSE)</f>
        <v>19457991</v>
      </c>
      <c r="B303" s="363">
        <v>19457991</v>
      </c>
      <c r="C303" s="362" t="s">
        <v>9818</v>
      </c>
      <c r="D303" s="362" t="s">
        <v>9819</v>
      </c>
      <c r="E303" s="362" t="s">
        <v>9820</v>
      </c>
      <c r="F303" s="362" t="s">
        <v>7419</v>
      </c>
      <c r="G303" s="362" t="s">
        <v>9821</v>
      </c>
      <c r="H303" s="363">
        <v>2009</v>
      </c>
      <c r="I303" s="378">
        <v>39955</v>
      </c>
      <c r="J303" s="434" t="s">
        <v>7420</v>
      </c>
      <c r="K303" s="425"/>
      <c r="L303" s="362" t="s">
        <v>9822</v>
      </c>
    </row>
    <row r="304" spans="1:12">
      <c r="A304" s="363">
        <f>VLOOKUP(B304, 'PubMed 4.14.21 Results'!B:B, 1, FALSE)</f>
        <v>19486315</v>
      </c>
      <c r="B304" s="363">
        <v>19486315</v>
      </c>
      <c r="C304" s="362" t="s">
        <v>9823</v>
      </c>
      <c r="D304" s="362" t="s">
        <v>9824</v>
      </c>
      <c r="E304" s="362" t="s">
        <v>9825</v>
      </c>
      <c r="F304" s="362" t="s">
        <v>7144</v>
      </c>
      <c r="G304" s="362" t="s">
        <v>9826</v>
      </c>
      <c r="H304" s="363">
        <v>2009</v>
      </c>
      <c r="I304" s="378">
        <v>39967</v>
      </c>
      <c r="J304" s="365"/>
      <c r="K304" s="365"/>
      <c r="L304" s="362" t="s">
        <v>9827</v>
      </c>
    </row>
    <row r="305" spans="1:12">
      <c r="A305" s="363">
        <f>VLOOKUP(B305, 'PubMed 4.14.21 Results'!B:B, 1, FALSE)</f>
        <v>19711034</v>
      </c>
      <c r="B305" s="363">
        <v>19711034</v>
      </c>
      <c r="C305" s="362" t="s">
        <v>9828</v>
      </c>
      <c r="D305" s="362" t="s">
        <v>9829</v>
      </c>
      <c r="E305" s="362" t="s">
        <v>9830</v>
      </c>
      <c r="F305" s="362" t="s">
        <v>6515</v>
      </c>
      <c r="G305" s="362" t="s">
        <v>9831</v>
      </c>
      <c r="H305" s="363">
        <v>2009</v>
      </c>
      <c r="I305" s="378">
        <v>40053</v>
      </c>
      <c r="J305" s="365"/>
      <c r="K305" s="365"/>
      <c r="L305" s="362" t="s">
        <v>9832</v>
      </c>
    </row>
    <row r="306" spans="1:12">
      <c r="A306" s="363">
        <f>VLOOKUP(B306, 'PubMed 4.14.21 Results'!B:B, 1, FALSE)</f>
        <v>19647405</v>
      </c>
      <c r="B306" s="363">
        <v>19647405</v>
      </c>
      <c r="C306" s="362" t="s">
        <v>9833</v>
      </c>
      <c r="D306" s="362" t="s">
        <v>9834</v>
      </c>
      <c r="E306" s="362" t="s">
        <v>9835</v>
      </c>
      <c r="F306" s="362" t="s">
        <v>7404</v>
      </c>
      <c r="G306" s="362" t="s">
        <v>9836</v>
      </c>
      <c r="H306" s="363">
        <v>2009</v>
      </c>
      <c r="I306" s="378">
        <v>40029</v>
      </c>
      <c r="J306" s="365"/>
      <c r="K306" s="365"/>
      <c r="L306" s="362" t="s">
        <v>9837</v>
      </c>
    </row>
    <row r="307" spans="1:12">
      <c r="A307" s="363">
        <f>VLOOKUP(B307, 'PubMed 4.14.21 Results'!B:B, 1, FALSE)</f>
        <v>19650816</v>
      </c>
      <c r="B307" s="363">
        <v>19650816</v>
      </c>
      <c r="C307" s="362" t="s">
        <v>9838</v>
      </c>
      <c r="D307" s="362" t="s">
        <v>9839</v>
      </c>
      <c r="E307" s="362" t="s">
        <v>9840</v>
      </c>
      <c r="F307" s="362" t="s">
        <v>6446</v>
      </c>
      <c r="G307" s="362" t="s">
        <v>9841</v>
      </c>
      <c r="H307" s="363">
        <v>2009</v>
      </c>
      <c r="I307" s="378">
        <v>40030</v>
      </c>
      <c r="J307" s="365"/>
      <c r="K307" s="365"/>
      <c r="L307" s="362" t="s">
        <v>9842</v>
      </c>
    </row>
    <row r="308" spans="1:12">
      <c r="A308" s="363">
        <f>VLOOKUP(B308, 'PubMed 4.14.21 Results'!B:B, 1, FALSE)</f>
        <v>19700988</v>
      </c>
      <c r="B308" s="363">
        <v>19700988</v>
      </c>
      <c r="C308" s="362" t="s">
        <v>9843</v>
      </c>
      <c r="D308" s="362" t="s">
        <v>9844</v>
      </c>
      <c r="E308" s="362" t="s">
        <v>9845</v>
      </c>
      <c r="F308" s="362" t="s">
        <v>6916</v>
      </c>
      <c r="G308" s="362" t="s">
        <v>9846</v>
      </c>
      <c r="H308" s="363">
        <v>2009</v>
      </c>
      <c r="I308" s="378">
        <v>40050</v>
      </c>
      <c r="J308" s="365"/>
      <c r="K308" s="365"/>
      <c r="L308" s="362" t="s">
        <v>9847</v>
      </c>
    </row>
    <row r="309" spans="1:12">
      <c r="A309" s="363">
        <f>VLOOKUP(B309, 'PubMed 4.14.21 Results'!B:B, 1, FALSE)</f>
        <v>19843481</v>
      </c>
      <c r="B309" s="363">
        <v>19843481</v>
      </c>
      <c r="C309" s="362" t="s">
        <v>9848</v>
      </c>
      <c r="D309" s="362" t="s">
        <v>9849</v>
      </c>
      <c r="E309" s="362" t="s">
        <v>9850</v>
      </c>
      <c r="F309" s="362" t="s">
        <v>4000</v>
      </c>
      <c r="G309" s="362" t="s">
        <v>8640</v>
      </c>
      <c r="H309" s="363">
        <v>2009</v>
      </c>
      <c r="I309" s="378">
        <v>40108</v>
      </c>
      <c r="J309" s="365"/>
      <c r="K309" s="365"/>
      <c r="L309" s="362" t="s">
        <v>9851</v>
      </c>
    </row>
    <row r="310" spans="1:12">
      <c r="A310" s="363">
        <f>VLOOKUP(B310, 'PubMed 4.14.21 Results'!B:B, 1, FALSE)</f>
        <v>19515590</v>
      </c>
      <c r="B310" s="363">
        <v>19515590</v>
      </c>
      <c r="C310" s="362" t="s">
        <v>9852</v>
      </c>
      <c r="D310" s="362" t="s">
        <v>9853</v>
      </c>
      <c r="E310" s="362" t="s">
        <v>9854</v>
      </c>
      <c r="F310" s="362" t="s">
        <v>6791</v>
      </c>
      <c r="G310" s="362" t="s">
        <v>9855</v>
      </c>
      <c r="H310" s="363">
        <v>2009</v>
      </c>
      <c r="I310" s="378">
        <v>39976</v>
      </c>
      <c r="J310" s="365"/>
      <c r="K310" s="365"/>
      <c r="L310" s="362" t="s">
        <v>9856</v>
      </c>
    </row>
    <row r="311" spans="1:12">
      <c r="A311" s="363">
        <f>VLOOKUP(B311, 'PubMed 4.14.21 Results'!B:B, 1, FALSE)</f>
        <v>19596014</v>
      </c>
      <c r="B311" s="363">
        <v>19596014</v>
      </c>
      <c r="C311" s="362" t="s">
        <v>9857</v>
      </c>
      <c r="D311" s="362" t="s">
        <v>9858</v>
      </c>
      <c r="E311" s="362" t="s">
        <v>9859</v>
      </c>
      <c r="F311" s="362" t="s">
        <v>7727</v>
      </c>
      <c r="G311" s="362" t="s">
        <v>9860</v>
      </c>
      <c r="H311" s="363">
        <v>2009</v>
      </c>
      <c r="I311" s="378">
        <v>40009</v>
      </c>
      <c r="J311" s="365"/>
      <c r="K311" s="365"/>
      <c r="L311" s="362" t="s">
        <v>9861</v>
      </c>
    </row>
    <row r="312" spans="1:12">
      <c r="A312" s="363">
        <f>VLOOKUP(B312, 'PubMed 4.14.21 Results'!B:B, 1, FALSE)</f>
        <v>19596875</v>
      </c>
      <c r="B312" s="363">
        <v>19596875</v>
      </c>
      <c r="C312" s="362" t="s">
        <v>9862</v>
      </c>
      <c r="D312" s="362" t="s">
        <v>9863</v>
      </c>
      <c r="E312" s="362" t="s">
        <v>9864</v>
      </c>
      <c r="F312" s="362" t="s">
        <v>7884</v>
      </c>
      <c r="G312" s="362" t="s">
        <v>8675</v>
      </c>
      <c r="H312" s="363">
        <v>2009</v>
      </c>
      <c r="I312" s="378">
        <v>40009</v>
      </c>
      <c r="J312" s="434" t="s">
        <v>7885</v>
      </c>
      <c r="K312" s="425"/>
      <c r="L312" s="362" t="s">
        <v>9865</v>
      </c>
    </row>
    <row r="313" spans="1:12">
      <c r="A313" s="363">
        <f>VLOOKUP(B313, 'PubMed 4.14.21 Results'!B:B, 1, FALSE)</f>
        <v>19841406</v>
      </c>
      <c r="B313" s="363">
        <v>19841406</v>
      </c>
      <c r="C313" s="362" t="s">
        <v>9866</v>
      </c>
      <c r="D313" s="362" t="s">
        <v>9867</v>
      </c>
      <c r="E313" s="362" t="s">
        <v>9868</v>
      </c>
      <c r="F313" s="362" t="s">
        <v>7944</v>
      </c>
      <c r="G313" s="362" t="s">
        <v>8612</v>
      </c>
      <c r="H313" s="363">
        <v>2009</v>
      </c>
      <c r="I313" s="378">
        <v>40107</v>
      </c>
      <c r="J313" s="365"/>
      <c r="K313" s="365"/>
      <c r="L313" s="362" t="s">
        <v>9869</v>
      </c>
    </row>
    <row r="314" spans="1:12">
      <c r="A314" s="363">
        <f>VLOOKUP(B314, 'PubMed 4.14.21 Results'!B:B, 1, FALSE)</f>
        <v>19856067</v>
      </c>
      <c r="B314" s="363">
        <v>19856067</v>
      </c>
      <c r="C314" s="362" t="s">
        <v>9870</v>
      </c>
      <c r="D314" s="362" t="s">
        <v>9871</v>
      </c>
      <c r="E314" s="362" t="s">
        <v>9872</v>
      </c>
      <c r="F314" s="362" t="s">
        <v>8129</v>
      </c>
      <c r="G314" s="362" t="s">
        <v>9873</v>
      </c>
      <c r="H314" s="363">
        <v>2009</v>
      </c>
      <c r="I314" s="378">
        <v>40113</v>
      </c>
      <c r="J314" s="365"/>
      <c r="K314" s="365"/>
      <c r="L314" s="362" t="s">
        <v>9874</v>
      </c>
    </row>
    <row r="315" spans="1:12">
      <c r="A315" s="363">
        <f>VLOOKUP(B315, 'PubMed 4.14.21 Results'!B:B, 1, FALSE)</f>
        <v>19951553</v>
      </c>
      <c r="B315" s="363">
        <v>19951553</v>
      </c>
      <c r="C315" s="362" t="s">
        <v>9875</v>
      </c>
      <c r="D315" s="362" t="s">
        <v>9876</v>
      </c>
      <c r="E315" s="362" t="s">
        <v>9877</v>
      </c>
      <c r="F315" s="362" t="s">
        <v>5358</v>
      </c>
      <c r="G315" s="362" t="s">
        <v>9878</v>
      </c>
      <c r="H315" s="363">
        <v>2009</v>
      </c>
      <c r="I315" s="378">
        <v>40150</v>
      </c>
      <c r="J315" s="365"/>
      <c r="K315" s="365"/>
      <c r="L315" s="365"/>
    </row>
    <row r="316" spans="1:12">
      <c r="A316" s="363">
        <f>VLOOKUP(B316, 'PubMed 4.14.21 Results'!B:B, 1, FALSE)</f>
        <v>19738121</v>
      </c>
      <c r="B316" s="363">
        <v>19738121</v>
      </c>
      <c r="C316" s="362" t="s">
        <v>9879</v>
      </c>
      <c r="D316" s="362" t="s">
        <v>9880</v>
      </c>
      <c r="E316" s="362" t="s">
        <v>9881</v>
      </c>
      <c r="F316" s="362" t="s">
        <v>7251</v>
      </c>
      <c r="G316" s="362" t="s">
        <v>8547</v>
      </c>
      <c r="H316" s="363">
        <v>2009</v>
      </c>
      <c r="I316" s="378">
        <v>40066</v>
      </c>
      <c r="J316" s="365"/>
      <c r="K316" s="365"/>
      <c r="L316" s="362" t="s">
        <v>9882</v>
      </c>
    </row>
    <row r="317" spans="1:12">
      <c r="A317" s="363">
        <f>VLOOKUP(B317, 'PubMed 4.14.21 Results'!B:B, 1, FALSE)</f>
        <v>19840663</v>
      </c>
      <c r="B317" s="363">
        <v>19840663</v>
      </c>
      <c r="C317" s="362" t="s">
        <v>9883</v>
      </c>
      <c r="D317" s="362" t="s">
        <v>9700</v>
      </c>
      <c r="E317" s="362" t="s">
        <v>9884</v>
      </c>
      <c r="F317" s="362" t="s">
        <v>7205</v>
      </c>
      <c r="G317" s="362" t="s">
        <v>21</v>
      </c>
      <c r="H317" s="363">
        <v>2009</v>
      </c>
      <c r="I317" s="378">
        <v>40107</v>
      </c>
      <c r="J317" s="365"/>
      <c r="K317" s="365"/>
      <c r="L317" s="362" t="s">
        <v>9885</v>
      </c>
    </row>
    <row r="318" spans="1:12">
      <c r="A318" s="363">
        <f>VLOOKUP(B318, 'PubMed 4.14.21 Results'!B:B, 1, FALSE)</f>
        <v>19638966</v>
      </c>
      <c r="B318" s="363">
        <v>19638966</v>
      </c>
      <c r="C318" s="362" t="s">
        <v>9886</v>
      </c>
      <c r="D318" s="362" t="s">
        <v>9887</v>
      </c>
      <c r="E318" s="362" t="s">
        <v>9888</v>
      </c>
      <c r="F318" s="362" t="s">
        <v>7435</v>
      </c>
      <c r="G318" s="362" t="s">
        <v>9292</v>
      </c>
      <c r="H318" s="363">
        <v>2009</v>
      </c>
      <c r="I318" s="378">
        <v>40024</v>
      </c>
      <c r="J318" s="365"/>
      <c r="K318" s="365"/>
      <c r="L318" s="362" t="s">
        <v>9889</v>
      </c>
    </row>
    <row r="319" spans="1:12">
      <c r="A319" s="363">
        <f>VLOOKUP(B319, 'PubMed 4.14.21 Results'!B:B, 1, FALSE)</f>
        <v>19894368</v>
      </c>
      <c r="B319" s="363">
        <v>19894368</v>
      </c>
      <c r="C319" s="362" t="s">
        <v>9890</v>
      </c>
      <c r="D319" s="362" t="s">
        <v>9891</v>
      </c>
      <c r="E319" s="362" t="s">
        <v>9892</v>
      </c>
      <c r="F319" s="362" t="s">
        <v>7680</v>
      </c>
      <c r="G319" s="362" t="s">
        <v>9604</v>
      </c>
      <c r="H319" s="363">
        <v>2009</v>
      </c>
      <c r="I319" s="378">
        <v>40127</v>
      </c>
      <c r="J319" s="365"/>
      <c r="K319" s="365"/>
      <c r="L319" s="365"/>
    </row>
    <row r="320" spans="1:12">
      <c r="A320" s="363">
        <f>VLOOKUP(B320, 'PubMed 4.14.21 Results'!B:B, 1, FALSE)</f>
        <v>20028569</v>
      </c>
      <c r="B320" s="363">
        <v>20028569</v>
      </c>
      <c r="C320" s="362" t="s">
        <v>9893</v>
      </c>
      <c r="D320" s="362" t="s">
        <v>9894</v>
      </c>
      <c r="E320" s="362" t="s">
        <v>9895</v>
      </c>
      <c r="F320" s="362" t="s">
        <v>6636</v>
      </c>
      <c r="G320" s="362" t="s">
        <v>9896</v>
      </c>
      <c r="H320" s="363">
        <v>2009</v>
      </c>
      <c r="I320" s="378">
        <v>40171</v>
      </c>
      <c r="J320" s="362" t="s">
        <v>6637</v>
      </c>
      <c r="K320" s="362" t="s">
        <v>9897</v>
      </c>
      <c r="L320" s="362" t="s">
        <v>9898</v>
      </c>
    </row>
    <row r="321" spans="1:12">
      <c r="A321" s="363">
        <f>VLOOKUP(B321, 'PubMed 4.14.21 Results'!B:B, 1, FALSE)</f>
        <v>19819004</v>
      </c>
      <c r="B321" s="363">
        <v>19819004</v>
      </c>
      <c r="C321" s="362" t="s">
        <v>9899</v>
      </c>
      <c r="D321" s="362" t="s">
        <v>9900</v>
      </c>
      <c r="E321" s="362" t="s">
        <v>9901</v>
      </c>
      <c r="F321" s="362" t="s">
        <v>7880</v>
      </c>
      <c r="G321" s="362" t="s">
        <v>9420</v>
      </c>
      <c r="H321" s="363">
        <v>2009</v>
      </c>
      <c r="I321" s="378">
        <v>40099</v>
      </c>
      <c r="J321" s="365"/>
      <c r="K321" s="365"/>
      <c r="L321" s="362" t="s">
        <v>9902</v>
      </c>
    </row>
    <row r="322" spans="1:12">
      <c r="A322" s="363">
        <f>VLOOKUP(B322, 'PubMed 4.14.21 Results'!B:B, 1, FALSE)</f>
        <v>19930566</v>
      </c>
      <c r="B322" s="363">
        <v>19930566</v>
      </c>
      <c r="C322" s="362" t="s">
        <v>9903</v>
      </c>
      <c r="D322" s="362" t="s">
        <v>9904</v>
      </c>
      <c r="E322" s="362" t="s">
        <v>9905</v>
      </c>
      <c r="F322" s="362" t="s">
        <v>7462</v>
      </c>
      <c r="G322" s="362" t="s">
        <v>9906</v>
      </c>
      <c r="H322" s="363">
        <v>2009</v>
      </c>
      <c r="I322" s="378">
        <v>40143</v>
      </c>
      <c r="J322" s="434" t="s">
        <v>7463</v>
      </c>
      <c r="K322" s="425"/>
      <c r="L322" s="362" t="s">
        <v>9907</v>
      </c>
    </row>
    <row r="323" spans="1:12">
      <c r="A323" s="363">
        <f>VLOOKUP(B323, 'PubMed 4.14.21 Results'!B:B, 1, FALSE)</f>
        <v>19629539</v>
      </c>
      <c r="B323" s="363">
        <v>19629539</v>
      </c>
      <c r="C323" s="362" t="s">
        <v>9908</v>
      </c>
      <c r="D323" s="362" t="s">
        <v>9909</v>
      </c>
      <c r="E323" s="362" t="s">
        <v>9910</v>
      </c>
      <c r="F323" s="362" t="s">
        <v>7114</v>
      </c>
      <c r="G323" s="362" t="s">
        <v>9911</v>
      </c>
      <c r="H323" s="363">
        <v>2009</v>
      </c>
      <c r="I323" s="378">
        <v>40019</v>
      </c>
      <c r="J323" s="365"/>
      <c r="K323" s="365"/>
      <c r="L323" s="362" t="s">
        <v>9912</v>
      </c>
    </row>
    <row r="324" spans="1:12">
      <c r="A324" s="363">
        <f>VLOOKUP(B324, 'PubMed 4.14.21 Results'!B:B, 1, FALSE)</f>
        <v>19644773</v>
      </c>
      <c r="B324" s="363">
        <v>19644773</v>
      </c>
      <c r="C324" s="362" t="s">
        <v>9913</v>
      </c>
      <c r="D324" s="362" t="s">
        <v>9914</v>
      </c>
      <c r="E324" s="362" t="s">
        <v>9915</v>
      </c>
      <c r="F324" s="362" t="s">
        <v>7761</v>
      </c>
      <c r="G324" s="362" t="s">
        <v>9916</v>
      </c>
      <c r="H324" s="363">
        <v>2009</v>
      </c>
      <c r="I324" s="378">
        <v>40026</v>
      </c>
      <c r="J324" s="365"/>
      <c r="K324" s="365"/>
      <c r="L324" s="362" t="s">
        <v>9917</v>
      </c>
    </row>
    <row r="325" spans="1:12">
      <c r="A325" s="363">
        <f>VLOOKUP(B325, 'PubMed 4.14.21 Results'!B:B, 1, FALSE)</f>
        <v>19675533</v>
      </c>
      <c r="B325" s="363">
        <v>19675533</v>
      </c>
      <c r="C325" s="362" t="s">
        <v>9918</v>
      </c>
      <c r="D325" s="362" t="s">
        <v>9919</v>
      </c>
      <c r="E325" s="362" t="s">
        <v>9920</v>
      </c>
      <c r="F325" s="362" t="s">
        <v>7358</v>
      </c>
      <c r="G325" s="362" t="s">
        <v>9921</v>
      </c>
      <c r="H325" s="363">
        <v>2009</v>
      </c>
      <c r="I325" s="378">
        <v>40039</v>
      </c>
      <c r="J325" s="365"/>
      <c r="K325" s="365"/>
      <c r="L325" s="362" t="s">
        <v>9922</v>
      </c>
    </row>
    <row r="326" spans="1:12">
      <c r="A326" s="363">
        <f>VLOOKUP(B326, 'PubMed 4.14.21 Results'!B:B, 1, FALSE)</f>
        <v>19995118</v>
      </c>
      <c r="B326" s="363">
        <v>19995118</v>
      </c>
      <c r="C326" s="362" t="s">
        <v>9923</v>
      </c>
      <c r="D326" s="362" t="s">
        <v>9924</v>
      </c>
      <c r="E326" s="362" t="s">
        <v>9925</v>
      </c>
      <c r="F326" s="362" t="s">
        <v>8121</v>
      </c>
      <c r="G326" s="362" t="s">
        <v>9926</v>
      </c>
      <c r="H326" s="363">
        <v>2009</v>
      </c>
      <c r="I326" s="378">
        <v>40157</v>
      </c>
      <c r="J326" s="365"/>
      <c r="K326" s="365"/>
      <c r="L326" s="362" t="s">
        <v>9927</v>
      </c>
    </row>
    <row r="327" spans="1:12">
      <c r="A327" s="363">
        <f>VLOOKUP(B327, 'PubMed 4.14.21 Results'!B:B, 1, FALSE)</f>
        <v>20030830</v>
      </c>
      <c r="B327" s="363">
        <v>20030830</v>
      </c>
      <c r="C327" s="362" t="s">
        <v>9928</v>
      </c>
      <c r="D327" s="362" t="s">
        <v>9929</v>
      </c>
      <c r="E327" s="362" t="s">
        <v>9930</v>
      </c>
      <c r="F327" s="362" t="s">
        <v>7959</v>
      </c>
      <c r="G327" s="362" t="s">
        <v>9906</v>
      </c>
      <c r="H327" s="363">
        <v>2009</v>
      </c>
      <c r="I327" s="378">
        <v>40172</v>
      </c>
      <c r="J327" s="434" t="s">
        <v>7960</v>
      </c>
      <c r="K327" s="425"/>
      <c r="L327" s="362" t="s">
        <v>9931</v>
      </c>
    </row>
    <row r="328" spans="1:12">
      <c r="A328" s="363">
        <f>VLOOKUP(B328, 'PubMed 4.14.21 Results'!B:B, 1, FALSE)</f>
        <v>19854728</v>
      </c>
      <c r="B328" s="363">
        <v>19854728</v>
      </c>
      <c r="C328" s="362" t="s">
        <v>9932</v>
      </c>
      <c r="D328" s="362" t="s">
        <v>9933</v>
      </c>
      <c r="E328" s="362" t="s">
        <v>9934</v>
      </c>
      <c r="F328" s="362" t="s">
        <v>7776</v>
      </c>
      <c r="G328" s="362" t="s">
        <v>9935</v>
      </c>
      <c r="H328" s="363">
        <v>2010</v>
      </c>
      <c r="I328" s="378">
        <v>40113</v>
      </c>
      <c r="J328" s="365"/>
      <c r="K328" s="365"/>
      <c r="L328" s="362" t="s">
        <v>9936</v>
      </c>
    </row>
    <row r="329" spans="1:12">
      <c r="A329" s="363">
        <f>VLOOKUP(B329, 'PubMed 4.14.21 Results'!B:B, 1, FALSE)</f>
        <v>19919295</v>
      </c>
      <c r="B329" s="363">
        <v>19919295</v>
      </c>
      <c r="C329" s="362" t="s">
        <v>9937</v>
      </c>
      <c r="D329" s="362" t="s">
        <v>9938</v>
      </c>
      <c r="E329" s="362" t="s">
        <v>9939</v>
      </c>
      <c r="F329" s="362" t="s">
        <v>7657</v>
      </c>
      <c r="G329" s="362" t="s">
        <v>8762</v>
      </c>
      <c r="H329" s="363">
        <v>2010</v>
      </c>
      <c r="I329" s="378">
        <v>40136</v>
      </c>
      <c r="J329" s="365"/>
      <c r="K329" s="365"/>
      <c r="L329" s="362" t="s">
        <v>9940</v>
      </c>
    </row>
    <row r="330" spans="1:12">
      <c r="A330" s="363">
        <f>VLOOKUP(B330, 'PubMed 4.14.21 Results'!B:B, 1, FALSE)</f>
        <v>20171407</v>
      </c>
      <c r="B330" s="363">
        <v>20171407</v>
      </c>
      <c r="C330" s="362" t="s">
        <v>9941</v>
      </c>
      <c r="D330" s="362" t="s">
        <v>9942</v>
      </c>
      <c r="E330" s="362" t="s">
        <v>9943</v>
      </c>
      <c r="F330" s="362" t="s">
        <v>7521</v>
      </c>
      <c r="G330" s="362" t="s">
        <v>8640</v>
      </c>
      <c r="H330" s="363">
        <v>2010</v>
      </c>
      <c r="I330" s="378">
        <v>40232</v>
      </c>
      <c r="J330" s="365"/>
      <c r="K330" s="365"/>
      <c r="L330" s="362" t="s">
        <v>9944</v>
      </c>
    </row>
    <row r="331" spans="1:12">
      <c r="A331" s="363">
        <f>VLOOKUP(B331, 'PubMed 4.14.21 Results'!B:B, 1, FALSE)</f>
        <v>20670049</v>
      </c>
      <c r="B331" s="363">
        <v>20670049</v>
      </c>
      <c r="C331" s="362" t="s">
        <v>9945</v>
      </c>
      <c r="D331" s="362" t="s">
        <v>9946</v>
      </c>
      <c r="E331" s="362" t="s">
        <v>9947</v>
      </c>
      <c r="F331" s="362" t="s">
        <v>7294</v>
      </c>
      <c r="G331" s="362" t="s">
        <v>9948</v>
      </c>
      <c r="H331" s="363">
        <v>2010</v>
      </c>
      <c r="I331" s="378">
        <v>40390</v>
      </c>
      <c r="J331" s="365"/>
      <c r="K331" s="365"/>
      <c r="L331" s="362" t="s">
        <v>9949</v>
      </c>
    </row>
    <row r="332" spans="1:12">
      <c r="A332" s="363">
        <f>VLOOKUP(B332, 'PubMed 4.14.21 Results'!B:B, 1, FALSE)</f>
        <v>20831302</v>
      </c>
      <c r="B332" s="363">
        <v>20831302</v>
      </c>
      <c r="C332" s="362" t="s">
        <v>9950</v>
      </c>
      <c r="D332" s="362" t="s">
        <v>9951</v>
      </c>
      <c r="E332" s="362" t="s">
        <v>9952</v>
      </c>
      <c r="F332" s="362" t="s">
        <v>7815</v>
      </c>
      <c r="G332" s="362" t="s">
        <v>9049</v>
      </c>
      <c r="H332" s="363">
        <v>2010</v>
      </c>
      <c r="I332" s="378">
        <v>40435</v>
      </c>
      <c r="J332" s="365"/>
      <c r="K332" s="365"/>
      <c r="L332" s="362" t="s">
        <v>9953</v>
      </c>
    </row>
    <row r="333" spans="1:12">
      <c r="A333" s="363">
        <f>VLOOKUP(B333, 'PubMed 4.14.21 Results'!B:B, 1, FALSE)</f>
        <v>20091577</v>
      </c>
      <c r="B333" s="363">
        <v>20091577</v>
      </c>
      <c r="C333" s="362" t="s">
        <v>9954</v>
      </c>
      <c r="D333" s="362" t="s">
        <v>9955</v>
      </c>
      <c r="E333" s="362" t="s">
        <v>9956</v>
      </c>
      <c r="F333" s="362" t="s">
        <v>6577</v>
      </c>
      <c r="G333" s="362" t="s">
        <v>8857</v>
      </c>
      <c r="H333" s="363">
        <v>2010</v>
      </c>
      <c r="I333" s="378">
        <v>40200</v>
      </c>
      <c r="J333" s="365"/>
      <c r="K333" s="365"/>
      <c r="L333" s="362" t="s">
        <v>9957</v>
      </c>
    </row>
    <row r="334" spans="1:12">
      <c r="A334" s="363">
        <f>VLOOKUP(B334, 'PubMed 4.14.21 Results'!B:B, 1, FALSE)</f>
        <v>19646777</v>
      </c>
      <c r="B334" s="363">
        <v>19646777</v>
      </c>
      <c r="C334" s="362" t="s">
        <v>9958</v>
      </c>
      <c r="D334" s="362" t="s">
        <v>9959</v>
      </c>
      <c r="E334" s="362" t="s">
        <v>9960</v>
      </c>
      <c r="F334" s="362" t="s">
        <v>7411</v>
      </c>
      <c r="G334" s="362" t="s">
        <v>9961</v>
      </c>
      <c r="H334" s="363">
        <v>2010</v>
      </c>
      <c r="I334" s="378">
        <v>40029</v>
      </c>
      <c r="J334" s="365"/>
      <c r="K334" s="365"/>
      <c r="L334" s="362" t="s">
        <v>9962</v>
      </c>
    </row>
    <row r="335" spans="1:12">
      <c r="A335" s="363">
        <f>VLOOKUP(B335, 'PubMed 4.14.21 Results'!B:B, 1, FALSE)</f>
        <v>19731330</v>
      </c>
      <c r="B335" s="363">
        <v>19731330</v>
      </c>
      <c r="C335" s="362" t="s">
        <v>9963</v>
      </c>
      <c r="D335" s="362" t="s">
        <v>9964</v>
      </c>
      <c r="E335" s="362" t="s">
        <v>9965</v>
      </c>
      <c r="F335" s="362" t="s">
        <v>7928</v>
      </c>
      <c r="G335" s="362" t="s">
        <v>9966</v>
      </c>
      <c r="H335" s="363">
        <v>2010</v>
      </c>
      <c r="I335" s="378">
        <v>40061</v>
      </c>
      <c r="J335" s="362" t="s">
        <v>7929</v>
      </c>
      <c r="K335" s="362" t="s">
        <v>9967</v>
      </c>
      <c r="L335" s="362" t="s">
        <v>9968</v>
      </c>
    </row>
    <row r="336" spans="1:12">
      <c r="A336" s="363">
        <f>VLOOKUP(B336, 'PubMed 4.14.21 Results'!B:B, 1, FALSE)</f>
        <v>20156911</v>
      </c>
      <c r="B336" s="363">
        <v>20156911</v>
      </c>
      <c r="C336" s="362" t="s">
        <v>9969</v>
      </c>
      <c r="D336" s="362" t="s">
        <v>9970</v>
      </c>
      <c r="E336" s="362" t="s">
        <v>9971</v>
      </c>
      <c r="F336" s="362" t="s">
        <v>6452</v>
      </c>
      <c r="G336" s="362" t="s">
        <v>8977</v>
      </c>
      <c r="H336" s="363">
        <v>2010</v>
      </c>
      <c r="I336" s="378">
        <v>40226</v>
      </c>
      <c r="J336" s="434" t="s">
        <v>6453</v>
      </c>
      <c r="K336" s="425"/>
      <c r="L336" s="362" t="s">
        <v>9972</v>
      </c>
    </row>
    <row r="337" spans="1:12">
      <c r="A337" s="363">
        <f>VLOOKUP(B337, 'PubMed 4.14.21 Results'!B:B, 1, FALSE)</f>
        <v>20078249</v>
      </c>
      <c r="B337" s="363">
        <v>20078249</v>
      </c>
      <c r="C337" s="362" t="s">
        <v>9973</v>
      </c>
      <c r="D337" s="362" t="s">
        <v>9974</v>
      </c>
      <c r="E337" s="362" t="s">
        <v>9975</v>
      </c>
      <c r="F337" s="362" t="s">
        <v>6542</v>
      </c>
      <c r="G337" s="362" t="s">
        <v>9976</v>
      </c>
      <c r="H337" s="363">
        <v>2010</v>
      </c>
      <c r="I337" s="378">
        <v>40197</v>
      </c>
      <c r="J337" s="365"/>
      <c r="K337" s="365"/>
      <c r="L337" s="362" t="s">
        <v>9977</v>
      </c>
    </row>
    <row r="338" spans="1:12">
      <c r="A338" s="363">
        <f>VLOOKUP(B338, 'PubMed 4.14.21 Results'!B:B, 1, FALSE)</f>
        <v>19845547</v>
      </c>
      <c r="B338" s="363">
        <v>19845547</v>
      </c>
      <c r="C338" s="362" t="s">
        <v>9978</v>
      </c>
      <c r="D338" s="362" t="s">
        <v>9979</v>
      </c>
      <c r="E338" s="362" t="s">
        <v>9980</v>
      </c>
      <c r="F338" s="362" t="s">
        <v>7682</v>
      </c>
      <c r="G338" s="362" t="s">
        <v>9981</v>
      </c>
      <c r="H338" s="363">
        <v>2010</v>
      </c>
      <c r="I338" s="378">
        <v>40109</v>
      </c>
      <c r="J338" s="365"/>
      <c r="K338" s="365"/>
      <c r="L338" s="362" t="s">
        <v>9982</v>
      </c>
    </row>
    <row r="339" spans="1:12">
      <c r="A339" s="363">
        <f>VLOOKUP(B339, 'PubMed 4.14.21 Results'!B:B, 1, FALSE)</f>
        <v>20220777</v>
      </c>
      <c r="B339" s="363">
        <v>20220777</v>
      </c>
      <c r="C339" s="362" t="s">
        <v>9983</v>
      </c>
      <c r="D339" s="362" t="s">
        <v>9984</v>
      </c>
      <c r="E339" s="362" t="s">
        <v>9985</v>
      </c>
      <c r="F339" s="362" t="s">
        <v>6937</v>
      </c>
      <c r="G339" s="362" t="s">
        <v>9986</v>
      </c>
      <c r="H339" s="363">
        <v>2010</v>
      </c>
      <c r="I339" s="378">
        <v>40249</v>
      </c>
      <c r="J339" s="365"/>
      <c r="K339" s="365"/>
      <c r="L339" s="362" t="s">
        <v>9987</v>
      </c>
    </row>
    <row r="340" spans="1:12">
      <c r="A340" s="363">
        <f>VLOOKUP(B340, 'PubMed 4.14.21 Results'!B:B, 1, FALSE)</f>
        <v>20347483</v>
      </c>
      <c r="B340" s="363">
        <v>20347483</v>
      </c>
      <c r="C340" s="362" t="s">
        <v>9988</v>
      </c>
      <c r="D340" s="362" t="s">
        <v>9989</v>
      </c>
      <c r="E340" s="362" t="s">
        <v>9990</v>
      </c>
      <c r="F340" s="362" t="s">
        <v>8023</v>
      </c>
      <c r="G340" s="362" t="s">
        <v>9420</v>
      </c>
      <c r="H340" s="363">
        <v>2010</v>
      </c>
      <c r="I340" s="378">
        <v>40267</v>
      </c>
      <c r="J340" s="434" t="s">
        <v>8024</v>
      </c>
      <c r="K340" s="425"/>
      <c r="L340" s="362" t="s">
        <v>9991</v>
      </c>
    </row>
    <row r="341" spans="1:12">
      <c r="A341" s="363">
        <f>VLOOKUP(B341, 'PubMed 4.14.21 Results'!B:B, 1, FALSE)</f>
        <v>20331461</v>
      </c>
      <c r="B341" s="363">
        <v>20331461</v>
      </c>
      <c r="C341" s="362" t="s">
        <v>9992</v>
      </c>
      <c r="D341" s="362" t="s">
        <v>9993</v>
      </c>
      <c r="E341" s="362" t="s">
        <v>9994</v>
      </c>
      <c r="F341" s="362" t="s">
        <v>6862</v>
      </c>
      <c r="G341" s="362" t="s">
        <v>9995</v>
      </c>
      <c r="H341" s="363">
        <v>2010</v>
      </c>
      <c r="I341" s="378">
        <v>40262</v>
      </c>
      <c r="J341" s="365"/>
      <c r="K341" s="365"/>
      <c r="L341" s="362" t="s">
        <v>9996</v>
      </c>
    </row>
    <row r="342" spans="1:12">
      <c r="A342" s="363">
        <f>VLOOKUP(B342, 'PubMed 4.14.21 Results'!B:B, 1, FALSE)</f>
        <v>20200300</v>
      </c>
      <c r="B342" s="363">
        <v>20200300</v>
      </c>
      <c r="C342" s="362" t="s">
        <v>9997</v>
      </c>
      <c r="D342" s="362" t="s">
        <v>9998</v>
      </c>
      <c r="E342" s="362" t="s">
        <v>9999</v>
      </c>
      <c r="F342" s="362" t="s">
        <v>7007</v>
      </c>
      <c r="G342" s="362" t="s">
        <v>8721</v>
      </c>
      <c r="H342" s="363">
        <v>2010</v>
      </c>
      <c r="I342" s="378">
        <v>40242</v>
      </c>
      <c r="J342" s="434" t="s">
        <v>7008</v>
      </c>
      <c r="K342" s="425"/>
      <c r="L342" s="362" t="s">
        <v>10000</v>
      </c>
    </row>
    <row r="343" spans="1:12">
      <c r="A343" s="363">
        <f>VLOOKUP(B343, 'PubMed 4.14.21 Results'!B:B, 1, FALSE)</f>
        <v>20525274</v>
      </c>
      <c r="B343" s="363">
        <v>20525274</v>
      </c>
      <c r="C343" s="362" t="s">
        <v>10001</v>
      </c>
      <c r="D343" s="362" t="s">
        <v>10002</v>
      </c>
      <c r="E343" s="362" t="s">
        <v>10003</v>
      </c>
      <c r="F343" s="362" t="s">
        <v>6851</v>
      </c>
      <c r="G343" s="362" t="s">
        <v>10004</v>
      </c>
      <c r="H343" s="363">
        <v>2010</v>
      </c>
      <c r="I343" s="378">
        <v>40337</v>
      </c>
      <c r="J343" s="434" t="s">
        <v>6852</v>
      </c>
      <c r="K343" s="425"/>
      <c r="L343" s="362" t="s">
        <v>10005</v>
      </c>
    </row>
    <row r="344" spans="1:12">
      <c r="A344" s="363">
        <f>VLOOKUP(B344, 'PubMed 4.14.21 Results'!B:B, 1, FALSE)</f>
        <v>20556771</v>
      </c>
      <c r="B344" s="363">
        <v>20556771</v>
      </c>
      <c r="C344" s="362" t="s">
        <v>10006</v>
      </c>
      <c r="D344" s="362" t="s">
        <v>10007</v>
      </c>
      <c r="E344" s="362" t="s">
        <v>10008</v>
      </c>
      <c r="F344" s="362" t="s">
        <v>6911</v>
      </c>
      <c r="G344" s="362" t="s">
        <v>8857</v>
      </c>
      <c r="H344" s="363">
        <v>2010</v>
      </c>
      <c r="I344" s="378">
        <v>40347</v>
      </c>
      <c r="J344" s="434" t="s">
        <v>6912</v>
      </c>
      <c r="K344" s="425"/>
      <c r="L344" s="362" t="s">
        <v>10009</v>
      </c>
    </row>
    <row r="345" spans="1:12">
      <c r="A345" s="363">
        <f>VLOOKUP(B345, 'PubMed 4.14.21 Results'!B:B, 1, FALSE)</f>
        <v>20573187</v>
      </c>
      <c r="B345" s="363">
        <v>20573187</v>
      </c>
      <c r="C345" s="362" t="s">
        <v>10010</v>
      </c>
      <c r="D345" s="362" t="s">
        <v>10011</v>
      </c>
      <c r="E345" s="362" t="s">
        <v>10012</v>
      </c>
      <c r="F345" s="362" t="s">
        <v>7802</v>
      </c>
      <c r="G345" s="362" t="s">
        <v>10013</v>
      </c>
      <c r="H345" s="363">
        <v>2010</v>
      </c>
      <c r="I345" s="378">
        <v>40354</v>
      </c>
      <c r="J345" s="434" t="s">
        <v>7803</v>
      </c>
      <c r="K345" s="425"/>
      <c r="L345" s="362" t="s">
        <v>10014</v>
      </c>
    </row>
    <row r="346" spans="1:12">
      <c r="A346" s="363">
        <f>VLOOKUP(B346, 'PubMed 4.14.21 Results'!B:B, 1, FALSE)</f>
        <v>20441397</v>
      </c>
      <c r="B346" s="363">
        <v>20441397</v>
      </c>
      <c r="C346" s="362" t="s">
        <v>10015</v>
      </c>
      <c r="D346" s="362" t="s">
        <v>10016</v>
      </c>
      <c r="E346" s="362" t="s">
        <v>10017</v>
      </c>
      <c r="F346" s="362" t="s">
        <v>7013</v>
      </c>
      <c r="G346" s="362" t="s">
        <v>8762</v>
      </c>
      <c r="H346" s="363">
        <v>2010</v>
      </c>
      <c r="I346" s="378">
        <v>40304</v>
      </c>
      <c r="J346" s="365"/>
      <c r="K346" s="365"/>
      <c r="L346" s="362" t="s">
        <v>10018</v>
      </c>
    </row>
    <row r="347" spans="1:12">
      <c r="A347" s="363">
        <f>VLOOKUP(B347, 'PubMed 4.14.21 Results'!B:B, 1, FALSE)</f>
        <v>20849195</v>
      </c>
      <c r="B347" s="363">
        <v>20849195</v>
      </c>
      <c r="C347" s="362" t="s">
        <v>10019</v>
      </c>
      <c r="D347" s="362" t="s">
        <v>10020</v>
      </c>
      <c r="E347" s="362" t="s">
        <v>10021</v>
      </c>
      <c r="F347" s="362" t="s">
        <v>7665</v>
      </c>
      <c r="G347" s="362" t="s">
        <v>10022</v>
      </c>
      <c r="H347" s="363">
        <v>2010</v>
      </c>
      <c r="I347" s="378">
        <v>40442</v>
      </c>
      <c r="J347" s="365"/>
      <c r="K347" s="365"/>
      <c r="L347" s="365"/>
    </row>
    <row r="348" spans="1:12">
      <c r="A348" s="363">
        <f>VLOOKUP(B348, 'PubMed 4.14.21 Results'!B:B, 1, FALSE)</f>
        <v>20493274</v>
      </c>
      <c r="B348" s="363">
        <v>20493274</v>
      </c>
      <c r="C348" s="362" t="s">
        <v>10023</v>
      </c>
      <c r="D348" s="362" t="s">
        <v>10024</v>
      </c>
      <c r="E348" s="362" t="s">
        <v>10025</v>
      </c>
      <c r="F348" s="362" t="s">
        <v>7079</v>
      </c>
      <c r="G348" s="362" t="s">
        <v>10026</v>
      </c>
      <c r="H348" s="363">
        <v>2010</v>
      </c>
      <c r="I348" s="378">
        <v>40323</v>
      </c>
      <c r="J348" s="365"/>
      <c r="K348" s="365"/>
      <c r="L348" s="362" t="s">
        <v>10027</v>
      </c>
    </row>
    <row r="349" spans="1:12">
      <c r="A349" s="363">
        <f>VLOOKUP(B349, 'PubMed 4.14.21 Results'!B:B, 1, FALSE)</f>
        <v>20629597</v>
      </c>
      <c r="B349" s="363">
        <v>20629597</v>
      </c>
      <c r="C349" s="362" t="s">
        <v>10028</v>
      </c>
      <c r="D349" s="362" t="s">
        <v>10029</v>
      </c>
      <c r="E349" s="362" t="s">
        <v>10030</v>
      </c>
      <c r="F349" s="362" t="s">
        <v>6465</v>
      </c>
      <c r="G349" s="362" t="s">
        <v>8762</v>
      </c>
      <c r="H349" s="363">
        <v>2010</v>
      </c>
      <c r="I349" s="378">
        <v>40375</v>
      </c>
      <c r="J349" s="365"/>
      <c r="K349" s="365"/>
      <c r="L349" s="362" t="s">
        <v>10031</v>
      </c>
    </row>
    <row r="350" spans="1:12">
      <c r="A350" s="363">
        <f>VLOOKUP(B350, 'PubMed 4.14.21 Results'!B:B, 1, FALSE)</f>
        <v>20806986</v>
      </c>
      <c r="B350" s="363">
        <v>20806986</v>
      </c>
      <c r="C350" s="362" t="s">
        <v>10032</v>
      </c>
      <c r="D350" s="362" t="s">
        <v>10033</v>
      </c>
      <c r="E350" s="362" t="s">
        <v>10034</v>
      </c>
      <c r="F350" s="362" t="s">
        <v>6479</v>
      </c>
      <c r="G350" s="362" t="s">
        <v>9378</v>
      </c>
      <c r="H350" s="363">
        <v>2010</v>
      </c>
      <c r="I350" s="378">
        <v>40424</v>
      </c>
      <c r="J350" s="365"/>
      <c r="K350" s="365"/>
      <c r="L350" s="362" t="s">
        <v>10035</v>
      </c>
    </row>
    <row r="351" spans="1:12">
      <c r="A351" s="363">
        <f>VLOOKUP(B351, 'PubMed 4.14.21 Results'!B:B, 1, FALSE)</f>
        <v>20600013</v>
      </c>
      <c r="B351" s="363">
        <v>20600013</v>
      </c>
      <c r="C351" s="362" t="s">
        <v>10036</v>
      </c>
      <c r="D351" s="362" t="s">
        <v>10037</v>
      </c>
      <c r="E351" s="362" t="s">
        <v>10038</v>
      </c>
      <c r="F351" s="362" t="s">
        <v>8124</v>
      </c>
      <c r="G351" s="362" t="s">
        <v>9860</v>
      </c>
      <c r="H351" s="363">
        <v>2010</v>
      </c>
      <c r="I351" s="378">
        <v>40365</v>
      </c>
      <c r="J351" s="365"/>
      <c r="K351" s="365"/>
      <c r="L351" s="362" t="s">
        <v>10039</v>
      </c>
    </row>
    <row r="352" spans="1:12">
      <c r="A352" s="363">
        <f>VLOOKUP(B352, 'PubMed 4.14.21 Results'!B:B, 1, FALSE)</f>
        <v>20921092</v>
      </c>
      <c r="B352" s="363">
        <v>20921092</v>
      </c>
      <c r="C352" s="362" t="s">
        <v>10040</v>
      </c>
      <c r="D352" s="362" t="s">
        <v>10041</v>
      </c>
      <c r="E352" s="362" t="s">
        <v>10042</v>
      </c>
      <c r="F352" s="362" t="s">
        <v>7584</v>
      </c>
      <c r="G352" s="362" t="s">
        <v>10043</v>
      </c>
      <c r="H352" s="363">
        <v>2010</v>
      </c>
      <c r="I352" s="378">
        <v>40457</v>
      </c>
      <c r="J352" s="365"/>
      <c r="K352" s="365"/>
      <c r="L352" s="362" t="s">
        <v>10044</v>
      </c>
    </row>
    <row r="353" spans="1:12">
      <c r="A353" s="363">
        <f>VLOOKUP(B353, 'PubMed 4.14.21 Results'!B:B, 1, FALSE)</f>
        <v>21316545</v>
      </c>
      <c r="B353" s="363">
        <v>21316545</v>
      </c>
      <c r="C353" s="362" t="s">
        <v>10045</v>
      </c>
      <c r="D353" s="362" t="s">
        <v>10046</v>
      </c>
      <c r="E353" s="362" t="s">
        <v>10047</v>
      </c>
      <c r="F353" s="362" t="s">
        <v>7732</v>
      </c>
      <c r="G353" s="362" t="s">
        <v>10048</v>
      </c>
      <c r="H353" s="363">
        <v>2010</v>
      </c>
      <c r="I353" s="378">
        <v>40589</v>
      </c>
      <c r="J353" s="365"/>
      <c r="K353" s="365"/>
      <c r="L353" s="362" t="s">
        <v>10049</v>
      </c>
    </row>
    <row r="354" spans="1:12">
      <c r="A354" s="363">
        <f>VLOOKUP(B354, 'PubMed 4.14.21 Results'!B:B, 1, FALSE)</f>
        <v>20926833</v>
      </c>
      <c r="B354" s="363">
        <v>20926833</v>
      </c>
      <c r="C354" s="362" t="s">
        <v>10050</v>
      </c>
      <c r="D354" s="362" t="s">
        <v>10051</v>
      </c>
      <c r="E354" s="362" t="s">
        <v>10052</v>
      </c>
      <c r="F354" s="362" t="s">
        <v>5050</v>
      </c>
      <c r="G354" s="362" t="s">
        <v>10053</v>
      </c>
      <c r="H354" s="363">
        <v>2010</v>
      </c>
      <c r="I354" s="378">
        <v>40459</v>
      </c>
      <c r="J354" s="365"/>
      <c r="K354" s="365"/>
      <c r="L354" s="362" t="s">
        <v>10054</v>
      </c>
    </row>
    <row r="355" spans="1:12">
      <c r="A355" s="363">
        <f>VLOOKUP(B355, 'PubMed 4.14.21 Results'!B:B, 1, FALSE)</f>
        <v>20655330</v>
      </c>
      <c r="B355" s="363">
        <v>20655330</v>
      </c>
      <c r="C355" s="362" t="s">
        <v>10055</v>
      </c>
      <c r="D355" s="362" t="s">
        <v>10056</v>
      </c>
      <c r="E355" s="362" t="s">
        <v>10057</v>
      </c>
      <c r="F355" s="362" t="s">
        <v>7345</v>
      </c>
      <c r="G355" s="362" t="s">
        <v>10058</v>
      </c>
      <c r="H355" s="363">
        <v>2010</v>
      </c>
      <c r="I355" s="378">
        <v>40386</v>
      </c>
      <c r="J355" s="365"/>
      <c r="K355" s="365"/>
      <c r="L355" s="362" t="s">
        <v>10059</v>
      </c>
    </row>
    <row r="356" spans="1:12">
      <c r="A356" s="363">
        <f>VLOOKUP(B356, 'PubMed 4.14.21 Results'!B:B, 1, FALSE)</f>
        <v>20803300</v>
      </c>
      <c r="B356" s="363">
        <v>20803300</v>
      </c>
      <c r="C356" s="362" t="s">
        <v>10060</v>
      </c>
      <c r="D356" s="362" t="s">
        <v>10061</v>
      </c>
      <c r="E356" s="362" t="s">
        <v>10062</v>
      </c>
      <c r="F356" s="362" t="s">
        <v>8080</v>
      </c>
      <c r="G356" s="362" t="s">
        <v>10063</v>
      </c>
      <c r="H356" s="363">
        <v>2010</v>
      </c>
      <c r="I356" s="378">
        <v>40421</v>
      </c>
      <c r="J356" s="365"/>
      <c r="K356" s="365"/>
      <c r="L356" s="362" t="s">
        <v>10064</v>
      </c>
    </row>
    <row r="357" spans="1:12">
      <c r="A357" s="363">
        <f>VLOOKUP(B357, 'PubMed 4.14.21 Results'!B:B, 1, FALSE)</f>
        <v>20847149</v>
      </c>
      <c r="B357" s="363">
        <v>20847149</v>
      </c>
      <c r="C357" s="362" t="s">
        <v>10065</v>
      </c>
      <c r="D357" s="362" t="s">
        <v>10066</v>
      </c>
      <c r="E357" s="362" t="s">
        <v>10067</v>
      </c>
      <c r="F357" s="362" t="s">
        <v>8020</v>
      </c>
      <c r="G357" s="362" t="s">
        <v>10068</v>
      </c>
      <c r="H357" s="363">
        <v>2010</v>
      </c>
      <c r="I357" s="378">
        <v>40439</v>
      </c>
      <c r="J357" s="434" t="s">
        <v>8021</v>
      </c>
      <c r="K357" s="425"/>
      <c r="L357" s="362" t="s">
        <v>10069</v>
      </c>
    </row>
    <row r="358" spans="1:12">
      <c r="A358" s="363">
        <f>VLOOKUP(B358, 'PubMed 4.14.21 Results'!B:B, 1, FALSE)</f>
        <v>21036294</v>
      </c>
      <c r="B358" s="363">
        <v>21036294</v>
      </c>
      <c r="C358" s="362" t="s">
        <v>10070</v>
      </c>
      <c r="D358" s="362" t="s">
        <v>10071</v>
      </c>
      <c r="E358" s="362" t="s">
        <v>10072</v>
      </c>
      <c r="F358" s="362" t="s">
        <v>6602</v>
      </c>
      <c r="G358" s="362" t="s">
        <v>10073</v>
      </c>
      <c r="H358" s="363">
        <v>2010</v>
      </c>
      <c r="I358" s="378">
        <v>40484</v>
      </c>
      <c r="J358" s="365"/>
      <c r="K358" s="365"/>
      <c r="L358" s="362" t="s">
        <v>10074</v>
      </c>
    </row>
    <row r="359" spans="1:12">
      <c r="A359" s="363">
        <f>VLOOKUP(B359, 'PubMed 4.14.21 Results'!B:B, 1, FALSE)</f>
        <v>21708057</v>
      </c>
      <c r="B359" s="363">
        <v>21708057</v>
      </c>
      <c r="C359" s="362" t="s">
        <v>10075</v>
      </c>
      <c r="D359" s="362" t="s">
        <v>10076</v>
      </c>
      <c r="E359" s="362" t="s">
        <v>10077</v>
      </c>
      <c r="F359" s="362" t="s">
        <v>8059</v>
      </c>
      <c r="G359" s="362" t="s">
        <v>9045</v>
      </c>
      <c r="H359" s="363">
        <v>2010</v>
      </c>
      <c r="I359" s="378">
        <v>40723</v>
      </c>
      <c r="J359" s="365"/>
      <c r="K359" s="365"/>
      <c r="L359" s="362" t="s">
        <v>10078</v>
      </c>
    </row>
    <row r="360" spans="1:12">
      <c r="A360" s="363">
        <f>VLOOKUP(B360, 'PubMed 4.14.21 Results'!B:B, 1, FALSE)</f>
        <v>21044300</v>
      </c>
      <c r="B360" s="363">
        <v>21044300</v>
      </c>
      <c r="C360" s="362" t="s">
        <v>10079</v>
      </c>
      <c r="D360" s="362" t="s">
        <v>10080</v>
      </c>
      <c r="E360" s="362" t="s">
        <v>10081</v>
      </c>
      <c r="F360" s="362" t="s">
        <v>7245</v>
      </c>
      <c r="G360" s="362" t="s">
        <v>9595</v>
      </c>
      <c r="H360" s="363">
        <v>2010</v>
      </c>
      <c r="I360" s="378">
        <v>40486</v>
      </c>
      <c r="J360" s="434" t="s">
        <v>7246</v>
      </c>
      <c r="K360" s="425"/>
      <c r="L360" s="362" t="s">
        <v>10082</v>
      </c>
    </row>
    <row r="361" spans="1:12">
      <c r="A361" s="363">
        <f>VLOOKUP(B361, 'PubMed 4.14.21 Results'!B:B, 1, FALSE)</f>
        <v>19825906</v>
      </c>
      <c r="B361" s="363">
        <v>19825906</v>
      </c>
      <c r="C361" s="362" t="s">
        <v>10083</v>
      </c>
      <c r="D361" s="362" t="s">
        <v>10084</v>
      </c>
      <c r="E361" s="362" t="s">
        <v>10085</v>
      </c>
      <c r="F361" s="362" t="s">
        <v>7577</v>
      </c>
      <c r="G361" s="362" t="s">
        <v>10086</v>
      </c>
      <c r="H361" s="363">
        <v>2010</v>
      </c>
      <c r="I361" s="378">
        <v>40101</v>
      </c>
      <c r="J361" s="365"/>
      <c r="K361" s="365"/>
      <c r="L361" s="362" t="s">
        <v>10087</v>
      </c>
    </row>
    <row r="362" spans="1:12">
      <c r="A362" s="363">
        <f>VLOOKUP(B362, 'PubMed 4.14.21 Results'!B:B, 1, FALSE)</f>
        <v>20350952</v>
      </c>
      <c r="B362" s="363">
        <v>20350952</v>
      </c>
      <c r="C362" s="362" t="s">
        <v>10088</v>
      </c>
      <c r="D362" s="362" t="s">
        <v>10089</v>
      </c>
      <c r="E362" s="362" t="s">
        <v>10090</v>
      </c>
      <c r="F362" s="362" t="s">
        <v>7746</v>
      </c>
      <c r="G362" s="362" t="s">
        <v>10091</v>
      </c>
      <c r="H362" s="363">
        <v>2010</v>
      </c>
      <c r="I362" s="378">
        <v>40268</v>
      </c>
      <c r="J362" s="365"/>
      <c r="K362" s="365"/>
      <c r="L362" s="362" t="s">
        <v>10092</v>
      </c>
    </row>
    <row r="363" spans="1:12">
      <c r="A363" s="363">
        <f>VLOOKUP(B363, 'PubMed 4.14.21 Results'!B:B, 1, FALSE)</f>
        <v>20659185</v>
      </c>
      <c r="B363" s="363">
        <v>20659185</v>
      </c>
      <c r="C363" s="362" t="s">
        <v>10093</v>
      </c>
      <c r="D363" s="362" t="s">
        <v>10094</v>
      </c>
      <c r="E363" s="362" t="s">
        <v>10095</v>
      </c>
      <c r="F363" s="362" t="s">
        <v>7678</v>
      </c>
      <c r="G363" s="362" t="s">
        <v>10096</v>
      </c>
      <c r="H363" s="363">
        <v>2010</v>
      </c>
      <c r="I363" s="378">
        <v>40387</v>
      </c>
      <c r="J363" s="434" t="s">
        <v>10097</v>
      </c>
      <c r="K363" s="425"/>
      <c r="L363" s="362" t="s">
        <v>10098</v>
      </c>
    </row>
    <row r="364" spans="1:12">
      <c r="A364" s="363">
        <f>VLOOKUP(B364, 'PubMed 4.14.21 Results'!B:B, 1, FALSE)</f>
        <v>21149931</v>
      </c>
      <c r="B364" s="363">
        <v>21149931</v>
      </c>
      <c r="C364" s="362" t="s">
        <v>10099</v>
      </c>
      <c r="D364" s="362" t="s">
        <v>10100</v>
      </c>
      <c r="E364" s="362" t="s">
        <v>10101</v>
      </c>
      <c r="F364" s="362" t="s">
        <v>7867</v>
      </c>
      <c r="G364" s="362" t="s">
        <v>10102</v>
      </c>
      <c r="H364" s="363">
        <v>2010</v>
      </c>
      <c r="I364" s="378">
        <v>40527</v>
      </c>
      <c r="J364" s="365"/>
      <c r="K364" s="365"/>
      <c r="L364" s="362" t="s">
        <v>10103</v>
      </c>
    </row>
    <row r="365" spans="1:12">
      <c r="A365" s="363">
        <f>VLOOKUP(B365, 'PubMed 4.14.21 Results'!B:B, 1, FALSE)</f>
        <v>21208550</v>
      </c>
      <c r="B365" s="363">
        <v>21208550</v>
      </c>
      <c r="C365" s="362" t="s">
        <v>10104</v>
      </c>
      <c r="D365" s="362" t="s">
        <v>10105</v>
      </c>
      <c r="E365" s="362" t="s">
        <v>10106</v>
      </c>
      <c r="F365" s="362" t="s">
        <v>7527</v>
      </c>
      <c r="G365" s="362" t="s">
        <v>9359</v>
      </c>
      <c r="H365" s="363">
        <v>2010</v>
      </c>
      <c r="I365" s="378">
        <v>40550</v>
      </c>
      <c r="J365" s="365"/>
      <c r="K365" s="365"/>
      <c r="L365" s="362" t="s">
        <v>10107</v>
      </c>
    </row>
    <row r="366" spans="1:12">
      <c r="A366" s="363">
        <f>VLOOKUP(B366, 'PubMed 4.14.21 Results'!B:B, 1, FALSE)</f>
        <v>20383205</v>
      </c>
      <c r="B366" s="363">
        <v>20383205</v>
      </c>
      <c r="C366" s="362" t="s">
        <v>10108</v>
      </c>
      <c r="D366" s="362" t="s">
        <v>10109</v>
      </c>
      <c r="E366" s="362" t="s">
        <v>10110</v>
      </c>
      <c r="F366" s="362" t="s">
        <v>7457</v>
      </c>
      <c r="G366" s="362" t="s">
        <v>10111</v>
      </c>
      <c r="H366" s="363">
        <v>2011</v>
      </c>
      <c r="I366" s="378">
        <v>40281</v>
      </c>
      <c r="J366" s="365"/>
      <c r="K366" s="365"/>
      <c r="L366" s="362" t="s">
        <v>10112</v>
      </c>
    </row>
    <row r="367" spans="1:12">
      <c r="A367" s="363">
        <f>VLOOKUP(B367, 'PubMed 4.14.21 Results'!B:B, 1, FALSE)</f>
        <v>21346038</v>
      </c>
      <c r="B367" s="363">
        <v>21346038</v>
      </c>
      <c r="C367" s="362" t="s">
        <v>10113</v>
      </c>
      <c r="D367" s="362" t="s">
        <v>10114</v>
      </c>
      <c r="E367" s="362" t="s">
        <v>10115</v>
      </c>
      <c r="F367" s="362" t="s">
        <v>7655</v>
      </c>
      <c r="G367" s="362" t="s">
        <v>10116</v>
      </c>
      <c r="H367" s="363">
        <v>2011</v>
      </c>
      <c r="I367" s="378">
        <v>40599</v>
      </c>
      <c r="J367" s="434" t="s">
        <v>7656</v>
      </c>
      <c r="K367" s="425"/>
      <c r="L367" s="362" t="s">
        <v>10117</v>
      </c>
    </row>
    <row r="368" spans="1:12">
      <c r="A368" s="363">
        <f>VLOOKUP(B368, 'PubMed 4.14.21 Results'!B:B, 1, FALSE)</f>
        <v>21397770</v>
      </c>
      <c r="B368" s="363">
        <v>21397770</v>
      </c>
      <c r="C368" s="362" t="s">
        <v>10118</v>
      </c>
      <c r="D368" s="362" t="s">
        <v>10119</v>
      </c>
      <c r="E368" s="362" t="s">
        <v>10120</v>
      </c>
      <c r="F368" s="362" t="s">
        <v>7828</v>
      </c>
      <c r="G368" s="362" t="s">
        <v>8640</v>
      </c>
      <c r="H368" s="363">
        <v>2011</v>
      </c>
      <c r="I368" s="378">
        <v>40617</v>
      </c>
      <c r="J368" s="365"/>
      <c r="K368" s="365"/>
      <c r="L368" s="362" t="s">
        <v>10121</v>
      </c>
    </row>
    <row r="369" spans="1:12">
      <c r="A369" s="363">
        <f>VLOOKUP(B369, 'PubMed 4.14.21 Results'!B:B, 1, FALSE)</f>
        <v>21428031</v>
      </c>
      <c r="B369" s="363">
        <v>21428031</v>
      </c>
      <c r="C369" s="362" t="s">
        <v>10122</v>
      </c>
      <c r="D369" s="362" t="s">
        <v>10123</v>
      </c>
      <c r="E369" s="362" t="s">
        <v>10124</v>
      </c>
      <c r="F369" s="362" t="s">
        <v>6516</v>
      </c>
      <c r="G369" s="362" t="s">
        <v>10125</v>
      </c>
      <c r="H369" s="363">
        <v>2011</v>
      </c>
      <c r="I369" s="378">
        <v>40627</v>
      </c>
      <c r="J369" s="365"/>
      <c r="K369" s="365"/>
      <c r="L369" s="365"/>
    </row>
    <row r="370" spans="1:12">
      <c r="A370" s="363">
        <f>VLOOKUP(B370, 'PubMed 4.14.21 Results'!B:B, 1, FALSE)</f>
        <v>20952517</v>
      </c>
      <c r="B370" s="363">
        <v>20952517</v>
      </c>
      <c r="C370" s="362" t="s">
        <v>10126</v>
      </c>
      <c r="D370" s="362" t="s">
        <v>10127</v>
      </c>
      <c r="E370" s="362" t="s">
        <v>10128</v>
      </c>
      <c r="F370" s="362" t="s">
        <v>6953</v>
      </c>
      <c r="G370" s="362" t="s">
        <v>10129</v>
      </c>
      <c r="H370" s="363">
        <v>2011</v>
      </c>
      <c r="I370" s="378">
        <v>40470</v>
      </c>
      <c r="J370" s="434" t="s">
        <v>6954</v>
      </c>
      <c r="K370" s="425"/>
      <c r="L370" s="362" t="s">
        <v>10130</v>
      </c>
    </row>
    <row r="371" spans="1:12">
      <c r="A371" s="363">
        <f>VLOOKUP(B371, 'PubMed 4.14.21 Results'!B:B, 1, FALSE)</f>
        <v>21056523</v>
      </c>
      <c r="B371" s="363">
        <v>21056523</v>
      </c>
      <c r="C371" s="362" t="s">
        <v>10131</v>
      </c>
      <c r="D371" s="362" t="s">
        <v>10132</v>
      </c>
      <c r="E371" s="362" t="s">
        <v>10133</v>
      </c>
      <c r="F371" s="362" t="s">
        <v>8029</v>
      </c>
      <c r="G371" s="362" t="s">
        <v>10134</v>
      </c>
      <c r="H371" s="363">
        <v>2011</v>
      </c>
      <c r="I371" s="378">
        <v>40491</v>
      </c>
      <c r="J371" s="365"/>
      <c r="K371" s="365"/>
      <c r="L371" s="362" t="s">
        <v>10135</v>
      </c>
    </row>
    <row r="372" spans="1:12">
      <c r="A372" s="363">
        <f>VLOOKUP(B372, 'PubMed 4.14.21 Results'!B:B, 1, FALSE)</f>
        <v>21182466</v>
      </c>
      <c r="B372" s="363">
        <v>21182466</v>
      </c>
      <c r="C372" s="362" t="s">
        <v>10136</v>
      </c>
      <c r="D372" s="362" t="s">
        <v>10137</v>
      </c>
      <c r="E372" s="362" t="s">
        <v>10138</v>
      </c>
      <c r="F372" s="362" t="s">
        <v>7822</v>
      </c>
      <c r="G372" s="362" t="s">
        <v>10139</v>
      </c>
      <c r="H372" s="363">
        <v>2011</v>
      </c>
      <c r="I372" s="378">
        <v>40537</v>
      </c>
      <c r="J372" s="434" t="s">
        <v>7823</v>
      </c>
      <c r="K372" s="425"/>
      <c r="L372" s="362" t="s">
        <v>10140</v>
      </c>
    </row>
    <row r="373" spans="1:12">
      <c r="A373" s="363">
        <f>VLOOKUP(B373, 'PubMed 4.14.21 Results'!B:B, 1, FALSE)</f>
        <v>21291629</v>
      </c>
      <c r="B373" s="363">
        <v>21291629</v>
      </c>
      <c r="C373" s="362" t="s">
        <v>10141</v>
      </c>
      <c r="D373" s="362" t="s">
        <v>10142</v>
      </c>
      <c r="E373" s="362" t="s">
        <v>10143</v>
      </c>
      <c r="F373" s="362" t="s">
        <v>6783</v>
      </c>
      <c r="G373" s="362" t="s">
        <v>9359</v>
      </c>
      <c r="H373" s="363">
        <v>2011</v>
      </c>
      <c r="I373" s="378">
        <v>40579</v>
      </c>
      <c r="J373" s="434" t="s">
        <v>6784</v>
      </c>
      <c r="K373" s="425"/>
      <c r="L373" s="362" t="s">
        <v>10144</v>
      </c>
    </row>
    <row r="374" spans="1:12">
      <c r="A374" s="363">
        <f>VLOOKUP(B374, 'PubMed 4.14.21 Results'!B:B, 1, FALSE)</f>
        <v>21304925</v>
      </c>
      <c r="B374" s="363">
        <v>21304925</v>
      </c>
      <c r="C374" s="362" t="s">
        <v>10145</v>
      </c>
      <c r="D374" s="362" t="s">
        <v>10146</v>
      </c>
      <c r="E374" s="362" t="s">
        <v>10147</v>
      </c>
      <c r="F374" s="362" t="s">
        <v>7198</v>
      </c>
      <c r="G374" s="362" t="s">
        <v>10148</v>
      </c>
      <c r="H374" s="363">
        <v>2011</v>
      </c>
      <c r="I374" s="378">
        <v>40584</v>
      </c>
      <c r="J374" s="434" t="s">
        <v>7199</v>
      </c>
      <c r="K374" s="425"/>
      <c r="L374" s="362" t="s">
        <v>10149</v>
      </c>
    </row>
    <row r="375" spans="1:12">
      <c r="A375" s="363">
        <f>VLOOKUP(B375, 'PubMed 4.14.21 Results'!B:B, 1, FALSE)</f>
        <v>21306238</v>
      </c>
      <c r="B375" s="363">
        <v>21306238</v>
      </c>
      <c r="C375" s="362" t="s">
        <v>10150</v>
      </c>
      <c r="D375" s="362" t="s">
        <v>10151</v>
      </c>
      <c r="E375" s="362" t="s">
        <v>10152</v>
      </c>
      <c r="F375" s="362" t="s">
        <v>8101</v>
      </c>
      <c r="G375" s="362" t="s">
        <v>8514</v>
      </c>
      <c r="H375" s="363">
        <v>2011</v>
      </c>
      <c r="I375" s="378">
        <v>40585</v>
      </c>
      <c r="J375" s="362" t="s">
        <v>8102</v>
      </c>
      <c r="K375" s="362" t="s">
        <v>10153</v>
      </c>
      <c r="L375" s="362" t="s">
        <v>10154</v>
      </c>
    </row>
    <row r="376" spans="1:12">
      <c r="A376" s="363">
        <f>VLOOKUP(B376, 'PubMed 4.14.21 Results'!B:B, 1, FALSE)</f>
        <v>21328305</v>
      </c>
      <c r="B376" s="363">
        <v>21328305</v>
      </c>
      <c r="C376" s="362" t="s">
        <v>10155</v>
      </c>
      <c r="D376" s="362" t="s">
        <v>10156</v>
      </c>
      <c r="E376" s="362" t="s">
        <v>10157</v>
      </c>
      <c r="F376" s="362" t="s">
        <v>7775</v>
      </c>
      <c r="G376" s="362" t="s">
        <v>8857</v>
      </c>
      <c r="H376" s="363">
        <v>2011</v>
      </c>
      <c r="I376" s="378">
        <v>40592</v>
      </c>
      <c r="J376" s="365"/>
      <c r="K376" s="365"/>
      <c r="L376" s="362" t="s">
        <v>10158</v>
      </c>
    </row>
    <row r="377" spans="1:12">
      <c r="A377" s="363">
        <f>VLOOKUP(B377, 'PubMed 4.14.21 Results'!B:B, 1, FALSE)</f>
        <v>21296403</v>
      </c>
      <c r="B377" s="363">
        <v>21296403</v>
      </c>
      <c r="C377" s="362" t="s">
        <v>10159</v>
      </c>
      <c r="D377" s="362" t="s">
        <v>10160</v>
      </c>
      <c r="E377" s="362" t="s">
        <v>10161</v>
      </c>
      <c r="F377" s="362" t="s">
        <v>7510</v>
      </c>
      <c r="G377" s="362" t="s">
        <v>9420</v>
      </c>
      <c r="H377" s="363">
        <v>2011</v>
      </c>
      <c r="I377" s="378">
        <v>40582</v>
      </c>
      <c r="J377" s="365"/>
      <c r="K377" s="365"/>
      <c r="L377" s="362" t="s">
        <v>10162</v>
      </c>
    </row>
    <row r="378" spans="1:12">
      <c r="A378" s="363">
        <f>VLOOKUP(B378, 'PubMed 4.14.21 Results'!B:B, 1, FALSE)</f>
        <v>21420657</v>
      </c>
      <c r="B378" s="363">
        <v>21420657</v>
      </c>
      <c r="C378" s="362" t="s">
        <v>10163</v>
      </c>
      <c r="D378" s="362" t="s">
        <v>10164</v>
      </c>
      <c r="E378" s="362" t="s">
        <v>10165</v>
      </c>
      <c r="F378" s="362" t="s">
        <v>6947</v>
      </c>
      <c r="G378" s="362" t="s">
        <v>10166</v>
      </c>
      <c r="H378" s="363">
        <v>2011</v>
      </c>
      <c r="I378" s="378">
        <v>40625</v>
      </c>
      <c r="J378" s="434" t="s">
        <v>6948</v>
      </c>
      <c r="K378" s="425"/>
      <c r="L378" s="362" t="s">
        <v>10167</v>
      </c>
    </row>
    <row r="379" spans="1:12">
      <c r="A379" s="363">
        <f>VLOOKUP(B379, 'PubMed 4.14.21 Results'!B:B, 1, FALSE)</f>
        <v>21474905</v>
      </c>
      <c r="B379" s="363">
        <v>21474905</v>
      </c>
      <c r="C379" s="362" t="s">
        <v>10168</v>
      </c>
      <c r="D379" s="362" t="s">
        <v>10169</v>
      </c>
      <c r="E379" s="362" t="s">
        <v>10170</v>
      </c>
      <c r="F379" s="362" t="s">
        <v>8065</v>
      </c>
      <c r="G379" s="362" t="s">
        <v>10171</v>
      </c>
      <c r="H379" s="363">
        <v>2011</v>
      </c>
      <c r="I379" s="378">
        <v>40642</v>
      </c>
      <c r="J379" s="365"/>
      <c r="K379" s="365"/>
      <c r="L379" s="362" t="s">
        <v>10172</v>
      </c>
    </row>
    <row r="380" spans="1:12">
      <c r="A380" s="363">
        <f>VLOOKUP(B380, 'PubMed 4.14.21 Results'!B:B, 1, FALSE)</f>
        <v>21428765</v>
      </c>
      <c r="B380" s="363">
        <v>21428765</v>
      </c>
      <c r="C380" s="362" t="s">
        <v>10173</v>
      </c>
      <c r="D380" s="362" t="s">
        <v>10174</v>
      </c>
      <c r="E380" s="362" t="s">
        <v>10175</v>
      </c>
      <c r="F380" s="362" t="s">
        <v>8009</v>
      </c>
      <c r="G380" s="362" t="s">
        <v>8514</v>
      </c>
      <c r="H380" s="363">
        <v>2011</v>
      </c>
      <c r="I380" s="378">
        <v>40627</v>
      </c>
      <c r="J380" s="365"/>
      <c r="K380" s="365"/>
      <c r="L380" s="362" t="s">
        <v>10176</v>
      </c>
    </row>
    <row r="381" spans="1:12">
      <c r="A381" s="363">
        <f>VLOOKUP(B381, 'PubMed 4.14.21 Results'!B:B, 1, FALSE)</f>
        <v>21333346</v>
      </c>
      <c r="B381" s="363">
        <v>21333346</v>
      </c>
      <c r="C381" s="362" t="s">
        <v>10177</v>
      </c>
      <c r="D381" s="362" t="s">
        <v>10178</v>
      </c>
      <c r="E381" s="362" t="s">
        <v>10179</v>
      </c>
      <c r="F381" s="362" t="s">
        <v>6594</v>
      </c>
      <c r="G381" s="362" t="s">
        <v>9004</v>
      </c>
      <c r="H381" s="363">
        <v>2011</v>
      </c>
      <c r="I381" s="378">
        <v>40596</v>
      </c>
      <c r="J381" s="365"/>
      <c r="K381" s="365"/>
      <c r="L381" s="362" t="s">
        <v>10180</v>
      </c>
    </row>
    <row r="382" spans="1:12">
      <c r="A382" s="363">
        <f>VLOOKUP(B382, 'PubMed 4.14.21 Results'!B:B, 1, FALSE)</f>
        <v>21457235</v>
      </c>
      <c r="B382" s="363">
        <v>21457235</v>
      </c>
      <c r="C382" s="362" t="s">
        <v>10181</v>
      </c>
      <c r="D382" s="362" t="s">
        <v>10182</v>
      </c>
      <c r="E382" s="362" t="s">
        <v>10183</v>
      </c>
      <c r="F382" s="362" t="s">
        <v>6451</v>
      </c>
      <c r="G382" s="362" t="s">
        <v>10184</v>
      </c>
      <c r="H382" s="363">
        <v>2011</v>
      </c>
      <c r="I382" s="378">
        <v>40638</v>
      </c>
      <c r="J382" s="365"/>
      <c r="K382" s="365"/>
      <c r="L382" s="362" t="s">
        <v>10185</v>
      </c>
    </row>
    <row r="383" spans="1:12">
      <c r="A383" s="363">
        <f>VLOOKUP(B383, 'PubMed 4.14.21 Results'!B:B, 1, FALSE)</f>
        <v>21329776</v>
      </c>
      <c r="B383" s="363">
        <v>21329776</v>
      </c>
      <c r="C383" s="362" t="s">
        <v>10186</v>
      </c>
      <c r="D383" s="362" t="s">
        <v>10187</v>
      </c>
      <c r="E383" s="362" t="s">
        <v>10188</v>
      </c>
      <c r="F383" s="362" t="s">
        <v>6587</v>
      </c>
      <c r="G383" s="362" t="s">
        <v>21</v>
      </c>
      <c r="H383" s="363">
        <v>2011</v>
      </c>
      <c r="I383" s="378">
        <v>40593</v>
      </c>
      <c r="J383" s="365"/>
      <c r="K383" s="365"/>
      <c r="L383" s="362" t="s">
        <v>10189</v>
      </c>
    </row>
    <row r="384" spans="1:12">
      <c r="A384" s="363">
        <f>VLOOKUP(B384, 'PubMed 4.14.21 Results'!B:B, 1, FALSE)</f>
        <v>21529928</v>
      </c>
      <c r="B384" s="363">
        <v>21529928</v>
      </c>
      <c r="C384" s="362" t="s">
        <v>10190</v>
      </c>
      <c r="D384" s="362" t="s">
        <v>10191</v>
      </c>
      <c r="E384" s="362" t="s">
        <v>10192</v>
      </c>
      <c r="F384" s="362" t="s">
        <v>7210</v>
      </c>
      <c r="G384" s="362" t="s">
        <v>9420</v>
      </c>
      <c r="H384" s="363">
        <v>2011</v>
      </c>
      <c r="I384" s="378">
        <v>40666</v>
      </c>
      <c r="J384" s="365"/>
      <c r="K384" s="365"/>
      <c r="L384" s="362" t="s">
        <v>10193</v>
      </c>
    </row>
    <row r="385" spans="1:12">
      <c r="A385" s="363">
        <f>VLOOKUP(B385, 'PubMed 4.14.21 Results'!B:B, 1, FALSE)</f>
        <v>21823550</v>
      </c>
      <c r="B385" s="363">
        <v>21823550</v>
      </c>
      <c r="C385" s="362" t="s">
        <v>10194</v>
      </c>
      <c r="D385" s="362" t="s">
        <v>10195</v>
      </c>
      <c r="E385" s="362" t="s">
        <v>10196</v>
      </c>
      <c r="F385" s="362" t="s">
        <v>6890</v>
      </c>
      <c r="G385" s="362" t="s">
        <v>10197</v>
      </c>
      <c r="H385" s="363">
        <v>2011</v>
      </c>
      <c r="I385" s="378">
        <v>40765</v>
      </c>
      <c r="J385" s="365"/>
      <c r="K385" s="365"/>
      <c r="L385" s="362" t="s">
        <v>10198</v>
      </c>
    </row>
    <row r="386" spans="1:12">
      <c r="A386" s="363">
        <f>VLOOKUP(B386, 'PubMed 4.14.21 Results'!B:B, 1, FALSE)</f>
        <v>21492926</v>
      </c>
      <c r="B386" s="363">
        <v>21492926</v>
      </c>
      <c r="C386" s="362" t="s">
        <v>10199</v>
      </c>
      <c r="D386" s="362" t="s">
        <v>10200</v>
      </c>
      <c r="E386" s="362" t="s">
        <v>10201</v>
      </c>
      <c r="F386" s="362" t="s">
        <v>7724</v>
      </c>
      <c r="G386" s="362" t="s">
        <v>9420</v>
      </c>
      <c r="H386" s="363">
        <v>2011</v>
      </c>
      <c r="I386" s="378">
        <v>40649</v>
      </c>
      <c r="J386" s="365"/>
      <c r="K386" s="365"/>
      <c r="L386" s="362" t="s">
        <v>10202</v>
      </c>
    </row>
    <row r="387" spans="1:12">
      <c r="A387" s="363">
        <f>VLOOKUP(B387, 'PubMed 4.14.21 Results'!B:B, 1, FALSE)</f>
        <v>21874744</v>
      </c>
      <c r="B387" s="363">
        <v>21874744</v>
      </c>
      <c r="C387" s="362" t="s">
        <v>10203</v>
      </c>
      <c r="D387" s="362" t="s">
        <v>10204</v>
      </c>
      <c r="E387" s="362" t="s">
        <v>10205</v>
      </c>
      <c r="F387" s="362" t="s">
        <v>7274</v>
      </c>
      <c r="G387" s="362" t="s">
        <v>10206</v>
      </c>
      <c r="H387" s="363">
        <v>2011</v>
      </c>
      <c r="I387" s="378">
        <v>40786</v>
      </c>
      <c r="J387" s="365"/>
      <c r="K387" s="365"/>
      <c r="L387" s="365"/>
    </row>
    <row r="388" spans="1:12">
      <c r="A388" s="363">
        <f>VLOOKUP(B388, 'PubMed 4.14.21 Results'!B:B, 1, FALSE)</f>
        <v>21639872</v>
      </c>
      <c r="B388" s="363">
        <v>21639872</v>
      </c>
      <c r="C388" s="362" t="s">
        <v>10207</v>
      </c>
      <c r="D388" s="362" t="s">
        <v>10208</v>
      </c>
      <c r="E388" s="362" t="s">
        <v>10209</v>
      </c>
      <c r="F388" s="362" t="s">
        <v>4073</v>
      </c>
      <c r="G388" s="362" t="s">
        <v>10210</v>
      </c>
      <c r="H388" s="363">
        <v>2011</v>
      </c>
      <c r="I388" s="378">
        <v>40701</v>
      </c>
      <c r="J388" s="434" t="s">
        <v>7698</v>
      </c>
      <c r="K388" s="425"/>
      <c r="L388" s="362" t="s">
        <v>10211</v>
      </c>
    </row>
    <row r="389" spans="1:12">
      <c r="A389" s="363">
        <f>VLOOKUP(B389, 'PubMed 4.14.21 Results'!B:B, 1, FALSE)</f>
        <v>21423006</v>
      </c>
      <c r="B389" s="363">
        <v>21423006</v>
      </c>
      <c r="C389" s="362" t="s">
        <v>10212</v>
      </c>
      <c r="D389" s="362" t="s">
        <v>10213</v>
      </c>
      <c r="E389" s="362" t="s">
        <v>10214</v>
      </c>
      <c r="F389" s="362" t="s">
        <v>6590</v>
      </c>
      <c r="G389" s="362" t="s">
        <v>9143</v>
      </c>
      <c r="H389" s="363">
        <v>2011</v>
      </c>
      <c r="I389" s="378">
        <v>40625</v>
      </c>
      <c r="J389" s="365"/>
      <c r="K389" s="365"/>
      <c r="L389" s="362" t="s">
        <v>10215</v>
      </c>
    </row>
    <row r="390" spans="1:12">
      <c r="A390" s="363">
        <f>VLOOKUP(B390, 'PubMed 4.14.21 Results'!B:B, 1, FALSE)</f>
        <v>21459680</v>
      </c>
      <c r="B390" s="363">
        <v>21459680</v>
      </c>
      <c r="C390" s="362" t="s">
        <v>10216</v>
      </c>
      <c r="D390" s="362" t="s">
        <v>10217</v>
      </c>
      <c r="E390" s="362" t="s">
        <v>10218</v>
      </c>
      <c r="F390" s="362" t="s">
        <v>7746</v>
      </c>
      <c r="G390" s="362" t="s">
        <v>10219</v>
      </c>
      <c r="H390" s="363">
        <v>2011</v>
      </c>
      <c r="I390" s="378">
        <v>40638</v>
      </c>
      <c r="J390" s="365"/>
      <c r="K390" s="365"/>
      <c r="L390" s="362" t="s">
        <v>10220</v>
      </c>
    </row>
    <row r="391" spans="1:12">
      <c r="A391" s="363">
        <f>VLOOKUP(B391, 'PubMed 4.14.21 Results'!B:B, 1, FALSE)</f>
        <v>21666158</v>
      </c>
      <c r="B391" s="363">
        <v>21666158</v>
      </c>
      <c r="C391" s="362" t="s">
        <v>10221</v>
      </c>
      <c r="D391" s="362" t="s">
        <v>10222</v>
      </c>
      <c r="E391" s="362" t="s">
        <v>10223</v>
      </c>
      <c r="F391" s="362" t="s">
        <v>7771</v>
      </c>
      <c r="G391" s="362" t="s">
        <v>9497</v>
      </c>
      <c r="H391" s="363">
        <v>2011</v>
      </c>
      <c r="I391" s="378">
        <v>40708</v>
      </c>
      <c r="J391" s="365"/>
      <c r="K391" s="365"/>
      <c r="L391" s="362" t="s">
        <v>10224</v>
      </c>
    </row>
    <row r="392" spans="1:12">
      <c r="A392" s="363">
        <f>VLOOKUP(B392, 'PubMed 4.14.21 Results'!B:B, 1, FALSE)</f>
        <v>21679267</v>
      </c>
      <c r="B392" s="363">
        <v>21679267</v>
      </c>
      <c r="C392" s="362" t="s">
        <v>10225</v>
      </c>
      <c r="D392" s="362" t="s">
        <v>10226</v>
      </c>
      <c r="E392" s="362" t="s">
        <v>10227</v>
      </c>
      <c r="F392" s="362" t="s">
        <v>7906</v>
      </c>
      <c r="G392" s="362" t="s">
        <v>10228</v>
      </c>
      <c r="H392" s="363">
        <v>2011</v>
      </c>
      <c r="I392" s="378">
        <v>40712</v>
      </c>
      <c r="J392" s="362" t="s">
        <v>7907</v>
      </c>
      <c r="K392" s="362" t="s">
        <v>10229</v>
      </c>
      <c r="L392" s="362" t="s">
        <v>10230</v>
      </c>
    </row>
    <row r="393" spans="1:12">
      <c r="A393" s="363">
        <f>VLOOKUP(B393, 'PubMed 4.14.21 Results'!B:B, 1, FALSE)</f>
        <v>21714999</v>
      </c>
      <c r="B393" s="363">
        <v>21714999</v>
      </c>
      <c r="C393" s="362" t="s">
        <v>10231</v>
      </c>
      <c r="D393" s="362" t="s">
        <v>10232</v>
      </c>
      <c r="E393" s="362" t="s">
        <v>10233</v>
      </c>
      <c r="F393" s="362" t="s">
        <v>8061</v>
      </c>
      <c r="G393" s="362" t="s">
        <v>9420</v>
      </c>
      <c r="H393" s="363">
        <v>2011</v>
      </c>
      <c r="I393" s="378">
        <v>40725</v>
      </c>
      <c r="J393" s="362" t="s">
        <v>8062</v>
      </c>
      <c r="K393" s="362" t="s">
        <v>10234</v>
      </c>
      <c r="L393" s="362" t="s">
        <v>10235</v>
      </c>
    </row>
    <row r="394" spans="1:12">
      <c r="A394" s="363">
        <f>VLOOKUP(B394, 'PubMed 4.14.21 Results'!B:B, 1, FALSE)</f>
        <v>21355969</v>
      </c>
      <c r="B394" s="363">
        <v>21355969</v>
      </c>
      <c r="C394" s="362" t="s">
        <v>10236</v>
      </c>
      <c r="D394" s="362" t="s">
        <v>10237</v>
      </c>
      <c r="E394" s="362" t="s">
        <v>10238</v>
      </c>
      <c r="F394" s="362" t="s">
        <v>7647</v>
      </c>
      <c r="G394" s="362" t="s">
        <v>10239</v>
      </c>
      <c r="H394" s="363">
        <v>2011</v>
      </c>
      <c r="I394" s="378">
        <v>40604</v>
      </c>
      <c r="J394" s="365"/>
      <c r="K394" s="365"/>
      <c r="L394" s="362" t="s">
        <v>10240</v>
      </c>
    </row>
    <row r="395" spans="1:12">
      <c r="A395" s="363">
        <f>VLOOKUP(B395, 'PubMed 4.14.21 Results'!B:B, 1, FALSE)</f>
        <v>21360007</v>
      </c>
      <c r="B395" s="363">
        <v>21360007</v>
      </c>
      <c r="C395" s="362" t="s">
        <v>10241</v>
      </c>
      <c r="D395" s="362" t="s">
        <v>10242</v>
      </c>
      <c r="E395" s="362" t="s">
        <v>10243</v>
      </c>
      <c r="F395" s="362" t="s">
        <v>7742</v>
      </c>
      <c r="G395" s="362" t="s">
        <v>10244</v>
      </c>
      <c r="H395" s="363">
        <v>2011</v>
      </c>
      <c r="I395" s="378">
        <v>40604</v>
      </c>
      <c r="J395" s="434" t="s">
        <v>7743</v>
      </c>
      <c r="K395" s="425"/>
      <c r="L395" s="362" t="s">
        <v>10245</v>
      </c>
    </row>
    <row r="396" spans="1:12">
      <c r="A396" s="363">
        <f>VLOOKUP(B396, 'PubMed 4.14.21 Results'!B:B, 1, FALSE)</f>
        <v>21715512</v>
      </c>
      <c r="B396" s="363">
        <v>21715512</v>
      </c>
      <c r="C396" s="362" t="s">
        <v>10246</v>
      </c>
      <c r="D396" s="362" t="s">
        <v>10247</v>
      </c>
      <c r="E396" s="362" t="s">
        <v>10248</v>
      </c>
      <c r="F396" s="362" t="s">
        <v>7259</v>
      </c>
      <c r="G396" s="362" t="s">
        <v>8935</v>
      </c>
      <c r="H396" s="363">
        <v>2011</v>
      </c>
      <c r="I396" s="378">
        <v>40725</v>
      </c>
      <c r="J396" s="365"/>
      <c r="K396" s="365"/>
      <c r="L396" s="362" t="s">
        <v>10249</v>
      </c>
    </row>
    <row r="397" spans="1:12">
      <c r="A397" s="363">
        <f>VLOOKUP(B397, 'PubMed 4.14.21 Results'!B:B, 1, FALSE)</f>
        <v>21874971</v>
      </c>
      <c r="B397" s="363">
        <v>21874971</v>
      </c>
      <c r="C397" s="362" t="s">
        <v>10250</v>
      </c>
      <c r="D397" s="362" t="s">
        <v>10251</v>
      </c>
      <c r="E397" s="362" t="s">
        <v>10252</v>
      </c>
      <c r="F397" s="362" t="s">
        <v>7683</v>
      </c>
      <c r="G397" s="362" t="s">
        <v>10253</v>
      </c>
      <c r="H397" s="363">
        <v>2011</v>
      </c>
      <c r="I397" s="378">
        <v>40786</v>
      </c>
      <c r="J397" s="365"/>
      <c r="K397" s="365"/>
      <c r="L397" s="362" t="s">
        <v>10254</v>
      </c>
    </row>
    <row r="398" spans="1:12">
      <c r="A398" s="363">
        <f>VLOOKUP(B398, 'PubMed 4.14.21 Results'!B:B, 1, FALSE)</f>
        <v>21767103</v>
      </c>
      <c r="B398" s="363">
        <v>21767103</v>
      </c>
      <c r="C398" s="362" t="s">
        <v>10255</v>
      </c>
      <c r="D398" s="362" t="s">
        <v>10256</v>
      </c>
      <c r="E398" s="362" t="s">
        <v>10257</v>
      </c>
      <c r="F398" s="362" t="s">
        <v>6674</v>
      </c>
      <c r="G398" s="362" t="s">
        <v>8514</v>
      </c>
      <c r="H398" s="363">
        <v>2011</v>
      </c>
      <c r="I398" s="378">
        <v>40744</v>
      </c>
      <c r="J398" s="362" t="s">
        <v>6675</v>
      </c>
      <c r="K398" s="362" t="s">
        <v>10258</v>
      </c>
      <c r="L398" s="362" t="s">
        <v>10259</v>
      </c>
    </row>
    <row r="399" spans="1:12">
      <c r="A399" s="363">
        <f>VLOOKUP(B399, 'PubMed 4.14.21 Results'!B:B, 1, FALSE)</f>
        <v>21414048</v>
      </c>
      <c r="B399" s="363">
        <v>21414048</v>
      </c>
      <c r="C399" s="362" t="s">
        <v>10260</v>
      </c>
      <c r="D399" s="362" t="s">
        <v>10261</v>
      </c>
      <c r="E399" s="362" t="s">
        <v>10262</v>
      </c>
      <c r="F399" s="362" t="s">
        <v>6428</v>
      </c>
      <c r="G399" s="362" t="s">
        <v>10263</v>
      </c>
      <c r="H399" s="363">
        <v>2011</v>
      </c>
      <c r="I399" s="378">
        <v>40621</v>
      </c>
      <c r="J399" s="365"/>
      <c r="K399" s="365"/>
      <c r="L399" s="362" t="s">
        <v>10264</v>
      </c>
    </row>
    <row r="400" spans="1:12">
      <c r="A400" s="363">
        <f>VLOOKUP(B400, 'PubMed 4.14.21 Results'!B:B, 1, FALSE)</f>
        <v>21597465</v>
      </c>
      <c r="B400" s="363">
        <v>21597465</v>
      </c>
      <c r="C400" s="362" t="s">
        <v>10265</v>
      </c>
      <c r="D400" s="362" t="s">
        <v>10266</v>
      </c>
      <c r="E400" s="362" t="s">
        <v>10267</v>
      </c>
      <c r="F400" s="362" t="s">
        <v>7610</v>
      </c>
      <c r="G400" s="362" t="s">
        <v>9986</v>
      </c>
      <c r="H400" s="363">
        <v>2011</v>
      </c>
      <c r="I400" s="378">
        <v>40684</v>
      </c>
      <c r="J400" s="365"/>
      <c r="K400" s="365"/>
      <c r="L400" s="362" t="s">
        <v>10268</v>
      </c>
    </row>
    <row r="401" spans="1:12">
      <c r="A401" s="363">
        <f>VLOOKUP(B401, 'PubMed 4.14.21 Results'!B:B, 1, FALSE)</f>
        <v>21658525</v>
      </c>
      <c r="B401" s="363">
        <v>21658525</v>
      </c>
      <c r="C401" s="362" t="s">
        <v>10269</v>
      </c>
      <c r="D401" s="362" t="s">
        <v>10270</v>
      </c>
      <c r="E401" s="362" t="s">
        <v>10271</v>
      </c>
      <c r="F401" s="362" t="s">
        <v>7055</v>
      </c>
      <c r="G401" s="362" t="s">
        <v>10272</v>
      </c>
      <c r="H401" s="363">
        <v>2011</v>
      </c>
      <c r="I401" s="378">
        <v>40705</v>
      </c>
      <c r="J401" s="365"/>
      <c r="K401" s="365"/>
      <c r="L401" s="362" t="s">
        <v>10273</v>
      </c>
    </row>
    <row r="402" spans="1:12">
      <c r="A402" s="363">
        <f>VLOOKUP(B402, 'PubMed 4.14.21 Results'!B:B, 1, FALSE)</f>
        <v>21792180</v>
      </c>
      <c r="B402" s="363">
        <v>21792180</v>
      </c>
      <c r="C402" s="362" t="s">
        <v>10274</v>
      </c>
      <c r="D402" s="362" t="s">
        <v>10275</v>
      </c>
      <c r="E402" s="362" t="s">
        <v>10276</v>
      </c>
      <c r="F402" s="362" t="s">
        <v>7573</v>
      </c>
      <c r="G402" s="362" t="s">
        <v>10277</v>
      </c>
      <c r="H402" s="363">
        <v>2011</v>
      </c>
      <c r="I402" s="378">
        <v>40752</v>
      </c>
      <c r="J402" s="434" t="s">
        <v>7574</v>
      </c>
      <c r="K402" s="425"/>
      <c r="L402" s="362" t="s">
        <v>10278</v>
      </c>
    </row>
    <row r="403" spans="1:12">
      <c r="A403" s="363">
        <f>VLOOKUP(B403, 'PubMed 4.14.21 Results'!B:B, 1, FALSE)</f>
        <v>21884857</v>
      </c>
      <c r="B403" s="363">
        <v>21884857</v>
      </c>
      <c r="C403" s="362" t="s">
        <v>10279</v>
      </c>
      <c r="D403" s="362" t="s">
        <v>10280</v>
      </c>
      <c r="E403" s="362" t="s">
        <v>10281</v>
      </c>
      <c r="F403" s="362" t="s">
        <v>6424</v>
      </c>
      <c r="G403" s="362" t="s">
        <v>8665</v>
      </c>
      <c r="H403" s="363">
        <v>2011</v>
      </c>
      <c r="I403" s="378">
        <v>40789</v>
      </c>
      <c r="J403" s="365"/>
      <c r="K403" s="365"/>
      <c r="L403" s="362" t="s">
        <v>10282</v>
      </c>
    </row>
    <row r="404" spans="1:12">
      <c r="A404" s="363">
        <f>VLOOKUP(B404, 'PubMed 4.14.21 Results'!B:B, 1, FALSE)</f>
        <v>22129322</v>
      </c>
      <c r="B404" s="363">
        <v>22129322</v>
      </c>
      <c r="C404" s="362" t="s">
        <v>10283</v>
      </c>
      <c r="D404" s="362" t="s">
        <v>10284</v>
      </c>
      <c r="E404" s="362" t="s">
        <v>10285</v>
      </c>
      <c r="F404" s="362" t="s">
        <v>6833</v>
      </c>
      <c r="G404" s="362" t="s">
        <v>10286</v>
      </c>
      <c r="H404" s="363">
        <v>2011</v>
      </c>
      <c r="I404" s="378">
        <v>40879</v>
      </c>
      <c r="J404" s="365"/>
      <c r="K404" s="365"/>
      <c r="L404" s="362" t="s">
        <v>10287</v>
      </c>
    </row>
    <row r="405" spans="1:12">
      <c r="A405" s="363">
        <f>VLOOKUP(B405, 'PubMed 4.14.21 Results'!B:B, 1, FALSE)</f>
        <v>21873194</v>
      </c>
      <c r="B405" s="363">
        <v>21873194</v>
      </c>
      <c r="C405" s="362" t="s">
        <v>10288</v>
      </c>
      <c r="D405" s="362" t="s">
        <v>10289</v>
      </c>
      <c r="E405" s="362" t="s">
        <v>10290</v>
      </c>
      <c r="F405" s="362" t="s">
        <v>7582</v>
      </c>
      <c r="G405" s="362" t="s">
        <v>10291</v>
      </c>
      <c r="H405" s="363">
        <v>2011</v>
      </c>
      <c r="I405" s="378">
        <v>40785</v>
      </c>
      <c r="J405" s="434" t="s">
        <v>7583</v>
      </c>
      <c r="K405" s="425"/>
      <c r="L405" s="362" t="s">
        <v>10292</v>
      </c>
    </row>
    <row r="406" spans="1:12">
      <c r="A406" s="363">
        <f>VLOOKUP(B406, 'PubMed 4.14.21 Results'!B:B, 1, FALSE)</f>
        <v>21901692</v>
      </c>
      <c r="B406" s="363">
        <v>21901692</v>
      </c>
      <c r="C406" s="362" t="s">
        <v>10293</v>
      </c>
      <c r="D406" s="362" t="s">
        <v>10294</v>
      </c>
      <c r="E406" s="362" t="s">
        <v>10295</v>
      </c>
      <c r="F406" s="362" t="s">
        <v>7514</v>
      </c>
      <c r="G406" s="362" t="s">
        <v>8857</v>
      </c>
      <c r="H406" s="363">
        <v>2011</v>
      </c>
      <c r="I406" s="378">
        <v>40795</v>
      </c>
      <c r="J406" s="365"/>
      <c r="K406" s="365"/>
      <c r="L406" s="362" t="s">
        <v>10296</v>
      </c>
    </row>
    <row r="407" spans="1:12">
      <c r="A407" s="363">
        <f>VLOOKUP(B407, 'PubMed 4.14.21 Results'!B:B, 1, FALSE)</f>
        <v>21716073</v>
      </c>
      <c r="B407" s="363">
        <v>21716073</v>
      </c>
      <c r="C407" s="362" t="s">
        <v>10297</v>
      </c>
      <c r="D407" s="362" t="s">
        <v>10298</v>
      </c>
      <c r="E407" s="362" t="s">
        <v>10299</v>
      </c>
      <c r="F407" s="362" t="s">
        <v>7432</v>
      </c>
      <c r="G407" s="362" t="s">
        <v>8915</v>
      </c>
      <c r="H407" s="363">
        <v>2011</v>
      </c>
      <c r="I407" s="378">
        <v>40725</v>
      </c>
      <c r="J407" s="365"/>
      <c r="K407" s="365"/>
      <c r="L407" s="362" t="s">
        <v>10300</v>
      </c>
    </row>
    <row r="408" spans="1:12">
      <c r="A408" s="363">
        <f>VLOOKUP(B408, 'PubMed 4.14.21 Results'!B:B, 1, FALSE)</f>
        <v>21489779</v>
      </c>
      <c r="B408" s="363">
        <v>21489779</v>
      </c>
      <c r="C408" s="362" t="s">
        <v>10301</v>
      </c>
      <c r="D408" s="362" t="s">
        <v>10302</v>
      </c>
      <c r="E408" s="362" t="s">
        <v>10303</v>
      </c>
      <c r="F408" s="362" t="s">
        <v>6858</v>
      </c>
      <c r="G408" s="362" t="s">
        <v>10304</v>
      </c>
      <c r="H408" s="363">
        <v>2011</v>
      </c>
      <c r="I408" s="378">
        <v>40648</v>
      </c>
      <c r="J408" s="365"/>
      <c r="K408" s="365"/>
      <c r="L408" s="362" t="s">
        <v>10305</v>
      </c>
    </row>
    <row r="409" spans="1:12">
      <c r="A409" s="363">
        <f>VLOOKUP(B409, 'PubMed 4.14.21 Results'!B:B, 1, FALSE)</f>
        <v>21767064</v>
      </c>
      <c r="B409" s="363">
        <v>21767064</v>
      </c>
      <c r="C409" s="362" t="s">
        <v>10306</v>
      </c>
      <c r="D409" s="362" t="s">
        <v>10307</v>
      </c>
      <c r="E409" s="362" t="s">
        <v>10308</v>
      </c>
      <c r="F409" s="362" t="s">
        <v>7036</v>
      </c>
      <c r="G409" s="362" t="s">
        <v>10309</v>
      </c>
      <c r="H409" s="363">
        <v>2011</v>
      </c>
      <c r="I409" s="378">
        <v>40744</v>
      </c>
      <c r="J409" s="365"/>
      <c r="K409" s="365"/>
      <c r="L409" s="362" t="s">
        <v>10310</v>
      </c>
    </row>
    <row r="410" spans="1:12">
      <c r="A410" s="363">
        <f>VLOOKUP(B410, 'PubMed 4.14.21 Results'!B:B, 1, FALSE)</f>
        <v>21820469</v>
      </c>
      <c r="B410" s="363">
        <v>21820469</v>
      </c>
      <c r="C410" s="362" t="s">
        <v>10311</v>
      </c>
      <c r="D410" s="362" t="s">
        <v>10312</v>
      </c>
      <c r="E410" s="362" t="s">
        <v>10313</v>
      </c>
      <c r="F410" s="362" t="s">
        <v>8119</v>
      </c>
      <c r="G410" s="362" t="s">
        <v>10314</v>
      </c>
      <c r="H410" s="363">
        <v>2011</v>
      </c>
      <c r="I410" s="378">
        <v>40764</v>
      </c>
      <c r="J410" s="362" t="s">
        <v>8120</v>
      </c>
      <c r="K410" s="362" t="s">
        <v>10315</v>
      </c>
      <c r="L410" s="362" t="s">
        <v>10316</v>
      </c>
    </row>
    <row r="411" spans="1:12">
      <c r="A411" s="363">
        <f>VLOOKUP(B411, 'PubMed 4.14.21 Results'!B:B, 1, FALSE)</f>
        <v>22045670</v>
      </c>
      <c r="B411" s="363">
        <v>22045670</v>
      </c>
      <c r="C411" s="362" t="s">
        <v>10317</v>
      </c>
      <c r="D411" s="362" t="s">
        <v>10318</v>
      </c>
      <c r="E411" s="362" t="s">
        <v>10319</v>
      </c>
      <c r="F411" s="362" t="s">
        <v>6934</v>
      </c>
      <c r="G411" s="362" t="s">
        <v>8480</v>
      </c>
      <c r="H411" s="363">
        <v>2011</v>
      </c>
      <c r="I411" s="378">
        <v>40850</v>
      </c>
      <c r="J411" s="362" t="s">
        <v>6935</v>
      </c>
      <c r="K411" s="362" t="s">
        <v>10320</v>
      </c>
      <c r="L411" s="362" t="s">
        <v>10321</v>
      </c>
    </row>
    <row r="412" spans="1:12">
      <c r="A412" s="363">
        <f>VLOOKUP(B412, 'PubMed 4.14.21 Results'!B:B, 1, FALSE)</f>
        <v>20424934</v>
      </c>
      <c r="B412" s="363">
        <v>20424934</v>
      </c>
      <c r="C412" s="362" t="s">
        <v>10322</v>
      </c>
      <c r="D412" s="362" t="s">
        <v>10323</v>
      </c>
      <c r="E412" s="362" t="s">
        <v>10324</v>
      </c>
      <c r="F412" s="362" t="s">
        <v>7581</v>
      </c>
      <c r="G412" s="362" t="s">
        <v>10325</v>
      </c>
      <c r="H412" s="363">
        <v>2011</v>
      </c>
      <c r="I412" s="378">
        <v>40297</v>
      </c>
      <c r="J412" s="365"/>
      <c r="K412" s="365"/>
      <c r="L412" s="362" t="s">
        <v>10326</v>
      </c>
    </row>
    <row r="413" spans="1:12">
      <c r="A413" s="363">
        <f>VLOOKUP(B413, 'PubMed 4.14.21 Results'!B:B, 1, FALSE)</f>
        <v>21158706</v>
      </c>
      <c r="B413" s="363">
        <v>21158706</v>
      </c>
      <c r="C413" s="362" t="s">
        <v>10327</v>
      </c>
      <c r="D413" s="362" t="s">
        <v>10328</v>
      </c>
      <c r="E413" s="362" t="s">
        <v>10329</v>
      </c>
      <c r="F413" s="362" t="s">
        <v>7299</v>
      </c>
      <c r="G413" s="362" t="s">
        <v>10330</v>
      </c>
      <c r="H413" s="363">
        <v>2011</v>
      </c>
      <c r="I413" s="378">
        <v>40529</v>
      </c>
      <c r="J413" s="365"/>
      <c r="K413" s="365"/>
      <c r="L413" s="362" t="s">
        <v>10331</v>
      </c>
    </row>
    <row r="414" spans="1:12">
      <c r="A414" s="363">
        <f>VLOOKUP(B414, 'PubMed 4.14.21 Results'!B:B, 1, FALSE)</f>
        <v>21562405</v>
      </c>
      <c r="B414" s="363">
        <v>21562405</v>
      </c>
      <c r="C414" s="362" t="s">
        <v>10332</v>
      </c>
      <c r="D414" s="362" t="s">
        <v>10333</v>
      </c>
      <c r="E414" s="362" t="s">
        <v>10334</v>
      </c>
      <c r="F414" s="362" t="s">
        <v>8014</v>
      </c>
      <c r="G414" s="362" t="s">
        <v>10335</v>
      </c>
      <c r="H414" s="363">
        <v>2011</v>
      </c>
      <c r="I414" s="378">
        <v>40676</v>
      </c>
      <c r="J414" s="365"/>
      <c r="K414" s="365"/>
      <c r="L414" s="362" t="s">
        <v>10336</v>
      </c>
    </row>
    <row r="415" spans="1:12">
      <c r="A415" s="363">
        <f>VLOOKUP(B415, 'PubMed 4.14.21 Results'!B:B, 1, FALSE)</f>
        <v>21973194</v>
      </c>
      <c r="B415" s="363">
        <v>21973194</v>
      </c>
      <c r="C415" s="362" t="s">
        <v>10337</v>
      </c>
      <c r="D415" s="362" t="s">
        <v>10338</v>
      </c>
      <c r="E415" s="362" t="s">
        <v>10339</v>
      </c>
      <c r="F415" s="362" t="s">
        <v>7587</v>
      </c>
      <c r="G415" s="362" t="s">
        <v>10340</v>
      </c>
      <c r="H415" s="363">
        <v>2011</v>
      </c>
      <c r="I415" s="378">
        <v>40823</v>
      </c>
      <c r="J415" s="365"/>
      <c r="K415" s="365"/>
      <c r="L415" s="362" t="s">
        <v>10341</v>
      </c>
    </row>
    <row r="416" spans="1:12">
      <c r="A416" s="363">
        <f>VLOOKUP(B416, 'PubMed 4.14.21 Results'!B:B, 1, FALSE)</f>
        <v>22161394</v>
      </c>
      <c r="B416" s="363">
        <v>22161394</v>
      </c>
      <c r="C416" s="362" t="s">
        <v>10342</v>
      </c>
      <c r="D416" s="362" t="s">
        <v>10343</v>
      </c>
      <c r="E416" s="362" t="s">
        <v>10344</v>
      </c>
      <c r="F416" s="362" t="s">
        <v>6393</v>
      </c>
      <c r="G416" s="362" t="s">
        <v>8857</v>
      </c>
      <c r="H416" s="363">
        <v>2011</v>
      </c>
      <c r="I416" s="378">
        <v>40891</v>
      </c>
      <c r="J416" s="434" t="s">
        <v>6394</v>
      </c>
      <c r="K416" s="425"/>
      <c r="L416" s="362" t="s">
        <v>10345</v>
      </c>
    </row>
    <row r="417" spans="1:12">
      <c r="A417" s="363">
        <f>VLOOKUP(B417, 'PubMed 4.14.21 Results'!B:B, 1, FALSE)</f>
        <v>22170311</v>
      </c>
      <c r="B417" s="363">
        <v>22170311</v>
      </c>
      <c r="C417" s="362" t="s">
        <v>10346</v>
      </c>
      <c r="D417" s="362" t="s">
        <v>10347</v>
      </c>
      <c r="E417" s="362" t="s">
        <v>10348</v>
      </c>
      <c r="F417" s="362" t="s">
        <v>8034</v>
      </c>
      <c r="G417" s="362" t="s">
        <v>10349</v>
      </c>
      <c r="H417" s="363">
        <v>2012</v>
      </c>
      <c r="I417" s="378">
        <v>40893</v>
      </c>
      <c r="J417" s="365"/>
      <c r="K417" s="365"/>
      <c r="L417" s="362" t="s">
        <v>10350</v>
      </c>
    </row>
    <row r="418" spans="1:12">
      <c r="A418" s="363">
        <f>VLOOKUP(B418, 'PubMed 4.14.21 Results'!B:B, 1, FALSE)</f>
        <v>22192254</v>
      </c>
      <c r="B418" s="363">
        <v>22192254</v>
      </c>
      <c r="C418" s="362" t="s">
        <v>10351</v>
      </c>
      <c r="D418" s="362" t="s">
        <v>10352</v>
      </c>
      <c r="E418" s="362" t="s">
        <v>10353</v>
      </c>
      <c r="F418" s="362" t="s">
        <v>6439</v>
      </c>
      <c r="G418" s="362" t="s">
        <v>10354</v>
      </c>
      <c r="H418" s="363">
        <v>2012</v>
      </c>
      <c r="I418" s="378">
        <v>40901</v>
      </c>
      <c r="J418" s="362" t="s">
        <v>6440</v>
      </c>
      <c r="K418" s="362" t="s">
        <v>10355</v>
      </c>
      <c r="L418" s="362" t="s">
        <v>10356</v>
      </c>
    </row>
    <row r="419" spans="1:12">
      <c r="A419" s="363">
        <f>VLOOKUP(B419, 'PubMed 4.14.21 Results'!B:B, 1, FALSE)</f>
        <v>22262594</v>
      </c>
      <c r="B419" s="363">
        <v>22262594</v>
      </c>
      <c r="C419" s="362" t="s">
        <v>10357</v>
      </c>
      <c r="D419" s="362" t="s">
        <v>10358</v>
      </c>
      <c r="E419" s="362" t="s">
        <v>10359</v>
      </c>
      <c r="F419" s="362" t="s">
        <v>7512</v>
      </c>
      <c r="G419" s="362" t="s">
        <v>10360</v>
      </c>
      <c r="H419" s="363">
        <v>2012</v>
      </c>
      <c r="I419" s="378">
        <v>40929</v>
      </c>
      <c r="J419" s="365"/>
      <c r="K419" s="365"/>
      <c r="L419" s="362" t="s">
        <v>10361</v>
      </c>
    </row>
    <row r="420" spans="1:12">
      <c r="A420" s="363">
        <f>VLOOKUP(B420, 'PubMed 4.14.21 Results'!B:B, 1, FALSE)</f>
        <v>22291468</v>
      </c>
      <c r="B420" s="363">
        <v>22291468</v>
      </c>
      <c r="C420" s="362" t="s">
        <v>10362</v>
      </c>
      <c r="D420" s="362" t="s">
        <v>10363</v>
      </c>
      <c r="E420" s="362" t="s">
        <v>10364</v>
      </c>
      <c r="F420" s="362" t="s">
        <v>7945</v>
      </c>
      <c r="G420" s="362" t="s">
        <v>10365</v>
      </c>
      <c r="H420" s="363">
        <v>2012</v>
      </c>
      <c r="I420" s="378">
        <v>40940</v>
      </c>
      <c r="J420" s="434" t="s">
        <v>7946</v>
      </c>
      <c r="K420" s="425"/>
      <c r="L420" s="362" t="s">
        <v>10366</v>
      </c>
    </row>
    <row r="421" spans="1:12">
      <c r="A421" s="363">
        <f>VLOOKUP(B421, 'PubMed 4.14.21 Results'!B:B, 1, FALSE)</f>
        <v>22311561</v>
      </c>
      <c r="B421" s="363">
        <v>22311561</v>
      </c>
      <c r="C421" s="362" t="s">
        <v>10367</v>
      </c>
      <c r="D421" s="362" t="s">
        <v>10368</v>
      </c>
      <c r="E421" s="362" t="s">
        <v>10369</v>
      </c>
      <c r="F421" s="362" t="s">
        <v>7256</v>
      </c>
      <c r="G421" s="362" t="s">
        <v>9533</v>
      </c>
      <c r="H421" s="363">
        <v>2012</v>
      </c>
      <c r="I421" s="378">
        <v>40947</v>
      </c>
      <c r="J421" s="365"/>
      <c r="K421" s="365"/>
      <c r="L421" s="362" t="s">
        <v>10370</v>
      </c>
    </row>
    <row r="422" spans="1:12">
      <c r="A422" s="363">
        <f>VLOOKUP(B422, 'PubMed 4.14.21 Results'!B:B, 1, FALSE)</f>
        <v>22398670</v>
      </c>
      <c r="B422" s="363">
        <v>22398670</v>
      </c>
      <c r="C422" s="362" t="s">
        <v>10371</v>
      </c>
      <c r="D422" s="362" t="s">
        <v>10372</v>
      </c>
      <c r="E422" s="362" t="s">
        <v>10373</v>
      </c>
      <c r="F422" s="362" t="s">
        <v>7282</v>
      </c>
      <c r="G422" s="362" t="s">
        <v>10374</v>
      </c>
      <c r="H422" s="363">
        <v>2012</v>
      </c>
      <c r="I422" s="378">
        <v>40977</v>
      </c>
      <c r="J422" s="365"/>
      <c r="K422" s="365"/>
      <c r="L422" s="362" t="s">
        <v>10375</v>
      </c>
    </row>
    <row r="423" spans="1:12">
      <c r="A423" s="363">
        <f>VLOOKUP(B423, 'PubMed 4.14.21 Results'!B:B, 1, FALSE)</f>
        <v>22479361</v>
      </c>
      <c r="B423" s="363">
        <v>22479361</v>
      </c>
      <c r="C423" s="362" t="s">
        <v>10376</v>
      </c>
      <c r="D423" s="362" t="s">
        <v>10377</v>
      </c>
      <c r="E423" s="362" t="s">
        <v>10378</v>
      </c>
      <c r="F423" s="362" t="s">
        <v>7734</v>
      </c>
      <c r="G423" s="362" t="s">
        <v>10379</v>
      </c>
      <c r="H423" s="363">
        <v>2012</v>
      </c>
      <c r="I423" s="378">
        <v>41005</v>
      </c>
      <c r="J423" s="434" t="s">
        <v>7735</v>
      </c>
      <c r="K423" s="425"/>
      <c r="L423" s="362" t="s">
        <v>10380</v>
      </c>
    </row>
    <row r="424" spans="1:12">
      <c r="A424" s="363">
        <f>VLOOKUP(B424, 'PubMed 4.14.21 Results'!B:B, 1, FALSE)</f>
        <v>22497041</v>
      </c>
      <c r="B424" s="363">
        <v>22497041</v>
      </c>
      <c r="C424" s="362" t="s">
        <v>10381</v>
      </c>
      <c r="D424" s="362" t="s">
        <v>10382</v>
      </c>
      <c r="E424" s="362" t="s">
        <v>10383</v>
      </c>
      <c r="F424" s="362" t="s">
        <v>7710</v>
      </c>
      <c r="G424" s="362" t="s">
        <v>9604</v>
      </c>
      <c r="H424" s="363">
        <v>2012</v>
      </c>
      <c r="I424" s="378">
        <v>41013</v>
      </c>
      <c r="J424" s="365"/>
      <c r="K424" s="365"/>
      <c r="L424" s="365"/>
    </row>
    <row r="425" spans="1:12">
      <c r="A425" s="363">
        <f>VLOOKUP(B425, 'PubMed 4.14.21 Results'!B:B, 1, FALSE)</f>
        <v>23074420</v>
      </c>
      <c r="B425" s="363">
        <v>23074420</v>
      </c>
      <c r="C425" s="362" t="s">
        <v>10384</v>
      </c>
      <c r="D425" s="362" t="s">
        <v>10385</v>
      </c>
      <c r="E425" s="362" t="s">
        <v>10386</v>
      </c>
      <c r="F425" s="362" t="s">
        <v>7388</v>
      </c>
      <c r="G425" s="362" t="s">
        <v>9690</v>
      </c>
      <c r="H425" s="363">
        <v>2012</v>
      </c>
      <c r="I425" s="378">
        <v>41200</v>
      </c>
      <c r="J425" s="434" t="s">
        <v>7389</v>
      </c>
      <c r="K425" s="425"/>
      <c r="L425" s="365"/>
    </row>
    <row r="426" spans="1:12">
      <c r="A426" s="363">
        <f>VLOOKUP(B426, 'PubMed 4.14.21 Results'!B:B, 1, FALSE)</f>
        <v>23074431</v>
      </c>
      <c r="B426" s="363">
        <v>23074431</v>
      </c>
      <c r="C426" s="362" t="s">
        <v>10387</v>
      </c>
      <c r="D426" s="362" t="s">
        <v>10388</v>
      </c>
      <c r="E426" s="362" t="s">
        <v>10389</v>
      </c>
      <c r="F426" s="362" t="s">
        <v>7773</v>
      </c>
      <c r="G426" s="362" t="s">
        <v>9690</v>
      </c>
      <c r="H426" s="363">
        <v>2012</v>
      </c>
      <c r="I426" s="378">
        <v>41200</v>
      </c>
      <c r="J426" s="434" t="s">
        <v>7774</v>
      </c>
      <c r="K426" s="425"/>
      <c r="L426" s="365"/>
    </row>
    <row r="427" spans="1:12">
      <c r="A427" s="363">
        <f>VLOOKUP(B427, 'PubMed 4.14.21 Results'!B:B, 1, FALSE)</f>
        <v>23284915</v>
      </c>
      <c r="B427" s="363">
        <v>23284915</v>
      </c>
      <c r="C427" s="362" t="s">
        <v>10390</v>
      </c>
      <c r="D427" s="362" t="s">
        <v>10391</v>
      </c>
      <c r="E427" s="362" t="s">
        <v>10392</v>
      </c>
      <c r="F427" s="362" t="s">
        <v>7200</v>
      </c>
      <c r="G427" s="362" t="s">
        <v>10379</v>
      </c>
      <c r="H427" s="363">
        <v>2012</v>
      </c>
      <c r="I427" s="378">
        <v>41278</v>
      </c>
      <c r="J427" s="434" t="s">
        <v>7201</v>
      </c>
      <c r="K427" s="425"/>
      <c r="L427" s="362" t="s">
        <v>10393</v>
      </c>
    </row>
    <row r="428" spans="1:12">
      <c r="A428" s="363">
        <f>VLOOKUP(B428, 'PubMed 4.14.21 Results'!B:B, 1, FALSE)</f>
        <v>22155136</v>
      </c>
      <c r="B428" s="363">
        <v>22155136</v>
      </c>
      <c r="C428" s="362" t="s">
        <v>10394</v>
      </c>
      <c r="D428" s="362" t="s">
        <v>10395</v>
      </c>
      <c r="E428" s="362" t="s">
        <v>10396</v>
      </c>
      <c r="F428" s="362" t="s">
        <v>7697</v>
      </c>
      <c r="G428" s="362" t="s">
        <v>21</v>
      </c>
      <c r="H428" s="363">
        <v>2012</v>
      </c>
      <c r="I428" s="378">
        <v>40891</v>
      </c>
      <c r="J428" s="365"/>
      <c r="K428" s="365"/>
      <c r="L428" s="362" t="s">
        <v>10397</v>
      </c>
    </row>
    <row r="429" spans="1:12">
      <c r="A429" s="363">
        <f>VLOOKUP(B429, 'PubMed 4.14.21 Results'!B:B, 1, FALSE)</f>
        <v>22123685</v>
      </c>
      <c r="B429" s="363">
        <v>22123685</v>
      </c>
      <c r="C429" s="362" t="s">
        <v>10398</v>
      </c>
      <c r="D429" s="362" t="s">
        <v>10399</v>
      </c>
      <c r="E429" s="362" t="s">
        <v>10400</v>
      </c>
      <c r="F429" s="362" t="s">
        <v>7630</v>
      </c>
      <c r="G429" s="362" t="s">
        <v>8675</v>
      </c>
      <c r="H429" s="363">
        <v>2012</v>
      </c>
      <c r="I429" s="378">
        <v>40877</v>
      </c>
      <c r="J429" s="434" t="s">
        <v>7631</v>
      </c>
      <c r="K429" s="425"/>
      <c r="L429" s="362" t="s">
        <v>10401</v>
      </c>
    </row>
    <row r="430" spans="1:12">
      <c r="A430" s="363">
        <f>VLOOKUP(B430, 'PubMed 4.14.21 Results'!B:B, 1, FALSE)</f>
        <v>22336839</v>
      </c>
      <c r="B430" s="363">
        <v>22336839</v>
      </c>
      <c r="C430" s="362" t="s">
        <v>10402</v>
      </c>
      <c r="D430" s="362" t="s">
        <v>10403</v>
      </c>
      <c r="E430" s="362" t="s">
        <v>10404</v>
      </c>
      <c r="F430" s="362" t="s">
        <v>6571</v>
      </c>
      <c r="G430" s="362" t="s">
        <v>8857</v>
      </c>
      <c r="H430" s="363">
        <v>2012</v>
      </c>
      <c r="I430" s="378">
        <v>40956</v>
      </c>
      <c r="J430" s="365"/>
      <c r="K430" s="365"/>
      <c r="L430" s="362" t="s">
        <v>10405</v>
      </c>
    </row>
    <row r="431" spans="1:12">
      <c r="A431" s="363">
        <f>VLOOKUP(B431, 'PubMed 4.14.21 Results'!B:B, 1, FALSE)</f>
        <v>22228415</v>
      </c>
      <c r="B431" s="363">
        <v>22228415</v>
      </c>
      <c r="C431" s="362" t="s">
        <v>10406</v>
      </c>
      <c r="D431" s="362" t="s">
        <v>10407</v>
      </c>
      <c r="E431" s="362" t="s">
        <v>10408</v>
      </c>
      <c r="F431" s="362" t="s">
        <v>7971</v>
      </c>
      <c r="G431" s="362" t="s">
        <v>8712</v>
      </c>
      <c r="H431" s="363">
        <v>2012</v>
      </c>
      <c r="I431" s="378">
        <v>40918</v>
      </c>
      <c r="J431" s="365"/>
      <c r="K431" s="365"/>
      <c r="L431" s="362" t="s">
        <v>10409</v>
      </c>
    </row>
    <row r="432" spans="1:12">
      <c r="A432" s="363">
        <f>VLOOKUP(B432, 'PubMed 4.14.21 Results'!B:B, 1, FALSE)</f>
        <v>22230592</v>
      </c>
      <c r="B432" s="363">
        <v>22230592</v>
      </c>
      <c r="C432" s="362" t="s">
        <v>10410</v>
      </c>
      <c r="D432" s="362" t="s">
        <v>10411</v>
      </c>
      <c r="E432" s="362" t="s">
        <v>10412</v>
      </c>
      <c r="F432" s="362" t="s">
        <v>7074</v>
      </c>
      <c r="G432" s="362" t="s">
        <v>21</v>
      </c>
      <c r="H432" s="363">
        <v>2012</v>
      </c>
      <c r="I432" s="378">
        <v>40919</v>
      </c>
      <c r="J432" s="434" t="s">
        <v>7075</v>
      </c>
      <c r="K432" s="425"/>
      <c r="L432" s="362" t="s">
        <v>10413</v>
      </c>
    </row>
    <row r="433" spans="1:12">
      <c r="A433" s="363">
        <f>VLOOKUP(B433, 'PubMed 4.14.21 Results'!B:B, 1, FALSE)</f>
        <v>22424013</v>
      </c>
      <c r="B433" s="363">
        <v>22424013</v>
      </c>
      <c r="C433" s="362" t="s">
        <v>10414</v>
      </c>
      <c r="D433" s="362" t="s">
        <v>10415</v>
      </c>
      <c r="E433" s="362" t="s">
        <v>10416</v>
      </c>
      <c r="F433" s="362" t="s">
        <v>6915</v>
      </c>
      <c r="G433" s="362" t="s">
        <v>8665</v>
      </c>
      <c r="H433" s="363">
        <v>2012</v>
      </c>
      <c r="I433" s="378">
        <v>40988</v>
      </c>
      <c r="J433" s="365"/>
      <c r="K433" s="365"/>
      <c r="L433" s="362" t="s">
        <v>10417</v>
      </c>
    </row>
    <row r="434" spans="1:12">
      <c r="A434" s="363">
        <f>VLOOKUP(B434, 'PubMed 4.14.21 Results'!B:B, 1, FALSE)</f>
        <v>22595272</v>
      </c>
      <c r="B434" s="363">
        <v>22595272</v>
      </c>
      <c r="C434" s="362" t="s">
        <v>10418</v>
      </c>
      <c r="D434" s="362" t="s">
        <v>10419</v>
      </c>
      <c r="E434" s="362" t="s">
        <v>10420</v>
      </c>
      <c r="F434" s="362" t="s">
        <v>7018</v>
      </c>
      <c r="G434" s="362" t="s">
        <v>10421</v>
      </c>
      <c r="H434" s="363">
        <v>2012</v>
      </c>
      <c r="I434" s="378">
        <v>41048</v>
      </c>
      <c r="J434" s="434" t="s">
        <v>7019</v>
      </c>
      <c r="K434" s="425"/>
      <c r="L434" s="362" t="s">
        <v>10422</v>
      </c>
    </row>
    <row r="435" spans="1:12">
      <c r="A435" s="363">
        <f>VLOOKUP(B435, 'PubMed 4.14.21 Results'!B:B, 1, FALSE)</f>
        <v>21569111</v>
      </c>
      <c r="B435" s="363">
        <v>21569111</v>
      </c>
      <c r="C435" s="362" t="s">
        <v>10423</v>
      </c>
      <c r="D435" s="362" t="s">
        <v>10424</v>
      </c>
      <c r="E435" s="362" t="s">
        <v>10425</v>
      </c>
      <c r="F435" s="362" t="s">
        <v>7159</v>
      </c>
      <c r="G435" s="362" t="s">
        <v>10426</v>
      </c>
      <c r="H435" s="363">
        <v>2012</v>
      </c>
      <c r="I435" s="378">
        <v>40680</v>
      </c>
      <c r="J435" s="365"/>
      <c r="K435" s="365"/>
      <c r="L435" s="362" t="s">
        <v>10427</v>
      </c>
    </row>
    <row r="436" spans="1:12">
      <c r="A436" s="363">
        <f>VLOOKUP(B436, 'PubMed 4.14.21 Results'!B:B, 1, FALSE)</f>
        <v>22352764</v>
      </c>
      <c r="B436" s="363">
        <v>22352764</v>
      </c>
      <c r="C436" s="362" t="s">
        <v>10428</v>
      </c>
      <c r="D436" s="362" t="s">
        <v>10429</v>
      </c>
      <c r="E436" s="362" t="s">
        <v>10430</v>
      </c>
      <c r="F436" s="362" t="s">
        <v>7839</v>
      </c>
      <c r="G436" s="362" t="s">
        <v>10184</v>
      </c>
      <c r="H436" s="363">
        <v>2012</v>
      </c>
      <c r="I436" s="378">
        <v>40962</v>
      </c>
      <c r="J436" s="365"/>
      <c r="K436" s="365"/>
      <c r="L436" s="362" t="s">
        <v>10431</v>
      </c>
    </row>
    <row r="437" spans="1:12">
      <c r="A437" s="363">
        <f>VLOOKUP(B437, 'PubMed 4.14.21 Results'!B:B, 1, FALSE)</f>
        <v>22366350</v>
      </c>
      <c r="B437" s="363">
        <v>22366350</v>
      </c>
      <c r="C437" s="362" t="s">
        <v>10432</v>
      </c>
      <c r="D437" s="362" t="s">
        <v>10433</v>
      </c>
      <c r="E437" s="362" t="s">
        <v>10434</v>
      </c>
      <c r="F437" s="362" t="s">
        <v>7924</v>
      </c>
      <c r="G437" s="362" t="s">
        <v>10314</v>
      </c>
      <c r="H437" s="363">
        <v>2012</v>
      </c>
      <c r="I437" s="378">
        <v>40967</v>
      </c>
      <c r="J437" s="362" t="s">
        <v>7925</v>
      </c>
      <c r="K437" s="362" t="s">
        <v>10435</v>
      </c>
      <c r="L437" s="362" t="s">
        <v>10436</v>
      </c>
    </row>
    <row r="438" spans="1:12">
      <c r="A438" s="363">
        <f>VLOOKUP(B438, 'PubMed 4.14.21 Results'!B:B, 1, FALSE)</f>
        <v>22496082</v>
      </c>
      <c r="B438" s="363">
        <v>22496082</v>
      </c>
      <c r="C438" s="362" t="s">
        <v>10437</v>
      </c>
      <c r="D438" s="362" t="s">
        <v>10438</v>
      </c>
      <c r="E438" s="362" t="s">
        <v>10439</v>
      </c>
      <c r="F438" s="362" t="s">
        <v>7770</v>
      </c>
      <c r="G438" s="362" t="s">
        <v>10440</v>
      </c>
      <c r="H438" s="363">
        <v>2012</v>
      </c>
      <c r="I438" s="378">
        <v>41012</v>
      </c>
      <c r="J438" s="365"/>
      <c r="K438" s="365"/>
      <c r="L438" s="362" t="s">
        <v>10441</v>
      </c>
    </row>
    <row r="439" spans="1:12">
      <c r="A439" s="363">
        <f>VLOOKUP(B439, 'PubMed 4.14.21 Results'!B:B, 1, FALSE)</f>
        <v>22504775</v>
      </c>
      <c r="B439" s="363">
        <v>22504775</v>
      </c>
      <c r="C439" s="362" t="s">
        <v>10442</v>
      </c>
      <c r="D439" s="362" t="s">
        <v>10443</v>
      </c>
      <c r="E439" s="362" t="s">
        <v>10444</v>
      </c>
      <c r="F439" s="362" t="s">
        <v>6457</v>
      </c>
      <c r="G439" s="362" t="s">
        <v>8824</v>
      </c>
      <c r="H439" s="363">
        <v>2012</v>
      </c>
      <c r="I439" s="378">
        <v>41016</v>
      </c>
      <c r="J439" s="365"/>
      <c r="K439" s="365"/>
      <c r="L439" s="362" t="s">
        <v>10445</v>
      </c>
    </row>
    <row r="440" spans="1:12">
      <c r="A440" s="363">
        <f>VLOOKUP(B440, 'PubMed 4.14.21 Results'!B:B, 1, FALSE)</f>
        <v>22682133</v>
      </c>
      <c r="B440" s="363">
        <v>22682133</v>
      </c>
      <c r="C440" s="362" t="s">
        <v>10446</v>
      </c>
      <c r="D440" s="362" t="s">
        <v>10447</v>
      </c>
      <c r="E440" s="362" t="s">
        <v>10448</v>
      </c>
      <c r="F440" s="362" t="s">
        <v>6812</v>
      </c>
      <c r="G440" s="362" t="s">
        <v>8777</v>
      </c>
      <c r="H440" s="363">
        <v>2012</v>
      </c>
      <c r="I440" s="378">
        <v>41072</v>
      </c>
      <c r="J440" s="365"/>
      <c r="K440" s="365"/>
      <c r="L440" s="362" t="s">
        <v>10449</v>
      </c>
    </row>
    <row r="441" spans="1:12">
      <c r="A441" s="363">
        <f>VLOOKUP(B441, 'PubMed 4.14.21 Results'!B:B, 1, FALSE)</f>
        <v>22508161</v>
      </c>
      <c r="B441" s="363">
        <v>22508161</v>
      </c>
      <c r="C441" s="362" t="s">
        <v>10450</v>
      </c>
      <c r="D441" s="362" t="s">
        <v>10451</v>
      </c>
      <c r="E441" s="362" t="s">
        <v>10452</v>
      </c>
      <c r="F441" s="362" t="s">
        <v>7578</v>
      </c>
      <c r="G441" s="362" t="s">
        <v>10453</v>
      </c>
      <c r="H441" s="363">
        <v>2012</v>
      </c>
      <c r="I441" s="378">
        <v>41017</v>
      </c>
      <c r="J441" s="434" t="s">
        <v>7579</v>
      </c>
      <c r="K441" s="425"/>
      <c r="L441" s="362" t="s">
        <v>10454</v>
      </c>
    </row>
    <row r="442" spans="1:12">
      <c r="A442" s="363">
        <f>VLOOKUP(B442, 'PubMed 4.14.21 Results'!B:B, 1, FALSE)</f>
        <v>22513930</v>
      </c>
      <c r="B442" s="363">
        <v>22513930</v>
      </c>
      <c r="C442" s="362" t="s">
        <v>9307</v>
      </c>
      <c r="D442" s="362" t="s">
        <v>9308</v>
      </c>
      <c r="E442" s="362" t="s">
        <v>10455</v>
      </c>
      <c r="F442" s="362" t="s">
        <v>7218</v>
      </c>
      <c r="G442" s="362" t="s">
        <v>8857</v>
      </c>
      <c r="H442" s="363">
        <v>2012</v>
      </c>
      <c r="I442" s="378">
        <v>41019</v>
      </c>
      <c r="J442" s="434" t="s">
        <v>7219</v>
      </c>
      <c r="K442" s="425"/>
      <c r="L442" s="362" t="s">
        <v>10456</v>
      </c>
    </row>
    <row r="443" spans="1:12">
      <c r="A443" s="363">
        <f>VLOOKUP(B443, 'PubMed 4.14.21 Results'!B:B, 1, FALSE)</f>
        <v>22520143</v>
      </c>
      <c r="B443" s="363">
        <v>22520143</v>
      </c>
      <c r="C443" s="362" t="s">
        <v>10457</v>
      </c>
      <c r="D443" s="362" t="s">
        <v>10458</v>
      </c>
      <c r="E443" s="362" t="s">
        <v>10459</v>
      </c>
      <c r="F443" s="362" t="s">
        <v>8115</v>
      </c>
      <c r="G443" s="362" t="s">
        <v>21</v>
      </c>
      <c r="H443" s="363">
        <v>2012</v>
      </c>
      <c r="I443" s="378">
        <v>41023</v>
      </c>
      <c r="J443" s="365"/>
      <c r="K443" s="365"/>
      <c r="L443" s="362" t="s">
        <v>10460</v>
      </c>
    </row>
    <row r="444" spans="1:12">
      <c r="A444" s="363">
        <f>VLOOKUP(B444, 'PubMed 4.14.21 Results'!B:B, 1, FALSE)</f>
        <v>22494019</v>
      </c>
      <c r="B444" s="363">
        <v>22494019</v>
      </c>
      <c r="C444" s="362" t="s">
        <v>10461</v>
      </c>
      <c r="D444" s="362" t="s">
        <v>10462</v>
      </c>
      <c r="E444" s="362" t="s">
        <v>10463</v>
      </c>
      <c r="F444" s="362" t="s">
        <v>8057</v>
      </c>
      <c r="G444" s="362" t="s">
        <v>8762</v>
      </c>
      <c r="H444" s="363">
        <v>2012</v>
      </c>
      <c r="I444" s="378">
        <v>41012</v>
      </c>
      <c r="J444" s="365"/>
      <c r="K444" s="365"/>
      <c r="L444" s="362" t="s">
        <v>10464</v>
      </c>
    </row>
    <row r="445" spans="1:12">
      <c r="A445" s="363">
        <f>VLOOKUP(B445, 'PubMed 4.14.21 Results'!B:B, 1, FALSE)</f>
        <v>22642919</v>
      </c>
      <c r="B445" s="363">
        <v>22642919</v>
      </c>
      <c r="C445" s="362" t="s">
        <v>10465</v>
      </c>
      <c r="D445" s="362" t="s">
        <v>10466</v>
      </c>
      <c r="E445" s="362" t="s">
        <v>10467</v>
      </c>
      <c r="F445" s="362" t="s">
        <v>7955</v>
      </c>
      <c r="G445" s="362" t="s">
        <v>10468</v>
      </c>
      <c r="H445" s="363">
        <v>2012</v>
      </c>
      <c r="I445" s="378">
        <v>41060</v>
      </c>
      <c r="J445" s="362" t="s">
        <v>7956</v>
      </c>
      <c r="K445" s="434" t="s">
        <v>10469</v>
      </c>
      <c r="L445" s="425"/>
    </row>
    <row r="446" spans="1:12">
      <c r="A446" s="363">
        <f>VLOOKUP(B446, 'PubMed 4.14.21 Results'!B:B, 1, FALSE)</f>
        <v>22838300</v>
      </c>
      <c r="B446" s="363">
        <v>22838300</v>
      </c>
      <c r="C446" s="362" t="s">
        <v>10470</v>
      </c>
      <c r="D446" s="362" t="s">
        <v>10471</v>
      </c>
      <c r="E446" s="362" t="s">
        <v>10472</v>
      </c>
      <c r="F446" s="362" t="s">
        <v>7370</v>
      </c>
      <c r="G446" s="362" t="s">
        <v>10473</v>
      </c>
      <c r="H446" s="363">
        <v>2012</v>
      </c>
      <c r="I446" s="378">
        <v>41121</v>
      </c>
      <c r="J446" s="365"/>
      <c r="K446" s="365"/>
      <c r="L446" s="365"/>
    </row>
    <row r="447" spans="1:12">
      <c r="A447" s="363">
        <f>VLOOKUP(B447, 'PubMed 4.14.21 Results'!B:B, 1, FALSE)</f>
        <v>22991696</v>
      </c>
      <c r="B447" s="363">
        <v>22991696</v>
      </c>
      <c r="C447" s="362" t="s">
        <v>10474</v>
      </c>
      <c r="D447" s="362" t="s">
        <v>10475</v>
      </c>
      <c r="E447" s="362" t="s">
        <v>10476</v>
      </c>
      <c r="F447" s="362" t="s">
        <v>7403</v>
      </c>
      <c r="G447" s="362" t="s">
        <v>9045</v>
      </c>
      <c r="H447" s="363">
        <v>2012</v>
      </c>
      <c r="I447" s="378">
        <v>41172</v>
      </c>
      <c r="J447" s="365"/>
      <c r="K447" s="365"/>
      <c r="L447" s="362" t="s">
        <v>10477</v>
      </c>
    </row>
    <row r="448" spans="1:12">
      <c r="A448" s="363">
        <f>VLOOKUP(B448, 'PubMed 4.14.21 Results'!B:B, 1, FALSE)</f>
        <v>22161082</v>
      </c>
      <c r="B448" s="363">
        <v>22161082</v>
      </c>
      <c r="C448" s="362" t="s">
        <v>10478</v>
      </c>
      <c r="D448" s="362" t="s">
        <v>10479</v>
      </c>
      <c r="E448" s="362" t="s">
        <v>10480</v>
      </c>
      <c r="F448" s="362" t="s">
        <v>7190</v>
      </c>
      <c r="G448" s="362" t="s">
        <v>10481</v>
      </c>
      <c r="H448" s="363">
        <v>2012</v>
      </c>
      <c r="I448" s="378">
        <v>40891</v>
      </c>
      <c r="J448" s="434" t="s">
        <v>7191</v>
      </c>
      <c r="K448" s="425"/>
      <c r="L448" s="362" t="s">
        <v>10482</v>
      </c>
    </row>
    <row r="449" spans="1:12">
      <c r="A449" s="363">
        <f>VLOOKUP(B449, 'PubMed 4.14.21 Results'!B:B, 1, FALSE)</f>
        <v>22226086</v>
      </c>
      <c r="B449" s="363">
        <v>22226086</v>
      </c>
      <c r="C449" s="362" t="s">
        <v>10483</v>
      </c>
      <c r="D449" s="362" t="s">
        <v>10484</v>
      </c>
      <c r="E449" s="362" t="s">
        <v>10485</v>
      </c>
      <c r="F449" s="362" t="s">
        <v>6764</v>
      </c>
      <c r="G449" s="362" t="s">
        <v>10486</v>
      </c>
      <c r="H449" s="363">
        <v>2012</v>
      </c>
      <c r="I449" s="378">
        <v>40918</v>
      </c>
      <c r="J449" s="365"/>
      <c r="K449" s="365"/>
      <c r="L449" s="362" t="s">
        <v>10487</v>
      </c>
    </row>
    <row r="450" spans="1:12">
      <c r="A450" s="363">
        <f>VLOOKUP(B450, 'PubMed 4.14.21 Results'!B:B, 1, FALSE)</f>
        <v>22450948</v>
      </c>
      <c r="B450" s="363">
        <v>22450948</v>
      </c>
      <c r="C450" s="362" t="s">
        <v>10488</v>
      </c>
      <c r="D450" s="362" t="s">
        <v>10489</v>
      </c>
      <c r="E450" s="362" t="s">
        <v>10490</v>
      </c>
      <c r="F450" s="362" t="s">
        <v>6502</v>
      </c>
      <c r="G450" s="362" t="s">
        <v>10491</v>
      </c>
      <c r="H450" s="363">
        <v>2012</v>
      </c>
      <c r="I450" s="378">
        <v>40996</v>
      </c>
      <c r="J450" s="365"/>
      <c r="K450" s="365"/>
      <c r="L450" s="362" t="s">
        <v>10492</v>
      </c>
    </row>
    <row r="451" spans="1:12">
      <c r="A451" s="363">
        <f>VLOOKUP(B451, 'PubMed 4.14.21 Results'!B:B, 1, FALSE)</f>
        <v>22715866</v>
      </c>
      <c r="B451" s="363">
        <v>22715866</v>
      </c>
      <c r="C451" s="362" t="s">
        <v>10493</v>
      </c>
      <c r="D451" s="362" t="s">
        <v>10494</v>
      </c>
      <c r="E451" s="362" t="s">
        <v>10495</v>
      </c>
      <c r="F451" s="362" t="s">
        <v>7952</v>
      </c>
      <c r="G451" s="362" t="s">
        <v>10496</v>
      </c>
      <c r="H451" s="363">
        <v>2012</v>
      </c>
      <c r="I451" s="378">
        <v>41082</v>
      </c>
      <c r="J451" s="434" t="s">
        <v>7953</v>
      </c>
      <c r="K451" s="425"/>
      <c r="L451" s="362" t="s">
        <v>10497</v>
      </c>
    </row>
    <row r="452" spans="1:12">
      <c r="A452" s="363">
        <f>VLOOKUP(B452, 'PubMed 4.14.21 Results'!B:B, 1, FALSE)</f>
        <v>23044202</v>
      </c>
      <c r="B452" s="363">
        <v>23044202</v>
      </c>
      <c r="C452" s="362" t="s">
        <v>10498</v>
      </c>
      <c r="D452" s="362" t="s">
        <v>10499</v>
      </c>
      <c r="E452" s="362" t="s">
        <v>10500</v>
      </c>
      <c r="F452" s="362" t="s">
        <v>7268</v>
      </c>
      <c r="G452" s="362" t="s">
        <v>10501</v>
      </c>
      <c r="H452" s="363">
        <v>2012</v>
      </c>
      <c r="I452" s="378">
        <v>41192</v>
      </c>
      <c r="J452" s="365"/>
      <c r="K452" s="365"/>
      <c r="L452" s="362" t="s">
        <v>10502</v>
      </c>
    </row>
    <row r="453" spans="1:12">
      <c r="A453" s="363">
        <f>VLOOKUP(B453, 'PubMed 4.14.21 Results'!B:B, 1, FALSE)</f>
        <v>22566017</v>
      </c>
      <c r="B453" s="363">
        <v>22566017</v>
      </c>
      <c r="C453" s="362" t="s">
        <v>10503</v>
      </c>
      <c r="D453" s="362" t="s">
        <v>10504</v>
      </c>
      <c r="E453" s="362" t="s">
        <v>10505</v>
      </c>
      <c r="F453" s="362" t="s">
        <v>7819</v>
      </c>
      <c r="G453" s="362" t="s">
        <v>10335</v>
      </c>
      <c r="H453" s="363">
        <v>2012</v>
      </c>
      <c r="I453" s="378">
        <v>41038</v>
      </c>
      <c r="J453" s="362" t="s">
        <v>7820</v>
      </c>
      <c r="K453" s="362" t="s">
        <v>10506</v>
      </c>
      <c r="L453" s="362" t="s">
        <v>10507</v>
      </c>
    </row>
    <row r="454" spans="1:12">
      <c r="A454" s="363">
        <f>VLOOKUP(B454, 'PubMed 4.14.21 Results'!B:B, 1, FALSE)</f>
        <v>22633423</v>
      </c>
      <c r="B454" s="363">
        <v>22633423</v>
      </c>
      <c r="C454" s="362" t="s">
        <v>10508</v>
      </c>
      <c r="D454" s="362" t="s">
        <v>10509</v>
      </c>
      <c r="E454" s="362" t="s">
        <v>10510</v>
      </c>
      <c r="F454" s="362" t="s">
        <v>7714</v>
      </c>
      <c r="G454" s="362" t="s">
        <v>10511</v>
      </c>
      <c r="H454" s="363">
        <v>2012</v>
      </c>
      <c r="I454" s="378">
        <v>41058</v>
      </c>
      <c r="J454" s="365"/>
      <c r="K454" s="365"/>
      <c r="L454" s="362" t="s">
        <v>10512</v>
      </c>
    </row>
    <row r="455" spans="1:12">
      <c r="A455" s="363">
        <f>VLOOKUP(B455, 'PubMed 4.14.21 Results'!B:B, 1, FALSE)</f>
        <v>22658702</v>
      </c>
      <c r="B455" s="363">
        <v>22658702</v>
      </c>
      <c r="C455" s="362" t="s">
        <v>10513</v>
      </c>
      <c r="D455" s="362" t="s">
        <v>10514</v>
      </c>
      <c r="E455" s="362" t="s">
        <v>10515</v>
      </c>
      <c r="F455" s="362" t="s">
        <v>7456</v>
      </c>
      <c r="G455" s="362" t="s">
        <v>10516</v>
      </c>
      <c r="H455" s="363">
        <v>2012</v>
      </c>
      <c r="I455" s="378">
        <v>41065</v>
      </c>
      <c r="J455" s="365"/>
      <c r="K455" s="365"/>
      <c r="L455" s="362" t="s">
        <v>10517</v>
      </c>
    </row>
    <row r="456" spans="1:12">
      <c r="A456" s="363">
        <f>VLOOKUP(B456, 'PubMed 4.14.21 Results'!B:B, 1, FALSE)</f>
        <v>22556187</v>
      </c>
      <c r="B456" s="363">
        <v>22556187</v>
      </c>
      <c r="C456" s="362" t="s">
        <v>10518</v>
      </c>
      <c r="D456" s="362" t="s">
        <v>10519</v>
      </c>
      <c r="E456" s="362" t="s">
        <v>10520</v>
      </c>
      <c r="F456" s="362" t="s">
        <v>7856</v>
      </c>
      <c r="G456" s="362" t="s">
        <v>10521</v>
      </c>
      <c r="H456" s="363">
        <v>2012</v>
      </c>
      <c r="I456" s="378">
        <v>41034</v>
      </c>
      <c r="J456" s="365"/>
      <c r="K456" s="365"/>
      <c r="L456" s="362" t="s">
        <v>10522</v>
      </c>
    </row>
    <row r="457" spans="1:12">
      <c r="A457" s="363">
        <f>VLOOKUP(B457, 'PubMed 4.14.21 Results'!B:B, 1, FALSE)</f>
        <v>22622405</v>
      </c>
      <c r="B457" s="363">
        <v>22622405</v>
      </c>
      <c r="C457" s="362" t="s">
        <v>10523</v>
      </c>
      <c r="D457" s="362" t="s">
        <v>10524</v>
      </c>
      <c r="E457" s="362" t="s">
        <v>10525</v>
      </c>
      <c r="F457" s="362" t="s">
        <v>6880</v>
      </c>
      <c r="G457" s="362" t="s">
        <v>8504</v>
      </c>
      <c r="H457" s="363">
        <v>2012</v>
      </c>
      <c r="I457" s="378">
        <v>41054</v>
      </c>
      <c r="J457" s="365"/>
      <c r="K457" s="365"/>
      <c r="L457" s="362" t="s">
        <v>10526</v>
      </c>
    </row>
    <row r="458" spans="1:12">
      <c r="A458" s="363">
        <f>VLOOKUP(B458, 'PubMed 4.14.21 Results'!B:B, 1, FALSE)</f>
        <v>22972099</v>
      </c>
      <c r="B458" s="363">
        <v>22972099</v>
      </c>
      <c r="C458" s="362" t="s">
        <v>10527</v>
      </c>
      <c r="D458" s="362" t="s">
        <v>10528</v>
      </c>
      <c r="E458" s="362" t="s">
        <v>10529</v>
      </c>
      <c r="F458" s="362" t="s">
        <v>7502</v>
      </c>
      <c r="G458" s="362" t="s">
        <v>8857</v>
      </c>
      <c r="H458" s="363">
        <v>2012</v>
      </c>
      <c r="I458" s="378">
        <v>41166</v>
      </c>
      <c r="J458" s="362" t="s">
        <v>7503</v>
      </c>
      <c r="K458" s="362" t="s">
        <v>10530</v>
      </c>
      <c r="L458" s="362" t="s">
        <v>10531</v>
      </c>
    </row>
    <row r="459" spans="1:12">
      <c r="A459" s="363">
        <f>VLOOKUP(B459, 'PubMed 4.14.21 Results'!B:B, 1, FALSE)</f>
        <v>22972130</v>
      </c>
      <c r="B459" s="363">
        <v>22972130</v>
      </c>
      <c r="C459" s="362" t="s">
        <v>10532</v>
      </c>
      <c r="D459" s="362" t="s">
        <v>10533</v>
      </c>
      <c r="E459" s="362" t="s">
        <v>10534</v>
      </c>
      <c r="F459" s="362" t="s">
        <v>7545</v>
      </c>
      <c r="G459" s="362" t="s">
        <v>8857</v>
      </c>
      <c r="H459" s="363">
        <v>2012</v>
      </c>
      <c r="I459" s="378">
        <v>41166</v>
      </c>
      <c r="J459" s="365"/>
      <c r="K459" s="365"/>
      <c r="L459" s="362" t="s">
        <v>10535</v>
      </c>
    </row>
    <row r="460" spans="1:12">
      <c r="A460" s="363">
        <f>VLOOKUP(B460, 'PubMed 4.14.21 Results'!B:B, 1, FALSE)</f>
        <v>22989372</v>
      </c>
      <c r="B460" s="363">
        <v>22989372</v>
      </c>
      <c r="C460" s="362" t="s">
        <v>10536</v>
      </c>
      <c r="D460" s="362" t="s">
        <v>10537</v>
      </c>
      <c r="E460" s="362" t="s">
        <v>10538</v>
      </c>
      <c r="F460" s="362" t="s">
        <v>7765</v>
      </c>
      <c r="G460" s="362" t="s">
        <v>9437</v>
      </c>
      <c r="H460" s="363">
        <v>2012</v>
      </c>
      <c r="I460" s="378">
        <v>41172</v>
      </c>
      <c r="J460" s="434" t="s">
        <v>7766</v>
      </c>
      <c r="K460" s="425"/>
      <c r="L460" s="362" t="s">
        <v>10539</v>
      </c>
    </row>
    <row r="461" spans="1:12">
      <c r="A461" s="363">
        <f>VLOOKUP(B461, 'PubMed 4.14.21 Results'!B:B, 1, FALSE)</f>
        <v>23011715</v>
      </c>
      <c r="B461" s="363">
        <v>23011715</v>
      </c>
      <c r="C461" s="362" t="s">
        <v>10540</v>
      </c>
      <c r="D461" s="362" t="s">
        <v>10541</v>
      </c>
      <c r="E461" s="362" t="s">
        <v>10542</v>
      </c>
      <c r="F461" s="362" t="s">
        <v>6887</v>
      </c>
      <c r="G461" s="362" t="s">
        <v>8580</v>
      </c>
      <c r="H461" s="363">
        <v>2012</v>
      </c>
      <c r="I461" s="378">
        <v>41179</v>
      </c>
      <c r="J461" s="362" t="s">
        <v>6888</v>
      </c>
      <c r="K461" s="362" t="s">
        <v>10543</v>
      </c>
      <c r="L461" s="362" t="s">
        <v>10544</v>
      </c>
    </row>
    <row r="462" spans="1:12">
      <c r="A462" s="363">
        <f>VLOOKUP(B462, 'PubMed 4.14.21 Results'!B:B, 1, FALSE)</f>
        <v>22727733</v>
      </c>
      <c r="B462" s="363">
        <v>22727733</v>
      </c>
      <c r="C462" s="362" t="s">
        <v>10545</v>
      </c>
      <c r="D462" s="362" t="s">
        <v>10546</v>
      </c>
      <c r="E462" s="362" t="s">
        <v>10547</v>
      </c>
      <c r="F462" s="362" t="s">
        <v>6583</v>
      </c>
      <c r="G462" s="362" t="s">
        <v>10548</v>
      </c>
      <c r="H462" s="363">
        <v>2012</v>
      </c>
      <c r="I462" s="378">
        <v>41086</v>
      </c>
      <c r="J462" s="365"/>
      <c r="K462" s="365"/>
      <c r="L462" s="362" t="s">
        <v>10549</v>
      </c>
    </row>
    <row r="463" spans="1:12">
      <c r="A463" s="363">
        <f>VLOOKUP(B463, 'PubMed 4.14.21 Results'!B:B, 1, FALSE)</f>
        <v>22825365</v>
      </c>
      <c r="B463" s="363">
        <v>22825365</v>
      </c>
      <c r="C463" s="362" t="s">
        <v>10550</v>
      </c>
      <c r="D463" s="362" t="s">
        <v>10551</v>
      </c>
      <c r="E463" s="362" t="s">
        <v>10552</v>
      </c>
      <c r="F463" s="362" t="s">
        <v>7257</v>
      </c>
      <c r="G463" s="362" t="s">
        <v>9292</v>
      </c>
      <c r="H463" s="363">
        <v>2012</v>
      </c>
      <c r="I463" s="378">
        <v>41115</v>
      </c>
      <c r="J463" s="434" t="s">
        <v>7258</v>
      </c>
      <c r="K463" s="425"/>
      <c r="L463" s="362" t="s">
        <v>10553</v>
      </c>
    </row>
    <row r="464" spans="1:12">
      <c r="A464" s="363">
        <f>VLOOKUP(B464, 'PubMed 4.14.21 Results'!B:B, 1, FALSE)</f>
        <v>22929469</v>
      </c>
      <c r="B464" s="363">
        <v>22929469</v>
      </c>
      <c r="C464" s="362" t="s">
        <v>10554</v>
      </c>
      <c r="D464" s="362" t="s">
        <v>10555</v>
      </c>
      <c r="E464" s="362" t="s">
        <v>10556</v>
      </c>
      <c r="F464" s="362" t="s">
        <v>6841</v>
      </c>
      <c r="G464" s="362" t="s">
        <v>10557</v>
      </c>
      <c r="H464" s="363">
        <v>2012</v>
      </c>
      <c r="I464" s="378">
        <v>41151</v>
      </c>
      <c r="J464" s="362" t="s">
        <v>6842</v>
      </c>
      <c r="K464" s="362" t="s">
        <v>10558</v>
      </c>
      <c r="L464" s="362" t="s">
        <v>10559</v>
      </c>
    </row>
    <row r="465" spans="1:12">
      <c r="A465" s="363">
        <f>VLOOKUP(B465, 'PubMed 4.14.21 Results'!B:B, 1, FALSE)</f>
        <v>23197664</v>
      </c>
      <c r="B465" s="363">
        <v>23197664</v>
      </c>
      <c r="C465" s="362" t="s">
        <v>10560</v>
      </c>
      <c r="D465" s="362" t="s">
        <v>10561</v>
      </c>
      <c r="E465" s="362" t="s">
        <v>10562</v>
      </c>
      <c r="F465" s="362" t="s">
        <v>7807</v>
      </c>
      <c r="G465" s="362" t="s">
        <v>10563</v>
      </c>
      <c r="H465" s="363">
        <v>2012</v>
      </c>
      <c r="I465" s="378">
        <v>41244</v>
      </c>
      <c r="J465" s="434" t="s">
        <v>7808</v>
      </c>
      <c r="K465" s="425"/>
      <c r="L465" s="362" t="s">
        <v>10564</v>
      </c>
    </row>
    <row r="466" spans="1:12">
      <c r="A466" s="363">
        <f>VLOOKUP(B466, 'PubMed 4.14.21 Results'!B:B, 1, FALSE)</f>
        <v>23076910</v>
      </c>
      <c r="B466" s="363">
        <v>23076910</v>
      </c>
      <c r="C466" s="362" t="s">
        <v>9267</v>
      </c>
      <c r="D466" s="362" t="s">
        <v>10565</v>
      </c>
      <c r="E466" s="362" t="s">
        <v>10566</v>
      </c>
      <c r="F466" s="362" t="s">
        <v>7286</v>
      </c>
      <c r="G466" s="362" t="s">
        <v>8857</v>
      </c>
      <c r="H466" s="363">
        <v>2012</v>
      </c>
      <c r="I466" s="378">
        <v>41201</v>
      </c>
      <c r="J466" s="434" t="s">
        <v>7287</v>
      </c>
      <c r="K466" s="425"/>
      <c r="L466" s="362" t="s">
        <v>10567</v>
      </c>
    </row>
    <row r="467" spans="1:12">
      <c r="A467" s="363">
        <f>VLOOKUP(B467, 'PubMed 4.14.21 Results'!B:B, 1, FALSE)</f>
        <v>22609040</v>
      </c>
      <c r="B467" s="363">
        <v>22609040</v>
      </c>
      <c r="C467" s="362" t="s">
        <v>10568</v>
      </c>
      <c r="D467" s="362" t="s">
        <v>10569</v>
      </c>
      <c r="E467" s="362" t="s">
        <v>10570</v>
      </c>
      <c r="F467" s="362" t="s">
        <v>7238</v>
      </c>
      <c r="G467" s="362" t="s">
        <v>10571</v>
      </c>
      <c r="H467" s="363">
        <v>2012</v>
      </c>
      <c r="I467" s="378">
        <v>41051</v>
      </c>
      <c r="J467" s="365"/>
      <c r="K467" s="365"/>
      <c r="L467" s="362" t="s">
        <v>10572</v>
      </c>
    </row>
    <row r="468" spans="1:12">
      <c r="A468" s="363">
        <f>VLOOKUP(B468, 'PubMed 4.14.21 Results'!B:B, 1, FALSE)</f>
        <v>22932397</v>
      </c>
      <c r="B468" s="363">
        <v>22932397</v>
      </c>
      <c r="C468" s="362" t="s">
        <v>10573</v>
      </c>
      <c r="D468" s="362" t="s">
        <v>10574</v>
      </c>
      <c r="E468" s="362" t="s">
        <v>10575</v>
      </c>
      <c r="F468" s="362" t="s">
        <v>7685</v>
      </c>
      <c r="G468" s="362" t="s">
        <v>8504</v>
      </c>
      <c r="H468" s="363">
        <v>2012</v>
      </c>
      <c r="I468" s="378">
        <v>41152</v>
      </c>
      <c r="J468" s="365"/>
      <c r="K468" s="365"/>
      <c r="L468" s="362" t="s">
        <v>10576</v>
      </c>
    </row>
    <row r="469" spans="1:12">
      <c r="A469" s="363">
        <f>VLOOKUP(B469, 'PubMed 4.14.21 Results'!B:B, 1, FALSE)</f>
        <v>23113480</v>
      </c>
      <c r="B469" s="363">
        <v>23113480</v>
      </c>
      <c r="C469" s="362" t="s">
        <v>10577</v>
      </c>
      <c r="D469" s="362" t="s">
        <v>10578</v>
      </c>
      <c r="E469" s="362" t="s">
        <v>10579</v>
      </c>
      <c r="F469" s="362" t="s">
        <v>7586</v>
      </c>
      <c r="G469" s="362" t="s">
        <v>8514</v>
      </c>
      <c r="H469" s="363">
        <v>2012</v>
      </c>
      <c r="I469" s="378">
        <v>41215</v>
      </c>
      <c r="J469" s="365"/>
      <c r="K469" s="365"/>
      <c r="L469" s="362" t="s">
        <v>10580</v>
      </c>
    </row>
    <row r="470" spans="1:12">
      <c r="A470" s="363">
        <f>VLOOKUP(B470, 'PubMed 4.14.21 Results'!B:B, 1, FALSE)</f>
        <v>24236468</v>
      </c>
      <c r="B470" s="363">
        <v>24236468</v>
      </c>
      <c r="C470" s="362" t="s">
        <v>10581</v>
      </c>
      <c r="D470" s="362" t="s">
        <v>10582</v>
      </c>
      <c r="E470" s="362" t="s">
        <v>10583</v>
      </c>
      <c r="F470" s="362" t="s">
        <v>6859</v>
      </c>
      <c r="G470" s="362" t="s">
        <v>10584</v>
      </c>
      <c r="H470" s="363">
        <v>2012</v>
      </c>
      <c r="I470" s="378">
        <v>41597</v>
      </c>
      <c r="J470" s="365"/>
      <c r="K470" s="365"/>
      <c r="L470" s="362" t="s">
        <v>10585</v>
      </c>
    </row>
    <row r="471" spans="1:12">
      <c r="A471" s="363">
        <f>VLOOKUP(B471, 'PubMed 4.14.21 Results'!B:B, 1, FALSE)</f>
        <v>23137020</v>
      </c>
      <c r="B471" s="363">
        <v>23137020</v>
      </c>
      <c r="C471" s="362" t="s">
        <v>10586</v>
      </c>
      <c r="D471" s="362" t="s">
        <v>10587</v>
      </c>
      <c r="E471" s="362" t="s">
        <v>10588</v>
      </c>
      <c r="F471" s="362" t="s">
        <v>7507</v>
      </c>
      <c r="G471" s="362" t="s">
        <v>10589</v>
      </c>
      <c r="H471" s="363">
        <v>2012</v>
      </c>
      <c r="I471" s="378">
        <v>41223</v>
      </c>
      <c r="J471" s="434" t="s">
        <v>7508</v>
      </c>
      <c r="K471" s="425"/>
      <c r="L471" s="362" t="s">
        <v>10590</v>
      </c>
    </row>
    <row r="472" spans="1:12">
      <c r="A472" s="363">
        <f>VLOOKUP(B472, 'PubMed 4.14.21 Results'!B:B, 1, FALSE)</f>
        <v>22704398</v>
      </c>
      <c r="B472" s="363">
        <v>22704398</v>
      </c>
      <c r="C472" s="362" t="s">
        <v>10591</v>
      </c>
      <c r="D472" s="362" t="s">
        <v>10592</v>
      </c>
      <c r="E472" s="362" t="s">
        <v>10593</v>
      </c>
      <c r="F472" s="362" t="s">
        <v>6593</v>
      </c>
      <c r="G472" s="362" t="s">
        <v>10594</v>
      </c>
      <c r="H472" s="363">
        <v>2012</v>
      </c>
      <c r="I472" s="378">
        <v>41079</v>
      </c>
      <c r="J472" s="365"/>
      <c r="K472" s="365"/>
      <c r="L472" s="362" t="s">
        <v>10595</v>
      </c>
    </row>
    <row r="473" spans="1:12">
      <c r="A473" s="363">
        <f>VLOOKUP(B473, 'PubMed 4.14.21 Results'!B:B, 1, FALSE)</f>
        <v>23070029</v>
      </c>
      <c r="B473" s="363">
        <v>23070029</v>
      </c>
      <c r="C473" s="362" t="s">
        <v>10596</v>
      </c>
      <c r="D473" s="362" t="s">
        <v>10597</v>
      </c>
      <c r="E473" s="362" t="s">
        <v>10598</v>
      </c>
      <c r="F473" s="362" t="s">
        <v>7778</v>
      </c>
      <c r="G473" s="362" t="s">
        <v>8584</v>
      </c>
      <c r="H473" s="363">
        <v>2012</v>
      </c>
      <c r="I473" s="378">
        <v>41199</v>
      </c>
      <c r="J473" s="365"/>
      <c r="K473" s="365"/>
      <c r="L473" s="362" t="s">
        <v>10599</v>
      </c>
    </row>
    <row r="474" spans="1:12">
      <c r="A474" s="363">
        <f>VLOOKUP(B474, 'PubMed 4.14.21 Results'!B:B, 1, FALSE)</f>
        <v>23102749</v>
      </c>
      <c r="B474" s="363">
        <v>23102749</v>
      </c>
      <c r="C474" s="362" t="s">
        <v>10600</v>
      </c>
      <c r="D474" s="362" t="s">
        <v>10601</v>
      </c>
      <c r="E474" s="362" t="s">
        <v>10602</v>
      </c>
      <c r="F474" s="362" t="s">
        <v>6480</v>
      </c>
      <c r="G474" s="362" t="s">
        <v>10603</v>
      </c>
      <c r="H474" s="363">
        <v>2012</v>
      </c>
      <c r="I474" s="378">
        <v>41212</v>
      </c>
      <c r="J474" s="365"/>
      <c r="K474" s="365"/>
      <c r="L474" s="362" t="s">
        <v>10604</v>
      </c>
    </row>
    <row r="475" spans="1:12">
      <c r="A475" s="363">
        <f>VLOOKUP(B475, 'PubMed 4.14.21 Results'!B:B, 1, FALSE)</f>
        <v>23235609</v>
      </c>
      <c r="B475" s="363">
        <v>23235609</v>
      </c>
      <c r="C475" s="362" t="s">
        <v>10605</v>
      </c>
      <c r="D475" s="362" t="s">
        <v>10606</v>
      </c>
      <c r="E475" s="362" t="s">
        <v>10607</v>
      </c>
      <c r="F475" s="362" t="s">
        <v>7360</v>
      </c>
      <c r="G475" s="362" t="s">
        <v>8857</v>
      </c>
      <c r="H475" s="363">
        <v>2012</v>
      </c>
      <c r="I475" s="378">
        <v>41257</v>
      </c>
      <c r="J475" s="434" t="s">
        <v>7361</v>
      </c>
      <c r="K475" s="425"/>
      <c r="L475" s="362" t="s">
        <v>10608</v>
      </c>
    </row>
    <row r="476" spans="1:12">
      <c r="A476" s="363">
        <f>VLOOKUP(B476, 'PubMed 4.14.21 Results'!B:B, 1, FALSE)</f>
        <v>23235633</v>
      </c>
      <c r="B476" s="363">
        <v>23235633</v>
      </c>
      <c r="C476" s="362" t="s">
        <v>10609</v>
      </c>
      <c r="D476" s="362" t="s">
        <v>10610</v>
      </c>
      <c r="E476" s="362" t="s">
        <v>10611</v>
      </c>
      <c r="F476" s="362" t="s">
        <v>7475</v>
      </c>
      <c r="G476" s="362" t="s">
        <v>8857</v>
      </c>
      <c r="H476" s="363">
        <v>2012</v>
      </c>
      <c r="I476" s="378">
        <v>41257</v>
      </c>
      <c r="J476" s="365"/>
      <c r="K476" s="365"/>
      <c r="L476" s="362" t="s">
        <v>10612</v>
      </c>
    </row>
    <row r="477" spans="1:12">
      <c r="A477" s="363">
        <f>VLOOKUP(B477, 'PubMed 4.14.21 Results'!B:B, 1, FALSE)</f>
        <v>23136909</v>
      </c>
      <c r="B477" s="363">
        <v>23136909</v>
      </c>
      <c r="C477" s="362" t="s">
        <v>10613</v>
      </c>
      <c r="D477" s="362" t="s">
        <v>10614</v>
      </c>
      <c r="E477" s="362" t="s">
        <v>10615</v>
      </c>
      <c r="F477" s="362" t="s">
        <v>7704</v>
      </c>
      <c r="G477" s="362" t="s">
        <v>8514</v>
      </c>
      <c r="H477" s="363">
        <v>2012</v>
      </c>
      <c r="I477" s="378">
        <v>41223</v>
      </c>
      <c r="J477" s="365"/>
      <c r="K477" s="365"/>
      <c r="L477" s="362" t="s">
        <v>10616</v>
      </c>
    </row>
    <row r="478" spans="1:12">
      <c r="A478" s="363">
        <f>VLOOKUP(B478, 'PubMed 4.14.21 Results'!B:B, 1, FALSE)</f>
        <v>23169967</v>
      </c>
      <c r="B478" s="363">
        <v>23169967</v>
      </c>
      <c r="C478" s="362" t="s">
        <v>10617</v>
      </c>
      <c r="D478" s="362" t="s">
        <v>10618</v>
      </c>
      <c r="E478" s="362" t="s">
        <v>10619</v>
      </c>
      <c r="F478" s="362" t="s">
        <v>7421</v>
      </c>
      <c r="G478" s="362" t="s">
        <v>9497</v>
      </c>
      <c r="H478" s="363">
        <v>2012</v>
      </c>
      <c r="I478" s="378">
        <v>41235</v>
      </c>
      <c r="J478" s="365"/>
      <c r="K478" s="365"/>
      <c r="L478" s="362" t="s">
        <v>10620</v>
      </c>
    </row>
    <row r="479" spans="1:12">
      <c r="A479" s="363">
        <f>VLOOKUP(B479, 'PubMed 4.14.21 Results'!B:B, 1, FALSE)</f>
        <v>22490340</v>
      </c>
      <c r="B479" s="363">
        <v>22490340</v>
      </c>
      <c r="C479" s="362" t="s">
        <v>10621</v>
      </c>
      <c r="D479" s="362" t="s">
        <v>10622</v>
      </c>
      <c r="E479" s="362" t="s">
        <v>10623</v>
      </c>
      <c r="F479" s="362" t="s">
        <v>6513</v>
      </c>
      <c r="G479" s="362" t="s">
        <v>10624</v>
      </c>
      <c r="H479" s="363">
        <v>2013</v>
      </c>
      <c r="I479" s="378">
        <v>41011</v>
      </c>
      <c r="J479" s="365"/>
      <c r="K479" s="365"/>
      <c r="L479" s="362" t="s">
        <v>10625</v>
      </c>
    </row>
    <row r="480" spans="1:12">
      <c r="A480" s="363">
        <f>VLOOKUP(B480, 'PubMed 4.14.21 Results'!B:B, 1, FALSE)</f>
        <v>23121200</v>
      </c>
      <c r="B480" s="363">
        <v>23121200</v>
      </c>
      <c r="C480" s="362" t="s">
        <v>10626</v>
      </c>
      <c r="D480" s="362" t="s">
        <v>10627</v>
      </c>
      <c r="E480" s="362" t="s">
        <v>10628</v>
      </c>
      <c r="F480" s="362" t="s">
        <v>7756</v>
      </c>
      <c r="G480" s="362" t="s">
        <v>8685</v>
      </c>
      <c r="H480" s="363">
        <v>2013</v>
      </c>
      <c r="I480" s="378">
        <v>41219</v>
      </c>
      <c r="J480" s="365"/>
      <c r="K480" s="365"/>
      <c r="L480" s="362" t="s">
        <v>10629</v>
      </c>
    </row>
    <row r="481" spans="1:12">
      <c r="A481" s="363">
        <f>VLOOKUP(B481, 'PubMed 4.14.21 Results'!B:B, 1, FALSE)</f>
        <v>23163616</v>
      </c>
      <c r="B481" s="363">
        <v>23163616</v>
      </c>
      <c r="C481" s="362" t="s">
        <v>10630</v>
      </c>
      <c r="D481" s="362" t="s">
        <v>10631</v>
      </c>
      <c r="E481" s="362" t="s">
        <v>10632</v>
      </c>
      <c r="F481" s="362" t="s">
        <v>7170</v>
      </c>
      <c r="G481" s="362" t="s">
        <v>8685</v>
      </c>
      <c r="H481" s="363">
        <v>2013</v>
      </c>
      <c r="I481" s="378">
        <v>41234</v>
      </c>
      <c r="J481" s="365"/>
      <c r="K481" s="365"/>
      <c r="L481" s="362" t="s">
        <v>10633</v>
      </c>
    </row>
    <row r="482" spans="1:12">
      <c r="A482" s="363">
        <f>VLOOKUP(B482, 'PubMed 4.14.21 Results'!B:B, 1, FALSE)</f>
        <v>23378769</v>
      </c>
      <c r="B482" s="363">
        <v>23378769</v>
      </c>
      <c r="C482" s="362" t="s">
        <v>10634</v>
      </c>
      <c r="D482" s="362" t="s">
        <v>10635</v>
      </c>
      <c r="E482" s="362" t="s">
        <v>10636</v>
      </c>
      <c r="F482" s="362" t="s">
        <v>7316</v>
      </c>
      <c r="G482" s="362" t="s">
        <v>10637</v>
      </c>
      <c r="H482" s="363">
        <v>2013</v>
      </c>
      <c r="I482" s="378">
        <v>41310</v>
      </c>
      <c r="J482" s="434" t="s">
        <v>7317</v>
      </c>
      <c r="K482" s="425"/>
      <c r="L482" s="362" t="s">
        <v>10638</v>
      </c>
    </row>
    <row r="483" spans="1:12">
      <c r="A483" s="363">
        <f>VLOOKUP(B483, 'PubMed 4.14.21 Results'!B:B, 1, FALSE)</f>
        <v>23437138</v>
      </c>
      <c r="B483" s="363">
        <v>23437138</v>
      </c>
      <c r="C483" s="362" t="s">
        <v>10639</v>
      </c>
      <c r="D483" s="362" t="s">
        <v>10640</v>
      </c>
      <c r="E483" s="362" t="s">
        <v>10641</v>
      </c>
      <c r="F483" s="362" t="s">
        <v>6901</v>
      </c>
      <c r="G483" s="362" t="s">
        <v>10379</v>
      </c>
      <c r="H483" s="363">
        <v>2013</v>
      </c>
      <c r="I483" s="378">
        <v>41331</v>
      </c>
      <c r="J483" s="434" t="s">
        <v>6902</v>
      </c>
      <c r="K483" s="425"/>
      <c r="L483" s="362" t="s">
        <v>10642</v>
      </c>
    </row>
    <row r="484" spans="1:12">
      <c r="A484" s="363">
        <f>VLOOKUP(B484, 'PubMed 4.14.21 Results'!B:B, 1, FALSE)</f>
        <v>23457473</v>
      </c>
      <c r="B484" s="363">
        <v>23457473</v>
      </c>
      <c r="C484" s="362" t="s">
        <v>10643</v>
      </c>
      <c r="D484" s="362" t="s">
        <v>10644</v>
      </c>
      <c r="E484" s="362" t="s">
        <v>10645</v>
      </c>
      <c r="F484" s="362" t="s">
        <v>338</v>
      </c>
      <c r="G484" s="362" t="s">
        <v>10379</v>
      </c>
      <c r="H484" s="363">
        <v>2013</v>
      </c>
      <c r="I484" s="378">
        <v>41338</v>
      </c>
      <c r="J484" s="434" t="s">
        <v>6661</v>
      </c>
      <c r="K484" s="425"/>
      <c r="L484" s="362" t="s">
        <v>10646</v>
      </c>
    </row>
    <row r="485" spans="1:12">
      <c r="A485" s="363">
        <f>VLOOKUP(B485, 'PubMed 4.14.21 Results'!B:B, 1, FALSE)</f>
        <v>23533318</v>
      </c>
      <c r="B485" s="363">
        <v>23533318</v>
      </c>
      <c r="C485" s="362" t="s">
        <v>10647</v>
      </c>
      <c r="D485" s="362" t="s">
        <v>10648</v>
      </c>
      <c r="E485" s="362" t="s">
        <v>10649</v>
      </c>
      <c r="F485" s="362" t="s">
        <v>7914</v>
      </c>
      <c r="G485" s="362" t="s">
        <v>10650</v>
      </c>
      <c r="H485" s="363">
        <v>2013</v>
      </c>
      <c r="I485" s="378">
        <v>41361</v>
      </c>
      <c r="J485" s="434" t="s">
        <v>7915</v>
      </c>
      <c r="K485" s="425"/>
      <c r="L485" s="362" t="s">
        <v>10651</v>
      </c>
    </row>
    <row r="486" spans="1:12">
      <c r="A486" s="363">
        <f>VLOOKUP(B486, 'PubMed 4.14.21 Results'!B:B, 1, FALSE)</f>
        <v>23440791</v>
      </c>
      <c r="B486" s="363">
        <v>23440791</v>
      </c>
      <c r="C486" s="362" t="s">
        <v>10652</v>
      </c>
      <c r="D486" s="362" t="s">
        <v>10653</v>
      </c>
      <c r="E486" s="362" t="s">
        <v>10654</v>
      </c>
      <c r="F486" s="362" t="s">
        <v>7203</v>
      </c>
      <c r="G486" s="362" t="s">
        <v>8857</v>
      </c>
      <c r="H486" s="363">
        <v>2013</v>
      </c>
      <c r="I486" s="378">
        <v>41332</v>
      </c>
      <c r="J486" s="434" t="s">
        <v>7204</v>
      </c>
      <c r="K486" s="425"/>
      <c r="L486" s="362" t="s">
        <v>10655</v>
      </c>
    </row>
    <row r="487" spans="1:12">
      <c r="A487" s="363">
        <f>VLOOKUP(B487, 'PubMed 4.14.21 Results'!B:B, 1, FALSE)</f>
        <v>22882430</v>
      </c>
      <c r="B487" s="363">
        <v>22882430</v>
      </c>
      <c r="C487" s="362" t="s">
        <v>10656</v>
      </c>
      <c r="D487" s="362" t="s">
        <v>10657</v>
      </c>
      <c r="E487" s="362" t="s">
        <v>10658</v>
      </c>
      <c r="F487" s="362" t="s">
        <v>7401</v>
      </c>
      <c r="G487" s="362" t="s">
        <v>8895</v>
      </c>
      <c r="H487" s="363">
        <v>2013</v>
      </c>
      <c r="I487" s="378">
        <v>41135</v>
      </c>
      <c r="J487" s="365"/>
      <c r="K487" s="365"/>
      <c r="L487" s="362" t="s">
        <v>10659</v>
      </c>
    </row>
    <row r="488" spans="1:12">
      <c r="A488" s="363">
        <f>VLOOKUP(B488, 'PubMed 4.14.21 Results'!B:B, 1, FALSE)</f>
        <v>23188213</v>
      </c>
      <c r="B488" s="363">
        <v>23188213</v>
      </c>
      <c r="C488" s="362" t="s">
        <v>10660</v>
      </c>
      <c r="D488" s="362" t="s">
        <v>10661</v>
      </c>
      <c r="E488" s="362" t="s">
        <v>10662</v>
      </c>
      <c r="F488" s="362" t="s">
        <v>7494</v>
      </c>
      <c r="G488" s="362" t="s">
        <v>10663</v>
      </c>
      <c r="H488" s="363">
        <v>2013</v>
      </c>
      <c r="I488" s="378">
        <v>41242</v>
      </c>
      <c r="J488" s="362" t="s">
        <v>7495</v>
      </c>
      <c r="K488" s="362" t="s">
        <v>10664</v>
      </c>
      <c r="L488" s="362" t="s">
        <v>10665</v>
      </c>
    </row>
    <row r="489" spans="1:12">
      <c r="A489" s="363">
        <f>VLOOKUP(B489, 'PubMed 4.14.21 Results'!B:B, 1, FALSE)</f>
        <v>23203821</v>
      </c>
      <c r="B489" s="363">
        <v>23203821</v>
      </c>
      <c r="C489" s="362" t="s">
        <v>10666</v>
      </c>
      <c r="D489" s="362" t="s">
        <v>10667</v>
      </c>
      <c r="E489" s="362" t="s">
        <v>10668</v>
      </c>
      <c r="F489" s="362" t="s">
        <v>7237</v>
      </c>
      <c r="G489" s="362" t="s">
        <v>8465</v>
      </c>
      <c r="H489" s="363">
        <v>2013</v>
      </c>
      <c r="I489" s="378">
        <v>41247</v>
      </c>
      <c r="J489" s="365"/>
      <c r="K489" s="365"/>
      <c r="L489" s="362" t="s">
        <v>10669</v>
      </c>
    </row>
    <row r="490" spans="1:12">
      <c r="A490" s="363">
        <f>VLOOKUP(B490, 'PubMed 4.14.21 Results'!B:B, 1, FALSE)</f>
        <v>23336849</v>
      </c>
      <c r="B490" s="363">
        <v>23336849</v>
      </c>
      <c r="C490" s="362" t="s">
        <v>10670</v>
      </c>
      <c r="D490" s="362" t="s">
        <v>10671</v>
      </c>
      <c r="E490" s="362" t="s">
        <v>10672</v>
      </c>
      <c r="F490" s="362" t="s">
        <v>6541</v>
      </c>
      <c r="G490" s="362" t="s">
        <v>10511</v>
      </c>
      <c r="H490" s="363">
        <v>2013</v>
      </c>
      <c r="I490" s="378">
        <v>41297</v>
      </c>
      <c r="J490" s="365"/>
      <c r="K490" s="365"/>
      <c r="L490" s="362" t="s">
        <v>10673</v>
      </c>
    </row>
    <row r="491" spans="1:12">
      <c r="A491" s="363">
        <f>VLOOKUP(B491, 'PubMed 4.14.21 Results'!B:B, 1, FALSE)</f>
        <v>23374268</v>
      </c>
      <c r="B491" s="363">
        <v>23374268</v>
      </c>
      <c r="C491" s="362" t="s">
        <v>10674</v>
      </c>
      <c r="D491" s="362" t="s">
        <v>10675</v>
      </c>
      <c r="E491" s="362" t="s">
        <v>10676</v>
      </c>
      <c r="F491" s="362" t="s">
        <v>7098</v>
      </c>
      <c r="G491" s="362" t="s">
        <v>9004</v>
      </c>
      <c r="H491" s="363">
        <v>2013</v>
      </c>
      <c r="I491" s="378">
        <v>41310</v>
      </c>
      <c r="J491" s="365"/>
      <c r="K491" s="365"/>
      <c r="L491" s="362" t="s">
        <v>10677</v>
      </c>
    </row>
    <row r="492" spans="1:12">
      <c r="A492" s="363">
        <f>VLOOKUP(B492, 'PubMed 4.14.21 Results'!B:B, 1, FALSE)</f>
        <v>23418281</v>
      </c>
      <c r="B492" s="363">
        <v>23418281</v>
      </c>
      <c r="C492" s="362" t="s">
        <v>10678</v>
      </c>
      <c r="D492" s="362" t="s">
        <v>10679</v>
      </c>
      <c r="E492" s="362" t="s">
        <v>10680</v>
      </c>
      <c r="F492" s="362" t="s">
        <v>7004</v>
      </c>
      <c r="G492" s="362" t="s">
        <v>8977</v>
      </c>
      <c r="H492" s="363">
        <v>2013</v>
      </c>
      <c r="I492" s="378">
        <v>41324</v>
      </c>
      <c r="J492" s="434" t="s">
        <v>7005</v>
      </c>
      <c r="K492" s="425"/>
      <c r="L492" s="362" t="s">
        <v>10681</v>
      </c>
    </row>
    <row r="493" spans="1:12">
      <c r="A493" s="363">
        <f>VLOOKUP(B493, 'PubMed 4.14.21 Results'!B:B, 1, FALSE)</f>
        <v>23425012</v>
      </c>
      <c r="B493" s="363">
        <v>23425012</v>
      </c>
      <c r="C493" s="362" t="s">
        <v>10682</v>
      </c>
      <c r="D493" s="362" t="s">
        <v>10683</v>
      </c>
      <c r="E493" s="362" t="s">
        <v>10684</v>
      </c>
      <c r="F493" s="362" t="s">
        <v>6470</v>
      </c>
      <c r="G493" s="362" t="s">
        <v>10685</v>
      </c>
      <c r="H493" s="363">
        <v>2013</v>
      </c>
      <c r="I493" s="378">
        <v>41327</v>
      </c>
      <c r="J493" s="434" t="s">
        <v>6471</v>
      </c>
      <c r="K493" s="425"/>
      <c r="L493" s="362" t="s">
        <v>10686</v>
      </c>
    </row>
    <row r="494" spans="1:12">
      <c r="A494" s="363">
        <f>VLOOKUP(B494, 'PubMed 4.14.21 Results'!B:B, 1, FALSE)</f>
        <v>23053677</v>
      </c>
      <c r="B494" s="363">
        <v>23053677</v>
      </c>
      <c r="C494" s="362" t="s">
        <v>10687</v>
      </c>
      <c r="D494" s="362" t="s">
        <v>10688</v>
      </c>
      <c r="E494" s="362" t="s">
        <v>10689</v>
      </c>
      <c r="F494" s="362" t="s">
        <v>6744</v>
      </c>
      <c r="G494" s="362" t="s">
        <v>10690</v>
      </c>
      <c r="H494" s="363">
        <v>2013</v>
      </c>
      <c r="I494" s="378">
        <v>41194</v>
      </c>
      <c r="J494" s="365"/>
      <c r="K494" s="365"/>
      <c r="L494" s="362" t="s">
        <v>10691</v>
      </c>
    </row>
    <row r="495" spans="1:12">
      <c r="A495" s="363">
        <f>VLOOKUP(B495, 'PubMed 4.14.21 Results'!B:B, 1, FALSE)</f>
        <v>23213075</v>
      </c>
      <c r="B495" s="363">
        <v>23213075</v>
      </c>
      <c r="C495" s="362" t="s">
        <v>10692</v>
      </c>
      <c r="D495" s="362" t="s">
        <v>10693</v>
      </c>
      <c r="E495" s="362" t="s">
        <v>10694</v>
      </c>
      <c r="F495" s="362" t="s">
        <v>6483</v>
      </c>
      <c r="G495" s="362" t="s">
        <v>8480</v>
      </c>
      <c r="H495" s="363">
        <v>2013</v>
      </c>
      <c r="I495" s="378">
        <v>41249</v>
      </c>
      <c r="J495" s="365"/>
      <c r="K495" s="365"/>
      <c r="L495" s="362" t="s">
        <v>10695</v>
      </c>
    </row>
    <row r="496" spans="1:12">
      <c r="A496" s="363">
        <f>VLOOKUP(B496, 'PubMed 4.14.21 Results'!B:B, 1, FALSE)</f>
        <v>23257948</v>
      </c>
      <c r="B496" s="363">
        <v>23257948</v>
      </c>
      <c r="C496" s="362" t="s">
        <v>10696</v>
      </c>
      <c r="D496" s="362" t="s">
        <v>10697</v>
      </c>
      <c r="E496" s="362" t="s">
        <v>10698</v>
      </c>
      <c r="F496" s="362" t="s">
        <v>6473</v>
      </c>
      <c r="G496" s="362" t="s">
        <v>9935</v>
      </c>
      <c r="H496" s="363">
        <v>2013</v>
      </c>
      <c r="I496" s="378">
        <v>41265</v>
      </c>
      <c r="J496" s="365"/>
      <c r="K496" s="365"/>
      <c r="L496" s="362" t="s">
        <v>10699</v>
      </c>
    </row>
    <row r="497" spans="1:12">
      <c r="A497" s="363">
        <f>VLOOKUP(B497, 'PubMed 4.14.21 Results'!B:B, 1, FALSE)</f>
        <v>23317632</v>
      </c>
      <c r="B497" s="363">
        <v>23317632</v>
      </c>
      <c r="C497" s="362" t="s">
        <v>10700</v>
      </c>
      <c r="D497" s="362" t="s">
        <v>10701</v>
      </c>
      <c r="E497" s="362" t="s">
        <v>10702</v>
      </c>
      <c r="F497" s="362" t="s">
        <v>6444</v>
      </c>
      <c r="G497" s="362" t="s">
        <v>8777</v>
      </c>
      <c r="H497" s="363">
        <v>2013</v>
      </c>
      <c r="I497" s="378">
        <v>41290</v>
      </c>
      <c r="J497" s="365"/>
      <c r="K497" s="365"/>
      <c r="L497" s="362" t="s">
        <v>10703</v>
      </c>
    </row>
    <row r="498" spans="1:12">
      <c r="A498" s="363">
        <f>VLOOKUP(B498, 'PubMed 4.14.21 Results'!B:B, 1, FALSE)</f>
        <v>23543565</v>
      </c>
      <c r="B498" s="363">
        <v>23543565</v>
      </c>
      <c r="C498" s="362" t="s">
        <v>10704</v>
      </c>
      <c r="D498" s="362" t="s">
        <v>10705</v>
      </c>
      <c r="E498" s="362" t="s">
        <v>10706</v>
      </c>
      <c r="F498" s="362" t="s">
        <v>7809</v>
      </c>
      <c r="G498" s="362" t="s">
        <v>8857</v>
      </c>
      <c r="H498" s="363">
        <v>2013</v>
      </c>
      <c r="I498" s="378">
        <v>41366</v>
      </c>
      <c r="J498" s="365"/>
      <c r="K498" s="365"/>
      <c r="L498" s="362" t="s">
        <v>10707</v>
      </c>
    </row>
    <row r="499" spans="1:12">
      <c r="A499" s="363">
        <f>VLOOKUP(B499, 'PubMed 4.14.21 Results'!B:B, 1, FALSE)</f>
        <v>23543569</v>
      </c>
      <c r="B499" s="363">
        <v>23543569</v>
      </c>
      <c r="C499" s="362" t="s">
        <v>10708</v>
      </c>
      <c r="D499" s="362" t="s">
        <v>10709</v>
      </c>
      <c r="E499" s="362" t="s">
        <v>10710</v>
      </c>
      <c r="F499" s="362" t="s">
        <v>6596</v>
      </c>
      <c r="G499" s="362" t="s">
        <v>8857</v>
      </c>
      <c r="H499" s="363">
        <v>2013</v>
      </c>
      <c r="I499" s="378">
        <v>41366</v>
      </c>
      <c r="J499" s="365"/>
      <c r="K499" s="365"/>
      <c r="L499" s="362" t="s">
        <v>10711</v>
      </c>
    </row>
    <row r="500" spans="1:12">
      <c r="A500" s="363">
        <f>VLOOKUP(B500, 'PubMed 4.14.21 Results'!B:B, 1, FALSE)</f>
        <v>23535095</v>
      </c>
      <c r="B500" s="363">
        <v>23535095</v>
      </c>
      <c r="C500" s="362" t="s">
        <v>10712</v>
      </c>
      <c r="D500" s="362" t="s">
        <v>10713</v>
      </c>
      <c r="E500" s="362" t="s">
        <v>10714</v>
      </c>
      <c r="F500" s="362" t="s">
        <v>6907</v>
      </c>
      <c r="G500" s="362" t="s">
        <v>8552</v>
      </c>
      <c r="H500" s="363">
        <v>2013</v>
      </c>
      <c r="I500" s="378">
        <v>41362</v>
      </c>
      <c r="J500" s="365"/>
      <c r="K500" s="365"/>
      <c r="L500" s="362" t="s">
        <v>10715</v>
      </c>
    </row>
    <row r="501" spans="1:12">
      <c r="A501" s="363">
        <f>VLOOKUP(B501, 'PubMed 4.14.21 Results'!B:B, 1, FALSE)</f>
        <v>23395587</v>
      </c>
      <c r="B501" s="363">
        <v>23395587</v>
      </c>
      <c r="C501" s="362" t="s">
        <v>10716</v>
      </c>
      <c r="D501" s="362" t="s">
        <v>10717</v>
      </c>
      <c r="E501" s="362" t="s">
        <v>10718</v>
      </c>
      <c r="F501" s="362" t="s">
        <v>6572</v>
      </c>
      <c r="G501" s="362" t="s">
        <v>21</v>
      </c>
      <c r="H501" s="363">
        <v>2013</v>
      </c>
      <c r="I501" s="378">
        <v>41317</v>
      </c>
      <c r="J501" s="365"/>
      <c r="K501" s="365"/>
      <c r="L501" s="362" t="s">
        <v>10719</v>
      </c>
    </row>
    <row r="502" spans="1:12">
      <c r="A502" s="363">
        <f>VLOOKUP(B502, 'PubMed 4.14.21 Results'!B:B, 1, FALSE)</f>
        <v>23348979</v>
      </c>
      <c r="B502" s="363">
        <v>23348979</v>
      </c>
      <c r="C502" s="362" t="s">
        <v>10720</v>
      </c>
      <c r="D502" s="362" t="s">
        <v>10721</v>
      </c>
      <c r="E502" s="362" t="s">
        <v>10722</v>
      </c>
      <c r="F502" s="362" t="s">
        <v>6742</v>
      </c>
      <c r="G502" s="362" t="s">
        <v>8524</v>
      </c>
      <c r="H502" s="363">
        <v>2013</v>
      </c>
      <c r="I502" s="378">
        <v>41300</v>
      </c>
      <c r="J502" s="365"/>
      <c r="K502" s="365"/>
      <c r="L502" s="362" t="s">
        <v>10723</v>
      </c>
    </row>
    <row r="503" spans="1:12">
      <c r="A503" s="363">
        <f>VLOOKUP(B503, 'PubMed 4.14.21 Results'!B:B, 1, FALSE)</f>
        <v>23633366</v>
      </c>
      <c r="B503" s="363">
        <v>23633366</v>
      </c>
      <c r="C503" s="362" t="s">
        <v>10724</v>
      </c>
      <c r="D503" s="362" t="s">
        <v>10725</v>
      </c>
      <c r="E503" s="362" t="s">
        <v>10726</v>
      </c>
      <c r="F503" s="362" t="s">
        <v>7653</v>
      </c>
      <c r="G503" s="362" t="s">
        <v>8857</v>
      </c>
      <c r="H503" s="363">
        <v>2013</v>
      </c>
      <c r="I503" s="378">
        <v>41396</v>
      </c>
      <c r="J503" s="365"/>
      <c r="K503" s="365"/>
      <c r="L503" s="362" t="s">
        <v>10727</v>
      </c>
    </row>
    <row r="504" spans="1:12">
      <c r="A504" s="363">
        <f>VLOOKUP(B504, 'PubMed 4.14.21 Results'!B:B, 1, FALSE)</f>
        <v>23642325</v>
      </c>
      <c r="B504" s="363">
        <v>23642325</v>
      </c>
      <c r="C504" s="362" t="s">
        <v>10728</v>
      </c>
      <c r="D504" s="362" t="s">
        <v>10729</v>
      </c>
      <c r="E504" s="362" t="s">
        <v>10730</v>
      </c>
      <c r="F504" s="362" t="s">
        <v>7394</v>
      </c>
      <c r="G504" s="362" t="s">
        <v>10731</v>
      </c>
      <c r="H504" s="363">
        <v>2013</v>
      </c>
      <c r="I504" s="378">
        <v>41401</v>
      </c>
      <c r="J504" s="365"/>
      <c r="K504" s="365"/>
      <c r="L504" s="362" t="s">
        <v>10732</v>
      </c>
    </row>
    <row r="505" spans="1:12">
      <c r="A505" s="363">
        <f>VLOOKUP(B505, 'PubMed 4.14.21 Results'!B:B, 1, FALSE)</f>
        <v>23642326</v>
      </c>
      <c r="B505" s="363">
        <v>23642326</v>
      </c>
      <c r="C505" s="362" t="s">
        <v>10733</v>
      </c>
      <c r="D505" s="362" t="s">
        <v>10734</v>
      </c>
      <c r="E505" s="362" t="s">
        <v>10735</v>
      </c>
      <c r="F505" s="362" t="s">
        <v>7941</v>
      </c>
      <c r="G505" s="362" t="s">
        <v>10731</v>
      </c>
      <c r="H505" s="363">
        <v>2013</v>
      </c>
      <c r="I505" s="378">
        <v>41401</v>
      </c>
      <c r="J505" s="365"/>
      <c r="K505" s="365"/>
      <c r="L505" s="362" t="s">
        <v>10736</v>
      </c>
    </row>
    <row r="506" spans="1:12">
      <c r="A506" s="363">
        <f>VLOOKUP(B506, 'PubMed 4.14.21 Results'!B:B, 1, FALSE)</f>
        <v>23706063</v>
      </c>
      <c r="B506" s="363">
        <v>23706063</v>
      </c>
      <c r="C506" s="362" t="s">
        <v>10737</v>
      </c>
      <c r="D506" s="362" t="s">
        <v>10738</v>
      </c>
      <c r="E506" s="362" t="s">
        <v>10739</v>
      </c>
      <c r="F506" s="362" t="s">
        <v>8117</v>
      </c>
      <c r="G506" s="362" t="s">
        <v>10740</v>
      </c>
      <c r="H506" s="363">
        <v>2013</v>
      </c>
      <c r="I506" s="378">
        <v>41422</v>
      </c>
      <c r="J506" s="434" t="s">
        <v>8118</v>
      </c>
      <c r="K506" s="425"/>
      <c r="L506" s="362" t="s">
        <v>10741</v>
      </c>
    </row>
    <row r="507" spans="1:12">
      <c r="A507" s="363">
        <f>VLOOKUP(B507, 'PubMed 4.14.21 Results'!B:B, 1, FALSE)</f>
        <v>23728638</v>
      </c>
      <c r="B507" s="363">
        <v>23728638</v>
      </c>
      <c r="C507" s="362" t="s">
        <v>10742</v>
      </c>
      <c r="D507" s="362" t="s">
        <v>10743</v>
      </c>
      <c r="E507" s="362" t="s">
        <v>10744</v>
      </c>
      <c r="F507" s="362" t="s">
        <v>7365</v>
      </c>
      <c r="G507" s="362" t="s">
        <v>8857</v>
      </c>
      <c r="H507" s="363">
        <v>2013</v>
      </c>
      <c r="I507" s="378">
        <v>41429</v>
      </c>
      <c r="J507" s="365"/>
      <c r="K507" s="365"/>
      <c r="L507" s="362" t="s">
        <v>10745</v>
      </c>
    </row>
    <row r="508" spans="1:12">
      <c r="A508" s="363">
        <f>VLOOKUP(B508, 'PubMed 4.14.21 Results'!B:B, 1, FALSE)</f>
        <v>23728658</v>
      </c>
      <c r="B508" s="363">
        <v>23728658</v>
      </c>
      <c r="C508" s="362" t="s">
        <v>10746</v>
      </c>
      <c r="D508" s="362" t="s">
        <v>10747</v>
      </c>
      <c r="E508" s="362" t="s">
        <v>10748</v>
      </c>
      <c r="F508" s="362" t="s">
        <v>6955</v>
      </c>
      <c r="G508" s="362" t="s">
        <v>8857</v>
      </c>
      <c r="H508" s="363">
        <v>2013</v>
      </c>
      <c r="I508" s="378">
        <v>41429</v>
      </c>
      <c r="J508" s="365"/>
      <c r="K508" s="365"/>
      <c r="L508" s="362" t="s">
        <v>10749</v>
      </c>
    </row>
    <row r="509" spans="1:12">
      <c r="A509" s="363">
        <f>VLOOKUP(B509, 'PubMed 4.14.21 Results'!B:B, 1, FALSE)</f>
        <v>23460596</v>
      </c>
      <c r="B509" s="363">
        <v>23460596</v>
      </c>
      <c r="C509" s="362" t="s">
        <v>10750</v>
      </c>
      <c r="D509" s="362" t="s">
        <v>10751</v>
      </c>
      <c r="E509" s="362" t="s">
        <v>10752</v>
      </c>
      <c r="F509" s="362" t="s">
        <v>7585</v>
      </c>
      <c r="G509" s="362" t="s">
        <v>10521</v>
      </c>
      <c r="H509" s="363">
        <v>2013</v>
      </c>
      <c r="I509" s="378">
        <v>41339</v>
      </c>
      <c r="J509" s="365"/>
      <c r="K509" s="365"/>
      <c r="L509" s="362" t="s">
        <v>10753</v>
      </c>
    </row>
    <row r="510" spans="1:12">
      <c r="A510" s="363">
        <f>VLOOKUP(B510, 'PubMed 4.14.21 Results'!B:B, 1, FALSE)</f>
        <v>23543664</v>
      </c>
      <c r="B510" s="363">
        <v>23543664</v>
      </c>
      <c r="C510" s="362" t="s">
        <v>10754</v>
      </c>
      <c r="D510" s="362" t="s">
        <v>10755</v>
      </c>
      <c r="E510" s="362" t="s">
        <v>10756</v>
      </c>
      <c r="F510" s="362" t="s">
        <v>6749</v>
      </c>
      <c r="G510" s="362" t="s">
        <v>8787</v>
      </c>
      <c r="H510" s="363">
        <v>2013</v>
      </c>
      <c r="I510" s="378">
        <v>41366</v>
      </c>
      <c r="J510" s="434" t="s">
        <v>6750</v>
      </c>
      <c r="K510" s="425"/>
      <c r="L510" s="362" t="s">
        <v>10757</v>
      </c>
    </row>
    <row r="511" spans="1:12">
      <c r="A511" s="363">
        <f>VLOOKUP(B511, 'PubMed 4.14.21 Results'!B:B, 1, FALSE)</f>
        <v>23607714</v>
      </c>
      <c r="B511" s="363">
        <v>23607714</v>
      </c>
      <c r="C511" s="362" t="s">
        <v>10758</v>
      </c>
      <c r="D511" s="362" t="s">
        <v>10759</v>
      </c>
      <c r="E511" s="362" t="s">
        <v>10760</v>
      </c>
      <c r="F511" s="362" t="s">
        <v>7186</v>
      </c>
      <c r="G511" s="362" t="s">
        <v>10761</v>
      </c>
      <c r="H511" s="363">
        <v>2013</v>
      </c>
      <c r="I511" s="378">
        <v>41388</v>
      </c>
      <c r="J511" s="365"/>
      <c r="K511" s="365"/>
      <c r="L511" s="362" t="s">
        <v>10762</v>
      </c>
    </row>
    <row r="512" spans="1:12">
      <c r="A512" s="363">
        <f>VLOOKUP(B512, 'PubMed 4.14.21 Results'!B:B, 1, FALSE)</f>
        <v>23731986</v>
      </c>
      <c r="B512" s="363">
        <v>23731986</v>
      </c>
      <c r="C512" s="362" t="s">
        <v>10763</v>
      </c>
      <c r="D512" s="362" t="s">
        <v>10764</v>
      </c>
      <c r="E512" s="362" t="s">
        <v>10765</v>
      </c>
      <c r="F512" s="362" t="s">
        <v>8012</v>
      </c>
      <c r="G512" s="362" t="s">
        <v>10766</v>
      </c>
      <c r="H512" s="363">
        <v>2013</v>
      </c>
      <c r="I512" s="378">
        <v>41430</v>
      </c>
      <c r="J512" s="434" t="s">
        <v>8013</v>
      </c>
      <c r="K512" s="425"/>
      <c r="L512" s="362" t="s">
        <v>10767</v>
      </c>
    </row>
    <row r="513" spans="1:12">
      <c r="A513" s="363">
        <f>VLOOKUP(B513, 'PubMed 4.14.21 Results'!B:B, 1, FALSE)</f>
        <v>23562185</v>
      </c>
      <c r="B513" s="363">
        <v>23562185</v>
      </c>
      <c r="C513" s="362" t="s">
        <v>10768</v>
      </c>
      <c r="D513" s="362" t="s">
        <v>10769</v>
      </c>
      <c r="E513" s="362" t="s">
        <v>10770</v>
      </c>
      <c r="F513" s="362" t="s">
        <v>7715</v>
      </c>
      <c r="G513" s="362" t="s">
        <v>10771</v>
      </c>
      <c r="H513" s="363">
        <v>2013</v>
      </c>
      <c r="I513" s="378">
        <v>41373</v>
      </c>
      <c r="J513" s="365"/>
      <c r="K513" s="365"/>
      <c r="L513" s="362" t="s">
        <v>10772</v>
      </c>
    </row>
    <row r="514" spans="1:12">
      <c r="A514" s="363">
        <f>VLOOKUP(B514, 'PubMed 4.14.21 Results'!B:B, 1, FALSE)</f>
        <v>23818263</v>
      </c>
      <c r="B514" s="363">
        <v>23818263</v>
      </c>
      <c r="C514" s="362" t="s">
        <v>10773</v>
      </c>
      <c r="D514" s="362" t="s">
        <v>10774</v>
      </c>
      <c r="E514" s="362" t="s">
        <v>10775</v>
      </c>
      <c r="F514" s="362" t="s">
        <v>6608</v>
      </c>
      <c r="G514" s="362" t="s">
        <v>10776</v>
      </c>
      <c r="H514" s="363">
        <v>2013</v>
      </c>
      <c r="I514" s="378">
        <v>41458</v>
      </c>
      <c r="J514" s="365"/>
      <c r="K514" s="365"/>
      <c r="L514" s="362" t="s">
        <v>10777</v>
      </c>
    </row>
    <row r="515" spans="1:12">
      <c r="A515" s="363">
        <f>VLOOKUP(B515, 'PubMed 4.14.21 Results'!B:B, 1, FALSE)</f>
        <v>23884503</v>
      </c>
      <c r="B515" s="363">
        <v>23884503</v>
      </c>
      <c r="C515" s="362" t="s">
        <v>10778</v>
      </c>
      <c r="D515" s="362" t="s">
        <v>10779</v>
      </c>
      <c r="E515" s="362" t="s">
        <v>10780</v>
      </c>
      <c r="F515" s="362" t="s">
        <v>7012</v>
      </c>
      <c r="G515" s="362" t="s">
        <v>9604</v>
      </c>
      <c r="H515" s="363">
        <v>2013</v>
      </c>
      <c r="I515" s="378">
        <v>41481</v>
      </c>
      <c r="J515" s="365"/>
      <c r="K515" s="365"/>
      <c r="L515" s="365"/>
    </row>
    <row r="516" spans="1:12">
      <c r="A516" s="363">
        <f>VLOOKUP(B516, 'PubMed 4.14.21 Results'!B:B, 1, FALSE)</f>
        <v>23835762</v>
      </c>
      <c r="B516" s="363">
        <v>23835762</v>
      </c>
      <c r="C516" s="362" t="s">
        <v>10781</v>
      </c>
      <c r="D516" s="362" t="s">
        <v>10782</v>
      </c>
      <c r="E516" s="362" t="s">
        <v>10783</v>
      </c>
      <c r="F516" s="362" t="s">
        <v>7239</v>
      </c>
      <c r="G516" s="362" t="s">
        <v>8857</v>
      </c>
      <c r="H516" s="363">
        <v>2013</v>
      </c>
      <c r="I516" s="378">
        <v>41465</v>
      </c>
      <c r="J516" s="434" t="s">
        <v>7240</v>
      </c>
      <c r="K516" s="425"/>
      <c r="L516" s="362" t="s">
        <v>10784</v>
      </c>
    </row>
    <row r="517" spans="1:12">
      <c r="A517" s="363">
        <f>VLOOKUP(B517, 'PubMed 4.14.21 Results'!B:B, 1, FALSE)</f>
        <v>23881653</v>
      </c>
      <c r="B517" s="363">
        <v>23881653</v>
      </c>
      <c r="C517" s="362" t="s">
        <v>10785</v>
      </c>
      <c r="D517" s="362" t="s">
        <v>10786</v>
      </c>
      <c r="E517" s="362" t="s">
        <v>10787</v>
      </c>
      <c r="F517" s="362" t="s">
        <v>6903</v>
      </c>
      <c r="G517" s="362" t="s">
        <v>8857</v>
      </c>
      <c r="H517" s="363">
        <v>2013</v>
      </c>
      <c r="I517" s="378">
        <v>41480</v>
      </c>
      <c r="J517" s="434" t="s">
        <v>6904</v>
      </c>
      <c r="K517" s="425"/>
      <c r="L517" s="362" t="s">
        <v>10788</v>
      </c>
    </row>
    <row r="518" spans="1:12">
      <c r="A518" s="363">
        <f>VLOOKUP(B518, 'PubMed 4.14.21 Results'!B:B, 1, FALSE)</f>
        <v>23900970</v>
      </c>
      <c r="B518" s="363">
        <v>23900970</v>
      </c>
      <c r="C518" s="362" t="s">
        <v>10789</v>
      </c>
      <c r="D518" s="362" t="s">
        <v>10790</v>
      </c>
      <c r="E518" s="362" t="s">
        <v>10791</v>
      </c>
      <c r="F518" s="362" t="s">
        <v>8130</v>
      </c>
      <c r="G518" s="362" t="s">
        <v>8857</v>
      </c>
      <c r="H518" s="363">
        <v>2013</v>
      </c>
      <c r="I518" s="378">
        <v>41487</v>
      </c>
      <c r="J518" s="365"/>
      <c r="K518" s="365"/>
      <c r="L518" s="362" t="s">
        <v>10792</v>
      </c>
    </row>
    <row r="519" spans="1:12">
      <c r="A519" s="363">
        <f>VLOOKUP(B519, 'PubMed 4.14.21 Results'!B:B, 1, FALSE)</f>
        <v>23937747</v>
      </c>
      <c r="B519" s="363">
        <v>23937747</v>
      </c>
      <c r="C519" s="362" t="s">
        <v>10793</v>
      </c>
      <c r="D519" s="362" t="s">
        <v>10794</v>
      </c>
      <c r="E519" s="362" t="s">
        <v>10795</v>
      </c>
      <c r="F519" s="362" t="s">
        <v>6918</v>
      </c>
      <c r="G519" s="362" t="s">
        <v>10796</v>
      </c>
      <c r="H519" s="363">
        <v>2013</v>
      </c>
      <c r="I519" s="378">
        <v>41500</v>
      </c>
      <c r="J519" s="365"/>
      <c r="K519" s="365"/>
      <c r="L519" s="362" t="s">
        <v>10797</v>
      </c>
    </row>
    <row r="520" spans="1:12">
      <c r="A520" s="363">
        <f>VLOOKUP(B520, 'PubMed 4.14.21 Results'!B:B, 1, FALSE)</f>
        <v>23602535</v>
      </c>
      <c r="B520" s="363">
        <v>23602535</v>
      </c>
      <c r="C520" s="362" t="s">
        <v>10798</v>
      </c>
      <c r="D520" s="362" t="s">
        <v>10799</v>
      </c>
      <c r="E520" s="362" t="s">
        <v>10800</v>
      </c>
      <c r="F520" s="362" t="s">
        <v>7759</v>
      </c>
      <c r="G520" s="362" t="s">
        <v>21</v>
      </c>
      <c r="H520" s="363">
        <v>2013</v>
      </c>
      <c r="I520" s="378">
        <v>41387</v>
      </c>
      <c r="J520" s="365"/>
      <c r="K520" s="365"/>
      <c r="L520" s="362" t="s">
        <v>10801</v>
      </c>
    </row>
    <row r="521" spans="1:12">
      <c r="A521" s="363">
        <f>VLOOKUP(B521, 'PubMed 4.14.21 Results'!B:B, 1, FALSE)</f>
        <v>23599435</v>
      </c>
      <c r="B521" s="363">
        <v>23599435</v>
      </c>
      <c r="C521" s="362" t="s">
        <v>10802</v>
      </c>
      <c r="D521" s="362" t="s">
        <v>10803</v>
      </c>
      <c r="E521" s="362" t="s">
        <v>10804</v>
      </c>
      <c r="F521" s="362" t="s">
        <v>6926</v>
      </c>
      <c r="G521" s="362" t="s">
        <v>10805</v>
      </c>
      <c r="H521" s="363">
        <v>2013</v>
      </c>
      <c r="I521" s="378">
        <v>41384</v>
      </c>
      <c r="J521" s="365"/>
      <c r="K521" s="365"/>
      <c r="L521" s="362" t="s">
        <v>10806</v>
      </c>
    </row>
    <row r="522" spans="1:12">
      <c r="A522" s="363">
        <f>VLOOKUP(B522, 'PubMed 4.14.21 Results'!B:B, 1, FALSE)</f>
        <v>24041408</v>
      </c>
      <c r="B522" s="363">
        <v>24041408</v>
      </c>
      <c r="C522" s="362" t="s">
        <v>10807</v>
      </c>
      <c r="D522" s="362" t="s">
        <v>10808</v>
      </c>
      <c r="E522" s="362" t="s">
        <v>10809</v>
      </c>
      <c r="F522" s="362" t="s">
        <v>6860</v>
      </c>
      <c r="G522" s="362" t="s">
        <v>10810</v>
      </c>
      <c r="H522" s="363">
        <v>2013</v>
      </c>
      <c r="I522" s="378">
        <v>41535</v>
      </c>
      <c r="J522" s="434" t="s">
        <v>6861</v>
      </c>
      <c r="K522" s="425"/>
      <c r="L522" s="362" t="s">
        <v>10811</v>
      </c>
    </row>
    <row r="523" spans="1:12">
      <c r="A523" s="363">
        <f>VLOOKUP(B523, 'PubMed 4.14.21 Results'!B:B, 1, FALSE)</f>
        <v>24014191</v>
      </c>
      <c r="B523" s="363">
        <v>24014191</v>
      </c>
      <c r="C523" s="362" t="s">
        <v>9806</v>
      </c>
      <c r="D523" s="362" t="s">
        <v>10812</v>
      </c>
      <c r="E523" s="362" t="s">
        <v>10813</v>
      </c>
      <c r="F523" s="362" t="s">
        <v>6689</v>
      </c>
      <c r="G523" s="362" t="s">
        <v>8857</v>
      </c>
      <c r="H523" s="363">
        <v>2013</v>
      </c>
      <c r="I523" s="378">
        <v>41527</v>
      </c>
      <c r="J523" s="365"/>
      <c r="K523" s="365"/>
      <c r="L523" s="362" t="s">
        <v>10814</v>
      </c>
    </row>
    <row r="524" spans="1:12">
      <c r="A524" s="363">
        <f>VLOOKUP(B524, 'PubMed 4.14.21 Results'!B:B, 1, FALSE)</f>
        <v>23795817</v>
      </c>
      <c r="B524" s="363">
        <v>23795817</v>
      </c>
      <c r="C524" s="362" t="s">
        <v>10815</v>
      </c>
      <c r="D524" s="362" t="s">
        <v>10816</v>
      </c>
      <c r="E524" s="362" t="s">
        <v>10817</v>
      </c>
      <c r="F524" s="362" t="s">
        <v>7228</v>
      </c>
      <c r="G524" s="362" t="s">
        <v>10818</v>
      </c>
      <c r="H524" s="363">
        <v>2013</v>
      </c>
      <c r="I524" s="378">
        <v>41451</v>
      </c>
      <c r="J524" s="365"/>
      <c r="K524" s="365"/>
      <c r="L524" s="362" t="s">
        <v>10819</v>
      </c>
    </row>
    <row r="525" spans="1:12">
      <c r="A525" s="363">
        <f>VLOOKUP(B525, 'PubMed 4.14.21 Results'!B:B, 1, FALSE)</f>
        <v>23829867</v>
      </c>
      <c r="B525" s="363">
        <v>23829867</v>
      </c>
      <c r="C525" s="362" t="s">
        <v>10820</v>
      </c>
      <c r="D525" s="362" t="s">
        <v>10821</v>
      </c>
      <c r="E525" s="362" t="s">
        <v>10822</v>
      </c>
      <c r="F525" s="362" t="s">
        <v>7889</v>
      </c>
      <c r="G525" s="362" t="s">
        <v>10823</v>
      </c>
      <c r="H525" s="363">
        <v>2013</v>
      </c>
      <c r="I525" s="378">
        <v>41464</v>
      </c>
      <c r="J525" s="434" t="s">
        <v>7890</v>
      </c>
      <c r="K525" s="425"/>
      <c r="L525" s="362" t="s">
        <v>10824</v>
      </c>
    </row>
    <row r="526" spans="1:12">
      <c r="A526" s="363">
        <f>VLOOKUP(B526, 'PubMed 4.14.21 Results'!B:B, 1, FALSE)</f>
        <v>24002003</v>
      </c>
      <c r="B526" s="363">
        <v>24002003</v>
      </c>
      <c r="C526" s="362" t="s">
        <v>10825</v>
      </c>
      <c r="D526" s="362" t="s">
        <v>10826</v>
      </c>
      <c r="E526" s="362" t="s">
        <v>10827</v>
      </c>
      <c r="F526" s="362" t="s">
        <v>7679</v>
      </c>
      <c r="G526" s="362" t="s">
        <v>10828</v>
      </c>
      <c r="H526" s="363">
        <v>2013</v>
      </c>
      <c r="I526" s="378">
        <v>41522</v>
      </c>
      <c r="J526" s="365"/>
      <c r="K526" s="365"/>
      <c r="L526" s="362" t="s">
        <v>10829</v>
      </c>
    </row>
    <row r="527" spans="1:12">
      <c r="A527" s="363">
        <f>VLOOKUP(B527, 'PubMed 4.14.21 Results'!B:B, 1, FALSE)</f>
        <v>24119615</v>
      </c>
      <c r="B527" s="363">
        <v>24119615</v>
      </c>
      <c r="C527" s="362" t="s">
        <v>10830</v>
      </c>
      <c r="D527" s="362" t="s">
        <v>10831</v>
      </c>
      <c r="E527" s="362" t="s">
        <v>10832</v>
      </c>
      <c r="F527" s="362" t="s">
        <v>7621</v>
      </c>
      <c r="G527" s="362" t="s">
        <v>9906</v>
      </c>
      <c r="H527" s="363">
        <v>2013</v>
      </c>
      <c r="I527" s="378">
        <v>41562</v>
      </c>
      <c r="J527" s="434" t="s">
        <v>7622</v>
      </c>
      <c r="K527" s="425"/>
      <c r="L527" s="362" t="s">
        <v>10833</v>
      </c>
    </row>
    <row r="528" spans="1:12">
      <c r="A528" s="363">
        <f>VLOOKUP(B528, 'PubMed 4.14.21 Results'!B:B, 1, FALSE)</f>
        <v>24154977</v>
      </c>
      <c r="B528" s="363">
        <v>24154977</v>
      </c>
      <c r="C528" s="362" t="s">
        <v>10834</v>
      </c>
      <c r="D528" s="362" t="s">
        <v>10835</v>
      </c>
      <c r="E528" s="362" t="s">
        <v>10836</v>
      </c>
      <c r="F528" s="362" t="s">
        <v>7423</v>
      </c>
      <c r="G528" s="362" t="s">
        <v>8857</v>
      </c>
      <c r="H528" s="363">
        <v>2013</v>
      </c>
      <c r="I528" s="378">
        <v>41572</v>
      </c>
      <c r="J528" s="434" t="s">
        <v>7424</v>
      </c>
      <c r="K528" s="425"/>
      <c r="L528" s="362" t="s">
        <v>10837</v>
      </c>
    </row>
    <row r="529" spans="1:12">
      <c r="A529" s="363">
        <f>VLOOKUP(B529, 'PubMed 4.14.21 Results'!B:B, 1, FALSE)</f>
        <v>23350812</v>
      </c>
      <c r="B529" s="363">
        <v>23350812</v>
      </c>
      <c r="C529" s="362" t="s">
        <v>10838</v>
      </c>
      <c r="D529" s="362" t="s">
        <v>10839</v>
      </c>
      <c r="E529" s="362" t="s">
        <v>10840</v>
      </c>
      <c r="F529" s="362" t="s">
        <v>6992</v>
      </c>
      <c r="G529" s="362" t="s">
        <v>10841</v>
      </c>
      <c r="H529" s="363">
        <v>2013</v>
      </c>
      <c r="I529" s="378">
        <v>41303</v>
      </c>
      <c r="J529" s="365"/>
      <c r="K529" s="365"/>
      <c r="L529" s="362" t="s">
        <v>10842</v>
      </c>
    </row>
    <row r="530" spans="1:12">
      <c r="A530" s="363">
        <f>VLOOKUP(B530, 'PubMed 4.14.21 Results'!B:B, 1, FALSE)</f>
        <v>24100694</v>
      </c>
      <c r="B530" s="363">
        <v>24100694</v>
      </c>
      <c r="C530" s="362" t="s">
        <v>10843</v>
      </c>
      <c r="D530" s="362" t="s">
        <v>10844</v>
      </c>
      <c r="E530" s="362" t="s">
        <v>10845</v>
      </c>
      <c r="F530" s="362" t="s">
        <v>6789</v>
      </c>
      <c r="G530" s="362" t="s">
        <v>10846</v>
      </c>
      <c r="H530" s="363">
        <v>2013</v>
      </c>
      <c r="I530" s="378">
        <v>41556</v>
      </c>
      <c r="J530" s="434" t="s">
        <v>6790</v>
      </c>
      <c r="K530" s="425"/>
      <c r="L530" s="362" t="s">
        <v>10847</v>
      </c>
    </row>
    <row r="531" spans="1:12">
      <c r="A531" s="363">
        <f>VLOOKUP(B531, 'PubMed 4.14.21 Results'!B:B, 1, FALSE)</f>
        <v>24429275</v>
      </c>
      <c r="B531" s="363">
        <v>24429275</v>
      </c>
      <c r="C531" s="362" t="s">
        <v>10848</v>
      </c>
      <c r="D531" s="362" t="s">
        <v>10849</v>
      </c>
      <c r="E531" s="362" t="s">
        <v>10850</v>
      </c>
      <c r="F531" s="362" t="s">
        <v>6879</v>
      </c>
      <c r="G531" s="362" t="s">
        <v>10851</v>
      </c>
      <c r="H531" s="363">
        <v>2013</v>
      </c>
      <c r="I531" s="378">
        <v>41656</v>
      </c>
      <c r="J531" s="365"/>
      <c r="K531" s="365"/>
      <c r="L531" s="362" t="s">
        <v>10852</v>
      </c>
    </row>
    <row r="532" spans="1:12">
      <c r="A532" s="363">
        <f>VLOOKUP(B532, 'PubMed 4.14.21 Results'!B:B, 1, FALSE)</f>
        <v>24081937</v>
      </c>
      <c r="B532" s="363">
        <v>24081937</v>
      </c>
      <c r="C532" s="362" t="s">
        <v>10853</v>
      </c>
      <c r="D532" s="362" t="s">
        <v>10854</v>
      </c>
      <c r="E532" s="362" t="s">
        <v>10855</v>
      </c>
      <c r="F532" s="362" t="s">
        <v>5040</v>
      </c>
      <c r="G532" s="362" t="s">
        <v>8547</v>
      </c>
      <c r="H532" s="363">
        <v>2013</v>
      </c>
      <c r="I532" s="378">
        <v>41549</v>
      </c>
      <c r="J532" s="365"/>
      <c r="K532" s="365"/>
      <c r="L532" s="362" t="s">
        <v>10856</v>
      </c>
    </row>
    <row r="533" spans="1:12">
      <c r="A533" s="363">
        <f>VLOOKUP(B533, 'PubMed 4.14.21 Results'!B:B, 1, FALSE)</f>
        <v>24244339</v>
      </c>
      <c r="B533" s="363">
        <v>24244339</v>
      </c>
      <c r="C533" s="362" t="s">
        <v>10857</v>
      </c>
      <c r="D533" s="362" t="s">
        <v>10858</v>
      </c>
      <c r="E533" s="362" t="s">
        <v>10859</v>
      </c>
      <c r="F533" s="362" t="s">
        <v>7571</v>
      </c>
      <c r="G533" s="362" t="s">
        <v>10379</v>
      </c>
      <c r="H533" s="363">
        <v>2013</v>
      </c>
      <c r="I533" s="378">
        <v>41597</v>
      </c>
      <c r="J533" s="434" t="s">
        <v>5880</v>
      </c>
      <c r="K533" s="425"/>
      <c r="L533" s="362" t="s">
        <v>10860</v>
      </c>
    </row>
    <row r="534" spans="1:12">
      <c r="A534" s="363">
        <f>VLOOKUP(B534, 'PubMed 4.14.21 Results'!B:B, 1, FALSE)</f>
        <v>24092568</v>
      </c>
      <c r="B534" s="363">
        <v>24092568</v>
      </c>
      <c r="C534" s="362" t="s">
        <v>10861</v>
      </c>
      <c r="D534" s="362" t="s">
        <v>10862</v>
      </c>
      <c r="E534" s="362" t="s">
        <v>10863</v>
      </c>
      <c r="F534" s="362" t="s">
        <v>7283</v>
      </c>
      <c r="G534" s="362" t="s">
        <v>9378</v>
      </c>
      <c r="H534" s="363">
        <v>2013</v>
      </c>
      <c r="I534" s="378">
        <v>41552</v>
      </c>
      <c r="J534" s="365"/>
      <c r="K534" s="365"/>
      <c r="L534" s="362" t="s">
        <v>10864</v>
      </c>
    </row>
    <row r="535" spans="1:12">
      <c r="A535" s="363">
        <f>VLOOKUP(B535, 'PubMed 4.14.21 Results'!B:B, 1, FALSE)</f>
        <v>24302466</v>
      </c>
      <c r="B535" s="363">
        <v>24302466</v>
      </c>
      <c r="C535" s="362" t="s">
        <v>10865</v>
      </c>
      <c r="D535" s="362" t="s">
        <v>10866</v>
      </c>
      <c r="E535" s="362" t="s">
        <v>10867</v>
      </c>
      <c r="F535" s="362" t="s">
        <v>6869</v>
      </c>
      <c r="G535" s="362" t="s">
        <v>8857</v>
      </c>
      <c r="H535" s="363">
        <v>2013</v>
      </c>
      <c r="I535" s="378">
        <v>41613</v>
      </c>
      <c r="J535" s="365"/>
      <c r="K535" s="365"/>
      <c r="L535" s="362" t="s">
        <v>10868</v>
      </c>
    </row>
    <row r="536" spans="1:12">
      <c r="A536" s="363">
        <f>VLOOKUP(B536, 'PubMed 4.14.21 Results'!B:B, 1, FALSE)</f>
        <v>24359122</v>
      </c>
      <c r="B536" s="363">
        <v>24359122</v>
      </c>
      <c r="C536" s="362" t="s">
        <v>10869</v>
      </c>
      <c r="D536" s="362" t="s">
        <v>10870</v>
      </c>
      <c r="E536" s="362" t="s">
        <v>10871</v>
      </c>
      <c r="F536" s="362" t="s">
        <v>6997</v>
      </c>
      <c r="G536" s="362" t="s">
        <v>10872</v>
      </c>
      <c r="H536" s="363">
        <v>2013</v>
      </c>
      <c r="I536" s="378">
        <v>41632</v>
      </c>
      <c r="J536" s="434" t="s">
        <v>6998</v>
      </c>
      <c r="K536" s="425"/>
      <c r="L536" s="362" t="s">
        <v>10873</v>
      </c>
    </row>
    <row r="537" spans="1:12">
      <c r="A537" s="363">
        <f>VLOOKUP(B537, 'PubMed 4.14.21 Results'!B:B, 1, FALSE)</f>
        <v>24368464</v>
      </c>
      <c r="B537" s="363">
        <v>24368464</v>
      </c>
      <c r="C537" s="362" t="s">
        <v>10874</v>
      </c>
      <c r="D537" s="362" t="s">
        <v>10875</v>
      </c>
      <c r="E537" s="362" t="s">
        <v>10876</v>
      </c>
      <c r="F537" s="362" t="s">
        <v>7589</v>
      </c>
      <c r="G537" s="362" t="s">
        <v>8580</v>
      </c>
      <c r="H537" s="363">
        <v>2013</v>
      </c>
      <c r="I537" s="378">
        <v>41634</v>
      </c>
      <c r="J537" s="362" t="s">
        <v>7590</v>
      </c>
      <c r="K537" s="362" t="s">
        <v>10877</v>
      </c>
      <c r="L537" s="362" t="s">
        <v>10878</v>
      </c>
    </row>
    <row r="538" spans="1:12">
      <c r="A538" s="363">
        <f>VLOOKUP(B538, 'PubMed 4.14.21 Results'!B:B, 1, FALSE)</f>
        <v>24328444</v>
      </c>
      <c r="B538" s="363">
        <v>24328444</v>
      </c>
      <c r="C538" s="362" t="s">
        <v>10879</v>
      </c>
      <c r="D538" s="362" t="s">
        <v>10880</v>
      </c>
      <c r="E538" s="362" t="s">
        <v>10881</v>
      </c>
      <c r="F538" s="362" t="s">
        <v>7115</v>
      </c>
      <c r="G538" s="362" t="s">
        <v>8514</v>
      </c>
      <c r="H538" s="363">
        <v>2013</v>
      </c>
      <c r="I538" s="378">
        <v>41625</v>
      </c>
      <c r="J538" s="365"/>
      <c r="K538" s="365"/>
      <c r="L538" s="362" t="s">
        <v>10882</v>
      </c>
    </row>
    <row r="539" spans="1:12">
      <c r="A539" s="363">
        <f>VLOOKUP(B539, 'PubMed 4.14.21 Results'!B:B, 1, FALSE)</f>
        <v>24330348</v>
      </c>
      <c r="B539" s="363">
        <v>24330348</v>
      </c>
      <c r="C539" s="362" t="s">
        <v>10883</v>
      </c>
      <c r="D539" s="362" t="s">
        <v>10884</v>
      </c>
      <c r="E539" s="362" t="s">
        <v>10885</v>
      </c>
      <c r="F539" s="362" t="s">
        <v>7972</v>
      </c>
      <c r="G539" s="362" t="s">
        <v>8699</v>
      </c>
      <c r="H539" s="363">
        <v>2014</v>
      </c>
      <c r="I539" s="378">
        <v>41625</v>
      </c>
      <c r="J539" s="365"/>
      <c r="K539" s="365"/>
      <c r="L539" s="362" t="s">
        <v>10886</v>
      </c>
    </row>
    <row r="540" spans="1:12">
      <c r="A540" s="363">
        <f>VLOOKUP(B540, 'PubMed 4.14.21 Results'!B:B, 1, FALSE)</f>
        <v>24393593</v>
      </c>
      <c r="B540" s="363">
        <v>24393593</v>
      </c>
      <c r="C540" s="362" t="s">
        <v>10887</v>
      </c>
      <c r="D540" s="362" t="s">
        <v>10888</v>
      </c>
      <c r="E540" s="362" t="s">
        <v>10889</v>
      </c>
      <c r="F540" s="362" t="s">
        <v>7006</v>
      </c>
      <c r="G540" s="362" t="s">
        <v>10890</v>
      </c>
      <c r="H540" s="363">
        <v>2014</v>
      </c>
      <c r="I540" s="378">
        <v>41647</v>
      </c>
      <c r="J540" s="365"/>
      <c r="K540" s="365"/>
      <c r="L540" s="365"/>
    </row>
    <row r="541" spans="1:12">
      <c r="A541" s="363">
        <f>VLOOKUP(B541, 'PubMed 4.14.21 Results'!B:B, 1, FALSE)</f>
        <v>25104969</v>
      </c>
      <c r="B541" s="363">
        <v>25104969</v>
      </c>
      <c r="C541" s="362" t="s">
        <v>10891</v>
      </c>
      <c r="D541" s="362" t="s">
        <v>10892</v>
      </c>
      <c r="E541" s="362" t="s">
        <v>10893</v>
      </c>
      <c r="F541" s="362" t="s">
        <v>6961</v>
      </c>
      <c r="G541" s="362" t="s">
        <v>10894</v>
      </c>
      <c r="H541" s="363">
        <v>2014</v>
      </c>
      <c r="I541" s="378">
        <v>41860</v>
      </c>
      <c r="J541" s="434" t="s">
        <v>6962</v>
      </c>
      <c r="K541" s="425"/>
      <c r="L541" s="362" t="s">
        <v>10895</v>
      </c>
    </row>
    <row r="542" spans="1:12">
      <c r="A542" s="363">
        <f>VLOOKUP(B542, 'PubMed 4.14.21 Results'!B:B, 1, FALSE)</f>
        <v>25272001</v>
      </c>
      <c r="B542" s="363">
        <v>25272001</v>
      </c>
      <c r="C542" s="362" t="s">
        <v>10865</v>
      </c>
      <c r="D542" s="362" t="s">
        <v>10896</v>
      </c>
      <c r="E542" s="362" t="s">
        <v>10897</v>
      </c>
      <c r="F542" s="362" t="s">
        <v>6632</v>
      </c>
      <c r="G542" s="362" t="s">
        <v>10898</v>
      </c>
      <c r="H542" s="363">
        <v>2014</v>
      </c>
      <c r="I542" s="378">
        <v>41914</v>
      </c>
      <c r="J542" s="365"/>
      <c r="K542" s="365"/>
      <c r="L542" s="362" t="s">
        <v>10899</v>
      </c>
    </row>
    <row r="543" spans="1:12">
      <c r="A543" s="363">
        <f>VLOOKUP(B543, 'PubMed 4.14.21 Results'!B:B, 1, FALSE)</f>
        <v>25552038</v>
      </c>
      <c r="B543" s="363">
        <v>25552038</v>
      </c>
      <c r="C543" s="362" t="s">
        <v>10900</v>
      </c>
      <c r="D543" s="362" t="s">
        <v>10901</v>
      </c>
      <c r="E543" s="362" t="s">
        <v>10902</v>
      </c>
      <c r="F543" s="362" t="s">
        <v>6930</v>
      </c>
      <c r="G543" s="362" t="s">
        <v>10903</v>
      </c>
      <c r="H543" s="363">
        <v>2014</v>
      </c>
      <c r="I543" s="378">
        <v>42006</v>
      </c>
      <c r="J543" s="365"/>
      <c r="K543" s="365"/>
      <c r="L543" s="365"/>
    </row>
    <row r="544" spans="1:12">
      <c r="A544" s="363">
        <f>VLOOKUP(B544, 'PubMed 4.14.21 Results'!B:B, 1, FALSE)</f>
        <v>24410774</v>
      </c>
      <c r="B544" s="363">
        <v>24410774</v>
      </c>
      <c r="C544" s="362" t="s">
        <v>10904</v>
      </c>
      <c r="D544" s="362" t="s">
        <v>10905</v>
      </c>
      <c r="E544" s="362" t="s">
        <v>10906</v>
      </c>
      <c r="F544" s="362" t="s">
        <v>7546</v>
      </c>
      <c r="G544" s="362" t="s">
        <v>10907</v>
      </c>
      <c r="H544" s="363">
        <v>2014</v>
      </c>
      <c r="I544" s="378">
        <v>41653</v>
      </c>
      <c r="J544" s="434" t="s">
        <v>7547</v>
      </c>
      <c r="K544" s="425"/>
      <c r="L544" s="362" t="s">
        <v>10908</v>
      </c>
    </row>
    <row r="545" spans="1:12">
      <c r="A545" s="363">
        <f>VLOOKUP(B545, 'PubMed 4.14.21 Results'!B:B, 1, FALSE)</f>
        <v>24484547</v>
      </c>
      <c r="B545" s="363">
        <v>24484547</v>
      </c>
      <c r="C545" s="362" t="s">
        <v>10909</v>
      </c>
      <c r="D545" s="362" t="s">
        <v>10910</v>
      </c>
      <c r="E545" s="362" t="s">
        <v>10911</v>
      </c>
      <c r="F545" s="362" t="s">
        <v>6875</v>
      </c>
      <c r="G545" s="362" t="s">
        <v>10912</v>
      </c>
      <c r="H545" s="363">
        <v>2014</v>
      </c>
      <c r="I545" s="378">
        <v>41674</v>
      </c>
      <c r="J545" s="434" t="s">
        <v>6876</v>
      </c>
      <c r="K545" s="425"/>
      <c r="L545" s="362" t="s">
        <v>10913</v>
      </c>
    </row>
    <row r="546" spans="1:12">
      <c r="A546" s="363">
        <f>VLOOKUP(B546, 'PubMed 4.14.21 Results'!B:B, 1, FALSE)</f>
        <v>23796195</v>
      </c>
      <c r="B546" s="363">
        <v>23796195</v>
      </c>
      <c r="C546" s="362" t="s">
        <v>10914</v>
      </c>
      <c r="D546" s="362" t="s">
        <v>10915</v>
      </c>
      <c r="E546" s="362" t="s">
        <v>10916</v>
      </c>
      <c r="F546" s="362" t="s">
        <v>6813</v>
      </c>
      <c r="G546" s="362" t="s">
        <v>10917</v>
      </c>
      <c r="H546" s="363">
        <v>2014</v>
      </c>
      <c r="I546" s="378">
        <v>41451</v>
      </c>
      <c r="J546" s="365"/>
      <c r="K546" s="365"/>
      <c r="L546" s="362" t="s">
        <v>10918</v>
      </c>
    </row>
    <row r="547" spans="1:12">
      <c r="A547" s="363">
        <f>VLOOKUP(B547, 'PubMed 4.14.21 Results'!B:B, 1, FALSE)</f>
        <v>24152416</v>
      </c>
      <c r="B547" s="363">
        <v>24152416</v>
      </c>
      <c r="C547" s="362" t="s">
        <v>10919</v>
      </c>
      <c r="D547" s="362" t="s">
        <v>10920</v>
      </c>
      <c r="E547" s="362" t="s">
        <v>10921</v>
      </c>
      <c r="F547" s="362" t="s">
        <v>7064</v>
      </c>
      <c r="G547" s="362" t="s">
        <v>10922</v>
      </c>
      <c r="H547" s="363">
        <v>2014</v>
      </c>
      <c r="I547" s="378">
        <v>41572</v>
      </c>
      <c r="J547" s="365"/>
      <c r="K547" s="365"/>
      <c r="L547" s="362" t="s">
        <v>10923</v>
      </c>
    </row>
    <row r="548" spans="1:12">
      <c r="A548" s="363">
        <f>VLOOKUP(B548, 'PubMed 4.14.21 Results'!B:B, 1, FALSE)</f>
        <v>24240985</v>
      </c>
      <c r="B548" s="363">
        <v>24240985</v>
      </c>
      <c r="C548" s="362" t="s">
        <v>10924</v>
      </c>
      <c r="D548" s="362" t="s">
        <v>10925</v>
      </c>
      <c r="E548" s="362" t="s">
        <v>10926</v>
      </c>
      <c r="F548" s="362" t="s">
        <v>6609</v>
      </c>
      <c r="G548" s="362" t="s">
        <v>10927</v>
      </c>
      <c r="H548" s="363">
        <v>2014</v>
      </c>
      <c r="I548" s="378">
        <v>41597</v>
      </c>
      <c r="J548" s="365"/>
      <c r="K548" s="365"/>
      <c r="L548" s="362" t="s">
        <v>10928</v>
      </c>
    </row>
    <row r="549" spans="1:12">
      <c r="A549" s="363">
        <f>VLOOKUP(B549, 'PubMed 4.14.21 Results'!B:B, 1, FALSE)</f>
        <v>24262929</v>
      </c>
      <c r="B549" s="363">
        <v>24262929</v>
      </c>
      <c r="C549" s="362" t="s">
        <v>10929</v>
      </c>
      <c r="D549" s="362" t="s">
        <v>10930</v>
      </c>
      <c r="E549" s="362" t="s">
        <v>10931</v>
      </c>
      <c r="F549" s="362" t="s">
        <v>7511</v>
      </c>
      <c r="G549" s="362" t="s">
        <v>10932</v>
      </c>
      <c r="H549" s="363">
        <v>2014</v>
      </c>
      <c r="I549" s="378">
        <v>41601</v>
      </c>
      <c r="J549" s="365"/>
      <c r="K549" s="365"/>
      <c r="L549" s="362" t="s">
        <v>10933</v>
      </c>
    </row>
    <row r="550" spans="1:12">
      <c r="A550" s="363">
        <f>VLOOKUP(B550, 'PubMed 4.14.21 Results'!B:B, 1, FALSE)</f>
        <v>24552184</v>
      </c>
      <c r="B550" s="363">
        <v>24552184</v>
      </c>
      <c r="C550" s="362" t="s">
        <v>10934</v>
      </c>
      <c r="D550" s="362" t="s">
        <v>10935</v>
      </c>
      <c r="E550" s="362" t="s">
        <v>10936</v>
      </c>
      <c r="F550" s="362" t="s">
        <v>8121</v>
      </c>
      <c r="G550" s="362" t="s">
        <v>9906</v>
      </c>
      <c r="H550" s="363">
        <v>2014</v>
      </c>
      <c r="I550" s="378">
        <v>41691</v>
      </c>
      <c r="J550" s="434" t="s">
        <v>8122</v>
      </c>
      <c r="K550" s="425"/>
      <c r="L550" s="362" t="s">
        <v>10937</v>
      </c>
    </row>
    <row r="551" spans="1:12">
      <c r="A551" s="363">
        <f>VLOOKUP(B551, 'PubMed 4.14.21 Results'!B:B, 1, FALSE)</f>
        <v>23461895</v>
      </c>
      <c r="B551" s="363">
        <v>23461895</v>
      </c>
      <c r="C551" s="362" t="s">
        <v>10938</v>
      </c>
      <c r="D551" s="362" t="s">
        <v>10939</v>
      </c>
      <c r="E551" s="362" t="s">
        <v>10940</v>
      </c>
      <c r="F551" s="362" t="s">
        <v>7380</v>
      </c>
      <c r="G551" s="362" t="s">
        <v>8842</v>
      </c>
      <c r="H551" s="363">
        <v>2014</v>
      </c>
      <c r="I551" s="378">
        <v>41340</v>
      </c>
      <c r="J551" s="434" t="s">
        <v>7381</v>
      </c>
      <c r="K551" s="425"/>
      <c r="L551" s="362" t="s">
        <v>10941</v>
      </c>
    </row>
    <row r="552" spans="1:12">
      <c r="A552" s="363">
        <f>VLOOKUP(B552, 'PubMed 4.14.21 Results'!B:B, 1, FALSE)</f>
        <v>24276956</v>
      </c>
      <c r="B552" s="363">
        <v>24276956</v>
      </c>
      <c r="C552" s="362" t="s">
        <v>10942</v>
      </c>
      <c r="D552" s="362" t="s">
        <v>10943</v>
      </c>
      <c r="E552" s="362" t="s">
        <v>10944</v>
      </c>
      <c r="F552" s="362" t="s">
        <v>8100</v>
      </c>
      <c r="G552" s="362" t="s">
        <v>9911</v>
      </c>
      <c r="H552" s="363">
        <v>2014</v>
      </c>
      <c r="I552" s="378">
        <v>41605</v>
      </c>
      <c r="J552" s="365"/>
      <c r="K552" s="365"/>
      <c r="L552" s="362" t="s">
        <v>10945</v>
      </c>
    </row>
    <row r="553" spans="1:12">
      <c r="A553" s="363">
        <f>VLOOKUP(B553, 'PubMed 4.14.21 Results'!B:B, 1, FALSE)</f>
        <v>24487591</v>
      </c>
      <c r="B553" s="363">
        <v>24487591</v>
      </c>
      <c r="C553" s="362" t="s">
        <v>10946</v>
      </c>
      <c r="D553" s="362" t="s">
        <v>10947</v>
      </c>
      <c r="E553" s="362" t="s">
        <v>10948</v>
      </c>
      <c r="F553" s="362" t="s">
        <v>7917</v>
      </c>
      <c r="G553" s="362" t="s">
        <v>8460</v>
      </c>
      <c r="H553" s="363">
        <v>2014</v>
      </c>
      <c r="I553" s="378">
        <v>41674</v>
      </c>
      <c r="J553" s="434" t="s">
        <v>7918</v>
      </c>
      <c r="K553" s="425"/>
      <c r="L553" s="362" t="s">
        <v>10949</v>
      </c>
    </row>
    <row r="554" spans="1:12">
      <c r="A554" s="363">
        <f>VLOOKUP(B554, 'PubMed 4.14.21 Results'!B:B, 1, FALSE)</f>
        <v>24636387</v>
      </c>
      <c r="B554" s="363">
        <v>24636387</v>
      </c>
      <c r="C554" s="362" t="s">
        <v>10950</v>
      </c>
      <c r="D554" s="362" t="s">
        <v>10951</v>
      </c>
      <c r="E554" s="362" t="s">
        <v>10952</v>
      </c>
      <c r="F554" s="362" t="s">
        <v>6908</v>
      </c>
      <c r="G554" s="362" t="s">
        <v>9659</v>
      </c>
      <c r="H554" s="363">
        <v>2014</v>
      </c>
      <c r="I554" s="378">
        <v>41717</v>
      </c>
      <c r="J554" s="365"/>
      <c r="K554" s="365"/>
      <c r="L554" s="362" t="s">
        <v>10953</v>
      </c>
    </row>
    <row r="555" spans="1:12">
      <c r="A555" s="363">
        <f>VLOOKUP(B555, 'PubMed 4.14.21 Results'!B:B, 1, FALSE)</f>
        <v>24456625</v>
      </c>
      <c r="B555" s="363">
        <v>24456625</v>
      </c>
      <c r="C555" s="362" t="s">
        <v>10954</v>
      </c>
      <c r="D555" s="362" t="s">
        <v>10955</v>
      </c>
      <c r="E555" s="362" t="s">
        <v>10956</v>
      </c>
      <c r="F555" s="362" t="s">
        <v>6539</v>
      </c>
      <c r="G555" s="362" t="s">
        <v>21</v>
      </c>
      <c r="H555" s="363">
        <v>2014</v>
      </c>
      <c r="I555" s="378">
        <v>41664</v>
      </c>
      <c r="J555" s="365"/>
      <c r="K555" s="365"/>
      <c r="L555" s="362" t="s">
        <v>10957</v>
      </c>
    </row>
    <row r="556" spans="1:12">
      <c r="A556" s="363">
        <f>VLOOKUP(B556, 'PubMed 4.14.21 Results'!B:B, 1, FALSE)</f>
        <v>24614165</v>
      </c>
      <c r="B556" s="363">
        <v>24614165</v>
      </c>
      <c r="C556" s="362" t="s">
        <v>10958</v>
      </c>
      <c r="D556" s="362" t="s">
        <v>10959</v>
      </c>
      <c r="E556" s="362" t="s">
        <v>10960</v>
      </c>
      <c r="F556" s="362" t="s">
        <v>7799</v>
      </c>
      <c r="G556" s="362" t="s">
        <v>10379</v>
      </c>
      <c r="H556" s="363">
        <v>2014</v>
      </c>
      <c r="I556" s="378">
        <v>41710</v>
      </c>
      <c r="J556" s="434" t="s">
        <v>7800</v>
      </c>
      <c r="K556" s="425"/>
      <c r="L556" s="362" t="s">
        <v>10961</v>
      </c>
    </row>
    <row r="557" spans="1:12">
      <c r="A557" s="363">
        <f>VLOOKUP(B557, 'PubMed 4.14.21 Results'!B:B, 1, FALSE)</f>
        <v>23564338</v>
      </c>
      <c r="B557" s="363">
        <v>23564338</v>
      </c>
      <c r="C557" s="362" t="s">
        <v>10962</v>
      </c>
      <c r="D557" s="362" t="s">
        <v>10963</v>
      </c>
      <c r="E557" s="362" t="s">
        <v>10964</v>
      </c>
      <c r="F557" s="362" t="s">
        <v>6677</v>
      </c>
      <c r="G557" s="362" t="s">
        <v>10965</v>
      </c>
      <c r="H557" s="363">
        <v>2014</v>
      </c>
      <c r="I557" s="378">
        <v>41373</v>
      </c>
      <c r="J557" s="434" t="s">
        <v>6678</v>
      </c>
      <c r="K557" s="425"/>
      <c r="L557" s="362" t="s">
        <v>10966</v>
      </c>
    </row>
    <row r="558" spans="1:12">
      <c r="A558" s="363">
        <f>VLOOKUP(B558, 'PubMed 4.14.21 Results'!B:B, 1, FALSE)</f>
        <v>24127238</v>
      </c>
      <c r="B558" s="363">
        <v>24127238</v>
      </c>
      <c r="C558" s="362" t="s">
        <v>10967</v>
      </c>
      <c r="D558" s="362" t="s">
        <v>10968</v>
      </c>
      <c r="E558" s="362" t="s">
        <v>10969</v>
      </c>
      <c r="F558" s="362" t="s">
        <v>7876</v>
      </c>
      <c r="G558" s="362" t="s">
        <v>10970</v>
      </c>
      <c r="H558" s="363">
        <v>2014</v>
      </c>
      <c r="I558" s="378">
        <v>41563</v>
      </c>
      <c r="J558" s="362" t="s">
        <v>7877</v>
      </c>
      <c r="K558" s="362" t="s">
        <v>10971</v>
      </c>
      <c r="L558" s="362" t="s">
        <v>10972</v>
      </c>
    </row>
    <row r="559" spans="1:12">
      <c r="A559" s="363">
        <f>VLOOKUP(B559, 'PubMed 4.14.21 Results'!B:B, 1, FALSE)</f>
        <v>24602844</v>
      </c>
      <c r="B559" s="363">
        <v>24602844</v>
      </c>
      <c r="C559" s="362" t="s">
        <v>10973</v>
      </c>
      <c r="D559" s="362" t="s">
        <v>10974</v>
      </c>
      <c r="E559" s="362" t="s">
        <v>10975</v>
      </c>
      <c r="F559" s="362" t="s">
        <v>6989</v>
      </c>
      <c r="G559" s="362" t="s">
        <v>10976</v>
      </c>
      <c r="H559" s="363">
        <v>2014</v>
      </c>
      <c r="I559" s="378">
        <v>41706</v>
      </c>
      <c r="J559" s="362" t="s">
        <v>6990</v>
      </c>
      <c r="K559" s="362" t="s">
        <v>10977</v>
      </c>
      <c r="L559" s="362" t="s">
        <v>10978</v>
      </c>
    </row>
    <row r="560" spans="1:12">
      <c r="A560" s="363">
        <f>VLOOKUP(B560, 'PubMed 4.14.21 Results'!B:B, 1, FALSE)</f>
        <v>25241554</v>
      </c>
      <c r="B560" s="363">
        <v>25241554</v>
      </c>
      <c r="C560" s="362" t="s">
        <v>10979</v>
      </c>
      <c r="D560" s="362" t="s">
        <v>10980</v>
      </c>
      <c r="E560" s="362" t="s">
        <v>10981</v>
      </c>
      <c r="F560" s="362" t="s">
        <v>6512</v>
      </c>
      <c r="G560" s="362" t="s">
        <v>10982</v>
      </c>
      <c r="H560" s="363">
        <v>2014</v>
      </c>
      <c r="I560" s="378">
        <v>41905</v>
      </c>
      <c r="J560" s="365"/>
      <c r="K560" s="365"/>
      <c r="L560" s="365"/>
    </row>
    <row r="561" spans="1:12">
      <c r="A561" s="363">
        <f>VLOOKUP(B561, 'PubMed 4.14.21 Results'!B:B, 1, FALSE)</f>
        <v>24569099</v>
      </c>
      <c r="B561" s="363">
        <v>24569099</v>
      </c>
      <c r="C561" s="362" t="s">
        <v>10983</v>
      </c>
      <c r="D561" s="362" t="s">
        <v>10984</v>
      </c>
      <c r="E561" s="362" t="s">
        <v>10985</v>
      </c>
      <c r="F561" s="362" t="s">
        <v>7892</v>
      </c>
      <c r="G561" s="362" t="s">
        <v>8852</v>
      </c>
      <c r="H561" s="363">
        <v>2014</v>
      </c>
      <c r="I561" s="378">
        <v>41697</v>
      </c>
      <c r="J561" s="365"/>
      <c r="K561" s="365"/>
      <c r="L561" s="362" t="s">
        <v>10986</v>
      </c>
    </row>
    <row r="562" spans="1:12">
      <c r="A562" s="363">
        <f>VLOOKUP(B562, 'PubMed 4.14.21 Results'!B:B, 1, FALSE)</f>
        <v>24612209</v>
      </c>
      <c r="B562" s="363">
        <v>24612209</v>
      </c>
      <c r="C562" s="362" t="s">
        <v>10987</v>
      </c>
      <c r="D562" s="362" t="s">
        <v>10988</v>
      </c>
      <c r="E562" s="362" t="s">
        <v>10989</v>
      </c>
      <c r="F562" s="362" t="s">
        <v>7873</v>
      </c>
      <c r="G562" s="362" t="s">
        <v>10990</v>
      </c>
      <c r="H562" s="363">
        <v>2014</v>
      </c>
      <c r="I562" s="378">
        <v>41710</v>
      </c>
      <c r="J562" s="365"/>
      <c r="K562" s="365"/>
      <c r="L562" s="362" t="s">
        <v>10991</v>
      </c>
    </row>
    <row r="563" spans="1:12">
      <c r="A563" s="363">
        <f>VLOOKUP(B563, 'PubMed 4.14.21 Results'!B:B, 1, FALSE)</f>
        <v>24713880</v>
      </c>
      <c r="B563" s="363">
        <v>24713880</v>
      </c>
      <c r="C563" s="362" t="s">
        <v>10992</v>
      </c>
      <c r="D563" s="362" t="s">
        <v>10993</v>
      </c>
      <c r="E563" s="362" t="s">
        <v>10994</v>
      </c>
      <c r="F563" s="362" t="s">
        <v>6578</v>
      </c>
      <c r="G563" s="362" t="s">
        <v>10995</v>
      </c>
      <c r="H563" s="363">
        <v>2014</v>
      </c>
      <c r="I563" s="378">
        <v>41739</v>
      </c>
      <c r="J563" s="362" t="s">
        <v>6579</v>
      </c>
      <c r="K563" s="362" t="s">
        <v>10996</v>
      </c>
      <c r="L563" s="362" t="s">
        <v>10997</v>
      </c>
    </row>
    <row r="564" spans="1:12">
      <c r="A564" s="363">
        <f>VLOOKUP(B564, 'PubMed 4.14.21 Results'!B:B, 1, FALSE)</f>
        <v>24756009</v>
      </c>
      <c r="B564" s="363">
        <v>24756009</v>
      </c>
      <c r="C564" s="362" t="s">
        <v>10998</v>
      </c>
      <c r="D564" s="362" t="s">
        <v>10999</v>
      </c>
      <c r="E564" s="362" t="s">
        <v>11000</v>
      </c>
      <c r="F564" s="362" t="s">
        <v>7072</v>
      </c>
      <c r="G564" s="362" t="s">
        <v>11001</v>
      </c>
      <c r="H564" s="363">
        <v>2014</v>
      </c>
      <c r="I564" s="378">
        <v>41753</v>
      </c>
      <c r="J564" s="365"/>
      <c r="K564" s="365"/>
      <c r="L564" s="365"/>
    </row>
    <row r="565" spans="1:12">
      <c r="A565" s="363">
        <f>VLOOKUP(B565, 'PubMed 4.14.21 Results'!B:B, 1, FALSE)</f>
        <v>24790646</v>
      </c>
      <c r="B565" s="363">
        <v>24790646</v>
      </c>
      <c r="C565" s="362" t="s">
        <v>11002</v>
      </c>
      <c r="D565" s="362" t="s">
        <v>11003</v>
      </c>
      <c r="E565" s="362" t="s">
        <v>11004</v>
      </c>
      <c r="F565" s="362" t="s">
        <v>7224</v>
      </c>
      <c r="G565" s="362" t="s">
        <v>11005</v>
      </c>
      <c r="H565" s="363">
        <v>2014</v>
      </c>
      <c r="I565" s="378">
        <v>41762</v>
      </c>
      <c r="J565" s="434" t="s">
        <v>7225</v>
      </c>
      <c r="K565" s="425"/>
      <c r="L565" s="362" t="s">
        <v>11006</v>
      </c>
    </row>
    <row r="566" spans="1:12">
      <c r="A566" s="363">
        <f>VLOOKUP(B566, 'PubMed 4.14.21 Results'!B:B, 1, FALSE)</f>
        <v>24814741</v>
      </c>
      <c r="B566" s="363">
        <v>24814741</v>
      </c>
      <c r="C566" s="362" t="s">
        <v>11007</v>
      </c>
      <c r="D566" s="362" t="s">
        <v>11008</v>
      </c>
      <c r="E566" s="362" t="s">
        <v>11009</v>
      </c>
      <c r="F566" s="362" t="s">
        <v>7529</v>
      </c>
      <c r="G566" s="362" t="s">
        <v>10890</v>
      </c>
      <c r="H566" s="363">
        <v>2014</v>
      </c>
      <c r="I566" s="378">
        <v>41772</v>
      </c>
      <c r="J566" s="365"/>
      <c r="K566" s="365"/>
      <c r="L566" s="365"/>
    </row>
    <row r="567" spans="1:12">
      <c r="A567" s="363">
        <f>VLOOKUP(B567, 'PubMed 4.14.21 Results'!B:B, 1, FALSE)</f>
        <v>24838139</v>
      </c>
      <c r="B567" s="363">
        <v>24838139</v>
      </c>
      <c r="C567" s="362" t="s">
        <v>11010</v>
      </c>
      <c r="D567" s="362" t="s">
        <v>11011</v>
      </c>
      <c r="E567" s="362" t="s">
        <v>11012</v>
      </c>
      <c r="F567" s="362" t="s">
        <v>7261</v>
      </c>
      <c r="G567" s="362" t="s">
        <v>8632</v>
      </c>
      <c r="H567" s="363">
        <v>2014</v>
      </c>
      <c r="I567" s="378">
        <v>41779</v>
      </c>
      <c r="J567" s="365"/>
      <c r="K567" s="365"/>
      <c r="L567" s="362" t="s">
        <v>11013</v>
      </c>
    </row>
    <row r="568" spans="1:12">
      <c r="A568" s="363">
        <f>VLOOKUP(B568, 'PubMed 4.14.21 Results'!B:B, 1, FALSE)</f>
        <v>24852804</v>
      </c>
      <c r="B568" s="363">
        <v>24852804</v>
      </c>
      <c r="C568" s="362" t="s">
        <v>11014</v>
      </c>
      <c r="D568" s="362" t="s">
        <v>11015</v>
      </c>
      <c r="E568" s="362" t="s">
        <v>11016</v>
      </c>
      <c r="F568" s="362" t="s">
        <v>6639</v>
      </c>
      <c r="G568" s="362" t="s">
        <v>11017</v>
      </c>
      <c r="H568" s="363">
        <v>2014</v>
      </c>
      <c r="I568" s="378">
        <v>41783</v>
      </c>
      <c r="J568" s="365"/>
      <c r="K568" s="365"/>
      <c r="L568" s="362" t="s">
        <v>11018</v>
      </c>
    </row>
    <row r="569" spans="1:12">
      <c r="A569" s="363">
        <f>VLOOKUP(B569, 'PubMed 4.14.21 Results'!B:B, 1, FALSE)</f>
        <v>24852077</v>
      </c>
      <c r="B569" s="363">
        <v>24852077</v>
      </c>
      <c r="C569" s="362" t="s">
        <v>11019</v>
      </c>
      <c r="D569" s="362" t="s">
        <v>11020</v>
      </c>
      <c r="E569" s="362" t="s">
        <v>11021</v>
      </c>
      <c r="F569" s="362" t="s">
        <v>7601</v>
      </c>
      <c r="G569" s="362" t="s">
        <v>8857</v>
      </c>
      <c r="H569" s="363">
        <v>2014</v>
      </c>
      <c r="I569" s="378">
        <v>41783</v>
      </c>
      <c r="J569" s="365"/>
      <c r="K569" s="365"/>
      <c r="L569" s="362" t="s">
        <v>11022</v>
      </c>
    </row>
    <row r="570" spans="1:12">
      <c r="A570" s="363">
        <f>VLOOKUP(B570, 'PubMed 4.14.21 Results'!B:B, 1, FALSE)</f>
        <v>24867876</v>
      </c>
      <c r="B570" s="363">
        <v>24867876</v>
      </c>
      <c r="C570" s="362" t="s">
        <v>11023</v>
      </c>
      <c r="D570" s="362" t="s">
        <v>11024</v>
      </c>
      <c r="E570" s="362" t="s">
        <v>11025</v>
      </c>
      <c r="F570" s="362" t="s">
        <v>8002</v>
      </c>
      <c r="G570" s="362" t="s">
        <v>8857</v>
      </c>
      <c r="H570" s="363">
        <v>2014</v>
      </c>
      <c r="I570" s="378">
        <v>41788</v>
      </c>
      <c r="J570" s="434" t="s">
        <v>8003</v>
      </c>
      <c r="K570" s="425"/>
      <c r="L570" s="362" t="s">
        <v>11026</v>
      </c>
    </row>
    <row r="571" spans="1:12">
      <c r="A571" s="363">
        <f>VLOOKUP(B571, 'PubMed 4.14.21 Results'!B:B, 1, FALSE)</f>
        <v>24656411</v>
      </c>
      <c r="B571" s="363">
        <v>24656411</v>
      </c>
      <c r="C571" s="362" t="s">
        <v>11027</v>
      </c>
      <c r="D571" s="362" t="s">
        <v>11028</v>
      </c>
      <c r="E571" s="362" t="s">
        <v>11029</v>
      </c>
      <c r="F571" s="362" t="s">
        <v>6726</v>
      </c>
      <c r="G571" s="362" t="s">
        <v>9961</v>
      </c>
      <c r="H571" s="363">
        <v>2014</v>
      </c>
      <c r="I571" s="378">
        <v>41723</v>
      </c>
      <c r="J571" s="362" t="s">
        <v>6727</v>
      </c>
      <c r="K571" s="362" t="s">
        <v>11030</v>
      </c>
      <c r="L571" s="362" t="s">
        <v>11031</v>
      </c>
    </row>
    <row r="572" spans="1:12">
      <c r="A572" s="363">
        <f>VLOOKUP(B572, 'PubMed 4.14.21 Results'!B:B, 1, FALSE)</f>
        <v>24658627</v>
      </c>
      <c r="B572" s="363">
        <v>24658627</v>
      </c>
      <c r="C572" s="362" t="s">
        <v>11032</v>
      </c>
      <c r="D572" s="362" t="s">
        <v>11033</v>
      </c>
      <c r="E572" s="362" t="s">
        <v>11034</v>
      </c>
      <c r="F572" s="362" t="s">
        <v>7813</v>
      </c>
      <c r="G572" s="362" t="s">
        <v>9608</v>
      </c>
      <c r="H572" s="363">
        <v>2014</v>
      </c>
      <c r="I572" s="378">
        <v>41723</v>
      </c>
      <c r="J572" s="365"/>
      <c r="K572" s="365"/>
      <c r="L572" s="362" t="s">
        <v>11035</v>
      </c>
    </row>
    <row r="573" spans="1:12">
      <c r="A573" s="363">
        <f>VLOOKUP(B573, 'PubMed 4.14.21 Results'!B:B, 1, FALSE)</f>
        <v>24696467</v>
      </c>
      <c r="B573" s="363">
        <v>24696467</v>
      </c>
      <c r="C573" s="362" t="s">
        <v>11036</v>
      </c>
      <c r="D573" s="362" t="s">
        <v>11037</v>
      </c>
      <c r="E573" s="362" t="s">
        <v>11038</v>
      </c>
      <c r="F573" s="362" t="s">
        <v>6574</v>
      </c>
      <c r="G573" s="362" t="s">
        <v>9821</v>
      </c>
      <c r="H573" s="363">
        <v>2014</v>
      </c>
      <c r="I573" s="378">
        <v>41733</v>
      </c>
      <c r="J573" s="434" t="s">
        <v>6029</v>
      </c>
      <c r="K573" s="425"/>
      <c r="L573" s="362" t="s">
        <v>11039</v>
      </c>
    </row>
    <row r="574" spans="1:12">
      <c r="A574" s="363">
        <f>VLOOKUP(B574, 'PubMed 4.14.21 Results'!B:B, 1, FALSE)</f>
        <v>24746600</v>
      </c>
      <c r="B574" s="363">
        <v>24746600</v>
      </c>
      <c r="C574" s="362" t="s">
        <v>11040</v>
      </c>
      <c r="D574" s="362" t="s">
        <v>11041</v>
      </c>
      <c r="E574" s="362" t="s">
        <v>11042</v>
      </c>
      <c r="F574" s="362" t="s">
        <v>6525</v>
      </c>
      <c r="G574" s="362" t="s">
        <v>11043</v>
      </c>
      <c r="H574" s="363">
        <v>2014</v>
      </c>
      <c r="I574" s="378">
        <v>41751</v>
      </c>
      <c r="J574" s="365"/>
      <c r="K574" s="365"/>
      <c r="L574" s="362" t="s">
        <v>11044</v>
      </c>
    </row>
    <row r="575" spans="1:12">
      <c r="A575" s="363">
        <f>VLOOKUP(B575, 'PubMed 4.14.21 Results'!B:B, 1, FALSE)</f>
        <v>24953293</v>
      </c>
      <c r="B575" s="363">
        <v>24953293</v>
      </c>
      <c r="C575" s="362" t="s">
        <v>11045</v>
      </c>
      <c r="D575" s="362" t="s">
        <v>11046</v>
      </c>
      <c r="E575" s="362" t="s">
        <v>11047</v>
      </c>
      <c r="F575" s="362" t="s">
        <v>7542</v>
      </c>
      <c r="G575" s="362" t="s">
        <v>8895</v>
      </c>
      <c r="H575" s="363">
        <v>2014</v>
      </c>
      <c r="I575" s="378">
        <v>41814</v>
      </c>
      <c r="J575" s="365"/>
      <c r="K575" s="365"/>
      <c r="L575" s="362" t="s">
        <v>11048</v>
      </c>
    </row>
    <row r="576" spans="1:12">
      <c r="A576" s="363">
        <f>VLOOKUP(B576, 'PubMed 4.14.21 Results'!B:B, 1, FALSE)</f>
        <v>24890413</v>
      </c>
      <c r="B576" s="363">
        <v>24890413</v>
      </c>
      <c r="C576" s="362" t="s">
        <v>11049</v>
      </c>
      <c r="D576" s="362" t="s">
        <v>11050</v>
      </c>
      <c r="E576" s="362" t="s">
        <v>11051</v>
      </c>
      <c r="F576" s="362" t="s">
        <v>7530</v>
      </c>
      <c r="G576" s="362" t="s">
        <v>11052</v>
      </c>
      <c r="H576" s="363">
        <v>2014</v>
      </c>
      <c r="I576" s="378">
        <v>41794</v>
      </c>
      <c r="J576" s="434" t="s">
        <v>7531</v>
      </c>
      <c r="K576" s="425"/>
      <c r="L576" s="362" t="s">
        <v>11053</v>
      </c>
    </row>
    <row r="577" spans="1:12">
      <c r="A577" s="363">
        <f>VLOOKUP(B577, 'PubMed 4.14.21 Results'!B:B, 1, FALSE)</f>
        <v>24895310</v>
      </c>
      <c r="B577" s="363">
        <v>24895310</v>
      </c>
      <c r="C577" s="362" t="s">
        <v>11054</v>
      </c>
      <c r="D577" s="362" t="s">
        <v>11055</v>
      </c>
      <c r="E577" s="362" t="s">
        <v>11056</v>
      </c>
      <c r="F577" s="362" t="s">
        <v>6924</v>
      </c>
      <c r="G577" s="362" t="s">
        <v>11057</v>
      </c>
      <c r="H577" s="363">
        <v>2014</v>
      </c>
      <c r="I577" s="378">
        <v>41795</v>
      </c>
      <c r="J577" s="434" t="s">
        <v>6925</v>
      </c>
      <c r="K577" s="425"/>
      <c r="L577" s="362" t="s">
        <v>11058</v>
      </c>
    </row>
    <row r="578" spans="1:12">
      <c r="A578" s="363">
        <f>VLOOKUP(B578, 'PubMed 4.14.21 Results'!B:B, 1, FALSE)</f>
        <v>24768633</v>
      </c>
      <c r="B578" s="363">
        <v>24768633</v>
      </c>
      <c r="C578" s="362" t="s">
        <v>11059</v>
      </c>
      <c r="D578" s="362" t="s">
        <v>11060</v>
      </c>
      <c r="E578" s="362" t="s">
        <v>11061</v>
      </c>
      <c r="F578" s="362" t="s">
        <v>7625</v>
      </c>
      <c r="G578" s="362" t="s">
        <v>21</v>
      </c>
      <c r="H578" s="363">
        <v>2014</v>
      </c>
      <c r="I578" s="378">
        <v>41758</v>
      </c>
      <c r="J578" s="362" t="s">
        <v>7626</v>
      </c>
      <c r="K578" s="362" t="s">
        <v>11062</v>
      </c>
      <c r="L578" s="362" t="s">
        <v>11063</v>
      </c>
    </row>
    <row r="579" spans="1:12">
      <c r="A579" s="363">
        <f>VLOOKUP(B579, 'PubMed 4.14.21 Results'!B:B, 1, FALSE)</f>
        <v>24934254</v>
      </c>
      <c r="B579" s="363">
        <v>24934254</v>
      </c>
      <c r="C579" s="362" t="s">
        <v>11064</v>
      </c>
      <c r="D579" s="362" t="s">
        <v>11065</v>
      </c>
      <c r="E579" s="362" t="s">
        <v>11066</v>
      </c>
      <c r="F579" s="362" t="s">
        <v>7164</v>
      </c>
      <c r="G579" s="362" t="s">
        <v>8857</v>
      </c>
      <c r="H579" s="363">
        <v>2014</v>
      </c>
      <c r="I579" s="378">
        <v>41808</v>
      </c>
      <c r="J579" s="434" t="s">
        <v>11067</v>
      </c>
      <c r="K579" s="425"/>
      <c r="L579" s="362" t="s">
        <v>11068</v>
      </c>
    </row>
    <row r="580" spans="1:12">
      <c r="A580" s="363">
        <f>VLOOKUP(B580, 'PubMed 4.14.21 Results'!B:B, 1, FALSE)</f>
        <v>24963105</v>
      </c>
      <c r="B580" s="363">
        <v>24963105</v>
      </c>
      <c r="C580" s="362" t="s">
        <v>11069</v>
      </c>
      <c r="D580" s="362" t="s">
        <v>11070</v>
      </c>
      <c r="E580" s="362" t="s">
        <v>11071</v>
      </c>
      <c r="F580" s="362" t="s">
        <v>7288</v>
      </c>
      <c r="G580" s="362" t="s">
        <v>11072</v>
      </c>
      <c r="H580" s="363">
        <v>2014</v>
      </c>
      <c r="I580" s="378">
        <v>41816</v>
      </c>
      <c r="J580" s="434" t="s">
        <v>7289</v>
      </c>
      <c r="K580" s="425"/>
      <c r="L580" s="362" t="s">
        <v>11073</v>
      </c>
    </row>
    <row r="581" spans="1:12">
      <c r="A581" s="363">
        <f>VLOOKUP(B581, 'PubMed 4.14.21 Results'!B:B, 1, FALSE)</f>
        <v>24576824</v>
      </c>
      <c r="B581" s="363">
        <v>24576824</v>
      </c>
      <c r="C581" s="362" t="s">
        <v>11074</v>
      </c>
      <c r="D581" s="362" t="s">
        <v>11075</v>
      </c>
      <c r="E581" s="362" t="s">
        <v>11076</v>
      </c>
      <c r="F581" s="362" t="s">
        <v>7562</v>
      </c>
      <c r="G581" s="362" t="s">
        <v>9028</v>
      </c>
      <c r="H581" s="363">
        <v>2014</v>
      </c>
      <c r="I581" s="378">
        <v>41699</v>
      </c>
      <c r="J581" s="365"/>
      <c r="K581" s="365"/>
      <c r="L581" s="362" t="s">
        <v>11077</v>
      </c>
    </row>
    <row r="582" spans="1:12">
      <c r="A582" s="363">
        <f>VLOOKUP(B582, 'PubMed 4.14.21 Results'!B:B, 1, FALSE)</f>
        <v>24979556</v>
      </c>
      <c r="B582" s="363">
        <v>24979556</v>
      </c>
      <c r="C582" s="362" t="s">
        <v>11078</v>
      </c>
      <c r="D582" s="362" t="s">
        <v>11079</v>
      </c>
      <c r="E582" s="362" t="s">
        <v>11080</v>
      </c>
      <c r="F582" s="362" t="s">
        <v>7111</v>
      </c>
      <c r="G582" s="362" t="s">
        <v>11081</v>
      </c>
      <c r="H582" s="363">
        <v>2014</v>
      </c>
      <c r="I582" s="378">
        <v>41821</v>
      </c>
      <c r="J582" s="365"/>
      <c r="K582" s="365"/>
      <c r="L582" s="365"/>
    </row>
    <row r="583" spans="1:12">
      <c r="A583" s="363">
        <f>VLOOKUP(B583, 'PubMed 4.14.21 Results'!B:B, 1, FALSE)</f>
        <v>25007364</v>
      </c>
      <c r="B583" s="363">
        <v>25007364</v>
      </c>
      <c r="C583" s="362" t="s">
        <v>11082</v>
      </c>
      <c r="D583" s="362" t="s">
        <v>11083</v>
      </c>
      <c r="E583" s="362" t="s">
        <v>11084</v>
      </c>
      <c r="F583" s="362" t="s">
        <v>7000</v>
      </c>
      <c r="G583" s="362" t="s">
        <v>9604</v>
      </c>
      <c r="H583" s="363">
        <v>2014</v>
      </c>
      <c r="I583" s="378">
        <v>41830</v>
      </c>
      <c r="J583" s="365"/>
      <c r="K583" s="365"/>
      <c r="L583" s="365"/>
    </row>
    <row r="584" spans="1:12">
      <c r="A584" s="363">
        <f>VLOOKUP(B584, 'PubMed 4.14.21 Results'!B:B, 1, FALSE)</f>
        <v>30257278</v>
      </c>
      <c r="B584" s="363">
        <v>30257278</v>
      </c>
      <c r="C584" s="362" t="s">
        <v>11085</v>
      </c>
      <c r="D584" s="362" t="s">
        <v>11086</v>
      </c>
      <c r="E584" s="362" t="s">
        <v>11087</v>
      </c>
      <c r="F584" s="362" t="s">
        <v>7328</v>
      </c>
      <c r="G584" s="362" t="s">
        <v>11088</v>
      </c>
      <c r="H584" s="363">
        <v>2014</v>
      </c>
      <c r="I584" s="378">
        <v>43371</v>
      </c>
      <c r="J584" s="365"/>
      <c r="K584" s="365"/>
      <c r="L584" s="362" t="s">
        <v>11089</v>
      </c>
    </row>
    <row r="585" spans="1:12">
      <c r="A585" s="363">
        <f>VLOOKUP(B585, 'PubMed 4.14.21 Results'!B:B, 1, FALSE)</f>
        <v>24988909</v>
      </c>
      <c r="B585" s="363">
        <v>24988909</v>
      </c>
      <c r="C585" s="362" t="s">
        <v>11090</v>
      </c>
      <c r="D585" s="362" t="s">
        <v>11091</v>
      </c>
      <c r="E585" s="362" t="s">
        <v>11092</v>
      </c>
      <c r="F585" s="362" t="s">
        <v>7744</v>
      </c>
      <c r="G585" s="362" t="s">
        <v>9906</v>
      </c>
      <c r="H585" s="363">
        <v>2014</v>
      </c>
      <c r="I585" s="378">
        <v>41824</v>
      </c>
      <c r="J585" s="434" t="s">
        <v>7745</v>
      </c>
      <c r="K585" s="425"/>
      <c r="L585" s="362" t="s">
        <v>11093</v>
      </c>
    </row>
    <row r="586" spans="1:12">
      <c r="A586" s="363">
        <f>VLOOKUP(B586, 'PubMed 4.14.21 Results'!B:B, 1, FALSE)</f>
        <v>25033291</v>
      </c>
      <c r="B586" s="363">
        <v>25033291</v>
      </c>
      <c r="C586" s="362" t="s">
        <v>11094</v>
      </c>
      <c r="D586" s="362" t="s">
        <v>11095</v>
      </c>
      <c r="E586" s="362" t="s">
        <v>11096</v>
      </c>
      <c r="F586" s="362" t="s">
        <v>5361</v>
      </c>
      <c r="G586" s="362" t="s">
        <v>11097</v>
      </c>
      <c r="H586" s="363">
        <v>2014</v>
      </c>
      <c r="I586" s="378">
        <v>41838</v>
      </c>
      <c r="J586" s="434" t="s">
        <v>7168</v>
      </c>
      <c r="K586" s="425"/>
      <c r="L586" s="362" t="s">
        <v>11098</v>
      </c>
    </row>
    <row r="587" spans="1:12">
      <c r="A587" s="363">
        <f>VLOOKUP(B587, 'PubMed 4.14.21 Results'!B:B, 1, FALSE)</f>
        <v>25061777</v>
      </c>
      <c r="B587" s="363">
        <v>25061777</v>
      </c>
      <c r="C587" s="362" t="s">
        <v>11099</v>
      </c>
      <c r="D587" s="362" t="s">
        <v>11100</v>
      </c>
      <c r="E587" s="362" t="s">
        <v>11101</v>
      </c>
      <c r="F587" s="362" t="s">
        <v>7180</v>
      </c>
      <c r="G587" s="362" t="s">
        <v>8857</v>
      </c>
      <c r="H587" s="363">
        <v>2014</v>
      </c>
      <c r="I587" s="378">
        <v>41846</v>
      </c>
      <c r="J587" s="365"/>
      <c r="K587" s="365"/>
      <c r="L587" s="362" t="s">
        <v>11102</v>
      </c>
    </row>
    <row r="588" spans="1:12">
      <c r="A588" s="363">
        <f>VLOOKUP(B588, 'PubMed 4.14.21 Results'!B:B, 1, FALSE)</f>
        <v>25066627</v>
      </c>
      <c r="B588" s="363">
        <v>25066627</v>
      </c>
      <c r="C588" s="362" t="s">
        <v>11103</v>
      </c>
      <c r="D588" s="362" t="s">
        <v>11104</v>
      </c>
      <c r="E588" s="362" t="s">
        <v>11105</v>
      </c>
      <c r="F588" s="362" t="s">
        <v>7870</v>
      </c>
      <c r="G588" s="362" t="s">
        <v>8857</v>
      </c>
      <c r="H588" s="363">
        <v>2014</v>
      </c>
      <c r="I588" s="378">
        <v>41849</v>
      </c>
      <c r="J588" s="365"/>
      <c r="K588" s="365"/>
      <c r="L588" s="362" t="s">
        <v>11106</v>
      </c>
    </row>
    <row r="589" spans="1:12">
      <c r="A589" s="363">
        <f>VLOOKUP(B589, 'PubMed 4.14.21 Results'!B:B, 1, FALSE)</f>
        <v>25140957</v>
      </c>
      <c r="B589" s="363">
        <v>25140957</v>
      </c>
      <c r="C589" s="362" t="s">
        <v>11107</v>
      </c>
      <c r="D589" s="362" t="s">
        <v>11108</v>
      </c>
      <c r="E589" s="362" t="s">
        <v>11109</v>
      </c>
      <c r="F589" s="362" t="s">
        <v>358</v>
      </c>
      <c r="G589" s="362" t="s">
        <v>8514</v>
      </c>
      <c r="H589" s="363">
        <v>2014</v>
      </c>
      <c r="I589" s="378">
        <v>41872</v>
      </c>
      <c r="J589" s="365"/>
      <c r="K589" s="365"/>
      <c r="L589" s="362" t="s">
        <v>11110</v>
      </c>
    </row>
    <row r="590" spans="1:12">
      <c r="A590" s="363">
        <f>VLOOKUP(B590, 'PubMed 4.14.21 Results'!B:B, 1, FALSE)</f>
        <v>25168927</v>
      </c>
      <c r="B590" s="363">
        <v>25168927</v>
      </c>
      <c r="C590" s="362" t="s">
        <v>11111</v>
      </c>
      <c r="D590" s="362" t="s">
        <v>11112</v>
      </c>
      <c r="E590" s="362" t="s">
        <v>11113</v>
      </c>
      <c r="F590" s="362" t="s">
        <v>7762</v>
      </c>
      <c r="G590" s="362" t="s">
        <v>10766</v>
      </c>
      <c r="H590" s="363">
        <v>2014</v>
      </c>
      <c r="I590" s="378">
        <v>41881</v>
      </c>
      <c r="J590" s="434" t="s">
        <v>7763</v>
      </c>
      <c r="K590" s="425"/>
      <c r="L590" s="362" t="s">
        <v>11114</v>
      </c>
    </row>
    <row r="591" spans="1:12">
      <c r="A591" s="363">
        <f>VLOOKUP(B591, 'PubMed 4.14.21 Results'!B:B, 1, FALSE)</f>
        <v>24895301</v>
      </c>
      <c r="B591" s="363">
        <v>24895301</v>
      </c>
      <c r="C591" s="362" t="s">
        <v>11115</v>
      </c>
      <c r="D591" s="362" t="s">
        <v>11116</v>
      </c>
      <c r="E591" s="362" t="s">
        <v>11117</v>
      </c>
      <c r="F591" s="362" t="s">
        <v>6831</v>
      </c>
      <c r="G591" s="362" t="s">
        <v>11118</v>
      </c>
      <c r="H591" s="363">
        <v>2014</v>
      </c>
      <c r="I591" s="378">
        <v>41795</v>
      </c>
      <c r="J591" s="365"/>
      <c r="K591" s="365"/>
      <c r="L591" s="362" t="s">
        <v>11119</v>
      </c>
    </row>
    <row r="592" spans="1:12">
      <c r="A592" s="363">
        <f>VLOOKUP(B592, 'PubMed 4.14.21 Results'!B:B, 1, FALSE)</f>
        <v>25066668</v>
      </c>
      <c r="B592" s="363">
        <v>25066668</v>
      </c>
      <c r="C592" s="362" t="s">
        <v>11120</v>
      </c>
      <c r="D592" s="362" t="s">
        <v>11121</v>
      </c>
      <c r="E592" s="362" t="s">
        <v>11122</v>
      </c>
      <c r="F592" s="362" t="s">
        <v>7528</v>
      </c>
      <c r="G592" s="362" t="s">
        <v>8640</v>
      </c>
      <c r="H592" s="363">
        <v>2014</v>
      </c>
      <c r="I592" s="378">
        <v>41849</v>
      </c>
      <c r="J592" s="365"/>
      <c r="K592" s="365"/>
      <c r="L592" s="362" t="s">
        <v>11123</v>
      </c>
    </row>
    <row r="593" spans="1:12">
      <c r="A593" s="363">
        <f>VLOOKUP(B593, 'PubMed 4.14.21 Results'!B:B, 1, FALSE)</f>
        <v>25151286</v>
      </c>
      <c r="B593" s="363">
        <v>25151286</v>
      </c>
      <c r="C593" s="362" t="s">
        <v>11124</v>
      </c>
      <c r="D593" s="362" t="s">
        <v>11125</v>
      </c>
      <c r="E593" s="362" t="s">
        <v>11126</v>
      </c>
      <c r="F593" s="362" t="s">
        <v>6941</v>
      </c>
      <c r="G593" s="362" t="s">
        <v>11127</v>
      </c>
      <c r="H593" s="363">
        <v>2014</v>
      </c>
      <c r="I593" s="378">
        <v>41876</v>
      </c>
      <c r="J593" s="365"/>
      <c r="K593" s="365"/>
      <c r="L593" s="362" t="s">
        <v>11128</v>
      </c>
    </row>
    <row r="594" spans="1:12">
      <c r="A594" s="363">
        <f>VLOOKUP(B594, 'PubMed 4.14.21 Results'!B:B, 1, FALSE)</f>
        <v>25175097</v>
      </c>
      <c r="B594" s="363">
        <v>25175097</v>
      </c>
      <c r="C594" s="362" t="s">
        <v>11129</v>
      </c>
      <c r="D594" s="362" t="s">
        <v>11130</v>
      </c>
      <c r="E594" s="362" t="s">
        <v>11131</v>
      </c>
      <c r="F594" s="362" t="s">
        <v>8025</v>
      </c>
      <c r="G594" s="362" t="s">
        <v>11132</v>
      </c>
      <c r="H594" s="363">
        <v>2014</v>
      </c>
      <c r="I594" s="378">
        <v>41884</v>
      </c>
      <c r="J594" s="365"/>
      <c r="K594" s="365"/>
      <c r="L594" s="362" t="s">
        <v>11133</v>
      </c>
    </row>
    <row r="595" spans="1:12">
      <c r="A595" s="363">
        <f>VLOOKUP(B595, 'PubMed 4.14.21 Results'!B:B, 1, FALSE)</f>
        <v>24618152</v>
      </c>
      <c r="B595" s="363">
        <v>24618152</v>
      </c>
      <c r="C595" s="362" t="s">
        <v>11134</v>
      </c>
      <c r="D595" s="362" t="s">
        <v>11135</v>
      </c>
      <c r="E595" s="362" t="s">
        <v>11136</v>
      </c>
      <c r="F595" s="362" t="s">
        <v>7658</v>
      </c>
      <c r="G595" s="362" t="s">
        <v>11137</v>
      </c>
      <c r="H595" s="363">
        <v>2014</v>
      </c>
      <c r="I595" s="378">
        <v>41711</v>
      </c>
      <c r="J595" s="365"/>
      <c r="K595" s="365"/>
      <c r="L595" s="362" t="s">
        <v>11138</v>
      </c>
    </row>
    <row r="596" spans="1:12">
      <c r="A596" s="363">
        <f>VLOOKUP(B596, 'PubMed 4.14.21 Results'!B:B, 1, FALSE)</f>
        <v>25053420</v>
      </c>
      <c r="B596" s="363">
        <v>25053420</v>
      </c>
      <c r="C596" s="362" t="s">
        <v>11139</v>
      </c>
      <c r="D596" s="362" t="s">
        <v>11140</v>
      </c>
      <c r="E596" s="362" t="s">
        <v>11141</v>
      </c>
      <c r="F596" s="362" t="s">
        <v>6777</v>
      </c>
      <c r="G596" s="362" t="s">
        <v>11142</v>
      </c>
      <c r="H596" s="363">
        <v>2014</v>
      </c>
      <c r="I596" s="378">
        <v>41844</v>
      </c>
      <c r="J596" s="434" t="s">
        <v>6778</v>
      </c>
      <c r="K596" s="425"/>
      <c r="L596" s="362" t="s">
        <v>11143</v>
      </c>
    </row>
    <row r="597" spans="1:12">
      <c r="A597" s="363">
        <f>VLOOKUP(B597, 'PubMed 4.14.21 Results'!B:B, 1, FALSE)</f>
        <v>25084088</v>
      </c>
      <c r="B597" s="363">
        <v>25084088</v>
      </c>
      <c r="C597" s="362" t="s">
        <v>11144</v>
      </c>
      <c r="D597" s="362" t="s">
        <v>11145</v>
      </c>
      <c r="E597" s="362" t="s">
        <v>11146</v>
      </c>
      <c r="F597" s="362" t="s">
        <v>7857</v>
      </c>
      <c r="G597" s="362" t="s">
        <v>11147</v>
      </c>
      <c r="H597" s="363">
        <v>2014</v>
      </c>
      <c r="I597" s="378">
        <v>41853</v>
      </c>
      <c r="J597" s="365"/>
      <c r="K597" s="365"/>
      <c r="L597" s="362" t="s">
        <v>11148</v>
      </c>
    </row>
    <row r="598" spans="1:12">
      <c r="A598" s="363">
        <f>VLOOKUP(B598, 'PubMed 4.14.21 Results'!B:B, 1, FALSE)</f>
        <v>25269854</v>
      </c>
      <c r="B598" s="363">
        <v>25269854</v>
      </c>
      <c r="C598" s="362" t="s">
        <v>11149</v>
      </c>
      <c r="D598" s="362" t="s">
        <v>11150</v>
      </c>
      <c r="E598" s="362" t="s">
        <v>11151</v>
      </c>
      <c r="F598" s="362" t="s">
        <v>6891</v>
      </c>
      <c r="G598" s="362" t="s">
        <v>11152</v>
      </c>
      <c r="H598" s="363">
        <v>2014</v>
      </c>
      <c r="I598" s="378">
        <v>41914</v>
      </c>
      <c r="J598" s="434" t="s">
        <v>6892</v>
      </c>
      <c r="K598" s="425"/>
      <c r="L598" s="362" t="s">
        <v>11153</v>
      </c>
    </row>
    <row r="599" spans="1:12">
      <c r="A599" s="363">
        <f>VLOOKUP(B599, 'PubMed 4.14.21 Results'!B:B, 1, FALSE)</f>
        <v>25350588</v>
      </c>
      <c r="B599" s="363">
        <v>25350588</v>
      </c>
      <c r="C599" s="362" t="s">
        <v>11154</v>
      </c>
      <c r="D599" s="362" t="s">
        <v>11155</v>
      </c>
      <c r="E599" s="362" t="s">
        <v>11156</v>
      </c>
      <c r="F599" s="362" t="s">
        <v>7043</v>
      </c>
      <c r="G599" s="362" t="s">
        <v>9359</v>
      </c>
      <c r="H599" s="363">
        <v>2014</v>
      </c>
      <c r="I599" s="378">
        <v>41941</v>
      </c>
      <c r="J599" s="434" t="s">
        <v>7044</v>
      </c>
      <c r="K599" s="425"/>
      <c r="L599" s="362" t="s">
        <v>11157</v>
      </c>
    </row>
    <row r="600" spans="1:12">
      <c r="A600" s="363">
        <f>VLOOKUP(B600, 'PubMed 4.14.21 Results'!B:B, 1, FALSE)</f>
        <v>25491459</v>
      </c>
      <c r="B600" s="363">
        <v>25491459</v>
      </c>
      <c r="C600" s="362" t="s">
        <v>11158</v>
      </c>
      <c r="D600" s="362" t="s">
        <v>11159</v>
      </c>
      <c r="E600" s="362" t="s">
        <v>11160</v>
      </c>
      <c r="F600" s="362" t="s">
        <v>6838</v>
      </c>
      <c r="G600" s="362" t="s">
        <v>11161</v>
      </c>
      <c r="H600" s="363">
        <v>2014</v>
      </c>
      <c r="I600" s="378">
        <v>41984</v>
      </c>
      <c r="J600" s="365"/>
      <c r="K600" s="365"/>
      <c r="L600" s="362" t="s">
        <v>11162</v>
      </c>
    </row>
    <row r="601" spans="1:12">
      <c r="A601" s="363">
        <f>VLOOKUP(B601, 'PubMed 4.14.21 Results'!B:B, 1, FALSE)</f>
        <v>25318353</v>
      </c>
      <c r="B601" s="363">
        <v>25318353</v>
      </c>
      <c r="C601" s="362" t="s">
        <v>11163</v>
      </c>
      <c r="D601" s="362" t="s">
        <v>11164</v>
      </c>
      <c r="E601" s="362" t="s">
        <v>11165</v>
      </c>
      <c r="F601" s="362" t="s">
        <v>8030</v>
      </c>
      <c r="G601" s="362" t="s">
        <v>11166</v>
      </c>
      <c r="H601" s="363">
        <v>2014</v>
      </c>
      <c r="I601" s="378">
        <v>41929</v>
      </c>
      <c r="J601" s="434" t="s">
        <v>8031</v>
      </c>
      <c r="K601" s="425"/>
      <c r="L601" s="362" t="s">
        <v>11167</v>
      </c>
    </row>
    <row r="602" spans="1:12">
      <c r="A602" s="363">
        <f>VLOOKUP(B602, 'PubMed 4.14.21 Results'!B:B, 1, FALSE)</f>
        <v>25359150</v>
      </c>
      <c r="B602" s="363">
        <v>25359150</v>
      </c>
      <c r="C602" s="362" t="s">
        <v>11168</v>
      </c>
      <c r="D602" s="362" t="s">
        <v>11169</v>
      </c>
      <c r="E602" s="362" t="s">
        <v>11170</v>
      </c>
      <c r="F602" s="362" t="s">
        <v>7172</v>
      </c>
      <c r="G602" s="362" t="s">
        <v>11171</v>
      </c>
      <c r="H602" s="363">
        <v>2014</v>
      </c>
      <c r="I602" s="378">
        <v>41944</v>
      </c>
      <c r="J602" s="434" t="s">
        <v>7173</v>
      </c>
      <c r="K602" s="425"/>
      <c r="L602" s="362" t="s">
        <v>11172</v>
      </c>
    </row>
    <row r="603" spans="1:12">
      <c r="A603" s="363">
        <f>VLOOKUP(B603, 'PubMed 4.14.21 Results'!B:B, 1, FALSE)</f>
        <v>24957530</v>
      </c>
      <c r="B603" s="363">
        <v>24957530</v>
      </c>
      <c r="C603" s="362" t="s">
        <v>11173</v>
      </c>
      <c r="D603" s="362" t="s">
        <v>11174</v>
      </c>
      <c r="E603" s="362" t="s">
        <v>11175</v>
      </c>
      <c r="F603" s="362" t="s">
        <v>7985</v>
      </c>
      <c r="G603" s="362" t="s">
        <v>11176</v>
      </c>
      <c r="H603" s="363">
        <v>2014</v>
      </c>
      <c r="I603" s="378">
        <v>41815</v>
      </c>
      <c r="J603" s="365"/>
      <c r="K603" s="365"/>
      <c r="L603" s="362" t="s">
        <v>11177</v>
      </c>
    </row>
    <row r="604" spans="1:12">
      <c r="A604" s="363">
        <f>VLOOKUP(B604, 'PubMed 4.14.21 Results'!B:B, 1, FALSE)</f>
        <v>25037054</v>
      </c>
      <c r="B604" s="363">
        <v>25037054</v>
      </c>
      <c r="C604" s="362" t="s">
        <v>11178</v>
      </c>
      <c r="D604" s="362" t="s">
        <v>11179</v>
      </c>
      <c r="E604" s="362" t="s">
        <v>11180</v>
      </c>
      <c r="F604" s="362" t="s">
        <v>7563</v>
      </c>
      <c r="G604" s="362" t="s">
        <v>11181</v>
      </c>
      <c r="H604" s="363">
        <v>2014</v>
      </c>
      <c r="I604" s="378">
        <v>41840</v>
      </c>
      <c r="J604" s="365"/>
      <c r="K604" s="365"/>
      <c r="L604" s="362" t="s">
        <v>11182</v>
      </c>
    </row>
    <row r="605" spans="1:12">
      <c r="A605" s="363">
        <f>VLOOKUP(B605, 'PubMed 4.14.21 Results'!B:B, 1, FALSE)</f>
        <v>25128688</v>
      </c>
      <c r="B605" s="363">
        <v>25128688</v>
      </c>
      <c r="C605" s="362" t="s">
        <v>11183</v>
      </c>
      <c r="D605" s="362" t="s">
        <v>11184</v>
      </c>
      <c r="E605" s="362" t="s">
        <v>11185</v>
      </c>
      <c r="F605" s="362" t="s">
        <v>7588</v>
      </c>
      <c r="G605" s="362" t="s">
        <v>10314</v>
      </c>
      <c r="H605" s="363">
        <v>2014</v>
      </c>
      <c r="I605" s="378">
        <v>41868</v>
      </c>
      <c r="J605" s="365"/>
      <c r="K605" s="365"/>
      <c r="L605" s="362" t="s">
        <v>11186</v>
      </c>
    </row>
    <row r="606" spans="1:12">
      <c r="A606" s="363">
        <f>VLOOKUP(B606, 'PubMed 4.14.21 Results'!B:B, 1, FALSE)</f>
        <v>25236917</v>
      </c>
      <c r="B606" s="363">
        <v>25236917</v>
      </c>
      <c r="C606" s="362" t="s">
        <v>11187</v>
      </c>
      <c r="D606" s="362" t="s">
        <v>11188</v>
      </c>
      <c r="E606" s="362" t="s">
        <v>11189</v>
      </c>
      <c r="F606" s="362" t="s">
        <v>7226</v>
      </c>
      <c r="G606" s="362" t="s">
        <v>8640</v>
      </c>
      <c r="H606" s="363">
        <v>2014</v>
      </c>
      <c r="I606" s="378">
        <v>41902</v>
      </c>
      <c r="J606" s="365"/>
      <c r="K606" s="365"/>
      <c r="L606" s="362" t="s">
        <v>11190</v>
      </c>
    </row>
    <row r="607" spans="1:12">
      <c r="A607" s="363">
        <f>VLOOKUP(B607, 'PubMed 4.14.21 Results'!B:B, 1, FALSE)</f>
        <v>25346301</v>
      </c>
      <c r="B607" s="363">
        <v>25346301</v>
      </c>
      <c r="C607" s="362" t="s">
        <v>11191</v>
      </c>
      <c r="D607" s="362" t="s">
        <v>11192</v>
      </c>
      <c r="E607" s="362" t="s">
        <v>11193</v>
      </c>
      <c r="F607" s="362" t="s">
        <v>7056</v>
      </c>
      <c r="G607" s="362" t="s">
        <v>11194</v>
      </c>
      <c r="H607" s="363">
        <v>2014</v>
      </c>
      <c r="I607" s="378">
        <v>41940</v>
      </c>
      <c r="J607" s="365"/>
      <c r="K607" s="365"/>
      <c r="L607" s="362" t="s">
        <v>11195</v>
      </c>
    </row>
    <row r="608" spans="1:12">
      <c r="A608" s="363">
        <f>VLOOKUP(B608, 'PubMed 4.14.21 Results'!B:B, 1, FALSE)</f>
        <v>25379846</v>
      </c>
      <c r="B608" s="363">
        <v>25379846</v>
      </c>
      <c r="C608" s="362" t="s">
        <v>11196</v>
      </c>
      <c r="D608" s="362" t="s">
        <v>11197</v>
      </c>
      <c r="E608" s="362" t="s">
        <v>11198</v>
      </c>
      <c r="F608" s="362" t="s">
        <v>7837</v>
      </c>
      <c r="G608" s="362" t="s">
        <v>10335</v>
      </c>
      <c r="H608" s="363">
        <v>2014</v>
      </c>
      <c r="I608" s="378">
        <v>41951</v>
      </c>
      <c r="J608" s="365"/>
      <c r="K608" s="365"/>
      <c r="L608" s="362" t="s">
        <v>11199</v>
      </c>
    </row>
    <row r="609" spans="1:12">
      <c r="A609" s="363">
        <f>VLOOKUP(B609, 'PubMed 4.14.21 Results'!B:B, 1, FALSE)</f>
        <v>25369798</v>
      </c>
      <c r="B609" s="363">
        <v>25369798</v>
      </c>
      <c r="C609" s="362" t="s">
        <v>11200</v>
      </c>
      <c r="D609" s="362" t="s">
        <v>11201</v>
      </c>
      <c r="E609" s="362" t="s">
        <v>11202</v>
      </c>
      <c r="F609" s="362" t="s">
        <v>7644</v>
      </c>
      <c r="G609" s="362" t="s">
        <v>10685</v>
      </c>
      <c r="H609" s="363">
        <v>2014</v>
      </c>
      <c r="I609" s="378">
        <v>41949</v>
      </c>
      <c r="J609" s="434" t="s">
        <v>7645</v>
      </c>
      <c r="K609" s="425"/>
      <c r="L609" s="362" t="s">
        <v>11203</v>
      </c>
    </row>
    <row r="610" spans="1:12">
      <c r="A610" s="363">
        <f>VLOOKUP(B610, 'PubMed 4.14.21 Results'!B:B, 1, FALSE)</f>
        <v>25386945</v>
      </c>
      <c r="B610" s="363">
        <v>25386945</v>
      </c>
      <c r="C610" s="362" t="s">
        <v>11204</v>
      </c>
      <c r="D610" s="362" t="s">
        <v>11205</v>
      </c>
      <c r="E610" s="362" t="s">
        <v>11206</v>
      </c>
      <c r="F610" s="362" t="s">
        <v>6548</v>
      </c>
      <c r="G610" s="362" t="s">
        <v>10148</v>
      </c>
      <c r="H610" s="363">
        <v>2014</v>
      </c>
      <c r="I610" s="378">
        <v>41955</v>
      </c>
      <c r="J610" s="434" t="s">
        <v>6549</v>
      </c>
      <c r="K610" s="425"/>
      <c r="L610" s="362" t="s">
        <v>11207</v>
      </c>
    </row>
    <row r="611" spans="1:12">
      <c r="A611" s="363">
        <f>VLOOKUP(B611, 'PubMed 4.14.21 Results'!B:B, 1, FALSE)</f>
        <v>25217488</v>
      </c>
      <c r="B611" s="363">
        <v>25217488</v>
      </c>
      <c r="C611" s="362" t="s">
        <v>11208</v>
      </c>
      <c r="D611" s="362" t="s">
        <v>11209</v>
      </c>
      <c r="E611" s="362" t="s">
        <v>11210</v>
      </c>
      <c r="F611" s="362" t="s">
        <v>7118</v>
      </c>
      <c r="G611" s="362" t="s">
        <v>11176</v>
      </c>
      <c r="H611" s="363">
        <v>2014</v>
      </c>
      <c r="I611" s="378">
        <v>41896</v>
      </c>
      <c r="J611" s="365"/>
      <c r="K611" s="365"/>
      <c r="L611" s="362" t="s">
        <v>11211</v>
      </c>
    </row>
    <row r="612" spans="1:12">
      <c r="A612" s="363">
        <f>VLOOKUP(B612, 'PubMed 4.14.21 Results'!B:B, 1, FALSE)</f>
        <v>25399621</v>
      </c>
      <c r="B612" s="363">
        <v>25399621</v>
      </c>
      <c r="C612" s="362" t="s">
        <v>11212</v>
      </c>
      <c r="D612" s="362" t="s">
        <v>11213</v>
      </c>
      <c r="E612" s="362" t="s">
        <v>11214</v>
      </c>
      <c r="F612" s="362" t="s">
        <v>6506</v>
      </c>
      <c r="G612" s="362" t="s">
        <v>11215</v>
      </c>
      <c r="H612" s="363">
        <v>2014</v>
      </c>
      <c r="I612" s="378">
        <v>41961</v>
      </c>
      <c r="J612" s="365"/>
      <c r="K612" s="365"/>
      <c r="L612" s="362" t="s">
        <v>11216</v>
      </c>
    </row>
    <row r="613" spans="1:12">
      <c r="A613" s="363">
        <f>VLOOKUP(B613, 'PubMed 4.14.21 Results'!B:B, 1, FALSE)</f>
        <v>25455987</v>
      </c>
      <c r="B613" s="363">
        <v>25455987</v>
      </c>
      <c r="C613" s="362" t="s">
        <v>11217</v>
      </c>
      <c r="D613" s="362" t="s">
        <v>11218</v>
      </c>
      <c r="E613" s="362" t="s">
        <v>11219</v>
      </c>
      <c r="F613" s="362" t="s">
        <v>7205</v>
      </c>
      <c r="G613" s="362" t="s">
        <v>10976</v>
      </c>
      <c r="H613" s="363">
        <v>2014</v>
      </c>
      <c r="I613" s="378">
        <v>41976</v>
      </c>
      <c r="J613" s="365"/>
      <c r="K613" s="365"/>
      <c r="L613" s="362" t="s">
        <v>11220</v>
      </c>
    </row>
    <row r="614" spans="1:12">
      <c r="A614" s="363">
        <f>VLOOKUP(B614, 'PubMed 4.14.21 Results'!B:B, 1, FALSE)</f>
        <v>25115871</v>
      </c>
      <c r="B614" s="363">
        <v>25115871</v>
      </c>
      <c r="C614" s="362" t="s">
        <v>11221</v>
      </c>
      <c r="D614" s="362" t="s">
        <v>11222</v>
      </c>
      <c r="E614" s="362" t="s">
        <v>11223</v>
      </c>
      <c r="F614" s="362" t="s">
        <v>6743</v>
      </c>
      <c r="G614" s="362" t="s">
        <v>9152</v>
      </c>
      <c r="H614" s="363">
        <v>2014</v>
      </c>
      <c r="I614" s="378">
        <v>41865</v>
      </c>
      <c r="J614" s="365"/>
      <c r="K614" s="365"/>
      <c r="L614" s="362" t="s">
        <v>11224</v>
      </c>
    </row>
    <row r="615" spans="1:12">
      <c r="A615" s="363">
        <f>VLOOKUP(B615, 'PubMed 4.14.21 Results'!B:B, 1, FALSE)</f>
        <v>25515698</v>
      </c>
      <c r="B615" s="363">
        <v>25515698</v>
      </c>
      <c r="C615" s="362" t="s">
        <v>11225</v>
      </c>
      <c r="D615" s="362" t="s">
        <v>11226</v>
      </c>
      <c r="E615" s="362" t="s">
        <v>11227</v>
      </c>
      <c r="F615" s="362" t="s">
        <v>7560</v>
      </c>
      <c r="G615" s="362" t="s">
        <v>11228</v>
      </c>
      <c r="H615" s="363">
        <v>2014</v>
      </c>
      <c r="I615" s="378">
        <v>41991</v>
      </c>
      <c r="J615" s="434" t="s">
        <v>7561</v>
      </c>
      <c r="K615" s="425"/>
      <c r="L615" s="362" t="s">
        <v>11229</v>
      </c>
    </row>
    <row r="616" spans="1:12">
      <c r="A616" s="363">
        <f>VLOOKUP(B616, 'PubMed 4.14.21 Results'!B:B, 1, FALSE)</f>
        <v>25296661</v>
      </c>
      <c r="B616" s="363">
        <v>25296661</v>
      </c>
      <c r="C616" s="362" t="s">
        <v>11230</v>
      </c>
      <c r="D616" s="362" t="s">
        <v>11231</v>
      </c>
      <c r="E616" s="362" t="s">
        <v>11232</v>
      </c>
      <c r="F616" s="362" t="s">
        <v>7797</v>
      </c>
      <c r="G616" s="362" t="s">
        <v>11233</v>
      </c>
      <c r="H616" s="363">
        <v>2015</v>
      </c>
      <c r="I616" s="378">
        <v>41922</v>
      </c>
      <c r="J616" s="365"/>
      <c r="K616" s="365"/>
      <c r="L616" s="362" t="s">
        <v>11234</v>
      </c>
    </row>
    <row r="617" spans="1:12">
      <c r="A617" s="363">
        <f>VLOOKUP(B617, 'PubMed 4.14.21 Results'!B:B, 1, FALSE)</f>
        <v>25300600</v>
      </c>
      <c r="B617" s="363">
        <v>25300600</v>
      </c>
      <c r="C617" s="362" t="s">
        <v>11235</v>
      </c>
      <c r="D617" s="362" t="s">
        <v>11236</v>
      </c>
      <c r="E617" s="362" t="s">
        <v>11237</v>
      </c>
      <c r="F617" s="362" t="s">
        <v>7028</v>
      </c>
      <c r="G617" s="362" t="s">
        <v>11238</v>
      </c>
      <c r="H617" s="363">
        <v>2015</v>
      </c>
      <c r="I617" s="378">
        <v>41923</v>
      </c>
      <c r="J617" s="365"/>
      <c r="K617" s="365"/>
      <c r="L617" s="362" t="s">
        <v>11239</v>
      </c>
    </row>
    <row r="618" spans="1:12">
      <c r="A618" s="363">
        <f>VLOOKUP(B618, 'PubMed 4.14.21 Results'!B:B, 1, FALSE)</f>
        <v>25319385</v>
      </c>
      <c r="B618" s="363">
        <v>25319385</v>
      </c>
      <c r="C618" s="362" t="s">
        <v>11240</v>
      </c>
      <c r="D618" s="362" t="s">
        <v>11241</v>
      </c>
      <c r="E618" s="362" t="s">
        <v>11242</v>
      </c>
      <c r="F618" s="362" t="s">
        <v>7373</v>
      </c>
      <c r="G618" s="362" t="s">
        <v>8617</v>
      </c>
      <c r="H618" s="363">
        <v>2015</v>
      </c>
      <c r="I618" s="378">
        <v>41929</v>
      </c>
      <c r="J618" s="365"/>
      <c r="K618" s="365"/>
      <c r="L618" s="362" t="s">
        <v>11243</v>
      </c>
    </row>
    <row r="619" spans="1:12">
      <c r="A619" s="363">
        <f>VLOOKUP(B619, 'PubMed 4.14.21 Results'!B:B, 1, FALSE)</f>
        <v>25366634</v>
      </c>
      <c r="B619" s="363">
        <v>25366634</v>
      </c>
      <c r="C619" s="362" t="s">
        <v>11244</v>
      </c>
      <c r="D619" s="362" t="s">
        <v>11245</v>
      </c>
      <c r="E619" s="362" t="s">
        <v>11246</v>
      </c>
      <c r="F619" s="362" t="s">
        <v>7151</v>
      </c>
      <c r="G619" s="362" t="s">
        <v>11247</v>
      </c>
      <c r="H619" s="363">
        <v>2015</v>
      </c>
      <c r="I619" s="378">
        <v>41948</v>
      </c>
      <c r="J619" s="365"/>
      <c r="K619" s="365"/>
      <c r="L619" s="362" t="s">
        <v>11248</v>
      </c>
    </row>
    <row r="620" spans="1:12">
      <c r="A620" s="363">
        <f>VLOOKUP(B620, 'PubMed 4.14.21 Results'!B:B, 1, FALSE)</f>
        <v>25430686</v>
      </c>
      <c r="B620" s="363">
        <v>25430686</v>
      </c>
      <c r="C620" s="362" t="s">
        <v>11249</v>
      </c>
      <c r="D620" s="362" t="s">
        <v>11250</v>
      </c>
      <c r="E620" s="362" t="s">
        <v>11251</v>
      </c>
      <c r="F620" s="362" t="s">
        <v>7572</v>
      </c>
      <c r="G620" s="362" t="s">
        <v>11252</v>
      </c>
      <c r="H620" s="363">
        <v>2015</v>
      </c>
      <c r="I620" s="378">
        <v>41972</v>
      </c>
      <c r="J620" s="365"/>
      <c r="K620" s="365"/>
      <c r="L620" s="362" t="s">
        <v>11253</v>
      </c>
    </row>
    <row r="621" spans="1:12">
      <c r="A621" s="363">
        <f>VLOOKUP(B621, 'PubMed 4.14.21 Results'!B:B, 1, FALSE)</f>
        <v>25801552</v>
      </c>
      <c r="B621" s="363">
        <v>25801552</v>
      </c>
      <c r="C621" s="362" t="s">
        <v>11254</v>
      </c>
      <c r="D621" s="362" t="s">
        <v>11255</v>
      </c>
      <c r="E621" s="362" t="s">
        <v>11256</v>
      </c>
      <c r="F621" s="362" t="s">
        <v>7721</v>
      </c>
      <c r="G621" s="362" t="s">
        <v>8675</v>
      </c>
      <c r="H621" s="363">
        <v>2015</v>
      </c>
      <c r="I621" s="378">
        <v>42088</v>
      </c>
      <c r="J621" s="434" t="s">
        <v>7722</v>
      </c>
      <c r="K621" s="425"/>
      <c r="L621" s="362" t="s">
        <v>11257</v>
      </c>
    </row>
    <row r="622" spans="1:12">
      <c r="A622" s="363">
        <f>VLOOKUP(B622, 'PubMed 4.14.21 Results'!B:B, 1, FALSE)</f>
        <v>26269898</v>
      </c>
      <c r="B622" s="363">
        <v>26269898</v>
      </c>
      <c r="C622" s="362" t="s">
        <v>11258</v>
      </c>
      <c r="D622" s="362" t="s">
        <v>11259</v>
      </c>
      <c r="E622" s="362" t="s">
        <v>11260</v>
      </c>
      <c r="F622" s="362" t="s">
        <v>6547</v>
      </c>
      <c r="G622" s="362" t="s">
        <v>11261</v>
      </c>
      <c r="H622" s="363">
        <v>2015</v>
      </c>
      <c r="I622" s="378">
        <v>42005</v>
      </c>
      <c r="J622" s="365"/>
      <c r="K622" s="365"/>
      <c r="L622" s="365"/>
    </row>
    <row r="623" spans="1:12">
      <c r="A623" s="363">
        <f>VLOOKUP(B623, 'PubMed 4.14.21 Results'!B:B, 1, FALSE)</f>
        <v>26269925</v>
      </c>
      <c r="B623" s="363">
        <v>26269925</v>
      </c>
      <c r="C623" s="362" t="s">
        <v>11262</v>
      </c>
      <c r="D623" s="362" t="s">
        <v>11263</v>
      </c>
      <c r="E623" s="362" t="s">
        <v>11264</v>
      </c>
      <c r="F623" s="362" t="s">
        <v>8075</v>
      </c>
      <c r="G623" s="362" t="s">
        <v>11261</v>
      </c>
      <c r="H623" s="363">
        <v>2015</v>
      </c>
      <c r="I623" s="378">
        <v>42005</v>
      </c>
      <c r="J623" s="365"/>
      <c r="K623" s="365"/>
      <c r="L623" s="365"/>
    </row>
    <row r="624" spans="1:12">
      <c r="A624" s="363">
        <f>VLOOKUP(B624, 'PubMed 4.14.21 Results'!B:B, 1, FALSE)</f>
        <v>26323415</v>
      </c>
      <c r="B624" s="363">
        <v>26323415</v>
      </c>
      <c r="C624" s="362" t="s">
        <v>11265</v>
      </c>
      <c r="D624" s="362" t="s">
        <v>11266</v>
      </c>
      <c r="E624" s="362" t="s">
        <v>11267</v>
      </c>
      <c r="F624" s="362" t="s">
        <v>7132</v>
      </c>
      <c r="G624" s="362" t="s">
        <v>11268</v>
      </c>
      <c r="H624" s="363">
        <v>2015</v>
      </c>
      <c r="I624" s="378">
        <v>42249</v>
      </c>
      <c r="J624" s="365"/>
      <c r="K624" s="365"/>
      <c r="L624" s="362" t="s">
        <v>11269</v>
      </c>
    </row>
    <row r="625" spans="1:12">
      <c r="A625" s="363">
        <f>VLOOKUP(B625, 'PubMed 4.14.21 Results'!B:B, 1, FALSE)</f>
        <v>26647887</v>
      </c>
      <c r="B625" s="363">
        <v>26647887</v>
      </c>
      <c r="C625" s="362" t="s">
        <v>11270</v>
      </c>
      <c r="D625" s="362" t="s">
        <v>11271</v>
      </c>
      <c r="E625" s="362" t="s">
        <v>11272</v>
      </c>
      <c r="F625" s="362" t="s">
        <v>6472</v>
      </c>
      <c r="G625" s="362" t="s">
        <v>11273</v>
      </c>
      <c r="H625" s="363">
        <v>2015</v>
      </c>
      <c r="I625" s="378">
        <v>42348</v>
      </c>
      <c r="J625" s="365"/>
      <c r="K625" s="365"/>
      <c r="L625" s="362" t="s">
        <v>11274</v>
      </c>
    </row>
    <row r="626" spans="1:12">
      <c r="A626" s="363">
        <f>VLOOKUP(B626, 'PubMed 4.14.21 Results'!B:B, 1, FALSE)</f>
        <v>25196155</v>
      </c>
      <c r="B626" s="363">
        <v>25196155</v>
      </c>
      <c r="C626" s="362" t="s">
        <v>11275</v>
      </c>
      <c r="D626" s="362" t="s">
        <v>11276</v>
      </c>
      <c r="E626" s="362" t="s">
        <v>11277</v>
      </c>
      <c r="F626" s="362" t="s">
        <v>7460</v>
      </c>
      <c r="G626" s="362" t="s">
        <v>11278</v>
      </c>
      <c r="H626" s="363">
        <v>2015</v>
      </c>
      <c r="I626" s="378">
        <v>41891</v>
      </c>
      <c r="J626" s="365"/>
      <c r="K626" s="365"/>
      <c r="L626" s="362" t="s">
        <v>11279</v>
      </c>
    </row>
    <row r="627" spans="1:12">
      <c r="A627" s="363">
        <f>VLOOKUP(B627, 'PubMed 4.14.21 Results'!B:B, 1, FALSE)</f>
        <v>25645443</v>
      </c>
      <c r="B627" s="363">
        <v>25645443</v>
      </c>
      <c r="C627" s="362" t="s">
        <v>11280</v>
      </c>
      <c r="D627" s="362" t="s">
        <v>11281</v>
      </c>
      <c r="E627" s="362" t="s">
        <v>11282</v>
      </c>
      <c r="F627" s="362" t="s">
        <v>7845</v>
      </c>
      <c r="G627" s="362" t="s">
        <v>11283</v>
      </c>
      <c r="H627" s="363">
        <v>2015</v>
      </c>
      <c r="I627" s="378">
        <v>42039</v>
      </c>
      <c r="J627" s="434" t="s">
        <v>7846</v>
      </c>
      <c r="K627" s="425"/>
      <c r="L627" s="362" t="s">
        <v>11284</v>
      </c>
    </row>
    <row r="628" spans="1:12">
      <c r="A628" s="363">
        <f>VLOOKUP(B628, 'PubMed 4.14.21 Results'!B:B, 1, FALSE)</f>
        <v>25652127</v>
      </c>
      <c r="B628" s="363">
        <v>25652127</v>
      </c>
      <c r="C628" s="362" t="s">
        <v>11285</v>
      </c>
      <c r="D628" s="362" t="s">
        <v>11286</v>
      </c>
      <c r="E628" s="362" t="s">
        <v>11287</v>
      </c>
      <c r="F628" s="362" t="s">
        <v>7152</v>
      </c>
      <c r="G628" s="362" t="s">
        <v>11228</v>
      </c>
      <c r="H628" s="363">
        <v>2015</v>
      </c>
      <c r="I628" s="378">
        <v>42041</v>
      </c>
      <c r="J628" s="434" t="s">
        <v>7153</v>
      </c>
      <c r="K628" s="425"/>
      <c r="L628" s="362" t="s">
        <v>11288</v>
      </c>
    </row>
    <row r="629" spans="1:12">
      <c r="A629" s="363">
        <f>VLOOKUP(B629, 'PubMed 4.14.21 Results'!B:B, 1, FALSE)</f>
        <v>25659142</v>
      </c>
      <c r="B629" s="363">
        <v>25659142</v>
      </c>
      <c r="C629" s="362" t="s">
        <v>11289</v>
      </c>
      <c r="D629" s="362" t="s">
        <v>11290</v>
      </c>
      <c r="E629" s="362" t="s">
        <v>11291</v>
      </c>
      <c r="F629" s="362" t="s">
        <v>6659</v>
      </c>
      <c r="G629" s="362" t="s">
        <v>10379</v>
      </c>
      <c r="H629" s="363">
        <v>2015</v>
      </c>
      <c r="I629" s="378">
        <v>42042</v>
      </c>
      <c r="J629" s="434" t="s">
        <v>6660</v>
      </c>
      <c r="K629" s="425"/>
      <c r="L629" s="362" t="s">
        <v>11292</v>
      </c>
    </row>
    <row r="630" spans="1:12">
      <c r="A630" s="363">
        <f>VLOOKUP(B630, 'PubMed 4.14.21 Results'!B:B, 1, FALSE)</f>
        <v>25922858</v>
      </c>
      <c r="B630" s="363">
        <v>25922858</v>
      </c>
      <c r="C630" s="362" t="s">
        <v>11293</v>
      </c>
      <c r="D630" s="362" t="s">
        <v>11294</v>
      </c>
      <c r="E630" s="362" t="s">
        <v>11295</v>
      </c>
      <c r="F630" s="362" t="s">
        <v>6695</v>
      </c>
      <c r="G630" s="362" t="s">
        <v>8857</v>
      </c>
      <c r="H630" s="363">
        <v>2015</v>
      </c>
      <c r="I630" s="378">
        <v>42124</v>
      </c>
      <c r="J630" s="365"/>
      <c r="K630" s="365"/>
      <c r="L630" s="362" t="s">
        <v>11296</v>
      </c>
    </row>
    <row r="631" spans="1:12">
      <c r="A631" s="363">
        <f>VLOOKUP(B631, 'PubMed 4.14.21 Results'!B:B, 1, FALSE)</f>
        <v>25692326</v>
      </c>
      <c r="B631" s="363">
        <v>25692326</v>
      </c>
      <c r="C631" s="362" t="s">
        <v>11297</v>
      </c>
      <c r="D631" s="362" t="s">
        <v>11298</v>
      </c>
      <c r="E631" s="362" t="s">
        <v>11299</v>
      </c>
      <c r="F631" s="362" t="s">
        <v>7176</v>
      </c>
      <c r="G631" s="362" t="s">
        <v>8857</v>
      </c>
      <c r="H631" s="363">
        <v>2015</v>
      </c>
      <c r="I631" s="378">
        <v>42054</v>
      </c>
      <c r="J631" s="434" t="s">
        <v>7177</v>
      </c>
      <c r="K631" s="425"/>
      <c r="L631" s="362" t="s">
        <v>11300</v>
      </c>
    </row>
    <row r="632" spans="1:12">
      <c r="A632" s="363">
        <f>VLOOKUP(B632, 'PubMed 4.14.21 Results'!B:B, 1, FALSE)</f>
        <v>25914907</v>
      </c>
      <c r="B632" s="363">
        <v>25914907</v>
      </c>
      <c r="C632" s="362" t="s">
        <v>11301</v>
      </c>
      <c r="D632" s="362" t="s">
        <v>11302</v>
      </c>
      <c r="E632" s="362" t="s">
        <v>11303</v>
      </c>
      <c r="F632" s="362" t="s">
        <v>7174</v>
      </c>
      <c r="G632" s="362" t="s">
        <v>8857</v>
      </c>
      <c r="H632" s="363">
        <v>2015</v>
      </c>
      <c r="I632" s="378">
        <v>42122</v>
      </c>
      <c r="J632" s="434" t="s">
        <v>7175</v>
      </c>
      <c r="K632" s="425"/>
      <c r="L632" s="362" t="s">
        <v>11304</v>
      </c>
    </row>
    <row r="633" spans="1:12">
      <c r="A633" s="363">
        <f>VLOOKUP(B633, 'PubMed 4.14.21 Results'!B:B, 1, FALSE)</f>
        <v>25539282</v>
      </c>
      <c r="B633" s="363">
        <v>25539282</v>
      </c>
      <c r="C633" s="362" t="s">
        <v>11305</v>
      </c>
      <c r="D633" s="362" t="s">
        <v>11306</v>
      </c>
      <c r="E633" s="362" t="s">
        <v>11307</v>
      </c>
      <c r="F633" s="362" t="s">
        <v>7814</v>
      </c>
      <c r="G633" s="362" t="s">
        <v>9785</v>
      </c>
      <c r="H633" s="363">
        <v>2015</v>
      </c>
      <c r="I633" s="378">
        <v>41998</v>
      </c>
      <c r="J633" s="365"/>
      <c r="K633" s="365"/>
      <c r="L633" s="362" t="s">
        <v>11308</v>
      </c>
    </row>
    <row r="634" spans="1:12">
      <c r="A634" s="363">
        <f>VLOOKUP(B634, 'PubMed 4.14.21 Results'!B:B, 1, FALSE)</f>
        <v>26687795</v>
      </c>
      <c r="B634" s="363">
        <v>26687795</v>
      </c>
      <c r="C634" s="362" t="s">
        <v>11309</v>
      </c>
      <c r="D634" s="362" t="s">
        <v>11310</v>
      </c>
      <c r="E634" s="362" t="s">
        <v>11311</v>
      </c>
      <c r="F634" s="362" t="s">
        <v>7046</v>
      </c>
      <c r="G634" s="362" t="s">
        <v>11312</v>
      </c>
      <c r="H634" s="363">
        <v>2015</v>
      </c>
      <c r="I634" s="378">
        <v>42360</v>
      </c>
      <c r="J634" s="434" t="s">
        <v>7047</v>
      </c>
      <c r="K634" s="425"/>
      <c r="L634" s="362" t="s">
        <v>11313</v>
      </c>
    </row>
    <row r="635" spans="1:12">
      <c r="A635" s="363">
        <f>VLOOKUP(B635, 'PubMed 4.14.21 Results'!B:B, 1, FALSE)</f>
        <v>25773054</v>
      </c>
      <c r="B635" s="363">
        <v>25773054</v>
      </c>
      <c r="C635" s="362" t="s">
        <v>11314</v>
      </c>
      <c r="D635" s="362" t="s">
        <v>11315</v>
      </c>
      <c r="E635" s="362" t="s">
        <v>11316</v>
      </c>
      <c r="F635" s="362" t="s">
        <v>7279</v>
      </c>
      <c r="G635" s="362" t="s">
        <v>8857</v>
      </c>
      <c r="H635" s="363">
        <v>2015</v>
      </c>
      <c r="I635" s="378">
        <v>42080</v>
      </c>
      <c r="J635" s="365"/>
      <c r="K635" s="365"/>
      <c r="L635" s="362" t="s">
        <v>11317</v>
      </c>
    </row>
    <row r="636" spans="1:12">
      <c r="A636" s="363">
        <f>VLOOKUP(B636, 'PubMed 4.14.21 Results'!B:B, 1, FALSE)</f>
        <v>25793740</v>
      </c>
      <c r="B636" s="363">
        <v>25793740</v>
      </c>
      <c r="C636" s="362" t="s">
        <v>11318</v>
      </c>
      <c r="D636" s="362" t="s">
        <v>11319</v>
      </c>
      <c r="E636" s="362" t="s">
        <v>11320</v>
      </c>
      <c r="F636" s="362" t="s">
        <v>6653</v>
      </c>
      <c r="G636" s="362" t="s">
        <v>10379</v>
      </c>
      <c r="H636" s="363">
        <v>2015</v>
      </c>
      <c r="I636" s="378">
        <v>42084</v>
      </c>
      <c r="J636" s="434" t="s">
        <v>6654</v>
      </c>
      <c r="K636" s="425"/>
      <c r="L636" s="362" t="s">
        <v>11321</v>
      </c>
    </row>
    <row r="637" spans="1:12">
      <c r="A637" s="363">
        <f>VLOOKUP(B637, 'PubMed 4.14.21 Results'!B:B, 1, FALSE)</f>
        <v>25873064</v>
      </c>
      <c r="B637" s="363">
        <v>25873064</v>
      </c>
      <c r="C637" s="362" t="s">
        <v>11322</v>
      </c>
      <c r="D637" s="362" t="s">
        <v>11323</v>
      </c>
      <c r="E637" s="362" t="s">
        <v>11324</v>
      </c>
      <c r="F637" s="362" t="s">
        <v>7504</v>
      </c>
      <c r="G637" s="362" t="s">
        <v>9906</v>
      </c>
      <c r="H637" s="363">
        <v>2015</v>
      </c>
      <c r="I637" s="378">
        <v>42110</v>
      </c>
      <c r="J637" s="434" t="s">
        <v>7505</v>
      </c>
      <c r="K637" s="425"/>
      <c r="L637" s="362" t="s">
        <v>11325</v>
      </c>
    </row>
    <row r="638" spans="1:12">
      <c r="A638" s="363">
        <f>VLOOKUP(B638, 'PubMed 4.14.21 Results'!B:B, 1, FALSE)</f>
        <v>25454683</v>
      </c>
      <c r="B638" s="363">
        <v>25454683</v>
      </c>
      <c r="C638" s="362" t="s">
        <v>11326</v>
      </c>
      <c r="D638" s="362" t="s">
        <v>11327</v>
      </c>
      <c r="E638" s="362" t="s">
        <v>11328</v>
      </c>
      <c r="F638" s="362" t="s">
        <v>7335</v>
      </c>
      <c r="G638" s="362" t="s">
        <v>11329</v>
      </c>
      <c r="H638" s="363">
        <v>2015</v>
      </c>
      <c r="I638" s="378">
        <v>41976</v>
      </c>
      <c r="J638" s="365"/>
      <c r="K638" s="365"/>
      <c r="L638" s="362" t="s">
        <v>11330</v>
      </c>
    </row>
    <row r="639" spans="1:12">
      <c r="A639" s="363">
        <f>VLOOKUP(B639, 'PubMed 4.14.21 Results'!B:B, 1, FALSE)</f>
        <v>25510394</v>
      </c>
      <c r="B639" s="363">
        <v>25510394</v>
      </c>
      <c r="C639" s="362" t="s">
        <v>11331</v>
      </c>
      <c r="D639" s="362" t="s">
        <v>11332</v>
      </c>
      <c r="E639" s="362" t="s">
        <v>11333</v>
      </c>
      <c r="F639" s="362" t="s">
        <v>6805</v>
      </c>
      <c r="G639" s="362" t="s">
        <v>11334</v>
      </c>
      <c r="H639" s="363">
        <v>2015</v>
      </c>
      <c r="I639" s="378">
        <v>41990</v>
      </c>
      <c r="J639" s="365"/>
      <c r="K639" s="365"/>
      <c r="L639" s="362" t="s">
        <v>11335</v>
      </c>
    </row>
    <row r="640" spans="1:12">
      <c r="A640" s="363">
        <f>VLOOKUP(B640, 'PubMed 4.14.21 Results'!B:B, 1, FALSE)</f>
        <v>25552421</v>
      </c>
      <c r="B640" s="363">
        <v>25552421</v>
      </c>
      <c r="C640" s="362" t="s">
        <v>11336</v>
      </c>
      <c r="D640" s="362" t="s">
        <v>11337</v>
      </c>
      <c r="E640" s="362" t="s">
        <v>11338</v>
      </c>
      <c r="F640" s="362" t="s">
        <v>7966</v>
      </c>
      <c r="G640" s="362" t="s">
        <v>8721</v>
      </c>
      <c r="H640" s="363">
        <v>2015</v>
      </c>
      <c r="I640" s="378">
        <v>42006</v>
      </c>
      <c r="J640" s="365"/>
      <c r="K640" s="365"/>
      <c r="L640" s="362" t="s">
        <v>11339</v>
      </c>
    </row>
    <row r="641" spans="1:12">
      <c r="A641" s="363">
        <f>VLOOKUP(B641, 'PubMed 4.14.21 Results'!B:B, 1, FALSE)</f>
        <v>25577042</v>
      </c>
      <c r="B641" s="363">
        <v>25577042</v>
      </c>
      <c r="C641" s="362" t="s">
        <v>11340</v>
      </c>
      <c r="D641" s="362" t="s">
        <v>11341</v>
      </c>
      <c r="E641" s="362" t="s">
        <v>11342</v>
      </c>
      <c r="F641" s="362" t="s">
        <v>6410</v>
      </c>
      <c r="G641" s="362" t="s">
        <v>9049</v>
      </c>
      <c r="H641" s="363">
        <v>2015</v>
      </c>
      <c r="I641" s="378">
        <v>42016</v>
      </c>
      <c r="J641" s="434" t="s">
        <v>6411</v>
      </c>
      <c r="K641" s="425"/>
      <c r="L641" s="362" t="s">
        <v>11343</v>
      </c>
    </row>
    <row r="642" spans="1:12">
      <c r="A642" s="363">
        <f>VLOOKUP(B642, 'PubMed 4.14.21 Results'!B:B, 1, FALSE)</f>
        <v>25583294</v>
      </c>
      <c r="B642" s="363">
        <v>25583294</v>
      </c>
      <c r="C642" s="362" t="s">
        <v>11344</v>
      </c>
      <c r="D642" s="362" t="s">
        <v>11345</v>
      </c>
      <c r="E642" s="362" t="s">
        <v>11346</v>
      </c>
      <c r="F642" s="362" t="s">
        <v>8081</v>
      </c>
      <c r="G642" s="362" t="s">
        <v>8607</v>
      </c>
      <c r="H642" s="363">
        <v>2015</v>
      </c>
      <c r="I642" s="378">
        <v>42018</v>
      </c>
      <c r="J642" s="365"/>
      <c r="K642" s="365"/>
      <c r="L642" s="362" t="s">
        <v>11347</v>
      </c>
    </row>
    <row r="643" spans="1:12">
      <c r="A643" s="363">
        <f>VLOOKUP(B643, 'PubMed 4.14.21 Results'!B:B, 1, FALSE)</f>
        <v>26424674</v>
      </c>
      <c r="B643" s="363">
        <v>26424674</v>
      </c>
      <c r="C643" s="362" t="s">
        <v>11348</v>
      </c>
      <c r="D643" s="362" t="s">
        <v>11349</v>
      </c>
      <c r="E643" s="362" t="s">
        <v>11350</v>
      </c>
      <c r="F643" s="362" t="s">
        <v>7881</v>
      </c>
      <c r="G643" s="362" t="s">
        <v>11351</v>
      </c>
      <c r="H643" s="363">
        <v>2015</v>
      </c>
      <c r="I643" s="378">
        <v>42279</v>
      </c>
      <c r="J643" s="365"/>
      <c r="K643" s="365"/>
      <c r="L643" s="362" t="s">
        <v>11352</v>
      </c>
    </row>
    <row r="644" spans="1:12">
      <c r="A644" s="363">
        <f>VLOOKUP(B644, 'PubMed 4.14.21 Results'!B:B, 1, FALSE)</f>
        <v>25732089</v>
      </c>
      <c r="B644" s="363">
        <v>25732089</v>
      </c>
      <c r="C644" s="362" t="s">
        <v>11353</v>
      </c>
      <c r="D644" s="362" t="s">
        <v>11354</v>
      </c>
      <c r="E644" s="362" t="s">
        <v>11355</v>
      </c>
      <c r="F644" s="362" t="s">
        <v>7182</v>
      </c>
      <c r="G644" s="362" t="s">
        <v>11356</v>
      </c>
      <c r="H644" s="363">
        <v>2015</v>
      </c>
      <c r="I644" s="378">
        <v>42067</v>
      </c>
      <c r="J644" s="365"/>
      <c r="K644" s="365"/>
      <c r="L644" s="362" t="s">
        <v>11357</v>
      </c>
    </row>
    <row r="645" spans="1:12">
      <c r="A645" s="363">
        <f>VLOOKUP(B645, 'PubMed 4.14.21 Results'!B:B, 1, FALSE)</f>
        <v>25923779</v>
      </c>
      <c r="B645" s="363">
        <v>25923779</v>
      </c>
      <c r="C645" s="362" t="s">
        <v>11358</v>
      </c>
      <c r="D645" s="362" t="s">
        <v>11359</v>
      </c>
      <c r="E645" s="362" t="s">
        <v>11360</v>
      </c>
      <c r="F645" s="362" t="s">
        <v>8087</v>
      </c>
      <c r="G645" s="362" t="s">
        <v>10379</v>
      </c>
      <c r="H645" s="363">
        <v>2015</v>
      </c>
      <c r="I645" s="378">
        <v>42124</v>
      </c>
      <c r="J645" s="434" t="s">
        <v>8088</v>
      </c>
      <c r="K645" s="425"/>
      <c r="L645" s="362" t="s">
        <v>11361</v>
      </c>
    </row>
    <row r="646" spans="1:12">
      <c r="A646" s="363">
        <f>VLOOKUP(B646, 'PubMed 4.14.21 Results'!B:B, 1, FALSE)</f>
        <v>25925398</v>
      </c>
      <c r="B646" s="363">
        <v>25925398</v>
      </c>
      <c r="C646" s="362" t="s">
        <v>11362</v>
      </c>
      <c r="D646" s="362" t="s">
        <v>11363</v>
      </c>
      <c r="E646" s="362" t="s">
        <v>11364</v>
      </c>
      <c r="F646" s="362" t="s">
        <v>7415</v>
      </c>
      <c r="G646" s="362" t="s">
        <v>9906</v>
      </c>
      <c r="H646" s="363">
        <v>2015</v>
      </c>
      <c r="I646" s="378">
        <v>42125</v>
      </c>
      <c r="J646" s="434" t="s">
        <v>7416</v>
      </c>
      <c r="K646" s="425"/>
      <c r="L646" s="362" t="s">
        <v>11365</v>
      </c>
    </row>
    <row r="647" spans="1:12">
      <c r="A647" s="363">
        <f>VLOOKUP(B647, 'PubMed 4.14.21 Results'!B:B, 1, FALSE)</f>
        <v>25393157</v>
      </c>
      <c r="B647" s="363">
        <v>25393157</v>
      </c>
      <c r="C647" s="362" t="s">
        <v>11366</v>
      </c>
      <c r="D647" s="362" t="s">
        <v>11367</v>
      </c>
      <c r="E647" s="362" t="s">
        <v>11368</v>
      </c>
      <c r="F647" s="362" t="s">
        <v>6601</v>
      </c>
      <c r="G647" s="362" t="s">
        <v>8712</v>
      </c>
      <c r="H647" s="363">
        <v>2015</v>
      </c>
      <c r="I647" s="378">
        <v>41957</v>
      </c>
      <c r="J647" s="365"/>
      <c r="K647" s="365"/>
      <c r="L647" s="362" t="s">
        <v>11369</v>
      </c>
    </row>
    <row r="648" spans="1:12">
      <c r="A648" s="363">
        <f>VLOOKUP(B648, 'PubMed 4.14.21 Results'!B:B, 1, FALSE)</f>
        <v>25555390</v>
      </c>
      <c r="B648" s="363">
        <v>25555390</v>
      </c>
      <c r="C648" s="362" t="s">
        <v>11370</v>
      </c>
      <c r="D648" s="362" t="s">
        <v>11371</v>
      </c>
      <c r="E648" s="362" t="s">
        <v>11372</v>
      </c>
      <c r="F648" s="362" t="s">
        <v>6964</v>
      </c>
      <c r="G648" s="362" t="s">
        <v>11373</v>
      </c>
      <c r="H648" s="363">
        <v>2015</v>
      </c>
      <c r="I648" s="378">
        <v>42008</v>
      </c>
      <c r="J648" s="434" t="s">
        <v>6965</v>
      </c>
      <c r="K648" s="425"/>
      <c r="L648" s="362" t="s">
        <v>11374</v>
      </c>
    </row>
    <row r="649" spans="1:12">
      <c r="A649" s="363">
        <f>VLOOKUP(B649, 'PubMed 4.14.21 Results'!B:B, 1, FALSE)</f>
        <v>25619164</v>
      </c>
      <c r="B649" s="363">
        <v>25619164</v>
      </c>
      <c r="C649" s="362" t="s">
        <v>11375</v>
      </c>
      <c r="D649" s="362" t="s">
        <v>11376</v>
      </c>
      <c r="E649" s="362" t="s">
        <v>11377</v>
      </c>
      <c r="F649" s="362" t="s">
        <v>6605</v>
      </c>
      <c r="G649" s="362" t="s">
        <v>11378</v>
      </c>
      <c r="H649" s="363">
        <v>2015</v>
      </c>
      <c r="I649" s="378">
        <v>42031</v>
      </c>
      <c r="J649" s="434" t="s">
        <v>6606</v>
      </c>
      <c r="K649" s="425"/>
      <c r="L649" s="362" t="s">
        <v>11379</v>
      </c>
    </row>
    <row r="650" spans="1:12">
      <c r="A650" s="363">
        <f>VLOOKUP(B650, 'PubMed 4.14.21 Results'!B:B, 1, FALSE)</f>
        <v>25982651</v>
      </c>
      <c r="B650" s="363">
        <v>25982651</v>
      </c>
      <c r="C650" s="362" t="s">
        <v>11380</v>
      </c>
      <c r="D650" s="362" t="s">
        <v>11381</v>
      </c>
      <c r="E650" s="362" t="s">
        <v>11382</v>
      </c>
      <c r="F650" s="362" t="s">
        <v>7327</v>
      </c>
      <c r="G650" s="362" t="s">
        <v>11383</v>
      </c>
      <c r="H650" s="363">
        <v>2015</v>
      </c>
      <c r="I650" s="378">
        <v>42143</v>
      </c>
      <c r="J650" s="365"/>
      <c r="K650" s="365"/>
      <c r="L650" s="362" t="s">
        <v>11384</v>
      </c>
    </row>
    <row r="651" spans="1:12">
      <c r="A651" s="363">
        <f>VLOOKUP(B651, 'PubMed 4.14.21 Results'!B:B, 1, FALSE)</f>
        <v>25942580</v>
      </c>
      <c r="B651" s="363">
        <v>25942580</v>
      </c>
      <c r="C651" s="362" t="s">
        <v>11385</v>
      </c>
      <c r="D651" s="362" t="s">
        <v>11386</v>
      </c>
      <c r="E651" s="362" t="s">
        <v>11387</v>
      </c>
      <c r="F651" s="362" t="s">
        <v>7179</v>
      </c>
      <c r="G651" s="362" t="s">
        <v>8857</v>
      </c>
      <c r="H651" s="363">
        <v>2015</v>
      </c>
      <c r="I651" s="378">
        <v>42130</v>
      </c>
      <c r="J651" s="365"/>
      <c r="K651" s="365"/>
      <c r="L651" s="362" t="s">
        <v>11388</v>
      </c>
    </row>
    <row r="652" spans="1:12">
      <c r="A652" s="363">
        <f>VLOOKUP(B652, 'PubMed 4.14.21 Results'!B:B, 1, FALSE)</f>
        <v>25749417</v>
      </c>
      <c r="B652" s="363">
        <v>25749417</v>
      </c>
      <c r="C652" s="362" t="s">
        <v>11389</v>
      </c>
      <c r="D652" s="362" t="s">
        <v>11201</v>
      </c>
      <c r="E652" s="362" t="s">
        <v>11390</v>
      </c>
      <c r="F652" s="362" t="s">
        <v>7644</v>
      </c>
      <c r="G652" s="362" t="s">
        <v>11391</v>
      </c>
      <c r="H652" s="363">
        <v>2015</v>
      </c>
      <c r="I652" s="378">
        <v>42073</v>
      </c>
      <c r="J652" s="365"/>
      <c r="K652" s="365"/>
      <c r="L652" s="362" t="s">
        <v>11392</v>
      </c>
    </row>
    <row r="653" spans="1:12">
      <c r="A653" s="363">
        <f>VLOOKUP(B653, 'PubMed 4.14.21 Results'!B:B, 1, FALSE)</f>
        <v>25749502</v>
      </c>
      <c r="B653" s="363">
        <v>25749502</v>
      </c>
      <c r="C653" s="362" t="s">
        <v>11393</v>
      </c>
      <c r="D653" s="362" t="s">
        <v>11394</v>
      </c>
      <c r="E653" s="362" t="s">
        <v>11395</v>
      </c>
      <c r="F653" s="362" t="s">
        <v>7167</v>
      </c>
      <c r="G653" s="362" t="s">
        <v>9860</v>
      </c>
      <c r="H653" s="363">
        <v>2015</v>
      </c>
      <c r="I653" s="378">
        <v>42073</v>
      </c>
      <c r="J653" s="365"/>
      <c r="K653" s="365"/>
      <c r="L653" s="362" t="s">
        <v>11396</v>
      </c>
    </row>
    <row r="654" spans="1:12">
      <c r="A654" s="363">
        <f>VLOOKUP(B654, 'PubMed 4.14.21 Results'!B:B, 1, FALSE)</f>
        <v>26002266</v>
      </c>
      <c r="B654" s="363">
        <v>26002266</v>
      </c>
      <c r="C654" s="362" t="s">
        <v>11397</v>
      </c>
      <c r="D654" s="362" t="s">
        <v>11398</v>
      </c>
      <c r="E654" s="362" t="s">
        <v>11399</v>
      </c>
      <c r="F654" s="362" t="s">
        <v>7452</v>
      </c>
      <c r="G654" s="362" t="s">
        <v>11400</v>
      </c>
      <c r="H654" s="363">
        <v>2015</v>
      </c>
      <c r="I654" s="378">
        <v>42148</v>
      </c>
      <c r="J654" s="362" t="s">
        <v>7453</v>
      </c>
      <c r="K654" s="362" t="s">
        <v>11401</v>
      </c>
      <c r="L654" s="362" t="s">
        <v>11402</v>
      </c>
    </row>
    <row r="655" spans="1:12">
      <c r="A655" s="363">
        <f>VLOOKUP(B655, 'PubMed 4.14.21 Results'!B:B, 1, FALSE)</f>
        <v>26017126</v>
      </c>
      <c r="B655" s="363">
        <v>26017126</v>
      </c>
      <c r="C655" s="362" t="s">
        <v>11403</v>
      </c>
      <c r="D655" s="362" t="s">
        <v>11404</v>
      </c>
      <c r="E655" s="362" t="s">
        <v>11405</v>
      </c>
      <c r="F655" s="362" t="s">
        <v>7524</v>
      </c>
      <c r="G655" s="362" t="s">
        <v>11406</v>
      </c>
      <c r="H655" s="363">
        <v>2015</v>
      </c>
      <c r="I655" s="378">
        <v>42153</v>
      </c>
      <c r="J655" s="365"/>
      <c r="K655" s="365"/>
      <c r="L655" s="365"/>
    </row>
    <row r="656" spans="1:12">
      <c r="A656" s="363">
        <f>VLOOKUP(B656, 'PubMed 4.14.21 Results'!B:B, 1, FALSE)</f>
        <v>26028608</v>
      </c>
      <c r="B656" s="363">
        <v>26028608</v>
      </c>
      <c r="C656" s="362" t="s">
        <v>11407</v>
      </c>
      <c r="D656" s="362" t="s">
        <v>11408</v>
      </c>
      <c r="E656" s="362" t="s">
        <v>11409</v>
      </c>
      <c r="F656" s="362" t="s">
        <v>6626</v>
      </c>
      <c r="G656" s="362" t="s">
        <v>8857</v>
      </c>
      <c r="H656" s="363">
        <v>2015</v>
      </c>
      <c r="I656" s="378">
        <v>42157</v>
      </c>
      <c r="J656" s="365"/>
      <c r="K656" s="365"/>
      <c r="L656" s="362" t="s">
        <v>11410</v>
      </c>
    </row>
    <row r="657" spans="1:12">
      <c r="A657" s="363">
        <f>VLOOKUP(B657, 'PubMed 4.14.21 Results'!B:B, 1, FALSE)</f>
        <v>26098746</v>
      </c>
      <c r="B657" s="363">
        <v>26098746</v>
      </c>
      <c r="C657" s="362" t="s">
        <v>11411</v>
      </c>
      <c r="D657" s="362" t="s">
        <v>11412</v>
      </c>
      <c r="E657" s="362" t="s">
        <v>11413</v>
      </c>
      <c r="F657" s="362" t="s">
        <v>6681</v>
      </c>
      <c r="G657" s="362" t="s">
        <v>8857</v>
      </c>
      <c r="H657" s="363">
        <v>2015</v>
      </c>
      <c r="I657" s="378">
        <v>42178</v>
      </c>
      <c r="J657" s="434" t="s">
        <v>6682</v>
      </c>
      <c r="K657" s="425"/>
      <c r="L657" s="362" t="s">
        <v>11414</v>
      </c>
    </row>
    <row r="658" spans="1:12">
      <c r="A658" s="363">
        <f>VLOOKUP(B658, 'PubMed 4.14.21 Results'!B:B, 1, FALSE)</f>
        <v>25805741</v>
      </c>
      <c r="B658" s="363">
        <v>25805741</v>
      </c>
      <c r="C658" s="362" t="s">
        <v>11415</v>
      </c>
      <c r="D658" s="362" t="s">
        <v>11416</v>
      </c>
      <c r="E658" s="362" t="s">
        <v>11417</v>
      </c>
      <c r="F658" s="362" t="s">
        <v>6818</v>
      </c>
      <c r="G658" s="362" t="s">
        <v>11418</v>
      </c>
      <c r="H658" s="363">
        <v>2015</v>
      </c>
      <c r="I658" s="378">
        <v>42089</v>
      </c>
      <c r="J658" s="365"/>
      <c r="K658" s="365"/>
      <c r="L658" s="362" t="s">
        <v>11419</v>
      </c>
    </row>
    <row r="659" spans="1:12">
      <c r="A659" s="363">
        <f>VLOOKUP(B659, 'PubMed 4.14.21 Results'!B:B, 1, FALSE)</f>
        <v>26041411</v>
      </c>
      <c r="B659" s="363">
        <v>26041411</v>
      </c>
      <c r="C659" s="362" t="s">
        <v>11420</v>
      </c>
      <c r="D659" s="362" t="s">
        <v>11421</v>
      </c>
      <c r="E659" s="362" t="s">
        <v>11422</v>
      </c>
      <c r="F659" s="362" t="s">
        <v>7103</v>
      </c>
      <c r="G659" s="362" t="s">
        <v>11423</v>
      </c>
      <c r="H659" s="363">
        <v>2015</v>
      </c>
      <c r="I659" s="378">
        <v>42160</v>
      </c>
      <c r="J659" s="365"/>
      <c r="K659" s="365"/>
      <c r="L659" s="362" t="s">
        <v>11424</v>
      </c>
    </row>
    <row r="660" spans="1:12">
      <c r="A660" s="363">
        <f>VLOOKUP(B660, 'PubMed 4.14.21 Results'!B:B, 1, FALSE)</f>
        <v>26068490</v>
      </c>
      <c r="B660" s="363">
        <v>26068490</v>
      </c>
      <c r="C660" s="362" t="s">
        <v>11425</v>
      </c>
      <c r="D660" s="362" t="s">
        <v>11426</v>
      </c>
      <c r="E660" s="362" t="s">
        <v>11427</v>
      </c>
      <c r="F660" s="362" t="s">
        <v>6939</v>
      </c>
      <c r="G660" s="362" t="s">
        <v>11428</v>
      </c>
      <c r="H660" s="363">
        <v>2015</v>
      </c>
      <c r="I660" s="378">
        <v>42168</v>
      </c>
      <c r="J660" s="365"/>
      <c r="K660" s="365"/>
      <c r="L660" s="362" t="s">
        <v>11429</v>
      </c>
    </row>
    <row r="661" spans="1:12">
      <c r="A661" s="363">
        <f>VLOOKUP(B661, 'PubMed 4.14.21 Results'!B:B, 1, FALSE)</f>
        <v>26100123</v>
      </c>
      <c r="B661" s="363">
        <v>26100123</v>
      </c>
      <c r="C661" s="362" t="s">
        <v>11430</v>
      </c>
      <c r="D661" s="362" t="s">
        <v>11431</v>
      </c>
      <c r="E661" s="362" t="s">
        <v>11432</v>
      </c>
      <c r="F661" s="362" t="s">
        <v>8010</v>
      </c>
      <c r="G661" s="362" t="s">
        <v>8617</v>
      </c>
      <c r="H661" s="363">
        <v>2015</v>
      </c>
      <c r="I661" s="378">
        <v>42179</v>
      </c>
      <c r="J661" s="434" t="s">
        <v>8011</v>
      </c>
      <c r="K661" s="425"/>
      <c r="L661" s="362" t="s">
        <v>11433</v>
      </c>
    </row>
    <row r="662" spans="1:12">
      <c r="A662" s="363">
        <f>VLOOKUP(B662, 'PubMed 4.14.21 Results'!B:B, 1, FALSE)</f>
        <v>26252534</v>
      </c>
      <c r="B662" s="363">
        <v>26252534</v>
      </c>
      <c r="C662" s="362" t="s">
        <v>11434</v>
      </c>
      <c r="D662" s="362" t="s">
        <v>11435</v>
      </c>
      <c r="E662" s="362" t="s">
        <v>11436</v>
      </c>
      <c r="F662" s="362" t="s">
        <v>4006</v>
      </c>
      <c r="G662" s="362" t="s">
        <v>11437</v>
      </c>
      <c r="H662" s="363">
        <v>2015</v>
      </c>
      <c r="I662" s="378">
        <v>42224</v>
      </c>
      <c r="J662" s="434" t="s">
        <v>6565</v>
      </c>
      <c r="K662" s="425"/>
      <c r="L662" s="362" t="s">
        <v>11438</v>
      </c>
    </row>
    <row r="663" spans="1:12">
      <c r="A663" s="363">
        <f>VLOOKUP(B663, 'PubMed 4.14.21 Results'!B:B, 1, FALSE)</f>
        <v>26168834</v>
      </c>
      <c r="B663" s="363">
        <v>26168834</v>
      </c>
      <c r="C663" s="362" t="s">
        <v>11439</v>
      </c>
      <c r="D663" s="362" t="s">
        <v>11440</v>
      </c>
      <c r="E663" s="362" t="s">
        <v>11441</v>
      </c>
      <c r="F663" s="362" t="s">
        <v>8092</v>
      </c>
      <c r="G663" s="362" t="s">
        <v>11442</v>
      </c>
      <c r="H663" s="363">
        <v>2015</v>
      </c>
      <c r="I663" s="378">
        <v>42200</v>
      </c>
      <c r="J663" s="434" t="s">
        <v>8093</v>
      </c>
      <c r="K663" s="425"/>
      <c r="L663" s="362" t="s">
        <v>11443</v>
      </c>
    </row>
    <row r="664" spans="1:12">
      <c r="A664" s="363">
        <f>VLOOKUP(B664, 'PubMed 4.14.21 Results'!B:B, 1, FALSE)</f>
        <v>25855760</v>
      </c>
      <c r="B664" s="363">
        <v>25855760</v>
      </c>
      <c r="C664" s="362" t="s">
        <v>11444</v>
      </c>
      <c r="D664" s="362" t="s">
        <v>11445</v>
      </c>
      <c r="E664" s="362" t="s">
        <v>11446</v>
      </c>
      <c r="F664" s="362" t="s">
        <v>6713</v>
      </c>
      <c r="G664" s="362" t="s">
        <v>11447</v>
      </c>
      <c r="H664" s="363">
        <v>2015</v>
      </c>
      <c r="I664" s="378">
        <v>42104</v>
      </c>
      <c r="J664" s="365"/>
      <c r="K664" s="365"/>
      <c r="L664" s="362" t="s">
        <v>11448</v>
      </c>
    </row>
    <row r="665" spans="1:12">
      <c r="A665" s="363">
        <f>VLOOKUP(B665, 'PubMed 4.14.21 Results'!B:B, 1, FALSE)</f>
        <v>26295732</v>
      </c>
      <c r="B665" s="363">
        <v>26295732</v>
      </c>
      <c r="C665" s="362" t="s">
        <v>11449</v>
      </c>
      <c r="D665" s="362" t="s">
        <v>11450</v>
      </c>
      <c r="E665" s="362" t="s">
        <v>11451</v>
      </c>
      <c r="F665" s="362" t="s">
        <v>6824</v>
      </c>
      <c r="G665" s="362" t="s">
        <v>9359</v>
      </c>
      <c r="H665" s="363">
        <v>2015</v>
      </c>
      <c r="I665" s="378">
        <v>42238</v>
      </c>
      <c r="J665" s="434" t="s">
        <v>6825</v>
      </c>
      <c r="K665" s="425"/>
      <c r="L665" s="362" t="s">
        <v>11452</v>
      </c>
    </row>
    <row r="666" spans="1:12">
      <c r="A666" s="363">
        <f>VLOOKUP(B666, 'PubMed 4.14.21 Results'!B:B, 1, FALSE)</f>
        <v>26380384</v>
      </c>
      <c r="B666" s="363">
        <v>26380384</v>
      </c>
      <c r="C666" s="362" t="s">
        <v>11453</v>
      </c>
      <c r="D666" s="362" t="s">
        <v>11454</v>
      </c>
      <c r="E666" s="362" t="s">
        <v>11455</v>
      </c>
      <c r="F666" s="362" t="s">
        <v>6430</v>
      </c>
      <c r="G666" s="362" t="s">
        <v>11456</v>
      </c>
      <c r="H666" s="363">
        <v>2015</v>
      </c>
      <c r="I666" s="378">
        <v>42265</v>
      </c>
      <c r="J666" s="365"/>
      <c r="K666" s="365"/>
      <c r="L666" s="362" t="s">
        <v>11457</v>
      </c>
    </row>
    <row r="667" spans="1:12">
      <c r="A667" s="363">
        <f>VLOOKUP(B667, 'PubMed 4.14.21 Results'!B:B, 1, FALSE)</f>
        <v>26263042</v>
      </c>
      <c r="B667" s="363">
        <v>26263042</v>
      </c>
      <c r="C667" s="362" t="s">
        <v>11458</v>
      </c>
      <c r="D667" s="362" t="s">
        <v>11459</v>
      </c>
      <c r="E667" s="362" t="s">
        <v>11460</v>
      </c>
      <c r="F667" s="362" t="s">
        <v>8041</v>
      </c>
      <c r="G667" s="362" t="s">
        <v>8857</v>
      </c>
      <c r="H667" s="363">
        <v>2015</v>
      </c>
      <c r="I667" s="378">
        <v>42228</v>
      </c>
      <c r="J667" s="434" t="s">
        <v>8045</v>
      </c>
      <c r="K667" s="425"/>
      <c r="L667" s="362" t="s">
        <v>11461</v>
      </c>
    </row>
    <row r="668" spans="1:12">
      <c r="A668" s="363">
        <f>VLOOKUP(B668, 'PubMed 4.14.21 Results'!B:B, 1, FALSE)</f>
        <v>26193126</v>
      </c>
      <c r="B668" s="363">
        <v>26193126</v>
      </c>
      <c r="C668" s="362" t="s">
        <v>11462</v>
      </c>
      <c r="D668" s="362" t="s">
        <v>11463</v>
      </c>
      <c r="E668" s="362" t="s">
        <v>11464</v>
      </c>
      <c r="F668" s="362" t="s">
        <v>7920</v>
      </c>
      <c r="G668" s="362" t="s">
        <v>8514</v>
      </c>
      <c r="H668" s="363">
        <v>2015</v>
      </c>
      <c r="I668" s="378">
        <v>42206</v>
      </c>
      <c r="J668" s="365"/>
      <c r="K668" s="365"/>
      <c r="L668" s="362" t="s">
        <v>11465</v>
      </c>
    </row>
    <row r="669" spans="1:12">
      <c r="A669" s="363">
        <f>VLOOKUP(B669, 'PubMed 4.14.21 Results'!B:B, 1, FALSE)</f>
        <v>25970800</v>
      </c>
      <c r="B669" s="363">
        <v>25970800</v>
      </c>
      <c r="C669" s="362" t="s">
        <v>11466</v>
      </c>
      <c r="D669" s="362" t="s">
        <v>11467</v>
      </c>
      <c r="E669" s="362" t="s">
        <v>11468</v>
      </c>
      <c r="F669" s="362" t="s">
        <v>7147</v>
      </c>
      <c r="G669" s="362" t="s">
        <v>11469</v>
      </c>
      <c r="H669" s="363">
        <v>2015</v>
      </c>
      <c r="I669" s="378">
        <v>42138</v>
      </c>
      <c r="J669" s="365"/>
      <c r="K669" s="365"/>
      <c r="L669" s="362" t="s">
        <v>11470</v>
      </c>
    </row>
    <row r="670" spans="1:12">
      <c r="A670" s="363">
        <f>VLOOKUP(B670, 'PubMed 4.14.21 Results'!B:B, 1, FALSE)</f>
        <v>26023999</v>
      </c>
      <c r="B670" s="363">
        <v>26023999</v>
      </c>
      <c r="C670" s="362" t="s">
        <v>11471</v>
      </c>
      <c r="D670" s="362" t="s">
        <v>11472</v>
      </c>
      <c r="E670" s="362" t="s">
        <v>11473</v>
      </c>
      <c r="F670" s="362" t="s">
        <v>7309</v>
      </c>
      <c r="G670" s="362" t="s">
        <v>9648</v>
      </c>
      <c r="H670" s="363">
        <v>2015</v>
      </c>
      <c r="I670" s="378">
        <v>42154</v>
      </c>
      <c r="J670" s="365"/>
      <c r="K670" s="365"/>
      <c r="L670" s="362" t="s">
        <v>11474</v>
      </c>
    </row>
    <row r="671" spans="1:12">
      <c r="A671" s="363">
        <f>VLOOKUP(B671, 'PubMed 4.14.21 Results'!B:B, 1, FALSE)</f>
        <v>26252852</v>
      </c>
      <c r="B671" s="363">
        <v>26252852</v>
      </c>
      <c r="C671" s="362" t="s">
        <v>11475</v>
      </c>
      <c r="D671" s="362" t="s">
        <v>11476</v>
      </c>
      <c r="E671" s="362" t="s">
        <v>11477</v>
      </c>
      <c r="F671" s="362" t="s">
        <v>7314</v>
      </c>
      <c r="G671" s="362" t="s">
        <v>9124</v>
      </c>
      <c r="H671" s="363">
        <v>2015</v>
      </c>
      <c r="I671" s="378">
        <v>42224</v>
      </c>
      <c r="J671" s="365"/>
      <c r="K671" s="365"/>
      <c r="L671" s="362" t="s">
        <v>11478</v>
      </c>
    </row>
    <row r="672" spans="1:12">
      <c r="A672" s="363">
        <f>VLOOKUP(B672, 'PubMed 4.14.21 Results'!B:B, 1, FALSE)</f>
        <v>26384206</v>
      </c>
      <c r="B672" s="363">
        <v>26384206</v>
      </c>
      <c r="C672" s="362" t="s">
        <v>11479</v>
      </c>
      <c r="D672" s="362" t="s">
        <v>11480</v>
      </c>
      <c r="E672" s="362" t="s">
        <v>11481</v>
      </c>
      <c r="F672" s="362" t="s">
        <v>6910</v>
      </c>
      <c r="G672" s="362" t="s">
        <v>11383</v>
      </c>
      <c r="H672" s="363">
        <v>2015</v>
      </c>
      <c r="I672" s="378">
        <v>42266</v>
      </c>
      <c r="J672" s="365"/>
      <c r="K672" s="365"/>
      <c r="L672" s="362" t="s">
        <v>11482</v>
      </c>
    </row>
    <row r="673" spans="1:12">
      <c r="A673" s="363">
        <f>VLOOKUP(B673, 'PubMed 4.14.21 Results'!B:B, 1, FALSE)</f>
        <v>26378046</v>
      </c>
      <c r="B673" s="363">
        <v>26378046</v>
      </c>
      <c r="C673" s="362" t="s">
        <v>11483</v>
      </c>
      <c r="D673" s="362" t="s">
        <v>11484</v>
      </c>
      <c r="E673" s="362" t="s">
        <v>11485</v>
      </c>
      <c r="F673" s="362" t="s">
        <v>8141</v>
      </c>
      <c r="G673" s="362" t="s">
        <v>11486</v>
      </c>
      <c r="H673" s="363">
        <v>2015</v>
      </c>
      <c r="I673" s="378">
        <v>42265</v>
      </c>
      <c r="J673" s="434" t="s">
        <v>8142</v>
      </c>
      <c r="K673" s="425"/>
      <c r="L673" s="362" t="s">
        <v>11487</v>
      </c>
    </row>
    <row r="674" spans="1:12">
      <c r="A674" s="363">
        <f>VLOOKUP(B674, 'PubMed 4.14.21 Results'!B:B, 1, FALSE)</f>
        <v>25917376</v>
      </c>
      <c r="B674" s="363">
        <v>25917376</v>
      </c>
      <c r="C674" s="362" t="s">
        <v>11488</v>
      </c>
      <c r="D674" s="362" t="s">
        <v>11489</v>
      </c>
      <c r="E674" s="362" t="s">
        <v>11490</v>
      </c>
      <c r="F674" s="362" t="s">
        <v>7555</v>
      </c>
      <c r="G674" s="362" t="s">
        <v>11491</v>
      </c>
      <c r="H674" s="363">
        <v>2015</v>
      </c>
      <c r="I674" s="378">
        <v>42123</v>
      </c>
      <c r="J674" s="365"/>
      <c r="K674" s="365"/>
      <c r="L674" s="362" t="s">
        <v>11492</v>
      </c>
    </row>
    <row r="675" spans="1:12">
      <c r="A675" s="363">
        <f>VLOOKUP(B675, 'PubMed 4.14.21 Results'!B:B, 1, FALSE)</f>
        <v>26263297</v>
      </c>
      <c r="B675" s="363">
        <v>26263297</v>
      </c>
      <c r="C675" s="362" t="s">
        <v>11493</v>
      </c>
      <c r="D675" s="362" t="s">
        <v>11494</v>
      </c>
      <c r="E675" s="362" t="s">
        <v>11495</v>
      </c>
      <c r="F675" s="362" t="s">
        <v>6754</v>
      </c>
      <c r="G675" s="362" t="s">
        <v>10927</v>
      </c>
      <c r="H675" s="363">
        <v>2015</v>
      </c>
      <c r="I675" s="378">
        <v>42228</v>
      </c>
      <c r="J675" s="365"/>
      <c r="K675" s="365"/>
      <c r="L675" s="362" t="s">
        <v>11496</v>
      </c>
    </row>
    <row r="676" spans="1:12">
      <c r="A676" s="363">
        <f>VLOOKUP(B676, 'PubMed 4.14.21 Results'!B:B, 1, FALSE)</f>
        <v>26548790</v>
      </c>
      <c r="B676" s="363">
        <v>26548790</v>
      </c>
      <c r="C676" s="362" t="s">
        <v>11497</v>
      </c>
      <c r="D676" s="362" t="s">
        <v>11498</v>
      </c>
      <c r="E676" s="362" t="s">
        <v>11499</v>
      </c>
      <c r="F676" s="362" t="s">
        <v>7898</v>
      </c>
      <c r="G676" s="362" t="s">
        <v>11500</v>
      </c>
      <c r="H676" s="363">
        <v>2015</v>
      </c>
      <c r="I676" s="378">
        <v>42318</v>
      </c>
      <c r="J676" s="362" t="s">
        <v>7899</v>
      </c>
      <c r="K676" s="362" t="s">
        <v>11501</v>
      </c>
      <c r="L676" s="362" t="s">
        <v>11502</v>
      </c>
    </row>
    <row r="677" spans="1:12">
      <c r="A677" s="363">
        <f>VLOOKUP(B677, 'PubMed 4.14.21 Results'!B:B, 1, FALSE)</f>
        <v>26604728</v>
      </c>
      <c r="B677" s="363">
        <v>26604728</v>
      </c>
      <c r="C677" s="362" t="s">
        <v>11503</v>
      </c>
      <c r="D677" s="362" t="s">
        <v>11504</v>
      </c>
      <c r="E677" s="362" t="s">
        <v>11505</v>
      </c>
      <c r="F677" s="362" t="s">
        <v>6474</v>
      </c>
      <c r="G677" s="362" t="s">
        <v>9677</v>
      </c>
      <c r="H677" s="363">
        <v>2015</v>
      </c>
      <c r="I677" s="378">
        <v>42334</v>
      </c>
      <c r="J677" s="434" t="s">
        <v>6475</v>
      </c>
      <c r="K677" s="425"/>
      <c r="L677" s="362" t="s">
        <v>11506</v>
      </c>
    </row>
    <row r="678" spans="1:12">
      <c r="A678" s="363">
        <f>VLOOKUP(B678, 'PubMed 4.14.21 Results'!B:B, 1, FALSE)</f>
        <v>26041587</v>
      </c>
      <c r="B678" s="363">
        <v>26041587</v>
      </c>
      <c r="C678" s="362" t="s">
        <v>11507</v>
      </c>
      <c r="D678" s="362" t="s">
        <v>11508</v>
      </c>
      <c r="E678" s="362" t="s">
        <v>11509</v>
      </c>
      <c r="F678" s="362" t="s">
        <v>7188</v>
      </c>
      <c r="G678" s="362" t="s">
        <v>11510</v>
      </c>
      <c r="H678" s="363">
        <v>2015</v>
      </c>
      <c r="I678" s="378">
        <v>42160</v>
      </c>
      <c r="J678" s="365"/>
      <c r="K678" s="365"/>
      <c r="L678" s="362" t="s">
        <v>11511</v>
      </c>
    </row>
    <row r="679" spans="1:12">
      <c r="A679" s="363">
        <f>VLOOKUP(B679, 'PubMed 4.14.21 Results'!B:B, 1, FALSE)</f>
        <v>26221044</v>
      </c>
      <c r="B679" s="363">
        <v>26221044</v>
      </c>
      <c r="C679" s="362" t="s">
        <v>11512</v>
      </c>
      <c r="D679" s="362" t="s">
        <v>11513</v>
      </c>
      <c r="E679" s="362" t="s">
        <v>11514</v>
      </c>
      <c r="F679" s="362" t="s">
        <v>7731</v>
      </c>
      <c r="G679" s="362" t="s">
        <v>11515</v>
      </c>
      <c r="H679" s="363">
        <v>2015</v>
      </c>
      <c r="I679" s="378">
        <v>42215</v>
      </c>
      <c r="J679" s="365"/>
      <c r="K679" s="365"/>
      <c r="L679" s="362" t="s">
        <v>11516</v>
      </c>
    </row>
    <row r="680" spans="1:12">
      <c r="A680" s="363">
        <f>VLOOKUP(B680, 'PubMed 4.14.21 Results'!B:B, 1, FALSE)</f>
        <v>26353915</v>
      </c>
      <c r="B680" s="363">
        <v>26353915</v>
      </c>
      <c r="C680" s="362" t="s">
        <v>11517</v>
      </c>
      <c r="D680" s="362" t="s">
        <v>10951</v>
      </c>
      <c r="E680" s="362" t="s">
        <v>11518</v>
      </c>
      <c r="F680" s="362" t="s">
        <v>6908</v>
      </c>
      <c r="G680" s="362" t="s">
        <v>9681</v>
      </c>
      <c r="H680" s="363">
        <v>2015</v>
      </c>
      <c r="I680" s="378">
        <v>42258</v>
      </c>
      <c r="J680" s="365"/>
      <c r="K680" s="365"/>
      <c r="L680" s="362" t="s">
        <v>11519</v>
      </c>
    </row>
    <row r="681" spans="1:12">
      <c r="A681" s="363">
        <f>VLOOKUP(B681, 'PubMed 4.14.21 Results'!B:B, 1, FALSE)</f>
        <v>26355086</v>
      </c>
      <c r="B681" s="363">
        <v>26355086</v>
      </c>
      <c r="C681" s="362" t="s">
        <v>11520</v>
      </c>
      <c r="D681" s="362" t="s">
        <v>11521</v>
      </c>
      <c r="E681" s="362" t="s">
        <v>11522</v>
      </c>
      <c r="F681" s="362" t="s">
        <v>8038</v>
      </c>
      <c r="G681" s="362" t="s">
        <v>9821</v>
      </c>
      <c r="H681" s="363">
        <v>2015</v>
      </c>
      <c r="I681" s="378">
        <v>42258</v>
      </c>
      <c r="J681" s="434" t="s">
        <v>8039</v>
      </c>
      <c r="K681" s="425"/>
      <c r="L681" s="362" t="s">
        <v>11523</v>
      </c>
    </row>
    <row r="682" spans="1:12">
      <c r="A682" s="363">
        <f>VLOOKUP(B682, 'PubMed 4.14.21 Results'!B:B, 1, FALSE)</f>
        <v>26490344</v>
      </c>
      <c r="B682" s="363">
        <v>26490344</v>
      </c>
      <c r="C682" s="362" t="s">
        <v>11524</v>
      </c>
      <c r="D682" s="362" t="s">
        <v>11525</v>
      </c>
      <c r="E682" s="362" t="s">
        <v>11526</v>
      </c>
      <c r="F682" s="362" t="s">
        <v>6545</v>
      </c>
      <c r="G682" s="362" t="s">
        <v>11527</v>
      </c>
      <c r="H682" s="363">
        <v>2015</v>
      </c>
      <c r="I682" s="378">
        <v>42300</v>
      </c>
      <c r="J682" s="365"/>
      <c r="K682" s="365"/>
      <c r="L682" s="362" t="s">
        <v>11528</v>
      </c>
    </row>
    <row r="683" spans="1:12">
      <c r="A683" s="363">
        <f>VLOOKUP(B683, 'PubMed 4.14.21 Results'!B:B, 1, FALSE)</f>
        <v>26545294</v>
      </c>
      <c r="B683" s="363">
        <v>26545294</v>
      </c>
      <c r="C683" s="362" t="s">
        <v>11529</v>
      </c>
      <c r="D683" s="362" t="s">
        <v>11530</v>
      </c>
      <c r="E683" s="362" t="s">
        <v>11531</v>
      </c>
      <c r="F683" s="362" t="s">
        <v>7879</v>
      </c>
      <c r="G683" s="362" t="s">
        <v>8857</v>
      </c>
      <c r="H683" s="363">
        <v>2015</v>
      </c>
      <c r="I683" s="378">
        <v>42315</v>
      </c>
      <c r="J683" s="365"/>
      <c r="K683" s="365"/>
      <c r="L683" s="362" t="s">
        <v>11532</v>
      </c>
    </row>
    <row r="684" spans="1:12">
      <c r="A684" s="363">
        <f>VLOOKUP(B684, 'PubMed 4.14.21 Results'!B:B, 1, FALSE)</f>
        <v>26558953</v>
      </c>
      <c r="B684" s="363">
        <v>26558953</v>
      </c>
      <c r="C684" s="362" t="s">
        <v>11533</v>
      </c>
      <c r="D684" s="362" t="s">
        <v>11534</v>
      </c>
      <c r="E684" s="362" t="s">
        <v>11535</v>
      </c>
      <c r="F684" s="362" t="s">
        <v>8106</v>
      </c>
      <c r="G684" s="362" t="s">
        <v>8857</v>
      </c>
      <c r="H684" s="363">
        <v>2015</v>
      </c>
      <c r="I684" s="378">
        <v>42321</v>
      </c>
      <c r="J684" s="434" t="s">
        <v>8107</v>
      </c>
      <c r="K684" s="425"/>
      <c r="L684" s="362" t="s">
        <v>11536</v>
      </c>
    </row>
    <row r="685" spans="1:12">
      <c r="A685" s="363">
        <f>VLOOKUP(B685, 'PubMed 4.14.21 Results'!B:B, 1, FALSE)</f>
        <v>26580997</v>
      </c>
      <c r="B685" s="363">
        <v>26580997</v>
      </c>
      <c r="C685" s="362" t="s">
        <v>11537</v>
      </c>
      <c r="D685" s="362" t="s">
        <v>11538</v>
      </c>
      <c r="E685" s="362" t="s">
        <v>11539</v>
      </c>
      <c r="F685" s="362" t="s">
        <v>358</v>
      </c>
      <c r="G685" s="362" t="s">
        <v>8514</v>
      </c>
      <c r="H685" s="363">
        <v>2015</v>
      </c>
      <c r="I685" s="378">
        <v>42327</v>
      </c>
      <c r="J685" s="365"/>
      <c r="K685" s="365"/>
      <c r="L685" s="362" t="s">
        <v>11540</v>
      </c>
    </row>
    <row r="686" spans="1:12">
      <c r="A686" s="363">
        <f>VLOOKUP(B686, 'PubMed 4.14.21 Results'!B:B, 1, FALSE)</f>
        <v>26597174</v>
      </c>
      <c r="B686" s="363">
        <v>26597174</v>
      </c>
      <c r="C686" s="362" t="s">
        <v>11541</v>
      </c>
      <c r="D686" s="362" t="s">
        <v>11542</v>
      </c>
      <c r="E686" s="362" t="s">
        <v>11543</v>
      </c>
      <c r="F686" s="362" t="s">
        <v>7329</v>
      </c>
      <c r="G686" s="362" t="s">
        <v>11544</v>
      </c>
      <c r="H686" s="363">
        <v>2015</v>
      </c>
      <c r="I686" s="378">
        <v>42333</v>
      </c>
      <c r="J686" s="434" t="s">
        <v>7330</v>
      </c>
      <c r="K686" s="425"/>
      <c r="L686" s="362" t="s">
        <v>11545</v>
      </c>
    </row>
    <row r="687" spans="1:12">
      <c r="A687" s="363">
        <f>VLOOKUP(B687, 'PubMed 4.14.21 Results'!B:B, 1, FALSE)</f>
        <v>26413879</v>
      </c>
      <c r="B687" s="363">
        <v>26413879</v>
      </c>
      <c r="C687" s="362" t="s">
        <v>11546</v>
      </c>
      <c r="D687" s="362" t="s">
        <v>11547</v>
      </c>
      <c r="E687" s="362" t="s">
        <v>11548</v>
      </c>
      <c r="F687" s="362" t="s">
        <v>6895</v>
      </c>
      <c r="G687" s="362" t="s">
        <v>21</v>
      </c>
      <c r="H687" s="363">
        <v>2015</v>
      </c>
      <c r="I687" s="378">
        <v>42276</v>
      </c>
      <c r="J687" s="362" t="s">
        <v>11549</v>
      </c>
      <c r="K687" s="362" t="s">
        <v>11550</v>
      </c>
      <c r="L687" s="362" t="s">
        <v>11551</v>
      </c>
    </row>
    <row r="688" spans="1:12">
      <c r="A688" s="363">
        <f>VLOOKUP(B688, 'PubMed 4.14.21 Results'!B:B, 1, FALSE)</f>
        <v>26606533</v>
      </c>
      <c r="B688" s="363">
        <v>26606533</v>
      </c>
      <c r="C688" s="362" t="s">
        <v>11552</v>
      </c>
      <c r="D688" s="362" t="s">
        <v>11553</v>
      </c>
      <c r="E688" s="362" t="s">
        <v>11554</v>
      </c>
      <c r="F688" s="362" t="s">
        <v>7291</v>
      </c>
      <c r="G688" s="362" t="s">
        <v>8857</v>
      </c>
      <c r="H688" s="363">
        <v>2015</v>
      </c>
      <c r="I688" s="378">
        <v>42334</v>
      </c>
      <c r="J688" s="365"/>
      <c r="K688" s="365"/>
      <c r="L688" s="362" t="s">
        <v>11555</v>
      </c>
    </row>
    <row r="689" spans="1:12">
      <c r="A689" s="363">
        <f>VLOOKUP(B689, 'PubMed 4.14.21 Results'!B:B, 1, FALSE)</f>
        <v>26318715</v>
      </c>
      <c r="B689" s="363">
        <v>26318715</v>
      </c>
      <c r="C689" s="362" t="s">
        <v>11556</v>
      </c>
      <c r="D689" s="362" t="s">
        <v>11557</v>
      </c>
      <c r="E689" s="362" t="s">
        <v>11558</v>
      </c>
      <c r="F689" s="362" t="s">
        <v>6533</v>
      </c>
      <c r="G689" s="362" t="s">
        <v>10976</v>
      </c>
      <c r="H689" s="363">
        <v>2015</v>
      </c>
      <c r="I689" s="378">
        <v>42247</v>
      </c>
      <c r="J689" s="365"/>
      <c r="K689" s="365"/>
      <c r="L689" s="362" t="s">
        <v>11559</v>
      </c>
    </row>
    <row r="690" spans="1:12">
      <c r="A690" s="363">
        <f>VLOOKUP(B690, 'PubMed 4.14.21 Results'!B:B, 1, FALSE)</f>
        <v>26669566</v>
      </c>
      <c r="B690" s="363">
        <v>26669566</v>
      </c>
      <c r="C690" s="362" t="s">
        <v>11560</v>
      </c>
      <c r="D690" s="362" t="s">
        <v>11561</v>
      </c>
      <c r="E690" s="362" t="s">
        <v>11562</v>
      </c>
      <c r="F690" s="362" t="s">
        <v>7868</v>
      </c>
      <c r="G690" s="362" t="s">
        <v>11171</v>
      </c>
      <c r="H690" s="363">
        <v>2015</v>
      </c>
      <c r="I690" s="378">
        <v>42355</v>
      </c>
      <c r="J690" s="434" t="s">
        <v>7869</v>
      </c>
      <c r="K690" s="425"/>
      <c r="L690" s="362" t="s">
        <v>11563</v>
      </c>
    </row>
    <row r="691" spans="1:12">
      <c r="A691" s="363">
        <f>VLOOKUP(B691, 'PubMed 4.14.21 Results'!B:B, 1, FALSE)</f>
        <v>26694748</v>
      </c>
      <c r="B691" s="363">
        <v>26694748</v>
      </c>
      <c r="C691" s="362" t="s">
        <v>11564</v>
      </c>
      <c r="D691" s="362" t="s">
        <v>11565</v>
      </c>
      <c r="E691" s="362" t="s">
        <v>11566</v>
      </c>
      <c r="F691" s="362" t="s">
        <v>6496</v>
      </c>
      <c r="G691" s="362" t="s">
        <v>11567</v>
      </c>
      <c r="H691" s="363">
        <v>2015</v>
      </c>
      <c r="I691" s="378">
        <v>42362</v>
      </c>
      <c r="J691" s="434" t="s">
        <v>6497</v>
      </c>
      <c r="K691" s="425"/>
      <c r="L691" s="362" t="s">
        <v>11568</v>
      </c>
    </row>
    <row r="692" spans="1:12">
      <c r="A692" s="363">
        <f>VLOOKUP(B692, 'PubMed 4.14.21 Results'!B:B, 1, FALSE)</f>
        <v>25894886</v>
      </c>
      <c r="B692" s="363">
        <v>25894886</v>
      </c>
      <c r="C692" s="362" t="s">
        <v>11569</v>
      </c>
      <c r="D692" s="362" t="s">
        <v>11570</v>
      </c>
      <c r="E692" s="362" t="s">
        <v>11571</v>
      </c>
      <c r="F692" s="362" t="s">
        <v>8090</v>
      </c>
      <c r="G692" s="362" t="s">
        <v>9911</v>
      </c>
      <c r="H692" s="363">
        <v>2016</v>
      </c>
      <c r="I692" s="378">
        <v>42115</v>
      </c>
      <c r="J692" s="434" t="s">
        <v>8091</v>
      </c>
      <c r="K692" s="425"/>
      <c r="L692" s="362" t="s">
        <v>11572</v>
      </c>
    </row>
    <row r="693" spans="1:12">
      <c r="A693" s="363">
        <f>VLOOKUP(B693, 'PubMed 4.14.21 Results'!B:B, 1, FALSE)</f>
        <v>26208394</v>
      </c>
      <c r="B693" s="363">
        <v>26208394</v>
      </c>
      <c r="C693" s="362" t="s">
        <v>11573</v>
      </c>
      <c r="D693" s="362" t="s">
        <v>11574</v>
      </c>
      <c r="E693" s="362" t="s">
        <v>11575</v>
      </c>
      <c r="F693" s="362" t="s">
        <v>7248</v>
      </c>
      <c r="G693" s="362" t="s">
        <v>11576</v>
      </c>
      <c r="H693" s="363">
        <v>2016</v>
      </c>
      <c r="I693" s="378">
        <v>42210</v>
      </c>
      <c r="J693" s="434" t="s">
        <v>7249</v>
      </c>
      <c r="K693" s="425"/>
      <c r="L693" s="362" t="s">
        <v>11577</v>
      </c>
    </row>
    <row r="694" spans="1:12">
      <c r="A694" s="363">
        <f>VLOOKUP(B694, 'PubMed 4.14.21 Results'!B:B, 1, FALSE)</f>
        <v>26501852</v>
      </c>
      <c r="B694" s="363">
        <v>26501852</v>
      </c>
      <c r="C694" s="362" t="s">
        <v>11578</v>
      </c>
      <c r="D694" s="362" t="s">
        <v>11579</v>
      </c>
      <c r="E694" s="362" t="s">
        <v>11580</v>
      </c>
      <c r="F694" s="362" t="s">
        <v>8028</v>
      </c>
      <c r="G694" s="362" t="s">
        <v>8597</v>
      </c>
      <c r="H694" s="363">
        <v>2016</v>
      </c>
      <c r="I694" s="378">
        <v>42304</v>
      </c>
      <c r="J694" s="365"/>
      <c r="K694" s="365"/>
      <c r="L694" s="362" t="s">
        <v>11581</v>
      </c>
    </row>
    <row r="695" spans="1:12">
      <c r="A695" s="363">
        <f>VLOOKUP(B695, 'PubMed 4.14.21 Results'!B:B, 1, FALSE)</f>
        <v>26516810</v>
      </c>
      <c r="B695" s="363">
        <v>26516810</v>
      </c>
      <c r="C695" s="362" t="s">
        <v>11582</v>
      </c>
      <c r="D695" s="362" t="s">
        <v>11583</v>
      </c>
      <c r="E695" s="362" t="s">
        <v>11584</v>
      </c>
      <c r="F695" s="362" t="s">
        <v>8006</v>
      </c>
      <c r="G695" s="362" t="s">
        <v>11585</v>
      </c>
      <c r="H695" s="363">
        <v>2016</v>
      </c>
      <c r="I695" s="378">
        <v>42308</v>
      </c>
      <c r="J695" s="362" t="s">
        <v>8007</v>
      </c>
      <c r="K695" s="362" t="s">
        <v>11586</v>
      </c>
      <c r="L695" s="362" t="s">
        <v>11587</v>
      </c>
    </row>
    <row r="696" spans="1:12">
      <c r="A696" s="363">
        <f>VLOOKUP(B696, 'PubMed 4.14.21 Results'!B:B, 1, FALSE)</f>
        <v>26595348</v>
      </c>
      <c r="B696" s="363">
        <v>26595348</v>
      </c>
      <c r="C696" s="362" t="s">
        <v>11588</v>
      </c>
      <c r="D696" s="362" t="s">
        <v>11589</v>
      </c>
      <c r="E696" s="362" t="s">
        <v>11590</v>
      </c>
      <c r="F696" s="362" t="s">
        <v>7847</v>
      </c>
      <c r="G696" s="362" t="s">
        <v>9785</v>
      </c>
      <c r="H696" s="363">
        <v>2016</v>
      </c>
      <c r="I696" s="378">
        <v>42332</v>
      </c>
      <c r="J696" s="365"/>
      <c r="K696" s="365"/>
      <c r="L696" s="362" t="s">
        <v>11591</v>
      </c>
    </row>
    <row r="697" spans="1:12">
      <c r="A697" s="363">
        <f>VLOOKUP(B697, 'PubMed 4.14.21 Results'!B:B, 1, FALSE)</f>
        <v>26642773</v>
      </c>
      <c r="B697" s="363">
        <v>26642773</v>
      </c>
      <c r="C697" s="362" t="s">
        <v>11592</v>
      </c>
      <c r="D697" s="362" t="s">
        <v>11593</v>
      </c>
      <c r="E697" s="362" t="s">
        <v>11594</v>
      </c>
      <c r="F697" s="362" t="s">
        <v>7989</v>
      </c>
      <c r="G697" s="362" t="s">
        <v>11268</v>
      </c>
      <c r="H697" s="363">
        <v>2016</v>
      </c>
      <c r="I697" s="378">
        <v>42347</v>
      </c>
      <c r="J697" s="365"/>
      <c r="K697" s="365"/>
      <c r="L697" s="362" t="s">
        <v>11595</v>
      </c>
    </row>
    <row r="698" spans="1:12">
      <c r="A698" s="363">
        <f>VLOOKUP(B698, 'PubMed 4.14.21 Results'!B:B, 1, FALSE)</f>
        <v>26780742</v>
      </c>
      <c r="B698" s="363">
        <v>26780742</v>
      </c>
      <c r="C698" s="362" t="s">
        <v>11596</v>
      </c>
      <c r="D698" s="362" t="s">
        <v>11597</v>
      </c>
      <c r="E698" s="362" t="s">
        <v>11598</v>
      </c>
      <c r="F698" s="362" t="s">
        <v>6405</v>
      </c>
      <c r="G698" s="362" t="s">
        <v>11599</v>
      </c>
      <c r="H698" s="363">
        <v>2016</v>
      </c>
      <c r="I698" s="378">
        <v>42388</v>
      </c>
      <c r="J698" s="434" t="s">
        <v>6406</v>
      </c>
      <c r="K698" s="425"/>
      <c r="L698" s="362" t="s">
        <v>11600</v>
      </c>
    </row>
    <row r="699" spans="1:12">
      <c r="A699" s="363">
        <f>VLOOKUP(B699, 'PubMed 4.14.21 Results'!B:B, 1, FALSE)</f>
        <v>26809103</v>
      </c>
      <c r="B699" s="363">
        <v>26809103</v>
      </c>
      <c r="C699" s="362" t="s">
        <v>11601</v>
      </c>
      <c r="D699" s="362" t="s">
        <v>11602</v>
      </c>
      <c r="E699" s="362" t="s">
        <v>11603</v>
      </c>
      <c r="F699" s="362" t="s">
        <v>7318</v>
      </c>
      <c r="G699" s="362" t="s">
        <v>9976</v>
      </c>
      <c r="H699" s="363">
        <v>2016</v>
      </c>
      <c r="I699" s="378">
        <v>42395</v>
      </c>
      <c r="J699" s="365"/>
      <c r="K699" s="365"/>
      <c r="L699" s="362" t="s">
        <v>11604</v>
      </c>
    </row>
    <row r="700" spans="1:12">
      <c r="A700" s="363">
        <f>VLOOKUP(B700, 'PubMed 4.14.21 Results'!B:B, 1, FALSE)</f>
        <v>27366182</v>
      </c>
      <c r="B700" s="363">
        <v>27366182</v>
      </c>
      <c r="C700" s="362" t="s">
        <v>11605</v>
      </c>
      <c r="D700" s="362" t="s">
        <v>11606</v>
      </c>
      <c r="E700" s="362" t="s">
        <v>11607</v>
      </c>
      <c r="F700" s="362" t="s">
        <v>7367</v>
      </c>
      <c r="G700" s="362" t="s">
        <v>11608</v>
      </c>
      <c r="H700" s="363">
        <v>2016</v>
      </c>
      <c r="I700" s="378">
        <v>42553</v>
      </c>
      <c r="J700" s="434" t="s">
        <v>7368</v>
      </c>
      <c r="K700" s="425"/>
      <c r="L700" s="362" t="s">
        <v>11609</v>
      </c>
    </row>
    <row r="701" spans="1:12">
      <c r="A701" s="363">
        <f>VLOOKUP(B701, 'PubMed 4.14.21 Results'!B:B, 1, FALSE)</f>
        <v>26544615</v>
      </c>
      <c r="B701" s="363">
        <v>26544615</v>
      </c>
      <c r="C701" s="362" t="s">
        <v>11610</v>
      </c>
      <c r="D701" s="362" t="s">
        <v>11611</v>
      </c>
      <c r="E701" s="362" t="s">
        <v>11612</v>
      </c>
      <c r="F701" s="362" t="s">
        <v>7551</v>
      </c>
      <c r="G701" s="362" t="s">
        <v>8811</v>
      </c>
      <c r="H701" s="363">
        <v>2016</v>
      </c>
      <c r="I701" s="378">
        <v>42315</v>
      </c>
      <c r="J701" s="362" t="s">
        <v>7552</v>
      </c>
      <c r="K701" s="362" t="s">
        <v>11613</v>
      </c>
      <c r="L701" s="362" t="s">
        <v>11614</v>
      </c>
    </row>
    <row r="702" spans="1:12">
      <c r="A702" s="363">
        <f>VLOOKUP(B702, 'PubMed 4.14.21 Results'!B:B, 1, FALSE)</f>
        <v>26772902</v>
      </c>
      <c r="B702" s="363">
        <v>26772902</v>
      </c>
      <c r="C702" s="362" t="s">
        <v>11615</v>
      </c>
      <c r="D702" s="362" t="s">
        <v>11616</v>
      </c>
      <c r="E702" s="362" t="s">
        <v>11617</v>
      </c>
      <c r="F702" s="362" t="s">
        <v>6696</v>
      </c>
      <c r="G702" s="362" t="s">
        <v>8857</v>
      </c>
      <c r="H702" s="363">
        <v>2016</v>
      </c>
      <c r="I702" s="378">
        <v>42386</v>
      </c>
      <c r="J702" s="434" t="s">
        <v>6697</v>
      </c>
      <c r="K702" s="425"/>
      <c r="L702" s="362" t="s">
        <v>11618</v>
      </c>
    </row>
    <row r="703" spans="1:12">
      <c r="A703" s="363">
        <f>VLOOKUP(B703, 'PubMed 4.14.21 Results'!B:B, 1, FALSE)</f>
        <v>25755185</v>
      </c>
      <c r="B703" s="363">
        <v>25755185</v>
      </c>
      <c r="C703" s="362" t="s">
        <v>11619</v>
      </c>
      <c r="D703" s="362" t="s">
        <v>11620</v>
      </c>
      <c r="E703" s="362" t="s">
        <v>11621</v>
      </c>
      <c r="F703" s="362" t="s">
        <v>7434</v>
      </c>
      <c r="G703" s="362" t="s">
        <v>11622</v>
      </c>
      <c r="H703" s="363">
        <v>2016</v>
      </c>
      <c r="I703" s="378">
        <v>42074</v>
      </c>
      <c r="J703" s="365"/>
      <c r="K703" s="365"/>
      <c r="L703" s="362" t="s">
        <v>11623</v>
      </c>
    </row>
    <row r="704" spans="1:12">
      <c r="A704" s="363">
        <f>VLOOKUP(B704, 'PubMed 4.14.21 Results'!B:B, 1, FALSE)</f>
        <v>26511959</v>
      </c>
      <c r="B704" s="363">
        <v>26511959</v>
      </c>
      <c r="C704" s="362" t="s">
        <v>11624</v>
      </c>
      <c r="D704" s="362" t="s">
        <v>11625</v>
      </c>
      <c r="E704" s="362" t="s">
        <v>11626</v>
      </c>
      <c r="F704" s="362" t="s">
        <v>7566</v>
      </c>
      <c r="G704" s="362" t="s">
        <v>10976</v>
      </c>
      <c r="H704" s="363">
        <v>2016</v>
      </c>
      <c r="I704" s="378">
        <v>42307</v>
      </c>
      <c r="J704" s="362" t="s">
        <v>7567</v>
      </c>
      <c r="K704" s="362" t="s">
        <v>11627</v>
      </c>
      <c r="L704" s="362" t="s">
        <v>11628</v>
      </c>
    </row>
    <row r="705" spans="1:12">
      <c r="A705" s="363">
        <f>VLOOKUP(B705, 'PubMed 4.14.21 Results'!B:B, 1, FALSE)</f>
        <v>26813845</v>
      </c>
      <c r="B705" s="363">
        <v>26813845</v>
      </c>
      <c r="C705" s="362" t="s">
        <v>11629</v>
      </c>
      <c r="D705" s="362" t="s">
        <v>11630</v>
      </c>
      <c r="E705" s="362" t="s">
        <v>11631</v>
      </c>
      <c r="F705" s="362" t="s">
        <v>7840</v>
      </c>
      <c r="G705" s="362" t="s">
        <v>10184</v>
      </c>
      <c r="H705" s="363">
        <v>2016</v>
      </c>
      <c r="I705" s="378">
        <v>42397</v>
      </c>
      <c r="J705" s="365"/>
      <c r="K705" s="365"/>
      <c r="L705" s="362" t="s">
        <v>11632</v>
      </c>
    </row>
    <row r="706" spans="1:12">
      <c r="A706" s="363">
        <f>VLOOKUP(B706, 'PubMed 4.14.21 Results'!B:B, 1, FALSE)</f>
        <v>26847922</v>
      </c>
      <c r="B706" s="363">
        <v>26847922</v>
      </c>
      <c r="C706" s="362" t="s">
        <v>11633</v>
      </c>
      <c r="D706" s="362" t="s">
        <v>11634</v>
      </c>
      <c r="E706" s="362" t="s">
        <v>11635</v>
      </c>
      <c r="F706" s="362" t="s">
        <v>6855</v>
      </c>
      <c r="G706" s="362" t="s">
        <v>11636</v>
      </c>
      <c r="H706" s="363">
        <v>2016</v>
      </c>
      <c r="I706" s="378">
        <v>42406</v>
      </c>
      <c r="J706" s="434" t="s">
        <v>6856</v>
      </c>
      <c r="K706" s="425"/>
      <c r="L706" s="362" t="s">
        <v>11637</v>
      </c>
    </row>
    <row r="707" spans="1:12">
      <c r="A707" s="363">
        <f>VLOOKUP(B707, 'PubMed 4.14.21 Results'!B:B, 1, FALSE)</f>
        <v>26886513</v>
      </c>
      <c r="B707" s="363">
        <v>26886513</v>
      </c>
      <c r="C707" s="362" t="s">
        <v>11638</v>
      </c>
      <c r="D707" s="362" t="s">
        <v>11639</v>
      </c>
      <c r="E707" s="362" t="s">
        <v>11640</v>
      </c>
      <c r="F707" s="362" t="s">
        <v>6489</v>
      </c>
      <c r="G707" s="362" t="s">
        <v>11097</v>
      </c>
      <c r="H707" s="363">
        <v>2016</v>
      </c>
      <c r="I707" s="378">
        <v>42418</v>
      </c>
      <c r="J707" s="434" t="s">
        <v>6490</v>
      </c>
      <c r="K707" s="425"/>
      <c r="L707" s="362" t="s">
        <v>11641</v>
      </c>
    </row>
    <row r="708" spans="1:12">
      <c r="A708" s="363">
        <f>VLOOKUP(B708, 'PubMed 4.14.21 Results'!B:B, 1, FALSE)</f>
        <v>26888178</v>
      </c>
      <c r="B708" s="363">
        <v>26888178</v>
      </c>
      <c r="C708" s="362" t="s">
        <v>11642</v>
      </c>
      <c r="D708" s="362" t="s">
        <v>11643</v>
      </c>
      <c r="E708" s="362" t="s">
        <v>11644</v>
      </c>
      <c r="F708" s="362" t="s">
        <v>7192</v>
      </c>
      <c r="G708" s="362" t="s">
        <v>11645</v>
      </c>
      <c r="H708" s="363">
        <v>2016</v>
      </c>
      <c r="I708" s="378">
        <v>42419</v>
      </c>
      <c r="J708" s="434" t="s">
        <v>7193</v>
      </c>
      <c r="K708" s="425"/>
      <c r="L708" s="362" t="s">
        <v>11646</v>
      </c>
    </row>
    <row r="709" spans="1:12">
      <c r="A709" s="363">
        <f>VLOOKUP(B709, 'PubMed 4.14.21 Results'!B:B, 1, FALSE)</f>
        <v>26916697</v>
      </c>
      <c r="B709" s="363">
        <v>26916697</v>
      </c>
      <c r="C709" s="362" t="s">
        <v>11647</v>
      </c>
      <c r="D709" s="362" t="s">
        <v>11648</v>
      </c>
      <c r="E709" s="362" t="s">
        <v>11649</v>
      </c>
      <c r="F709" s="362" t="s">
        <v>7516</v>
      </c>
      <c r="G709" s="362" t="s">
        <v>11650</v>
      </c>
      <c r="H709" s="363">
        <v>2016</v>
      </c>
      <c r="I709" s="378">
        <v>42427</v>
      </c>
      <c r="J709" s="434" t="s">
        <v>7517</v>
      </c>
      <c r="K709" s="425"/>
      <c r="L709" s="362" t="s">
        <v>11651</v>
      </c>
    </row>
    <row r="710" spans="1:12">
      <c r="A710" s="363">
        <f>VLOOKUP(B710, 'PubMed 4.14.21 Results'!B:B, 1, FALSE)</f>
        <v>26565008</v>
      </c>
      <c r="B710" s="363">
        <v>26565008</v>
      </c>
      <c r="C710" s="362" t="s">
        <v>11652</v>
      </c>
      <c r="D710" s="362" t="s">
        <v>11653</v>
      </c>
      <c r="E710" s="362" t="s">
        <v>11654</v>
      </c>
      <c r="F710" s="362" t="s">
        <v>7568</v>
      </c>
      <c r="G710" s="362" t="s">
        <v>9152</v>
      </c>
      <c r="H710" s="363">
        <v>2016</v>
      </c>
      <c r="I710" s="378">
        <v>42322</v>
      </c>
      <c r="J710" s="365"/>
      <c r="K710" s="365"/>
      <c r="L710" s="362" t="s">
        <v>11655</v>
      </c>
    </row>
    <row r="711" spans="1:12">
      <c r="A711" s="363">
        <f>VLOOKUP(B711, 'PubMed 4.14.21 Results'!B:B, 1, FALSE)</f>
        <v>26687281</v>
      </c>
      <c r="B711" s="363">
        <v>26687281</v>
      </c>
      <c r="C711" s="362" t="s">
        <v>11656</v>
      </c>
      <c r="D711" s="362" t="s">
        <v>11657</v>
      </c>
      <c r="E711" s="362" t="s">
        <v>11658</v>
      </c>
      <c r="F711" s="362" t="s">
        <v>7295</v>
      </c>
      <c r="G711" s="362" t="s">
        <v>11659</v>
      </c>
      <c r="H711" s="363">
        <v>2016</v>
      </c>
      <c r="I711" s="378">
        <v>42360</v>
      </c>
      <c r="J711" s="365"/>
      <c r="K711" s="365"/>
      <c r="L711" s="362" t="s">
        <v>11660</v>
      </c>
    </row>
    <row r="712" spans="1:12">
      <c r="A712" s="363">
        <f>VLOOKUP(B712, 'PubMed 4.14.21 Results'!B:B, 1, FALSE)</f>
        <v>27077121</v>
      </c>
      <c r="B712" s="363">
        <v>27077121</v>
      </c>
      <c r="C712" s="362" t="s">
        <v>11661</v>
      </c>
      <c r="D712" s="362" t="s">
        <v>11662</v>
      </c>
      <c r="E712" s="362" t="s">
        <v>11663</v>
      </c>
      <c r="F712" s="362" t="s">
        <v>8078</v>
      </c>
      <c r="G712" s="362" t="s">
        <v>11664</v>
      </c>
      <c r="H712" s="363">
        <v>2016</v>
      </c>
      <c r="I712" s="378">
        <v>42475</v>
      </c>
      <c r="J712" s="434" t="s">
        <v>8079</v>
      </c>
      <c r="K712" s="425"/>
      <c r="L712" s="362" t="s">
        <v>11665</v>
      </c>
    </row>
    <row r="713" spans="1:12">
      <c r="A713" s="363">
        <f>VLOOKUP(B713, 'PubMed 4.14.21 Results'!B:B, 1, FALSE)</f>
        <v>26966058</v>
      </c>
      <c r="B713" s="363">
        <v>26966058</v>
      </c>
      <c r="C713" s="362" t="s">
        <v>11666</v>
      </c>
      <c r="D713" s="362" t="s">
        <v>11667</v>
      </c>
      <c r="E713" s="362" t="s">
        <v>11668</v>
      </c>
      <c r="F713" s="362" t="s">
        <v>7948</v>
      </c>
      <c r="G713" s="362" t="s">
        <v>11650</v>
      </c>
      <c r="H713" s="363">
        <v>2016</v>
      </c>
      <c r="I713" s="378">
        <v>42441</v>
      </c>
      <c r="J713" s="434" t="s">
        <v>7949</v>
      </c>
      <c r="K713" s="425"/>
      <c r="L713" s="362" t="s">
        <v>11669</v>
      </c>
    </row>
    <row r="714" spans="1:12">
      <c r="A714" s="363">
        <f>VLOOKUP(B714, 'PubMed 4.14.21 Results'!B:B, 1, FALSE)</f>
        <v>26811108</v>
      </c>
      <c r="B714" s="363">
        <v>26811108</v>
      </c>
      <c r="C714" s="362" t="s">
        <v>11670</v>
      </c>
      <c r="D714" s="362" t="s">
        <v>11671</v>
      </c>
      <c r="E714" s="362" t="s">
        <v>11672</v>
      </c>
      <c r="F714" s="362" t="s">
        <v>7934</v>
      </c>
      <c r="G714" s="362" t="s">
        <v>11673</v>
      </c>
      <c r="H714" s="363">
        <v>2016</v>
      </c>
      <c r="I714" s="378">
        <v>42396</v>
      </c>
      <c r="J714" s="365"/>
      <c r="K714" s="365"/>
      <c r="L714" s="362" t="s">
        <v>11674</v>
      </c>
    </row>
    <row r="715" spans="1:12">
      <c r="A715" s="363">
        <f>VLOOKUP(B715, 'PubMed 4.14.21 Results'!B:B, 1, FALSE)</f>
        <v>27114849</v>
      </c>
      <c r="B715" s="363">
        <v>27114849</v>
      </c>
      <c r="C715" s="362" t="s">
        <v>11675</v>
      </c>
      <c r="D715" s="362" t="s">
        <v>11676</v>
      </c>
      <c r="E715" s="362" t="s">
        <v>11677</v>
      </c>
      <c r="F715" s="362" t="s">
        <v>7623</v>
      </c>
      <c r="G715" s="362" t="s">
        <v>11678</v>
      </c>
      <c r="H715" s="363">
        <v>2016</v>
      </c>
      <c r="I715" s="378">
        <v>42487</v>
      </c>
      <c r="J715" s="434" t="s">
        <v>7624</v>
      </c>
      <c r="K715" s="425"/>
      <c r="L715" s="362" t="s">
        <v>11679</v>
      </c>
    </row>
    <row r="716" spans="1:12">
      <c r="A716" s="363">
        <f>VLOOKUP(B716, 'PubMed 4.14.21 Results'!B:B, 1, FALSE)</f>
        <v>27028914</v>
      </c>
      <c r="B716" s="363">
        <v>27028914</v>
      </c>
      <c r="C716" s="362" t="s">
        <v>11680</v>
      </c>
      <c r="D716" s="362" t="s">
        <v>11681</v>
      </c>
      <c r="E716" s="362" t="s">
        <v>11682</v>
      </c>
      <c r="F716" s="362" t="s">
        <v>6926</v>
      </c>
      <c r="G716" s="362" t="s">
        <v>8514</v>
      </c>
      <c r="H716" s="363">
        <v>2016</v>
      </c>
      <c r="I716" s="378">
        <v>42460</v>
      </c>
      <c r="J716" s="365"/>
      <c r="K716" s="365"/>
      <c r="L716" s="362" t="s">
        <v>11683</v>
      </c>
    </row>
    <row r="717" spans="1:12">
      <c r="A717" s="363">
        <f>VLOOKUP(B717, 'PubMed 4.14.21 Results'!B:B, 1, FALSE)</f>
        <v>26350571</v>
      </c>
      <c r="B717" s="363">
        <v>26350571</v>
      </c>
      <c r="C717" s="362" t="s">
        <v>11684</v>
      </c>
      <c r="D717" s="362" t="s">
        <v>11685</v>
      </c>
      <c r="E717" s="362" t="s">
        <v>11686</v>
      </c>
      <c r="F717" s="362" t="s">
        <v>7135</v>
      </c>
      <c r="G717" s="362" t="s">
        <v>10970</v>
      </c>
      <c r="H717" s="363">
        <v>2016</v>
      </c>
      <c r="I717" s="378">
        <v>42257</v>
      </c>
      <c r="J717" s="362" t="s">
        <v>7136</v>
      </c>
      <c r="K717" s="362" t="s">
        <v>11687</v>
      </c>
      <c r="L717" s="362" t="s">
        <v>11688</v>
      </c>
    </row>
    <row r="718" spans="1:12">
      <c r="A718" s="363">
        <f>VLOOKUP(B718, 'PubMed 4.14.21 Results'!B:B, 1, FALSE)</f>
        <v>26675837</v>
      </c>
      <c r="B718" s="363">
        <v>26675837</v>
      </c>
      <c r="C718" s="362" t="s">
        <v>11689</v>
      </c>
      <c r="D718" s="362" t="s">
        <v>11690</v>
      </c>
      <c r="E718" s="362" t="s">
        <v>11691</v>
      </c>
      <c r="F718" s="362" t="s">
        <v>7923</v>
      </c>
      <c r="G718" s="362" t="s">
        <v>9751</v>
      </c>
      <c r="H718" s="363">
        <v>2016</v>
      </c>
      <c r="I718" s="378">
        <v>42356</v>
      </c>
      <c r="J718" s="365"/>
      <c r="K718" s="365"/>
      <c r="L718" s="365"/>
    </row>
    <row r="719" spans="1:12">
      <c r="A719" s="363">
        <f>VLOOKUP(B719, 'PubMed 4.14.21 Results'!B:B, 1, FALSE)</f>
        <v>26718001</v>
      </c>
      <c r="B719" s="363">
        <v>26718001</v>
      </c>
      <c r="C719" s="362" t="s">
        <v>11692</v>
      </c>
      <c r="D719" s="362" t="s">
        <v>11693</v>
      </c>
      <c r="E719" s="362" t="s">
        <v>11694</v>
      </c>
      <c r="F719" s="362" t="s">
        <v>8099</v>
      </c>
      <c r="G719" s="362" t="s">
        <v>11695</v>
      </c>
      <c r="H719" s="363">
        <v>2016</v>
      </c>
      <c r="I719" s="378">
        <v>42370</v>
      </c>
      <c r="J719" s="365"/>
      <c r="K719" s="365"/>
      <c r="L719" s="362" t="s">
        <v>11696</v>
      </c>
    </row>
    <row r="720" spans="1:12">
      <c r="A720" s="363">
        <f>VLOOKUP(B720, 'PubMed 4.14.21 Results'!B:B, 1, FALSE)</f>
        <v>26787721</v>
      </c>
      <c r="B720" s="363">
        <v>26787721</v>
      </c>
      <c r="C720" s="362" t="s">
        <v>11697</v>
      </c>
      <c r="D720" s="362" t="s">
        <v>11698</v>
      </c>
      <c r="E720" s="362" t="s">
        <v>11699</v>
      </c>
      <c r="F720" s="362" t="s">
        <v>7478</v>
      </c>
      <c r="G720" s="362" t="s">
        <v>11700</v>
      </c>
      <c r="H720" s="363">
        <v>2016</v>
      </c>
      <c r="I720" s="378">
        <v>42390</v>
      </c>
      <c r="J720" s="434" t="s">
        <v>7479</v>
      </c>
      <c r="K720" s="425"/>
      <c r="L720" s="362" t="s">
        <v>11701</v>
      </c>
    </row>
    <row r="721" spans="1:12">
      <c r="A721" s="363">
        <f>VLOOKUP(B721, 'PubMed 4.14.21 Results'!B:B, 1, FALSE)</f>
        <v>26862016</v>
      </c>
      <c r="B721" s="363">
        <v>26862016</v>
      </c>
      <c r="C721" s="362" t="s">
        <v>11702</v>
      </c>
      <c r="D721" s="362" t="s">
        <v>11703</v>
      </c>
      <c r="E721" s="362" t="s">
        <v>11704</v>
      </c>
      <c r="F721" s="362" t="s">
        <v>6421</v>
      </c>
      <c r="G721" s="362" t="s">
        <v>8617</v>
      </c>
      <c r="H721" s="363">
        <v>2016</v>
      </c>
      <c r="I721" s="378">
        <v>42411</v>
      </c>
      <c r="J721" s="434" t="s">
        <v>6422</v>
      </c>
      <c r="K721" s="425"/>
      <c r="L721" s="362" t="s">
        <v>11705</v>
      </c>
    </row>
    <row r="722" spans="1:12">
      <c r="A722" s="363">
        <f>VLOOKUP(B722, 'PubMed 4.14.21 Results'!B:B, 1, FALSE)</f>
        <v>26865723</v>
      </c>
      <c r="B722" s="363">
        <v>26865723</v>
      </c>
      <c r="C722" s="362" t="s">
        <v>11706</v>
      </c>
      <c r="D722" s="362" t="s">
        <v>11707</v>
      </c>
      <c r="E722" s="362" t="s">
        <v>11708</v>
      </c>
      <c r="F722" s="362" t="s">
        <v>7911</v>
      </c>
      <c r="G722" s="362" t="s">
        <v>9821</v>
      </c>
      <c r="H722" s="363">
        <v>2016</v>
      </c>
      <c r="I722" s="378">
        <v>42412</v>
      </c>
      <c r="J722" s="434" t="s">
        <v>7912</v>
      </c>
      <c r="K722" s="425"/>
      <c r="L722" s="362" t="s">
        <v>11709</v>
      </c>
    </row>
    <row r="723" spans="1:12">
      <c r="A723" s="363">
        <f>VLOOKUP(B723, 'PubMed 4.14.21 Results'!B:B, 1, FALSE)</f>
        <v>26837471</v>
      </c>
      <c r="B723" s="363">
        <v>26837471</v>
      </c>
      <c r="C723" s="362" t="s">
        <v>11710</v>
      </c>
      <c r="D723" s="362" t="s">
        <v>11711</v>
      </c>
      <c r="E723" s="362" t="s">
        <v>11712</v>
      </c>
      <c r="F723" s="362" t="s">
        <v>8133</v>
      </c>
      <c r="G723" s="362" t="s">
        <v>11713</v>
      </c>
      <c r="H723" s="363">
        <v>2016</v>
      </c>
      <c r="I723" s="378">
        <v>42404</v>
      </c>
      <c r="J723" s="434" t="s">
        <v>8134</v>
      </c>
      <c r="K723" s="425"/>
      <c r="L723" s="362" t="s">
        <v>11714</v>
      </c>
    </row>
    <row r="724" spans="1:12">
      <c r="A724" s="363">
        <f>VLOOKUP(B724, 'PubMed 4.14.21 Results'!B:B, 1, FALSE)</f>
        <v>27115264</v>
      </c>
      <c r="B724" s="363">
        <v>27115264</v>
      </c>
      <c r="C724" s="362" t="s">
        <v>11715</v>
      </c>
      <c r="D724" s="362" t="s">
        <v>11716</v>
      </c>
      <c r="E724" s="362" t="s">
        <v>11717</v>
      </c>
      <c r="F724" s="362" t="s">
        <v>8086</v>
      </c>
      <c r="G724" s="362" t="s">
        <v>8580</v>
      </c>
      <c r="H724" s="363">
        <v>2016</v>
      </c>
      <c r="I724" s="378">
        <v>42487</v>
      </c>
      <c r="J724" s="365"/>
      <c r="K724" s="365"/>
      <c r="L724" s="362" t="s">
        <v>11718</v>
      </c>
    </row>
    <row r="725" spans="1:12">
      <c r="A725" s="363">
        <f>VLOOKUP(B725, 'PubMed 4.14.21 Results'!B:B, 1, FALSE)</f>
        <v>27074283</v>
      </c>
      <c r="B725" s="363">
        <v>27074283</v>
      </c>
      <c r="C725" s="362" t="s">
        <v>11719</v>
      </c>
      <c r="D725" s="362" t="s">
        <v>11720</v>
      </c>
      <c r="E725" s="362" t="s">
        <v>11721</v>
      </c>
      <c r="F725" s="362" t="s">
        <v>6849</v>
      </c>
      <c r="G725" s="362" t="s">
        <v>8857</v>
      </c>
      <c r="H725" s="363">
        <v>2016</v>
      </c>
      <c r="I725" s="378">
        <v>42474</v>
      </c>
      <c r="J725" s="434" t="s">
        <v>6850</v>
      </c>
      <c r="K725" s="425"/>
      <c r="L725" s="362" t="s">
        <v>11722</v>
      </c>
    </row>
    <row r="726" spans="1:12">
      <c r="A726" s="363">
        <f>VLOOKUP(B726, 'PubMed 4.14.21 Results'!B:B, 1, FALSE)</f>
        <v>27347292</v>
      </c>
      <c r="B726" s="363">
        <v>27347292</v>
      </c>
      <c r="C726" s="362" t="s">
        <v>11723</v>
      </c>
      <c r="D726" s="362" t="s">
        <v>11724</v>
      </c>
      <c r="E726" s="362" t="s">
        <v>11725</v>
      </c>
      <c r="F726" s="362" t="s">
        <v>7472</v>
      </c>
      <c r="G726" s="362" t="s">
        <v>11726</v>
      </c>
      <c r="H726" s="363">
        <v>2016</v>
      </c>
      <c r="I726" s="378">
        <v>42549</v>
      </c>
      <c r="J726" s="434" t="s">
        <v>7473</v>
      </c>
      <c r="K726" s="425"/>
      <c r="L726" s="362" t="s">
        <v>11727</v>
      </c>
    </row>
    <row r="727" spans="1:12">
      <c r="A727" s="363">
        <f>VLOOKUP(B727, 'PubMed 4.14.21 Results'!B:B, 1, FALSE)</f>
        <v>27885969</v>
      </c>
      <c r="B727" s="363">
        <v>27885969</v>
      </c>
      <c r="C727" s="362" t="s">
        <v>11728</v>
      </c>
      <c r="D727" s="362" t="s">
        <v>11729</v>
      </c>
      <c r="E727" s="362" t="s">
        <v>11730</v>
      </c>
      <c r="F727" s="362" t="s">
        <v>6493</v>
      </c>
      <c r="G727" s="362" t="s">
        <v>11166</v>
      </c>
      <c r="H727" s="363">
        <v>2016</v>
      </c>
      <c r="I727" s="378">
        <v>42700</v>
      </c>
      <c r="J727" s="434" t="s">
        <v>6494</v>
      </c>
      <c r="K727" s="425"/>
      <c r="L727" s="362" t="s">
        <v>11731</v>
      </c>
    </row>
    <row r="728" spans="1:12">
      <c r="A728" s="363">
        <f>VLOOKUP(B728, 'PubMed 4.14.21 Results'!B:B, 1, FALSE)</f>
        <v>27120555</v>
      </c>
      <c r="B728" s="363">
        <v>27120555</v>
      </c>
      <c r="C728" s="362" t="s">
        <v>11732</v>
      </c>
      <c r="D728" s="362" t="s">
        <v>11733</v>
      </c>
      <c r="E728" s="362" t="s">
        <v>11734</v>
      </c>
      <c r="F728" s="362" t="s">
        <v>7383</v>
      </c>
      <c r="G728" s="362" t="s">
        <v>8857</v>
      </c>
      <c r="H728" s="363">
        <v>2016</v>
      </c>
      <c r="I728" s="378">
        <v>42488</v>
      </c>
      <c r="J728" s="365"/>
      <c r="K728" s="365"/>
      <c r="L728" s="362" t="s">
        <v>11735</v>
      </c>
    </row>
    <row r="729" spans="1:12">
      <c r="A729" s="363">
        <f>VLOOKUP(B729, 'PubMed 4.14.21 Results'!B:B, 1, FALSE)</f>
        <v>27121755</v>
      </c>
      <c r="B729" s="363">
        <v>27121755</v>
      </c>
      <c r="C729" s="362" t="s">
        <v>9548</v>
      </c>
      <c r="D729" s="362" t="s">
        <v>11736</v>
      </c>
      <c r="E729" s="362" t="s">
        <v>11737</v>
      </c>
      <c r="F729" s="362" t="s">
        <v>7634</v>
      </c>
      <c r="G729" s="362" t="s">
        <v>8857</v>
      </c>
      <c r="H729" s="363">
        <v>2016</v>
      </c>
      <c r="I729" s="378">
        <v>42489</v>
      </c>
      <c r="J729" s="434" t="s">
        <v>7635</v>
      </c>
      <c r="K729" s="425"/>
      <c r="L729" s="362" t="s">
        <v>11738</v>
      </c>
    </row>
    <row r="730" spans="1:12">
      <c r="A730" s="363">
        <f>VLOOKUP(B730, 'PubMed 4.14.21 Results'!B:B, 1, FALSE)</f>
        <v>26857244</v>
      </c>
      <c r="B730" s="363">
        <v>26857244</v>
      </c>
      <c r="C730" s="362" t="s">
        <v>11739</v>
      </c>
      <c r="D730" s="362" t="s">
        <v>11740</v>
      </c>
      <c r="E730" s="362" t="s">
        <v>11741</v>
      </c>
      <c r="F730" s="362" t="s">
        <v>7694</v>
      </c>
      <c r="G730" s="362" t="s">
        <v>8762</v>
      </c>
      <c r="H730" s="363">
        <v>2016</v>
      </c>
      <c r="I730" s="378">
        <v>42410</v>
      </c>
      <c r="J730" s="365"/>
      <c r="K730" s="365"/>
      <c r="L730" s="362" t="s">
        <v>11742</v>
      </c>
    </row>
    <row r="731" spans="1:12">
      <c r="A731" s="363">
        <f>VLOOKUP(B731, 'PubMed 4.14.21 Results'!B:B, 1, FALSE)</f>
        <v>26860641</v>
      </c>
      <c r="B731" s="363">
        <v>26860641</v>
      </c>
      <c r="C731" s="362" t="s">
        <v>11743</v>
      </c>
      <c r="D731" s="362" t="s">
        <v>11744</v>
      </c>
      <c r="E731" s="362" t="s">
        <v>11745</v>
      </c>
      <c r="F731" s="362" t="s">
        <v>7838</v>
      </c>
      <c r="G731" s="362" t="s">
        <v>10511</v>
      </c>
      <c r="H731" s="363">
        <v>2016</v>
      </c>
      <c r="I731" s="378">
        <v>42411</v>
      </c>
      <c r="J731" s="365"/>
      <c r="K731" s="365"/>
      <c r="L731" s="362" t="s">
        <v>11746</v>
      </c>
    </row>
    <row r="732" spans="1:12">
      <c r="A732" s="363">
        <f>VLOOKUP(B732, 'PubMed 4.14.21 Results'!B:B, 1, FALSE)</f>
        <v>27163222</v>
      </c>
      <c r="B732" s="363">
        <v>27163222</v>
      </c>
      <c r="C732" s="362" t="s">
        <v>11747</v>
      </c>
      <c r="D732" s="362" t="s">
        <v>11748</v>
      </c>
      <c r="E732" s="362" t="s">
        <v>11749</v>
      </c>
      <c r="F732" s="362" t="s">
        <v>7675</v>
      </c>
      <c r="G732" s="362" t="s">
        <v>11750</v>
      </c>
      <c r="H732" s="363">
        <v>2016</v>
      </c>
      <c r="I732" s="378">
        <v>42501</v>
      </c>
      <c r="J732" s="362" t="s">
        <v>7676</v>
      </c>
      <c r="K732" s="362" t="s">
        <v>11751</v>
      </c>
      <c r="L732" s="362" t="s">
        <v>11752</v>
      </c>
    </row>
    <row r="733" spans="1:12">
      <c r="A733" s="363">
        <f>VLOOKUP(B733, 'PubMed 4.14.21 Results'!B:B, 1, FALSE)</f>
        <v>26993881</v>
      </c>
      <c r="B733" s="363">
        <v>26993881</v>
      </c>
      <c r="C733" s="362" t="s">
        <v>11753</v>
      </c>
      <c r="D733" s="362" t="s">
        <v>11754</v>
      </c>
      <c r="E733" s="362" t="s">
        <v>11755</v>
      </c>
      <c r="F733" s="362" t="s">
        <v>7597</v>
      </c>
      <c r="G733" s="362" t="s">
        <v>9420</v>
      </c>
      <c r="H733" s="363">
        <v>2016</v>
      </c>
      <c r="I733" s="378">
        <v>42449</v>
      </c>
      <c r="J733" s="365"/>
      <c r="K733" s="365"/>
      <c r="L733" s="362" t="s">
        <v>11756</v>
      </c>
    </row>
    <row r="734" spans="1:12">
      <c r="A734" s="363">
        <f>VLOOKUP(B734, 'PubMed 4.14.21 Results'!B:B, 1, FALSE)</f>
        <v>26599983</v>
      </c>
      <c r="B734" s="363">
        <v>26599983</v>
      </c>
      <c r="C734" s="362" t="s">
        <v>11757</v>
      </c>
      <c r="D734" s="362" t="s">
        <v>11758</v>
      </c>
      <c r="E734" s="362" t="s">
        <v>11759</v>
      </c>
      <c r="F734" s="362" t="s">
        <v>6557</v>
      </c>
      <c r="G734" s="362" t="s">
        <v>8480</v>
      </c>
      <c r="H734" s="363">
        <v>2016</v>
      </c>
      <c r="I734" s="378">
        <v>42333</v>
      </c>
      <c r="J734" s="365"/>
      <c r="K734" s="365"/>
      <c r="L734" s="362" t="s">
        <v>11760</v>
      </c>
    </row>
    <row r="735" spans="1:12">
      <c r="A735" s="363">
        <f>VLOOKUP(B735, 'PubMed 4.14.21 Results'!B:B, 1, FALSE)</f>
        <v>26826498</v>
      </c>
      <c r="B735" s="363">
        <v>26826498</v>
      </c>
      <c r="C735" s="362" t="s">
        <v>11761</v>
      </c>
      <c r="D735" s="362" t="s">
        <v>11762</v>
      </c>
      <c r="E735" s="362" t="s">
        <v>11763</v>
      </c>
      <c r="F735" s="362" t="s">
        <v>7009</v>
      </c>
      <c r="G735" s="362" t="s">
        <v>11764</v>
      </c>
      <c r="H735" s="363">
        <v>2016</v>
      </c>
      <c r="I735" s="378">
        <v>42400</v>
      </c>
      <c r="J735" s="362" t="s">
        <v>7010</v>
      </c>
      <c r="K735" s="362" t="s">
        <v>11765</v>
      </c>
      <c r="L735" s="362" t="s">
        <v>11766</v>
      </c>
    </row>
    <row r="736" spans="1:12">
      <c r="A736" s="363">
        <f>VLOOKUP(B736, 'PubMed 4.14.21 Results'!B:B, 1, FALSE)</f>
        <v>26945846</v>
      </c>
      <c r="B736" s="363">
        <v>26945846</v>
      </c>
      <c r="C736" s="362" t="s">
        <v>11767</v>
      </c>
      <c r="D736" s="362" t="s">
        <v>11768</v>
      </c>
      <c r="E736" s="362" t="s">
        <v>11769</v>
      </c>
      <c r="F736" s="362" t="s">
        <v>7141</v>
      </c>
      <c r="G736" s="362" t="s">
        <v>9028</v>
      </c>
      <c r="H736" s="363">
        <v>2016</v>
      </c>
      <c r="I736" s="378">
        <v>42436</v>
      </c>
      <c r="J736" s="365"/>
      <c r="K736" s="365"/>
      <c r="L736" s="362" t="s">
        <v>11770</v>
      </c>
    </row>
    <row r="737" spans="1:12">
      <c r="A737" s="363">
        <f>VLOOKUP(B737, 'PubMed 4.14.21 Results'!B:B, 1, FALSE)</f>
        <v>27001804</v>
      </c>
      <c r="B737" s="363">
        <v>27001804</v>
      </c>
      <c r="C737" s="362" t="s">
        <v>11771</v>
      </c>
      <c r="D737" s="362" t="s">
        <v>11772</v>
      </c>
      <c r="E737" s="362" t="s">
        <v>11773</v>
      </c>
      <c r="F737" s="362" t="s">
        <v>296</v>
      </c>
      <c r="G737" s="362" t="s">
        <v>9152</v>
      </c>
      <c r="H737" s="363">
        <v>2016</v>
      </c>
      <c r="I737" s="378">
        <v>42452</v>
      </c>
      <c r="J737" s="434" t="s">
        <v>6651</v>
      </c>
      <c r="K737" s="425"/>
      <c r="L737" s="362" t="s">
        <v>11774</v>
      </c>
    </row>
    <row r="738" spans="1:12">
      <c r="A738" s="363">
        <f>VLOOKUP(B738, 'PubMed 4.14.21 Results'!B:B, 1, FALSE)</f>
        <v>27067745</v>
      </c>
      <c r="B738" s="363">
        <v>27067745</v>
      </c>
      <c r="C738" s="362" t="s">
        <v>11775</v>
      </c>
      <c r="D738" s="362" t="s">
        <v>11776</v>
      </c>
      <c r="E738" s="362" t="s">
        <v>11777</v>
      </c>
      <c r="F738" s="362" t="s">
        <v>6923</v>
      </c>
      <c r="G738" s="362" t="s">
        <v>11778</v>
      </c>
      <c r="H738" s="363">
        <v>2016</v>
      </c>
      <c r="I738" s="378">
        <v>42473</v>
      </c>
      <c r="J738" s="365"/>
      <c r="K738" s="365"/>
      <c r="L738" s="362" t="s">
        <v>11779</v>
      </c>
    </row>
    <row r="739" spans="1:12">
      <c r="A739" s="363">
        <f>VLOOKUP(B739, 'PubMed 4.14.21 Results'!B:B, 1, FALSE)</f>
        <v>27193488</v>
      </c>
      <c r="B739" s="363">
        <v>27193488</v>
      </c>
      <c r="C739" s="362" t="s">
        <v>11780</v>
      </c>
      <c r="D739" s="362" t="s">
        <v>11781</v>
      </c>
      <c r="E739" s="362" t="s">
        <v>11782</v>
      </c>
      <c r="F739" s="362" t="s">
        <v>7375</v>
      </c>
      <c r="G739" s="362" t="s">
        <v>11783</v>
      </c>
      <c r="H739" s="363">
        <v>2016</v>
      </c>
      <c r="I739" s="378">
        <v>42510</v>
      </c>
      <c r="J739" s="362" t="s">
        <v>7376</v>
      </c>
      <c r="K739" s="362" t="s">
        <v>11784</v>
      </c>
      <c r="L739" s="362" t="s">
        <v>11785</v>
      </c>
    </row>
    <row r="740" spans="1:12">
      <c r="A740" s="363">
        <f>VLOOKUP(B740, 'PubMed 4.14.21 Results'!B:B, 1, FALSE)</f>
        <v>27384849</v>
      </c>
      <c r="B740" s="363">
        <v>27384849</v>
      </c>
      <c r="C740" s="362" t="s">
        <v>11786</v>
      </c>
      <c r="D740" s="362" t="s">
        <v>11787</v>
      </c>
      <c r="E740" s="362" t="s">
        <v>11788</v>
      </c>
      <c r="F740" s="362" t="s">
        <v>7536</v>
      </c>
      <c r="G740" s="362" t="s">
        <v>11789</v>
      </c>
      <c r="H740" s="363">
        <v>2016</v>
      </c>
      <c r="I740" s="378">
        <v>42559</v>
      </c>
      <c r="J740" s="365"/>
      <c r="K740" s="365"/>
      <c r="L740" s="362" t="s">
        <v>11790</v>
      </c>
    </row>
    <row r="741" spans="1:12">
      <c r="A741" s="363">
        <f>VLOOKUP(B741, 'PubMed 4.14.21 Results'!B:B, 1, FALSE)</f>
        <v>27290681</v>
      </c>
      <c r="B741" s="363">
        <v>27290681</v>
      </c>
      <c r="C741" s="362" t="s">
        <v>11791</v>
      </c>
      <c r="D741" s="362" t="s">
        <v>11792</v>
      </c>
      <c r="E741" s="362" t="s">
        <v>11793</v>
      </c>
      <c r="F741" s="362" t="s">
        <v>6822</v>
      </c>
      <c r="G741" s="362" t="s">
        <v>11383</v>
      </c>
      <c r="H741" s="363">
        <v>2016</v>
      </c>
      <c r="I741" s="378">
        <v>42534</v>
      </c>
      <c r="J741" s="365"/>
      <c r="K741" s="365"/>
      <c r="L741" s="362" t="s">
        <v>11794</v>
      </c>
    </row>
    <row r="742" spans="1:12">
      <c r="A742" s="363">
        <f>VLOOKUP(B742, 'PubMed 4.14.21 Results'!B:B, 1, FALSE)</f>
        <v>27363652</v>
      </c>
      <c r="B742" s="363">
        <v>27363652</v>
      </c>
      <c r="C742" s="362" t="s">
        <v>11795</v>
      </c>
      <c r="D742" s="362" t="s">
        <v>11796</v>
      </c>
      <c r="E742" s="362" t="s">
        <v>11797</v>
      </c>
      <c r="F742" s="362" t="s">
        <v>6757</v>
      </c>
      <c r="G742" s="362" t="s">
        <v>11798</v>
      </c>
      <c r="H742" s="363">
        <v>2016</v>
      </c>
      <c r="I742" s="378">
        <v>42553</v>
      </c>
      <c r="J742" s="365"/>
      <c r="K742" s="365"/>
      <c r="L742" s="362" t="s">
        <v>11799</v>
      </c>
    </row>
    <row r="743" spans="1:12">
      <c r="A743" s="363">
        <f>VLOOKUP(B743, 'PubMed 4.14.21 Results'!B:B, 1, FALSE)</f>
        <v>27329280</v>
      </c>
      <c r="B743" s="363">
        <v>27329280</v>
      </c>
      <c r="C743" s="362" t="s">
        <v>11800</v>
      </c>
      <c r="D743" s="362" t="s">
        <v>11801</v>
      </c>
      <c r="E743" s="362" t="s">
        <v>11802</v>
      </c>
      <c r="F743" s="362" t="s">
        <v>8073</v>
      </c>
      <c r="G743" s="362" t="s">
        <v>10184</v>
      </c>
      <c r="H743" s="363">
        <v>2016</v>
      </c>
      <c r="I743" s="378">
        <v>42544</v>
      </c>
      <c r="J743" s="365"/>
      <c r="K743" s="365"/>
      <c r="L743" s="362" t="s">
        <v>11803</v>
      </c>
    </row>
    <row r="744" spans="1:12">
      <c r="A744" s="363">
        <f>VLOOKUP(B744, 'PubMed 4.14.21 Results'!B:B, 1, FALSE)</f>
        <v>27306628</v>
      </c>
      <c r="B744" s="363">
        <v>27306628</v>
      </c>
      <c r="C744" s="362" t="s">
        <v>11804</v>
      </c>
      <c r="D744" s="362" t="s">
        <v>11805</v>
      </c>
      <c r="E744" s="362" t="s">
        <v>11806</v>
      </c>
      <c r="F744" s="362" t="s">
        <v>7591</v>
      </c>
      <c r="G744" s="362" t="s">
        <v>8529</v>
      </c>
      <c r="H744" s="363">
        <v>2016</v>
      </c>
      <c r="I744" s="378">
        <v>42538</v>
      </c>
      <c r="J744" s="434" t="s">
        <v>7592</v>
      </c>
      <c r="K744" s="425"/>
      <c r="L744" s="362" t="s">
        <v>11807</v>
      </c>
    </row>
    <row r="745" spans="1:12">
      <c r="A745" s="363">
        <f>VLOOKUP(B745, 'PubMed 4.14.21 Results'!B:B, 1, FALSE)</f>
        <v>27448805</v>
      </c>
      <c r="B745" s="363">
        <v>27448805</v>
      </c>
      <c r="C745" s="362" t="s">
        <v>11808</v>
      </c>
      <c r="D745" s="362" t="s">
        <v>11809</v>
      </c>
      <c r="E745" s="362" t="s">
        <v>11810</v>
      </c>
      <c r="F745" s="362" t="s">
        <v>391</v>
      </c>
      <c r="G745" s="362" t="s">
        <v>11228</v>
      </c>
      <c r="H745" s="363">
        <v>2016</v>
      </c>
      <c r="I745" s="378">
        <v>42576</v>
      </c>
      <c r="J745" s="434" t="s">
        <v>7070</v>
      </c>
      <c r="K745" s="425"/>
      <c r="L745" s="362" t="s">
        <v>11811</v>
      </c>
    </row>
    <row r="746" spans="1:12">
      <c r="A746" s="363">
        <f>VLOOKUP(B746, 'PubMed 4.14.21 Results'!B:B, 1, FALSE)</f>
        <v>27464582</v>
      </c>
      <c r="B746" s="363">
        <v>27464582</v>
      </c>
      <c r="C746" s="362" t="s">
        <v>11812</v>
      </c>
      <c r="D746" s="362" t="s">
        <v>11813</v>
      </c>
      <c r="E746" s="362" t="s">
        <v>11814</v>
      </c>
      <c r="F746" s="362" t="s">
        <v>6983</v>
      </c>
      <c r="G746" s="362" t="s">
        <v>9906</v>
      </c>
      <c r="H746" s="363">
        <v>2016</v>
      </c>
      <c r="I746" s="378">
        <v>42580</v>
      </c>
      <c r="J746" s="434" t="s">
        <v>6984</v>
      </c>
      <c r="K746" s="425"/>
      <c r="L746" s="362" t="s">
        <v>11815</v>
      </c>
    </row>
    <row r="747" spans="1:12">
      <c r="A747" s="363">
        <f>VLOOKUP(B747, 'PubMed 4.14.21 Results'!B:B, 1, FALSE)</f>
        <v>27238057</v>
      </c>
      <c r="B747" s="363">
        <v>27238057</v>
      </c>
      <c r="C747" s="362" t="s">
        <v>11816</v>
      </c>
      <c r="D747" s="362" t="s">
        <v>11817</v>
      </c>
      <c r="E747" s="362" t="s">
        <v>11818</v>
      </c>
      <c r="F747" s="362" t="s">
        <v>7390</v>
      </c>
      <c r="G747" s="362" t="s">
        <v>11819</v>
      </c>
      <c r="H747" s="363">
        <v>2016</v>
      </c>
      <c r="I747" s="378">
        <v>42521</v>
      </c>
      <c r="J747" s="365"/>
      <c r="K747" s="365"/>
      <c r="L747" s="362" t="s">
        <v>11820</v>
      </c>
    </row>
    <row r="748" spans="1:12">
      <c r="A748" s="363">
        <f>VLOOKUP(B748, 'PubMed 4.14.21 Results'!B:B, 1, FALSE)</f>
        <v>27252452</v>
      </c>
      <c r="B748" s="363">
        <v>27252452</v>
      </c>
      <c r="C748" s="362" t="s">
        <v>11821</v>
      </c>
      <c r="D748" s="362" t="s">
        <v>11822</v>
      </c>
      <c r="E748" s="362" t="s">
        <v>11823</v>
      </c>
      <c r="F748" s="362" t="s">
        <v>6857</v>
      </c>
      <c r="G748" s="362" t="s">
        <v>9935</v>
      </c>
      <c r="H748" s="363">
        <v>2016</v>
      </c>
      <c r="I748" s="378">
        <v>42524</v>
      </c>
      <c r="J748" s="365"/>
      <c r="K748" s="365"/>
      <c r="L748" s="362" t="s">
        <v>11824</v>
      </c>
    </row>
    <row r="749" spans="1:12">
      <c r="A749" s="363">
        <f>VLOOKUP(B749, 'PubMed 4.14.21 Results'!B:B, 1, FALSE)</f>
        <v>27289490</v>
      </c>
      <c r="B749" s="363">
        <v>27289490</v>
      </c>
      <c r="C749" s="362" t="s">
        <v>11825</v>
      </c>
      <c r="D749" s="362" t="s">
        <v>11826</v>
      </c>
      <c r="E749" s="362" t="s">
        <v>11827</v>
      </c>
      <c r="F749" s="362" t="s">
        <v>7703</v>
      </c>
      <c r="G749" s="362" t="s">
        <v>9004</v>
      </c>
      <c r="H749" s="363">
        <v>2016</v>
      </c>
      <c r="I749" s="378">
        <v>42534</v>
      </c>
      <c r="J749" s="365"/>
      <c r="K749" s="365"/>
      <c r="L749" s="362" t="s">
        <v>11828</v>
      </c>
    </row>
    <row r="750" spans="1:12">
      <c r="A750" s="363">
        <f>VLOOKUP(B750, 'PubMed 4.14.21 Results'!B:B, 1, FALSE)</f>
        <v>27486731</v>
      </c>
      <c r="B750" s="363">
        <v>27486731</v>
      </c>
      <c r="C750" s="362" t="s">
        <v>11829</v>
      </c>
      <c r="D750" s="362" t="s">
        <v>11830</v>
      </c>
      <c r="E750" s="362" t="s">
        <v>11831</v>
      </c>
      <c r="F750" s="362" t="s">
        <v>7606</v>
      </c>
      <c r="G750" s="362" t="s">
        <v>11832</v>
      </c>
      <c r="H750" s="363">
        <v>2016</v>
      </c>
      <c r="I750" s="378">
        <v>42586</v>
      </c>
      <c r="J750" s="434" t="s">
        <v>7607</v>
      </c>
      <c r="K750" s="425"/>
      <c r="L750" s="362" t="s">
        <v>11833</v>
      </c>
    </row>
    <row r="751" spans="1:12">
      <c r="A751" s="363">
        <f>VLOOKUP(B751, 'PubMed 4.14.21 Results'!B:B, 1, FALSE)</f>
        <v>27537997</v>
      </c>
      <c r="B751" s="363">
        <v>27537997</v>
      </c>
      <c r="C751" s="362" t="s">
        <v>11834</v>
      </c>
      <c r="D751" s="362" t="s">
        <v>11835</v>
      </c>
      <c r="E751" s="362" t="s">
        <v>11836</v>
      </c>
      <c r="F751" s="362" t="s">
        <v>6806</v>
      </c>
      <c r="G751" s="362" t="s">
        <v>9604</v>
      </c>
      <c r="H751" s="363">
        <v>2016</v>
      </c>
      <c r="I751" s="378">
        <v>42601</v>
      </c>
      <c r="J751" s="365"/>
      <c r="K751" s="365"/>
      <c r="L751" s="365"/>
    </row>
    <row r="752" spans="1:12">
      <c r="A752" s="363">
        <f>VLOOKUP(B752, 'PubMed 4.14.21 Results'!B:B, 1, FALSE)</f>
        <v>27529553</v>
      </c>
      <c r="B752" s="363">
        <v>27529553</v>
      </c>
      <c r="C752" s="362" t="s">
        <v>11837</v>
      </c>
      <c r="D752" s="362" t="s">
        <v>11838</v>
      </c>
      <c r="E752" s="362" t="s">
        <v>11839</v>
      </c>
      <c r="F752" s="362" t="s">
        <v>8036</v>
      </c>
      <c r="G752" s="362" t="s">
        <v>10379</v>
      </c>
      <c r="H752" s="363">
        <v>2016</v>
      </c>
      <c r="I752" s="378">
        <v>42599</v>
      </c>
      <c r="J752" s="434" t="s">
        <v>8037</v>
      </c>
      <c r="K752" s="425"/>
      <c r="L752" s="362" t="s">
        <v>11840</v>
      </c>
    </row>
    <row r="753" spans="1:12">
      <c r="A753" s="363">
        <f>VLOOKUP(B753, 'PubMed 4.14.21 Results'!B:B, 1, FALSE)</f>
        <v>27217097</v>
      </c>
      <c r="B753" s="363">
        <v>27217097</v>
      </c>
      <c r="C753" s="362" t="s">
        <v>11841</v>
      </c>
      <c r="D753" s="362" t="s">
        <v>11842</v>
      </c>
      <c r="E753" s="362" t="s">
        <v>11843</v>
      </c>
      <c r="F753" s="362" t="s">
        <v>6823</v>
      </c>
      <c r="G753" s="362" t="s">
        <v>8699</v>
      </c>
      <c r="H753" s="363">
        <v>2016</v>
      </c>
      <c r="I753" s="378">
        <v>42515</v>
      </c>
      <c r="J753" s="365"/>
      <c r="K753" s="365"/>
      <c r="L753" s="362" t="s">
        <v>11844</v>
      </c>
    </row>
    <row r="754" spans="1:12">
      <c r="A754" s="363">
        <f>VLOOKUP(B754, 'PubMed 4.14.21 Results'!B:B, 1, FALSE)</f>
        <v>27296693</v>
      </c>
      <c r="B754" s="363">
        <v>27296693</v>
      </c>
      <c r="C754" s="362" t="s">
        <v>11845</v>
      </c>
      <c r="D754" s="362" t="s">
        <v>11846</v>
      </c>
      <c r="E754" s="362" t="s">
        <v>11847</v>
      </c>
      <c r="F754" s="362" t="s">
        <v>7769</v>
      </c>
      <c r="G754" s="362" t="s">
        <v>10976</v>
      </c>
      <c r="H754" s="363">
        <v>2016</v>
      </c>
      <c r="I754" s="378">
        <v>42536</v>
      </c>
      <c r="J754" s="365"/>
      <c r="K754" s="365"/>
      <c r="L754" s="362" t="s">
        <v>11848</v>
      </c>
    </row>
    <row r="755" spans="1:12">
      <c r="A755" s="363">
        <f>VLOOKUP(B755, 'PubMed 4.14.21 Results'!B:B, 1, FALSE)</f>
        <v>27311495</v>
      </c>
      <c r="B755" s="363">
        <v>27311495</v>
      </c>
      <c r="C755" s="362" t="s">
        <v>11849</v>
      </c>
      <c r="D755" s="362" t="s">
        <v>11850</v>
      </c>
      <c r="E755" s="362" t="s">
        <v>11851</v>
      </c>
      <c r="F755" s="362" t="s">
        <v>7834</v>
      </c>
      <c r="G755" s="362" t="s">
        <v>8721</v>
      </c>
      <c r="H755" s="363">
        <v>2016</v>
      </c>
      <c r="I755" s="378">
        <v>42539</v>
      </c>
      <c r="J755" s="365"/>
      <c r="K755" s="365"/>
      <c r="L755" s="362" t="s">
        <v>11852</v>
      </c>
    </row>
    <row r="756" spans="1:12">
      <c r="A756" s="363">
        <f>VLOOKUP(B756, 'PubMed 4.14.21 Results'!B:B, 1, FALSE)</f>
        <v>27426929</v>
      </c>
      <c r="B756" s="363">
        <v>27426929</v>
      </c>
      <c r="C756" s="362" t="s">
        <v>11853</v>
      </c>
      <c r="D756" s="362" t="s">
        <v>11854</v>
      </c>
      <c r="E756" s="362" t="s">
        <v>11855</v>
      </c>
      <c r="F756" s="362" t="s">
        <v>7337</v>
      </c>
      <c r="G756" s="362" t="s">
        <v>11856</v>
      </c>
      <c r="H756" s="363">
        <v>2016</v>
      </c>
      <c r="I756" s="378">
        <v>42570</v>
      </c>
      <c r="J756" s="365"/>
      <c r="K756" s="365"/>
      <c r="L756" s="362" t="s">
        <v>11857</v>
      </c>
    </row>
    <row r="757" spans="1:12">
      <c r="A757" s="363">
        <f>VLOOKUP(B757, 'PubMed 4.14.21 Results'!B:B, 1, FALSE)</f>
        <v>27741339</v>
      </c>
      <c r="B757" s="363">
        <v>27741339</v>
      </c>
      <c r="C757" s="362" t="s">
        <v>11858</v>
      </c>
      <c r="D757" s="362" t="s">
        <v>11859</v>
      </c>
      <c r="E757" s="362" t="s">
        <v>11860</v>
      </c>
      <c r="F757" s="362" t="s">
        <v>6780</v>
      </c>
      <c r="G757" s="362" t="s">
        <v>9604</v>
      </c>
      <c r="H757" s="363">
        <v>2016</v>
      </c>
      <c r="I757" s="378">
        <v>42658</v>
      </c>
      <c r="J757" s="365"/>
      <c r="K757" s="365"/>
      <c r="L757" s="365"/>
    </row>
    <row r="758" spans="1:12">
      <c r="A758" s="363">
        <f>VLOOKUP(B758, 'PubMed 4.14.21 Results'!B:B, 1, FALSE)</f>
        <v>27441483</v>
      </c>
      <c r="B758" s="363">
        <v>27441483</v>
      </c>
      <c r="C758" s="362" t="s">
        <v>11861</v>
      </c>
      <c r="D758" s="362" t="s">
        <v>11862</v>
      </c>
      <c r="E758" s="362" t="s">
        <v>11863</v>
      </c>
      <c r="F758" s="362" t="s">
        <v>6792</v>
      </c>
      <c r="G758" s="362" t="s">
        <v>11864</v>
      </c>
      <c r="H758" s="363">
        <v>2016</v>
      </c>
      <c r="I758" s="378">
        <v>42573</v>
      </c>
      <c r="J758" s="365"/>
      <c r="K758" s="365"/>
      <c r="L758" s="362" t="s">
        <v>11865</v>
      </c>
    </row>
    <row r="759" spans="1:12">
      <c r="A759" s="363">
        <f>VLOOKUP(B759, 'PubMed 4.14.21 Results'!B:B, 1, FALSE)</f>
        <v>27622299</v>
      </c>
      <c r="B759" s="363">
        <v>27622299</v>
      </c>
      <c r="C759" s="362" t="s">
        <v>11866</v>
      </c>
      <c r="D759" s="362" t="s">
        <v>11867</v>
      </c>
      <c r="E759" s="362" t="s">
        <v>11868</v>
      </c>
      <c r="F759" s="362" t="s">
        <v>7850</v>
      </c>
      <c r="G759" s="362" t="s">
        <v>21</v>
      </c>
      <c r="H759" s="363">
        <v>2016</v>
      </c>
      <c r="I759" s="378">
        <v>42627</v>
      </c>
      <c r="J759" s="434" t="s">
        <v>7851</v>
      </c>
      <c r="K759" s="425"/>
      <c r="L759" s="362" t="s">
        <v>11869</v>
      </c>
    </row>
    <row r="760" spans="1:12">
      <c r="A760" s="363">
        <f>VLOOKUP(B760, 'PubMed 4.14.21 Results'!B:B, 1, FALSE)</f>
        <v>27797129</v>
      </c>
      <c r="B760" s="363">
        <v>27797129</v>
      </c>
      <c r="C760" s="362" t="s">
        <v>11870</v>
      </c>
      <c r="D760" s="362" t="s">
        <v>11871</v>
      </c>
      <c r="E760" s="362" t="s">
        <v>11872</v>
      </c>
      <c r="F760" s="362" t="s">
        <v>6758</v>
      </c>
      <c r="G760" s="362" t="s">
        <v>8857</v>
      </c>
      <c r="H760" s="363">
        <v>2016</v>
      </c>
      <c r="I760" s="378">
        <v>42676</v>
      </c>
      <c r="J760" s="362" t="s">
        <v>6759</v>
      </c>
      <c r="K760" s="362" t="s">
        <v>11873</v>
      </c>
      <c r="L760" s="362" t="s">
        <v>11874</v>
      </c>
    </row>
    <row r="761" spans="1:12">
      <c r="A761" s="363">
        <f>VLOOKUP(B761, 'PubMed 4.14.21 Results'!B:B, 1, FALSE)</f>
        <v>27337526</v>
      </c>
      <c r="B761" s="363">
        <v>27337526</v>
      </c>
      <c r="C761" s="362" t="s">
        <v>11875</v>
      </c>
      <c r="D761" s="362" t="s">
        <v>11876</v>
      </c>
      <c r="E761" s="362" t="s">
        <v>11877</v>
      </c>
      <c r="F761" s="362" t="s">
        <v>7202</v>
      </c>
      <c r="G761" s="362" t="s">
        <v>11878</v>
      </c>
      <c r="H761" s="363">
        <v>2016</v>
      </c>
      <c r="I761" s="378">
        <v>42545</v>
      </c>
      <c r="J761" s="365"/>
      <c r="K761" s="365"/>
      <c r="L761" s="362" t="s">
        <v>11879</v>
      </c>
    </row>
    <row r="762" spans="1:12">
      <c r="A762" s="363">
        <f>VLOOKUP(B762, 'PubMed 4.14.21 Results'!B:B, 1, FALSE)</f>
        <v>27501279</v>
      </c>
      <c r="B762" s="363">
        <v>27501279</v>
      </c>
      <c r="C762" s="362" t="s">
        <v>11880</v>
      </c>
      <c r="D762" s="362" t="s">
        <v>11881</v>
      </c>
      <c r="E762" s="362" t="s">
        <v>11882</v>
      </c>
      <c r="F762" s="362" t="s">
        <v>7334</v>
      </c>
      <c r="G762" s="362" t="s">
        <v>8699</v>
      </c>
      <c r="H762" s="363">
        <v>2016</v>
      </c>
      <c r="I762" s="378">
        <v>42591</v>
      </c>
      <c r="J762" s="365"/>
      <c r="K762" s="365"/>
      <c r="L762" s="362" t="s">
        <v>11883</v>
      </c>
    </row>
    <row r="763" spans="1:12">
      <c r="A763" s="363">
        <f>VLOOKUP(B763, 'PubMed 4.14.21 Results'!B:B, 1, FALSE)</f>
        <v>27824918</v>
      </c>
      <c r="B763" s="363">
        <v>27824918</v>
      </c>
      <c r="C763" s="362" t="s">
        <v>11884</v>
      </c>
      <c r="D763" s="362" t="s">
        <v>11885</v>
      </c>
      <c r="E763" s="362" t="s">
        <v>11886</v>
      </c>
      <c r="F763" s="362" t="s">
        <v>8041</v>
      </c>
      <c r="G763" s="362" t="s">
        <v>10379</v>
      </c>
      <c r="H763" s="363">
        <v>2016</v>
      </c>
      <c r="I763" s="378">
        <v>42683</v>
      </c>
      <c r="J763" s="434" t="s">
        <v>8043</v>
      </c>
      <c r="K763" s="425"/>
      <c r="L763" s="362" t="s">
        <v>11887</v>
      </c>
    </row>
    <row r="764" spans="1:12">
      <c r="A764" s="363">
        <f>VLOOKUP(B764, 'PubMed 4.14.21 Results'!B:B, 1, FALSE)</f>
        <v>27780629</v>
      </c>
      <c r="B764" s="363">
        <v>27780629</v>
      </c>
      <c r="C764" s="362" t="s">
        <v>11888</v>
      </c>
      <c r="D764" s="362" t="s">
        <v>11889</v>
      </c>
      <c r="E764" s="362" t="s">
        <v>11890</v>
      </c>
      <c r="F764" s="362" t="s">
        <v>7711</v>
      </c>
      <c r="G764" s="362" t="s">
        <v>21</v>
      </c>
      <c r="H764" s="363">
        <v>2016</v>
      </c>
      <c r="I764" s="378">
        <v>42670</v>
      </c>
      <c r="J764" s="365"/>
      <c r="K764" s="365"/>
      <c r="L764" s="362" t="s">
        <v>11891</v>
      </c>
    </row>
    <row r="765" spans="1:12">
      <c r="A765" s="363">
        <f>VLOOKUP(B765, 'PubMed 4.14.21 Results'!B:B, 1, FALSE)</f>
        <v>27545697</v>
      </c>
      <c r="B765" s="363">
        <v>27545697</v>
      </c>
      <c r="C765" s="362" t="s">
        <v>11892</v>
      </c>
      <c r="D765" s="362" t="s">
        <v>11893</v>
      </c>
      <c r="E765" s="362" t="s">
        <v>11894</v>
      </c>
      <c r="F765" s="362" t="s">
        <v>6793</v>
      </c>
      <c r="G765" s="362" t="s">
        <v>11895</v>
      </c>
      <c r="H765" s="363">
        <v>2016</v>
      </c>
      <c r="I765" s="378">
        <v>42605</v>
      </c>
      <c r="J765" s="365"/>
      <c r="K765" s="365"/>
      <c r="L765" s="362" t="s">
        <v>11896</v>
      </c>
    </row>
    <row r="766" spans="1:12">
      <c r="A766" s="363">
        <f>VLOOKUP(B766, 'PubMed 4.14.21 Results'!B:B, 1, FALSE)</f>
        <v>27604498</v>
      </c>
      <c r="B766" s="363">
        <v>27604498</v>
      </c>
      <c r="C766" s="362" t="s">
        <v>11897</v>
      </c>
      <c r="D766" s="362" t="s">
        <v>11898</v>
      </c>
      <c r="E766" s="362" t="s">
        <v>11899</v>
      </c>
      <c r="F766" s="362" t="s">
        <v>7410</v>
      </c>
      <c r="G766" s="362" t="s">
        <v>11659</v>
      </c>
      <c r="H766" s="363">
        <v>2016</v>
      </c>
      <c r="I766" s="378">
        <v>42622</v>
      </c>
      <c r="J766" s="365"/>
      <c r="K766" s="365"/>
      <c r="L766" s="362" t="s">
        <v>11900</v>
      </c>
    </row>
    <row r="767" spans="1:12">
      <c r="A767" s="363">
        <f>VLOOKUP(B767, 'PubMed 4.14.21 Results'!B:B, 1, FALSE)</f>
        <v>27912955</v>
      </c>
      <c r="B767" s="363">
        <v>27912955</v>
      </c>
      <c r="C767" s="362" t="s">
        <v>11901</v>
      </c>
      <c r="D767" s="362" t="s">
        <v>11902</v>
      </c>
      <c r="E767" s="362" t="s">
        <v>11903</v>
      </c>
      <c r="F767" s="362" t="s">
        <v>7308</v>
      </c>
      <c r="G767" s="362" t="s">
        <v>9133</v>
      </c>
      <c r="H767" s="363">
        <v>2016</v>
      </c>
      <c r="I767" s="378">
        <v>42708</v>
      </c>
      <c r="J767" s="365"/>
      <c r="K767" s="365"/>
      <c r="L767" s="362" t="s">
        <v>11904</v>
      </c>
    </row>
    <row r="768" spans="1:12">
      <c r="A768" s="363">
        <f>VLOOKUP(B768, 'PubMed 4.14.21 Results'!B:B, 1, FALSE)</f>
        <v>27930518</v>
      </c>
      <c r="B768" s="363">
        <v>27930518</v>
      </c>
      <c r="C768" s="362" t="s">
        <v>11905</v>
      </c>
      <c r="D768" s="362" t="s">
        <v>11906</v>
      </c>
      <c r="E768" s="362" t="s">
        <v>11907</v>
      </c>
      <c r="F768" s="362" t="s">
        <v>8032</v>
      </c>
      <c r="G768" s="362" t="s">
        <v>11908</v>
      </c>
      <c r="H768" s="363">
        <v>2016</v>
      </c>
      <c r="I768" s="378">
        <v>42713</v>
      </c>
      <c r="J768" s="434" t="s">
        <v>8033</v>
      </c>
      <c r="K768" s="425"/>
      <c r="L768" s="362" t="s">
        <v>11909</v>
      </c>
    </row>
    <row r="769" spans="1:12">
      <c r="A769" s="363">
        <f>VLOOKUP(B769, 'PubMed 4.14.21 Results'!B:B, 1, FALSE)</f>
        <v>26976354</v>
      </c>
      <c r="B769" s="363">
        <v>26976354</v>
      </c>
      <c r="C769" s="362" t="s">
        <v>11910</v>
      </c>
      <c r="D769" s="362" t="s">
        <v>11911</v>
      </c>
      <c r="E769" s="362" t="s">
        <v>11912</v>
      </c>
      <c r="F769" s="362" t="s">
        <v>7668</v>
      </c>
      <c r="G769" s="362" t="s">
        <v>11913</v>
      </c>
      <c r="H769" s="363">
        <v>2017</v>
      </c>
      <c r="I769" s="378">
        <v>42445</v>
      </c>
      <c r="J769" s="365"/>
      <c r="K769" s="365"/>
      <c r="L769" s="362" t="s">
        <v>11914</v>
      </c>
    </row>
    <row r="770" spans="1:12">
      <c r="A770" s="363">
        <f>VLOOKUP(B770, 'PubMed 4.14.21 Results'!B:B, 1, FALSE)</f>
        <v>27188794</v>
      </c>
      <c r="B770" s="363">
        <v>27188794</v>
      </c>
      <c r="C770" s="362" t="s">
        <v>11915</v>
      </c>
      <c r="D770" s="362" t="s">
        <v>11916</v>
      </c>
      <c r="E770" s="362" t="s">
        <v>11917</v>
      </c>
      <c r="F770" s="362" t="s">
        <v>7663</v>
      </c>
      <c r="G770" s="362" t="s">
        <v>10286</v>
      </c>
      <c r="H770" s="363">
        <v>2017</v>
      </c>
      <c r="I770" s="378">
        <v>42509</v>
      </c>
      <c r="J770" s="365"/>
      <c r="K770" s="365"/>
      <c r="L770" s="362" t="s">
        <v>11918</v>
      </c>
    </row>
    <row r="771" spans="1:12">
      <c r="A771" s="363">
        <f>VLOOKUP(B771, 'PubMed 4.14.21 Results'!B:B, 1, FALSE)</f>
        <v>27590399</v>
      </c>
      <c r="B771" s="363">
        <v>27590399</v>
      </c>
      <c r="C771" s="362" t="s">
        <v>11919</v>
      </c>
      <c r="D771" s="362" t="s">
        <v>11920</v>
      </c>
      <c r="E771" s="362" t="s">
        <v>11921</v>
      </c>
      <c r="F771" s="362" t="s">
        <v>7939</v>
      </c>
      <c r="G771" s="362" t="s">
        <v>8762</v>
      </c>
      <c r="H771" s="363">
        <v>2017</v>
      </c>
      <c r="I771" s="378">
        <v>42617</v>
      </c>
      <c r="J771" s="365"/>
      <c r="K771" s="365"/>
      <c r="L771" s="362" t="s">
        <v>11922</v>
      </c>
    </row>
    <row r="772" spans="1:12">
      <c r="A772" s="363">
        <f>VLOOKUP(B772, 'PubMed 4.14.21 Results'!B:B, 1, FALSE)</f>
        <v>27841822</v>
      </c>
      <c r="B772" s="363">
        <v>27841822</v>
      </c>
      <c r="C772" s="362" t="s">
        <v>11923</v>
      </c>
      <c r="D772" s="362" t="s">
        <v>11924</v>
      </c>
      <c r="E772" s="362" t="s">
        <v>11925</v>
      </c>
      <c r="F772" s="362" t="s">
        <v>7011</v>
      </c>
      <c r="G772" s="362" t="s">
        <v>8806</v>
      </c>
      <c r="H772" s="363">
        <v>2017</v>
      </c>
      <c r="I772" s="378">
        <v>42689</v>
      </c>
      <c r="J772" s="365"/>
      <c r="K772" s="365"/>
      <c r="L772" s="362" t="s">
        <v>11926</v>
      </c>
    </row>
    <row r="773" spans="1:12">
      <c r="A773" s="363">
        <f>VLOOKUP(B773, 'PubMed 4.14.21 Results'!B:B, 1, FALSE)</f>
        <v>28281499</v>
      </c>
      <c r="B773" s="363">
        <v>28281499</v>
      </c>
      <c r="C773" s="362" t="s">
        <v>11927</v>
      </c>
      <c r="D773" s="362" t="s">
        <v>11928</v>
      </c>
      <c r="E773" s="362" t="s">
        <v>11929</v>
      </c>
      <c r="F773" s="362" t="s">
        <v>7476</v>
      </c>
      <c r="G773" s="362" t="s">
        <v>11930</v>
      </c>
      <c r="H773" s="363">
        <v>2017</v>
      </c>
      <c r="I773" s="378">
        <v>42805</v>
      </c>
      <c r="J773" s="365"/>
      <c r="K773" s="365"/>
      <c r="L773" s="362" t="s">
        <v>11931</v>
      </c>
    </row>
    <row r="774" spans="1:12">
      <c r="A774" s="363">
        <f>VLOOKUP(B774, 'PubMed 4.14.21 Results'!B:B, 1, FALSE)</f>
        <v>28554398</v>
      </c>
      <c r="B774" s="363">
        <v>28554398</v>
      </c>
      <c r="C774" s="362" t="s">
        <v>11932</v>
      </c>
      <c r="D774" s="362" t="s">
        <v>11933</v>
      </c>
      <c r="E774" s="362" t="s">
        <v>11934</v>
      </c>
      <c r="F774" s="362" t="s">
        <v>7539</v>
      </c>
      <c r="G774" s="362" t="s">
        <v>11935</v>
      </c>
      <c r="H774" s="363">
        <v>2017</v>
      </c>
      <c r="I774" s="378">
        <v>42886</v>
      </c>
      <c r="J774" s="365"/>
      <c r="K774" s="365"/>
      <c r="L774" s="362" t="s">
        <v>11936</v>
      </c>
    </row>
    <row r="775" spans="1:12">
      <c r="A775" s="363">
        <f>VLOOKUP(B775, 'PubMed 4.14.21 Results'!B:B, 1, FALSE)</f>
        <v>30787745</v>
      </c>
      <c r="B775" s="363">
        <v>30787745</v>
      </c>
      <c r="C775" s="362" t="s">
        <v>11937</v>
      </c>
      <c r="D775" s="362" t="s">
        <v>11938</v>
      </c>
      <c r="E775" s="362" t="s">
        <v>11939</v>
      </c>
      <c r="F775" s="362" t="s">
        <v>6413</v>
      </c>
      <c r="G775" s="362" t="s">
        <v>11940</v>
      </c>
      <c r="H775" s="363">
        <v>2017</v>
      </c>
      <c r="I775" s="378">
        <v>43518</v>
      </c>
      <c r="J775" s="434" t="s">
        <v>6414</v>
      </c>
      <c r="K775" s="425"/>
      <c r="L775" s="362" t="s">
        <v>11941</v>
      </c>
    </row>
    <row r="776" spans="1:12">
      <c r="A776" s="363">
        <f>VLOOKUP(B776, 'PubMed 4.14.21 Results'!B:B, 1, FALSE)</f>
        <v>27884476</v>
      </c>
      <c r="B776" s="363">
        <v>27884476</v>
      </c>
      <c r="C776" s="362" t="s">
        <v>11942</v>
      </c>
      <c r="D776" s="362" t="s">
        <v>11943</v>
      </c>
      <c r="E776" s="362" t="s">
        <v>11944</v>
      </c>
      <c r="F776" s="362" t="s">
        <v>6691</v>
      </c>
      <c r="G776" s="362" t="s">
        <v>21</v>
      </c>
      <c r="H776" s="363">
        <v>2017</v>
      </c>
      <c r="I776" s="378">
        <v>42700</v>
      </c>
      <c r="J776" s="365"/>
      <c r="K776" s="365"/>
      <c r="L776" s="362" t="s">
        <v>11945</v>
      </c>
    </row>
    <row r="777" spans="1:12">
      <c r="A777" s="363">
        <f>VLOOKUP(B777, 'PubMed 4.14.21 Results'!B:B, 1, FALSE)</f>
        <v>27866765</v>
      </c>
      <c r="B777" s="363">
        <v>27866765</v>
      </c>
      <c r="C777" s="362" t="s">
        <v>11946</v>
      </c>
      <c r="D777" s="362" t="s">
        <v>11947</v>
      </c>
      <c r="E777" s="362" t="s">
        <v>11948</v>
      </c>
      <c r="F777" s="362" t="s">
        <v>6707</v>
      </c>
      <c r="G777" s="362" t="s">
        <v>21</v>
      </c>
      <c r="H777" s="363">
        <v>2017</v>
      </c>
      <c r="I777" s="378">
        <v>42696</v>
      </c>
      <c r="J777" s="365"/>
      <c r="K777" s="365"/>
      <c r="L777" s="362" t="s">
        <v>11949</v>
      </c>
    </row>
    <row r="778" spans="1:12">
      <c r="A778" s="363">
        <f>VLOOKUP(B778, 'PubMed 4.14.21 Results'!B:B, 1, FALSE)</f>
        <v>28086819</v>
      </c>
      <c r="B778" s="363">
        <v>28086819</v>
      </c>
      <c r="C778" s="362" t="s">
        <v>11950</v>
      </c>
      <c r="D778" s="362" t="s">
        <v>11951</v>
      </c>
      <c r="E778" s="362" t="s">
        <v>11952</v>
      </c>
      <c r="F778" s="362" t="s">
        <v>7992</v>
      </c>
      <c r="G778" s="362" t="s">
        <v>10004</v>
      </c>
      <c r="H778" s="363">
        <v>2017</v>
      </c>
      <c r="I778" s="378">
        <v>42750</v>
      </c>
      <c r="J778" s="434" t="s">
        <v>7993</v>
      </c>
      <c r="K778" s="425"/>
      <c r="L778" s="362" t="s">
        <v>11953</v>
      </c>
    </row>
    <row r="779" spans="1:12">
      <c r="A779" s="363">
        <f>VLOOKUP(B779, 'PubMed 4.14.21 Results'!B:B, 1, FALSE)</f>
        <v>27939035</v>
      </c>
      <c r="B779" s="363">
        <v>27939035</v>
      </c>
      <c r="C779" s="362" t="s">
        <v>11954</v>
      </c>
      <c r="D779" s="362" t="s">
        <v>11955</v>
      </c>
      <c r="E779" s="362" t="s">
        <v>11956</v>
      </c>
      <c r="F779" s="362" t="s">
        <v>7509</v>
      </c>
      <c r="G779" s="362" t="s">
        <v>9420</v>
      </c>
      <c r="H779" s="363">
        <v>2017</v>
      </c>
      <c r="I779" s="378">
        <v>42717</v>
      </c>
      <c r="J779" s="365"/>
      <c r="K779" s="365"/>
      <c r="L779" s="362" t="s">
        <v>11957</v>
      </c>
    </row>
    <row r="780" spans="1:12">
      <c r="A780" s="363">
        <f>VLOOKUP(B780, 'PubMed 4.14.21 Results'!B:B, 1, FALSE)</f>
        <v>27717113</v>
      </c>
      <c r="B780" s="363">
        <v>27717113</v>
      </c>
      <c r="C780" s="362" t="s">
        <v>11958</v>
      </c>
      <c r="D780" s="362" t="s">
        <v>11959</v>
      </c>
      <c r="E780" s="362" t="s">
        <v>11960</v>
      </c>
      <c r="F780" s="362" t="s">
        <v>6755</v>
      </c>
      <c r="G780" s="362" t="s">
        <v>11961</v>
      </c>
      <c r="H780" s="363">
        <v>2017</v>
      </c>
      <c r="I780" s="378">
        <v>42651</v>
      </c>
      <c r="J780" s="365"/>
      <c r="K780" s="365"/>
      <c r="L780" s="362" t="s">
        <v>11962</v>
      </c>
    </row>
    <row r="781" spans="1:12">
      <c r="A781" s="363">
        <f>VLOOKUP(B781, 'PubMed 4.14.21 Results'!B:B, 1, FALSE)</f>
        <v>27774754</v>
      </c>
      <c r="B781" s="363">
        <v>27774754</v>
      </c>
      <c r="C781" s="362" t="s">
        <v>11963</v>
      </c>
      <c r="D781" s="362" t="s">
        <v>11964</v>
      </c>
      <c r="E781" s="362" t="s">
        <v>11965</v>
      </c>
      <c r="F781" s="362" t="s">
        <v>7033</v>
      </c>
      <c r="G781" s="362" t="s">
        <v>11966</v>
      </c>
      <c r="H781" s="363">
        <v>2017</v>
      </c>
      <c r="I781" s="378">
        <v>42668</v>
      </c>
      <c r="J781" s="434" t="s">
        <v>7034</v>
      </c>
      <c r="K781" s="425"/>
      <c r="L781" s="362" t="s">
        <v>11967</v>
      </c>
    </row>
    <row r="782" spans="1:12">
      <c r="A782" s="363">
        <f>VLOOKUP(B782, 'PubMed 4.14.21 Results'!B:B, 1, FALSE)</f>
        <v>27859599</v>
      </c>
      <c r="B782" s="363">
        <v>27859599</v>
      </c>
      <c r="C782" s="362" t="s">
        <v>11968</v>
      </c>
      <c r="D782" s="362" t="s">
        <v>11969</v>
      </c>
      <c r="E782" s="362" t="s">
        <v>11970</v>
      </c>
      <c r="F782" s="362" t="s">
        <v>7211</v>
      </c>
      <c r="G782" s="362" t="s">
        <v>11971</v>
      </c>
      <c r="H782" s="363">
        <v>2017</v>
      </c>
      <c r="I782" s="378">
        <v>42693</v>
      </c>
      <c r="J782" s="365"/>
      <c r="K782" s="365"/>
      <c r="L782" s="362" t="s">
        <v>11972</v>
      </c>
    </row>
    <row r="783" spans="1:12">
      <c r="A783" s="363">
        <f>VLOOKUP(B783, 'PubMed 4.14.21 Results'!B:B, 1, FALSE)</f>
        <v>27889401</v>
      </c>
      <c r="B783" s="363">
        <v>27889401</v>
      </c>
      <c r="C783" s="362" t="s">
        <v>11973</v>
      </c>
      <c r="D783" s="362" t="s">
        <v>11974</v>
      </c>
      <c r="E783" s="362" t="s">
        <v>11975</v>
      </c>
      <c r="F783" s="362" t="s">
        <v>7641</v>
      </c>
      <c r="G783" s="362" t="s">
        <v>11976</v>
      </c>
      <c r="H783" s="363">
        <v>2017</v>
      </c>
      <c r="I783" s="378">
        <v>42702</v>
      </c>
      <c r="J783" s="362" t="s">
        <v>7642</v>
      </c>
      <c r="K783" s="362" t="s">
        <v>11977</v>
      </c>
      <c r="L783" s="362" t="s">
        <v>11978</v>
      </c>
    </row>
    <row r="784" spans="1:12">
      <c r="A784" s="363">
        <f>VLOOKUP(B784, 'PubMed 4.14.21 Results'!B:B, 1, FALSE)</f>
        <v>27942720</v>
      </c>
      <c r="B784" s="363">
        <v>27942720</v>
      </c>
      <c r="C784" s="362" t="s">
        <v>11979</v>
      </c>
      <c r="D784" s="362" t="s">
        <v>11980</v>
      </c>
      <c r="E784" s="362" t="s">
        <v>11981</v>
      </c>
      <c r="F784" s="362" t="s">
        <v>7748</v>
      </c>
      <c r="G784" s="362" t="s">
        <v>11982</v>
      </c>
      <c r="H784" s="363">
        <v>2017</v>
      </c>
      <c r="I784" s="378">
        <v>42717</v>
      </c>
      <c r="J784" s="365"/>
      <c r="K784" s="365"/>
      <c r="L784" s="362" t="s">
        <v>11983</v>
      </c>
    </row>
    <row r="785" spans="1:12">
      <c r="A785" s="363">
        <f>VLOOKUP(B785, 'PubMed 4.14.21 Results'!B:B, 1, FALSE)</f>
        <v>28027521</v>
      </c>
      <c r="B785" s="363">
        <v>28027521</v>
      </c>
      <c r="C785" s="362" t="s">
        <v>11984</v>
      </c>
      <c r="D785" s="362" t="s">
        <v>11985</v>
      </c>
      <c r="E785" s="362" t="s">
        <v>11986</v>
      </c>
      <c r="F785" s="362" t="s">
        <v>7943</v>
      </c>
      <c r="G785" s="362" t="s">
        <v>10304</v>
      </c>
      <c r="H785" s="363">
        <v>2017</v>
      </c>
      <c r="I785" s="378">
        <v>42732</v>
      </c>
      <c r="J785" s="365"/>
      <c r="K785" s="365"/>
      <c r="L785" s="362" t="s">
        <v>11987</v>
      </c>
    </row>
    <row r="786" spans="1:12">
      <c r="A786" s="363">
        <f>VLOOKUP(B786, 'PubMed 4.14.21 Results'!B:B, 1, FALSE)</f>
        <v>28146402</v>
      </c>
      <c r="B786" s="363">
        <v>28146402</v>
      </c>
      <c r="C786" s="362" t="s">
        <v>11988</v>
      </c>
      <c r="D786" s="362" t="s">
        <v>11989</v>
      </c>
      <c r="E786" s="362" t="s">
        <v>11990</v>
      </c>
      <c r="F786" s="362" t="s">
        <v>7234</v>
      </c>
      <c r="G786" s="362" t="s">
        <v>11991</v>
      </c>
      <c r="H786" s="363">
        <v>2017</v>
      </c>
      <c r="I786" s="378">
        <v>42768</v>
      </c>
      <c r="J786" s="365"/>
      <c r="K786" s="365"/>
      <c r="L786" s="362" t="s">
        <v>11992</v>
      </c>
    </row>
    <row r="787" spans="1:12">
      <c r="A787" s="363">
        <f>VLOOKUP(B787, 'PubMed 4.14.21 Results'!B:B, 1, FALSE)</f>
        <v>28176333</v>
      </c>
      <c r="B787" s="363">
        <v>28176333</v>
      </c>
      <c r="C787" s="362" t="s">
        <v>11993</v>
      </c>
      <c r="D787" s="362" t="s">
        <v>11994</v>
      </c>
      <c r="E787" s="362" t="s">
        <v>11995</v>
      </c>
      <c r="F787" s="362" t="s">
        <v>5358</v>
      </c>
      <c r="G787" s="362" t="s">
        <v>8857</v>
      </c>
      <c r="H787" s="363">
        <v>2017</v>
      </c>
      <c r="I787" s="378">
        <v>42775</v>
      </c>
      <c r="J787" s="434" t="s">
        <v>7131</v>
      </c>
      <c r="K787" s="425"/>
      <c r="L787" s="362" t="s">
        <v>11996</v>
      </c>
    </row>
    <row r="788" spans="1:12">
      <c r="A788" s="363">
        <f>VLOOKUP(B788, 'PubMed 4.14.21 Results'!B:B, 1, FALSE)</f>
        <v>28182700</v>
      </c>
      <c r="B788" s="363">
        <v>28182700</v>
      </c>
      <c r="C788" s="362" t="s">
        <v>11997</v>
      </c>
      <c r="D788" s="362" t="s">
        <v>11998</v>
      </c>
      <c r="E788" s="362" t="s">
        <v>11999</v>
      </c>
      <c r="F788" s="362" t="s">
        <v>7446</v>
      </c>
      <c r="G788" s="362" t="s">
        <v>10379</v>
      </c>
      <c r="H788" s="363">
        <v>2017</v>
      </c>
      <c r="I788" s="378">
        <v>42776</v>
      </c>
      <c r="J788" s="434" t="s">
        <v>7447</v>
      </c>
      <c r="K788" s="425"/>
      <c r="L788" s="362" t="s">
        <v>12000</v>
      </c>
    </row>
    <row r="789" spans="1:12">
      <c r="A789" s="363">
        <f>VLOOKUP(B789, 'PubMed 4.14.21 Results'!B:B, 1, FALSE)</f>
        <v>28069279</v>
      </c>
      <c r="B789" s="363">
        <v>28069279</v>
      </c>
      <c r="C789" s="362" t="s">
        <v>12001</v>
      </c>
      <c r="D789" s="362" t="s">
        <v>12002</v>
      </c>
      <c r="E789" s="362" t="s">
        <v>12003</v>
      </c>
      <c r="F789" s="362" t="s">
        <v>7305</v>
      </c>
      <c r="G789" s="362" t="s">
        <v>9420</v>
      </c>
      <c r="H789" s="363">
        <v>2017</v>
      </c>
      <c r="I789" s="378">
        <v>42746</v>
      </c>
      <c r="J789" s="362" t="s">
        <v>7306</v>
      </c>
      <c r="K789" s="362" t="s">
        <v>12004</v>
      </c>
      <c r="L789" s="362" t="s">
        <v>12005</v>
      </c>
    </row>
    <row r="790" spans="1:12">
      <c r="A790" s="363">
        <f>VLOOKUP(B790, 'PubMed 4.14.21 Results'!B:B, 1, FALSE)</f>
        <v>27465539</v>
      </c>
      <c r="B790" s="363">
        <v>27465539</v>
      </c>
      <c r="C790" s="362" t="s">
        <v>12006</v>
      </c>
      <c r="D790" s="362" t="s">
        <v>12007</v>
      </c>
      <c r="E790" s="362" t="s">
        <v>12008</v>
      </c>
      <c r="F790" s="362" t="s">
        <v>7713</v>
      </c>
      <c r="G790" s="362" t="s">
        <v>8900</v>
      </c>
      <c r="H790" s="363">
        <v>2017</v>
      </c>
      <c r="I790" s="378">
        <v>42580</v>
      </c>
      <c r="J790" s="365"/>
      <c r="K790" s="365"/>
      <c r="L790" s="362" t="s">
        <v>12009</v>
      </c>
    </row>
    <row r="791" spans="1:12">
      <c r="A791" s="363">
        <f>VLOOKUP(B791, 'PubMed 4.14.21 Results'!B:B, 1, FALSE)</f>
        <v>27650708</v>
      </c>
      <c r="B791" s="363">
        <v>27650708</v>
      </c>
      <c r="C791" s="362" t="s">
        <v>12010</v>
      </c>
      <c r="D791" s="362" t="s">
        <v>12011</v>
      </c>
      <c r="E791" s="362" t="s">
        <v>12012</v>
      </c>
      <c r="F791" s="362" t="s">
        <v>7659</v>
      </c>
      <c r="G791" s="362" t="s">
        <v>9966</v>
      </c>
      <c r="H791" s="363">
        <v>2017</v>
      </c>
      <c r="I791" s="378">
        <v>42635</v>
      </c>
      <c r="J791" s="362" t="s">
        <v>7660</v>
      </c>
      <c r="K791" s="362" t="s">
        <v>12013</v>
      </c>
      <c r="L791" s="362" t="s">
        <v>12014</v>
      </c>
    </row>
    <row r="792" spans="1:12">
      <c r="A792" s="363">
        <f>VLOOKUP(B792, 'PubMed 4.14.21 Results'!B:B, 1, FALSE)</f>
        <v>27664969</v>
      </c>
      <c r="B792" s="363">
        <v>27664969</v>
      </c>
      <c r="C792" s="362" t="s">
        <v>12015</v>
      </c>
      <c r="D792" s="362" t="s">
        <v>12016</v>
      </c>
      <c r="E792" s="362" t="s">
        <v>12017</v>
      </c>
      <c r="F792" s="362" t="s">
        <v>6417</v>
      </c>
      <c r="G792" s="362" t="s">
        <v>8963</v>
      </c>
      <c r="H792" s="363">
        <v>2017</v>
      </c>
      <c r="I792" s="378">
        <v>42638</v>
      </c>
      <c r="J792" s="365"/>
      <c r="K792" s="365"/>
      <c r="L792" s="362" t="s">
        <v>12018</v>
      </c>
    </row>
    <row r="793" spans="1:12">
      <c r="A793" s="363">
        <f>VLOOKUP(B793, 'PubMed 4.14.21 Results'!B:B, 1, FALSE)</f>
        <v>27796637</v>
      </c>
      <c r="B793" s="363">
        <v>27796637</v>
      </c>
      <c r="C793" s="362" t="s">
        <v>12019</v>
      </c>
      <c r="D793" s="362" t="s">
        <v>12020</v>
      </c>
      <c r="E793" s="362" t="s">
        <v>12021</v>
      </c>
      <c r="F793" s="362" t="s">
        <v>7311</v>
      </c>
      <c r="G793" s="362" t="s">
        <v>12022</v>
      </c>
      <c r="H793" s="363">
        <v>2017</v>
      </c>
      <c r="I793" s="378">
        <v>42675</v>
      </c>
      <c r="J793" s="365"/>
      <c r="K793" s="365"/>
      <c r="L793" s="362" t="s">
        <v>12023</v>
      </c>
    </row>
    <row r="794" spans="1:12">
      <c r="A794" s="363">
        <f>VLOOKUP(B794, 'PubMed 4.14.21 Results'!B:B, 1, FALSE)</f>
        <v>28087382</v>
      </c>
      <c r="B794" s="363">
        <v>28087382</v>
      </c>
      <c r="C794" s="362" t="s">
        <v>12024</v>
      </c>
      <c r="D794" s="362" t="s">
        <v>12025</v>
      </c>
      <c r="E794" s="362" t="s">
        <v>12026</v>
      </c>
      <c r="F794" s="362" t="s">
        <v>7605</v>
      </c>
      <c r="G794" s="362" t="s">
        <v>8552</v>
      </c>
      <c r="H794" s="363">
        <v>2017</v>
      </c>
      <c r="I794" s="378">
        <v>42750</v>
      </c>
      <c r="J794" s="365"/>
      <c r="K794" s="365"/>
      <c r="L794" s="362" t="s">
        <v>12027</v>
      </c>
    </row>
    <row r="795" spans="1:12">
      <c r="A795" s="363">
        <f>VLOOKUP(B795, 'PubMed 4.14.21 Results'!B:B, 1, FALSE)</f>
        <v>28257555</v>
      </c>
      <c r="B795" s="363">
        <v>28257555</v>
      </c>
      <c r="C795" s="362" t="s">
        <v>12028</v>
      </c>
      <c r="D795" s="362" t="s">
        <v>12029</v>
      </c>
      <c r="E795" s="362" t="s">
        <v>12030</v>
      </c>
      <c r="F795" s="362" t="s">
        <v>7514</v>
      </c>
      <c r="G795" s="362" t="s">
        <v>8857</v>
      </c>
      <c r="H795" s="363">
        <v>2017</v>
      </c>
      <c r="I795" s="378">
        <v>42798</v>
      </c>
      <c r="J795" s="434" t="s">
        <v>7515</v>
      </c>
      <c r="K795" s="425"/>
      <c r="L795" s="362" t="s">
        <v>12031</v>
      </c>
    </row>
    <row r="796" spans="1:12">
      <c r="A796" s="363">
        <f>VLOOKUP(B796, 'PubMed 4.14.21 Results'!B:B, 1, FALSE)</f>
        <v>28187952</v>
      </c>
      <c r="B796" s="363">
        <v>28187952</v>
      </c>
      <c r="C796" s="362" t="s">
        <v>12032</v>
      </c>
      <c r="D796" s="362" t="s">
        <v>12033</v>
      </c>
      <c r="E796" s="362" t="s">
        <v>12034</v>
      </c>
      <c r="F796" s="362" t="s">
        <v>7325</v>
      </c>
      <c r="G796" s="362" t="s">
        <v>21</v>
      </c>
      <c r="H796" s="363">
        <v>2017</v>
      </c>
      <c r="I796" s="378">
        <v>42778</v>
      </c>
      <c r="J796" s="365"/>
      <c r="K796" s="365"/>
      <c r="L796" s="362" t="s">
        <v>12035</v>
      </c>
    </row>
    <row r="797" spans="1:12">
      <c r="A797" s="363">
        <f>VLOOKUP(B797, 'PubMed 4.14.21 Results'!B:B, 1, FALSE)</f>
        <v>28187915</v>
      </c>
      <c r="B797" s="363">
        <v>28187915</v>
      </c>
      <c r="C797" s="362" t="s">
        <v>12036</v>
      </c>
      <c r="D797" s="362" t="s">
        <v>12037</v>
      </c>
      <c r="E797" s="362" t="s">
        <v>12038</v>
      </c>
      <c r="F797" s="362" t="s">
        <v>7063</v>
      </c>
      <c r="G797" s="362" t="s">
        <v>9420</v>
      </c>
      <c r="H797" s="363">
        <v>2017</v>
      </c>
      <c r="I797" s="378">
        <v>42778</v>
      </c>
      <c r="J797" s="365"/>
      <c r="K797" s="365"/>
      <c r="L797" s="362" t="s">
        <v>12039</v>
      </c>
    </row>
    <row r="798" spans="1:12">
      <c r="A798" s="363">
        <f>VLOOKUP(B798, 'PubMed 4.14.21 Results'!B:B, 1, FALSE)</f>
        <v>28321877</v>
      </c>
      <c r="B798" s="363">
        <v>28321877</v>
      </c>
      <c r="C798" s="362" t="s">
        <v>12040</v>
      </c>
      <c r="D798" s="362" t="s">
        <v>12041</v>
      </c>
      <c r="E798" s="362" t="s">
        <v>12042</v>
      </c>
      <c r="F798" s="362" t="s">
        <v>7348</v>
      </c>
      <c r="G798" s="362" t="s">
        <v>8857</v>
      </c>
      <c r="H798" s="363">
        <v>2017</v>
      </c>
      <c r="I798" s="378">
        <v>42816</v>
      </c>
      <c r="J798" s="434" t="s">
        <v>7349</v>
      </c>
      <c r="K798" s="425"/>
      <c r="L798" s="362" t="s">
        <v>12043</v>
      </c>
    </row>
    <row r="799" spans="1:12">
      <c r="A799" s="363">
        <f>VLOOKUP(B799, 'PubMed 4.14.21 Results'!B:B, 1, FALSE)</f>
        <v>28322440</v>
      </c>
      <c r="B799" s="363">
        <v>28322440</v>
      </c>
      <c r="C799" s="362" t="s">
        <v>12044</v>
      </c>
      <c r="D799" s="362" t="s">
        <v>12045</v>
      </c>
      <c r="E799" s="362" t="s">
        <v>12046</v>
      </c>
      <c r="F799" s="362" t="s">
        <v>7969</v>
      </c>
      <c r="G799" s="362" t="s">
        <v>8857</v>
      </c>
      <c r="H799" s="363">
        <v>2017</v>
      </c>
      <c r="I799" s="378">
        <v>42816</v>
      </c>
      <c r="J799" s="434" t="s">
        <v>7970</v>
      </c>
      <c r="K799" s="425"/>
      <c r="L799" s="362" t="s">
        <v>12047</v>
      </c>
    </row>
    <row r="800" spans="1:12">
      <c r="A800" s="363">
        <f>VLOOKUP(B800, 'PubMed 4.14.21 Results'!B:B, 1, FALSE)</f>
        <v>28358815</v>
      </c>
      <c r="B800" s="363">
        <v>28358815</v>
      </c>
      <c r="C800" s="362" t="s">
        <v>12048</v>
      </c>
      <c r="D800" s="362" t="s">
        <v>12049</v>
      </c>
      <c r="E800" s="362" t="s">
        <v>12050</v>
      </c>
      <c r="F800" s="362" t="s">
        <v>7297</v>
      </c>
      <c r="G800" s="362" t="s">
        <v>11097</v>
      </c>
      <c r="H800" s="363">
        <v>2017</v>
      </c>
      <c r="I800" s="378">
        <v>42825</v>
      </c>
      <c r="J800" s="434" t="s">
        <v>7298</v>
      </c>
      <c r="K800" s="425"/>
      <c r="L800" s="362" t="s">
        <v>12051</v>
      </c>
    </row>
    <row r="801" spans="1:12">
      <c r="A801" s="363">
        <f>VLOOKUP(B801, 'PubMed 4.14.21 Results'!B:B, 1, FALSE)</f>
        <v>28007576</v>
      </c>
      <c r="B801" s="363">
        <v>28007576</v>
      </c>
      <c r="C801" s="362" t="s">
        <v>12052</v>
      </c>
      <c r="D801" s="362" t="s">
        <v>12053</v>
      </c>
      <c r="E801" s="362" t="s">
        <v>12054</v>
      </c>
      <c r="F801" s="362" t="s">
        <v>5098</v>
      </c>
      <c r="G801" s="362" t="s">
        <v>9860</v>
      </c>
      <c r="H801" s="363">
        <v>2017</v>
      </c>
      <c r="I801" s="378">
        <v>42728</v>
      </c>
      <c r="J801" s="365"/>
      <c r="K801" s="365"/>
      <c r="L801" s="362" t="s">
        <v>12055</v>
      </c>
    </row>
    <row r="802" spans="1:12">
      <c r="A802" s="363">
        <f>VLOOKUP(B802, 'PubMed 4.14.21 Results'!B:B, 1, FALSE)</f>
        <v>28062347</v>
      </c>
      <c r="B802" s="363">
        <v>28062347</v>
      </c>
      <c r="C802" s="362" t="s">
        <v>12056</v>
      </c>
      <c r="D802" s="362" t="s">
        <v>12057</v>
      </c>
      <c r="E802" s="362" t="s">
        <v>12058</v>
      </c>
      <c r="F802" s="362" t="s">
        <v>7659</v>
      </c>
      <c r="G802" s="362" t="s">
        <v>12059</v>
      </c>
      <c r="H802" s="363">
        <v>2017</v>
      </c>
      <c r="I802" s="378">
        <v>42743</v>
      </c>
      <c r="J802" s="362" t="s">
        <v>7661</v>
      </c>
      <c r="K802" s="362" t="s">
        <v>12060</v>
      </c>
      <c r="L802" s="362" t="s">
        <v>12061</v>
      </c>
    </row>
    <row r="803" spans="1:12">
      <c r="A803" s="363">
        <f>VLOOKUP(B803, 'PubMed 4.14.21 Results'!B:B, 1, FALSE)</f>
        <v>28110911</v>
      </c>
      <c r="B803" s="363">
        <v>28110911</v>
      </c>
      <c r="C803" s="362" t="s">
        <v>12062</v>
      </c>
      <c r="D803" s="362" t="s">
        <v>12063</v>
      </c>
      <c r="E803" s="362" t="s">
        <v>12064</v>
      </c>
      <c r="F803" s="362" t="s">
        <v>7849</v>
      </c>
      <c r="G803" s="362" t="s">
        <v>12065</v>
      </c>
      <c r="H803" s="363">
        <v>2017</v>
      </c>
      <c r="I803" s="378">
        <v>42759</v>
      </c>
      <c r="J803" s="365"/>
      <c r="K803" s="365"/>
      <c r="L803" s="362" t="s">
        <v>12066</v>
      </c>
    </row>
    <row r="804" spans="1:12">
      <c r="A804" s="363">
        <f>VLOOKUP(B804, 'PubMed 4.14.21 Results'!B:B, 1, FALSE)</f>
        <v>28167545</v>
      </c>
      <c r="B804" s="363">
        <v>28167545</v>
      </c>
      <c r="C804" s="362" t="s">
        <v>12067</v>
      </c>
      <c r="D804" s="362" t="s">
        <v>12068</v>
      </c>
      <c r="E804" s="362" t="s">
        <v>12069</v>
      </c>
      <c r="F804" s="362" t="s">
        <v>6798</v>
      </c>
      <c r="G804" s="362" t="s">
        <v>8675</v>
      </c>
      <c r="H804" s="363">
        <v>2017</v>
      </c>
      <c r="I804" s="378">
        <v>42774</v>
      </c>
      <c r="J804" s="434" t="s">
        <v>6799</v>
      </c>
      <c r="K804" s="425"/>
      <c r="L804" s="362" t="s">
        <v>12070</v>
      </c>
    </row>
    <row r="805" spans="1:12">
      <c r="A805" s="363">
        <f>VLOOKUP(B805, 'PubMed 4.14.21 Results'!B:B, 1, FALSE)</f>
        <v>28394229</v>
      </c>
      <c r="B805" s="363">
        <v>28394229</v>
      </c>
      <c r="C805" s="362" t="s">
        <v>12071</v>
      </c>
      <c r="D805" s="362" t="s">
        <v>9684</v>
      </c>
      <c r="E805" s="362" t="s">
        <v>12072</v>
      </c>
      <c r="F805" s="362" t="s">
        <v>7023</v>
      </c>
      <c r="G805" s="362" t="s">
        <v>12073</v>
      </c>
      <c r="H805" s="363">
        <v>2017</v>
      </c>
      <c r="I805" s="378">
        <v>42836</v>
      </c>
      <c r="J805" s="365"/>
      <c r="K805" s="365"/>
      <c r="L805" s="362" t="s">
        <v>12074</v>
      </c>
    </row>
    <row r="806" spans="1:12">
      <c r="A806" s="363">
        <f>VLOOKUP(B806, 'PubMed 4.14.21 Results'!B:B, 1, FALSE)</f>
        <v>28302407</v>
      </c>
      <c r="B806" s="363">
        <v>28302407</v>
      </c>
      <c r="C806" s="362" t="s">
        <v>12075</v>
      </c>
      <c r="D806" s="362" t="s">
        <v>12076</v>
      </c>
      <c r="E806" s="362" t="s">
        <v>12077</v>
      </c>
      <c r="F806" s="362" t="s">
        <v>7325</v>
      </c>
      <c r="G806" s="362" t="s">
        <v>21</v>
      </c>
      <c r="H806" s="363">
        <v>2017</v>
      </c>
      <c r="I806" s="378">
        <v>42812</v>
      </c>
      <c r="J806" s="365"/>
      <c r="K806" s="365"/>
      <c r="L806" s="362" t="s">
        <v>12078</v>
      </c>
    </row>
    <row r="807" spans="1:12">
      <c r="A807" s="363">
        <f>VLOOKUP(B807, 'PubMed 4.14.21 Results'!B:B, 1, FALSE)</f>
        <v>28431202</v>
      </c>
      <c r="B807" s="363">
        <v>28431202</v>
      </c>
      <c r="C807" s="362" t="s">
        <v>12079</v>
      </c>
      <c r="D807" s="362" t="s">
        <v>12080</v>
      </c>
      <c r="E807" s="362" t="s">
        <v>12081</v>
      </c>
      <c r="F807" s="362" t="s">
        <v>7438</v>
      </c>
      <c r="G807" s="362" t="s">
        <v>8857</v>
      </c>
      <c r="H807" s="363">
        <v>2017</v>
      </c>
      <c r="I807" s="378">
        <v>42847</v>
      </c>
      <c r="J807" s="434" t="s">
        <v>7439</v>
      </c>
      <c r="K807" s="425"/>
      <c r="L807" s="362" t="s">
        <v>12082</v>
      </c>
    </row>
    <row r="808" spans="1:12">
      <c r="A808" s="363">
        <f>VLOOKUP(B808, 'PubMed 4.14.21 Results'!B:B, 1, FALSE)</f>
        <v>27759621</v>
      </c>
      <c r="B808" s="363">
        <v>27759621</v>
      </c>
      <c r="C808" s="362" t="s">
        <v>12083</v>
      </c>
      <c r="D808" s="362" t="s">
        <v>12084</v>
      </c>
      <c r="E808" s="362" t="s">
        <v>12085</v>
      </c>
      <c r="F808" s="362" t="s">
        <v>7035</v>
      </c>
      <c r="G808" s="362" t="s">
        <v>10335</v>
      </c>
      <c r="H808" s="363">
        <v>2017</v>
      </c>
      <c r="I808" s="378">
        <v>42664</v>
      </c>
      <c r="J808" s="365"/>
      <c r="K808" s="365"/>
      <c r="L808" s="362" t="s">
        <v>12086</v>
      </c>
    </row>
    <row r="809" spans="1:12">
      <c r="A809" s="363">
        <f>VLOOKUP(B809, 'PubMed 4.14.21 Results'!B:B, 1, FALSE)</f>
        <v>28216284</v>
      </c>
      <c r="B809" s="363">
        <v>28216284</v>
      </c>
      <c r="C809" s="362" t="s">
        <v>12087</v>
      </c>
      <c r="D809" s="362" t="s">
        <v>12088</v>
      </c>
      <c r="E809" s="362" t="s">
        <v>12089</v>
      </c>
      <c r="F809" s="362" t="s">
        <v>8074</v>
      </c>
      <c r="G809" s="362" t="s">
        <v>12090</v>
      </c>
      <c r="H809" s="363">
        <v>2017</v>
      </c>
      <c r="I809" s="378">
        <v>42787</v>
      </c>
      <c r="J809" s="365"/>
      <c r="K809" s="365"/>
      <c r="L809" s="362" t="s">
        <v>12091</v>
      </c>
    </row>
    <row r="810" spans="1:12">
      <c r="A810" s="363">
        <f>VLOOKUP(B810, 'PubMed 4.14.21 Results'!B:B, 1, FALSE)</f>
        <v>28229274</v>
      </c>
      <c r="B810" s="363">
        <v>28229274</v>
      </c>
      <c r="C810" s="362" t="s">
        <v>12092</v>
      </c>
      <c r="D810" s="362" t="s">
        <v>12093</v>
      </c>
      <c r="E810" s="362" t="s">
        <v>12094</v>
      </c>
      <c r="F810" s="362" t="s">
        <v>7101</v>
      </c>
      <c r="G810" s="362" t="s">
        <v>11599</v>
      </c>
      <c r="H810" s="363">
        <v>2017</v>
      </c>
      <c r="I810" s="378">
        <v>42790</v>
      </c>
      <c r="J810" s="365"/>
      <c r="K810" s="365"/>
      <c r="L810" s="362" t="s">
        <v>12095</v>
      </c>
    </row>
    <row r="811" spans="1:12">
      <c r="A811" s="363">
        <f>VLOOKUP(B811, 'PubMed 4.14.21 Results'!B:B, 1, FALSE)</f>
        <v>28464026</v>
      </c>
      <c r="B811" s="363">
        <v>28464026</v>
      </c>
      <c r="C811" s="362" t="s">
        <v>12096</v>
      </c>
      <c r="D811" s="362" t="s">
        <v>12097</v>
      </c>
      <c r="E811" s="362" t="s">
        <v>12098</v>
      </c>
      <c r="F811" s="362" t="s">
        <v>4014</v>
      </c>
      <c r="G811" s="362" t="s">
        <v>11097</v>
      </c>
      <c r="H811" s="363">
        <v>2017</v>
      </c>
      <c r="I811" s="378">
        <v>42858</v>
      </c>
      <c r="J811" s="434" t="s">
        <v>6769</v>
      </c>
      <c r="K811" s="425"/>
      <c r="L811" s="362" t="s">
        <v>12099</v>
      </c>
    </row>
    <row r="812" spans="1:12">
      <c r="A812" s="363">
        <f>VLOOKUP(B812, 'PubMed 4.14.21 Results'!B:B, 1, FALSE)</f>
        <v>28494777</v>
      </c>
      <c r="B812" s="363">
        <v>28494777</v>
      </c>
      <c r="C812" s="362" t="s">
        <v>12100</v>
      </c>
      <c r="D812" s="362" t="s">
        <v>12101</v>
      </c>
      <c r="E812" s="362" t="s">
        <v>12102</v>
      </c>
      <c r="F812" s="362" t="s">
        <v>7266</v>
      </c>
      <c r="G812" s="362" t="s">
        <v>12103</v>
      </c>
      <c r="H812" s="363">
        <v>2017</v>
      </c>
      <c r="I812" s="378">
        <v>42868</v>
      </c>
      <c r="J812" s="434" t="s">
        <v>7267</v>
      </c>
      <c r="K812" s="425"/>
      <c r="L812" s="362" t="s">
        <v>12104</v>
      </c>
    </row>
    <row r="813" spans="1:12">
      <c r="A813" s="363">
        <f>VLOOKUP(B813, 'PubMed 4.14.21 Results'!B:B, 1, FALSE)</f>
        <v>28050885</v>
      </c>
      <c r="B813" s="363">
        <v>28050885</v>
      </c>
      <c r="C813" s="362" t="s">
        <v>12105</v>
      </c>
      <c r="D813" s="362" t="s">
        <v>12106</v>
      </c>
      <c r="E813" s="362" t="s">
        <v>12107</v>
      </c>
      <c r="F813" s="362" t="s">
        <v>6751</v>
      </c>
      <c r="G813" s="362" t="s">
        <v>9054</v>
      </c>
      <c r="H813" s="363">
        <v>2017</v>
      </c>
      <c r="I813" s="378">
        <v>42740</v>
      </c>
      <c r="J813" s="434" t="s">
        <v>6752</v>
      </c>
      <c r="K813" s="425"/>
      <c r="L813" s="362" t="s">
        <v>12108</v>
      </c>
    </row>
    <row r="814" spans="1:12">
      <c r="A814" s="363">
        <f>VLOOKUP(B814, 'PubMed 4.14.21 Results'!B:B, 1, FALSE)</f>
        <v>28333405</v>
      </c>
      <c r="B814" s="363">
        <v>28333405</v>
      </c>
      <c r="C814" s="362" t="s">
        <v>12109</v>
      </c>
      <c r="D814" s="362" t="s">
        <v>12110</v>
      </c>
      <c r="E814" s="362" t="s">
        <v>12111</v>
      </c>
      <c r="F814" s="362" t="s">
        <v>6950</v>
      </c>
      <c r="G814" s="362" t="s">
        <v>11215</v>
      </c>
      <c r="H814" s="363">
        <v>2017</v>
      </c>
      <c r="I814" s="378">
        <v>42818</v>
      </c>
      <c r="J814" s="365"/>
      <c r="K814" s="365"/>
      <c r="L814" s="362" t="s">
        <v>12112</v>
      </c>
    </row>
    <row r="815" spans="1:12">
      <c r="A815" s="363">
        <f>VLOOKUP(B815, 'PubMed 4.14.21 Results'!B:B, 1, FALSE)</f>
        <v>28363363</v>
      </c>
      <c r="B815" s="363">
        <v>28363363</v>
      </c>
      <c r="C815" s="362" t="s">
        <v>12113</v>
      </c>
      <c r="D815" s="362" t="s">
        <v>12114</v>
      </c>
      <c r="E815" s="362" t="s">
        <v>12115</v>
      </c>
      <c r="F815" s="362" t="s">
        <v>7887</v>
      </c>
      <c r="G815" s="362" t="s">
        <v>12116</v>
      </c>
      <c r="H815" s="363">
        <v>2017</v>
      </c>
      <c r="I815" s="378">
        <v>42827</v>
      </c>
      <c r="J815" s="365"/>
      <c r="K815" s="365"/>
      <c r="L815" s="362" t="s">
        <v>12117</v>
      </c>
    </row>
    <row r="816" spans="1:12">
      <c r="A816" s="363">
        <f>VLOOKUP(B816, 'PubMed 4.14.21 Results'!B:B, 1, FALSE)</f>
        <v>28436969</v>
      </c>
      <c r="B816" s="363">
        <v>28436969</v>
      </c>
      <c r="C816" s="362" t="s">
        <v>12118</v>
      </c>
      <c r="D816" s="362" t="s">
        <v>12119</v>
      </c>
      <c r="E816" s="362" t="s">
        <v>12120</v>
      </c>
      <c r="F816" s="362" t="s">
        <v>8056</v>
      </c>
      <c r="G816" s="362" t="s">
        <v>10111</v>
      </c>
      <c r="H816" s="363">
        <v>2017</v>
      </c>
      <c r="I816" s="378">
        <v>42850</v>
      </c>
      <c r="J816" s="365"/>
      <c r="K816" s="365"/>
      <c r="L816" s="362" t="s">
        <v>12121</v>
      </c>
    </row>
    <row r="817" spans="1:12">
      <c r="A817" s="363">
        <f>VLOOKUP(B817, 'PubMed 4.14.21 Results'!B:B, 1, FALSE)</f>
        <v>28459617</v>
      </c>
      <c r="B817" s="363">
        <v>28459617</v>
      </c>
      <c r="C817" s="362" t="s">
        <v>12122</v>
      </c>
      <c r="D817" s="362" t="s">
        <v>12123</v>
      </c>
      <c r="E817" s="362" t="s">
        <v>12124</v>
      </c>
      <c r="F817" s="362" t="s">
        <v>7096</v>
      </c>
      <c r="G817" s="362" t="s">
        <v>12125</v>
      </c>
      <c r="H817" s="363">
        <v>2017</v>
      </c>
      <c r="I817" s="378">
        <v>42857</v>
      </c>
      <c r="J817" s="434" t="s">
        <v>7097</v>
      </c>
      <c r="K817" s="425"/>
      <c r="L817" s="362" t="s">
        <v>12126</v>
      </c>
    </row>
    <row r="818" spans="1:12">
      <c r="A818" s="363">
        <f>VLOOKUP(B818, 'PubMed 4.14.21 Results'!B:B, 1, FALSE)</f>
        <v>28526233</v>
      </c>
      <c r="B818" s="363">
        <v>28526233</v>
      </c>
      <c r="C818" s="362" t="s">
        <v>12127</v>
      </c>
      <c r="D818" s="362" t="s">
        <v>12128</v>
      </c>
      <c r="E818" s="362" t="s">
        <v>12129</v>
      </c>
      <c r="F818" s="362" t="s">
        <v>7382</v>
      </c>
      <c r="G818" s="362" t="s">
        <v>10851</v>
      </c>
      <c r="H818" s="363">
        <v>2017</v>
      </c>
      <c r="I818" s="378">
        <v>42876</v>
      </c>
      <c r="J818" s="365"/>
      <c r="K818" s="365"/>
      <c r="L818" s="362" t="s">
        <v>12130</v>
      </c>
    </row>
    <row r="819" spans="1:12">
      <c r="A819" s="363">
        <f>VLOOKUP(B819, 'PubMed 4.14.21 Results'!B:B, 1, FALSE)</f>
        <v>28653869</v>
      </c>
      <c r="B819" s="363">
        <v>28653869</v>
      </c>
      <c r="C819" s="362" t="s">
        <v>12131</v>
      </c>
      <c r="D819" s="362" t="s">
        <v>12132</v>
      </c>
      <c r="E819" s="362" t="s">
        <v>12133</v>
      </c>
      <c r="F819" s="362" t="s">
        <v>6671</v>
      </c>
      <c r="G819" s="362" t="s">
        <v>12134</v>
      </c>
      <c r="H819" s="363">
        <v>2017</v>
      </c>
      <c r="I819" s="378">
        <v>42914</v>
      </c>
      <c r="J819" s="434" t="s">
        <v>6672</v>
      </c>
      <c r="K819" s="425"/>
      <c r="L819" s="362" t="s">
        <v>12135</v>
      </c>
    </row>
    <row r="820" spans="1:12">
      <c r="A820" s="363">
        <f>VLOOKUP(B820, 'PubMed 4.14.21 Results'!B:B, 1, FALSE)</f>
        <v>28592581</v>
      </c>
      <c r="B820" s="363">
        <v>28592581</v>
      </c>
      <c r="C820" s="362" t="s">
        <v>12136</v>
      </c>
      <c r="D820" s="362" t="s">
        <v>12137</v>
      </c>
      <c r="E820" s="362" t="s">
        <v>12138</v>
      </c>
      <c r="F820" s="362" t="s">
        <v>7292</v>
      </c>
      <c r="G820" s="362" t="s">
        <v>11650</v>
      </c>
      <c r="H820" s="363">
        <v>2017</v>
      </c>
      <c r="I820" s="378">
        <v>42895</v>
      </c>
      <c r="J820" s="434" t="s">
        <v>7293</v>
      </c>
      <c r="K820" s="425"/>
      <c r="L820" s="362" t="s">
        <v>12139</v>
      </c>
    </row>
    <row r="821" spans="1:12">
      <c r="A821" s="363">
        <f>VLOOKUP(B821, 'PubMed 4.14.21 Results'!B:B, 1, FALSE)</f>
        <v>28457665</v>
      </c>
      <c r="B821" s="363">
        <v>28457665</v>
      </c>
      <c r="C821" s="362" t="s">
        <v>12140</v>
      </c>
      <c r="D821" s="362" t="s">
        <v>12141</v>
      </c>
      <c r="E821" s="362" t="s">
        <v>12142</v>
      </c>
      <c r="F821" s="362" t="s">
        <v>4003</v>
      </c>
      <c r="G821" s="362" t="s">
        <v>10277</v>
      </c>
      <c r="H821" s="363">
        <v>2017</v>
      </c>
      <c r="I821" s="378">
        <v>42857</v>
      </c>
      <c r="J821" s="434" t="s">
        <v>6466</v>
      </c>
      <c r="K821" s="425"/>
      <c r="L821" s="362" t="s">
        <v>12143</v>
      </c>
    </row>
    <row r="822" spans="1:12">
      <c r="A822" s="363">
        <f>VLOOKUP(B822, 'PubMed 4.14.21 Results'!B:B, 1, FALSE)</f>
        <v>28603881</v>
      </c>
      <c r="B822" s="363">
        <v>28603881</v>
      </c>
      <c r="C822" s="362" t="s">
        <v>12144</v>
      </c>
      <c r="D822" s="362" t="s">
        <v>12145</v>
      </c>
      <c r="E822" s="362" t="s">
        <v>12146</v>
      </c>
      <c r="F822" s="362" t="s">
        <v>7052</v>
      </c>
      <c r="G822" s="362" t="s">
        <v>8857</v>
      </c>
      <c r="H822" s="363">
        <v>2017</v>
      </c>
      <c r="I822" s="378">
        <v>42899</v>
      </c>
      <c r="J822" s="434" t="s">
        <v>7053</v>
      </c>
      <c r="K822" s="425"/>
      <c r="L822" s="362" t="s">
        <v>12147</v>
      </c>
    </row>
    <row r="823" spans="1:12">
      <c r="A823" s="363">
        <f>VLOOKUP(B823, 'PubMed 4.14.21 Results'!B:B, 1, FALSE)</f>
        <v>28616094</v>
      </c>
      <c r="B823" s="363">
        <v>28616094</v>
      </c>
      <c r="C823" s="362" t="s">
        <v>12148</v>
      </c>
      <c r="D823" s="362" t="s">
        <v>12149</v>
      </c>
      <c r="E823" s="362" t="s">
        <v>12150</v>
      </c>
      <c r="F823" s="362" t="s">
        <v>6517</v>
      </c>
      <c r="G823" s="362" t="s">
        <v>12151</v>
      </c>
      <c r="H823" s="363">
        <v>2017</v>
      </c>
      <c r="I823" s="378">
        <v>42902</v>
      </c>
      <c r="J823" s="434" t="s">
        <v>6518</v>
      </c>
      <c r="K823" s="425"/>
      <c r="L823" s="362" t="s">
        <v>12152</v>
      </c>
    </row>
    <row r="824" spans="1:12">
      <c r="A824" s="363">
        <f>VLOOKUP(B824, 'PubMed 4.14.21 Results'!B:B, 1, FALSE)</f>
        <v>28477689</v>
      </c>
      <c r="B824" s="363">
        <v>28477689</v>
      </c>
      <c r="C824" s="362" t="s">
        <v>12153</v>
      </c>
      <c r="D824" s="362" t="s">
        <v>12154</v>
      </c>
      <c r="E824" s="362" t="s">
        <v>12155</v>
      </c>
      <c r="F824" s="362" t="s">
        <v>7733</v>
      </c>
      <c r="G824" s="362" t="s">
        <v>12156</v>
      </c>
      <c r="H824" s="363">
        <v>2017</v>
      </c>
      <c r="I824" s="378">
        <v>42863</v>
      </c>
      <c r="J824" s="365"/>
      <c r="K824" s="365"/>
      <c r="L824" s="362" t="s">
        <v>12157</v>
      </c>
    </row>
    <row r="825" spans="1:12">
      <c r="A825" s="363">
        <f>VLOOKUP(B825, 'PubMed 4.14.21 Results'!B:B, 1, FALSE)</f>
        <v>28220330</v>
      </c>
      <c r="B825" s="363">
        <v>28220330</v>
      </c>
      <c r="C825" s="362" t="s">
        <v>12158</v>
      </c>
      <c r="D825" s="362" t="s">
        <v>12159</v>
      </c>
      <c r="E825" s="362" t="s">
        <v>12160</v>
      </c>
      <c r="F825" s="362" t="s">
        <v>8105</v>
      </c>
      <c r="G825" s="362" t="s">
        <v>11599</v>
      </c>
      <c r="H825" s="363">
        <v>2017</v>
      </c>
      <c r="I825" s="378">
        <v>42788</v>
      </c>
      <c r="J825" s="365"/>
      <c r="K825" s="365"/>
      <c r="L825" s="362" t="s">
        <v>12161</v>
      </c>
    </row>
    <row r="826" spans="1:12">
      <c r="A826" s="363">
        <f>VLOOKUP(B826, 'PubMed 4.14.21 Results'!B:B, 1, FALSE)</f>
        <v>28420008</v>
      </c>
      <c r="B826" s="363">
        <v>28420008</v>
      </c>
      <c r="C826" s="362" t="s">
        <v>12162</v>
      </c>
      <c r="D826" s="362" t="s">
        <v>12163</v>
      </c>
      <c r="E826" s="362" t="s">
        <v>12164</v>
      </c>
      <c r="F826" s="362" t="s">
        <v>7753</v>
      </c>
      <c r="G826" s="362" t="s">
        <v>12165</v>
      </c>
      <c r="H826" s="363">
        <v>2017</v>
      </c>
      <c r="I826" s="378">
        <v>42844</v>
      </c>
      <c r="J826" s="365"/>
      <c r="K826" s="365"/>
      <c r="L826" s="362" t="s">
        <v>12166</v>
      </c>
    </row>
    <row r="827" spans="1:12">
      <c r="A827" s="363">
        <f>VLOOKUP(B827, 'PubMed 4.14.21 Results'!B:B, 1, FALSE)</f>
        <v>28424287</v>
      </c>
      <c r="B827" s="363">
        <v>28424287</v>
      </c>
      <c r="C827" s="362" t="s">
        <v>12167</v>
      </c>
      <c r="D827" s="362" t="s">
        <v>12168</v>
      </c>
      <c r="E827" s="362" t="s">
        <v>12169</v>
      </c>
      <c r="F827" s="362" t="s">
        <v>5230</v>
      </c>
      <c r="G827" s="362" t="s">
        <v>9821</v>
      </c>
      <c r="H827" s="363">
        <v>2017</v>
      </c>
      <c r="I827" s="378">
        <v>42846</v>
      </c>
      <c r="J827" s="434" t="s">
        <v>8135</v>
      </c>
      <c r="K827" s="425"/>
      <c r="L827" s="362" t="s">
        <v>12170</v>
      </c>
    </row>
    <row r="828" spans="1:12">
      <c r="A828" s="363">
        <f>VLOOKUP(B828, 'PubMed 4.14.21 Results'!B:B, 1, FALSE)</f>
        <v>28466147</v>
      </c>
      <c r="B828" s="363">
        <v>28466147</v>
      </c>
      <c r="C828" s="362" t="s">
        <v>12171</v>
      </c>
      <c r="D828" s="362" t="s">
        <v>12172</v>
      </c>
      <c r="E828" s="362" t="s">
        <v>12173</v>
      </c>
      <c r="F828" s="362" t="s">
        <v>7935</v>
      </c>
      <c r="G828" s="362" t="s">
        <v>8617</v>
      </c>
      <c r="H828" s="363">
        <v>2017</v>
      </c>
      <c r="I828" s="378">
        <v>42859</v>
      </c>
      <c r="J828" s="434" t="s">
        <v>7936</v>
      </c>
      <c r="K828" s="425"/>
      <c r="L828" s="362" t="s">
        <v>12174</v>
      </c>
    </row>
    <row r="829" spans="1:12">
      <c r="A829" s="363">
        <f>VLOOKUP(B829, 'PubMed 4.14.21 Results'!B:B, 1, FALSE)</f>
        <v>28486004</v>
      </c>
      <c r="B829" s="363">
        <v>28486004</v>
      </c>
      <c r="C829" s="362" t="s">
        <v>12175</v>
      </c>
      <c r="D829" s="362" t="s">
        <v>12176</v>
      </c>
      <c r="E829" s="362" t="s">
        <v>12177</v>
      </c>
      <c r="F829" s="362" t="s">
        <v>7532</v>
      </c>
      <c r="G829" s="362" t="s">
        <v>12178</v>
      </c>
      <c r="H829" s="363">
        <v>2017</v>
      </c>
      <c r="I829" s="378">
        <v>42865</v>
      </c>
      <c r="J829" s="365"/>
      <c r="K829" s="365"/>
      <c r="L829" s="362" t="s">
        <v>12179</v>
      </c>
    </row>
    <row r="830" spans="1:12">
      <c r="A830" s="363">
        <f>VLOOKUP(B830, 'PubMed 4.14.21 Results'!B:B, 1, FALSE)</f>
        <v>28596448</v>
      </c>
      <c r="B830" s="363">
        <v>28596448</v>
      </c>
      <c r="C830" s="362" t="s">
        <v>12180</v>
      </c>
      <c r="D830" s="362" t="s">
        <v>12181</v>
      </c>
      <c r="E830" s="362" t="s">
        <v>12182</v>
      </c>
      <c r="F830" s="362" t="s">
        <v>6550</v>
      </c>
      <c r="G830" s="362" t="s">
        <v>12183</v>
      </c>
      <c r="H830" s="363">
        <v>2017</v>
      </c>
      <c r="I830" s="378">
        <v>42896</v>
      </c>
      <c r="J830" s="365"/>
      <c r="K830" s="365"/>
      <c r="L830" s="362" t="s">
        <v>12184</v>
      </c>
    </row>
    <row r="831" spans="1:12">
      <c r="A831" s="363">
        <f>VLOOKUP(B831, 'PubMed 4.14.21 Results'!B:B, 1, FALSE)</f>
        <v>28606813</v>
      </c>
      <c r="B831" s="363">
        <v>28606813</v>
      </c>
      <c r="C831" s="362" t="s">
        <v>12185</v>
      </c>
      <c r="D831" s="362" t="s">
        <v>12186</v>
      </c>
      <c r="E831" s="362" t="s">
        <v>12187</v>
      </c>
      <c r="F831" s="362" t="s">
        <v>7612</v>
      </c>
      <c r="G831" s="362" t="s">
        <v>21</v>
      </c>
      <c r="H831" s="363">
        <v>2017</v>
      </c>
      <c r="I831" s="378">
        <v>42900</v>
      </c>
      <c r="J831" s="365"/>
      <c r="K831" s="365"/>
      <c r="L831" s="362" t="s">
        <v>12188</v>
      </c>
    </row>
    <row r="832" spans="1:12">
      <c r="A832" s="363">
        <f>VLOOKUP(B832, 'PubMed 4.14.21 Results'!B:B, 1, FALSE)</f>
        <v>28715157</v>
      </c>
      <c r="B832" s="363">
        <v>28715157</v>
      </c>
      <c r="C832" s="362" t="s">
        <v>12189</v>
      </c>
      <c r="D832" s="362" t="s">
        <v>12190</v>
      </c>
      <c r="E832" s="362" t="s">
        <v>12191</v>
      </c>
      <c r="F832" s="362" t="s">
        <v>6454</v>
      </c>
      <c r="G832" s="362" t="s">
        <v>12192</v>
      </c>
      <c r="H832" s="363">
        <v>2017</v>
      </c>
      <c r="I832" s="378">
        <v>42934</v>
      </c>
      <c r="J832" s="434" t="s">
        <v>6455</v>
      </c>
      <c r="K832" s="425"/>
      <c r="L832" s="362" t="s">
        <v>12193</v>
      </c>
    </row>
    <row r="833" spans="1:12">
      <c r="A833" s="363">
        <f>VLOOKUP(B833, 'PubMed 4.14.21 Results'!B:B, 1, FALSE)</f>
        <v>28640708</v>
      </c>
      <c r="B833" s="363">
        <v>28640708</v>
      </c>
      <c r="C833" s="362" t="s">
        <v>12194</v>
      </c>
      <c r="D833" s="362" t="s">
        <v>12195</v>
      </c>
      <c r="E833" s="362" t="s">
        <v>12196</v>
      </c>
      <c r="F833" s="362" t="s">
        <v>7651</v>
      </c>
      <c r="G833" s="362" t="s">
        <v>8547</v>
      </c>
      <c r="H833" s="363">
        <v>2017</v>
      </c>
      <c r="I833" s="378">
        <v>42909</v>
      </c>
      <c r="J833" s="365"/>
      <c r="K833" s="365"/>
      <c r="L833" s="362" t="s">
        <v>12197</v>
      </c>
    </row>
    <row r="834" spans="1:12">
      <c r="A834" s="363">
        <f>VLOOKUP(B834, 'PubMed 4.14.21 Results'!B:B, 1, FALSE)</f>
        <v>28111876</v>
      </c>
      <c r="B834" s="363">
        <v>28111876</v>
      </c>
      <c r="C834" s="362" t="s">
        <v>12198</v>
      </c>
      <c r="D834" s="362" t="s">
        <v>12199</v>
      </c>
      <c r="E834" s="362" t="s">
        <v>12200</v>
      </c>
      <c r="F834" s="362" t="s">
        <v>6886</v>
      </c>
      <c r="G834" s="362" t="s">
        <v>9966</v>
      </c>
      <c r="H834" s="363">
        <v>2017</v>
      </c>
      <c r="I834" s="378">
        <v>42759</v>
      </c>
      <c r="J834" s="365"/>
      <c r="K834" s="365"/>
      <c r="L834" s="362" t="s">
        <v>12201</v>
      </c>
    </row>
    <row r="835" spans="1:12">
      <c r="A835" s="363">
        <f>VLOOKUP(B835, 'PubMed 4.14.21 Results'!B:B, 1, FALSE)</f>
        <v>28265861</v>
      </c>
      <c r="B835" s="363">
        <v>28265861</v>
      </c>
      <c r="C835" s="362" t="s">
        <v>12202</v>
      </c>
      <c r="D835" s="362" t="s">
        <v>12203</v>
      </c>
      <c r="E835" s="362" t="s">
        <v>12204</v>
      </c>
      <c r="F835" s="362" t="s">
        <v>7522</v>
      </c>
      <c r="G835" s="362" t="s">
        <v>12205</v>
      </c>
      <c r="H835" s="363">
        <v>2017</v>
      </c>
      <c r="I835" s="378">
        <v>42802</v>
      </c>
      <c r="J835" s="365"/>
      <c r="K835" s="365"/>
      <c r="L835" s="362" t="s">
        <v>12206</v>
      </c>
    </row>
    <row r="836" spans="1:12">
      <c r="A836" s="363">
        <f>VLOOKUP(B836, 'PubMed 4.14.21 Results'!B:B, 1, FALSE)</f>
        <v>28586918</v>
      </c>
      <c r="B836" s="363">
        <v>28586918</v>
      </c>
      <c r="C836" s="362" t="s">
        <v>12207</v>
      </c>
      <c r="D836" s="362" t="s">
        <v>12208</v>
      </c>
      <c r="E836" s="362" t="s">
        <v>12209</v>
      </c>
      <c r="F836" s="362" t="s">
        <v>6434</v>
      </c>
      <c r="G836" s="362" t="s">
        <v>12210</v>
      </c>
      <c r="H836" s="363">
        <v>2017</v>
      </c>
      <c r="I836" s="378">
        <v>42893</v>
      </c>
      <c r="J836" s="434" t="s">
        <v>6435</v>
      </c>
      <c r="K836" s="425"/>
      <c r="L836" s="362" t="s">
        <v>12211</v>
      </c>
    </row>
    <row r="837" spans="1:12">
      <c r="A837" s="363">
        <f>VLOOKUP(B837, 'PubMed 4.14.21 Results'!B:B, 1, FALSE)</f>
        <v>28831993</v>
      </c>
      <c r="B837" s="363">
        <v>28831993</v>
      </c>
      <c r="C837" s="362" t="s">
        <v>12212</v>
      </c>
      <c r="D837" s="362" t="s">
        <v>12213</v>
      </c>
      <c r="E837" s="362" t="s">
        <v>12214</v>
      </c>
      <c r="F837" s="362" t="s">
        <v>7636</v>
      </c>
      <c r="G837" s="362" t="s">
        <v>9420</v>
      </c>
      <c r="H837" s="363">
        <v>2017</v>
      </c>
      <c r="I837" s="378">
        <v>42971</v>
      </c>
      <c r="J837" s="365"/>
      <c r="K837" s="365"/>
      <c r="L837" s="362" t="s">
        <v>12215</v>
      </c>
    </row>
    <row r="838" spans="1:12">
      <c r="A838" s="363">
        <f>VLOOKUP(B838, 'PubMed 4.14.21 Results'!B:B, 1, FALSE)</f>
        <v>28828759</v>
      </c>
      <c r="B838" s="363">
        <v>28828759</v>
      </c>
      <c r="C838" s="362" t="s">
        <v>12216</v>
      </c>
      <c r="D838" s="362" t="s">
        <v>12217</v>
      </c>
      <c r="E838" s="362" t="s">
        <v>12218</v>
      </c>
      <c r="F838" s="362" t="s">
        <v>7384</v>
      </c>
      <c r="G838" s="362" t="s">
        <v>8857</v>
      </c>
      <c r="H838" s="363">
        <v>2017</v>
      </c>
      <c r="I838" s="378">
        <v>42970</v>
      </c>
      <c r="J838" s="434" t="s">
        <v>7385</v>
      </c>
      <c r="K838" s="425"/>
      <c r="L838" s="362" t="s">
        <v>12219</v>
      </c>
    </row>
    <row r="839" spans="1:12">
      <c r="A839" s="363">
        <f>VLOOKUP(B839, 'PubMed 4.14.21 Results'!B:B, 1, FALSE)</f>
        <v>28499509</v>
      </c>
      <c r="B839" s="363">
        <v>28499509</v>
      </c>
      <c r="C839" s="362" t="s">
        <v>12220</v>
      </c>
      <c r="D839" s="362" t="s">
        <v>12221</v>
      </c>
      <c r="E839" s="362" t="s">
        <v>12222</v>
      </c>
      <c r="F839" s="362" t="s">
        <v>7084</v>
      </c>
      <c r="G839" s="362" t="s">
        <v>12223</v>
      </c>
      <c r="H839" s="363">
        <v>2017</v>
      </c>
      <c r="I839" s="378">
        <v>42869</v>
      </c>
      <c r="J839" s="365"/>
      <c r="K839" s="365"/>
      <c r="L839" s="362" t="s">
        <v>12224</v>
      </c>
    </row>
    <row r="840" spans="1:12">
      <c r="A840" s="363">
        <f>VLOOKUP(B840, 'PubMed 4.14.21 Results'!B:B, 1, FALSE)</f>
        <v>28728060</v>
      </c>
      <c r="B840" s="363">
        <v>28728060</v>
      </c>
      <c r="C840" s="362" t="s">
        <v>12225</v>
      </c>
      <c r="D840" s="362" t="s">
        <v>12226</v>
      </c>
      <c r="E840" s="362" t="s">
        <v>12227</v>
      </c>
      <c r="F840" s="362" t="s">
        <v>7648</v>
      </c>
      <c r="G840" s="362" t="s">
        <v>12228</v>
      </c>
      <c r="H840" s="363">
        <v>2017</v>
      </c>
      <c r="I840" s="378">
        <v>42937</v>
      </c>
      <c r="J840" s="365"/>
      <c r="K840" s="365"/>
      <c r="L840" s="362" t="s">
        <v>12229</v>
      </c>
    </row>
    <row r="841" spans="1:12">
      <c r="A841" s="363">
        <f>VLOOKUP(B841, 'PubMed 4.14.21 Results'!B:B, 1, FALSE)</f>
        <v>28765140</v>
      </c>
      <c r="B841" s="363">
        <v>28765140</v>
      </c>
      <c r="C841" s="362" t="s">
        <v>12230</v>
      </c>
      <c r="D841" s="362" t="s">
        <v>12231</v>
      </c>
      <c r="E841" s="362" t="s">
        <v>12232</v>
      </c>
      <c r="F841" s="362" t="s">
        <v>7039</v>
      </c>
      <c r="G841" s="362" t="s">
        <v>12233</v>
      </c>
      <c r="H841" s="363">
        <v>2017</v>
      </c>
      <c r="I841" s="378">
        <v>42950</v>
      </c>
      <c r="J841" s="434" t="s">
        <v>7040</v>
      </c>
      <c r="K841" s="425"/>
      <c r="L841" s="362" t="s">
        <v>12234</v>
      </c>
    </row>
    <row r="842" spans="1:12">
      <c r="A842" s="363">
        <f>VLOOKUP(B842, 'PubMed 4.14.21 Results'!B:B, 1, FALSE)</f>
        <v>28847985</v>
      </c>
      <c r="B842" s="363">
        <v>28847985</v>
      </c>
      <c r="C842" s="362" t="s">
        <v>12235</v>
      </c>
      <c r="D842" s="362" t="s">
        <v>12236</v>
      </c>
      <c r="E842" s="362" t="s">
        <v>12237</v>
      </c>
      <c r="F842" s="362" t="s">
        <v>8111</v>
      </c>
      <c r="G842" s="362" t="s">
        <v>8636</v>
      </c>
      <c r="H842" s="363">
        <v>2017</v>
      </c>
      <c r="I842" s="378">
        <v>42977</v>
      </c>
      <c r="J842" s="365"/>
      <c r="K842" s="365"/>
      <c r="L842" s="362" t="s">
        <v>12238</v>
      </c>
    </row>
    <row r="843" spans="1:12">
      <c r="A843" s="363">
        <f>VLOOKUP(B843, 'PubMed 4.14.21 Results'!B:B, 1, FALSE)</f>
        <v>28916599</v>
      </c>
      <c r="B843" s="363">
        <v>28916599</v>
      </c>
      <c r="C843" s="362" t="s">
        <v>12239</v>
      </c>
      <c r="D843" s="362" t="s">
        <v>12240</v>
      </c>
      <c r="E843" s="362" t="s">
        <v>12241</v>
      </c>
      <c r="F843" s="362" t="s">
        <v>8121</v>
      </c>
      <c r="G843" s="362" t="s">
        <v>10440</v>
      </c>
      <c r="H843" s="363">
        <v>2017</v>
      </c>
      <c r="I843" s="378">
        <v>42995</v>
      </c>
      <c r="J843" s="434" t="s">
        <v>8123</v>
      </c>
      <c r="K843" s="425"/>
      <c r="L843" s="362" t="s">
        <v>12242</v>
      </c>
    </row>
    <row r="844" spans="1:12">
      <c r="A844" s="363">
        <f>VLOOKUP(B844, 'PubMed 4.14.21 Results'!B:B, 1, FALSE)</f>
        <v>28967274</v>
      </c>
      <c r="B844" s="363">
        <v>28967274</v>
      </c>
      <c r="C844" s="362" t="s">
        <v>12243</v>
      </c>
      <c r="D844" s="362" t="s">
        <v>12244</v>
      </c>
      <c r="E844" s="362" t="s">
        <v>12245</v>
      </c>
      <c r="F844" s="362" t="s">
        <v>7125</v>
      </c>
      <c r="G844" s="362" t="s">
        <v>12246</v>
      </c>
      <c r="H844" s="363">
        <v>2017</v>
      </c>
      <c r="I844" s="378">
        <v>43011</v>
      </c>
      <c r="J844" s="365"/>
      <c r="K844" s="365"/>
      <c r="L844" s="362" t="s">
        <v>12247</v>
      </c>
    </row>
    <row r="845" spans="1:12">
      <c r="A845" s="363">
        <f>VLOOKUP(B845, 'PubMed 4.14.21 Results'!B:B, 1, FALSE)</f>
        <v>28915908</v>
      </c>
      <c r="B845" s="363">
        <v>28915908</v>
      </c>
      <c r="C845" s="362" t="s">
        <v>12248</v>
      </c>
      <c r="D845" s="362" t="s">
        <v>12249</v>
      </c>
      <c r="E845" s="362" t="s">
        <v>12250</v>
      </c>
      <c r="F845" s="362" t="s">
        <v>6599</v>
      </c>
      <c r="G845" s="362" t="s">
        <v>12251</v>
      </c>
      <c r="H845" s="363">
        <v>2017</v>
      </c>
      <c r="I845" s="378">
        <v>42995</v>
      </c>
      <c r="J845" s="434" t="s">
        <v>6600</v>
      </c>
      <c r="K845" s="425"/>
      <c r="L845" s="362" t="s">
        <v>12252</v>
      </c>
    </row>
    <row r="846" spans="1:12">
      <c r="A846" s="363">
        <f>VLOOKUP(B846, 'PubMed 4.14.21 Results'!B:B, 1, FALSE)</f>
        <v>28953447</v>
      </c>
      <c r="B846" s="363">
        <v>28953447</v>
      </c>
      <c r="C846" s="362" t="s">
        <v>12253</v>
      </c>
      <c r="D846" s="362" t="s">
        <v>12254</v>
      </c>
      <c r="E846" s="362" t="s">
        <v>12255</v>
      </c>
      <c r="F846" s="362" t="s">
        <v>7242</v>
      </c>
      <c r="G846" s="362" t="s">
        <v>8514</v>
      </c>
      <c r="H846" s="363">
        <v>2017</v>
      </c>
      <c r="I846" s="378">
        <v>43006</v>
      </c>
      <c r="J846" s="365"/>
      <c r="K846" s="365"/>
      <c r="L846" s="362" t="s">
        <v>12256</v>
      </c>
    </row>
    <row r="847" spans="1:12">
      <c r="A847" s="363">
        <f>VLOOKUP(B847, 'PubMed 4.14.21 Results'!B:B, 1, FALSE)</f>
        <v>28062950</v>
      </c>
      <c r="B847" s="363">
        <v>28062950</v>
      </c>
      <c r="C847" s="362" t="s">
        <v>12257</v>
      </c>
      <c r="D847" s="362" t="s">
        <v>12258</v>
      </c>
      <c r="E847" s="362" t="s">
        <v>12259</v>
      </c>
      <c r="F847" s="362" t="s">
        <v>7227</v>
      </c>
      <c r="G847" s="362" t="s">
        <v>12260</v>
      </c>
      <c r="H847" s="363">
        <v>2017</v>
      </c>
      <c r="I847" s="378">
        <v>42743</v>
      </c>
      <c r="J847" s="365"/>
      <c r="K847" s="365"/>
      <c r="L847" s="362" t="s">
        <v>12261</v>
      </c>
    </row>
    <row r="848" spans="1:12">
      <c r="A848" s="363">
        <f>VLOOKUP(B848, 'PubMed 4.14.21 Results'!B:B, 1, FALSE)</f>
        <v>28341755</v>
      </c>
      <c r="B848" s="363">
        <v>28341755</v>
      </c>
      <c r="C848" s="362" t="s">
        <v>12262</v>
      </c>
      <c r="D848" s="362" t="s">
        <v>12263</v>
      </c>
      <c r="E848" s="362" t="s">
        <v>12264</v>
      </c>
      <c r="F848" s="362" t="s">
        <v>7221</v>
      </c>
      <c r="G848" s="362" t="s">
        <v>12265</v>
      </c>
      <c r="H848" s="363">
        <v>2017</v>
      </c>
      <c r="I848" s="378">
        <v>42820</v>
      </c>
      <c r="J848" s="434" t="s">
        <v>7222</v>
      </c>
      <c r="K848" s="425"/>
      <c r="L848" s="362" t="s">
        <v>12266</v>
      </c>
    </row>
    <row r="849" spans="1:12">
      <c r="A849" s="363">
        <f>VLOOKUP(B849, 'PubMed 4.14.21 Results'!B:B, 1, FALSE)</f>
        <v>28557548</v>
      </c>
      <c r="B849" s="363">
        <v>28557548</v>
      </c>
      <c r="C849" s="362" t="s">
        <v>12267</v>
      </c>
      <c r="D849" s="362" t="s">
        <v>12268</v>
      </c>
      <c r="E849" s="362" t="s">
        <v>12269</v>
      </c>
      <c r="F849" s="362" t="s">
        <v>8063</v>
      </c>
      <c r="G849" s="362" t="s">
        <v>10810</v>
      </c>
      <c r="H849" s="363">
        <v>2017</v>
      </c>
      <c r="I849" s="378">
        <v>42886</v>
      </c>
      <c r="J849" s="434" t="s">
        <v>8064</v>
      </c>
      <c r="K849" s="425"/>
      <c r="L849" s="362" t="s">
        <v>12270</v>
      </c>
    </row>
    <row r="850" spans="1:12">
      <c r="A850" s="363">
        <f>VLOOKUP(B850, 'PubMed 4.14.21 Results'!B:B, 1, FALSE)</f>
        <v>28905498</v>
      </c>
      <c r="B850" s="363">
        <v>28905498</v>
      </c>
      <c r="C850" s="362" t="s">
        <v>12271</v>
      </c>
      <c r="D850" s="362" t="s">
        <v>12272</v>
      </c>
      <c r="E850" s="362" t="s">
        <v>12273</v>
      </c>
      <c r="F850" s="362" t="s">
        <v>7695</v>
      </c>
      <c r="G850" s="362" t="s">
        <v>12274</v>
      </c>
      <c r="H850" s="363">
        <v>2017</v>
      </c>
      <c r="I850" s="378">
        <v>42993</v>
      </c>
      <c r="J850" s="434" t="s">
        <v>7696</v>
      </c>
      <c r="K850" s="425"/>
      <c r="L850" s="362" t="s">
        <v>12275</v>
      </c>
    </row>
    <row r="851" spans="1:12">
      <c r="A851" s="363">
        <f>VLOOKUP(B851, 'PubMed 4.14.21 Results'!B:B, 1, FALSE)</f>
        <v>28917657</v>
      </c>
      <c r="B851" s="363">
        <v>28917657</v>
      </c>
      <c r="C851" s="362" t="s">
        <v>12276</v>
      </c>
      <c r="D851" s="362" t="s">
        <v>12277</v>
      </c>
      <c r="E851" s="362" t="s">
        <v>12278</v>
      </c>
      <c r="F851" s="362" t="s">
        <v>6848</v>
      </c>
      <c r="G851" s="362" t="s">
        <v>11312</v>
      </c>
      <c r="H851" s="363">
        <v>2017</v>
      </c>
      <c r="I851" s="378">
        <v>42996</v>
      </c>
      <c r="J851" s="365"/>
      <c r="K851" s="365"/>
      <c r="L851" s="362" t="s">
        <v>12279</v>
      </c>
    </row>
    <row r="852" spans="1:12">
      <c r="A852" s="363">
        <f>VLOOKUP(B852, 'PubMed 4.14.21 Results'!B:B, 1, FALSE)</f>
        <v>28938394</v>
      </c>
      <c r="B852" s="363">
        <v>28938394</v>
      </c>
      <c r="C852" s="362" t="s">
        <v>12280</v>
      </c>
      <c r="D852" s="362" t="s">
        <v>12281</v>
      </c>
      <c r="E852" s="362" t="s">
        <v>12282</v>
      </c>
      <c r="F852" s="362" t="s">
        <v>7321</v>
      </c>
      <c r="G852" s="362" t="s">
        <v>12283</v>
      </c>
      <c r="H852" s="363">
        <v>2017</v>
      </c>
      <c r="I852" s="378">
        <v>43001</v>
      </c>
      <c r="J852" s="365"/>
      <c r="K852" s="365"/>
      <c r="L852" s="362" t="s">
        <v>12284</v>
      </c>
    </row>
    <row r="853" spans="1:12">
      <c r="A853" s="363">
        <f>VLOOKUP(B853, 'PubMed 4.14.21 Results'!B:B, 1, FALSE)</f>
        <v>28992823</v>
      </c>
      <c r="B853" s="363">
        <v>28992823</v>
      </c>
      <c r="C853" s="362" t="s">
        <v>12285</v>
      </c>
      <c r="D853" s="362" t="s">
        <v>12286</v>
      </c>
      <c r="E853" s="362" t="s">
        <v>12287</v>
      </c>
      <c r="F853" s="362" t="s">
        <v>6835</v>
      </c>
      <c r="G853" s="362" t="s">
        <v>12288</v>
      </c>
      <c r="H853" s="363">
        <v>2017</v>
      </c>
      <c r="I853" s="378">
        <v>43019</v>
      </c>
      <c r="J853" s="365"/>
      <c r="K853" s="365"/>
      <c r="L853" s="362" t="s">
        <v>12289</v>
      </c>
    </row>
    <row r="854" spans="1:12">
      <c r="A854" s="363">
        <f>VLOOKUP(B854, 'PubMed 4.14.21 Results'!B:B, 1, FALSE)</f>
        <v>28983908</v>
      </c>
      <c r="B854" s="363">
        <v>28983908</v>
      </c>
      <c r="C854" s="362" t="s">
        <v>12290</v>
      </c>
      <c r="D854" s="362" t="s">
        <v>12291</v>
      </c>
      <c r="E854" s="362" t="s">
        <v>12292</v>
      </c>
      <c r="F854" s="362" t="s">
        <v>6523</v>
      </c>
      <c r="G854" s="362" t="s">
        <v>8857</v>
      </c>
      <c r="H854" s="363">
        <v>2017</v>
      </c>
      <c r="I854" s="378">
        <v>43015</v>
      </c>
      <c r="J854" s="434" t="s">
        <v>6524</v>
      </c>
      <c r="K854" s="425"/>
      <c r="L854" s="362" t="s">
        <v>12293</v>
      </c>
    </row>
    <row r="855" spans="1:12">
      <c r="A855" s="363">
        <f>VLOOKUP(B855, 'PubMed 4.14.21 Results'!B:B, 1, FALSE)</f>
        <v>28984368</v>
      </c>
      <c r="B855" s="363">
        <v>28984368</v>
      </c>
      <c r="C855" s="362" t="s">
        <v>12294</v>
      </c>
      <c r="D855" s="362" t="s">
        <v>12295</v>
      </c>
      <c r="E855" s="362" t="s">
        <v>12296</v>
      </c>
      <c r="F855" s="362" t="s">
        <v>7386</v>
      </c>
      <c r="G855" s="362" t="s">
        <v>8857</v>
      </c>
      <c r="H855" s="363">
        <v>2017</v>
      </c>
      <c r="I855" s="378">
        <v>43015</v>
      </c>
      <c r="J855" s="434" t="s">
        <v>7387</v>
      </c>
      <c r="K855" s="425"/>
      <c r="L855" s="362" t="s">
        <v>12297</v>
      </c>
    </row>
    <row r="856" spans="1:12">
      <c r="A856" s="363">
        <f>VLOOKUP(B856, 'PubMed 4.14.21 Results'!B:B, 1, FALSE)</f>
        <v>29469799</v>
      </c>
      <c r="B856" s="363">
        <v>29469799</v>
      </c>
      <c r="C856" s="362" t="s">
        <v>12298</v>
      </c>
      <c r="D856" s="362" t="s">
        <v>12299</v>
      </c>
      <c r="E856" s="362" t="s">
        <v>12300</v>
      </c>
      <c r="F856" s="362" t="s">
        <v>7690</v>
      </c>
      <c r="G856" s="362" t="s">
        <v>12301</v>
      </c>
      <c r="H856" s="363">
        <v>2017</v>
      </c>
      <c r="I856" s="378">
        <v>43154</v>
      </c>
      <c r="J856" s="365"/>
      <c r="K856" s="365"/>
      <c r="L856" s="365"/>
    </row>
    <row r="857" spans="1:12">
      <c r="A857" s="363">
        <f>VLOOKUP(B857, 'PubMed 4.14.21 Results'!B:B, 1, FALSE)</f>
        <v>28844541</v>
      </c>
      <c r="B857" s="363">
        <v>28844541</v>
      </c>
      <c r="C857" s="362" t="s">
        <v>12302</v>
      </c>
      <c r="D857" s="362" t="s">
        <v>12303</v>
      </c>
      <c r="E857" s="362" t="s">
        <v>12304</v>
      </c>
      <c r="F857" s="362" t="s">
        <v>7342</v>
      </c>
      <c r="G857" s="362" t="s">
        <v>12305</v>
      </c>
      <c r="H857" s="363">
        <v>2017</v>
      </c>
      <c r="I857" s="378">
        <v>42976</v>
      </c>
      <c r="J857" s="365"/>
      <c r="K857" s="365"/>
      <c r="L857" s="362" t="s">
        <v>12306</v>
      </c>
    </row>
    <row r="858" spans="1:12">
      <c r="A858" s="363">
        <f>VLOOKUP(B858, 'PubMed 4.14.21 Results'!B:B, 1, FALSE)</f>
        <v>28968735</v>
      </c>
      <c r="B858" s="363">
        <v>28968735</v>
      </c>
      <c r="C858" s="362" t="s">
        <v>12307</v>
      </c>
      <c r="D858" s="362" t="s">
        <v>12308</v>
      </c>
      <c r="E858" s="362" t="s">
        <v>12309</v>
      </c>
      <c r="F858" s="362" t="s">
        <v>7395</v>
      </c>
      <c r="G858" s="362" t="s">
        <v>12310</v>
      </c>
      <c r="H858" s="363">
        <v>2017</v>
      </c>
      <c r="I858" s="378">
        <v>43011</v>
      </c>
      <c r="J858" s="434" t="s">
        <v>7396</v>
      </c>
      <c r="K858" s="425"/>
      <c r="L858" s="362" t="s">
        <v>12311</v>
      </c>
    </row>
    <row r="859" spans="1:12">
      <c r="A859" s="363">
        <f>VLOOKUP(B859, 'PubMed 4.14.21 Results'!B:B, 1, FALSE)</f>
        <v>29040433</v>
      </c>
      <c r="B859" s="363">
        <v>29040433</v>
      </c>
      <c r="C859" s="362" t="s">
        <v>12312</v>
      </c>
      <c r="D859" s="362" t="s">
        <v>12313</v>
      </c>
      <c r="E859" s="362" t="s">
        <v>12314</v>
      </c>
      <c r="F859" s="362" t="s">
        <v>6977</v>
      </c>
      <c r="G859" s="362" t="s">
        <v>12315</v>
      </c>
      <c r="H859" s="363">
        <v>2017</v>
      </c>
      <c r="I859" s="378">
        <v>43026</v>
      </c>
      <c r="J859" s="365"/>
      <c r="K859" s="365"/>
      <c r="L859" s="362" t="s">
        <v>12316</v>
      </c>
    </row>
    <row r="860" spans="1:12">
      <c r="A860" s="363">
        <f>VLOOKUP(B860, 'PubMed 4.14.21 Results'!B:B, 1, FALSE)</f>
        <v>29202209</v>
      </c>
      <c r="B860" s="363">
        <v>29202209</v>
      </c>
      <c r="C860" s="362" t="s">
        <v>12317</v>
      </c>
      <c r="D860" s="362" t="s">
        <v>12318</v>
      </c>
      <c r="E860" s="362" t="s">
        <v>12319</v>
      </c>
      <c r="F860" s="362" t="s">
        <v>6957</v>
      </c>
      <c r="G860" s="362" t="s">
        <v>8584</v>
      </c>
      <c r="H860" s="363">
        <v>2017</v>
      </c>
      <c r="I860" s="378">
        <v>43074</v>
      </c>
      <c r="J860" s="365"/>
      <c r="K860" s="365"/>
      <c r="L860" s="362" t="s">
        <v>12320</v>
      </c>
    </row>
    <row r="861" spans="1:12">
      <c r="A861" s="363">
        <f>VLOOKUP(B861, 'PubMed 4.14.21 Results'!B:B, 1, FALSE)</f>
        <v>29190037</v>
      </c>
      <c r="B861" s="363">
        <v>29190037</v>
      </c>
      <c r="C861" s="362" t="s">
        <v>12321</v>
      </c>
      <c r="D861" s="362" t="s">
        <v>12322</v>
      </c>
      <c r="E861" s="362" t="s">
        <v>12323</v>
      </c>
      <c r="F861" s="362" t="s">
        <v>6552</v>
      </c>
      <c r="G861" s="362" t="s">
        <v>8857</v>
      </c>
      <c r="H861" s="363">
        <v>2017</v>
      </c>
      <c r="I861" s="378">
        <v>43070</v>
      </c>
      <c r="J861" s="434" t="s">
        <v>6553</v>
      </c>
      <c r="K861" s="425"/>
      <c r="L861" s="362" t="s">
        <v>12324</v>
      </c>
    </row>
    <row r="862" spans="1:12">
      <c r="A862" s="363">
        <f>VLOOKUP(B862, 'PubMed 4.14.21 Results'!B:B, 1, FALSE)</f>
        <v>29183280</v>
      </c>
      <c r="B862" s="363">
        <v>29183280</v>
      </c>
      <c r="C862" s="362" t="s">
        <v>12325</v>
      </c>
      <c r="D862" s="362" t="s">
        <v>12326</v>
      </c>
      <c r="E862" s="362" t="s">
        <v>12327</v>
      </c>
      <c r="F862" s="362" t="s">
        <v>6400</v>
      </c>
      <c r="G862" s="362" t="s">
        <v>9595</v>
      </c>
      <c r="H862" s="363">
        <v>2017</v>
      </c>
      <c r="I862" s="378">
        <v>43069</v>
      </c>
      <c r="J862" s="434" t="s">
        <v>6401</v>
      </c>
      <c r="K862" s="425"/>
      <c r="L862" s="362" t="s">
        <v>12328</v>
      </c>
    </row>
    <row r="863" spans="1:12">
      <c r="A863" s="363">
        <f>VLOOKUP(B863, 'PubMed 4.14.21 Results'!B:B, 1, FALSE)</f>
        <v>28752410</v>
      </c>
      <c r="B863" s="363">
        <v>28752410</v>
      </c>
      <c r="C863" s="362" t="s">
        <v>12329</v>
      </c>
      <c r="D863" s="362" t="s">
        <v>12330</v>
      </c>
      <c r="E863" s="362" t="s">
        <v>12331</v>
      </c>
      <c r="F863" s="362" t="s">
        <v>7243</v>
      </c>
      <c r="G863" s="362" t="s">
        <v>12205</v>
      </c>
      <c r="H863" s="363">
        <v>2017</v>
      </c>
      <c r="I863" s="378">
        <v>42945</v>
      </c>
      <c r="J863" s="362" t="s">
        <v>7244</v>
      </c>
      <c r="K863" s="362" t="s">
        <v>12332</v>
      </c>
      <c r="L863" s="362" t="s">
        <v>12333</v>
      </c>
    </row>
    <row r="864" spans="1:12">
      <c r="A864" s="363">
        <f>VLOOKUP(B864, 'PubMed 4.14.21 Results'!B:B, 1, FALSE)</f>
        <v>28906284</v>
      </c>
      <c r="B864" s="363">
        <v>28906284</v>
      </c>
      <c r="C864" s="362" t="s">
        <v>12334</v>
      </c>
      <c r="D864" s="362" t="s">
        <v>12335</v>
      </c>
      <c r="E864" s="362" t="s">
        <v>12336</v>
      </c>
      <c r="F864" s="362" t="s">
        <v>6787</v>
      </c>
      <c r="G864" s="362" t="s">
        <v>8504</v>
      </c>
      <c r="H864" s="363">
        <v>2017</v>
      </c>
      <c r="I864" s="378">
        <v>42993</v>
      </c>
      <c r="J864" s="365"/>
      <c r="K864" s="365"/>
      <c r="L864" s="362" t="s">
        <v>12337</v>
      </c>
    </row>
    <row r="865" spans="1:12">
      <c r="A865" s="363">
        <f>VLOOKUP(B865, 'PubMed 4.14.21 Results'!B:B, 1, FALSE)</f>
        <v>28906574</v>
      </c>
      <c r="B865" s="363">
        <v>28906574</v>
      </c>
      <c r="C865" s="362" t="s">
        <v>12338</v>
      </c>
      <c r="D865" s="362" t="s">
        <v>12339</v>
      </c>
      <c r="E865" s="362" t="s">
        <v>12340</v>
      </c>
      <c r="F865" s="362" t="s">
        <v>6658</v>
      </c>
      <c r="G865" s="362" t="s">
        <v>11118</v>
      </c>
      <c r="H865" s="363">
        <v>2017</v>
      </c>
      <c r="I865" s="378">
        <v>42993</v>
      </c>
      <c r="J865" s="365"/>
      <c r="K865" s="365"/>
      <c r="L865" s="362" t="s">
        <v>12341</v>
      </c>
    </row>
    <row r="866" spans="1:12">
      <c r="A866" s="363">
        <f>VLOOKUP(B866, 'PubMed 4.14.21 Results'!B:B, 1, FALSE)</f>
        <v>28920492</v>
      </c>
      <c r="B866" s="363">
        <v>28920492</v>
      </c>
      <c r="C866" s="362" t="s">
        <v>12342</v>
      </c>
      <c r="D866" s="362" t="s">
        <v>12343</v>
      </c>
      <c r="E866" s="362" t="s">
        <v>12344</v>
      </c>
      <c r="F866" s="362" t="s">
        <v>6980</v>
      </c>
      <c r="G866" s="362" t="s">
        <v>9976</v>
      </c>
      <c r="H866" s="363">
        <v>2017</v>
      </c>
      <c r="I866" s="378">
        <v>42997</v>
      </c>
      <c r="J866" s="365"/>
      <c r="K866" s="365"/>
      <c r="L866" s="362" t="s">
        <v>12345</v>
      </c>
    </row>
    <row r="867" spans="1:12">
      <c r="A867" s="363">
        <f>VLOOKUP(B867, 'PubMed 4.14.21 Results'!B:B, 1, FALSE)</f>
        <v>29025064</v>
      </c>
      <c r="B867" s="363">
        <v>29025064</v>
      </c>
      <c r="C867" s="362" t="s">
        <v>12346</v>
      </c>
      <c r="D867" s="362" t="s">
        <v>12347</v>
      </c>
      <c r="E867" s="362" t="s">
        <v>12348</v>
      </c>
      <c r="F867" s="362" t="s">
        <v>7499</v>
      </c>
      <c r="G867" s="362" t="s">
        <v>12349</v>
      </c>
      <c r="H867" s="363">
        <v>2017</v>
      </c>
      <c r="I867" s="378">
        <v>43021</v>
      </c>
      <c r="J867" s="434" t="s">
        <v>7500</v>
      </c>
      <c r="K867" s="425"/>
      <c r="L867" s="362" t="s">
        <v>12350</v>
      </c>
    </row>
    <row r="868" spans="1:12">
      <c r="A868" s="363">
        <f>VLOOKUP(B868, 'PubMed 4.14.21 Results'!B:B, 1, FALSE)</f>
        <v>29110140</v>
      </c>
      <c r="B868" s="363">
        <v>29110140</v>
      </c>
      <c r="C868" s="362" t="s">
        <v>12351</v>
      </c>
      <c r="D868" s="362" t="s">
        <v>12352</v>
      </c>
      <c r="E868" s="362" t="s">
        <v>12353</v>
      </c>
      <c r="F868" s="362" t="s">
        <v>7496</v>
      </c>
      <c r="G868" s="362" t="s">
        <v>9049</v>
      </c>
      <c r="H868" s="363">
        <v>2017</v>
      </c>
      <c r="I868" s="378">
        <v>43047</v>
      </c>
      <c r="J868" s="434" t="s">
        <v>7497</v>
      </c>
      <c r="K868" s="425"/>
      <c r="L868" s="362" t="s">
        <v>12354</v>
      </c>
    </row>
    <row r="869" spans="1:12">
      <c r="A869" s="363">
        <f>VLOOKUP(B869, 'PubMed 4.14.21 Results'!B:B, 1, FALSE)</f>
        <v>29171774</v>
      </c>
      <c r="B869" s="363">
        <v>29171774</v>
      </c>
      <c r="C869" s="362" t="s">
        <v>12355</v>
      </c>
      <c r="D869" s="362" t="s">
        <v>12356</v>
      </c>
      <c r="E869" s="362" t="s">
        <v>12357</v>
      </c>
      <c r="F869" s="362" t="s">
        <v>6673</v>
      </c>
      <c r="G869" s="362" t="s">
        <v>9785</v>
      </c>
      <c r="H869" s="363">
        <v>2017</v>
      </c>
      <c r="I869" s="378">
        <v>43064</v>
      </c>
      <c r="J869" s="365"/>
      <c r="K869" s="365"/>
      <c r="L869" s="362" t="s">
        <v>12358</v>
      </c>
    </row>
    <row r="870" spans="1:12">
      <c r="A870" s="363">
        <f>VLOOKUP(B870, 'PubMed 4.14.21 Results'!B:B, 1, FALSE)</f>
        <v>29390382</v>
      </c>
      <c r="B870" s="363">
        <v>29390382</v>
      </c>
      <c r="C870" s="362" t="s">
        <v>12359</v>
      </c>
      <c r="D870" s="362" t="s">
        <v>12360</v>
      </c>
      <c r="E870" s="362" t="s">
        <v>12361</v>
      </c>
      <c r="F870" s="362" t="s">
        <v>7843</v>
      </c>
      <c r="G870" s="362" t="s">
        <v>11908</v>
      </c>
      <c r="H870" s="363">
        <v>2017</v>
      </c>
      <c r="I870" s="378">
        <v>43134</v>
      </c>
      <c r="J870" s="434" t="s">
        <v>7844</v>
      </c>
      <c r="K870" s="425"/>
      <c r="L870" s="362" t="s">
        <v>12362</v>
      </c>
    </row>
    <row r="871" spans="1:12">
      <c r="A871" s="363">
        <f>VLOOKUP(B871, 'PubMed 4.14.21 Results'!B:B, 1, FALSE)</f>
        <v>29236286</v>
      </c>
      <c r="B871" s="363">
        <v>29236286</v>
      </c>
      <c r="C871" s="362" t="s">
        <v>12363</v>
      </c>
      <c r="D871" s="362" t="s">
        <v>12364</v>
      </c>
      <c r="E871" s="362" t="s">
        <v>12365</v>
      </c>
      <c r="F871" s="362" t="s">
        <v>7864</v>
      </c>
      <c r="G871" s="362" t="s">
        <v>8857</v>
      </c>
      <c r="H871" s="363">
        <v>2017</v>
      </c>
      <c r="I871" s="378">
        <v>43083</v>
      </c>
      <c r="J871" s="434" t="s">
        <v>7865</v>
      </c>
      <c r="K871" s="425"/>
      <c r="L871" s="362" t="s">
        <v>12366</v>
      </c>
    </row>
    <row r="872" spans="1:12">
      <c r="A872" s="363">
        <f>VLOOKUP(B872, 'PubMed 4.14.21 Results'!B:B, 1, FALSE)</f>
        <v>29046448</v>
      </c>
      <c r="B872" s="363">
        <v>29046448</v>
      </c>
      <c r="C872" s="362" t="s">
        <v>12367</v>
      </c>
      <c r="D872" s="362" t="s">
        <v>12368</v>
      </c>
      <c r="E872" s="362" t="s">
        <v>12369</v>
      </c>
      <c r="F872" s="362" t="s">
        <v>7882</v>
      </c>
      <c r="G872" s="362" t="s">
        <v>9821</v>
      </c>
      <c r="H872" s="363">
        <v>2017</v>
      </c>
      <c r="I872" s="378">
        <v>43028</v>
      </c>
      <c r="J872" s="434" t="s">
        <v>7883</v>
      </c>
      <c r="K872" s="425"/>
      <c r="L872" s="362" t="s">
        <v>12370</v>
      </c>
    </row>
    <row r="873" spans="1:12">
      <c r="A873" s="363">
        <f>VLOOKUP(B873, 'PubMed 4.14.21 Results'!B:B, 1, FALSE)</f>
        <v>29257353</v>
      </c>
      <c r="B873" s="363">
        <v>29257353</v>
      </c>
      <c r="C873" s="362" t="s">
        <v>10746</v>
      </c>
      <c r="D873" s="362" t="s">
        <v>12371</v>
      </c>
      <c r="E873" s="362" t="s">
        <v>12372</v>
      </c>
      <c r="F873" s="362" t="s">
        <v>6955</v>
      </c>
      <c r="G873" s="362" t="s">
        <v>8857</v>
      </c>
      <c r="H873" s="363">
        <v>2017</v>
      </c>
      <c r="I873" s="378">
        <v>43089</v>
      </c>
      <c r="J873" s="434" t="s">
        <v>6956</v>
      </c>
      <c r="K873" s="425"/>
      <c r="L873" s="362" t="s">
        <v>12373</v>
      </c>
    </row>
    <row r="874" spans="1:12">
      <c r="A874" s="363">
        <f>VLOOKUP(B874, 'PubMed 4.14.21 Results'!B:B, 1, FALSE)</f>
        <v>29265171</v>
      </c>
      <c r="B874" s="363">
        <v>29265171</v>
      </c>
      <c r="C874" s="362" t="s">
        <v>10789</v>
      </c>
      <c r="D874" s="362" t="s">
        <v>10790</v>
      </c>
      <c r="E874" s="362" t="s">
        <v>12374</v>
      </c>
      <c r="F874" s="362" t="s">
        <v>8130</v>
      </c>
      <c r="G874" s="362" t="s">
        <v>8857</v>
      </c>
      <c r="H874" s="363">
        <v>2017</v>
      </c>
      <c r="I874" s="378">
        <v>43091</v>
      </c>
      <c r="J874" s="434" t="s">
        <v>8131</v>
      </c>
      <c r="K874" s="425"/>
      <c r="L874" s="362" t="s">
        <v>12375</v>
      </c>
    </row>
    <row r="875" spans="1:12">
      <c r="A875" s="363">
        <f>VLOOKUP(B875, 'PubMed 4.14.21 Results'!B:B, 1, FALSE)</f>
        <v>28929521</v>
      </c>
      <c r="B875" s="363">
        <v>28929521</v>
      </c>
      <c r="C875" s="362" t="s">
        <v>12376</v>
      </c>
      <c r="D875" s="362" t="s">
        <v>12377</v>
      </c>
      <c r="E875" s="362" t="s">
        <v>12378</v>
      </c>
      <c r="F875" s="362" t="s">
        <v>6507</v>
      </c>
      <c r="G875" s="362" t="s">
        <v>9569</v>
      </c>
      <c r="H875" s="363">
        <v>2018</v>
      </c>
      <c r="I875" s="378">
        <v>42999</v>
      </c>
      <c r="J875" s="434" t="s">
        <v>6508</v>
      </c>
      <c r="K875" s="425"/>
      <c r="L875" s="362" t="s">
        <v>12379</v>
      </c>
    </row>
    <row r="876" spans="1:12">
      <c r="A876" s="363">
        <f>VLOOKUP(B876, 'PubMed 4.14.21 Results'!B:B, 1, FALSE)</f>
        <v>29093159</v>
      </c>
      <c r="B876" s="363">
        <v>29093159</v>
      </c>
      <c r="C876" s="362" t="s">
        <v>12380</v>
      </c>
      <c r="D876" s="362" t="s">
        <v>12381</v>
      </c>
      <c r="E876" s="362" t="s">
        <v>12382</v>
      </c>
      <c r="F876" s="362" t="s">
        <v>7398</v>
      </c>
      <c r="G876" s="362" t="s">
        <v>12383</v>
      </c>
      <c r="H876" s="363">
        <v>2018</v>
      </c>
      <c r="I876" s="378">
        <v>43042</v>
      </c>
      <c r="J876" s="365"/>
      <c r="K876" s="365"/>
      <c r="L876" s="362" t="s">
        <v>12384</v>
      </c>
    </row>
    <row r="877" spans="1:12">
      <c r="A877" s="363">
        <f>VLOOKUP(B877, 'PubMed 4.14.21 Results'!B:B, 1, FALSE)</f>
        <v>29301585</v>
      </c>
      <c r="B877" s="363">
        <v>29301585</v>
      </c>
      <c r="C877" s="362" t="s">
        <v>12385</v>
      </c>
      <c r="D877" s="362" t="s">
        <v>12386</v>
      </c>
      <c r="E877" s="362" t="s">
        <v>12387</v>
      </c>
      <c r="F877" s="362" t="s">
        <v>7026</v>
      </c>
      <c r="G877" s="362" t="s">
        <v>9906</v>
      </c>
      <c r="H877" s="363">
        <v>2018</v>
      </c>
      <c r="I877" s="378">
        <v>43106</v>
      </c>
      <c r="J877" s="434" t="s">
        <v>7027</v>
      </c>
      <c r="K877" s="425"/>
      <c r="L877" s="362" t="s">
        <v>12388</v>
      </c>
    </row>
    <row r="878" spans="1:12">
      <c r="A878" s="363">
        <f>VLOOKUP(B878, 'PubMed 4.14.21 Results'!B:B, 1, FALSE)</f>
        <v>29321063</v>
      </c>
      <c r="B878" s="363">
        <v>29321063</v>
      </c>
      <c r="C878" s="362" t="s">
        <v>12389</v>
      </c>
      <c r="D878" s="362" t="s">
        <v>12390</v>
      </c>
      <c r="E878" s="362" t="s">
        <v>12391</v>
      </c>
      <c r="F878" s="362" t="s">
        <v>7614</v>
      </c>
      <c r="G878" s="362" t="s">
        <v>12392</v>
      </c>
      <c r="H878" s="363">
        <v>2018</v>
      </c>
      <c r="I878" s="378">
        <v>43112</v>
      </c>
      <c r="J878" s="434" t="s">
        <v>7615</v>
      </c>
      <c r="K878" s="425"/>
      <c r="L878" s="362" t="s">
        <v>12393</v>
      </c>
    </row>
    <row r="879" spans="1:12">
      <c r="A879" s="363">
        <f>VLOOKUP(B879, 'PubMed 4.14.21 Results'!B:B, 1, FALSE)</f>
        <v>29372930</v>
      </c>
      <c r="B879" s="363">
        <v>29372930</v>
      </c>
      <c r="C879" s="362" t="s">
        <v>12394</v>
      </c>
      <c r="D879" s="362" t="s">
        <v>12395</v>
      </c>
      <c r="E879" s="362" t="s">
        <v>12396</v>
      </c>
      <c r="F879" s="362" t="s">
        <v>6419</v>
      </c>
      <c r="G879" s="362" t="s">
        <v>8857</v>
      </c>
      <c r="H879" s="363">
        <v>2018</v>
      </c>
      <c r="I879" s="378">
        <v>43127</v>
      </c>
      <c r="J879" s="434" t="s">
        <v>6420</v>
      </c>
      <c r="K879" s="425"/>
      <c r="L879" s="362" t="s">
        <v>12397</v>
      </c>
    </row>
    <row r="880" spans="1:12">
      <c r="A880" s="363">
        <f>VLOOKUP(B880, 'PubMed 4.14.21 Results'!B:B, 1, FALSE)</f>
        <v>29135651</v>
      </c>
      <c r="B880" s="363">
        <v>29135651</v>
      </c>
      <c r="C880" s="362" t="s">
        <v>12398</v>
      </c>
      <c r="D880" s="362" t="s">
        <v>12399</v>
      </c>
      <c r="E880" s="362" t="s">
        <v>12400</v>
      </c>
      <c r="F880" s="362" t="s">
        <v>7688</v>
      </c>
      <c r="G880" s="362" t="s">
        <v>12401</v>
      </c>
      <c r="H880" s="363">
        <v>2018</v>
      </c>
      <c r="I880" s="378">
        <v>43054</v>
      </c>
      <c r="J880" s="362" t="s">
        <v>7689</v>
      </c>
      <c r="K880" s="362" t="s">
        <v>12402</v>
      </c>
      <c r="L880" s="362" t="s">
        <v>12403</v>
      </c>
    </row>
    <row r="881" spans="1:12">
      <c r="A881" s="363">
        <f>VLOOKUP(B881, 'PubMed 4.14.21 Results'!B:B, 1, FALSE)</f>
        <v>29188358</v>
      </c>
      <c r="B881" s="363">
        <v>29188358</v>
      </c>
      <c r="C881" s="362" t="s">
        <v>12404</v>
      </c>
      <c r="D881" s="362" t="s">
        <v>12405</v>
      </c>
      <c r="E881" s="362" t="s">
        <v>12406</v>
      </c>
      <c r="F881" s="362" t="s">
        <v>6868</v>
      </c>
      <c r="G881" s="362" t="s">
        <v>9831</v>
      </c>
      <c r="H881" s="363">
        <v>2018</v>
      </c>
      <c r="I881" s="378">
        <v>43070</v>
      </c>
      <c r="J881" s="365"/>
      <c r="K881" s="365"/>
      <c r="L881" s="362" t="s">
        <v>12407</v>
      </c>
    </row>
    <row r="882" spans="1:12">
      <c r="A882" s="363">
        <f>VLOOKUP(B882, 'PubMed 4.14.21 Results'!B:B, 1, FALSE)</f>
        <v>29242014</v>
      </c>
      <c r="B882" s="363">
        <v>29242014</v>
      </c>
      <c r="C882" s="362" t="s">
        <v>12408</v>
      </c>
      <c r="D882" s="362" t="s">
        <v>12409</v>
      </c>
      <c r="E882" s="362" t="s">
        <v>12410</v>
      </c>
      <c r="F882" s="362" t="s">
        <v>6432</v>
      </c>
      <c r="G882" s="362" t="s">
        <v>12411</v>
      </c>
      <c r="H882" s="363">
        <v>2018</v>
      </c>
      <c r="I882" s="378">
        <v>43085</v>
      </c>
      <c r="J882" s="362" t="s">
        <v>6433</v>
      </c>
      <c r="K882" s="362" t="s">
        <v>12412</v>
      </c>
      <c r="L882" s="362" t="s">
        <v>12413</v>
      </c>
    </row>
    <row r="883" spans="1:12">
      <c r="A883" s="363">
        <f>VLOOKUP(B883, 'PubMed 4.14.21 Results'!B:B, 1, FALSE)</f>
        <v>29390169</v>
      </c>
      <c r="B883" s="363">
        <v>29390169</v>
      </c>
      <c r="C883" s="362" t="s">
        <v>12414</v>
      </c>
      <c r="D883" s="362" t="s">
        <v>12415</v>
      </c>
      <c r="E883" s="362" t="s">
        <v>12416</v>
      </c>
      <c r="F883" s="362" t="s">
        <v>6699</v>
      </c>
      <c r="G883" s="362" t="s">
        <v>8857</v>
      </c>
      <c r="H883" s="363">
        <v>2018</v>
      </c>
      <c r="I883" s="378">
        <v>43133</v>
      </c>
      <c r="J883" s="434" t="s">
        <v>6700</v>
      </c>
      <c r="K883" s="425"/>
      <c r="L883" s="362" t="s">
        <v>12417</v>
      </c>
    </row>
    <row r="884" spans="1:12">
      <c r="A884" s="363">
        <f>VLOOKUP(B884, 'PubMed 4.14.21 Results'!B:B, 1, FALSE)</f>
        <v>29393044</v>
      </c>
      <c r="B884" s="363">
        <v>29393044</v>
      </c>
      <c r="C884" s="362" t="s">
        <v>12418</v>
      </c>
      <c r="D884" s="362" t="s">
        <v>12419</v>
      </c>
      <c r="E884" s="362" t="s">
        <v>12420</v>
      </c>
      <c r="F884" s="362" t="s">
        <v>7608</v>
      </c>
      <c r="G884" s="362" t="s">
        <v>10890</v>
      </c>
      <c r="H884" s="363">
        <v>2018</v>
      </c>
      <c r="I884" s="378">
        <v>43134</v>
      </c>
      <c r="J884" s="365"/>
      <c r="K884" s="365"/>
      <c r="L884" s="365"/>
    </row>
    <row r="885" spans="1:12">
      <c r="A885" s="363">
        <f>VLOOKUP(B885, 'PubMed 4.14.21 Results'!B:B, 1, FALSE)</f>
        <v>29421012</v>
      </c>
      <c r="B885" s="363">
        <v>29421012</v>
      </c>
      <c r="C885" s="362" t="s">
        <v>12421</v>
      </c>
      <c r="D885" s="362" t="s">
        <v>12422</v>
      </c>
      <c r="E885" s="362" t="s">
        <v>12423</v>
      </c>
      <c r="F885" s="362" t="s">
        <v>6999</v>
      </c>
      <c r="G885" s="362" t="s">
        <v>8665</v>
      </c>
      <c r="H885" s="363">
        <v>2018</v>
      </c>
      <c r="I885" s="378">
        <v>43140</v>
      </c>
      <c r="J885" s="365"/>
      <c r="K885" s="365"/>
      <c r="L885" s="362" t="s">
        <v>12424</v>
      </c>
    </row>
    <row r="886" spans="1:12">
      <c r="A886" s="363">
        <f>VLOOKUP(B886, 'PubMed 4.14.21 Results'!B:B, 1, FALSE)</f>
        <v>29482720</v>
      </c>
      <c r="B886" s="363">
        <v>29482720</v>
      </c>
      <c r="C886" s="362" t="s">
        <v>12425</v>
      </c>
      <c r="D886" s="362" t="s">
        <v>12426</v>
      </c>
      <c r="E886" s="362" t="s">
        <v>12427</v>
      </c>
      <c r="F886" s="362" t="s">
        <v>1255</v>
      </c>
      <c r="G886" s="362" t="s">
        <v>12428</v>
      </c>
      <c r="H886" s="363">
        <v>2018</v>
      </c>
      <c r="I886" s="378">
        <v>43159</v>
      </c>
      <c r="J886" s="434" t="s">
        <v>4215</v>
      </c>
      <c r="K886" s="425"/>
      <c r="L886" s="362" t="s">
        <v>12429</v>
      </c>
    </row>
    <row r="887" spans="1:12">
      <c r="A887" s="363">
        <f>VLOOKUP(B887, 'PubMed 4.14.21 Results'!B:B, 1, FALSE)</f>
        <v>28539069</v>
      </c>
      <c r="B887" s="363">
        <v>28539069</v>
      </c>
      <c r="C887" s="362" t="s">
        <v>12430</v>
      </c>
      <c r="D887" s="362" t="s">
        <v>12431</v>
      </c>
      <c r="E887" s="362" t="s">
        <v>12432</v>
      </c>
      <c r="F887" s="362" t="s">
        <v>7784</v>
      </c>
      <c r="G887" s="362" t="s">
        <v>12433</v>
      </c>
      <c r="H887" s="363">
        <v>2018</v>
      </c>
      <c r="I887" s="378">
        <v>42881</v>
      </c>
      <c r="J887" s="365"/>
      <c r="K887" s="365"/>
      <c r="L887" s="362" t="s">
        <v>12434</v>
      </c>
    </row>
    <row r="888" spans="1:12">
      <c r="A888" s="363">
        <f>VLOOKUP(B888, 'PubMed 4.14.21 Results'!B:B, 1, FALSE)</f>
        <v>29092786</v>
      </c>
      <c r="B888" s="363">
        <v>29092786</v>
      </c>
      <c r="C888" s="362" t="s">
        <v>12435</v>
      </c>
      <c r="D888" s="362" t="s">
        <v>12436</v>
      </c>
      <c r="E888" s="362" t="s">
        <v>12437</v>
      </c>
      <c r="F888" s="362" t="s">
        <v>6536</v>
      </c>
      <c r="G888" s="362" t="s">
        <v>12438</v>
      </c>
      <c r="H888" s="363">
        <v>2018</v>
      </c>
      <c r="I888" s="378">
        <v>43042</v>
      </c>
      <c r="J888" s="365"/>
      <c r="K888" s="365"/>
      <c r="L888" s="362" t="s">
        <v>12439</v>
      </c>
    </row>
    <row r="889" spans="1:12">
      <c r="A889" s="363">
        <f>VLOOKUP(B889, 'PubMed 4.14.21 Results'!B:B, 1, FALSE)</f>
        <v>29096426</v>
      </c>
      <c r="B889" s="363">
        <v>29096426</v>
      </c>
      <c r="C889" s="362" t="s">
        <v>12440</v>
      </c>
      <c r="D889" s="362" t="s">
        <v>12441</v>
      </c>
      <c r="E889" s="362" t="s">
        <v>12442</v>
      </c>
      <c r="F889" s="362" t="s">
        <v>7871</v>
      </c>
      <c r="G889" s="362" t="s">
        <v>9569</v>
      </c>
      <c r="H889" s="363">
        <v>2018</v>
      </c>
      <c r="I889" s="378">
        <v>43042</v>
      </c>
      <c r="J889" s="434" t="s">
        <v>7872</v>
      </c>
      <c r="K889" s="425"/>
      <c r="L889" s="362" t="s">
        <v>12443</v>
      </c>
    </row>
    <row r="890" spans="1:12">
      <c r="A890" s="363">
        <f>VLOOKUP(B890, 'PubMed 4.14.21 Results'!B:B, 1, FALSE)</f>
        <v>29269418</v>
      </c>
      <c r="B890" s="363">
        <v>29269418</v>
      </c>
      <c r="C890" s="362" t="s">
        <v>12444</v>
      </c>
      <c r="D890" s="362" t="s">
        <v>12445</v>
      </c>
      <c r="E890" s="362" t="s">
        <v>12446</v>
      </c>
      <c r="F890" s="362" t="s">
        <v>6714</v>
      </c>
      <c r="G890" s="362" t="s">
        <v>10805</v>
      </c>
      <c r="H890" s="363">
        <v>2018</v>
      </c>
      <c r="I890" s="378">
        <v>43092</v>
      </c>
      <c r="J890" s="365"/>
      <c r="K890" s="365"/>
      <c r="L890" s="362" t="s">
        <v>12447</v>
      </c>
    </row>
    <row r="891" spans="1:12">
      <c r="A891" s="363">
        <f>VLOOKUP(B891, 'PubMed 4.14.21 Results'!B:B, 1, FALSE)</f>
        <v>29275068</v>
      </c>
      <c r="B891" s="363">
        <v>29275068</v>
      </c>
      <c r="C891" s="362" t="s">
        <v>12448</v>
      </c>
      <c r="D891" s="362" t="s">
        <v>12449</v>
      </c>
      <c r="E891" s="362" t="s">
        <v>12450</v>
      </c>
      <c r="F891" s="362" t="s">
        <v>6803</v>
      </c>
      <c r="G891" s="362" t="s">
        <v>12065</v>
      </c>
      <c r="H891" s="363">
        <v>2018</v>
      </c>
      <c r="I891" s="378">
        <v>43094</v>
      </c>
      <c r="J891" s="365"/>
      <c r="K891" s="365"/>
      <c r="L891" s="362" t="s">
        <v>12451</v>
      </c>
    </row>
    <row r="892" spans="1:12">
      <c r="A892" s="363">
        <f>VLOOKUP(B892, 'PubMed 4.14.21 Results'!B:B, 1, FALSE)</f>
        <v>29596045</v>
      </c>
      <c r="B892" s="363">
        <v>29596045</v>
      </c>
      <c r="C892" s="362" t="s">
        <v>12452</v>
      </c>
      <c r="D892" s="362" t="s">
        <v>12453</v>
      </c>
      <c r="E892" s="362" t="s">
        <v>12454</v>
      </c>
      <c r="F892" s="362" t="s">
        <v>7048</v>
      </c>
      <c r="G892" s="362" t="s">
        <v>9359</v>
      </c>
      <c r="H892" s="363">
        <v>2018</v>
      </c>
      <c r="I892" s="378">
        <v>43189</v>
      </c>
      <c r="J892" s="434" t="s">
        <v>7049</v>
      </c>
      <c r="K892" s="425"/>
      <c r="L892" s="362" t="s">
        <v>12455</v>
      </c>
    </row>
    <row r="893" spans="1:12">
      <c r="A893" s="363">
        <f>VLOOKUP(B893, 'PubMed 4.14.21 Results'!B:B, 1, FALSE)</f>
        <v>29714519</v>
      </c>
      <c r="B893" s="363">
        <v>29714519</v>
      </c>
      <c r="C893" s="362" t="s">
        <v>12456</v>
      </c>
      <c r="D893" s="362" t="s">
        <v>12457</v>
      </c>
      <c r="E893" s="362" t="s">
        <v>12458</v>
      </c>
      <c r="F893" s="362" t="s">
        <v>8147</v>
      </c>
      <c r="G893" s="362" t="s">
        <v>12459</v>
      </c>
      <c r="H893" s="363">
        <v>2018</v>
      </c>
      <c r="I893" s="378">
        <v>43222</v>
      </c>
      <c r="J893" s="365"/>
      <c r="K893" s="365"/>
      <c r="L893" s="362" t="s">
        <v>12460</v>
      </c>
    </row>
    <row r="894" spans="1:12">
      <c r="A894" s="363">
        <f>VLOOKUP(B894, 'PubMed 4.14.21 Results'!B:B, 1, FALSE)</f>
        <v>29514306</v>
      </c>
      <c r="B894" s="363">
        <v>29514306</v>
      </c>
      <c r="C894" s="362" t="s">
        <v>12461</v>
      </c>
      <c r="D894" s="362" t="s">
        <v>12462</v>
      </c>
      <c r="E894" s="362" t="s">
        <v>12463</v>
      </c>
      <c r="F894" s="362" t="s">
        <v>7691</v>
      </c>
      <c r="G894" s="362" t="s">
        <v>9497</v>
      </c>
      <c r="H894" s="363">
        <v>2018</v>
      </c>
      <c r="I894" s="378">
        <v>43167</v>
      </c>
      <c r="J894" s="434" t="s">
        <v>7692</v>
      </c>
      <c r="K894" s="425"/>
      <c r="L894" s="362" t="s">
        <v>12464</v>
      </c>
    </row>
    <row r="895" spans="1:12">
      <c r="A895" s="363">
        <f>VLOOKUP(B895, 'PubMed 4.14.21 Results'!B:B, 1, FALSE)</f>
        <v>29580220</v>
      </c>
      <c r="B895" s="363">
        <v>29580220</v>
      </c>
      <c r="C895" s="362" t="s">
        <v>12465</v>
      </c>
      <c r="D895" s="362" t="s">
        <v>12466</v>
      </c>
      <c r="E895" s="362" t="s">
        <v>12467</v>
      </c>
      <c r="F895" s="362" t="s">
        <v>7537</v>
      </c>
      <c r="G895" s="362" t="s">
        <v>12468</v>
      </c>
      <c r="H895" s="363">
        <v>2018</v>
      </c>
      <c r="I895" s="378">
        <v>43187</v>
      </c>
      <c r="J895" s="434" t="s">
        <v>7538</v>
      </c>
      <c r="K895" s="425"/>
      <c r="L895" s="362" t="s">
        <v>12469</v>
      </c>
    </row>
    <row r="896" spans="1:12">
      <c r="A896" s="363">
        <f>VLOOKUP(B896, 'PubMed 4.14.21 Results'!B:B, 1, FALSE)</f>
        <v>29590182</v>
      </c>
      <c r="B896" s="363">
        <v>29590182</v>
      </c>
      <c r="C896" s="362" t="s">
        <v>12470</v>
      </c>
      <c r="D896" s="362" t="s">
        <v>12471</v>
      </c>
      <c r="E896" s="362" t="s">
        <v>12472</v>
      </c>
      <c r="F896" s="362" t="s">
        <v>4053</v>
      </c>
      <c r="G896" s="362" t="s">
        <v>10379</v>
      </c>
      <c r="H896" s="363">
        <v>2018</v>
      </c>
      <c r="I896" s="378">
        <v>43188</v>
      </c>
      <c r="J896" s="434" t="s">
        <v>7629</v>
      </c>
      <c r="K896" s="425"/>
      <c r="L896" s="362" t="s">
        <v>12473</v>
      </c>
    </row>
    <row r="897" spans="1:12">
      <c r="A897" s="363">
        <f>VLOOKUP(B897, 'PubMed 4.14.21 Results'!B:B, 1, FALSE)</f>
        <v>29284183</v>
      </c>
      <c r="B897" s="363">
        <v>29284183</v>
      </c>
      <c r="C897" s="362" t="s">
        <v>12474</v>
      </c>
      <c r="D897" s="362" t="s">
        <v>12475</v>
      </c>
      <c r="E897" s="362" t="s">
        <v>12476</v>
      </c>
      <c r="F897" s="362" t="s">
        <v>7666</v>
      </c>
      <c r="G897" s="362" t="s">
        <v>10263</v>
      </c>
      <c r="H897" s="363">
        <v>2018</v>
      </c>
      <c r="I897" s="378">
        <v>43098</v>
      </c>
      <c r="J897" s="365"/>
      <c r="K897" s="365"/>
      <c r="L897" s="362" t="s">
        <v>12477</v>
      </c>
    </row>
    <row r="898" spans="1:12">
      <c r="A898" s="363">
        <f>VLOOKUP(B898, 'PubMed 4.14.21 Results'!B:B, 1, FALSE)</f>
        <v>29329957</v>
      </c>
      <c r="B898" s="363">
        <v>29329957</v>
      </c>
      <c r="C898" s="362" t="s">
        <v>12478</v>
      </c>
      <c r="D898" s="362" t="s">
        <v>12479</v>
      </c>
      <c r="E898" s="362" t="s">
        <v>12480</v>
      </c>
      <c r="F898" s="362" t="s">
        <v>6507</v>
      </c>
      <c r="G898" s="362" t="s">
        <v>10976</v>
      </c>
      <c r="H898" s="363">
        <v>2018</v>
      </c>
      <c r="I898" s="378">
        <v>43114</v>
      </c>
      <c r="J898" s="362" t="s">
        <v>6511</v>
      </c>
      <c r="K898" s="362" t="s">
        <v>12481</v>
      </c>
      <c r="L898" s="362" t="s">
        <v>12482</v>
      </c>
    </row>
    <row r="899" spans="1:12">
      <c r="A899" s="363">
        <f>VLOOKUP(B899, 'PubMed 4.14.21 Results'!B:B, 1, FALSE)</f>
        <v>29371475</v>
      </c>
      <c r="B899" s="363">
        <v>29371475</v>
      </c>
      <c r="C899" s="362" t="s">
        <v>12483</v>
      </c>
      <c r="D899" s="362" t="s">
        <v>12484</v>
      </c>
      <c r="E899" s="362" t="s">
        <v>12485</v>
      </c>
      <c r="F899" s="362" t="s">
        <v>6740</v>
      </c>
      <c r="G899" s="362" t="s">
        <v>10116</v>
      </c>
      <c r="H899" s="363">
        <v>2018</v>
      </c>
      <c r="I899" s="378">
        <v>43127</v>
      </c>
      <c r="J899" s="434" t="s">
        <v>6741</v>
      </c>
      <c r="K899" s="425"/>
      <c r="L899" s="362" t="s">
        <v>12486</v>
      </c>
    </row>
    <row r="900" spans="1:12">
      <c r="A900" s="363">
        <f>VLOOKUP(B900, 'PubMed 4.14.21 Results'!B:B, 1, FALSE)</f>
        <v>29423947</v>
      </c>
      <c r="B900" s="363">
        <v>29423947</v>
      </c>
      <c r="C900" s="362" t="s">
        <v>12487</v>
      </c>
      <c r="D900" s="362" t="s">
        <v>12488</v>
      </c>
      <c r="E900" s="362" t="s">
        <v>12489</v>
      </c>
      <c r="F900" s="362" t="s">
        <v>6917</v>
      </c>
      <c r="G900" s="362" t="s">
        <v>10263</v>
      </c>
      <c r="H900" s="363">
        <v>2018</v>
      </c>
      <c r="I900" s="378">
        <v>43141</v>
      </c>
      <c r="J900" s="365"/>
      <c r="K900" s="365"/>
      <c r="L900" s="362" t="s">
        <v>12490</v>
      </c>
    </row>
    <row r="901" spans="1:12">
      <c r="A901" s="363">
        <f>VLOOKUP(B901, 'PubMed 4.14.21 Results'!B:B, 1, FALSE)</f>
        <v>29610442</v>
      </c>
      <c r="B901" s="363">
        <v>29610442</v>
      </c>
      <c r="C901" s="362" t="s">
        <v>12491</v>
      </c>
      <c r="D901" s="362" t="s">
        <v>12492</v>
      </c>
      <c r="E901" s="362" t="s">
        <v>12493</v>
      </c>
      <c r="F901" s="362" t="s">
        <v>7254</v>
      </c>
      <c r="G901" s="362" t="s">
        <v>12494</v>
      </c>
      <c r="H901" s="363">
        <v>2018</v>
      </c>
      <c r="I901" s="378">
        <v>43194</v>
      </c>
      <c r="J901" s="365"/>
      <c r="K901" s="365"/>
      <c r="L901" s="365"/>
    </row>
    <row r="902" spans="1:12">
      <c r="A902" s="363">
        <f>VLOOKUP(B902, 'PubMed 4.14.21 Results'!B:B, 1, FALSE)</f>
        <v>29968171</v>
      </c>
      <c r="B902" s="363">
        <v>29968171</v>
      </c>
      <c r="C902" s="362" t="s">
        <v>12495</v>
      </c>
      <c r="D902" s="362" t="s">
        <v>12496</v>
      </c>
      <c r="E902" s="362" t="s">
        <v>12497</v>
      </c>
      <c r="F902" s="362" t="s">
        <v>8104</v>
      </c>
      <c r="G902" s="362" t="s">
        <v>12498</v>
      </c>
      <c r="H902" s="363">
        <v>2018</v>
      </c>
      <c r="I902" s="378">
        <v>43285</v>
      </c>
      <c r="J902" s="365"/>
      <c r="K902" s="365"/>
      <c r="L902" s="362" t="s">
        <v>12499</v>
      </c>
    </row>
    <row r="903" spans="1:12">
      <c r="A903" s="363">
        <f>VLOOKUP(B903, 'PubMed 4.14.21 Results'!B:B, 1, FALSE)</f>
        <v>29389671</v>
      </c>
      <c r="B903" s="363">
        <v>29389671</v>
      </c>
      <c r="C903" s="362" t="s">
        <v>12500</v>
      </c>
      <c r="D903" s="362" t="s">
        <v>12501</v>
      </c>
      <c r="E903" s="362" t="s">
        <v>12502</v>
      </c>
      <c r="F903" s="362" t="s">
        <v>632</v>
      </c>
      <c r="G903" s="362" t="s">
        <v>8460</v>
      </c>
      <c r="H903" s="363">
        <v>2018</v>
      </c>
      <c r="I903" s="378">
        <v>43133</v>
      </c>
      <c r="J903" s="434" t="s">
        <v>4095</v>
      </c>
      <c r="K903" s="425"/>
      <c r="L903" s="362" t="s">
        <v>12503</v>
      </c>
    </row>
    <row r="904" spans="1:12">
      <c r="A904" s="363">
        <f>VLOOKUP(B904, 'PubMed 4.14.21 Results'!B:B, 1, FALSE)</f>
        <v>29667726</v>
      </c>
      <c r="B904" s="363">
        <v>29667726</v>
      </c>
      <c r="C904" s="362" t="s">
        <v>12504</v>
      </c>
      <c r="D904" s="362" t="s">
        <v>12505</v>
      </c>
      <c r="E904" s="362" t="s">
        <v>12506</v>
      </c>
      <c r="F904" s="362" t="s">
        <v>7540</v>
      </c>
      <c r="G904" s="362" t="s">
        <v>8857</v>
      </c>
      <c r="H904" s="363">
        <v>2018</v>
      </c>
      <c r="I904" s="378">
        <v>43209</v>
      </c>
      <c r="J904" s="434" t="s">
        <v>7541</v>
      </c>
      <c r="K904" s="425"/>
      <c r="L904" s="362" t="s">
        <v>12507</v>
      </c>
    </row>
    <row r="905" spans="1:12">
      <c r="A905" s="363">
        <f>VLOOKUP(B905, 'PubMed 4.14.21 Results'!B:B, 1, FALSE)</f>
        <v>29673395</v>
      </c>
      <c r="B905" s="363">
        <v>29673395</v>
      </c>
      <c r="C905" s="362" t="s">
        <v>12508</v>
      </c>
      <c r="D905" s="362" t="s">
        <v>12509</v>
      </c>
      <c r="E905" s="362" t="s">
        <v>12510</v>
      </c>
      <c r="F905" s="362" t="s">
        <v>6634</v>
      </c>
      <c r="G905" s="362" t="s">
        <v>9906</v>
      </c>
      <c r="H905" s="363">
        <v>2018</v>
      </c>
      <c r="I905" s="378">
        <v>43211</v>
      </c>
      <c r="J905" s="434" t="s">
        <v>6635</v>
      </c>
      <c r="K905" s="425"/>
      <c r="L905" s="362" t="s">
        <v>12511</v>
      </c>
    </row>
    <row r="906" spans="1:12">
      <c r="A906" s="363">
        <f>VLOOKUP(B906, 'PubMed 4.14.21 Results'!B:B, 1, FALSE)</f>
        <v>29499578</v>
      </c>
      <c r="B906" s="363">
        <v>29499578</v>
      </c>
      <c r="C906" s="362" t="s">
        <v>12512</v>
      </c>
      <c r="D906" s="362" t="s">
        <v>12513</v>
      </c>
      <c r="E906" s="362" t="s">
        <v>12514</v>
      </c>
      <c r="F906" s="362" t="s">
        <v>7905</v>
      </c>
      <c r="G906" s="362" t="s">
        <v>12515</v>
      </c>
      <c r="H906" s="363">
        <v>2018</v>
      </c>
      <c r="I906" s="378">
        <v>43162</v>
      </c>
      <c r="J906" s="365"/>
      <c r="K906" s="365"/>
      <c r="L906" s="362" t="s">
        <v>12516</v>
      </c>
    </row>
    <row r="907" spans="1:12">
      <c r="A907" s="363">
        <f>VLOOKUP(B907, 'PubMed 4.14.21 Results'!B:B, 1, FALSE)</f>
        <v>29528485</v>
      </c>
      <c r="B907" s="363">
        <v>29528485</v>
      </c>
      <c r="C907" s="362" t="s">
        <v>12517</v>
      </c>
      <c r="D907" s="362" t="s">
        <v>12518</v>
      </c>
      <c r="E907" s="362" t="s">
        <v>12519</v>
      </c>
      <c r="F907" s="362" t="s">
        <v>7109</v>
      </c>
      <c r="G907" s="362" t="s">
        <v>10184</v>
      </c>
      <c r="H907" s="363">
        <v>2018</v>
      </c>
      <c r="I907" s="378">
        <v>43172</v>
      </c>
      <c r="J907" s="365"/>
      <c r="K907" s="365"/>
      <c r="L907" s="362" t="s">
        <v>12520</v>
      </c>
    </row>
    <row r="908" spans="1:12">
      <c r="A908" s="363">
        <f>VLOOKUP(B908, 'PubMed 4.14.21 Results'!B:B, 1, FALSE)</f>
        <v>29528861</v>
      </c>
      <c r="B908" s="363">
        <v>29528861</v>
      </c>
      <c r="C908" s="362" t="s">
        <v>12521</v>
      </c>
      <c r="D908" s="362" t="s">
        <v>12522</v>
      </c>
      <c r="E908" s="362" t="s">
        <v>12523</v>
      </c>
      <c r="F908" s="362" t="s">
        <v>7207</v>
      </c>
      <c r="G908" s="362" t="s">
        <v>12524</v>
      </c>
      <c r="H908" s="363">
        <v>2018</v>
      </c>
      <c r="I908" s="378">
        <v>43172</v>
      </c>
      <c r="J908" s="365"/>
      <c r="K908" s="365"/>
      <c r="L908" s="362" t="s">
        <v>12525</v>
      </c>
    </row>
    <row r="909" spans="1:12">
      <c r="A909" s="363">
        <f>VLOOKUP(B909, 'PubMed 4.14.21 Results'!B:B, 1, FALSE)</f>
        <v>29563196</v>
      </c>
      <c r="B909" s="363">
        <v>29563196</v>
      </c>
      <c r="C909" s="362" t="s">
        <v>12526</v>
      </c>
      <c r="D909" s="362" t="s">
        <v>12527</v>
      </c>
      <c r="E909" s="362" t="s">
        <v>12528</v>
      </c>
      <c r="F909" s="362" t="s">
        <v>6873</v>
      </c>
      <c r="G909" s="362" t="s">
        <v>8721</v>
      </c>
      <c r="H909" s="363">
        <v>2018</v>
      </c>
      <c r="I909" s="378">
        <v>43182</v>
      </c>
      <c r="J909" s="434" t="s">
        <v>6874</v>
      </c>
      <c r="K909" s="425"/>
      <c r="L909" s="362" t="s">
        <v>12529</v>
      </c>
    </row>
    <row r="910" spans="1:12">
      <c r="A910" s="363">
        <f>VLOOKUP(B910, 'PubMed 4.14.21 Results'!B:B, 1, FALSE)</f>
        <v>29567461</v>
      </c>
      <c r="B910" s="363">
        <v>29567461</v>
      </c>
      <c r="C910" s="362" t="s">
        <v>12530</v>
      </c>
      <c r="D910" s="362" t="s">
        <v>12531</v>
      </c>
      <c r="E910" s="362" t="s">
        <v>12532</v>
      </c>
      <c r="F910" s="362" t="s">
        <v>440</v>
      </c>
      <c r="G910" s="362" t="s">
        <v>10314</v>
      </c>
      <c r="H910" s="363">
        <v>2018</v>
      </c>
      <c r="I910" s="378">
        <v>43183</v>
      </c>
      <c r="J910" s="434" t="s">
        <v>7341</v>
      </c>
      <c r="K910" s="425"/>
      <c r="L910" s="362" t="s">
        <v>12533</v>
      </c>
    </row>
    <row r="911" spans="1:12">
      <c r="A911" s="363">
        <f>VLOOKUP(B911, 'PubMed 4.14.21 Results'!B:B, 1, FALSE)</f>
        <v>29720571</v>
      </c>
      <c r="B911" s="363">
        <v>29720571</v>
      </c>
      <c r="C911" s="362" t="s">
        <v>12534</v>
      </c>
      <c r="D911" s="362" t="s">
        <v>12535</v>
      </c>
      <c r="E911" s="362" t="s">
        <v>12536</v>
      </c>
      <c r="F911" s="362" t="s">
        <v>7489</v>
      </c>
      <c r="G911" s="362" t="s">
        <v>12537</v>
      </c>
      <c r="H911" s="363">
        <v>2018</v>
      </c>
      <c r="I911" s="378">
        <v>43224</v>
      </c>
      <c r="J911" s="434" t="s">
        <v>7490</v>
      </c>
      <c r="K911" s="425"/>
      <c r="L911" s="362" t="s">
        <v>12538</v>
      </c>
    </row>
    <row r="912" spans="1:12">
      <c r="A912" s="363">
        <f>VLOOKUP(B912, 'PubMed 4.14.21 Results'!B:B, 1, FALSE)</f>
        <v>29741289</v>
      </c>
      <c r="B912" s="363">
        <v>29741289</v>
      </c>
      <c r="C912" s="362" t="s">
        <v>12539</v>
      </c>
      <c r="D912" s="362" t="s">
        <v>12540</v>
      </c>
      <c r="E912" s="362" t="s">
        <v>12541</v>
      </c>
      <c r="F912" s="362" t="s">
        <v>7995</v>
      </c>
      <c r="G912" s="362" t="s">
        <v>8857</v>
      </c>
      <c r="H912" s="363">
        <v>2018</v>
      </c>
      <c r="I912" s="378">
        <v>43230</v>
      </c>
      <c r="J912" s="434" t="s">
        <v>7996</v>
      </c>
      <c r="K912" s="425"/>
      <c r="L912" s="362" t="s">
        <v>12542</v>
      </c>
    </row>
    <row r="913" spans="1:12">
      <c r="A913" s="363">
        <f>VLOOKUP(B913, 'PubMed 4.14.21 Results'!B:B, 1, FALSE)</f>
        <v>29077527</v>
      </c>
      <c r="B913" s="363">
        <v>29077527</v>
      </c>
      <c r="C913" s="362" t="s">
        <v>12543</v>
      </c>
      <c r="D913" s="362" t="s">
        <v>12544</v>
      </c>
      <c r="E913" s="362" t="s">
        <v>12545</v>
      </c>
      <c r="F913" s="362" t="s">
        <v>6766</v>
      </c>
      <c r="G913" s="362" t="s">
        <v>12546</v>
      </c>
      <c r="H913" s="363">
        <v>2018</v>
      </c>
      <c r="I913" s="378">
        <v>43036</v>
      </c>
      <c r="J913" s="434" t="s">
        <v>6767</v>
      </c>
      <c r="K913" s="425"/>
      <c r="L913" s="362" t="s">
        <v>12547</v>
      </c>
    </row>
    <row r="914" spans="1:12">
      <c r="A914" s="363">
        <f>VLOOKUP(B914, 'PubMed 4.14.21 Results'!B:B, 1, FALSE)</f>
        <v>29270698</v>
      </c>
      <c r="B914" s="363">
        <v>29270698</v>
      </c>
      <c r="C914" s="362" t="s">
        <v>12548</v>
      </c>
      <c r="D914" s="362" t="s">
        <v>12549</v>
      </c>
      <c r="E914" s="362" t="s">
        <v>12550</v>
      </c>
      <c r="F914" s="362" t="s">
        <v>7083</v>
      </c>
      <c r="G914" s="362" t="s">
        <v>12551</v>
      </c>
      <c r="H914" s="363">
        <v>2018</v>
      </c>
      <c r="I914" s="378">
        <v>43092</v>
      </c>
      <c r="J914" s="365"/>
      <c r="K914" s="365"/>
      <c r="L914" s="362" t="s">
        <v>12552</v>
      </c>
    </row>
    <row r="915" spans="1:12">
      <c r="A915" s="363">
        <f>VLOOKUP(B915, 'PubMed 4.14.21 Results'!B:B, 1, FALSE)</f>
        <v>29288035</v>
      </c>
      <c r="B915" s="363">
        <v>29288035</v>
      </c>
      <c r="C915" s="362" t="s">
        <v>12553</v>
      </c>
      <c r="D915" s="362" t="s">
        <v>12554</v>
      </c>
      <c r="E915" s="362" t="s">
        <v>12555</v>
      </c>
      <c r="F915" s="362" t="s">
        <v>6554</v>
      </c>
      <c r="G915" s="362" t="s">
        <v>12556</v>
      </c>
      <c r="H915" s="363">
        <v>2018</v>
      </c>
      <c r="I915" s="378">
        <v>43100</v>
      </c>
      <c r="J915" s="365"/>
      <c r="K915" s="365"/>
      <c r="L915" s="362" t="s">
        <v>12557</v>
      </c>
    </row>
    <row r="916" spans="1:12">
      <c r="A916" s="363">
        <f>VLOOKUP(B916, 'PubMed 4.14.21 Results'!B:B, 1, FALSE)</f>
        <v>29293893</v>
      </c>
      <c r="B916" s="363">
        <v>29293893</v>
      </c>
      <c r="C916" s="362" t="s">
        <v>12558</v>
      </c>
      <c r="D916" s="362" t="s">
        <v>12559</v>
      </c>
      <c r="E916" s="362" t="s">
        <v>12560</v>
      </c>
      <c r="F916" s="362" t="s">
        <v>7443</v>
      </c>
      <c r="G916" s="362" t="s">
        <v>9152</v>
      </c>
      <c r="H916" s="363">
        <v>2018</v>
      </c>
      <c r="I916" s="378">
        <v>43103</v>
      </c>
      <c r="J916" s="434" t="s">
        <v>7444</v>
      </c>
      <c r="K916" s="425"/>
      <c r="L916" s="362" t="s">
        <v>12561</v>
      </c>
    </row>
    <row r="917" spans="1:12">
      <c r="A917" s="363">
        <f>VLOOKUP(B917, 'PubMed 4.14.21 Results'!B:B, 1, FALSE)</f>
        <v>29487219</v>
      </c>
      <c r="B917" s="363">
        <v>29487219</v>
      </c>
      <c r="C917" s="362" t="s">
        <v>12562</v>
      </c>
      <c r="D917" s="362" t="s">
        <v>12563</v>
      </c>
      <c r="E917" s="362" t="s">
        <v>12564</v>
      </c>
      <c r="F917" s="362" t="s">
        <v>8054</v>
      </c>
      <c r="G917" s="362" t="s">
        <v>10116</v>
      </c>
      <c r="H917" s="363">
        <v>2018</v>
      </c>
      <c r="I917" s="378">
        <v>43160</v>
      </c>
      <c r="J917" s="434" t="s">
        <v>8055</v>
      </c>
      <c r="K917" s="425"/>
      <c r="L917" s="362" t="s">
        <v>12565</v>
      </c>
    </row>
    <row r="918" spans="1:12">
      <c r="A918" s="363">
        <f>VLOOKUP(B918, 'PubMed 4.14.21 Results'!B:B, 1, FALSE)</f>
        <v>29656903</v>
      </c>
      <c r="B918" s="363">
        <v>29656903</v>
      </c>
      <c r="C918" s="362" t="s">
        <v>12566</v>
      </c>
      <c r="D918" s="362" t="s">
        <v>12567</v>
      </c>
      <c r="E918" s="362" t="s">
        <v>12568</v>
      </c>
      <c r="F918" s="362" t="s">
        <v>6796</v>
      </c>
      <c r="G918" s="362" t="s">
        <v>12569</v>
      </c>
      <c r="H918" s="363">
        <v>2018</v>
      </c>
      <c r="I918" s="378">
        <v>43207</v>
      </c>
      <c r="J918" s="362" t="s">
        <v>6797</v>
      </c>
      <c r="K918" s="362" t="s">
        <v>12570</v>
      </c>
      <c r="L918" s="362" t="s">
        <v>12571</v>
      </c>
    </row>
    <row r="919" spans="1:12">
      <c r="A919" s="363">
        <f>VLOOKUP(B919, 'PubMed 4.14.21 Results'!B:B, 1, FALSE)</f>
        <v>29674251</v>
      </c>
      <c r="B919" s="363">
        <v>29674251</v>
      </c>
      <c r="C919" s="362" t="s">
        <v>12572</v>
      </c>
      <c r="D919" s="362" t="s">
        <v>12573</v>
      </c>
      <c r="E919" s="362" t="s">
        <v>12574</v>
      </c>
      <c r="F919" s="362" t="s">
        <v>6538</v>
      </c>
      <c r="G919" s="362" t="s">
        <v>12575</v>
      </c>
      <c r="H919" s="363">
        <v>2018</v>
      </c>
      <c r="I919" s="378">
        <v>43211</v>
      </c>
      <c r="J919" s="365"/>
      <c r="K919" s="365"/>
      <c r="L919" s="362" t="s">
        <v>12576</v>
      </c>
    </row>
    <row r="920" spans="1:12">
      <c r="A920" s="363">
        <f>VLOOKUP(B920, 'PubMed 4.14.21 Results'!B:B, 1, FALSE)</f>
        <v>29900829</v>
      </c>
      <c r="B920" s="363">
        <v>29900829</v>
      </c>
      <c r="C920" s="362" t="s">
        <v>12577</v>
      </c>
      <c r="D920" s="362" t="s">
        <v>12578</v>
      </c>
      <c r="E920" s="362" t="s">
        <v>12579</v>
      </c>
      <c r="F920" s="362" t="s">
        <v>6581</v>
      </c>
      <c r="G920" s="362" t="s">
        <v>9359</v>
      </c>
      <c r="H920" s="363">
        <v>2018</v>
      </c>
      <c r="I920" s="378">
        <v>43266</v>
      </c>
      <c r="J920" s="434" t="s">
        <v>6582</v>
      </c>
      <c r="K920" s="425"/>
      <c r="L920" s="362" t="s">
        <v>12580</v>
      </c>
    </row>
    <row r="921" spans="1:12">
      <c r="A921" s="363">
        <f>VLOOKUP(B921, 'PubMed 4.14.21 Results'!B:B, 1, FALSE)</f>
        <v>29938790</v>
      </c>
      <c r="B921" s="363">
        <v>29938790</v>
      </c>
      <c r="C921" s="362" t="s">
        <v>12581</v>
      </c>
      <c r="D921" s="362" t="s">
        <v>12582</v>
      </c>
      <c r="E921" s="362" t="s">
        <v>12583</v>
      </c>
      <c r="F921" s="362" t="s">
        <v>8048</v>
      </c>
      <c r="G921" s="362" t="s">
        <v>8857</v>
      </c>
      <c r="H921" s="363">
        <v>2018</v>
      </c>
      <c r="I921" s="378">
        <v>43277</v>
      </c>
      <c r="J921" s="434" t="s">
        <v>8049</v>
      </c>
      <c r="K921" s="425"/>
      <c r="L921" s="362" t="s">
        <v>12584</v>
      </c>
    </row>
    <row r="922" spans="1:12">
      <c r="A922" s="363">
        <f>VLOOKUP(B922, 'PubMed 4.14.21 Results'!B:B, 1, FALSE)</f>
        <v>29108526</v>
      </c>
      <c r="B922" s="363">
        <v>29108526</v>
      </c>
      <c r="C922" s="362" t="s">
        <v>12585</v>
      </c>
      <c r="D922" s="362" t="s">
        <v>12586</v>
      </c>
      <c r="E922" s="362" t="s">
        <v>12587</v>
      </c>
      <c r="F922" s="362" t="s">
        <v>7795</v>
      </c>
      <c r="G922" s="362" t="s">
        <v>12588</v>
      </c>
      <c r="H922" s="363">
        <v>2018</v>
      </c>
      <c r="I922" s="378">
        <v>43047</v>
      </c>
      <c r="J922" s="434" t="s">
        <v>7796</v>
      </c>
      <c r="K922" s="425"/>
      <c r="L922" s="362" t="s">
        <v>12589</v>
      </c>
    </row>
    <row r="923" spans="1:12">
      <c r="A923" s="363">
        <f>VLOOKUP(B923, 'PubMed 4.14.21 Results'!B:B, 1, FALSE)</f>
        <v>29377080</v>
      </c>
      <c r="B923" s="363">
        <v>29377080</v>
      </c>
      <c r="C923" s="362" t="s">
        <v>12590</v>
      </c>
      <c r="D923" s="362" t="s">
        <v>12591</v>
      </c>
      <c r="E923" s="362" t="s">
        <v>12592</v>
      </c>
      <c r="F923" s="362" t="s">
        <v>7214</v>
      </c>
      <c r="G923" s="362" t="s">
        <v>12593</v>
      </c>
      <c r="H923" s="363">
        <v>2018</v>
      </c>
      <c r="I923" s="378">
        <v>43130</v>
      </c>
      <c r="J923" s="365"/>
      <c r="K923" s="365"/>
      <c r="L923" s="362" t="s">
        <v>12594</v>
      </c>
    </row>
    <row r="924" spans="1:12">
      <c r="A924" s="363">
        <f>VLOOKUP(B924, 'PubMed 4.14.21 Results'!B:B, 1, FALSE)</f>
        <v>29482936</v>
      </c>
      <c r="B924" s="363">
        <v>29482936</v>
      </c>
      <c r="C924" s="362" t="s">
        <v>12595</v>
      </c>
      <c r="D924" s="362" t="s">
        <v>12596</v>
      </c>
      <c r="E924" s="362" t="s">
        <v>12597</v>
      </c>
      <c r="F924" s="362" t="s">
        <v>6425</v>
      </c>
      <c r="G924" s="362" t="s">
        <v>12598</v>
      </c>
      <c r="H924" s="363">
        <v>2018</v>
      </c>
      <c r="I924" s="378">
        <v>43159</v>
      </c>
      <c r="J924" s="362" t="s">
        <v>6426</v>
      </c>
      <c r="K924" s="362" t="s">
        <v>12599</v>
      </c>
      <c r="L924" s="362" t="s">
        <v>12600</v>
      </c>
    </row>
    <row r="925" spans="1:12">
      <c r="A925" s="363">
        <f>VLOOKUP(B925, 'PubMed 4.14.21 Results'!B:B, 1, FALSE)</f>
        <v>29654069</v>
      </c>
      <c r="B925" s="363">
        <v>29654069</v>
      </c>
      <c r="C925" s="362" t="s">
        <v>12601</v>
      </c>
      <c r="D925" s="362" t="s">
        <v>12602</v>
      </c>
      <c r="E925" s="362" t="s">
        <v>12603</v>
      </c>
      <c r="F925" s="362" t="s">
        <v>7440</v>
      </c>
      <c r="G925" s="362" t="s">
        <v>12604</v>
      </c>
      <c r="H925" s="363">
        <v>2018</v>
      </c>
      <c r="I925" s="378">
        <v>43205</v>
      </c>
      <c r="J925" s="365"/>
      <c r="K925" s="365"/>
      <c r="L925" s="362" t="s">
        <v>12605</v>
      </c>
    </row>
    <row r="926" spans="1:12">
      <c r="A926" s="363">
        <f>VLOOKUP(B926, 'PubMed 4.14.21 Results'!B:B, 1, FALSE)</f>
        <v>29665158</v>
      </c>
      <c r="B926" s="363">
        <v>29665158</v>
      </c>
      <c r="C926" s="362" t="s">
        <v>12606</v>
      </c>
      <c r="D926" s="362" t="s">
        <v>12607</v>
      </c>
      <c r="E926" s="362" t="s">
        <v>12608</v>
      </c>
      <c r="F926" s="362" t="s">
        <v>6845</v>
      </c>
      <c r="G926" s="362" t="s">
        <v>10263</v>
      </c>
      <c r="H926" s="363">
        <v>2018</v>
      </c>
      <c r="I926" s="378">
        <v>43208</v>
      </c>
      <c r="J926" s="365"/>
      <c r="K926" s="365"/>
      <c r="L926" s="362" t="s">
        <v>12609</v>
      </c>
    </row>
    <row r="927" spans="1:12">
      <c r="A927" s="363">
        <f>VLOOKUP(B927, 'PubMed 4.14.21 Results'!B:B, 1, FALSE)</f>
        <v>29884593</v>
      </c>
      <c r="B927" s="363">
        <v>29884593</v>
      </c>
      <c r="C927" s="362" t="s">
        <v>12610</v>
      </c>
      <c r="D927" s="362" t="s">
        <v>12611</v>
      </c>
      <c r="E927" s="362" t="s">
        <v>12612</v>
      </c>
      <c r="F927" s="362" t="s">
        <v>8143</v>
      </c>
      <c r="G927" s="362" t="s">
        <v>11132</v>
      </c>
      <c r="H927" s="363">
        <v>2018</v>
      </c>
      <c r="I927" s="378">
        <v>43261</v>
      </c>
      <c r="J927" s="365"/>
      <c r="K927" s="365"/>
      <c r="L927" s="362" t="s">
        <v>12613</v>
      </c>
    </row>
    <row r="928" spans="1:12">
      <c r="A928" s="363">
        <f>VLOOKUP(B928, 'PubMed 4.14.21 Results'!B:B, 1, FALSE)</f>
        <v>29987845</v>
      </c>
      <c r="B928" s="363">
        <v>29987845</v>
      </c>
      <c r="C928" s="362" t="s">
        <v>12614</v>
      </c>
      <c r="D928" s="362" t="s">
        <v>12615</v>
      </c>
      <c r="E928" s="362" t="s">
        <v>12616</v>
      </c>
      <c r="F928" s="362" t="s">
        <v>6662</v>
      </c>
      <c r="G928" s="362" t="s">
        <v>8857</v>
      </c>
      <c r="H928" s="363">
        <v>2018</v>
      </c>
      <c r="I928" s="378">
        <v>43292</v>
      </c>
      <c r="J928" s="434" t="s">
        <v>6663</v>
      </c>
      <c r="K928" s="425"/>
      <c r="L928" s="362" t="s">
        <v>12617</v>
      </c>
    </row>
    <row r="929" spans="1:12">
      <c r="A929" s="363">
        <f>VLOOKUP(B929, 'PubMed 4.14.21 Results'!B:B, 1, FALSE)</f>
        <v>30057900</v>
      </c>
      <c r="B929" s="363">
        <v>30057900</v>
      </c>
      <c r="C929" s="362" t="s">
        <v>12618</v>
      </c>
      <c r="D929" s="362" t="s">
        <v>12619</v>
      </c>
      <c r="E929" s="362" t="s">
        <v>12620</v>
      </c>
      <c r="F929" s="362" t="s">
        <v>6559</v>
      </c>
      <c r="G929" s="362" t="s">
        <v>12621</v>
      </c>
      <c r="H929" s="363">
        <v>2018</v>
      </c>
      <c r="I929" s="378">
        <v>43312</v>
      </c>
      <c r="J929" s="434" t="s">
        <v>6560</v>
      </c>
      <c r="K929" s="425"/>
      <c r="L929" s="362" t="s">
        <v>12622</v>
      </c>
    </row>
    <row r="930" spans="1:12">
      <c r="A930" s="363">
        <f>VLOOKUP(B930, 'PubMed 4.14.21 Results'!B:B, 1, FALSE)</f>
        <v>29684148</v>
      </c>
      <c r="B930" s="363">
        <v>29684148</v>
      </c>
      <c r="C930" s="362" t="s">
        <v>12623</v>
      </c>
      <c r="D930" s="362" t="s">
        <v>12624</v>
      </c>
      <c r="E930" s="362" t="s">
        <v>12625</v>
      </c>
      <c r="F930" s="362" t="s">
        <v>464</v>
      </c>
      <c r="G930" s="362" t="s">
        <v>9497</v>
      </c>
      <c r="H930" s="363">
        <v>2018</v>
      </c>
      <c r="I930" s="378">
        <v>43214</v>
      </c>
      <c r="J930" s="365"/>
      <c r="K930" s="365"/>
      <c r="L930" s="362" t="s">
        <v>12626</v>
      </c>
    </row>
    <row r="931" spans="1:12">
      <c r="A931" s="363">
        <f>VLOOKUP(B931, 'PubMed 4.14.21 Results'!B:B, 1, FALSE)</f>
        <v>30045416</v>
      </c>
      <c r="B931" s="363">
        <v>30045416</v>
      </c>
      <c r="C931" s="362" t="s">
        <v>12627</v>
      </c>
      <c r="D931" s="362" t="s">
        <v>12628</v>
      </c>
      <c r="E931" s="362" t="s">
        <v>12629</v>
      </c>
      <c r="F931" s="362" t="s">
        <v>7921</v>
      </c>
      <c r="G931" s="362" t="s">
        <v>8857</v>
      </c>
      <c r="H931" s="363">
        <v>2018</v>
      </c>
      <c r="I931" s="378">
        <v>43307</v>
      </c>
      <c r="J931" s="434" t="s">
        <v>7922</v>
      </c>
      <c r="K931" s="425"/>
      <c r="L931" s="362" t="s">
        <v>12630</v>
      </c>
    </row>
    <row r="932" spans="1:12">
      <c r="A932" s="363">
        <f>VLOOKUP(B932, 'PubMed 4.14.21 Results'!B:B, 1, FALSE)</f>
        <v>30055608</v>
      </c>
      <c r="B932" s="363">
        <v>30055608</v>
      </c>
      <c r="C932" s="362" t="s">
        <v>12631</v>
      </c>
      <c r="D932" s="362" t="s">
        <v>12632</v>
      </c>
      <c r="E932" s="362" t="s">
        <v>12633</v>
      </c>
      <c r="F932" s="362" t="s">
        <v>8068</v>
      </c>
      <c r="G932" s="362" t="s">
        <v>9437</v>
      </c>
      <c r="H932" s="363">
        <v>2018</v>
      </c>
      <c r="I932" s="378">
        <v>43311</v>
      </c>
      <c r="J932" s="434" t="s">
        <v>8069</v>
      </c>
      <c r="K932" s="425"/>
      <c r="L932" s="362" t="s">
        <v>12634</v>
      </c>
    </row>
    <row r="933" spans="1:12">
      <c r="A933" s="363">
        <f>VLOOKUP(B933, 'PubMed 4.14.21 Results'!B:B, 1, FALSE)</f>
        <v>29280783</v>
      </c>
      <c r="B933" s="363">
        <v>29280783</v>
      </c>
      <c r="C933" s="362" t="s">
        <v>12635</v>
      </c>
      <c r="D933" s="362" t="s">
        <v>12636</v>
      </c>
      <c r="E933" s="362" t="s">
        <v>12637</v>
      </c>
      <c r="F933" s="362" t="s">
        <v>6646</v>
      </c>
      <c r="G933" s="362" t="s">
        <v>12638</v>
      </c>
      <c r="H933" s="363">
        <v>2018</v>
      </c>
      <c r="I933" s="378">
        <v>43097</v>
      </c>
      <c r="J933" s="362" t="s">
        <v>6647</v>
      </c>
      <c r="K933" s="362" t="s">
        <v>12639</v>
      </c>
      <c r="L933" s="362" t="s">
        <v>12640</v>
      </c>
    </row>
    <row r="934" spans="1:12">
      <c r="A934" s="363">
        <f>VLOOKUP(B934, 'PubMed 4.14.21 Results'!B:B, 1, FALSE)</f>
        <v>29480455</v>
      </c>
      <c r="B934" s="363">
        <v>29480455</v>
      </c>
      <c r="C934" s="362" t="s">
        <v>12641</v>
      </c>
      <c r="D934" s="362" t="s">
        <v>12642</v>
      </c>
      <c r="E934" s="362" t="s">
        <v>12643</v>
      </c>
      <c r="F934" s="362" t="s">
        <v>7649</v>
      </c>
      <c r="G934" s="362" t="s">
        <v>9049</v>
      </c>
      <c r="H934" s="363">
        <v>2018</v>
      </c>
      <c r="I934" s="378">
        <v>43158</v>
      </c>
      <c r="J934" s="434" t="s">
        <v>7650</v>
      </c>
      <c r="K934" s="425"/>
      <c r="L934" s="362" t="s">
        <v>12644</v>
      </c>
    </row>
    <row r="935" spans="1:12">
      <c r="A935" s="363">
        <f>VLOOKUP(B935, 'PubMed 4.14.21 Results'!B:B, 1, FALSE)</f>
        <v>29804736</v>
      </c>
      <c r="B935" s="363">
        <v>29804736</v>
      </c>
      <c r="C935" s="362" t="s">
        <v>12645</v>
      </c>
      <c r="D935" s="362" t="s">
        <v>12646</v>
      </c>
      <c r="E935" s="362" t="s">
        <v>12647</v>
      </c>
      <c r="F935" s="362" t="s">
        <v>6423</v>
      </c>
      <c r="G935" s="362" t="s">
        <v>10511</v>
      </c>
      <c r="H935" s="363">
        <v>2018</v>
      </c>
      <c r="I935" s="378">
        <v>43249</v>
      </c>
      <c r="J935" s="365"/>
      <c r="K935" s="365"/>
      <c r="L935" s="362" t="s">
        <v>12648</v>
      </c>
    </row>
    <row r="936" spans="1:12">
      <c r="A936" s="363">
        <f>VLOOKUP(B936, 'PubMed 4.14.21 Results'!B:B, 1, FALSE)</f>
        <v>29860473</v>
      </c>
      <c r="B936" s="363">
        <v>29860473</v>
      </c>
      <c r="C936" s="362" t="s">
        <v>12649</v>
      </c>
      <c r="D936" s="362" t="s">
        <v>12650</v>
      </c>
      <c r="E936" s="362" t="s">
        <v>12651</v>
      </c>
      <c r="F936" s="362" t="s">
        <v>6906</v>
      </c>
      <c r="G936" s="362" t="s">
        <v>8787</v>
      </c>
      <c r="H936" s="363">
        <v>2018</v>
      </c>
      <c r="I936" s="378">
        <v>43255</v>
      </c>
      <c r="J936" s="365"/>
      <c r="K936" s="365"/>
      <c r="L936" s="362" t="s">
        <v>12652</v>
      </c>
    </row>
    <row r="937" spans="1:12">
      <c r="A937" s="363">
        <f>VLOOKUP(B937, 'PubMed 4.14.21 Results'!B:B, 1, FALSE)</f>
        <v>29941151</v>
      </c>
      <c r="B937" s="363">
        <v>29941151</v>
      </c>
      <c r="C937" s="362" t="s">
        <v>12653</v>
      </c>
      <c r="D937" s="362" t="s">
        <v>12654</v>
      </c>
      <c r="E937" s="362" t="s">
        <v>12655</v>
      </c>
      <c r="F937" s="362" t="s">
        <v>6905</v>
      </c>
      <c r="G937" s="362" t="s">
        <v>8640</v>
      </c>
      <c r="H937" s="363">
        <v>2018</v>
      </c>
      <c r="I937" s="378">
        <v>43278</v>
      </c>
      <c r="J937" s="365"/>
      <c r="K937" s="365"/>
      <c r="L937" s="362" t="s">
        <v>12656</v>
      </c>
    </row>
    <row r="938" spans="1:12">
      <c r="A938" s="363">
        <f>VLOOKUP(B938, 'PubMed 4.14.21 Results'!B:B, 1, FALSE)</f>
        <v>29948739</v>
      </c>
      <c r="B938" s="363">
        <v>29948739</v>
      </c>
      <c r="C938" s="362" t="s">
        <v>12657</v>
      </c>
      <c r="D938" s="362" t="s">
        <v>12658</v>
      </c>
      <c r="E938" s="362" t="s">
        <v>12659</v>
      </c>
      <c r="F938" s="362" t="s">
        <v>6893</v>
      </c>
      <c r="G938" s="362" t="s">
        <v>12660</v>
      </c>
      <c r="H938" s="363">
        <v>2018</v>
      </c>
      <c r="I938" s="378">
        <v>43279</v>
      </c>
      <c r="J938" s="434" t="s">
        <v>6894</v>
      </c>
      <c r="K938" s="425"/>
      <c r="L938" s="362" t="s">
        <v>12661</v>
      </c>
    </row>
    <row r="939" spans="1:12">
      <c r="A939" s="363">
        <f>VLOOKUP(B939, 'PubMed 4.14.21 Results'!B:B, 1, FALSE)</f>
        <v>30021496</v>
      </c>
      <c r="B939" s="363">
        <v>30021496</v>
      </c>
      <c r="C939" s="362" t="s">
        <v>12662</v>
      </c>
      <c r="D939" s="362" t="s">
        <v>12663</v>
      </c>
      <c r="E939" s="362" t="s">
        <v>12664</v>
      </c>
      <c r="F939" s="362" t="s">
        <v>7794</v>
      </c>
      <c r="G939" s="362" t="s">
        <v>10970</v>
      </c>
      <c r="H939" s="363">
        <v>2018</v>
      </c>
      <c r="I939" s="378">
        <v>43301</v>
      </c>
      <c r="J939" s="365"/>
      <c r="K939" s="365"/>
      <c r="L939" s="362" t="s">
        <v>12665</v>
      </c>
    </row>
    <row r="940" spans="1:12">
      <c r="A940" s="363">
        <f>VLOOKUP(B940, 'PubMed 4.14.21 Results'!B:B, 1, FALSE)</f>
        <v>30032682</v>
      </c>
      <c r="B940" s="363">
        <v>30032682</v>
      </c>
      <c r="C940" s="362" t="s">
        <v>12666</v>
      </c>
      <c r="D940" s="362" t="s">
        <v>12667</v>
      </c>
      <c r="E940" s="362" t="s">
        <v>12668</v>
      </c>
      <c r="F940" s="362" t="s">
        <v>6768</v>
      </c>
      <c r="G940" s="362" t="s">
        <v>11252</v>
      </c>
      <c r="H940" s="363">
        <v>2018</v>
      </c>
      <c r="I940" s="378">
        <v>43305</v>
      </c>
      <c r="J940" s="365"/>
      <c r="K940" s="365"/>
      <c r="L940" s="362" t="s">
        <v>12669</v>
      </c>
    </row>
    <row r="941" spans="1:12">
      <c r="A941" s="363">
        <f>VLOOKUP(B941, 'PubMed 4.14.21 Results'!B:B, 1, FALSE)</f>
        <v>30037523</v>
      </c>
      <c r="B941" s="363">
        <v>30037523</v>
      </c>
      <c r="C941" s="362" t="s">
        <v>12670</v>
      </c>
      <c r="D941" s="362" t="s">
        <v>12671</v>
      </c>
      <c r="E941" s="362" t="s">
        <v>12672</v>
      </c>
      <c r="F941" s="362" t="s">
        <v>7687</v>
      </c>
      <c r="G941" s="362" t="s">
        <v>12673</v>
      </c>
      <c r="H941" s="363">
        <v>2018</v>
      </c>
      <c r="I941" s="378">
        <v>43306</v>
      </c>
      <c r="J941" s="365"/>
      <c r="K941" s="365"/>
      <c r="L941" s="362" t="s">
        <v>12674</v>
      </c>
    </row>
    <row r="942" spans="1:12">
      <c r="A942" s="363">
        <f>VLOOKUP(B942, 'PubMed 4.14.21 Results'!B:B, 1, FALSE)</f>
        <v>30092840</v>
      </c>
      <c r="B942" s="363">
        <v>30092840</v>
      </c>
      <c r="C942" s="362" t="s">
        <v>12675</v>
      </c>
      <c r="D942" s="362" t="s">
        <v>12676</v>
      </c>
      <c r="E942" s="362" t="s">
        <v>12677</v>
      </c>
      <c r="F942" s="362" t="s">
        <v>6943</v>
      </c>
      <c r="G942" s="362" t="s">
        <v>12392</v>
      </c>
      <c r="H942" s="363">
        <v>2018</v>
      </c>
      <c r="I942" s="378">
        <v>43323</v>
      </c>
      <c r="J942" s="434" t="s">
        <v>6944</v>
      </c>
      <c r="K942" s="425"/>
      <c r="L942" s="362" t="s">
        <v>12678</v>
      </c>
    </row>
    <row r="943" spans="1:12">
      <c r="A943" s="363">
        <f>VLOOKUP(B943, 'PubMed 4.14.21 Results'!B:B, 1, FALSE)</f>
        <v>30168576</v>
      </c>
      <c r="B943" s="363">
        <v>30168576</v>
      </c>
      <c r="C943" s="362" t="s">
        <v>12679</v>
      </c>
      <c r="D943" s="362" t="s">
        <v>12680</v>
      </c>
      <c r="E943" s="362" t="s">
        <v>12681</v>
      </c>
      <c r="F943" s="362" t="s">
        <v>8052</v>
      </c>
      <c r="G943" s="362" t="s">
        <v>8857</v>
      </c>
      <c r="H943" s="363">
        <v>2018</v>
      </c>
      <c r="I943" s="378">
        <v>43344</v>
      </c>
      <c r="J943" s="434" t="s">
        <v>8053</v>
      </c>
      <c r="K943" s="425"/>
      <c r="L943" s="362" t="s">
        <v>12682</v>
      </c>
    </row>
    <row r="944" spans="1:12">
      <c r="A944" s="363">
        <f>VLOOKUP(B944, 'PubMed 4.14.21 Results'!B:B, 1, FALSE)</f>
        <v>28913600</v>
      </c>
      <c r="B944" s="363">
        <v>28913600</v>
      </c>
      <c r="C944" s="362" t="s">
        <v>12683</v>
      </c>
      <c r="D944" s="362" t="s">
        <v>12684</v>
      </c>
      <c r="E944" s="362" t="s">
        <v>12685</v>
      </c>
      <c r="F944" s="362" t="s">
        <v>7196</v>
      </c>
      <c r="G944" s="362" t="s">
        <v>12686</v>
      </c>
      <c r="H944" s="363">
        <v>2018</v>
      </c>
      <c r="I944" s="378">
        <v>42994</v>
      </c>
      <c r="J944" s="434" t="s">
        <v>7197</v>
      </c>
      <c r="K944" s="425"/>
      <c r="L944" s="362" t="s">
        <v>12687</v>
      </c>
    </row>
    <row r="945" spans="1:12">
      <c r="A945" s="363">
        <f>VLOOKUP(B945, 'PubMed 4.14.21 Results'!B:B, 1, FALSE)</f>
        <v>29603217</v>
      </c>
      <c r="B945" s="363">
        <v>29603217</v>
      </c>
      <c r="C945" s="362" t="s">
        <v>12688</v>
      </c>
      <c r="D945" s="362" t="s">
        <v>12689</v>
      </c>
      <c r="E945" s="362" t="s">
        <v>12690</v>
      </c>
      <c r="F945" s="362" t="s">
        <v>8076</v>
      </c>
      <c r="G945" s="362" t="s">
        <v>12691</v>
      </c>
      <c r="H945" s="363">
        <v>2018</v>
      </c>
      <c r="I945" s="378">
        <v>43191</v>
      </c>
      <c r="J945" s="365"/>
      <c r="K945" s="365"/>
      <c r="L945" s="362" t="s">
        <v>12692</v>
      </c>
    </row>
    <row r="946" spans="1:12">
      <c r="A946" s="363">
        <f>VLOOKUP(B946, 'PubMed 4.14.21 Results'!B:B, 1, FALSE)</f>
        <v>29730228</v>
      </c>
      <c r="B946" s="363">
        <v>29730228</v>
      </c>
      <c r="C946" s="362" t="s">
        <v>12693</v>
      </c>
      <c r="D946" s="362" t="s">
        <v>12694</v>
      </c>
      <c r="E946" s="362" t="s">
        <v>12695</v>
      </c>
      <c r="F946" s="362" t="s">
        <v>6584</v>
      </c>
      <c r="G946" s="362" t="s">
        <v>12696</v>
      </c>
      <c r="H946" s="363">
        <v>2018</v>
      </c>
      <c r="I946" s="378">
        <v>43227</v>
      </c>
      <c r="J946" s="365"/>
      <c r="K946" s="365"/>
      <c r="L946" s="362" t="s">
        <v>12697</v>
      </c>
    </row>
    <row r="947" spans="1:12">
      <c r="A947" s="363">
        <f>VLOOKUP(B947, 'PubMed 4.14.21 Results'!B:B, 1, FALSE)</f>
        <v>29984534</v>
      </c>
      <c r="B947" s="363">
        <v>29984534</v>
      </c>
      <c r="C947" s="362" t="s">
        <v>12698</v>
      </c>
      <c r="D947" s="362" t="s">
        <v>12699</v>
      </c>
      <c r="E947" s="362" t="s">
        <v>12700</v>
      </c>
      <c r="F947" s="362" t="s">
        <v>7999</v>
      </c>
      <c r="G947" s="362" t="s">
        <v>12701</v>
      </c>
      <c r="H947" s="363">
        <v>2018</v>
      </c>
      <c r="I947" s="378">
        <v>43291</v>
      </c>
      <c r="J947" s="365"/>
      <c r="K947" s="365"/>
      <c r="L947" s="362" t="s">
        <v>12702</v>
      </c>
    </row>
    <row r="948" spans="1:12">
      <c r="A948" s="363">
        <f>VLOOKUP(B948, 'PubMed 4.14.21 Results'!B:B, 1, FALSE)</f>
        <v>30064057</v>
      </c>
      <c r="B948" s="363">
        <v>30064057</v>
      </c>
      <c r="C948" s="362" t="s">
        <v>12703</v>
      </c>
      <c r="D948" s="362" t="s">
        <v>12704</v>
      </c>
      <c r="E948" s="362" t="s">
        <v>12705</v>
      </c>
      <c r="F948" s="362" t="s">
        <v>7930</v>
      </c>
      <c r="G948" s="362" t="s">
        <v>12706</v>
      </c>
      <c r="H948" s="363">
        <v>2018</v>
      </c>
      <c r="I948" s="378">
        <v>43313</v>
      </c>
      <c r="J948" s="365"/>
      <c r="K948" s="365"/>
      <c r="L948" s="362" t="s">
        <v>12707</v>
      </c>
    </row>
    <row r="949" spans="1:12">
      <c r="A949" s="363">
        <f>VLOOKUP(B949, 'PubMed 4.14.21 Results'!B:B, 1, FALSE)</f>
        <v>30191830</v>
      </c>
      <c r="B949" s="363">
        <v>30191830</v>
      </c>
      <c r="C949" s="362" t="s">
        <v>12708</v>
      </c>
      <c r="D949" s="362" t="s">
        <v>12709</v>
      </c>
      <c r="E949" s="362" t="s">
        <v>12710</v>
      </c>
      <c r="F949" s="362" t="s">
        <v>7428</v>
      </c>
      <c r="G949" s="362" t="s">
        <v>9420</v>
      </c>
      <c r="H949" s="363">
        <v>2018</v>
      </c>
      <c r="I949" s="378">
        <v>43351</v>
      </c>
      <c r="J949" s="362" t="s">
        <v>7429</v>
      </c>
      <c r="K949" s="362" t="s">
        <v>12711</v>
      </c>
      <c r="L949" s="362" t="s">
        <v>12712</v>
      </c>
    </row>
    <row r="950" spans="1:12">
      <c r="A950" s="363">
        <f>VLOOKUP(B950, 'PubMed 4.14.21 Results'!B:B, 1, FALSE)</f>
        <v>30238870</v>
      </c>
      <c r="B950" s="363">
        <v>30238870</v>
      </c>
      <c r="C950" s="362" t="s">
        <v>12713</v>
      </c>
      <c r="D950" s="362" t="s">
        <v>12714</v>
      </c>
      <c r="E950" s="362" t="s">
        <v>12715</v>
      </c>
      <c r="F950" s="362" t="s">
        <v>7106</v>
      </c>
      <c r="G950" s="362" t="s">
        <v>9359</v>
      </c>
      <c r="H950" s="363">
        <v>2018</v>
      </c>
      <c r="I950" s="378">
        <v>43365</v>
      </c>
      <c r="J950" s="434" t="s">
        <v>7107</v>
      </c>
      <c r="K950" s="425"/>
      <c r="L950" s="362" t="s">
        <v>12716</v>
      </c>
    </row>
    <row r="951" spans="1:12">
      <c r="A951" s="363">
        <f>VLOOKUP(B951, 'PubMed 4.14.21 Results'!B:B, 1, FALSE)</f>
        <v>30205844</v>
      </c>
      <c r="B951" s="363">
        <v>30205844</v>
      </c>
      <c r="C951" s="362" t="s">
        <v>12717</v>
      </c>
      <c r="D951" s="362" t="s">
        <v>12718</v>
      </c>
      <c r="E951" s="362" t="s">
        <v>12719</v>
      </c>
      <c r="F951" s="362" t="s">
        <v>6487</v>
      </c>
      <c r="G951" s="362" t="s">
        <v>12720</v>
      </c>
      <c r="H951" s="363">
        <v>2018</v>
      </c>
      <c r="I951" s="378">
        <v>43356</v>
      </c>
      <c r="J951" s="434" t="s">
        <v>6488</v>
      </c>
      <c r="K951" s="425"/>
      <c r="L951" s="362" t="s">
        <v>12721</v>
      </c>
    </row>
    <row r="952" spans="1:12">
      <c r="A952" s="363">
        <f>VLOOKUP(B952, 'PubMed 4.14.21 Results'!B:B, 1, FALSE)</f>
        <v>30298065</v>
      </c>
      <c r="B952" s="363">
        <v>30298065</v>
      </c>
      <c r="C952" s="362" t="s">
        <v>12722</v>
      </c>
      <c r="D952" s="362" t="s">
        <v>12723</v>
      </c>
      <c r="E952" s="362" t="s">
        <v>12724</v>
      </c>
      <c r="F952" s="362" t="s">
        <v>7638</v>
      </c>
      <c r="G952" s="362" t="s">
        <v>12725</v>
      </c>
      <c r="H952" s="363">
        <v>2018</v>
      </c>
      <c r="I952" s="378">
        <v>43383</v>
      </c>
      <c r="J952" s="434" t="s">
        <v>7639</v>
      </c>
      <c r="K952" s="425"/>
      <c r="L952" s="362" t="s">
        <v>12726</v>
      </c>
    </row>
    <row r="953" spans="1:12">
      <c r="A953" s="363">
        <f>VLOOKUP(B953, 'PubMed 4.14.21 Results'!B:B, 1, FALSE)</f>
        <v>29982575</v>
      </c>
      <c r="B953" s="363">
        <v>29982575</v>
      </c>
      <c r="C953" s="362" t="s">
        <v>12727</v>
      </c>
      <c r="D953" s="362" t="s">
        <v>12728</v>
      </c>
      <c r="E953" s="362" t="s">
        <v>12729</v>
      </c>
      <c r="F953" s="362" t="s">
        <v>7708</v>
      </c>
      <c r="G953" s="362" t="s">
        <v>9497</v>
      </c>
      <c r="H953" s="363">
        <v>2018</v>
      </c>
      <c r="I953" s="378">
        <v>43290</v>
      </c>
      <c r="J953" s="434" t="s">
        <v>7709</v>
      </c>
      <c r="K953" s="425"/>
      <c r="L953" s="362" t="s">
        <v>12730</v>
      </c>
    </row>
    <row r="954" spans="1:12">
      <c r="A954" s="363">
        <f>VLOOKUP(B954, 'PubMed 4.14.21 Results'!B:B, 1, FALSE)</f>
        <v>29399800</v>
      </c>
      <c r="B954" s="363">
        <v>29399800</v>
      </c>
      <c r="C954" s="362" t="s">
        <v>12731</v>
      </c>
      <c r="D954" s="362" t="s">
        <v>12732</v>
      </c>
      <c r="E954" s="362" t="s">
        <v>12733</v>
      </c>
      <c r="F954" s="362" t="s">
        <v>7951</v>
      </c>
      <c r="G954" s="362" t="s">
        <v>12734</v>
      </c>
      <c r="H954" s="363">
        <v>2018</v>
      </c>
      <c r="I954" s="378">
        <v>43137</v>
      </c>
      <c r="J954" s="365"/>
      <c r="K954" s="365"/>
      <c r="L954" s="362" t="s">
        <v>12735</v>
      </c>
    </row>
    <row r="955" spans="1:12">
      <c r="A955" s="363">
        <f>VLOOKUP(B955, 'PubMed 4.14.21 Results'!B:B, 1, FALSE)</f>
        <v>29936327</v>
      </c>
      <c r="B955" s="363">
        <v>29936327</v>
      </c>
      <c r="C955" s="362" t="s">
        <v>12736</v>
      </c>
      <c r="D955" s="362" t="s">
        <v>12737</v>
      </c>
      <c r="E955" s="362" t="s">
        <v>12738</v>
      </c>
      <c r="F955" s="362" t="s">
        <v>7178</v>
      </c>
      <c r="G955" s="362" t="s">
        <v>9780</v>
      </c>
      <c r="H955" s="363">
        <v>2018</v>
      </c>
      <c r="I955" s="378">
        <v>43276</v>
      </c>
      <c r="J955" s="365"/>
      <c r="K955" s="365"/>
      <c r="L955" s="362" t="s">
        <v>12739</v>
      </c>
    </row>
    <row r="956" spans="1:12">
      <c r="A956" s="363">
        <f>VLOOKUP(B956, 'PubMed 4.14.21 Results'!B:B, 1, FALSE)</f>
        <v>30008076</v>
      </c>
      <c r="B956" s="363">
        <v>30008076</v>
      </c>
      <c r="C956" s="362" t="s">
        <v>12740</v>
      </c>
      <c r="D956" s="362" t="s">
        <v>12741</v>
      </c>
      <c r="E956" s="362" t="s">
        <v>12742</v>
      </c>
      <c r="F956" s="362" t="s">
        <v>8103</v>
      </c>
      <c r="G956" s="362" t="s">
        <v>12743</v>
      </c>
      <c r="H956" s="363">
        <v>2018</v>
      </c>
      <c r="I956" s="378">
        <v>43297</v>
      </c>
      <c r="J956" s="365"/>
      <c r="K956" s="365"/>
      <c r="L956" s="362" t="s">
        <v>12744</v>
      </c>
    </row>
    <row r="957" spans="1:12">
      <c r="A957" s="363">
        <f>VLOOKUP(B957, 'PubMed 4.14.21 Results'!B:B, 1, FALSE)</f>
        <v>30290902</v>
      </c>
      <c r="B957" s="363">
        <v>30290902</v>
      </c>
      <c r="C957" s="362" t="s">
        <v>12745</v>
      </c>
      <c r="D957" s="362" t="s">
        <v>12746</v>
      </c>
      <c r="E957" s="362" t="s">
        <v>12747</v>
      </c>
      <c r="F957" s="362" t="s">
        <v>7296</v>
      </c>
      <c r="G957" s="362" t="s">
        <v>11312</v>
      </c>
      <c r="H957" s="363">
        <v>2018</v>
      </c>
      <c r="I957" s="378">
        <v>43380</v>
      </c>
      <c r="J957" s="365"/>
      <c r="K957" s="365"/>
      <c r="L957" s="362" t="s">
        <v>12748</v>
      </c>
    </row>
    <row r="958" spans="1:12">
      <c r="A958" s="363">
        <f>VLOOKUP(B958, 'PubMed 4.14.21 Results'!B:B, 1, FALSE)</f>
        <v>30354508</v>
      </c>
      <c r="B958" s="363">
        <v>30354508</v>
      </c>
      <c r="C958" s="362" t="s">
        <v>12749</v>
      </c>
      <c r="D958" s="362" t="s">
        <v>12750</v>
      </c>
      <c r="E958" s="362" t="s">
        <v>12751</v>
      </c>
      <c r="F958" s="362" t="s">
        <v>6551</v>
      </c>
      <c r="G958" s="362" t="s">
        <v>8519</v>
      </c>
      <c r="H958" s="363">
        <v>2018</v>
      </c>
      <c r="I958" s="378">
        <v>43399</v>
      </c>
      <c r="J958" s="365"/>
      <c r="K958" s="365"/>
      <c r="L958" s="362" t="s">
        <v>12752</v>
      </c>
    </row>
    <row r="959" spans="1:12">
      <c r="A959" s="363">
        <f>VLOOKUP(B959, 'PubMed 4.14.21 Results'!B:B, 1, FALSE)</f>
        <v>30292578</v>
      </c>
      <c r="B959" s="363">
        <v>30292578</v>
      </c>
      <c r="C959" s="362" t="s">
        <v>12753</v>
      </c>
      <c r="D959" s="362" t="s">
        <v>12754</v>
      </c>
      <c r="E959" s="362" t="s">
        <v>12755</v>
      </c>
      <c r="F959" s="362" t="s">
        <v>7909</v>
      </c>
      <c r="G959" s="362" t="s">
        <v>9420</v>
      </c>
      <c r="H959" s="363">
        <v>2018</v>
      </c>
      <c r="I959" s="378">
        <v>43381</v>
      </c>
      <c r="J959" s="434" t="s">
        <v>7910</v>
      </c>
      <c r="K959" s="425"/>
      <c r="L959" s="362" t="s">
        <v>12756</v>
      </c>
    </row>
    <row r="960" spans="1:12">
      <c r="A960" s="363">
        <f>VLOOKUP(B960, 'PubMed 4.14.21 Results'!B:B, 1, FALSE)</f>
        <v>30022571</v>
      </c>
      <c r="B960" s="363">
        <v>30022571</v>
      </c>
      <c r="C960" s="362" t="s">
        <v>12757</v>
      </c>
      <c r="D960" s="362" t="s">
        <v>12758</v>
      </c>
      <c r="E960" s="362" t="s">
        <v>12759</v>
      </c>
      <c r="F960" s="362" t="s">
        <v>7618</v>
      </c>
      <c r="G960" s="362" t="s">
        <v>12760</v>
      </c>
      <c r="H960" s="363">
        <v>2018</v>
      </c>
      <c r="I960" s="378">
        <v>43301</v>
      </c>
      <c r="J960" s="365"/>
      <c r="K960" s="365"/>
      <c r="L960" s="362" t="s">
        <v>12761</v>
      </c>
    </row>
    <row r="961" spans="1:12">
      <c r="A961" s="363">
        <f>VLOOKUP(B961, 'PubMed 4.14.21 Results'!B:B, 1, FALSE)</f>
        <v>30156436</v>
      </c>
      <c r="B961" s="363">
        <v>30156436</v>
      </c>
      <c r="C961" s="362" t="s">
        <v>12762</v>
      </c>
      <c r="D961" s="362" t="s">
        <v>12763</v>
      </c>
      <c r="E961" s="362" t="s">
        <v>12764</v>
      </c>
      <c r="F961" s="362" t="s">
        <v>7339</v>
      </c>
      <c r="G961" s="362" t="s">
        <v>12765</v>
      </c>
      <c r="H961" s="363">
        <v>2018</v>
      </c>
      <c r="I961" s="378">
        <v>43342</v>
      </c>
      <c r="J961" s="434" t="s">
        <v>7340</v>
      </c>
      <c r="K961" s="425"/>
      <c r="L961" s="362" t="s">
        <v>12766</v>
      </c>
    </row>
    <row r="962" spans="1:12">
      <c r="A962" s="363">
        <f>VLOOKUP(B962, 'PubMed 4.14.21 Results'!B:B, 1, FALSE)</f>
        <v>30170735</v>
      </c>
      <c r="B962" s="363">
        <v>30170735</v>
      </c>
      <c r="C962" s="362" t="s">
        <v>12767</v>
      </c>
      <c r="D962" s="362" t="s">
        <v>12768</v>
      </c>
      <c r="E962" s="362" t="s">
        <v>12769</v>
      </c>
      <c r="F962" s="362" t="s">
        <v>7102</v>
      </c>
      <c r="G962" s="362" t="s">
        <v>9873</v>
      </c>
      <c r="H962" s="363">
        <v>2018</v>
      </c>
      <c r="I962" s="378">
        <v>43345</v>
      </c>
      <c r="J962" s="365"/>
      <c r="K962" s="365"/>
      <c r="L962" s="362" t="s">
        <v>12770</v>
      </c>
    </row>
    <row r="963" spans="1:12">
      <c r="A963" s="363">
        <f>VLOOKUP(B963, 'PubMed 4.14.21 Results'!B:B, 1, FALSE)</f>
        <v>30209862</v>
      </c>
      <c r="B963" s="363">
        <v>30209862</v>
      </c>
      <c r="C963" s="362" t="s">
        <v>12771</v>
      </c>
      <c r="D963" s="362" t="s">
        <v>12772</v>
      </c>
      <c r="E963" s="362" t="s">
        <v>12773</v>
      </c>
      <c r="F963" s="362" t="s">
        <v>7139</v>
      </c>
      <c r="G963" s="362" t="s">
        <v>10360</v>
      </c>
      <c r="H963" s="363">
        <v>2018</v>
      </c>
      <c r="I963" s="378">
        <v>43357</v>
      </c>
      <c r="J963" s="365"/>
      <c r="K963" s="365"/>
      <c r="L963" s="362" t="s">
        <v>12774</v>
      </c>
    </row>
    <row r="964" spans="1:12">
      <c r="A964" s="363">
        <f>VLOOKUP(B964, 'PubMed 4.14.21 Results'!B:B, 1, FALSE)</f>
        <v>30252528</v>
      </c>
      <c r="B964" s="363">
        <v>30252528</v>
      </c>
      <c r="C964" s="362" t="s">
        <v>12775</v>
      </c>
      <c r="D964" s="362" t="s">
        <v>12776</v>
      </c>
      <c r="E964" s="362" t="s">
        <v>12777</v>
      </c>
      <c r="F964" s="362" t="s">
        <v>7458</v>
      </c>
      <c r="G964" s="362" t="s">
        <v>12778</v>
      </c>
      <c r="H964" s="363">
        <v>2018</v>
      </c>
      <c r="I964" s="378">
        <v>43369</v>
      </c>
      <c r="J964" s="434" t="s">
        <v>7459</v>
      </c>
      <c r="K964" s="425"/>
      <c r="L964" s="362" t="s">
        <v>12779</v>
      </c>
    </row>
    <row r="965" spans="1:12">
      <c r="A965" s="363">
        <f>VLOOKUP(B965, 'PubMed 4.14.21 Results'!B:B, 1, FALSE)</f>
        <v>30418980</v>
      </c>
      <c r="B965" s="363">
        <v>30418980</v>
      </c>
      <c r="C965" s="362" t="s">
        <v>12780</v>
      </c>
      <c r="D965" s="362" t="s">
        <v>12781</v>
      </c>
      <c r="E965" s="362" t="s">
        <v>12782</v>
      </c>
      <c r="F965" s="362" t="s">
        <v>7407</v>
      </c>
      <c r="G965" s="362" t="s">
        <v>10379</v>
      </c>
      <c r="H965" s="363">
        <v>2018</v>
      </c>
      <c r="I965" s="378">
        <v>43417</v>
      </c>
      <c r="J965" s="434" t="s">
        <v>7408</v>
      </c>
      <c r="K965" s="425"/>
      <c r="L965" s="362" t="s">
        <v>12783</v>
      </c>
    </row>
    <row r="966" spans="1:12">
      <c r="A966" s="363">
        <f>VLOOKUP(B966, 'PubMed 4.14.21 Results'!B:B, 1, FALSE)</f>
        <v>30425150</v>
      </c>
      <c r="B966" s="363">
        <v>30425150</v>
      </c>
      <c r="C966" s="362" t="s">
        <v>12784</v>
      </c>
      <c r="D966" s="362" t="s">
        <v>12785</v>
      </c>
      <c r="E966" s="362" t="s">
        <v>12786</v>
      </c>
      <c r="F966" s="362" t="s">
        <v>7901</v>
      </c>
      <c r="G966" s="362" t="s">
        <v>11057</v>
      </c>
      <c r="H966" s="363">
        <v>2018</v>
      </c>
      <c r="I966" s="378">
        <v>43419</v>
      </c>
      <c r="J966" s="434" t="s">
        <v>7902</v>
      </c>
      <c r="K966" s="425"/>
      <c r="L966" s="362" t="s">
        <v>12787</v>
      </c>
    </row>
    <row r="967" spans="1:12">
      <c r="A967" s="363">
        <f>VLOOKUP(B967, 'PubMed 4.14.21 Results'!B:B, 1, FALSE)</f>
        <v>30480772</v>
      </c>
      <c r="B967" s="363">
        <v>30480772</v>
      </c>
      <c r="C967" s="362" t="s">
        <v>12788</v>
      </c>
      <c r="D967" s="362" t="s">
        <v>12789</v>
      </c>
      <c r="E967" s="362" t="s">
        <v>12790</v>
      </c>
      <c r="F967" s="362" t="s">
        <v>7104</v>
      </c>
      <c r="G967" s="362" t="s">
        <v>8857</v>
      </c>
      <c r="H967" s="363">
        <v>2018</v>
      </c>
      <c r="I967" s="378">
        <v>43432</v>
      </c>
      <c r="J967" s="434" t="s">
        <v>7105</v>
      </c>
      <c r="K967" s="425"/>
      <c r="L967" s="362" t="s">
        <v>12791</v>
      </c>
    </row>
    <row r="968" spans="1:12">
      <c r="A968" s="363">
        <f>VLOOKUP(B968, 'PubMed 4.14.21 Results'!B:B, 1, FALSE)</f>
        <v>30449234</v>
      </c>
      <c r="B968" s="363">
        <v>30449234</v>
      </c>
      <c r="C968" s="362" t="s">
        <v>12792</v>
      </c>
      <c r="D968" s="362" t="s">
        <v>12793</v>
      </c>
      <c r="E968" s="362" t="s">
        <v>12794</v>
      </c>
      <c r="F968" s="362" t="s">
        <v>7576</v>
      </c>
      <c r="G968" s="362" t="s">
        <v>8514</v>
      </c>
      <c r="H968" s="363">
        <v>2018</v>
      </c>
      <c r="I968" s="378">
        <v>43424</v>
      </c>
      <c r="J968" s="365"/>
      <c r="K968" s="365"/>
      <c r="L968" s="362" t="s">
        <v>12795</v>
      </c>
    </row>
    <row r="969" spans="1:12">
      <c r="A969" s="363">
        <f>VLOOKUP(B969, 'PubMed 4.14.21 Results'!B:B, 1, FALSE)</f>
        <v>30488948</v>
      </c>
      <c r="B969" s="363">
        <v>30488948</v>
      </c>
      <c r="C969" s="362" t="s">
        <v>12796</v>
      </c>
      <c r="D969" s="362" t="s">
        <v>12797</v>
      </c>
      <c r="E969" s="362" t="s">
        <v>12798</v>
      </c>
      <c r="F969" s="362" t="s">
        <v>6679</v>
      </c>
      <c r="G969" s="362" t="s">
        <v>8857</v>
      </c>
      <c r="H969" s="363">
        <v>2018</v>
      </c>
      <c r="I969" s="378">
        <v>43434</v>
      </c>
      <c r="J969" s="434" t="s">
        <v>6680</v>
      </c>
      <c r="K969" s="425"/>
      <c r="L969" s="362" t="s">
        <v>12799</v>
      </c>
    </row>
    <row r="970" spans="1:12">
      <c r="A970" s="363">
        <f>VLOOKUP(B970, 'PubMed 4.14.21 Results'!B:B, 1, FALSE)</f>
        <v>30308319</v>
      </c>
      <c r="B970" s="363">
        <v>30308319</v>
      </c>
      <c r="C970" s="362" t="s">
        <v>12800</v>
      </c>
      <c r="D970" s="362" t="s">
        <v>12801</v>
      </c>
      <c r="E970" s="362" t="s">
        <v>12802</v>
      </c>
      <c r="F970" s="362" t="s">
        <v>6730</v>
      </c>
      <c r="G970" s="362" t="s">
        <v>12803</v>
      </c>
      <c r="H970" s="363">
        <v>2018</v>
      </c>
      <c r="I970" s="378">
        <v>43385</v>
      </c>
      <c r="J970" s="365"/>
      <c r="K970" s="365"/>
      <c r="L970" s="362" t="s">
        <v>12804</v>
      </c>
    </row>
    <row r="971" spans="1:12">
      <c r="A971" s="363">
        <f>VLOOKUP(B971, 'PubMed 4.14.21 Results'!B:B, 1, FALSE)</f>
        <v>30521694</v>
      </c>
      <c r="B971" s="363">
        <v>30521694</v>
      </c>
      <c r="C971" s="362" t="s">
        <v>12805</v>
      </c>
      <c r="D971" s="362" t="s">
        <v>12806</v>
      </c>
      <c r="E971" s="362" t="s">
        <v>12807</v>
      </c>
      <c r="F971" s="362" t="s">
        <v>7553</v>
      </c>
      <c r="G971" s="362" t="s">
        <v>8857</v>
      </c>
      <c r="H971" s="363">
        <v>2018</v>
      </c>
      <c r="I971" s="378">
        <v>43441</v>
      </c>
      <c r="J971" s="434" t="s">
        <v>7554</v>
      </c>
      <c r="K971" s="425"/>
      <c r="L971" s="362" t="s">
        <v>12808</v>
      </c>
    </row>
    <row r="972" spans="1:12">
      <c r="A972" s="363">
        <f>VLOOKUP(B972, 'PubMed 4.14.21 Results'!B:B, 1, FALSE)</f>
        <v>30509294</v>
      </c>
      <c r="B972" s="363">
        <v>30509294</v>
      </c>
      <c r="C972" s="362" t="s">
        <v>12809</v>
      </c>
      <c r="D972" s="362" t="s">
        <v>12810</v>
      </c>
      <c r="E972" s="362" t="s">
        <v>12811</v>
      </c>
      <c r="F972" s="362" t="s">
        <v>7157</v>
      </c>
      <c r="G972" s="362" t="s">
        <v>10912</v>
      </c>
      <c r="H972" s="363">
        <v>2018</v>
      </c>
      <c r="I972" s="378">
        <v>43439</v>
      </c>
      <c r="J972" s="434" t="s">
        <v>7158</v>
      </c>
      <c r="K972" s="425"/>
      <c r="L972" s="362" t="s">
        <v>12812</v>
      </c>
    </row>
    <row r="973" spans="1:12">
      <c r="A973" s="363">
        <f>VLOOKUP(B973, 'PubMed 4.14.21 Results'!B:B, 1, FALSE)</f>
        <v>30518685</v>
      </c>
      <c r="B973" s="363">
        <v>30518685</v>
      </c>
      <c r="C973" s="362" t="s">
        <v>12813</v>
      </c>
      <c r="D973" s="362" t="s">
        <v>12814</v>
      </c>
      <c r="E973" s="362" t="s">
        <v>12815</v>
      </c>
      <c r="F973" s="362" t="s">
        <v>6881</v>
      </c>
      <c r="G973" s="362" t="s">
        <v>12537</v>
      </c>
      <c r="H973" s="363">
        <v>2018</v>
      </c>
      <c r="I973" s="378">
        <v>43441</v>
      </c>
      <c r="J973" s="434" t="s">
        <v>6882</v>
      </c>
      <c r="K973" s="425"/>
      <c r="L973" s="362" t="s">
        <v>12816</v>
      </c>
    </row>
    <row r="974" spans="1:12">
      <c r="A974" s="363">
        <f>VLOOKUP(B974, 'PubMed 4.14.21 Results'!B:B, 1, FALSE)</f>
        <v>30266608</v>
      </c>
      <c r="B974" s="363">
        <v>30266608</v>
      </c>
      <c r="C974" s="362" t="s">
        <v>12817</v>
      </c>
      <c r="D974" s="362" t="s">
        <v>12818</v>
      </c>
      <c r="E974" s="362" t="s">
        <v>12819</v>
      </c>
      <c r="F974" s="362" t="s">
        <v>6871</v>
      </c>
      <c r="G974" s="362" t="s">
        <v>9014</v>
      </c>
      <c r="H974" s="363">
        <v>2018</v>
      </c>
      <c r="I974" s="378">
        <v>43373</v>
      </c>
      <c r="J974" s="365"/>
      <c r="K974" s="365"/>
      <c r="L974" s="362" t="s">
        <v>12820</v>
      </c>
    </row>
    <row r="975" spans="1:12">
      <c r="A975" s="363">
        <f>VLOOKUP(B975, 'PubMed 4.14.21 Results'!B:B, 1, FALSE)</f>
        <v>30545359</v>
      </c>
      <c r="B975" s="363">
        <v>30545359</v>
      </c>
      <c r="C975" s="362" t="s">
        <v>12821</v>
      </c>
      <c r="D975" s="362" t="s">
        <v>12822</v>
      </c>
      <c r="E975" s="362" t="s">
        <v>12823</v>
      </c>
      <c r="F975" s="362" t="s">
        <v>7853</v>
      </c>
      <c r="G975" s="362" t="s">
        <v>12824</v>
      </c>
      <c r="H975" s="363">
        <v>2018</v>
      </c>
      <c r="I975" s="378">
        <v>43449</v>
      </c>
      <c r="J975" s="434" t="s">
        <v>7854</v>
      </c>
      <c r="K975" s="425"/>
      <c r="L975" s="362" t="s">
        <v>12825</v>
      </c>
    </row>
    <row r="976" spans="1:12">
      <c r="A976" s="363">
        <f>VLOOKUP(B976, 'PubMed 4.14.21 Results'!B:B, 1, FALSE)</f>
        <v>30547802</v>
      </c>
      <c r="B976" s="363">
        <v>30547802</v>
      </c>
      <c r="C976" s="362" t="s">
        <v>12826</v>
      </c>
      <c r="D976" s="362" t="s">
        <v>12827</v>
      </c>
      <c r="E976" s="362" t="s">
        <v>12828</v>
      </c>
      <c r="F976" s="362" t="s">
        <v>7184</v>
      </c>
      <c r="G976" s="362" t="s">
        <v>12829</v>
      </c>
      <c r="H976" s="363">
        <v>2018</v>
      </c>
      <c r="I976" s="378">
        <v>43449</v>
      </c>
      <c r="J976" s="434" t="s">
        <v>7185</v>
      </c>
      <c r="K976" s="425"/>
      <c r="L976" s="362" t="s">
        <v>12830</v>
      </c>
    </row>
    <row r="977" spans="1:12">
      <c r="A977" s="363">
        <f>VLOOKUP(B977, 'PubMed 4.14.21 Results'!B:B, 1, FALSE)</f>
        <v>30003988</v>
      </c>
      <c r="B977" s="363">
        <v>30003988</v>
      </c>
      <c r="C977" s="362" t="s">
        <v>12831</v>
      </c>
      <c r="D977" s="362" t="s">
        <v>12832</v>
      </c>
      <c r="E977" s="362" t="s">
        <v>12833</v>
      </c>
      <c r="F977" s="362" t="s">
        <v>6946</v>
      </c>
      <c r="G977" s="362" t="s">
        <v>9961</v>
      </c>
      <c r="H977" s="363">
        <v>2019</v>
      </c>
      <c r="I977" s="378">
        <v>43295</v>
      </c>
      <c r="J977" s="365"/>
      <c r="K977" s="365"/>
      <c r="L977" s="362" t="s">
        <v>12834</v>
      </c>
    </row>
    <row r="978" spans="1:12">
      <c r="A978" s="363">
        <f>VLOOKUP(B978, 'PubMed 4.14.21 Results'!B:B, 1, FALSE)</f>
        <v>30264146</v>
      </c>
      <c r="B978" s="363">
        <v>30264146</v>
      </c>
      <c r="C978" s="362" t="s">
        <v>12835</v>
      </c>
      <c r="D978" s="362" t="s">
        <v>12836</v>
      </c>
      <c r="E978" s="362" t="s">
        <v>12837</v>
      </c>
      <c r="F978" s="362" t="s">
        <v>8112</v>
      </c>
      <c r="G978" s="362" t="s">
        <v>11982</v>
      </c>
      <c r="H978" s="363">
        <v>2019</v>
      </c>
      <c r="I978" s="378">
        <v>43372</v>
      </c>
      <c r="J978" s="434" t="s">
        <v>8113</v>
      </c>
      <c r="K978" s="425"/>
      <c r="L978" s="362" t="s">
        <v>12838</v>
      </c>
    </row>
    <row r="979" spans="1:12">
      <c r="A979" s="363">
        <f>VLOOKUP(B979, 'PubMed 4.14.21 Results'!B:B, 1, FALSE)</f>
        <v>30471827</v>
      </c>
      <c r="B979" s="363">
        <v>30471827</v>
      </c>
      <c r="C979" s="362" t="s">
        <v>12839</v>
      </c>
      <c r="D979" s="362" t="s">
        <v>12840</v>
      </c>
      <c r="E979" s="362" t="s">
        <v>12841</v>
      </c>
      <c r="F979" s="362" t="s">
        <v>7124</v>
      </c>
      <c r="G979" s="362" t="s">
        <v>12842</v>
      </c>
      <c r="H979" s="363">
        <v>2019</v>
      </c>
      <c r="I979" s="378">
        <v>43430</v>
      </c>
      <c r="J979" s="365"/>
      <c r="K979" s="365"/>
      <c r="L979" s="362" t="s">
        <v>12843</v>
      </c>
    </row>
    <row r="980" spans="1:12">
      <c r="A980" s="363">
        <f>VLOOKUP(B980, 'PubMed 4.14.21 Results'!B:B, 1, FALSE)</f>
        <v>30482392</v>
      </c>
      <c r="B980" s="363">
        <v>30482392</v>
      </c>
      <c r="C980" s="362" t="s">
        <v>12844</v>
      </c>
      <c r="D980" s="362" t="s">
        <v>12845</v>
      </c>
      <c r="E980" s="362" t="s">
        <v>12846</v>
      </c>
      <c r="F980" s="362" t="s">
        <v>8015</v>
      </c>
      <c r="G980" s="362" t="s">
        <v>9961</v>
      </c>
      <c r="H980" s="363">
        <v>2019</v>
      </c>
      <c r="I980" s="378">
        <v>43433</v>
      </c>
      <c r="J980" s="365"/>
      <c r="K980" s="365"/>
      <c r="L980" s="362" t="s">
        <v>12847</v>
      </c>
    </row>
    <row r="981" spans="1:12">
      <c r="A981" s="363">
        <f>VLOOKUP(B981, 'PubMed 4.14.21 Results'!B:B, 1, FALSE)</f>
        <v>30579443</v>
      </c>
      <c r="B981" s="363">
        <v>30579443</v>
      </c>
      <c r="C981" s="362" t="s">
        <v>12848</v>
      </c>
      <c r="D981" s="362" t="s">
        <v>12849</v>
      </c>
      <c r="E981" s="362" t="s">
        <v>12850</v>
      </c>
      <c r="F981" s="362" t="s">
        <v>6739</v>
      </c>
      <c r="G981" s="362" t="s">
        <v>10511</v>
      </c>
      <c r="H981" s="363">
        <v>2019</v>
      </c>
      <c r="I981" s="378">
        <v>43458</v>
      </c>
      <c r="J981" s="365"/>
      <c r="K981" s="365"/>
      <c r="L981" s="362" t="s">
        <v>12851</v>
      </c>
    </row>
    <row r="982" spans="1:12">
      <c r="A982" s="363">
        <f>VLOOKUP(B982, 'PubMed 4.14.21 Results'!B:B, 1, FALSE)</f>
        <v>31256137</v>
      </c>
      <c r="B982" s="363">
        <v>31256137</v>
      </c>
      <c r="C982" s="362" t="s">
        <v>12852</v>
      </c>
      <c r="D982" s="362" t="s">
        <v>12853</v>
      </c>
      <c r="E982" s="362" t="s">
        <v>12854</v>
      </c>
      <c r="F982" s="362" t="s">
        <v>7061</v>
      </c>
      <c r="G982" s="362" t="s">
        <v>12855</v>
      </c>
      <c r="H982" s="363">
        <v>2019</v>
      </c>
      <c r="I982" s="378">
        <v>43647</v>
      </c>
      <c r="J982" s="434" t="s">
        <v>7062</v>
      </c>
      <c r="K982" s="425"/>
      <c r="L982" s="362" t="s">
        <v>12856</v>
      </c>
    </row>
    <row r="983" spans="1:12">
      <c r="A983" s="363">
        <f>VLOOKUP(B983, 'PubMed 4.14.21 Results'!B:B, 1, FALSE)</f>
        <v>31307586</v>
      </c>
      <c r="B983" s="363">
        <v>31307586</v>
      </c>
      <c r="C983" s="362" t="s">
        <v>12857</v>
      </c>
      <c r="D983" s="362" t="s">
        <v>12858</v>
      </c>
      <c r="E983" s="362" t="s">
        <v>12859</v>
      </c>
      <c r="F983" s="362" t="s">
        <v>8050</v>
      </c>
      <c r="G983" s="362" t="s">
        <v>12860</v>
      </c>
      <c r="H983" s="363">
        <v>2019</v>
      </c>
      <c r="I983" s="378">
        <v>43663</v>
      </c>
      <c r="J983" s="365"/>
      <c r="K983" s="365"/>
      <c r="L983" s="362" t="s">
        <v>12861</v>
      </c>
    </row>
    <row r="984" spans="1:12">
      <c r="A984" s="363">
        <f>VLOOKUP(B984, 'PubMed 4.14.21 Results'!B:B, 1, FALSE)</f>
        <v>31835962</v>
      </c>
      <c r="B984" s="363">
        <v>31835962</v>
      </c>
      <c r="C984" s="362" t="s">
        <v>12862</v>
      </c>
      <c r="D984" s="362" t="s">
        <v>12863</v>
      </c>
      <c r="E984" s="362" t="s">
        <v>12864</v>
      </c>
      <c r="F984" s="362" t="s">
        <v>8126</v>
      </c>
      <c r="G984" s="362" t="s">
        <v>12865</v>
      </c>
      <c r="H984" s="363">
        <v>2019</v>
      </c>
      <c r="I984" s="378">
        <v>43814</v>
      </c>
      <c r="J984" s="434" t="s">
        <v>8127</v>
      </c>
      <c r="K984" s="425"/>
      <c r="L984" s="362" t="s">
        <v>12866</v>
      </c>
    </row>
    <row r="985" spans="1:12">
      <c r="A985" s="363">
        <f>VLOOKUP(B985, 'PubMed 4.14.21 Results'!B:B, 1, FALSE)</f>
        <v>30605229</v>
      </c>
      <c r="B985" s="363">
        <v>30605229</v>
      </c>
      <c r="C985" s="362" t="s">
        <v>12867</v>
      </c>
      <c r="D985" s="362" t="s">
        <v>12868</v>
      </c>
      <c r="E985" s="362" t="s">
        <v>12869</v>
      </c>
      <c r="F985" s="362" t="s">
        <v>7864</v>
      </c>
      <c r="G985" s="362" t="s">
        <v>8857</v>
      </c>
      <c r="H985" s="363">
        <v>2019</v>
      </c>
      <c r="I985" s="378">
        <v>43469</v>
      </c>
      <c r="J985" s="434" t="s">
        <v>7866</v>
      </c>
      <c r="K985" s="425"/>
      <c r="L985" s="362" t="s">
        <v>12870</v>
      </c>
    </row>
    <row r="986" spans="1:12">
      <c r="A986" s="363">
        <f>VLOOKUP(B986, 'PubMed 4.14.21 Results'!B:B, 1, FALSE)</f>
        <v>30621791</v>
      </c>
      <c r="B986" s="363">
        <v>30621791</v>
      </c>
      <c r="C986" s="362" t="s">
        <v>12871</v>
      </c>
      <c r="D986" s="362" t="s">
        <v>12872</v>
      </c>
      <c r="E986" s="362" t="s">
        <v>12873</v>
      </c>
      <c r="F986" s="362" t="s">
        <v>6774</v>
      </c>
      <c r="G986" s="362" t="s">
        <v>12874</v>
      </c>
      <c r="H986" s="363">
        <v>2019</v>
      </c>
      <c r="I986" s="378">
        <v>43475</v>
      </c>
      <c r="J986" s="434" t="s">
        <v>6775</v>
      </c>
      <c r="K986" s="425"/>
      <c r="L986" s="362" t="s">
        <v>12875</v>
      </c>
    </row>
    <row r="987" spans="1:12">
      <c r="A987" s="363">
        <f>VLOOKUP(B987, 'PubMed 4.14.21 Results'!B:B, 1, FALSE)</f>
        <v>30624763</v>
      </c>
      <c r="B987" s="363">
        <v>30624763</v>
      </c>
      <c r="C987" s="362" t="s">
        <v>9756</v>
      </c>
      <c r="D987" s="362" t="s">
        <v>12876</v>
      </c>
      <c r="E987" s="362" t="s">
        <v>12877</v>
      </c>
      <c r="F987" s="362" t="s">
        <v>6967</v>
      </c>
      <c r="G987" s="362" t="s">
        <v>8857</v>
      </c>
      <c r="H987" s="363">
        <v>2019</v>
      </c>
      <c r="I987" s="378">
        <v>43475</v>
      </c>
      <c r="J987" s="434" t="s">
        <v>6968</v>
      </c>
      <c r="K987" s="425"/>
      <c r="L987" s="362" t="s">
        <v>12878</v>
      </c>
    </row>
    <row r="988" spans="1:12">
      <c r="A988" s="363">
        <f>VLOOKUP(B988, 'PubMed 4.14.21 Results'!B:B, 1, FALSE)</f>
        <v>30670044</v>
      </c>
      <c r="B988" s="363">
        <v>30670044</v>
      </c>
      <c r="C988" s="362" t="s">
        <v>12879</v>
      </c>
      <c r="D988" s="362" t="s">
        <v>12880</v>
      </c>
      <c r="E988" s="362" t="s">
        <v>12881</v>
      </c>
      <c r="F988" s="362" t="s">
        <v>7464</v>
      </c>
      <c r="G988" s="362" t="s">
        <v>10685</v>
      </c>
      <c r="H988" s="363">
        <v>2019</v>
      </c>
      <c r="I988" s="378">
        <v>43489</v>
      </c>
      <c r="J988" s="434" t="s">
        <v>7465</v>
      </c>
      <c r="K988" s="425"/>
      <c r="L988" s="362" t="s">
        <v>12882</v>
      </c>
    </row>
    <row r="989" spans="1:12">
      <c r="A989" s="363">
        <f>VLOOKUP(B989, 'PubMed 4.14.21 Results'!B:B, 1, FALSE)</f>
        <v>30673716</v>
      </c>
      <c r="B989" s="363">
        <v>30673716</v>
      </c>
      <c r="C989" s="362" t="s">
        <v>12883</v>
      </c>
      <c r="D989" s="362" t="s">
        <v>12884</v>
      </c>
      <c r="E989" s="362" t="s">
        <v>12885</v>
      </c>
      <c r="F989" s="362" t="s">
        <v>7093</v>
      </c>
      <c r="G989" s="362" t="s">
        <v>10379</v>
      </c>
      <c r="H989" s="363">
        <v>2019</v>
      </c>
      <c r="I989" s="378">
        <v>43489</v>
      </c>
      <c r="J989" s="434" t="s">
        <v>7094</v>
      </c>
      <c r="K989" s="425"/>
      <c r="L989" s="362" t="s">
        <v>12886</v>
      </c>
    </row>
    <row r="990" spans="1:12">
      <c r="A990" s="363">
        <f>VLOOKUP(B990, 'PubMed 4.14.21 Results'!B:B, 1, FALSE)</f>
        <v>30311743</v>
      </c>
      <c r="B990" s="363">
        <v>30311743</v>
      </c>
      <c r="C990" s="362" t="s">
        <v>12887</v>
      </c>
      <c r="D990" s="362" t="s">
        <v>12888</v>
      </c>
      <c r="E990" s="362" t="s">
        <v>12889</v>
      </c>
      <c r="F990" s="362" t="s">
        <v>6448</v>
      </c>
      <c r="G990" s="362" t="s">
        <v>10096</v>
      </c>
      <c r="H990" s="363">
        <v>2019</v>
      </c>
      <c r="I990" s="378">
        <v>43386</v>
      </c>
      <c r="J990" s="434" t="s">
        <v>6449</v>
      </c>
      <c r="K990" s="425"/>
      <c r="L990" s="362" t="s">
        <v>12890</v>
      </c>
    </row>
    <row r="991" spans="1:12">
      <c r="A991" s="363">
        <f>VLOOKUP(B991, 'PubMed 4.14.21 Results'!B:B, 1, FALSE)</f>
        <v>30420158</v>
      </c>
      <c r="B991" s="363">
        <v>30420158</v>
      </c>
      <c r="C991" s="362" t="s">
        <v>12891</v>
      </c>
      <c r="D991" s="362" t="s">
        <v>12892</v>
      </c>
      <c r="E991" s="362" t="s">
        <v>12893</v>
      </c>
      <c r="F991" s="362" t="s">
        <v>7355</v>
      </c>
      <c r="G991" s="362" t="s">
        <v>10134</v>
      </c>
      <c r="H991" s="363">
        <v>2019</v>
      </c>
      <c r="I991" s="378">
        <v>43418</v>
      </c>
      <c r="J991" s="362" t="s">
        <v>7356</v>
      </c>
      <c r="K991" s="362" t="s">
        <v>12894</v>
      </c>
      <c r="L991" s="362" t="s">
        <v>12895</v>
      </c>
    </row>
    <row r="992" spans="1:12">
      <c r="A992" s="363">
        <f>VLOOKUP(B992, 'PubMed 4.14.21 Results'!B:B, 1, FALSE)</f>
        <v>30423449</v>
      </c>
      <c r="B992" s="363">
        <v>30423449</v>
      </c>
      <c r="C992" s="362" t="s">
        <v>12896</v>
      </c>
      <c r="D992" s="362" t="s">
        <v>12897</v>
      </c>
      <c r="E992" s="362" t="s">
        <v>12898</v>
      </c>
      <c r="F992" s="362" t="s">
        <v>6543</v>
      </c>
      <c r="G992" s="362" t="s">
        <v>12438</v>
      </c>
      <c r="H992" s="363">
        <v>2019</v>
      </c>
      <c r="I992" s="378">
        <v>43418</v>
      </c>
      <c r="J992" s="365"/>
      <c r="K992" s="365"/>
      <c r="L992" s="362" t="s">
        <v>12899</v>
      </c>
    </row>
    <row r="993" spans="1:12">
      <c r="A993" s="363">
        <f>VLOOKUP(B993, 'PubMed 4.14.21 Results'!B:B, 1, FALSE)</f>
        <v>30638863</v>
      </c>
      <c r="B993" s="363">
        <v>30638863</v>
      </c>
      <c r="C993" s="362" t="s">
        <v>12900</v>
      </c>
      <c r="D993" s="362" t="s">
        <v>12901</v>
      </c>
      <c r="E993" s="362" t="s">
        <v>12902</v>
      </c>
      <c r="F993" s="362" t="s">
        <v>7068</v>
      </c>
      <c r="G993" s="362" t="s">
        <v>11664</v>
      </c>
      <c r="H993" s="363">
        <v>2019</v>
      </c>
      <c r="I993" s="378">
        <v>43480</v>
      </c>
      <c r="J993" s="434" t="s">
        <v>7069</v>
      </c>
      <c r="K993" s="425"/>
      <c r="L993" s="362" t="s">
        <v>12903</v>
      </c>
    </row>
    <row r="994" spans="1:12">
      <c r="A994" s="363">
        <f>VLOOKUP(B994, 'PubMed 4.14.21 Results'!B:B, 1, FALSE)</f>
        <v>30712199</v>
      </c>
      <c r="B994" s="363">
        <v>30712199</v>
      </c>
      <c r="C994" s="362" t="s">
        <v>12904</v>
      </c>
      <c r="D994" s="362" t="s">
        <v>12905</v>
      </c>
      <c r="E994" s="362" t="s">
        <v>12906</v>
      </c>
      <c r="F994" s="362" t="s">
        <v>8125</v>
      </c>
      <c r="G994" s="362" t="s">
        <v>8509</v>
      </c>
      <c r="H994" s="363">
        <v>2019</v>
      </c>
      <c r="I994" s="378">
        <v>43500</v>
      </c>
      <c r="J994" s="365"/>
      <c r="K994" s="365"/>
      <c r="L994" s="362" t="s">
        <v>12907</v>
      </c>
    </row>
    <row r="995" spans="1:12">
      <c r="A995" s="363">
        <f>VLOOKUP(B995, 'PubMed 4.14.21 Results'!B:B, 1, FALSE)</f>
        <v>30755164</v>
      </c>
      <c r="B995" s="363">
        <v>30755164</v>
      </c>
      <c r="C995" s="362" t="s">
        <v>12908</v>
      </c>
      <c r="D995" s="362" t="s">
        <v>12909</v>
      </c>
      <c r="E995" s="362" t="s">
        <v>12910</v>
      </c>
      <c r="F995" s="362" t="s">
        <v>7757</v>
      </c>
      <c r="G995" s="362" t="s">
        <v>12911</v>
      </c>
      <c r="H995" s="363">
        <v>2019</v>
      </c>
      <c r="I995" s="378">
        <v>43510</v>
      </c>
      <c r="J995" s="434" t="s">
        <v>7758</v>
      </c>
      <c r="K995" s="425"/>
      <c r="L995" s="362" t="s">
        <v>12912</v>
      </c>
    </row>
    <row r="996" spans="1:12">
      <c r="A996" s="363">
        <f>VLOOKUP(B996, 'PubMed 4.14.21 Results'!B:B, 1, FALSE)</f>
        <v>30759101</v>
      </c>
      <c r="B996" s="363">
        <v>30759101</v>
      </c>
      <c r="C996" s="362" t="s">
        <v>12913</v>
      </c>
      <c r="D996" s="362" t="s">
        <v>12914</v>
      </c>
      <c r="E996" s="362" t="s">
        <v>12915</v>
      </c>
      <c r="F996" s="362" t="s">
        <v>7981</v>
      </c>
      <c r="G996" s="362" t="s">
        <v>10379</v>
      </c>
      <c r="H996" s="363">
        <v>2019</v>
      </c>
      <c r="I996" s="378">
        <v>43510</v>
      </c>
      <c r="J996" s="434" t="s">
        <v>7982</v>
      </c>
      <c r="K996" s="425"/>
      <c r="L996" s="362" t="s">
        <v>12916</v>
      </c>
    </row>
    <row r="997" spans="1:12">
      <c r="A997" s="363">
        <f>VLOOKUP(B997, 'PubMed 4.14.21 Results'!B:B, 1, FALSE)</f>
        <v>30787276</v>
      </c>
      <c r="B997" s="363">
        <v>30787276</v>
      </c>
      <c r="C997" s="362" t="s">
        <v>12917</v>
      </c>
      <c r="D997" s="362" t="s">
        <v>12918</v>
      </c>
      <c r="E997" s="362" t="s">
        <v>12919</v>
      </c>
      <c r="F997" s="362" t="s">
        <v>480</v>
      </c>
      <c r="G997" s="362" t="s">
        <v>12920</v>
      </c>
      <c r="H997" s="363">
        <v>2019</v>
      </c>
      <c r="I997" s="378">
        <v>43518</v>
      </c>
      <c r="J997" s="434" t="s">
        <v>8022</v>
      </c>
      <c r="K997" s="425"/>
      <c r="L997" s="362" t="s">
        <v>12921</v>
      </c>
    </row>
    <row r="998" spans="1:12">
      <c r="A998" s="363">
        <f>VLOOKUP(B998, 'PubMed 4.14.21 Results'!B:B, 1, FALSE)</f>
        <v>30113733</v>
      </c>
      <c r="B998" s="363">
        <v>30113733</v>
      </c>
      <c r="C998" s="362" t="s">
        <v>12922</v>
      </c>
      <c r="D998" s="362" t="s">
        <v>12923</v>
      </c>
      <c r="E998" s="362" t="s">
        <v>12924</v>
      </c>
      <c r="F998" s="362" t="s">
        <v>7343</v>
      </c>
      <c r="G998" s="362" t="s">
        <v>10263</v>
      </c>
      <c r="H998" s="363">
        <v>2019</v>
      </c>
      <c r="I998" s="378">
        <v>43329</v>
      </c>
      <c r="J998" s="362" t="s">
        <v>7344</v>
      </c>
      <c r="K998" s="362" t="s">
        <v>12925</v>
      </c>
      <c r="L998" s="362" t="s">
        <v>12926</v>
      </c>
    </row>
    <row r="999" spans="1:12">
      <c r="A999" s="363">
        <f>VLOOKUP(B999, 'PubMed 4.14.21 Results'!B:B, 1, FALSE)</f>
        <v>30189465</v>
      </c>
      <c r="B999" s="363">
        <v>30189465</v>
      </c>
      <c r="C999" s="362" t="s">
        <v>12927</v>
      </c>
      <c r="D999" s="362" t="s">
        <v>12928</v>
      </c>
      <c r="E999" s="362" t="s">
        <v>12929</v>
      </c>
      <c r="F999" s="362" t="s">
        <v>6952</v>
      </c>
      <c r="G999" s="362" t="s">
        <v>12930</v>
      </c>
      <c r="H999" s="363">
        <v>2019</v>
      </c>
      <c r="I999" s="378">
        <v>43350</v>
      </c>
      <c r="J999" s="365"/>
      <c r="K999" s="365"/>
      <c r="L999" s="362" t="s">
        <v>12931</v>
      </c>
    </row>
    <row r="1000" spans="1:12">
      <c r="A1000" s="363">
        <f>VLOOKUP(B1000, 'PubMed 4.14.21 Results'!B:B, 1, FALSE)</f>
        <v>30414864</v>
      </c>
      <c r="B1000" s="363">
        <v>30414864</v>
      </c>
      <c r="C1000" s="362" t="s">
        <v>12932</v>
      </c>
      <c r="D1000" s="362" t="s">
        <v>12933</v>
      </c>
      <c r="E1000" s="362" t="s">
        <v>12934</v>
      </c>
      <c r="F1000" s="362" t="s">
        <v>7077</v>
      </c>
      <c r="G1000" s="362" t="s">
        <v>10548</v>
      </c>
      <c r="H1000" s="363">
        <v>2019</v>
      </c>
      <c r="I1000" s="378">
        <v>43416</v>
      </c>
      <c r="J1000" s="365"/>
      <c r="K1000" s="365"/>
      <c r="L1000" s="362" t="s">
        <v>12935</v>
      </c>
    </row>
    <row r="1001" spans="1:12">
      <c r="A1001" s="363">
        <f>VLOOKUP(B1001, 'PubMed 4.14.21 Results'!B:B, 1, FALSE)</f>
        <v>30484353</v>
      </c>
      <c r="B1001" s="363">
        <v>30484353</v>
      </c>
      <c r="C1001" s="362" t="s">
        <v>12936</v>
      </c>
      <c r="D1001" s="362" t="s">
        <v>12937</v>
      </c>
      <c r="E1001" s="362" t="s">
        <v>12938</v>
      </c>
      <c r="F1001" s="362" t="s">
        <v>7145</v>
      </c>
      <c r="G1001" s="362" t="s">
        <v>12939</v>
      </c>
      <c r="H1001" s="363">
        <v>2019</v>
      </c>
      <c r="I1001" s="378">
        <v>43433</v>
      </c>
      <c r="J1001" s="365"/>
      <c r="K1001" s="365"/>
      <c r="L1001" s="362" t="s">
        <v>12940</v>
      </c>
    </row>
    <row r="1002" spans="1:12">
      <c r="A1002" s="363">
        <f>VLOOKUP(B1002, 'PubMed 4.14.21 Results'!B:B, 1, FALSE)</f>
        <v>30515970</v>
      </c>
      <c r="B1002" s="363">
        <v>30515970</v>
      </c>
      <c r="C1002" s="362" t="s">
        <v>12941</v>
      </c>
      <c r="D1002" s="362" t="s">
        <v>12942</v>
      </c>
      <c r="E1002" s="362" t="s">
        <v>12943</v>
      </c>
      <c r="F1002" s="362" t="s">
        <v>6722</v>
      </c>
      <c r="G1002" s="362" t="s">
        <v>12944</v>
      </c>
      <c r="H1002" s="363">
        <v>2019</v>
      </c>
      <c r="I1002" s="378">
        <v>43440</v>
      </c>
      <c r="J1002" s="362" t="s">
        <v>6723</v>
      </c>
      <c r="K1002" s="362" t="s">
        <v>12945</v>
      </c>
      <c r="L1002" s="362" t="s">
        <v>12946</v>
      </c>
    </row>
    <row r="1003" spans="1:12">
      <c r="A1003" s="363">
        <f>VLOOKUP(B1003, 'PubMed 4.14.21 Results'!B:B, 1, FALSE)</f>
        <v>30675854</v>
      </c>
      <c r="B1003" s="363">
        <v>30675854</v>
      </c>
      <c r="C1003" s="362" t="s">
        <v>12947</v>
      </c>
      <c r="D1003" s="362" t="s">
        <v>12948</v>
      </c>
      <c r="E1003" s="362" t="s">
        <v>12949</v>
      </c>
      <c r="F1003" s="362" t="s">
        <v>4017</v>
      </c>
      <c r="G1003" s="362" t="s">
        <v>12950</v>
      </c>
      <c r="H1003" s="363">
        <v>2019</v>
      </c>
      <c r="I1003" s="378">
        <v>43490</v>
      </c>
      <c r="J1003" s="434" t="s">
        <v>6889</v>
      </c>
      <c r="K1003" s="425"/>
      <c r="L1003" s="362" t="s">
        <v>12951</v>
      </c>
    </row>
    <row r="1004" spans="1:12">
      <c r="A1004" s="363">
        <f>VLOOKUP(B1004, 'PubMed 4.14.21 Results'!B:B, 1, FALSE)</f>
        <v>30678501</v>
      </c>
      <c r="B1004" s="363">
        <v>30678501</v>
      </c>
      <c r="C1004" s="362" t="s">
        <v>12952</v>
      </c>
      <c r="D1004" s="362" t="s">
        <v>12953</v>
      </c>
      <c r="E1004" s="362" t="s">
        <v>12954</v>
      </c>
      <c r="F1004" s="362" t="s">
        <v>7543</v>
      </c>
      <c r="G1004" s="362" t="s">
        <v>8734</v>
      </c>
      <c r="H1004" s="363">
        <v>2019</v>
      </c>
      <c r="I1004" s="378">
        <v>43491</v>
      </c>
      <c r="J1004" s="365"/>
      <c r="K1004" s="365"/>
      <c r="L1004" s="362" t="s">
        <v>12955</v>
      </c>
    </row>
    <row r="1005" spans="1:12">
      <c r="A1005" s="363">
        <f>VLOOKUP(B1005, 'PubMed 4.14.21 Results'!B:B, 1, FALSE)</f>
        <v>30690866</v>
      </c>
      <c r="B1005" s="363">
        <v>30690866</v>
      </c>
      <c r="C1005" s="362" t="s">
        <v>12956</v>
      </c>
      <c r="D1005" s="362" t="s">
        <v>12957</v>
      </c>
      <c r="E1005" s="362" t="s">
        <v>12958</v>
      </c>
      <c r="F1005" s="362" t="s">
        <v>7602</v>
      </c>
      <c r="G1005" s="362" t="s">
        <v>9019</v>
      </c>
      <c r="H1005" s="363">
        <v>2019</v>
      </c>
      <c r="I1005" s="378">
        <v>43494</v>
      </c>
      <c r="J1005" s="362" t="s">
        <v>7603</v>
      </c>
      <c r="K1005" s="362" t="s">
        <v>12959</v>
      </c>
      <c r="L1005" s="362" t="s">
        <v>12960</v>
      </c>
    </row>
    <row r="1006" spans="1:12">
      <c r="A1006" s="363">
        <f>VLOOKUP(B1006, 'PubMed 4.14.21 Results'!B:B, 1, FALSE)</f>
        <v>30765242</v>
      </c>
      <c r="B1006" s="363">
        <v>30765242</v>
      </c>
      <c r="C1006" s="362" t="s">
        <v>12961</v>
      </c>
      <c r="D1006" s="362" t="s">
        <v>12962</v>
      </c>
      <c r="E1006" s="362" t="s">
        <v>12963</v>
      </c>
      <c r="F1006" s="362" t="s">
        <v>7633</v>
      </c>
      <c r="G1006" s="362" t="s">
        <v>10976</v>
      </c>
      <c r="H1006" s="363">
        <v>2019</v>
      </c>
      <c r="I1006" s="378">
        <v>43512</v>
      </c>
      <c r="J1006" s="365"/>
      <c r="K1006" s="365"/>
      <c r="L1006" s="362" t="s">
        <v>12964</v>
      </c>
    </row>
    <row r="1007" spans="1:12">
      <c r="A1007" s="363">
        <f>VLOOKUP(B1007, 'PubMed 4.14.21 Results'!B:B, 1, FALSE)</f>
        <v>30786171</v>
      </c>
      <c r="B1007" s="363">
        <v>30786171</v>
      </c>
      <c r="C1007" s="362" t="s">
        <v>12965</v>
      </c>
      <c r="D1007" s="362" t="s">
        <v>12966</v>
      </c>
      <c r="E1007" s="362" t="s">
        <v>12967</v>
      </c>
      <c r="F1007" s="362" t="s">
        <v>7161</v>
      </c>
      <c r="G1007" s="362" t="s">
        <v>12968</v>
      </c>
      <c r="H1007" s="363">
        <v>2019</v>
      </c>
      <c r="I1007" s="378">
        <v>43517</v>
      </c>
      <c r="J1007" s="365"/>
      <c r="K1007" s="365"/>
      <c r="L1007" s="362" t="s">
        <v>12969</v>
      </c>
    </row>
    <row r="1008" spans="1:12">
      <c r="A1008" s="363">
        <f>VLOOKUP(B1008, 'PubMed 4.14.21 Results'!B:B, 1, FALSE)</f>
        <v>30832699</v>
      </c>
      <c r="B1008" s="363">
        <v>30832699</v>
      </c>
      <c r="C1008" s="362" t="s">
        <v>12970</v>
      </c>
      <c r="D1008" s="362" t="s">
        <v>12971</v>
      </c>
      <c r="E1008" s="362" t="s">
        <v>12972</v>
      </c>
      <c r="F1008" s="362" t="s">
        <v>6807</v>
      </c>
      <c r="G1008" s="362" t="s">
        <v>11283</v>
      </c>
      <c r="H1008" s="363">
        <v>2019</v>
      </c>
      <c r="I1008" s="378">
        <v>43530</v>
      </c>
      <c r="J1008" s="434" t="s">
        <v>6808</v>
      </c>
      <c r="K1008" s="425"/>
      <c r="L1008" s="362" t="s">
        <v>12973</v>
      </c>
    </row>
    <row r="1009" spans="1:12">
      <c r="A1009" s="363">
        <f>VLOOKUP(B1009, 'PubMed 4.14.21 Results'!B:B, 1, FALSE)</f>
        <v>30850411</v>
      </c>
      <c r="B1009" s="363">
        <v>30850411</v>
      </c>
      <c r="C1009" s="362" t="s">
        <v>12974</v>
      </c>
      <c r="D1009" s="362" t="s">
        <v>12975</v>
      </c>
      <c r="E1009" s="362" t="s">
        <v>12976</v>
      </c>
      <c r="F1009" s="362" t="s">
        <v>8046</v>
      </c>
      <c r="G1009" s="362" t="s">
        <v>11650</v>
      </c>
      <c r="H1009" s="363">
        <v>2019</v>
      </c>
      <c r="I1009" s="378">
        <v>43534</v>
      </c>
      <c r="J1009" s="434" t="s">
        <v>8047</v>
      </c>
      <c r="K1009" s="425"/>
      <c r="L1009" s="362" t="s">
        <v>12977</v>
      </c>
    </row>
    <row r="1010" spans="1:12">
      <c r="A1010" s="363">
        <f>VLOOKUP(B1010, 'PubMed 4.14.21 Results'!B:B, 1, FALSE)</f>
        <v>30852528</v>
      </c>
      <c r="B1010" s="363">
        <v>30852528</v>
      </c>
      <c r="C1010" s="362" t="s">
        <v>12978</v>
      </c>
      <c r="D1010" s="362" t="s">
        <v>12979</v>
      </c>
      <c r="E1010" s="362" t="s">
        <v>12980</v>
      </c>
      <c r="F1010" s="362" t="s">
        <v>6814</v>
      </c>
      <c r="G1010" s="362" t="s">
        <v>11650</v>
      </c>
      <c r="H1010" s="363">
        <v>2019</v>
      </c>
      <c r="I1010" s="378">
        <v>43535</v>
      </c>
      <c r="J1010" s="434" t="s">
        <v>6815</v>
      </c>
      <c r="K1010" s="425"/>
      <c r="L1010" s="362" t="s">
        <v>12981</v>
      </c>
    </row>
    <row r="1011" spans="1:12">
      <c r="A1011" s="363">
        <f>VLOOKUP(B1011, 'PubMed 4.14.21 Results'!B:B, 1, FALSE)</f>
        <v>30794314</v>
      </c>
      <c r="B1011" s="363">
        <v>30794314</v>
      </c>
      <c r="C1011" s="362" t="s">
        <v>12982</v>
      </c>
      <c r="D1011" s="362" t="s">
        <v>12983</v>
      </c>
      <c r="E1011" s="362" t="s">
        <v>12984</v>
      </c>
      <c r="F1011" s="362" t="s">
        <v>6864</v>
      </c>
      <c r="G1011" s="362" t="s">
        <v>8580</v>
      </c>
      <c r="H1011" s="363">
        <v>2019</v>
      </c>
      <c r="I1011" s="378">
        <v>43519</v>
      </c>
      <c r="J1011" s="434" t="s">
        <v>6865</v>
      </c>
      <c r="K1011" s="425"/>
      <c r="L1011" s="362" t="s">
        <v>12985</v>
      </c>
    </row>
    <row r="1012" spans="1:12">
      <c r="A1012" s="363">
        <f>VLOOKUP(B1012, 'PubMed 4.14.21 Results'!B:B, 1, FALSE)</f>
        <v>30488367</v>
      </c>
      <c r="B1012" s="363">
        <v>30488367</v>
      </c>
      <c r="C1012" s="362" t="s">
        <v>12986</v>
      </c>
      <c r="D1012" s="362" t="s">
        <v>12987</v>
      </c>
      <c r="E1012" s="362" t="s">
        <v>12988</v>
      </c>
      <c r="F1012" s="362" t="s">
        <v>6427</v>
      </c>
      <c r="G1012" s="362" t="s">
        <v>10244</v>
      </c>
      <c r="H1012" s="363">
        <v>2019</v>
      </c>
      <c r="I1012" s="378">
        <v>43434</v>
      </c>
      <c r="J1012" s="365"/>
      <c r="K1012" s="365"/>
      <c r="L1012" s="362" t="s">
        <v>12989</v>
      </c>
    </row>
    <row r="1013" spans="1:12">
      <c r="A1013" s="363">
        <f>VLOOKUP(B1013, 'PubMed 4.14.21 Results'!B:B, 1, FALSE)</f>
        <v>30799766</v>
      </c>
      <c r="B1013" s="363">
        <v>30799766</v>
      </c>
      <c r="C1013" s="362" t="s">
        <v>12990</v>
      </c>
      <c r="D1013" s="362" t="s">
        <v>12991</v>
      </c>
      <c r="E1013" s="362" t="s">
        <v>12992</v>
      </c>
      <c r="F1013" s="362" t="s">
        <v>7154</v>
      </c>
      <c r="G1013" s="362" t="s">
        <v>12993</v>
      </c>
      <c r="H1013" s="363">
        <v>2019</v>
      </c>
      <c r="I1013" s="378">
        <v>43522</v>
      </c>
      <c r="J1013" s="365"/>
      <c r="K1013" s="365"/>
      <c r="L1013" s="362" t="s">
        <v>12994</v>
      </c>
    </row>
    <row r="1014" spans="1:12">
      <c r="A1014" s="363">
        <f>VLOOKUP(B1014, 'PubMed 4.14.21 Results'!B:B, 1, FALSE)</f>
        <v>30826397</v>
      </c>
      <c r="B1014" s="363">
        <v>30826397</v>
      </c>
      <c r="C1014" s="362" t="s">
        <v>12995</v>
      </c>
      <c r="D1014" s="362" t="s">
        <v>12996</v>
      </c>
      <c r="E1014" s="362" t="s">
        <v>12997</v>
      </c>
      <c r="F1014" s="362" t="s">
        <v>7347</v>
      </c>
      <c r="G1014" s="362" t="s">
        <v>8777</v>
      </c>
      <c r="H1014" s="363">
        <v>2019</v>
      </c>
      <c r="I1014" s="378">
        <v>43528</v>
      </c>
      <c r="J1014" s="365"/>
      <c r="K1014" s="365"/>
      <c r="L1014" s="362" t="s">
        <v>12998</v>
      </c>
    </row>
    <row r="1015" spans="1:12">
      <c r="A1015" s="363">
        <f>VLOOKUP(B1015, 'PubMed 4.14.21 Results'!B:B, 1, FALSE)</f>
        <v>31042143</v>
      </c>
      <c r="B1015" s="363">
        <v>31042143</v>
      </c>
      <c r="C1015" s="362" t="s">
        <v>12999</v>
      </c>
      <c r="D1015" s="362" t="s">
        <v>13000</v>
      </c>
      <c r="E1015" s="362" t="s">
        <v>13001</v>
      </c>
      <c r="F1015" s="362" t="s">
        <v>6827</v>
      </c>
      <c r="G1015" s="362" t="s">
        <v>9359</v>
      </c>
      <c r="H1015" s="363">
        <v>2019</v>
      </c>
      <c r="I1015" s="378">
        <v>43587</v>
      </c>
      <c r="J1015" s="434" t="s">
        <v>6828</v>
      </c>
      <c r="K1015" s="425"/>
      <c r="L1015" s="362" t="s">
        <v>13002</v>
      </c>
    </row>
    <row r="1016" spans="1:12">
      <c r="A1016" s="363">
        <f>VLOOKUP(B1016, 'PubMed 4.14.21 Results'!B:B, 1, FALSE)</f>
        <v>31314192</v>
      </c>
      <c r="B1016" s="363">
        <v>31314192</v>
      </c>
      <c r="C1016" s="362" t="s">
        <v>13003</v>
      </c>
      <c r="D1016" s="362" t="s">
        <v>13004</v>
      </c>
      <c r="E1016" s="362" t="s">
        <v>13005</v>
      </c>
      <c r="F1016" s="362" t="s">
        <v>8110</v>
      </c>
      <c r="G1016" s="362" t="s">
        <v>13006</v>
      </c>
      <c r="H1016" s="363">
        <v>2019</v>
      </c>
      <c r="I1016" s="378">
        <v>43664</v>
      </c>
      <c r="J1016" s="365"/>
      <c r="K1016" s="365"/>
      <c r="L1016" s="365"/>
    </row>
    <row r="1017" spans="1:12">
      <c r="A1017" s="363">
        <f>VLOOKUP(B1017, 'PubMed 4.14.21 Results'!B:B, 1, FALSE)</f>
        <v>30967375</v>
      </c>
      <c r="B1017" s="363">
        <v>30967375</v>
      </c>
      <c r="C1017" s="362" t="s">
        <v>13007</v>
      </c>
      <c r="D1017" s="362" t="s">
        <v>13008</v>
      </c>
      <c r="E1017" s="362" t="s">
        <v>13009</v>
      </c>
      <c r="F1017" s="362" t="s">
        <v>7484</v>
      </c>
      <c r="G1017" s="362" t="s">
        <v>8977</v>
      </c>
      <c r="H1017" s="363">
        <v>2019</v>
      </c>
      <c r="I1017" s="378">
        <v>43566</v>
      </c>
      <c r="J1017" s="434" t="s">
        <v>7485</v>
      </c>
      <c r="K1017" s="425"/>
      <c r="L1017" s="362" t="s">
        <v>13010</v>
      </c>
    </row>
    <row r="1018" spans="1:12">
      <c r="A1018" s="363">
        <f>VLOOKUP(B1018, 'PubMed 4.14.21 Results'!B:B, 1, FALSE)</f>
        <v>31168411</v>
      </c>
      <c r="B1018" s="363">
        <v>31168411</v>
      </c>
      <c r="C1018" s="362" t="s">
        <v>13011</v>
      </c>
      <c r="D1018" s="362" t="s">
        <v>13012</v>
      </c>
      <c r="E1018" s="362" t="s">
        <v>13013</v>
      </c>
      <c r="F1018" s="362" t="s">
        <v>6597</v>
      </c>
      <c r="G1018" s="362" t="s">
        <v>13014</v>
      </c>
      <c r="H1018" s="363">
        <v>2019</v>
      </c>
      <c r="I1018" s="378">
        <v>43623</v>
      </c>
      <c r="J1018" s="434" t="s">
        <v>6598</v>
      </c>
      <c r="K1018" s="425"/>
      <c r="L1018" s="362" t="s">
        <v>13015</v>
      </c>
    </row>
    <row r="1019" spans="1:12">
      <c r="A1019" s="363">
        <f>VLOOKUP(B1019, 'PubMed 4.14.21 Results'!B:B, 1, FALSE)</f>
        <v>31038649</v>
      </c>
      <c r="B1019" s="363">
        <v>31038649</v>
      </c>
      <c r="C1019" s="362" t="s">
        <v>13016</v>
      </c>
      <c r="D1019" s="362" t="s">
        <v>13017</v>
      </c>
      <c r="E1019" s="362" t="s">
        <v>13018</v>
      </c>
      <c r="F1019" s="362" t="s">
        <v>7932</v>
      </c>
      <c r="G1019" s="362" t="s">
        <v>13019</v>
      </c>
      <c r="H1019" s="363">
        <v>2019</v>
      </c>
      <c r="I1019" s="378">
        <v>43586</v>
      </c>
      <c r="J1019" s="434" t="s">
        <v>7933</v>
      </c>
      <c r="K1019" s="425"/>
      <c r="L1019" s="362" t="s">
        <v>13020</v>
      </c>
    </row>
    <row r="1020" spans="1:12">
      <c r="A1020" s="363">
        <f>VLOOKUP(B1020, 'PubMed 4.14.21 Results'!B:B, 1, FALSE)</f>
        <v>30391446</v>
      </c>
      <c r="B1020" s="363">
        <v>30391446</v>
      </c>
      <c r="C1020" s="362" t="s">
        <v>13021</v>
      </c>
      <c r="D1020" s="362" t="s">
        <v>13022</v>
      </c>
      <c r="E1020" s="362" t="s">
        <v>13023</v>
      </c>
      <c r="F1020" s="362" t="s">
        <v>7214</v>
      </c>
      <c r="G1020" s="362" t="s">
        <v>13024</v>
      </c>
      <c r="H1020" s="363">
        <v>2019</v>
      </c>
      <c r="I1020" s="378">
        <v>43409</v>
      </c>
      <c r="J1020" s="365"/>
      <c r="K1020" s="365"/>
      <c r="L1020" s="362" t="s">
        <v>13025</v>
      </c>
    </row>
    <row r="1021" spans="1:12">
      <c r="A1021" s="363">
        <f>VLOOKUP(B1021, 'PubMed 4.14.21 Results'!B:B, 1, FALSE)</f>
        <v>30617677</v>
      </c>
      <c r="B1021" s="363">
        <v>30617677</v>
      </c>
      <c r="C1021" s="362" t="s">
        <v>13026</v>
      </c>
      <c r="D1021" s="362" t="s">
        <v>13022</v>
      </c>
      <c r="E1021" s="362" t="s">
        <v>13027</v>
      </c>
      <c r="F1021" s="362" t="s">
        <v>7214</v>
      </c>
      <c r="G1021" s="362" t="s">
        <v>13028</v>
      </c>
      <c r="H1021" s="363">
        <v>2019</v>
      </c>
      <c r="I1021" s="378">
        <v>43474</v>
      </c>
      <c r="J1021" s="365"/>
      <c r="K1021" s="365"/>
      <c r="L1021" s="362" t="s">
        <v>13029</v>
      </c>
    </row>
    <row r="1022" spans="1:12">
      <c r="A1022" s="363">
        <f>VLOOKUP(B1022, 'PubMed 4.14.21 Results'!B:B, 1, FALSE)</f>
        <v>30921546</v>
      </c>
      <c r="B1022" s="363">
        <v>30921546</v>
      </c>
      <c r="C1022" s="362" t="s">
        <v>13030</v>
      </c>
      <c r="D1022" s="362" t="s">
        <v>13031</v>
      </c>
      <c r="E1022" s="362" t="s">
        <v>13032</v>
      </c>
      <c r="F1022" s="362" t="s">
        <v>7133</v>
      </c>
      <c r="G1022" s="362" t="s">
        <v>13033</v>
      </c>
      <c r="H1022" s="363">
        <v>2019</v>
      </c>
      <c r="I1022" s="378">
        <v>43553</v>
      </c>
      <c r="J1022" s="365"/>
      <c r="K1022" s="365"/>
      <c r="L1022" s="362" t="s">
        <v>13034</v>
      </c>
    </row>
    <row r="1023" spans="1:12">
      <c r="A1023" s="363">
        <f>VLOOKUP(B1023, 'PubMed 4.14.21 Results'!B:B, 1, FALSE)</f>
        <v>30935872</v>
      </c>
      <c r="B1023" s="363">
        <v>30935872</v>
      </c>
      <c r="C1023" s="362" t="s">
        <v>13035</v>
      </c>
      <c r="D1023" s="362" t="s">
        <v>13036</v>
      </c>
      <c r="E1023" s="362" t="s">
        <v>13037</v>
      </c>
      <c r="F1023" s="362" t="s">
        <v>6563</v>
      </c>
      <c r="G1023" s="362" t="s">
        <v>12065</v>
      </c>
      <c r="H1023" s="363">
        <v>2019</v>
      </c>
      <c r="I1023" s="378">
        <v>43558</v>
      </c>
      <c r="J1023" s="434" t="s">
        <v>6564</v>
      </c>
      <c r="K1023" s="425"/>
      <c r="L1023" s="362" t="s">
        <v>13038</v>
      </c>
    </row>
    <row r="1024" spans="1:12">
      <c r="A1024" s="363">
        <f>VLOOKUP(B1024, 'PubMed 4.14.21 Results'!B:B, 1, FALSE)</f>
        <v>30950194</v>
      </c>
      <c r="B1024" s="363">
        <v>30950194</v>
      </c>
      <c r="C1024" s="362" t="s">
        <v>13039</v>
      </c>
      <c r="D1024" s="362" t="s">
        <v>13040</v>
      </c>
      <c r="E1024" s="362" t="s">
        <v>13041</v>
      </c>
      <c r="F1024" s="362" t="s">
        <v>7091</v>
      </c>
      <c r="G1024" s="362" t="s">
        <v>11378</v>
      </c>
      <c r="H1024" s="363">
        <v>2019</v>
      </c>
      <c r="I1024" s="378">
        <v>43561</v>
      </c>
      <c r="J1024" s="434" t="s">
        <v>7092</v>
      </c>
      <c r="K1024" s="425"/>
      <c r="L1024" s="362" t="s">
        <v>13042</v>
      </c>
    </row>
    <row r="1025" spans="1:12">
      <c r="A1025" s="363">
        <f>VLOOKUP(B1025, 'PubMed 4.14.21 Results'!B:B, 1, FALSE)</f>
        <v>30958392</v>
      </c>
      <c r="B1025" s="363">
        <v>30958392</v>
      </c>
      <c r="C1025" s="362" t="s">
        <v>13043</v>
      </c>
      <c r="D1025" s="362" t="s">
        <v>13044</v>
      </c>
      <c r="E1025" s="362" t="s">
        <v>13045</v>
      </c>
      <c r="F1025" s="362" t="s">
        <v>7208</v>
      </c>
      <c r="G1025" s="362" t="s">
        <v>10481</v>
      </c>
      <c r="H1025" s="363">
        <v>2019</v>
      </c>
      <c r="I1025" s="378">
        <v>43564</v>
      </c>
      <c r="J1025" s="434" t="s">
        <v>7209</v>
      </c>
      <c r="K1025" s="425"/>
      <c r="L1025" s="362" t="s">
        <v>13046</v>
      </c>
    </row>
    <row r="1026" spans="1:12">
      <c r="A1026" s="363">
        <f>VLOOKUP(B1026, 'PubMed 4.14.21 Results'!B:B, 1, FALSE)</f>
        <v>31047114</v>
      </c>
      <c r="B1026" s="363">
        <v>31047114</v>
      </c>
      <c r="C1026" s="362" t="s">
        <v>13047</v>
      </c>
      <c r="D1026" s="362" t="s">
        <v>13048</v>
      </c>
      <c r="E1026" s="362" t="s">
        <v>13049</v>
      </c>
      <c r="F1026" s="362" t="s">
        <v>7990</v>
      </c>
      <c r="G1026" s="362" t="s">
        <v>13050</v>
      </c>
      <c r="H1026" s="363">
        <v>2019</v>
      </c>
      <c r="I1026" s="378">
        <v>43589</v>
      </c>
      <c r="J1026" s="362" t="s">
        <v>7991</v>
      </c>
      <c r="K1026" s="362" t="s">
        <v>13051</v>
      </c>
      <c r="L1026" s="362" t="s">
        <v>13052</v>
      </c>
    </row>
    <row r="1027" spans="1:12">
      <c r="A1027" s="363">
        <f>VLOOKUP(B1027, 'PubMed 4.14.21 Results'!B:B, 1, FALSE)</f>
        <v>30934066</v>
      </c>
      <c r="B1027" s="363">
        <v>30934066</v>
      </c>
      <c r="C1027" s="362" t="s">
        <v>13053</v>
      </c>
      <c r="D1027" s="362" t="s">
        <v>13054</v>
      </c>
      <c r="E1027" s="362" t="s">
        <v>13055</v>
      </c>
      <c r="F1027" s="362" t="s">
        <v>6867</v>
      </c>
      <c r="G1027" s="362" t="s">
        <v>13056</v>
      </c>
      <c r="H1027" s="363">
        <v>2019</v>
      </c>
      <c r="I1027" s="378">
        <v>43557</v>
      </c>
      <c r="J1027" s="365"/>
      <c r="K1027" s="365"/>
      <c r="L1027" s="362" t="s">
        <v>13057</v>
      </c>
    </row>
    <row r="1028" spans="1:12">
      <c r="A1028" s="363">
        <f>VLOOKUP(B1028, 'PubMed 4.14.21 Results'!B:B, 1, FALSE)</f>
        <v>31107966</v>
      </c>
      <c r="B1028" s="363">
        <v>31107966</v>
      </c>
      <c r="C1028" s="362" t="s">
        <v>13058</v>
      </c>
      <c r="D1028" s="362" t="s">
        <v>13059</v>
      </c>
      <c r="E1028" s="362" t="s">
        <v>13060</v>
      </c>
      <c r="F1028" s="362" t="s">
        <v>7627</v>
      </c>
      <c r="G1028" s="362" t="s">
        <v>8857</v>
      </c>
      <c r="H1028" s="363">
        <v>2019</v>
      </c>
      <c r="I1028" s="378">
        <v>43606</v>
      </c>
      <c r="J1028" s="434" t="s">
        <v>7628</v>
      </c>
      <c r="K1028" s="425"/>
      <c r="L1028" s="362" t="s">
        <v>13061</v>
      </c>
    </row>
    <row r="1029" spans="1:12">
      <c r="A1029" s="363">
        <f>VLOOKUP(B1029, 'PubMed 4.14.21 Results'!B:B, 1, FALSE)</f>
        <v>30336497</v>
      </c>
      <c r="B1029" s="363">
        <v>30336497</v>
      </c>
      <c r="C1029" s="362" t="s">
        <v>13062</v>
      </c>
      <c r="D1029" s="362" t="s">
        <v>13063</v>
      </c>
      <c r="E1029" s="362" t="s">
        <v>13064</v>
      </c>
      <c r="F1029" s="362" t="s">
        <v>6484</v>
      </c>
      <c r="G1029" s="362" t="s">
        <v>13065</v>
      </c>
      <c r="H1029" s="363">
        <v>2019</v>
      </c>
      <c r="I1029" s="378">
        <v>43392</v>
      </c>
      <c r="J1029" s="365"/>
      <c r="K1029" s="365"/>
      <c r="L1029" s="362" t="s">
        <v>13066</v>
      </c>
    </row>
    <row r="1030" spans="1:12">
      <c r="A1030" s="363">
        <f>VLOOKUP(B1030, 'PubMed 4.14.21 Results'!B:B, 1, FALSE)</f>
        <v>30858502</v>
      </c>
      <c r="B1030" s="363">
        <v>30858502</v>
      </c>
      <c r="C1030" s="362" t="s">
        <v>13067</v>
      </c>
      <c r="D1030" s="362" t="s">
        <v>13068</v>
      </c>
      <c r="E1030" s="362" t="s">
        <v>13069</v>
      </c>
      <c r="F1030" s="362" t="s">
        <v>6628</v>
      </c>
      <c r="G1030" s="362" t="s">
        <v>13070</v>
      </c>
      <c r="H1030" s="363">
        <v>2019</v>
      </c>
      <c r="I1030" s="378">
        <v>43537</v>
      </c>
      <c r="J1030" s="365"/>
      <c r="K1030" s="365"/>
      <c r="L1030" s="362" t="s">
        <v>13071</v>
      </c>
    </row>
    <row r="1031" spans="1:12">
      <c r="A1031" s="363">
        <f>VLOOKUP(B1031, 'PubMed 4.14.21 Results'!B:B, 1, FALSE)</f>
        <v>31050912</v>
      </c>
      <c r="B1031" s="363">
        <v>31050912</v>
      </c>
      <c r="C1031" s="362" t="s">
        <v>13072</v>
      </c>
      <c r="D1031" s="362" t="s">
        <v>13073</v>
      </c>
      <c r="E1031" s="362" t="s">
        <v>13074</v>
      </c>
      <c r="F1031" s="362" t="s">
        <v>7369</v>
      </c>
      <c r="G1031" s="362" t="s">
        <v>13075</v>
      </c>
      <c r="H1031" s="363">
        <v>2019</v>
      </c>
      <c r="I1031" s="378">
        <v>43589</v>
      </c>
      <c r="J1031" s="365"/>
      <c r="K1031" s="365"/>
      <c r="L1031" s="362" t="s">
        <v>13076</v>
      </c>
    </row>
    <row r="1032" spans="1:12">
      <c r="A1032" s="363">
        <f>VLOOKUP(B1032, 'PubMed 4.14.21 Results'!B:B, 1, FALSE)</f>
        <v>31062052</v>
      </c>
      <c r="B1032" s="363">
        <v>31062052</v>
      </c>
      <c r="C1032" s="362" t="s">
        <v>13077</v>
      </c>
      <c r="D1032" s="362" t="s">
        <v>13078</v>
      </c>
      <c r="E1032" s="362" t="s">
        <v>13079</v>
      </c>
      <c r="F1032" s="362" t="s">
        <v>7493</v>
      </c>
      <c r="G1032" s="362" t="s">
        <v>8617</v>
      </c>
      <c r="H1032" s="363">
        <v>2019</v>
      </c>
      <c r="I1032" s="378">
        <v>43593</v>
      </c>
      <c r="J1032" s="365"/>
      <c r="K1032" s="365"/>
      <c r="L1032" s="362" t="s">
        <v>13080</v>
      </c>
    </row>
    <row r="1033" spans="1:12">
      <c r="A1033" s="363">
        <f>VLOOKUP(B1033, 'PubMed 4.14.21 Results'!B:B, 1, FALSE)</f>
        <v>31159976</v>
      </c>
      <c r="B1033" s="363">
        <v>31159976</v>
      </c>
      <c r="C1033" s="362" t="s">
        <v>12645</v>
      </c>
      <c r="D1033" s="362" t="s">
        <v>12646</v>
      </c>
      <c r="E1033" s="362" t="s">
        <v>13081</v>
      </c>
      <c r="F1033" s="362" t="s">
        <v>6423</v>
      </c>
      <c r="G1033" s="362" t="s">
        <v>10511</v>
      </c>
      <c r="H1033" s="363">
        <v>2019</v>
      </c>
      <c r="I1033" s="378">
        <v>43621</v>
      </c>
      <c r="J1033" s="365"/>
      <c r="K1033" s="365"/>
      <c r="L1033" s="362" t="s">
        <v>13082</v>
      </c>
    </row>
    <row r="1034" spans="1:12">
      <c r="A1034" s="363">
        <f>VLOOKUP(B1034, 'PubMed 4.14.21 Results'!B:B, 1, FALSE)</f>
        <v>31171018</v>
      </c>
      <c r="B1034" s="363">
        <v>31171018</v>
      </c>
      <c r="C1034" s="362" t="s">
        <v>13083</v>
      </c>
      <c r="D1034" s="362" t="s">
        <v>13084</v>
      </c>
      <c r="E1034" s="362" t="s">
        <v>13085</v>
      </c>
      <c r="F1034" s="362" t="s">
        <v>7212</v>
      </c>
      <c r="G1034" s="362" t="s">
        <v>11166</v>
      </c>
      <c r="H1034" s="363">
        <v>2019</v>
      </c>
      <c r="I1034" s="378">
        <v>43624</v>
      </c>
      <c r="J1034" s="434" t="s">
        <v>7213</v>
      </c>
      <c r="K1034" s="425"/>
      <c r="L1034" s="362" t="s">
        <v>13086</v>
      </c>
    </row>
    <row r="1035" spans="1:12">
      <c r="A1035" s="363">
        <f>VLOOKUP(B1035, 'PubMed 4.14.21 Results'!B:B, 1, FALSE)</f>
        <v>31182140</v>
      </c>
      <c r="B1035" s="363">
        <v>31182140</v>
      </c>
      <c r="C1035" s="362" t="s">
        <v>13087</v>
      </c>
      <c r="D1035" s="362" t="s">
        <v>13088</v>
      </c>
      <c r="E1035" s="362" t="s">
        <v>13089</v>
      </c>
      <c r="F1035" s="362" t="s">
        <v>8139</v>
      </c>
      <c r="G1035" s="362" t="s">
        <v>9906</v>
      </c>
      <c r="H1035" s="363">
        <v>2019</v>
      </c>
      <c r="I1035" s="378">
        <v>43628</v>
      </c>
      <c r="J1035" s="434" t="s">
        <v>8140</v>
      </c>
      <c r="K1035" s="425"/>
      <c r="L1035" s="362" t="s">
        <v>13090</v>
      </c>
    </row>
    <row r="1036" spans="1:12">
      <c r="A1036" s="363">
        <f>VLOOKUP(B1036, 'PubMed 4.14.21 Results'!B:B, 1, FALSE)</f>
        <v>31499732</v>
      </c>
      <c r="B1036" s="363">
        <v>31499732</v>
      </c>
      <c r="C1036" s="362" t="s">
        <v>13091</v>
      </c>
      <c r="D1036" s="362" t="s">
        <v>13092</v>
      </c>
      <c r="E1036" s="362" t="s">
        <v>13093</v>
      </c>
      <c r="F1036" s="362" t="s">
        <v>7270</v>
      </c>
      <c r="G1036" s="362" t="s">
        <v>13094</v>
      </c>
      <c r="H1036" s="363">
        <v>2019</v>
      </c>
      <c r="I1036" s="378">
        <v>43719</v>
      </c>
      <c r="J1036" s="365"/>
      <c r="K1036" s="365"/>
      <c r="L1036" s="362" t="s">
        <v>13095</v>
      </c>
    </row>
    <row r="1037" spans="1:12">
      <c r="A1037" s="363">
        <f>VLOOKUP(B1037, 'PubMed 4.14.21 Results'!B:B, 1, FALSE)</f>
        <v>30996040</v>
      </c>
      <c r="B1037" s="363">
        <v>30996040</v>
      </c>
      <c r="C1037" s="362" t="s">
        <v>13096</v>
      </c>
      <c r="D1037" s="362" t="s">
        <v>13097</v>
      </c>
      <c r="E1037" s="362" t="s">
        <v>13098</v>
      </c>
      <c r="F1037" s="362" t="s">
        <v>7038</v>
      </c>
      <c r="G1037" s="362" t="s">
        <v>13099</v>
      </c>
      <c r="H1037" s="363">
        <v>2019</v>
      </c>
      <c r="I1037" s="378">
        <v>43574</v>
      </c>
      <c r="J1037" s="365"/>
      <c r="K1037" s="365"/>
      <c r="L1037" s="362" t="s">
        <v>13100</v>
      </c>
    </row>
    <row r="1038" spans="1:12">
      <c r="A1038" s="363">
        <f>VLOOKUP(B1038, 'PubMed 4.14.21 Results'!B:B, 1, FALSE)</f>
        <v>30243964</v>
      </c>
      <c r="B1038" s="363">
        <v>30243964</v>
      </c>
      <c r="C1038" s="362" t="s">
        <v>13101</v>
      </c>
      <c r="D1038" s="362" t="s">
        <v>13102</v>
      </c>
      <c r="E1038" s="362" t="s">
        <v>13103</v>
      </c>
      <c r="F1038" s="362" t="s">
        <v>7254</v>
      </c>
      <c r="G1038" s="362" t="s">
        <v>11043</v>
      </c>
      <c r="H1038" s="363">
        <v>2019</v>
      </c>
      <c r="I1038" s="378">
        <v>43367</v>
      </c>
      <c r="J1038" s="365"/>
      <c r="K1038" s="365"/>
      <c r="L1038" s="362" t="s">
        <v>13104</v>
      </c>
    </row>
    <row r="1039" spans="1:12">
      <c r="A1039" s="363">
        <f>VLOOKUP(B1039, 'PubMed 4.14.21 Results'!B:B, 1, FALSE)</f>
        <v>30844887</v>
      </c>
      <c r="B1039" s="363">
        <v>30844887</v>
      </c>
      <c r="C1039" s="362" t="s">
        <v>13105</v>
      </c>
      <c r="D1039" s="362" t="s">
        <v>13106</v>
      </c>
      <c r="E1039" s="362" t="s">
        <v>13107</v>
      </c>
      <c r="F1039" s="362" t="s">
        <v>7277</v>
      </c>
      <c r="G1039" s="362" t="s">
        <v>13108</v>
      </c>
      <c r="H1039" s="363">
        <v>2019</v>
      </c>
      <c r="I1039" s="378">
        <v>43532</v>
      </c>
      <c r="J1039" s="434" t="s">
        <v>7278</v>
      </c>
      <c r="K1039" s="425"/>
      <c r="L1039" s="362" t="s">
        <v>13109</v>
      </c>
    </row>
    <row r="1040" spans="1:12">
      <c r="A1040" s="363">
        <f>VLOOKUP(B1040, 'PubMed 4.14.21 Results'!B:B, 1, FALSE)</f>
        <v>30972546</v>
      </c>
      <c r="B1040" s="363">
        <v>30972546</v>
      </c>
      <c r="C1040" s="362" t="s">
        <v>13110</v>
      </c>
      <c r="D1040" s="362" t="s">
        <v>13111</v>
      </c>
      <c r="E1040" s="362" t="s">
        <v>13112</v>
      </c>
      <c r="F1040" s="362" t="s">
        <v>7968</v>
      </c>
      <c r="G1040" s="362" t="s">
        <v>13113</v>
      </c>
      <c r="H1040" s="363">
        <v>2019</v>
      </c>
      <c r="I1040" s="378">
        <v>43567</v>
      </c>
      <c r="J1040" s="365"/>
      <c r="K1040" s="365"/>
      <c r="L1040" s="362" t="s">
        <v>13114</v>
      </c>
    </row>
    <row r="1041" spans="1:12">
      <c r="A1041" s="363">
        <f>VLOOKUP(B1041, 'PubMed 4.14.21 Results'!B:B, 1, FALSE)</f>
        <v>30990961</v>
      </c>
      <c r="B1041" s="363">
        <v>30990961</v>
      </c>
      <c r="C1041" s="362" t="s">
        <v>13115</v>
      </c>
      <c r="D1041" s="362" t="s">
        <v>13116</v>
      </c>
      <c r="E1041" s="362" t="s">
        <v>13117</v>
      </c>
      <c r="F1041" s="362" t="s">
        <v>7729</v>
      </c>
      <c r="G1041" s="362" t="s">
        <v>8699</v>
      </c>
      <c r="H1041" s="363">
        <v>2019</v>
      </c>
      <c r="I1041" s="378">
        <v>43572</v>
      </c>
      <c r="J1041" s="434" t="s">
        <v>7730</v>
      </c>
      <c r="K1041" s="425"/>
      <c r="L1041" s="362" t="s">
        <v>13118</v>
      </c>
    </row>
    <row r="1042" spans="1:12">
      <c r="A1042" s="363">
        <f>VLOOKUP(B1042, 'PubMed 4.14.21 Results'!B:B, 1, FALSE)</f>
        <v>31178289</v>
      </c>
      <c r="B1042" s="363">
        <v>31178289</v>
      </c>
      <c r="C1042" s="362" t="s">
        <v>13119</v>
      </c>
      <c r="D1042" s="362" t="s">
        <v>13120</v>
      </c>
      <c r="E1042" s="362" t="s">
        <v>13121</v>
      </c>
      <c r="F1042" s="362" t="s">
        <v>6666</v>
      </c>
      <c r="G1042" s="362" t="s">
        <v>10976</v>
      </c>
      <c r="H1042" s="363">
        <v>2019</v>
      </c>
      <c r="I1042" s="378">
        <v>43627</v>
      </c>
      <c r="J1042" s="434" t="s">
        <v>6667</v>
      </c>
      <c r="K1042" s="425"/>
      <c r="L1042" s="362" t="s">
        <v>13122</v>
      </c>
    </row>
    <row r="1043" spans="1:12">
      <c r="A1043" s="363">
        <f>VLOOKUP(B1043, 'PubMed 4.14.21 Results'!B:B, 1, FALSE)</f>
        <v>31221539</v>
      </c>
      <c r="B1043" s="363">
        <v>31221539</v>
      </c>
      <c r="C1043" s="362" t="s">
        <v>12645</v>
      </c>
      <c r="D1043" s="362" t="s">
        <v>12646</v>
      </c>
      <c r="E1043" s="362" t="s">
        <v>13123</v>
      </c>
      <c r="F1043" s="362" t="s">
        <v>6423</v>
      </c>
      <c r="G1043" s="362" t="s">
        <v>13124</v>
      </c>
      <c r="H1043" s="363">
        <v>2019</v>
      </c>
      <c r="I1043" s="378">
        <v>43638</v>
      </c>
      <c r="J1043" s="365"/>
      <c r="K1043" s="365"/>
      <c r="L1043" s="362" t="s">
        <v>13125</v>
      </c>
    </row>
    <row r="1044" spans="1:12">
      <c r="A1044" s="363">
        <f>VLOOKUP(B1044, 'PubMed 4.14.21 Results'!B:B, 1, FALSE)</f>
        <v>31329402</v>
      </c>
      <c r="B1044" s="363">
        <v>31329402</v>
      </c>
      <c r="C1044" s="362" t="s">
        <v>13126</v>
      </c>
      <c r="D1044" s="362" t="s">
        <v>13127</v>
      </c>
      <c r="E1044" s="362" t="s">
        <v>13128</v>
      </c>
      <c r="F1044" s="362" t="s">
        <v>6988</v>
      </c>
      <c r="G1044" s="362" t="s">
        <v>9604</v>
      </c>
      <c r="H1044" s="363">
        <v>2019</v>
      </c>
      <c r="I1044" s="378">
        <v>43669</v>
      </c>
      <c r="J1044" s="365"/>
      <c r="K1044" s="365"/>
      <c r="L1044" s="365"/>
    </row>
    <row r="1045" spans="1:12">
      <c r="A1045" s="363">
        <f>VLOOKUP(B1045, 'PubMed 4.14.21 Results'!B:B, 1, FALSE)</f>
        <v>31335741</v>
      </c>
      <c r="B1045" s="363">
        <v>31335741</v>
      </c>
      <c r="C1045" s="362" t="s">
        <v>13129</v>
      </c>
      <c r="D1045" s="362" t="s">
        <v>13130</v>
      </c>
      <c r="E1045" s="362" t="s">
        <v>13131</v>
      </c>
      <c r="F1045" s="362" t="s">
        <v>4464</v>
      </c>
      <c r="G1045" s="362" t="s">
        <v>11908</v>
      </c>
      <c r="H1045" s="363">
        <v>2019</v>
      </c>
      <c r="I1045" s="378">
        <v>43670</v>
      </c>
      <c r="J1045" s="434" t="s">
        <v>6652</v>
      </c>
      <c r="K1045" s="425"/>
      <c r="L1045" s="362" t="s">
        <v>13132</v>
      </c>
    </row>
    <row r="1046" spans="1:12">
      <c r="A1046" s="363">
        <f>VLOOKUP(B1046, 'PubMed 4.14.21 Results'!B:B, 1, FALSE)</f>
        <v>31023843</v>
      </c>
      <c r="B1046" s="363">
        <v>31023843</v>
      </c>
      <c r="C1046" s="362" t="s">
        <v>13133</v>
      </c>
      <c r="D1046" s="362" t="s">
        <v>13134</v>
      </c>
      <c r="E1046" s="362" t="s">
        <v>13135</v>
      </c>
      <c r="F1046" s="362" t="s">
        <v>7461</v>
      </c>
      <c r="G1046" s="362" t="s">
        <v>13136</v>
      </c>
      <c r="H1046" s="363">
        <v>2019</v>
      </c>
      <c r="I1046" s="378">
        <v>43582</v>
      </c>
      <c r="J1046" s="365"/>
      <c r="K1046" s="365"/>
      <c r="L1046" s="362" t="s">
        <v>13137</v>
      </c>
    </row>
    <row r="1047" spans="1:12">
      <c r="A1047" s="363">
        <f>VLOOKUP(B1047, 'PubMed 4.14.21 Results'!B:B, 1, FALSE)</f>
        <v>31272493</v>
      </c>
      <c r="B1047" s="363">
        <v>31272493</v>
      </c>
      <c r="C1047" s="362" t="s">
        <v>13138</v>
      </c>
      <c r="D1047" s="362" t="s">
        <v>13139</v>
      </c>
      <c r="E1047" s="362" t="s">
        <v>13140</v>
      </c>
      <c r="F1047" s="362" t="s">
        <v>7041</v>
      </c>
      <c r="G1047" s="362" t="s">
        <v>9906</v>
      </c>
      <c r="H1047" s="363">
        <v>2019</v>
      </c>
      <c r="I1047" s="378">
        <v>43652</v>
      </c>
      <c r="J1047" s="434" t="s">
        <v>7042</v>
      </c>
      <c r="K1047" s="425"/>
      <c r="L1047" s="362" t="s">
        <v>13141</v>
      </c>
    </row>
    <row r="1048" spans="1:12">
      <c r="A1048" s="363">
        <f>VLOOKUP(B1048, 'PubMed 4.14.21 Results'!B:B, 1, FALSE)</f>
        <v>31287523</v>
      </c>
      <c r="B1048" s="363">
        <v>31287523</v>
      </c>
      <c r="C1048" s="362" t="s">
        <v>13142</v>
      </c>
      <c r="D1048" s="362" t="s">
        <v>13143</v>
      </c>
      <c r="E1048" s="362" t="s">
        <v>13144</v>
      </c>
      <c r="F1048" s="362" t="s">
        <v>6491</v>
      </c>
      <c r="G1048" s="362" t="s">
        <v>8580</v>
      </c>
      <c r="H1048" s="363">
        <v>2019</v>
      </c>
      <c r="I1048" s="378">
        <v>43656</v>
      </c>
      <c r="J1048" s="434" t="s">
        <v>6492</v>
      </c>
      <c r="K1048" s="425"/>
      <c r="L1048" s="362" t="s">
        <v>13145</v>
      </c>
    </row>
    <row r="1049" spans="1:12">
      <c r="A1049" s="363">
        <f>VLOOKUP(B1049, 'PubMed 4.14.21 Results'!B:B, 1, FALSE)</f>
        <v>31291932</v>
      </c>
      <c r="B1049" s="363">
        <v>31291932</v>
      </c>
      <c r="C1049" s="362" t="s">
        <v>13146</v>
      </c>
      <c r="D1049" s="362" t="s">
        <v>13147</v>
      </c>
      <c r="E1049" s="362" t="s">
        <v>13148</v>
      </c>
      <c r="F1049" s="362" t="s">
        <v>7089</v>
      </c>
      <c r="G1049" s="362" t="s">
        <v>13149</v>
      </c>
      <c r="H1049" s="363">
        <v>2019</v>
      </c>
      <c r="I1049" s="378">
        <v>43658</v>
      </c>
      <c r="J1049" s="434" t="s">
        <v>7090</v>
      </c>
      <c r="K1049" s="425"/>
      <c r="L1049" s="362" t="s">
        <v>13150</v>
      </c>
    </row>
    <row r="1050" spans="1:12">
      <c r="A1050" s="363">
        <f>VLOOKUP(B1050, 'PubMed 4.14.21 Results'!B:B, 1, FALSE)</f>
        <v>31310299</v>
      </c>
      <c r="B1050" s="363">
        <v>31310299</v>
      </c>
      <c r="C1050" s="362" t="s">
        <v>13151</v>
      </c>
      <c r="D1050" s="362" t="s">
        <v>13152</v>
      </c>
      <c r="E1050" s="362" t="s">
        <v>13153</v>
      </c>
      <c r="F1050" s="362" t="s">
        <v>6913</v>
      </c>
      <c r="G1050" s="362" t="s">
        <v>8580</v>
      </c>
      <c r="H1050" s="363">
        <v>2019</v>
      </c>
      <c r="I1050" s="378">
        <v>43663</v>
      </c>
      <c r="J1050" s="434" t="s">
        <v>6914</v>
      </c>
      <c r="K1050" s="425"/>
      <c r="L1050" s="362" t="s">
        <v>13154</v>
      </c>
    </row>
    <row r="1051" spans="1:12">
      <c r="A1051" s="363">
        <f>VLOOKUP(B1051, 'PubMed 4.14.21 Results'!B:B, 1, FALSE)</f>
        <v>31319919</v>
      </c>
      <c r="B1051" s="363">
        <v>31319919</v>
      </c>
      <c r="C1051" s="362" t="s">
        <v>13155</v>
      </c>
      <c r="D1051" s="362" t="s">
        <v>13156</v>
      </c>
      <c r="E1051" s="362" t="s">
        <v>13157</v>
      </c>
      <c r="F1051" s="362" t="s">
        <v>6844</v>
      </c>
      <c r="G1051" s="362" t="s">
        <v>9014</v>
      </c>
      <c r="H1051" s="363">
        <v>2019</v>
      </c>
      <c r="I1051" s="378">
        <v>43666</v>
      </c>
      <c r="J1051" s="365"/>
      <c r="K1051" s="365"/>
      <c r="L1051" s="362" t="s">
        <v>13158</v>
      </c>
    </row>
    <row r="1052" spans="1:12">
      <c r="A1052" s="363">
        <f>VLOOKUP(B1052, 'PubMed 4.14.21 Results'!B:B, 1, FALSE)</f>
        <v>31065872</v>
      </c>
      <c r="B1052" s="363">
        <v>31065872</v>
      </c>
      <c r="C1052" s="362" t="s">
        <v>13159</v>
      </c>
      <c r="D1052" s="362" t="s">
        <v>13160</v>
      </c>
      <c r="E1052" s="362" t="s">
        <v>13161</v>
      </c>
      <c r="F1052" s="362" t="s">
        <v>6629</v>
      </c>
      <c r="G1052" s="362" t="s">
        <v>13162</v>
      </c>
      <c r="H1052" s="363">
        <v>2019</v>
      </c>
      <c r="I1052" s="378">
        <v>43594</v>
      </c>
      <c r="J1052" s="434" t="s">
        <v>6630</v>
      </c>
      <c r="K1052" s="425"/>
      <c r="L1052" s="362" t="s">
        <v>13163</v>
      </c>
    </row>
    <row r="1053" spans="1:12">
      <c r="A1053" s="363">
        <f>VLOOKUP(B1053, 'PubMed 4.14.21 Results'!B:B, 1, FALSE)</f>
        <v>30951497</v>
      </c>
      <c r="B1053" s="363">
        <v>30951497</v>
      </c>
      <c r="C1053" s="362" t="s">
        <v>13164</v>
      </c>
      <c r="D1053" s="362" t="s">
        <v>13165</v>
      </c>
      <c r="E1053" s="362" t="s">
        <v>13166</v>
      </c>
      <c r="F1053" s="362" t="s">
        <v>7126</v>
      </c>
      <c r="G1053" s="362" t="s">
        <v>13167</v>
      </c>
      <c r="H1053" s="363">
        <v>2019</v>
      </c>
      <c r="I1053" s="378">
        <v>43561</v>
      </c>
      <c r="J1053" s="365"/>
      <c r="K1053" s="365"/>
      <c r="L1053" s="362" t="s">
        <v>13168</v>
      </c>
    </row>
    <row r="1054" spans="1:12">
      <c r="A1054" s="363">
        <f>VLOOKUP(B1054, 'PubMed 4.14.21 Results'!B:B, 1, FALSE)</f>
        <v>30664267</v>
      </c>
      <c r="B1054" s="363">
        <v>30664267</v>
      </c>
      <c r="C1054" s="362" t="s">
        <v>13169</v>
      </c>
      <c r="D1054" s="362" t="s">
        <v>13170</v>
      </c>
      <c r="E1054" s="362" t="s">
        <v>13171</v>
      </c>
      <c r="F1054" s="362" t="s">
        <v>7793</v>
      </c>
      <c r="G1054" s="362" t="s">
        <v>8480</v>
      </c>
      <c r="H1054" s="363">
        <v>2019</v>
      </c>
      <c r="I1054" s="378">
        <v>43487</v>
      </c>
      <c r="J1054" s="365"/>
      <c r="K1054" s="365"/>
      <c r="L1054" s="362" t="s">
        <v>13172</v>
      </c>
    </row>
    <row r="1055" spans="1:12">
      <c r="A1055" s="363">
        <f>VLOOKUP(B1055, 'PubMed 4.14.21 Results'!B:B, 1, FALSE)</f>
        <v>31119554</v>
      </c>
      <c r="B1055" s="363">
        <v>31119554</v>
      </c>
      <c r="C1055" s="362" t="s">
        <v>13173</v>
      </c>
      <c r="D1055" s="362" t="s">
        <v>13174</v>
      </c>
      <c r="E1055" s="362" t="s">
        <v>13175</v>
      </c>
      <c r="F1055" s="362" t="s">
        <v>7214</v>
      </c>
      <c r="G1055" s="362" t="s">
        <v>13028</v>
      </c>
      <c r="H1055" s="363">
        <v>2019</v>
      </c>
      <c r="I1055" s="378">
        <v>43609</v>
      </c>
      <c r="J1055" s="365"/>
      <c r="K1055" s="365"/>
      <c r="L1055" s="362" t="s">
        <v>13176</v>
      </c>
    </row>
    <row r="1056" spans="1:12">
      <c r="A1056" s="363">
        <f>VLOOKUP(B1056, 'PubMed 4.14.21 Results'!B:B, 1, FALSE)</f>
        <v>31235403</v>
      </c>
      <c r="B1056" s="363">
        <v>31235403</v>
      </c>
      <c r="C1056" s="362" t="s">
        <v>13177</v>
      </c>
      <c r="D1056" s="362" t="s">
        <v>13178</v>
      </c>
      <c r="E1056" s="362" t="s">
        <v>13179</v>
      </c>
      <c r="F1056" s="362" t="s">
        <v>8098</v>
      </c>
      <c r="G1056" s="362" t="s">
        <v>13180</v>
      </c>
      <c r="H1056" s="363">
        <v>2019</v>
      </c>
      <c r="I1056" s="378">
        <v>43642</v>
      </c>
      <c r="J1056" s="365"/>
      <c r="K1056" s="365"/>
      <c r="L1056" s="362" t="s">
        <v>13181</v>
      </c>
    </row>
    <row r="1057" spans="1:12">
      <c r="A1057" s="363">
        <f>VLOOKUP(B1057, 'PubMed 4.14.21 Results'!B:B, 1, FALSE)</f>
        <v>31378318</v>
      </c>
      <c r="B1057" s="363">
        <v>31378318</v>
      </c>
      <c r="C1057" s="362" t="s">
        <v>13182</v>
      </c>
      <c r="D1057" s="362" t="s">
        <v>13183</v>
      </c>
      <c r="E1057" s="362" t="s">
        <v>13184</v>
      </c>
      <c r="F1057" s="362" t="s">
        <v>7726</v>
      </c>
      <c r="G1057" s="362" t="s">
        <v>8640</v>
      </c>
      <c r="H1057" s="363">
        <v>2019</v>
      </c>
      <c r="I1057" s="378">
        <v>43683</v>
      </c>
      <c r="J1057" s="365"/>
      <c r="K1057" s="365"/>
      <c r="L1057" s="362" t="s">
        <v>13185</v>
      </c>
    </row>
    <row r="1058" spans="1:12">
      <c r="A1058" s="363">
        <f>VLOOKUP(B1058, 'PubMed 4.14.21 Results'!B:B, 1, FALSE)</f>
        <v>31559948</v>
      </c>
      <c r="B1058" s="363">
        <v>31559948</v>
      </c>
      <c r="C1058" s="362" t="s">
        <v>13186</v>
      </c>
      <c r="D1058" s="362" t="s">
        <v>13187</v>
      </c>
      <c r="E1058" s="362" t="s">
        <v>13188</v>
      </c>
      <c r="F1058" s="362" t="s">
        <v>7533</v>
      </c>
      <c r="G1058" s="362" t="s">
        <v>9359</v>
      </c>
      <c r="H1058" s="363">
        <v>2019</v>
      </c>
      <c r="I1058" s="378">
        <v>43736</v>
      </c>
      <c r="J1058" s="434" t="s">
        <v>7534</v>
      </c>
      <c r="K1058" s="425"/>
      <c r="L1058" s="362" t="s">
        <v>13189</v>
      </c>
    </row>
    <row r="1059" spans="1:12">
      <c r="A1059" s="363">
        <f>VLOOKUP(B1059, 'PubMed 4.14.21 Results'!B:B, 1, FALSE)</f>
        <v>31532516</v>
      </c>
      <c r="B1059" s="363">
        <v>31532516</v>
      </c>
      <c r="C1059" s="362" t="s">
        <v>13190</v>
      </c>
      <c r="D1059" s="362" t="s">
        <v>13191</v>
      </c>
      <c r="E1059" s="362" t="s">
        <v>13192</v>
      </c>
      <c r="F1059" s="362" t="s">
        <v>7086</v>
      </c>
      <c r="G1059" s="362" t="s">
        <v>13193</v>
      </c>
      <c r="H1059" s="363">
        <v>2019</v>
      </c>
      <c r="I1059" s="378">
        <v>43727</v>
      </c>
      <c r="J1059" s="434" t="s">
        <v>7087</v>
      </c>
      <c r="K1059" s="425"/>
      <c r="L1059" s="362" t="s">
        <v>13194</v>
      </c>
    </row>
    <row r="1060" spans="1:12">
      <c r="A1060" s="363">
        <f>VLOOKUP(B1060, 'PubMed 4.14.21 Results'!B:B, 1, FALSE)</f>
        <v>31488213</v>
      </c>
      <c r="B1060" s="363">
        <v>31488213</v>
      </c>
      <c r="C1060" s="362" t="s">
        <v>13195</v>
      </c>
      <c r="D1060" s="362" t="s">
        <v>13196</v>
      </c>
      <c r="E1060" s="362" t="s">
        <v>13197</v>
      </c>
      <c r="F1060" s="362" t="s">
        <v>6519</v>
      </c>
      <c r="G1060" s="362" t="s">
        <v>11166</v>
      </c>
      <c r="H1060" s="363">
        <v>2019</v>
      </c>
      <c r="I1060" s="378">
        <v>43715</v>
      </c>
      <c r="J1060" s="434" t="s">
        <v>6520</v>
      </c>
      <c r="K1060" s="425"/>
      <c r="L1060" s="362" t="s">
        <v>13198</v>
      </c>
    </row>
    <row r="1061" spans="1:12">
      <c r="A1061" s="363">
        <f>VLOOKUP(B1061, 'PubMed 4.14.21 Results'!B:B, 1, FALSE)</f>
        <v>31513665</v>
      </c>
      <c r="B1061" s="363">
        <v>31513665</v>
      </c>
      <c r="C1061" s="362" t="s">
        <v>13199</v>
      </c>
      <c r="D1061" s="362" t="s">
        <v>13200</v>
      </c>
      <c r="E1061" s="362" t="s">
        <v>13201</v>
      </c>
      <c r="F1061" s="362" t="s">
        <v>7706</v>
      </c>
      <c r="G1061" s="362" t="s">
        <v>10148</v>
      </c>
      <c r="H1061" s="363">
        <v>2019</v>
      </c>
      <c r="I1061" s="378">
        <v>43721</v>
      </c>
      <c r="J1061" s="434" t="s">
        <v>7707</v>
      </c>
      <c r="K1061" s="425"/>
      <c r="L1061" s="362" t="s">
        <v>13202</v>
      </c>
    </row>
    <row r="1062" spans="1:12">
      <c r="A1062" s="363">
        <f>VLOOKUP(B1062, 'PubMed 4.14.21 Results'!B:B, 1, FALSE)</f>
        <v>31553360</v>
      </c>
      <c r="B1062" s="363">
        <v>31553360</v>
      </c>
      <c r="C1062" s="362" t="s">
        <v>13203</v>
      </c>
      <c r="D1062" s="362" t="s">
        <v>13204</v>
      </c>
      <c r="E1062" s="362" t="s">
        <v>13205</v>
      </c>
      <c r="F1062" s="362" t="s">
        <v>7824</v>
      </c>
      <c r="G1062" s="362" t="s">
        <v>13206</v>
      </c>
      <c r="H1062" s="363">
        <v>2019</v>
      </c>
      <c r="I1062" s="378">
        <v>43734</v>
      </c>
      <c r="J1062" s="434" t="s">
        <v>7825</v>
      </c>
      <c r="K1062" s="425"/>
      <c r="L1062" s="362" t="s">
        <v>13207</v>
      </c>
    </row>
    <row r="1063" spans="1:12">
      <c r="A1063" s="363">
        <f>VLOOKUP(B1063, 'PubMed 4.14.21 Results'!B:B, 1, FALSE)</f>
        <v>30379749</v>
      </c>
      <c r="B1063" s="363">
        <v>30379749</v>
      </c>
      <c r="C1063" s="362" t="s">
        <v>13208</v>
      </c>
      <c r="D1063" s="362" t="s">
        <v>13209</v>
      </c>
      <c r="E1063" s="362" t="s">
        <v>13210</v>
      </c>
      <c r="F1063" s="362" t="s">
        <v>7967</v>
      </c>
      <c r="G1063" s="362" t="s">
        <v>13211</v>
      </c>
      <c r="H1063" s="363">
        <v>2019</v>
      </c>
      <c r="I1063" s="378">
        <v>43405</v>
      </c>
      <c r="J1063" s="365"/>
      <c r="K1063" s="365"/>
      <c r="L1063" s="362" t="s">
        <v>13212</v>
      </c>
    </row>
    <row r="1064" spans="1:12">
      <c r="A1064" s="363">
        <f>VLOOKUP(B1064, 'PubMed 4.14.21 Results'!B:B, 1, FALSE)</f>
        <v>31032524</v>
      </c>
      <c r="B1064" s="363">
        <v>31032524</v>
      </c>
      <c r="C1064" s="362" t="s">
        <v>13213</v>
      </c>
      <c r="D1064" s="362" t="s">
        <v>13214</v>
      </c>
      <c r="E1064" s="362" t="s">
        <v>13215</v>
      </c>
      <c r="F1064" s="362" t="s">
        <v>8132</v>
      </c>
      <c r="G1064" s="362" t="s">
        <v>13216</v>
      </c>
      <c r="H1064" s="363">
        <v>2019</v>
      </c>
      <c r="I1064" s="378">
        <v>43585</v>
      </c>
      <c r="J1064" s="365"/>
      <c r="K1064" s="365"/>
      <c r="L1064" s="362" t="s">
        <v>13217</v>
      </c>
    </row>
    <row r="1065" spans="1:12">
      <c r="A1065" s="363">
        <f>VLOOKUP(B1065, 'PubMed 4.14.21 Results'!B:B, 1, FALSE)</f>
        <v>31074674</v>
      </c>
      <c r="B1065" s="363">
        <v>31074674</v>
      </c>
      <c r="C1065" s="362" t="s">
        <v>13218</v>
      </c>
      <c r="D1065" s="362" t="s">
        <v>13219</v>
      </c>
      <c r="E1065" s="362" t="s">
        <v>13220</v>
      </c>
      <c r="F1065" s="362" t="s">
        <v>7065</v>
      </c>
      <c r="G1065" s="362" t="s">
        <v>8762</v>
      </c>
      <c r="H1065" s="363">
        <v>2019</v>
      </c>
      <c r="I1065" s="378">
        <v>43596</v>
      </c>
      <c r="J1065" s="365"/>
      <c r="K1065" s="365"/>
      <c r="L1065" s="362" t="s">
        <v>13221</v>
      </c>
    </row>
    <row r="1066" spans="1:12">
      <c r="A1066" s="363">
        <f>VLOOKUP(B1066, 'PubMed 4.14.21 Results'!B:B, 1, FALSE)</f>
        <v>31194252</v>
      </c>
      <c r="B1066" s="363">
        <v>31194252</v>
      </c>
      <c r="C1066" s="362" t="s">
        <v>13222</v>
      </c>
      <c r="D1066" s="362" t="s">
        <v>13223</v>
      </c>
      <c r="E1066" s="362" t="s">
        <v>13224</v>
      </c>
      <c r="F1066" s="362" t="s">
        <v>6669</v>
      </c>
      <c r="G1066" s="362" t="s">
        <v>13225</v>
      </c>
      <c r="H1066" s="363">
        <v>2019</v>
      </c>
      <c r="I1066" s="378">
        <v>43630</v>
      </c>
      <c r="J1066" s="434" t="s">
        <v>6670</v>
      </c>
      <c r="K1066" s="425"/>
      <c r="L1066" s="362" t="s">
        <v>13226</v>
      </c>
    </row>
    <row r="1067" spans="1:12">
      <c r="A1067" s="363">
        <f>VLOOKUP(B1067, 'PubMed 4.14.21 Results'!B:B, 1, FALSE)</f>
        <v>31483515</v>
      </c>
      <c r="B1067" s="363">
        <v>31483515</v>
      </c>
      <c r="C1067" s="362" t="s">
        <v>13227</v>
      </c>
      <c r="D1067" s="362" t="s">
        <v>13228</v>
      </c>
      <c r="E1067" s="362" t="s">
        <v>13229</v>
      </c>
      <c r="F1067" s="362" t="s">
        <v>7961</v>
      </c>
      <c r="G1067" s="362" t="s">
        <v>8685</v>
      </c>
      <c r="H1067" s="363">
        <v>2019</v>
      </c>
      <c r="I1067" s="378">
        <v>43713</v>
      </c>
      <c r="J1067" s="365"/>
      <c r="K1067" s="365"/>
      <c r="L1067" s="362" t="s">
        <v>13230</v>
      </c>
    </row>
    <row r="1068" spans="1:12">
      <c r="A1068" s="363">
        <f>VLOOKUP(B1068, 'PubMed 4.14.21 Results'!B:B, 1, FALSE)</f>
        <v>31640300</v>
      </c>
      <c r="B1068" s="363">
        <v>31640300</v>
      </c>
      <c r="C1068" s="362" t="s">
        <v>13231</v>
      </c>
      <c r="D1068" s="362" t="s">
        <v>13232</v>
      </c>
      <c r="E1068" s="362" t="s">
        <v>13233</v>
      </c>
      <c r="F1068" s="362" t="s">
        <v>6390</v>
      </c>
      <c r="G1068" s="362" t="s">
        <v>13234</v>
      </c>
      <c r="H1068" s="363">
        <v>2019</v>
      </c>
      <c r="I1068" s="378">
        <v>43762</v>
      </c>
      <c r="J1068" s="434" t="s">
        <v>6391</v>
      </c>
      <c r="K1068" s="425"/>
      <c r="L1068" s="362" t="s">
        <v>13235</v>
      </c>
    </row>
    <row r="1069" spans="1:12">
      <c r="A1069" s="363">
        <f>VLOOKUP(B1069, 'PubMed 4.14.21 Results'!B:B, 1, FALSE)</f>
        <v>31131994</v>
      </c>
      <c r="B1069" s="363">
        <v>31131994</v>
      </c>
      <c r="C1069" s="362" t="s">
        <v>13236</v>
      </c>
      <c r="D1069" s="362" t="s">
        <v>13237</v>
      </c>
      <c r="E1069" s="362" t="s">
        <v>13238</v>
      </c>
      <c r="F1069" s="362" t="s">
        <v>7397</v>
      </c>
      <c r="G1069" s="362" t="s">
        <v>13239</v>
      </c>
      <c r="H1069" s="363">
        <v>2019</v>
      </c>
      <c r="I1069" s="378">
        <v>43613</v>
      </c>
      <c r="J1069" s="365"/>
      <c r="K1069" s="365"/>
      <c r="L1069" s="362" t="s">
        <v>13240</v>
      </c>
    </row>
    <row r="1070" spans="1:12">
      <c r="A1070" s="363">
        <f>VLOOKUP(B1070, 'PubMed 4.14.21 Results'!B:B, 1, FALSE)</f>
        <v>31394914</v>
      </c>
      <c r="B1070" s="363">
        <v>31394914</v>
      </c>
      <c r="C1070" s="362" t="s">
        <v>13241</v>
      </c>
      <c r="D1070" s="362" t="s">
        <v>13242</v>
      </c>
      <c r="E1070" s="362" t="s">
        <v>13243</v>
      </c>
      <c r="F1070" s="362" t="s">
        <v>6481</v>
      </c>
      <c r="G1070" s="362" t="s">
        <v>13244</v>
      </c>
      <c r="H1070" s="363">
        <v>2019</v>
      </c>
      <c r="I1070" s="378">
        <v>43687</v>
      </c>
      <c r="J1070" s="434" t="s">
        <v>6482</v>
      </c>
      <c r="K1070" s="425"/>
      <c r="L1070" s="362" t="s">
        <v>13245</v>
      </c>
    </row>
    <row r="1071" spans="1:12">
      <c r="A1071" s="363">
        <f>VLOOKUP(B1071, 'PubMed 4.14.21 Results'!B:B, 1, FALSE)</f>
        <v>31479100</v>
      </c>
      <c r="B1071" s="363">
        <v>31479100</v>
      </c>
      <c r="C1071" s="362" t="s">
        <v>13246</v>
      </c>
      <c r="D1071" s="362" t="s">
        <v>13247</v>
      </c>
      <c r="E1071" s="362" t="s">
        <v>13248</v>
      </c>
      <c r="F1071" s="362" t="s">
        <v>6685</v>
      </c>
      <c r="G1071" s="362" t="s">
        <v>13249</v>
      </c>
      <c r="H1071" s="363">
        <v>2019</v>
      </c>
      <c r="I1071" s="378">
        <v>43712</v>
      </c>
      <c r="J1071" s="434" t="s">
        <v>6686</v>
      </c>
      <c r="K1071" s="425"/>
      <c r="L1071" s="362" t="s">
        <v>13250</v>
      </c>
    </row>
    <row r="1072" spans="1:12">
      <c r="A1072" s="363">
        <f>VLOOKUP(B1072, 'PubMed 4.14.21 Results'!B:B, 1, FALSE)</f>
        <v>31521532</v>
      </c>
      <c r="B1072" s="363">
        <v>31521532</v>
      </c>
      <c r="C1072" s="362" t="s">
        <v>13251</v>
      </c>
      <c r="D1072" s="362" t="s">
        <v>13252</v>
      </c>
      <c r="E1072" s="362" t="s">
        <v>13253</v>
      </c>
      <c r="F1072" s="362" t="s">
        <v>7976</v>
      </c>
      <c r="G1072" s="362" t="s">
        <v>10516</v>
      </c>
      <c r="H1072" s="363">
        <v>2019</v>
      </c>
      <c r="I1072" s="378">
        <v>43724</v>
      </c>
      <c r="J1072" s="365"/>
      <c r="K1072" s="365"/>
      <c r="L1072" s="362" t="s">
        <v>13254</v>
      </c>
    </row>
    <row r="1073" spans="1:12">
      <c r="A1073" s="363">
        <f>VLOOKUP(B1073, 'PubMed 4.14.21 Results'!B:B, 1, FALSE)</f>
        <v>31582358</v>
      </c>
      <c r="B1073" s="363">
        <v>31582358</v>
      </c>
      <c r="C1073" s="362" t="s">
        <v>13255</v>
      </c>
      <c r="D1073" s="362" t="s">
        <v>13256</v>
      </c>
      <c r="E1073" s="362" t="s">
        <v>13257</v>
      </c>
      <c r="F1073" s="362" t="s">
        <v>6732</v>
      </c>
      <c r="G1073" s="362" t="s">
        <v>10851</v>
      </c>
      <c r="H1073" s="363">
        <v>2019</v>
      </c>
      <c r="I1073" s="378">
        <v>43743</v>
      </c>
      <c r="J1073" s="434" t="s">
        <v>6733</v>
      </c>
      <c r="K1073" s="425"/>
      <c r="L1073" s="362" t="s">
        <v>13258</v>
      </c>
    </row>
    <row r="1074" spans="1:12">
      <c r="A1074" s="363">
        <f>VLOOKUP(B1074, 'PubMed 4.14.21 Results'!B:B, 1, FALSE)</f>
        <v>31582360</v>
      </c>
      <c r="B1074" s="363">
        <v>31582360</v>
      </c>
      <c r="C1074" s="362" t="s">
        <v>13259</v>
      </c>
      <c r="D1074" s="362" t="s">
        <v>13260</v>
      </c>
      <c r="E1074" s="362" t="s">
        <v>13261</v>
      </c>
      <c r="F1074" s="362" t="s">
        <v>6507</v>
      </c>
      <c r="G1074" s="362" t="s">
        <v>10851</v>
      </c>
      <c r="H1074" s="363">
        <v>2019</v>
      </c>
      <c r="I1074" s="378">
        <v>43743</v>
      </c>
      <c r="J1074" s="362" t="s">
        <v>6226</v>
      </c>
      <c r="K1074" s="362" t="s">
        <v>13262</v>
      </c>
      <c r="L1074" s="362" t="s">
        <v>13263</v>
      </c>
    </row>
    <row r="1075" spans="1:12">
      <c r="A1075" s="363">
        <f>VLOOKUP(B1075, 'PubMed 4.14.21 Results'!B:B, 1, FALSE)</f>
        <v>31652166</v>
      </c>
      <c r="B1075" s="363">
        <v>31652166</v>
      </c>
      <c r="C1075" s="362" t="s">
        <v>13264</v>
      </c>
      <c r="D1075" s="362" t="s">
        <v>13265</v>
      </c>
      <c r="E1075" s="362" t="s">
        <v>13266</v>
      </c>
      <c r="F1075" s="362" t="s">
        <v>6665</v>
      </c>
      <c r="G1075" s="362" t="s">
        <v>13267</v>
      </c>
      <c r="H1075" s="363">
        <v>2019</v>
      </c>
      <c r="I1075" s="378">
        <v>43764</v>
      </c>
      <c r="J1075" s="365"/>
      <c r="K1075" s="365"/>
      <c r="L1075" s="362" t="s">
        <v>13268</v>
      </c>
    </row>
    <row r="1076" spans="1:12">
      <c r="A1076" s="363">
        <f>VLOOKUP(B1076, 'PubMed 4.14.21 Results'!B:B, 1, FALSE)</f>
        <v>31623894</v>
      </c>
      <c r="B1076" s="363">
        <v>31623894</v>
      </c>
      <c r="C1076" s="362" t="s">
        <v>13269</v>
      </c>
      <c r="D1076" s="362" t="s">
        <v>13270</v>
      </c>
      <c r="E1076" s="362" t="s">
        <v>13271</v>
      </c>
      <c r="F1076" s="362" t="s">
        <v>6705</v>
      </c>
      <c r="G1076" s="362" t="s">
        <v>9420</v>
      </c>
      <c r="H1076" s="363">
        <v>2019</v>
      </c>
      <c r="I1076" s="378">
        <v>43757</v>
      </c>
      <c r="J1076" s="434" t="s">
        <v>6706</v>
      </c>
      <c r="K1076" s="425"/>
      <c r="L1076" s="362" t="s">
        <v>13272</v>
      </c>
    </row>
    <row r="1077" spans="1:12">
      <c r="A1077" s="363">
        <f>VLOOKUP(B1077, 'PubMed 4.14.21 Results'!B:B, 1, FALSE)</f>
        <v>31752973</v>
      </c>
      <c r="B1077" s="363">
        <v>31752973</v>
      </c>
      <c r="C1077" s="362" t="s">
        <v>13273</v>
      </c>
      <c r="D1077" s="362" t="s">
        <v>13274</v>
      </c>
      <c r="E1077" s="362" t="s">
        <v>13275</v>
      </c>
      <c r="F1077" s="362" t="s">
        <v>8148</v>
      </c>
      <c r="G1077" s="362" t="s">
        <v>11166</v>
      </c>
      <c r="H1077" s="363">
        <v>2019</v>
      </c>
      <c r="I1077" s="378">
        <v>43792</v>
      </c>
      <c r="J1077" s="434" t="s">
        <v>8149</v>
      </c>
      <c r="K1077" s="425"/>
      <c r="L1077" s="362" t="s">
        <v>13276</v>
      </c>
    </row>
    <row r="1078" spans="1:12">
      <c r="A1078" s="363">
        <f>VLOOKUP(B1078, 'PubMed 4.14.21 Results'!B:B, 1, FALSE)</f>
        <v>30822358</v>
      </c>
      <c r="B1078" s="363">
        <v>30822358</v>
      </c>
      <c r="C1078" s="362" t="s">
        <v>13277</v>
      </c>
      <c r="D1078" s="362" t="s">
        <v>13278</v>
      </c>
      <c r="E1078" s="362" t="s">
        <v>13279</v>
      </c>
      <c r="F1078" s="362" t="s">
        <v>8108</v>
      </c>
      <c r="G1078" s="362" t="s">
        <v>8963</v>
      </c>
      <c r="H1078" s="363">
        <v>2019</v>
      </c>
      <c r="I1078" s="378">
        <v>43526</v>
      </c>
      <c r="J1078" s="434" t="s">
        <v>8109</v>
      </c>
      <c r="K1078" s="425"/>
      <c r="L1078" s="362" t="s">
        <v>13280</v>
      </c>
    </row>
    <row r="1079" spans="1:12">
      <c r="A1079" s="363">
        <f>VLOOKUP(B1079, 'PubMed 4.14.21 Results'!B:B, 1, FALSE)</f>
        <v>31179779</v>
      </c>
      <c r="B1079" s="363">
        <v>31179779</v>
      </c>
      <c r="C1079" s="362" t="s">
        <v>13281</v>
      </c>
      <c r="D1079" s="362" t="s">
        <v>13282</v>
      </c>
      <c r="E1079" s="362" t="s">
        <v>13283</v>
      </c>
      <c r="F1079" s="362" t="s">
        <v>6781</v>
      </c>
      <c r="G1079" s="362" t="s">
        <v>13284</v>
      </c>
      <c r="H1079" s="363">
        <v>2019</v>
      </c>
      <c r="I1079" s="378">
        <v>43627</v>
      </c>
      <c r="J1079" s="365"/>
      <c r="K1079" s="365"/>
      <c r="L1079" s="362" t="s">
        <v>13285</v>
      </c>
    </row>
    <row r="1080" spans="1:12">
      <c r="A1080" s="363">
        <f>VLOOKUP(B1080, 'PubMed 4.14.21 Results'!B:B, 1, FALSE)</f>
        <v>31470092</v>
      </c>
      <c r="B1080" s="363">
        <v>31470092</v>
      </c>
      <c r="C1080" s="362" t="s">
        <v>13286</v>
      </c>
      <c r="D1080" s="362" t="s">
        <v>13287</v>
      </c>
      <c r="E1080" s="362" t="s">
        <v>13288</v>
      </c>
      <c r="F1080" s="362" t="s">
        <v>8008</v>
      </c>
      <c r="G1080" s="362" t="s">
        <v>11428</v>
      </c>
      <c r="H1080" s="363">
        <v>2019</v>
      </c>
      <c r="I1080" s="378">
        <v>43708</v>
      </c>
      <c r="J1080" s="365"/>
      <c r="K1080" s="365"/>
      <c r="L1080" s="362" t="s">
        <v>13289</v>
      </c>
    </row>
    <row r="1081" spans="1:12">
      <c r="A1081" s="363">
        <f>VLOOKUP(B1081, 'PubMed 4.14.21 Results'!B:B, 1, FALSE)</f>
        <v>31494096</v>
      </c>
      <c r="B1081" s="363">
        <v>31494096</v>
      </c>
      <c r="C1081" s="362" t="s">
        <v>13290</v>
      </c>
      <c r="D1081" s="362" t="s">
        <v>13291</v>
      </c>
      <c r="E1081" s="362" t="s">
        <v>13292</v>
      </c>
      <c r="F1081" s="362" t="s">
        <v>4045</v>
      </c>
      <c r="G1081" s="362" t="s">
        <v>12411</v>
      </c>
      <c r="H1081" s="363">
        <v>2019</v>
      </c>
      <c r="I1081" s="378">
        <v>43717</v>
      </c>
      <c r="J1081" s="365"/>
      <c r="K1081" s="365"/>
      <c r="L1081" s="362" t="s">
        <v>13293</v>
      </c>
    </row>
    <row r="1082" spans="1:12">
      <c r="A1082" s="363">
        <f>VLOOKUP(B1082, 'PubMed 4.14.21 Results'!B:B, 1, FALSE)</f>
        <v>31567928</v>
      </c>
      <c r="B1082" s="363">
        <v>31567928</v>
      </c>
      <c r="C1082" s="362" t="s">
        <v>13294</v>
      </c>
      <c r="D1082" s="362" t="s">
        <v>13295</v>
      </c>
      <c r="E1082" s="362" t="s">
        <v>13296</v>
      </c>
      <c r="F1082" s="362" t="s">
        <v>6716</v>
      </c>
      <c r="G1082" s="362" t="s">
        <v>9124</v>
      </c>
      <c r="H1082" s="363">
        <v>2019</v>
      </c>
      <c r="I1082" s="378">
        <v>43739</v>
      </c>
      <c r="J1082" s="365"/>
      <c r="K1082" s="365"/>
      <c r="L1082" s="362" t="s">
        <v>13297</v>
      </c>
    </row>
    <row r="1083" spans="1:12">
      <c r="A1083" s="363">
        <f>VLOOKUP(B1083, 'PubMed 4.14.21 Results'!B:B, 1, FALSE)</f>
        <v>31577341</v>
      </c>
      <c r="B1083" s="363">
        <v>31577341</v>
      </c>
      <c r="C1083" s="362" t="s">
        <v>13298</v>
      </c>
      <c r="D1083" s="362" t="s">
        <v>13299</v>
      </c>
      <c r="E1083" s="362" t="s">
        <v>13300</v>
      </c>
      <c r="F1083" s="362" t="s">
        <v>6971</v>
      </c>
      <c r="G1083" s="362" t="s">
        <v>11469</v>
      </c>
      <c r="H1083" s="363">
        <v>2019</v>
      </c>
      <c r="I1083" s="378">
        <v>43741</v>
      </c>
      <c r="J1083" s="434" t="s">
        <v>6972</v>
      </c>
      <c r="K1083" s="425"/>
      <c r="L1083" s="362" t="s">
        <v>13301</v>
      </c>
    </row>
    <row r="1084" spans="1:12">
      <c r="A1084" s="363">
        <f>VLOOKUP(B1084, 'PubMed 4.14.21 Results'!B:B, 1, FALSE)</f>
        <v>31653334</v>
      </c>
      <c r="B1084" s="363">
        <v>31653334</v>
      </c>
      <c r="C1084" s="362" t="s">
        <v>13302</v>
      </c>
      <c r="D1084" s="362" t="s">
        <v>13303</v>
      </c>
      <c r="E1084" s="362" t="s">
        <v>13304</v>
      </c>
      <c r="F1084" s="362" t="s">
        <v>6996</v>
      </c>
      <c r="G1084" s="362" t="s">
        <v>13305</v>
      </c>
      <c r="H1084" s="363">
        <v>2019</v>
      </c>
      <c r="I1084" s="378">
        <v>43765</v>
      </c>
      <c r="J1084" s="365"/>
      <c r="K1084" s="365"/>
      <c r="L1084" s="362" t="s">
        <v>13306</v>
      </c>
    </row>
    <row r="1085" spans="1:12">
      <c r="A1085" s="363">
        <f>VLOOKUP(B1085, 'PubMed 4.14.21 Results'!B:B, 1, FALSE)</f>
        <v>31668021</v>
      </c>
      <c r="B1085" s="363">
        <v>31668021</v>
      </c>
      <c r="C1085" s="362" t="s">
        <v>13307</v>
      </c>
      <c r="D1085" s="362" t="s">
        <v>13308</v>
      </c>
      <c r="E1085" s="362" t="s">
        <v>13309</v>
      </c>
      <c r="F1085" s="362" t="s">
        <v>6397</v>
      </c>
      <c r="G1085" s="362" t="s">
        <v>13310</v>
      </c>
      <c r="H1085" s="363">
        <v>2019</v>
      </c>
      <c r="I1085" s="378">
        <v>43770</v>
      </c>
      <c r="J1085" s="434" t="s">
        <v>6398</v>
      </c>
      <c r="K1085" s="425"/>
      <c r="L1085" s="362" t="s">
        <v>13311</v>
      </c>
    </row>
    <row r="1086" spans="1:12">
      <c r="A1086" s="363">
        <f>VLOOKUP(B1086, 'PubMed 4.14.21 Results'!B:B, 1, FALSE)</f>
        <v>31631355</v>
      </c>
      <c r="B1086" s="363">
        <v>31631355</v>
      </c>
      <c r="C1086" s="362" t="s">
        <v>13312</v>
      </c>
      <c r="D1086" s="362" t="s">
        <v>13313</v>
      </c>
      <c r="E1086" s="362" t="s">
        <v>13314</v>
      </c>
      <c r="F1086" s="362" t="s">
        <v>7280</v>
      </c>
      <c r="G1086" s="362" t="s">
        <v>8847</v>
      </c>
      <c r="H1086" s="363">
        <v>2019</v>
      </c>
      <c r="I1086" s="378">
        <v>43760</v>
      </c>
      <c r="J1086" s="365"/>
      <c r="K1086" s="365"/>
      <c r="L1086" s="362" t="s">
        <v>13315</v>
      </c>
    </row>
    <row r="1087" spans="1:12">
      <c r="A1087" s="363">
        <f>VLOOKUP(B1087, 'PubMed 4.14.21 Results'!B:B, 1, FALSE)</f>
        <v>31860749</v>
      </c>
      <c r="B1087" s="363">
        <v>31860749</v>
      </c>
      <c r="C1087" s="362" t="s">
        <v>13316</v>
      </c>
      <c r="D1087" s="362" t="s">
        <v>13317</v>
      </c>
      <c r="E1087" s="362" t="s">
        <v>13318</v>
      </c>
      <c r="F1087" s="362" t="s">
        <v>7426</v>
      </c>
      <c r="G1087" s="362" t="s">
        <v>8857</v>
      </c>
      <c r="H1087" s="363">
        <v>2019</v>
      </c>
      <c r="I1087" s="378">
        <v>43820</v>
      </c>
      <c r="J1087" s="434" t="s">
        <v>7427</v>
      </c>
      <c r="K1087" s="425"/>
      <c r="L1087" s="362" t="s">
        <v>13319</v>
      </c>
    </row>
    <row r="1088" spans="1:12">
      <c r="A1088" s="363">
        <f>VLOOKUP(B1088, 'PubMed 4.14.21 Results'!B:B, 1, FALSE)</f>
        <v>31483689</v>
      </c>
      <c r="B1088" s="363">
        <v>31483689</v>
      </c>
      <c r="C1088" s="362" t="s">
        <v>13320</v>
      </c>
      <c r="D1088" s="362" t="s">
        <v>13321</v>
      </c>
      <c r="E1088" s="362" t="s">
        <v>13322</v>
      </c>
      <c r="F1088" s="362" t="s">
        <v>6897</v>
      </c>
      <c r="G1088" s="362" t="s">
        <v>13323</v>
      </c>
      <c r="H1088" s="363">
        <v>2020</v>
      </c>
      <c r="I1088" s="378">
        <v>43713</v>
      </c>
      <c r="J1088" s="365"/>
      <c r="K1088" s="365"/>
      <c r="L1088" s="362" t="s">
        <v>13324</v>
      </c>
    </row>
    <row r="1089" spans="1:12">
      <c r="A1089" s="363">
        <f>VLOOKUP(B1089, 'PubMed 4.14.21 Results'!B:B, 1, FALSE)</f>
        <v>31609787</v>
      </c>
      <c r="B1089" s="363">
        <v>31609787</v>
      </c>
      <c r="C1089" s="362" t="s">
        <v>13325</v>
      </c>
      <c r="D1089" s="362" t="s">
        <v>13326</v>
      </c>
      <c r="E1089" s="362" t="s">
        <v>13327</v>
      </c>
      <c r="F1089" s="362" t="s">
        <v>6575</v>
      </c>
      <c r="G1089" s="362" t="s">
        <v>8680</v>
      </c>
      <c r="H1089" s="363">
        <v>2020</v>
      </c>
      <c r="I1089" s="378">
        <v>43753</v>
      </c>
      <c r="J1089" s="434" t="s">
        <v>6576</v>
      </c>
      <c r="K1089" s="425"/>
      <c r="L1089" s="362" t="s">
        <v>13328</v>
      </c>
    </row>
    <row r="1090" spans="1:12">
      <c r="A1090" s="363" t="e">
        <f>VLOOKUP(B1090, 'PubMed 4.14.21 Results'!B:B, 1, FALSE)</f>
        <v>#N/A</v>
      </c>
      <c r="B1090" s="363">
        <v>31658382</v>
      </c>
      <c r="C1090" s="362" t="s">
        <v>13329</v>
      </c>
      <c r="D1090" s="362" t="s">
        <v>13330</v>
      </c>
      <c r="E1090" s="362" t="s">
        <v>13331</v>
      </c>
      <c r="F1090" s="362" t="s">
        <v>8150</v>
      </c>
      <c r="G1090" s="362" t="s">
        <v>9569</v>
      </c>
      <c r="H1090" s="363">
        <v>2020</v>
      </c>
      <c r="I1090" s="378">
        <v>43767</v>
      </c>
      <c r="J1090" s="434" t="s">
        <v>8151</v>
      </c>
      <c r="K1090" s="425"/>
      <c r="L1090" s="362" t="s">
        <v>13332</v>
      </c>
    </row>
    <row r="1091" spans="1:12">
      <c r="A1091" s="363">
        <f>VLOOKUP(B1091, 'PubMed 4.14.21 Results'!B:B, 1, FALSE)</f>
        <v>31769533</v>
      </c>
      <c r="B1091" s="363">
        <v>31769533</v>
      </c>
      <c r="C1091" s="362" t="s">
        <v>13333</v>
      </c>
      <c r="D1091" s="362" t="s">
        <v>13334</v>
      </c>
      <c r="E1091" s="362" t="s">
        <v>13335</v>
      </c>
      <c r="F1091" s="362" t="s">
        <v>6731</v>
      </c>
      <c r="G1091" s="362" t="s">
        <v>8685</v>
      </c>
      <c r="H1091" s="363">
        <v>2020</v>
      </c>
      <c r="I1091" s="378">
        <v>43796</v>
      </c>
      <c r="J1091" s="365"/>
      <c r="K1091" s="365"/>
      <c r="L1091" s="362" t="s">
        <v>13336</v>
      </c>
    </row>
    <row r="1092" spans="1:12">
      <c r="A1092" s="363">
        <f>VLOOKUP(B1092, 'PubMed 4.14.21 Results'!B:B, 1, FALSE)</f>
        <v>31786491</v>
      </c>
      <c r="B1092" s="363">
        <v>31786491</v>
      </c>
      <c r="C1092" s="362" t="s">
        <v>13337</v>
      </c>
      <c r="D1092" s="362" t="s">
        <v>13338</v>
      </c>
      <c r="E1092" s="362" t="s">
        <v>13339</v>
      </c>
      <c r="F1092" s="362" t="s">
        <v>7304</v>
      </c>
      <c r="G1092" s="362" t="s">
        <v>13340</v>
      </c>
      <c r="H1092" s="363">
        <v>2020</v>
      </c>
      <c r="I1092" s="378">
        <v>43801</v>
      </c>
      <c r="J1092" s="365"/>
      <c r="K1092" s="365"/>
      <c r="L1092" s="362" t="s">
        <v>13341</v>
      </c>
    </row>
    <row r="1093" spans="1:12">
      <c r="A1093" s="363">
        <f>VLOOKUP(B1093, 'PubMed 4.14.21 Results'!B:B, 1, FALSE)</f>
        <v>31811360</v>
      </c>
      <c r="B1093" s="363">
        <v>31811360</v>
      </c>
      <c r="C1093" s="362" t="s">
        <v>13342</v>
      </c>
      <c r="D1093" s="362" t="s">
        <v>13343</v>
      </c>
      <c r="E1093" s="362" t="s">
        <v>13344</v>
      </c>
      <c r="F1093" s="362" t="s">
        <v>7163</v>
      </c>
      <c r="G1093" s="362" t="s">
        <v>13345</v>
      </c>
      <c r="H1093" s="363">
        <v>2020</v>
      </c>
      <c r="I1093" s="378">
        <v>43807</v>
      </c>
      <c r="J1093" s="365"/>
      <c r="K1093" s="365"/>
      <c r="L1093" s="362" t="s">
        <v>13346</v>
      </c>
    </row>
    <row r="1094" spans="1:12">
      <c r="A1094" s="363">
        <f>VLOOKUP(B1094, 'PubMed 4.14.21 Results'!B:B, 1, FALSE)</f>
        <v>31843246</v>
      </c>
      <c r="B1094" s="363">
        <v>31843246</v>
      </c>
      <c r="C1094" s="362" t="s">
        <v>13347</v>
      </c>
      <c r="D1094" s="362" t="s">
        <v>13348</v>
      </c>
      <c r="E1094" s="362" t="s">
        <v>13349</v>
      </c>
      <c r="F1094" s="362" t="s">
        <v>6607</v>
      </c>
      <c r="G1094" s="362" t="s">
        <v>13350</v>
      </c>
      <c r="H1094" s="363">
        <v>2020</v>
      </c>
      <c r="I1094" s="378">
        <v>43817</v>
      </c>
      <c r="J1094" s="365"/>
      <c r="K1094" s="365"/>
      <c r="L1094" s="362" t="s">
        <v>13351</v>
      </c>
    </row>
    <row r="1095" spans="1:12">
      <c r="A1095" s="363" t="e">
        <f>VLOOKUP(B1095, 'PubMed 4.14.21 Results'!B:B, 1, FALSE)</f>
        <v>#N/A</v>
      </c>
      <c r="B1095" s="363">
        <v>31958288</v>
      </c>
      <c r="C1095" s="362" t="s">
        <v>13352</v>
      </c>
      <c r="D1095" s="362" t="s">
        <v>13353</v>
      </c>
      <c r="E1095" s="362" t="s">
        <v>13354</v>
      </c>
      <c r="F1095" s="362" t="s">
        <v>8153</v>
      </c>
      <c r="G1095" s="362" t="s">
        <v>13355</v>
      </c>
      <c r="H1095" s="363">
        <v>2020</v>
      </c>
      <c r="I1095" s="378">
        <v>43851</v>
      </c>
      <c r="J1095" s="434" t="s">
        <v>8154</v>
      </c>
      <c r="K1095" s="425"/>
      <c r="L1095" s="362" t="s">
        <v>13356</v>
      </c>
    </row>
    <row r="1096" spans="1:12">
      <c r="A1096" s="363">
        <f>VLOOKUP(B1096, 'PubMed 4.14.21 Results'!B:B, 1, FALSE)</f>
        <v>31982148</v>
      </c>
      <c r="B1096" s="363">
        <v>31982148</v>
      </c>
      <c r="C1096" s="362" t="s">
        <v>13357</v>
      </c>
      <c r="D1096" s="362" t="s">
        <v>13358</v>
      </c>
      <c r="E1096" s="362" t="s">
        <v>13359</v>
      </c>
      <c r="F1096" s="362" t="s">
        <v>6403</v>
      </c>
      <c r="G1096" s="362" t="s">
        <v>8640</v>
      </c>
      <c r="H1096" s="363">
        <v>2020</v>
      </c>
      <c r="I1096" s="378">
        <v>43857</v>
      </c>
      <c r="J1096" s="365"/>
      <c r="K1096" s="365"/>
      <c r="L1096" s="362" t="s">
        <v>13360</v>
      </c>
    </row>
    <row r="1097" spans="1:12">
      <c r="A1097" s="363">
        <f>VLOOKUP(B1097, 'PubMed 4.14.21 Results'!B:B, 1, FALSE)</f>
        <v>32570237</v>
      </c>
      <c r="B1097" s="363">
        <v>32570237</v>
      </c>
      <c r="C1097" s="362" t="s">
        <v>13361</v>
      </c>
      <c r="D1097" s="362" t="s">
        <v>13362</v>
      </c>
      <c r="E1097" s="362" t="s">
        <v>13363</v>
      </c>
      <c r="F1097" s="362" t="s">
        <v>7891</v>
      </c>
      <c r="G1097" s="362" t="s">
        <v>8490</v>
      </c>
      <c r="H1097" s="363">
        <v>2020</v>
      </c>
      <c r="I1097" s="378">
        <v>44005</v>
      </c>
      <c r="J1097" s="365"/>
      <c r="K1097" s="365"/>
      <c r="L1097" s="362" t="s">
        <v>13364</v>
      </c>
    </row>
    <row r="1098" spans="1:12">
      <c r="A1098" s="363">
        <f>VLOOKUP(B1098, 'PubMed 4.14.21 Results'!B:B, 1, FALSE)</f>
        <v>31900271</v>
      </c>
      <c r="B1098" s="363">
        <v>31900271</v>
      </c>
      <c r="C1098" s="362" t="s">
        <v>13365</v>
      </c>
      <c r="D1098" s="362" t="s">
        <v>13366</v>
      </c>
      <c r="E1098" s="362" t="s">
        <v>13367</v>
      </c>
      <c r="F1098" s="362" t="s">
        <v>7284</v>
      </c>
      <c r="G1098" s="362" t="s">
        <v>11650</v>
      </c>
      <c r="H1098" s="363">
        <v>2020</v>
      </c>
      <c r="I1098" s="378">
        <v>43835</v>
      </c>
      <c r="J1098" s="434" t="s">
        <v>7285</v>
      </c>
      <c r="K1098" s="425"/>
      <c r="L1098" s="362" t="s">
        <v>13368</v>
      </c>
    </row>
    <row r="1099" spans="1:12">
      <c r="A1099" s="363">
        <f>VLOOKUP(B1099, 'PubMed 4.14.21 Results'!B:B, 1, FALSE)</f>
        <v>31927782</v>
      </c>
      <c r="B1099" s="363">
        <v>31927782</v>
      </c>
      <c r="C1099" s="362" t="s">
        <v>13369</v>
      </c>
      <c r="D1099" s="362" t="s">
        <v>13370</v>
      </c>
      <c r="E1099" s="362" t="s">
        <v>13371</v>
      </c>
      <c r="F1099" s="362" t="s">
        <v>8026</v>
      </c>
      <c r="G1099" s="362" t="s">
        <v>8857</v>
      </c>
      <c r="H1099" s="363">
        <v>2020</v>
      </c>
      <c r="I1099" s="378">
        <v>43844</v>
      </c>
      <c r="J1099" s="434" t="s">
        <v>8027</v>
      </c>
      <c r="K1099" s="425"/>
      <c r="L1099" s="362" t="s">
        <v>13372</v>
      </c>
    </row>
    <row r="1100" spans="1:12">
      <c r="A1100" s="363">
        <f>VLOOKUP(B1100, 'PubMed 4.14.21 Results'!B:B, 1, FALSE)</f>
        <v>32035366</v>
      </c>
      <c r="B1100" s="363">
        <v>32035366</v>
      </c>
      <c r="C1100" s="362" t="s">
        <v>13373</v>
      </c>
      <c r="D1100" s="362" t="s">
        <v>13374</v>
      </c>
      <c r="E1100" s="362" t="s">
        <v>13375</v>
      </c>
      <c r="F1100" s="362" t="s">
        <v>7099</v>
      </c>
      <c r="G1100" s="362" t="s">
        <v>13376</v>
      </c>
      <c r="H1100" s="363">
        <v>2020</v>
      </c>
      <c r="I1100" s="378">
        <v>43870</v>
      </c>
      <c r="J1100" s="365"/>
      <c r="K1100" s="365"/>
      <c r="L1100" s="362" t="s">
        <v>13377</v>
      </c>
    </row>
    <row r="1101" spans="1:12">
      <c r="A1101" s="363">
        <f>VLOOKUP(B1101, 'PubMed 4.14.21 Results'!B:B, 1, FALSE)</f>
        <v>31712214</v>
      </c>
      <c r="B1101" s="363">
        <v>31712214</v>
      </c>
      <c r="C1101" s="362" t="s">
        <v>13378</v>
      </c>
      <c r="D1101" s="362" t="s">
        <v>13379</v>
      </c>
      <c r="E1101" s="362" t="s">
        <v>13380</v>
      </c>
      <c r="F1101" s="362" t="s">
        <v>704</v>
      </c>
      <c r="G1101" s="362" t="s">
        <v>8675</v>
      </c>
      <c r="H1101" s="363">
        <v>2020</v>
      </c>
      <c r="I1101" s="378">
        <v>43782</v>
      </c>
      <c r="J1101" s="434" t="s">
        <v>4104</v>
      </c>
      <c r="K1101" s="425"/>
      <c r="L1101" s="362" t="s">
        <v>13381</v>
      </c>
    </row>
    <row r="1102" spans="1:12">
      <c r="A1102" s="363">
        <f>VLOOKUP(B1102, 'PubMed 4.14.21 Results'!B:B, 1, FALSE)</f>
        <v>31996161</v>
      </c>
      <c r="B1102" s="363">
        <v>31996161</v>
      </c>
      <c r="C1102" s="362" t="s">
        <v>13382</v>
      </c>
      <c r="D1102" s="362" t="s">
        <v>13383</v>
      </c>
      <c r="E1102" s="362" t="s">
        <v>13384</v>
      </c>
      <c r="F1102" s="362" t="s">
        <v>6883</v>
      </c>
      <c r="G1102" s="362" t="s">
        <v>11567</v>
      </c>
      <c r="H1102" s="363">
        <v>2020</v>
      </c>
      <c r="I1102" s="378">
        <v>43861</v>
      </c>
      <c r="J1102" s="434" t="s">
        <v>6884</v>
      </c>
      <c r="K1102" s="425"/>
      <c r="L1102" s="362" t="s">
        <v>13385</v>
      </c>
    </row>
    <row r="1103" spans="1:12">
      <c r="A1103" s="363">
        <f>VLOOKUP(B1103, 'PubMed 4.14.21 Results'!B:B, 1, FALSE)</f>
        <v>31279028</v>
      </c>
      <c r="B1103" s="363">
        <v>31279028</v>
      </c>
      <c r="C1103" s="362" t="s">
        <v>13386</v>
      </c>
      <c r="D1103" s="362" t="s">
        <v>13387</v>
      </c>
      <c r="E1103" s="362" t="s">
        <v>13388</v>
      </c>
      <c r="F1103" s="362" t="s">
        <v>7045</v>
      </c>
      <c r="G1103" s="362" t="s">
        <v>9961</v>
      </c>
      <c r="H1103" s="363">
        <v>2020</v>
      </c>
      <c r="I1103" s="378">
        <v>43653</v>
      </c>
      <c r="J1103" s="365"/>
      <c r="K1103" s="365"/>
      <c r="L1103" s="362" t="s">
        <v>13389</v>
      </c>
    </row>
    <row r="1104" spans="1:12">
      <c r="A1104" s="363">
        <f>VLOOKUP(B1104, 'PubMed 4.14.21 Results'!B:B, 1, FALSE)</f>
        <v>31502239</v>
      </c>
      <c r="B1104" s="363">
        <v>31502239</v>
      </c>
      <c r="C1104" s="362" t="s">
        <v>13390</v>
      </c>
      <c r="D1104" s="362" t="s">
        <v>13391</v>
      </c>
      <c r="E1104" s="362" t="s">
        <v>13392</v>
      </c>
      <c r="F1104" s="362" t="s">
        <v>7632</v>
      </c>
      <c r="G1104" s="362" t="s">
        <v>13393</v>
      </c>
      <c r="H1104" s="363">
        <v>2020</v>
      </c>
      <c r="I1104" s="378">
        <v>43719</v>
      </c>
      <c r="J1104" s="365"/>
      <c r="K1104" s="365"/>
      <c r="L1104" s="362" t="s">
        <v>13394</v>
      </c>
    </row>
    <row r="1105" spans="1:12">
      <c r="A1105" s="363">
        <f>VLOOKUP(B1105, 'PubMed 4.14.21 Results'!B:B, 1, FALSE)</f>
        <v>31504664</v>
      </c>
      <c r="B1105" s="363">
        <v>31504664</v>
      </c>
      <c r="C1105" s="362" t="s">
        <v>13395</v>
      </c>
      <c r="D1105" s="362" t="s">
        <v>13396</v>
      </c>
      <c r="E1105" s="362" t="s">
        <v>13397</v>
      </c>
      <c r="F1105" s="362" t="s">
        <v>7137</v>
      </c>
      <c r="G1105" s="362" t="s">
        <v>13398</v>
      </c>
      <c r="H1105" s="363">
        <v>2020</v>
      </c>
      <c r="I1105" s="378">
        <v>43719</v>
      </c>
      <c r="J1105" s="434" t="s">
        <v>7138</v>
      </c>
      <c r="K1105" s="425"/>
      <c r="L1105" s="362" t="s">
        <v>13399</v>
      </c>
    </row>
    <row r="1106" spans="1:12">
      <c r="A1106" s="363">
        <f>VLOOKUP(B1106, 'PubMed 4.14.21 Results'!B:B, 1, FALSE)</f>
        <v>31539538</v>
      </c>
      <c r="B1106" s="363">
        <v>31539538</v>
      </c>
      <c r="C1106" s="362" t="s">
        <v>13400</v>
      </c>
      <c r="D1106" s="362" t="s">
        <v>13401</v>
      </c>
      <c r="E1106" s="362" t="s">
        <v>13402</v>
      </c>
      <c r="F1106" s="362" t="s">
        <v>8145</v>
      </c>
      <c r="G1106" s="362" t="s">
        <v>8597</v>
      </c>
      <c r="H1106" s="363">
        <v>2020</v>
      </c>
      <c r="I1106" s="378">
        <v>43729</v>
      </c>
      <c r="J1106" s="434" t="s">
        <v>8146</v>
      </c>
      <c r="K1106" s="425"/>
      <c r="L1106" s="362" t="s">
        <v>13403</v>
      </c>
    </row>
    <row r="1107" spans="1:12">
      <c r="A1107" s="363">
        <f>VLOOKUP(B1107, 'PubMed 4.14.21 Results'!B:B, 1, FALSE)</f>
        <v>31574543</v>
      </c>
      <c r="B1107" s="363">
        <v>31574543</v>
      </c>
      <c r="C1107" s="362" t="s">
        <v>13404</v>
      </c>
      <c r="D1107" s="362" t="s">
        <v>13405</v>
      </c>
      <c r="E1107" s="362" t="s">
        <v>13406</v>
      </c>
      <c r="F1107" s="362" t="s">
        <v>6993</v>
      </c>
      <c r="G1107" s="362" t="s">
        <v>13407</v>
      </c>
      <c r="H1107" s="363">
        <v>2020</v>
      </c>
      <c r="I1107" s="378">
        <v>43740</v>
      </c>
      <c r="J1107" s="365"/>
      <c r="K1107" s="365"/>
      <c r="L1107" s="362" t="s">
        <v>13408</v>
      </c>
    </row>
    <row r="1108" spans="1:12">
      <c r="A1108" s="363" t="e">
        <f>VLOOKUP(B1108, 'PubMed 4.14.21 Results'!B:B, 1, FALSE)</f>
        <v>#N/A</v>
      </c>
      <c r="B1108" s="363">
        <v>31605819</v>
      </c>
      <c r="C1108" s="362" t="s">
        <v>13409</v>
      </c>
      <c r="D1108" s="362" t="s">
        <v>13410</v>
      </c>
      <c r="E1108" s="362" t="s">
        <v>13411</v>
      </c>
      <c r="F1108" s="362" t="s">
        <v>8155</v>
      </c>
      <c r="G1108" s="362" t="s">
        <v>10571</v>
      </c>
      <c r="H1108" s="363">
        <v>2020</v>
      </c>
      <c r="I1108" s="378">
        <v>43751</v>
      </c>
      <c r="J1108" s="362" t="s">
        <v>8156</v>
      </c>
      <c r="K1108" s="362" t="s">
        <v>13412</v>
      </c>
      <c r="L1108" s="362" t="s">
        <v>13413</v>
      </c>
    </row>
    <row r="1109" spans="1:12">
      <c r="A1109" s="363" t="e">
        <f>VLOOKUP(B1109, 'PubMed 4.14.21 Results'!B:B, 1, FALSE)</f>
        <v>#N/A</v>
      </c>
      <c r="B1109" s="363">
        <v>31797320</v>
      </c>
      <c r="C1109" s="362" t="s">
        <v>13414</v>
      </c>
      <c r="D1109" s="362" t="s">
        <v>13415</v>
      </c>
      <c r="E1109" s="362" t="s">
        <v>13416</v>
      </c>
      <c r="F1109" s="362" t="s">
        <v>8157</v>
      </c>
      <c r="G1109" s="362" t="s">
        <v>13417</v>
      </c>
      <c r="H1109" s="363">
        <v>2020</v>
      </c>
      <c r="I1109" s="378">
        <v>43804</v>
      </c>
      <c r="J1109" s="434" t="s">
        <v>8158</v>
      </c>
      <c r="K1109" s="425"/>
      <c r="L1109" s="362" t="s">
        <v>13418</v>
      </c>
    </row>
    <row r="1110" spans="1:12">
      <c r="A1110" s="363">
        <f>VLOOKUP(B1110, 'PubMed 4.14.21 Results'!B:B, 1, FALSE)</f>
        <v>31821904</v>
      </c>
      <c r="B1110" s="363">
        <v>31821904</v>
      </c>
      <c r="C1110" s="362" t="s">
        <v>13419</v>
      </c>
      <c r="D1110" s="362" t="s">
        <v>13420</v>
      </c>
      <c r="E1110" s="362" t="s">
        <v>13421</v>
      </c>
      <c r="F1110" s="362" t="s">
        <v>8094</v>
      </c>
      <c r="G1110" s="362" t="s">
        <v>8665</v>
      </c>
      <c r="H1110" s="363">
        <v>2020</v>
      </c>
      <c r="I1110" s="378">
        <v>43810</v>
      </c>
      <c r="J1110" s="362" t="s">
        <v>8095</v>
      </c>
      <c r="K1110" s="362" t="s">
        <v>13422</v>
      </c>
      <c r="L1110" s="362" t="s">
        <v>13423</v>
      </c>
    </row>
    <row r="1111" spans="1:12">
      <c r="A1111" s="363">
        <f>VLOOKUP(B1111, 'PubMed 4.14.21 Results'!B:B, 1, FALSE)</f>
        <v>31869863</v>
      </c>
      <c r="B1111" s="363">
        <v>31869863</v>
      </c>
      <c r="C1111" s="362" t="s">
        <v>13424</v>
      </c>
      <c r="D1111" s="362" t="s">
        <v>13425</v>
      </c>
      <c r="E1111" s="362" t="s">
        <v>13426</v>
      </c>
      <c r="F1111" s="362" t="s">
        <v>7108</v>
      </c>
      <c r="G1111" s="362" t="s">
        <v>13427</v>
      </c>
      <c r="H1111" s="363">
        <v>2020</v>
      </c>
      <c r="I1111" s="378">
        <v>43823</v>
      </c>
      <c r="J1111" s="365"/>
      <c r="K1111" s="365"/>
      <c r="L1111" s="362" t="s">
        <v>13428</v>
      </c>
    </row>
    <row r="1112" spans="1:12">
      <c r="A1112" s="363">
        <f>VLOOKUP(B1112, 'PubMed 4.14.21 Results'!B:B, 1, FALSE)</f>
        <v>31924539</v>
      </c>
      <c r="B1112" s="363">
        <v>31924539</v>
      </c>
      <c r="C1112" s="362" t="s">
        <v>13429</v>
      </c>
      <c r="D1112" s="362" t="s">
        <v>13430</v>
      </c>
      <c r="E1112" s="362" t="s">
        <v>13431</v>
      </c>
      <c r="F1112" s="362" t="s">
        <v>7378</v>
      </c>
      <c r="G1112" s="362" t="s">
        <v>13432</v>
      </c>
      <c r="H1112" s="363">
        <v>2020</v>
      </c>
      <c r="I1112" s="378">
        <v>43842</v>
      </c>
      <c r="J1112" s="365"/>
      <c r="K1112" s="365"/>
      <c r="L1112" s="362" t="s">
        <v>13433</v>
      </c>
    </row>
    <row r="1113" spans="1:12">
      <c r="A1113" s="363">
        <f>VLOOKUP(B1113, 'PubMed 4.14.21 Results'!B:B, 1, FALSE)</f>
        <v>32034016</v>
      </c>
      <c r="B1113" s="363">
        <v>32034016</v>
      </c>
      <c r="C1113" s="362" t="s">
        <v>13434</v>
      </c>
      <c r="D1113" s="362" t="s">
        <v>13435</v>
      </c>
      <c r="E1113" s="362" t="s">
        <v>13436</v>
      </c>
      <c r="F1113" s="362" t="s">
        <v>8004</v>
      </c>
      <c r="G1113" s="362" t="s">
        <v>11650</v>
      </c>
      <c r="H1113" s="363">
        <v>2020</v>
      </c>
      <c r="I1113" s="378">
        <v>43870</v>
      </c>
      <c r="J1113" s="434" t="s">
        <v>8005</v>
      </c>
      <c r="K1113" s="425"/>
      <c r="L1113" s="362" t="s">
        <v>13437</v>
      </c>
    </row>
    <row r="1114" spans="1:12">
      <c r="A1114" s="363">
        <f>VLOOKUP(B1114, 'PubMed 4.14.21 Results'!B:B, 1, FALSE)</f>
        <v>32034026</v>
      </c>
      <c r="B1114" s="363">
        <v>32034026</v>
      </c>
      <c r="C1114" s="362" t="s">
        <v>13438</v>
      </c>
      <c r="D1114" s="362" t="s">
        <v>13439</v>
      </c>
      <c r="E1114" s="362" t="s">
        <v>13440</v>
      </c>
      <c r="F1114" s="362" t="s">
        <v>6461</v>
      </c>
      <c r="G1114" s="362" t="s">
        <v>11650</v>
      </c>
      <c r="H1114" s="363">
        <v>2020</v>
      </c>
      <c r="I1114" s="378">
        <v>43870</v>
      </c>
      <c r="J1114" s="434" t="s">
        <v>6462</v>
      </c>
      <c r="K1114" s="425"/>
      <c r="L1114" s="362" t="s">
        <v>13441</v>
      </c>
    </row>
    <row r="1115" spans="1:12">
      <c r="A1115" s="363">
        <f>VLOOKUP(B1115, 'PubMed 4.14.21 Results'!B:B, 1, FALSE)</f>
        <v>32071183</v>
      </c>
      <c r="B1115" s="363">
        <v>32071183</v>
      </c>
      <c r="C1115" s="362" t="s">
        <v>13442</v>
      </c>
      <c r="D1115" s="362" t="s">
        <v>13443</v>
      </c>
      <c r="E1115" s="362" t="s">
        <v>13444</v>
      </c>
      <c r="F1115" s="362" t="s">
        <v>6615</v>
      </c>
      <c r="G1115" s="362" t="s">
        <v>11650</v>
      </c>
      <c r="H1115" s="363">
        <v>2020</v>
      </c>
      <c r="I1115" s="378">
        <v>43881</v>
      </c>
      <c r="J1115" s="434" t="s">
        <v>6616</v>
      </c>
      <c r="K1115" s="425"/>
      <c r="L1115" s="362" t="s">
        <v>13445</v>
      </c>
    </row>
    <row r="1116" spans="1:12">
      <c r="A1116" s="363">
        <f>VLOOKUP(B1116, 'PubMed 4.14.21 Results'!B:B, 1, FALSE)</f>
        <v>31950853</v>
      </c>
      <c r="B1116" s="363">
        <v>31950853</v>
      </c>
      <c r="C1116" s="362" t="s">
        <v>13446</v>
      </c>
      <c r="D1116" s="362" t="s">
        <v>13447</v>
      </c>
      <c r="E1116" s="362" t="s">
        <v>13448</v>
      </c>
      <c r="F1116" s="362" t="s">
        <v>7728</v>
      </c>
      <c r="G1116" s="362" t="s">
        <v>13449</v>
      </c>
      <c r="H1116" s="363">
        <v>2020</v>
      </c>
      <c r="I1116" s="378">
        <v>43848</v>
      </c>
      <c r="J1116" s="365"/>
      <c r="K1116" s="365"/>
      <c r="L1116" s="362" t="s">
        <v>13450</v>
      </c>
    </row>
    <row r="1117" spans="1:12">
      <c r="A1117" s="363" t="e">
        <f>VLOOKUP(B1117, 'PubMed 4.14.21 Results'!B:B, 1, FALSE)</f>
        <v>#N/A</v>
      </c>
      <c r="B1117" s="363">
        <v>32037549</v>
      </c>
      <c r="C1117" s="362" t="s">
        <v>13451</v>
      </c>
      <c r="D1117" s="362" t="s">
        <v>13452</v>
      </c>
      <c r="E1117" s="362" t="s">
        <v>13453</v>
      </c>
      <c r="F1117" s="362" t="s">
        <v>8159</v>
      </c>
      <c r="G1117" s="362" t="s">
        <v>10184</v>
      </c>
      <c r="H1117" s="363">
        <v>2020</v>
      </c>
      <c r="I1117" s="378">
        <v>43872</v>
      </c>
      <c r="J1117" s="434" t="s">
        <v>8160</v>
      </c>
      <c r="K1117" s="425"/>
      <c r="L1117" s="362" t="s">
        <v>13454</v>
      </c>
    </row>
    <row r="1118" spans="1:12">
      <c r="A1118" s="363">
        <f>VLOOKUP(B1118, 'PubMed 4.14.21 Results'!B:B, 1, FALSE)</f>
        <v>32066978</v>
      </c>
      <c r="B1118" s="363">
        <v>32066978</v>
      </c>
      <c r="C1118" s="362" t="s">
        <v>13455</v>
      </c>
      <c r="D1118" s="362" t="s">
        <v>13456</v>
      </c>
      <c r="E1118" s="362" t="s">
        <v>13457</v>
      </c>
      <c r="F1118" s="362" t="s">
        <v>423</v>
      </c>
      <c r="G1118" s="362" t="s">
        <v>13458</v>
      </c>
      <c r="H1118" s="363">
        <v>2020</v>
      </c>
      <c r="I1118" s="378">
        <v>43880</v>
      </c>
      <c r="J1118" s="365"/>
      <c r="K1118" s="365"/>
      <c r="L1118" s="362" t="s">
        <v>13459</v>
      </c>
    </row>
    <row r="1119" spans="1:12">
      <c r="A1119" s="363">
        <f>VLOOKUP(B1119, 'PubMed 4.14.21 Results'!B:B, 1, FALSE)</f>
        <v>32224496</v>
      </c>
      <c r="B1119" s="363">
        <v>32224496</v>
      </c>
      <c r="C1119" s="362" t="s">
        <v>13460</v>
      </c>
      <c r="D1119" s="362" t="s">
        <v>13461</v>
      </c>
      <c r="E1119" s="362" t="s">
        <v>13462</v>
      </c>
      <c r="F1119" s="362" t="s">
        <v>6994</v>
      </c>
      <c r="G1119" s="362" t="s">
        <v>13463</v>
      </c>
      <c r="H1119" s="363">
        <v>2020</v>
      </c>
      <c r="I1119" s="378">
        <v>43922</v>
      </c>
      <c r="J1119" s="434" t="s">
        <v>6995</v>
      </c>
      <c r="K1119" s="425"/>
      <c r="L1119" s="362" t="s">
        <v>13464</v>
      </c>
    </row>
    <row r="1120" spans="1:12">
      <c r="A1120" s="363" t="e">
        <f>VLOOKUP(B1120, 'PubMed 4.14.21 Results'!B:B, 1, FALSE)</f>
        <v>#N/A</v>
      </c>
      <c r="B1120" s="363">
        <v>32226310</v>
      </c>
      <c r="C1120" s="362" t="s">
        <v>13465</v>
      </c>
      <c r="D1120" s="362" t="s">
        <v>13466</v>
      </c>
      <c r="E1120" s="362" t="s">
        <v>13467</v>
      </c>
      <c r="F1120" s="362" t="s">
        <v>8162</v>
      </c>
      <c r="G1120" s="362" t="s">
        <v>13468</v>
      </c>
      <c r="H1120" s="363">
        <v>2020</v>
      </c>
      <c r="I1120" s="378">
        <v>43922</v>
      </c>
      <c r="J1120" s="434" t="s">
        <v>8163</v>
      </c>
      <c r="K1120" s="425"/>
      <c r="L1120" s="362" t="s">
        <v>13469</v>
      </c>
    </row>
    <row r="1121" spans="1:12">
      <c r="A1121" s="363">
        <f>VLOOKUP(B1121, 'PubMed 4.14.21 Results'!B:B, 1, FALSE)</f>
        <v>31978221</v>
      </c>
      <c r="B1121" s="363">
        <v>31978221</v>
      </c>
      <c r="C1121" s="362" t="s">
        <v>13470</v>
      </c>
      <c r="D1121" s="362" t="s">
        <v>13471</v>
      </c>
      <c r="E1121" s="362" t="s">
        <v>13472</v>
      </c>
      <c r="F1121" s="362" t="s">
        <v>7701</v>
      </c>
      <c r="G1121" s="362" t="s">
        <v>8540</v>
      </c>
      <c r="H1121" s="363">
        <v>2020</v>
      </c>
      <c r="I1121" s="378">
        <v>43855</v>
      </c>
      <c r="J1121" s="434" t="s">
        <v>7702</v>
      </c>
      <c r="K1121" s="425"/>
      <c r="L1121" s="362" t="s">
        <v>13473</v>
      </c>
    </row>
    <row r="1122" spans="1:12">
      <c r="A1122" s="363">
        <f>VLOOKUP(B1122, 'PubMed 4.14.21 Results'!B:B, 1, FALSE)</f>
        <v>32229520</v>
      </c>
      <c r="B1122" s="363">
        <v>32229520</v>
      </c>
      <c r="C1122" s="362" t="s">
        <v>13474</v>
      </c>
      <c r="D1122" s="362" t="s">
        <v>13475</v>
      </c>
      <c r="E1122" s="362" t="s">
        <v>13476</v>
      </c>
      <c r="F1122" s="362" t="s">
        <v>7275</v>
      </c>
      <c r="G1122" s="362" t="s">
        <v>11650</v>
      </c>
      <c r="H1122" s="363">
        <v>2020</v>
      </c>
      <c r="I1122" s="378">
        <v>43923</v>
      </c>
      <c r="J1122" s="434" t="s">
        <v>7276</v>
      </c>
      <c r="K1122" s="425"/>
      <c r="L1122" s="362" t="s">
        <v>13477</v>
      </c>
    </row>
    <row r="1123" spans="1:12">
      <c r="A1123" s="363" t="e">
        <f>VLOOKUP(B1123, 'PubMed 4.14.21 Results'!B:B, 1, FALSE)</f>
        <v>#N/A</v>
      </c>
      <c r="B1123" s="363">
        <v>31066013</v>
      </c>
      <c r="C1123" s="362" t="s">
        <v>13478</v>
      </c>
      <c r="D1123" s="362" t="s">
        <v>13479</v>
      </c>
      <c r="E1123" s="362" t="s">
        <v>13480</v>
      </c>
      <c r="F1123" s="362" t="s">
        <v>8165</v>
      </c>
      <c r="G1123" s="362" t="s">
        <v>10491</v>
      </c>
      <c r="H1123" s="363">
        <v>2020</v>
      </c>
      <c r="I1123" s="378">
        <v>43594</v>
      </c>
      <c r="J1123" s="365"/>
      <c r="K1123" s="365"/>
      <c r="L1123" s="362" t="s">
        <v>13481</v>
      </c>
    </row>
    <row r="1124" spans="1:12">
      <c r="A1124" s="363">
        <f>VLOOKUP(B1124, 'PubMed 4.14.21 Results'!B:B, 1, FALSE)</f>
        <v>31952923</v>
      </c>
      <c r="B1124" s="363">
        <v>31952923</v>
      </c>
      <c r="C1124" s="362" t="s">
        <v>13482</v>
      </c>
      <c r="D1124" s="362" t="s">
        <v>13483</v>
      </c>
      <c r="E1124" s="362" t="s">
        <v>13484</v>
      </c>
      <c r="F1124" s="362" t="s">
        <v>6668</v>
      </c>
      <c r="G1124" s="362" t="s">
        <v>10976</v>
      </c>
      <c r="H1124" s="363">
        <v>2020</v>
      </c>
      <c r="I1124" s="378">
        <v>43849</v>
      </c>
      <c r="J1124" s="365"/>
      <c r="K1124" s="365"/>
      <c r="L1124" s="362" t="s">
        <v>13485</v>
      </c>
    </row>
    <row r="1125" spans="1:12">
      <c r="A1125" s="363">
        <f>VLOOKUP(B1125, 'PubMed 4.14.21 Results'!B:B, 1, FALSE)</f>
        <v>31988012</v>
      </c>
      <c r="B1125" s="363">
        <v>31988012</v>
      </c>
      <c r="C1125" s="362" t="s">
        <v>13486</v>
      </c>
      <c r="D1125" s="362" t="s">
        <v>13487</v>
      </c>
      <c r="E1125" s="362" t="s">
        <v>13488</v>
      </c>
      <c r="F1125" s="362" t="s">
        <v>7904</v>
      </c>
      <c r="G1125" s="362" t="s">
        <v>9465</v>
      </c>
      <c r="H1125" s="363">
        <v>2020</v>
      </c>
      <c r="I1125" s="378">
        <v>43859</v>
      </c>
      <c r="J1125" s="365"/>
      <c r="K1125" s="365"/>
      <c r="L1125" s="362" t="s">
        <v>13489</v>
      </c>
    </row>
    <row r="1126" spans="1:12">
      <c r="A1126" s="363">
        <f>VLOOKUP(B1126, 'PubMed 4.14.21 Results'!B:B, 1, FALSE)</f>
        <v>32147025</v>
      </c>
      <c r="B1126" s="363">
        <v>32147025</v>
      </c>
      <c r="C1126" s="362" t="s">
        <v>13490</v>
      </c>
      <c r="D1126" s="362" t="s">
        <v>13491</v>
      </c>
      <c r="E1126" s="362" t="s">
        <v>13492</v>
      </c>
      <c r="F1126" s="362" t="s">
        <v>6711</v>
      </c>
      <c r="G1126" s="362" t="s">
        <v>13493</v>
      </c>
      <c r="H1126" s="363">
        <v>2020</v>
      </c>
      <c r="I1126" s="378">
        <v>43900</v>
      </c>
      <c r="J1126" s="365"/>
      <c r="K1126" s="365"/>
      <c r="L1126" s="362" t="s">
        <v>13494</v>
      </c>
    </row>
    <row r="1127" spans="1:12">
      <c r="A1127" s="363">
        <f>VLOOKUP(B1127, 'PubMed 4.14.21 Results'!B:B, 1, FALSE)</f>
        <v>32327163</v>
      </c>
      <c r="B1127" s="363">
        <v>32327163</v>
      </c>
      <c r="C1127" s="362" t="s">
        <v>13495</v>
      </c>
      <c r="D1127" s="362" t="s">
        <v>13496</v>
      </c>
      <c r="E1127" s="362" t="s">
        <v>13497</v>
      </c>
      <c r="F1127" s="362" t="s">
        <v>6932</v>
      </c>
      <c r="G1127" s="362" t="s">
        <v>9659</v>
      </c>
      <c r="H1127" s="363">
        <v>2020</v>
      </c>
      <c r="I1127" s="378">
        <v>43946</v>
      </c>
      <c r="J1127" s="365"/>
      <c r="K1127" s="365"/>
      <c r="L1127" s="362" t="s">
        <v>13498</v>
      </c>
    </row>
    <row r="1128" spans="1:12">
      <c r="A1128" s="363">
        <f>VLOOKUP(B1128, 'PubMed 4.14.21 Results'!B:B, 1, FALSE)</f>
        <v>32297320</v>
      </c>
      <c r="B1128" s="363">
        <v>32297320</v>
      </c>
      <c r="C1128" s="362" t="s">
        <v>13499</v>
      </c>
      <c r="D1128" s="362" t="s">
        <v>13500</v>
      </c>
      <c r="E1128" s="362" t="s">
        <v>13501</v>
      </c>
      <c r="F1128" s="362" t="s">
        <v>6588</v>
      </c>
      <c r="G1128" s="362" t="s">
        <v>8857</v>
      </c>
      <c r="H1128" s="363">
        <v>2020</v>
      </c>
      <c r="I1128" s="378">
        <v>43938</v>
      </c>
      <c r="J1128" s="434" t="s">
        <v>6589</v>
      </c>
      <c r="K1128" s="425"/>
      <c r="L1128" s="362" t="s">
        <v>13502</v>
      </c>
    </row>
    <row r="1129" spans="1:12">
      <c r="A1129" s="363">
        <f>VLOOKUP(B1129, 'PubMed 4.14.21 Results'!B:B, 1, FALSE)</f>
        <v>32334570</v>
      </c>
      <c r="B1129" s="363">
        <v>32334570</v>
      </c>
      <c r="C1129" s="362" t="s">
        <v>13503</v>
      </c>
      <c r="D1129" s="362" t="s">
        <v>13504</v>
      </c>
      <c r="E1129" s="362" t="s">
        <v>13505</v>
      </c>
      <c r="F1129" s="362" t="s">
        <v>7736</v>
      </c>
      <c r="G1129" s="362" t="s">
        <v>11567</v>
      </c>
      <c r="H1129" s="363">
        <v>2020</v>
      </c>
      <c r="I1129" s="378">
        <v>43948</v>
      </c>
      <c r="J1129" s="434" t="s">
        <v>7737</v>
      </c>
      <c r="K1129" s="425"/>
      <c r="L1129" s="362" t="s">
        <v>13506</v>
      </c>
    </row>
    <row r="1130" spans="1:12">
      <c r="A1130" s="363">
        <f>VLOOKUP(B1130, 'PubMed 4.14.21 Results'!B:B, 1, FALSE)</f>
        <v>31996895</v>
      </c>
      <c r="B1130" s="363">
        <v>31996895</v>
      </c>
      <c r="C1130" s="362" t="s">
        <v>13507</v>
      </c>
      <c r="D1130" s="362" t="s">
        <v>13508</v>
      </c>
      <c r="E1130" s="362" t="s">
        <v>13509</v>
      </c>
      <c r="F1130" s="362" t="s">
        <v>7433</v>
      </c>
      <c r="G1130" s="362" t="s">
        <v>13510</v>
      </c>
      <c r="H1130" s="363">
        <v>2020</v>
      </c>
      <c r="I1130" s="378">
        <v>43861</v>
      </c>
      <c r="J1130" s="365"/>
      <c r="K1130" s="365"/>
      <c r="L1130" s="362" t="s">
        <v>13511</v>
      </c>
    </row>
    <row r="1131" spans="1:12">
      <c r="A1131" s="363" t="e">
        <f>VLOOKUP(B1131, 'PubMed 4.14.21 Results'!B:B, 1, FALSE)</f>
        <v>#N/A</v>
      </c>
      <c r="B1131" s="363">
        <v>31466119</v>
      </c>
      <c r="C1131" s="362" t="s">
        <v>13512</v>
      </c>
      <c r="D1131" s="362" t="s">
        <v>13513</v>
      </c>
      <c r="E1131" s="362" t="s">
        <v>13514</v>
      </c>
      <c r="F1131" s="362" t="s">
        <v>8166</v>
      </c>
      <c r="G1131" s="362" t="s">
        <v>8963</v>
      </c>
      <c r="H1131" s="363">
        <v>2020</v>
      </c>
      <c r="I1131" s="378">
        <v>43707</v>
      </c>
      <c r="J1131" s="365"/>
      <c r="K1131" s="365"/>
      <c r="L1131" s="362" t="s">
        <v>13515</v>
      </c>
    </row>
    <row r="1132" spans="1:12">
      <c r="A1132" s="363">
        <f>VLOOKUP(B1132, 'PubMed 4.14.21 Results'!B:B, 1, FALSE)</f>
        <v>31899506</v>
      </c>
      <c r="B1132" s="363">
        <v>31899506</v>
      </c>
      <c r="C1132" s="362" t="s">
        <v>13516</v>
      </c>
      <c r="D1132" s="362" t="s">
        <v>13517</v>
      </c>
      <c r="E1132" s="362" t="s">
        <v>13518</v>
      </c>
      <c r="F1132" s="362" t="s">
        <v>6770</v>
      </c>
      <c r="G1132" s="362" t="s">
        <v>8787</v>
      </c>
      <c r="H1132" s="363">
        <v>2020</v>
      </c>
      <c r="I1132" s="378">
        <v>43834</v>
      </c>
      <c r="J1132" s="365"/>
      <c r="K1132" s="365"/>
      <c r="L1132" s="362" t="s">
        <v>13519</v>
      </c>
    </row>
    <row r="1133" spans="1:12">
      <c r="A1133" s="363">
        <f>VLOOKUP(B1133, 'PubMed 4.14.21 Results'!B:B, 1, FALSE)</f>
        <v>32063522</v>
      </c>
      <c r="B1133" s="363">
        <v>32063522</v>
      </c>
      <c r="C1133" s="362" t="s">
        <v>13520</v>
      </c>
      <c r="D1133" s="362" t="s">
        <v>13521</v>
      </c>
      <c r="E1133" s="362" t="s">
        <v>13522</v>
      </c>
      <c r="F1133" s="362" t="s">
        <v>7195</v>
      </c>
      <c r="G1133" s="362" t="s">
        <v>13350</v>
      </c>
      <c r="H1133" s="363">
        <v>2020</v>
      </c>
      <c r="I1133" s="378">
        <v>43879</v>
      </c>
      <c r="J1133" s="365"/>
      <c r="K1133" s="365"/>
      <c r="L1133" s="362" t="s">
        <v>13523</v>
      </c>
    </row>
    <row r="1134" spans="1:12">
      <c r="A1134" s="363" t="e">
        <f>VLOOKUP(B1134, 'PubMed 4.14.21 Results'!B:B, 1, FALSE)</f>
        <v>#N/A</v>
      </c>
      <c r="B1134" s="363">
        <v>32916291</v>
      </c>
      <c r="C1134" s="362" t="s">
        <v>13524</v>
      </c>
      <c r="D1134" s="362" t="s">
        <v>13525</v>
      </c>
      <c r="E1134" s="362" t="s">
        <v>13526</v>
      </c>
      <c r="F1134" s="362" t="s">
        <v>8168</v>
      </c>
      <c r="G1134" s="362" t="s">
        <v>13527</v>
      </c>
      <c r="H1134" s="363">
        <v>2020</v>
      </c>
      <c r="I1134" s="378">
        <v>44085</v>
      </c>
      <c r="J1134" s="365"/>
      <c r="K1134" s="365"/>
      <c r="L1134" s="362" t="s">
        <v>13528</v>
      </c>
    </row>
    <row r="1135" spans="1:12">
      <c r="A1135" s="363">
        <f>VLOOKUP(B1135, 'PubMed 4.14.21 Results'!B:B, 1, FALSE)</f>
        <v>32187464</v>
      </c>
      <c r="B1135" s="363">
        <v>32187464</v>
      </c>
      <c r="C1135" s="362" t="s">
        <v>13529</v>
      </c>
      <c r="D1135" s="362" t="s">
        <v>13530</v>
      </c>
      <c r="E1135" s="362" t="s">
        <v>13531</v>
      </c>
      <c r="F1135" s="362" t="s">
        <v>6610</v>
      </c>
      <c r="G1135" s="362" t="s">
        <v>8514</v>
      </c>
      <c r="H1135" s="363">
        <v>2020</v>
      </c>
      <c r="I1135" s="378">
        <v>43909</v>
      </c>
      <c r="J1135" s="434" t="s">
        <v>6611</v>
      </c>
      <c r="K1135" s="425"/>
      <c r="L1135" s="362" t="s">
        <v>13532</v>
      </c>
    </row>
    <row r="1136" spans="1:12">
      <c r="A1136" s="363">
        <f>VLOOKUP(B1136, 'PubMed 4.14.21 Results'!B:B, 1, FALSE)</f>
        <v>32378196</v>
      </c>
      <c r="B1136" s="363">
        <v>32378196</v>
      </c>
      <c r="C1136" s="362" t="s">
        <v>13533</v>
      </c>
      <c r="D1136" s="362" t="s">
        <v>13534</v>
      </c>
      <c r="E1136" s="362" t="s">
        <v>13535</v>
      </c>
      <c r="F1136" s="362" t="s">
        <v>7754</v>
      </c>
      <c r="G1136" s="362" t="s">
        <v>8857</v>
      </c>
      <c r="H1136" s="363">
        <v>2020</v>
      </c>
      <c r="I1136" s="378">
        <v>43959</v>
      </c>
      <c r="J1136" s="434" t="s">
        <v>7755</v>
      </c>
      <c r="K1136" s="425"/>
      <c r="L1136" s="362" t="s">
        <v>13536</v>
      </c>
    </row>
    <row r="1137" spans="1:12">
      <c r="A1137" s="363">
        <f>VLOOKUP(B1137, 'PubMed 4.14.21 Results'!B:B, 1, FALSE)</f>
        <v>32423584</v>
      </c>
      <c r="B1137" s="363">
        <v>32423584</v>
      </c>
      <c r="C1137" s="362" t="s">
        <v>13537</v>
      </c>
      <c r="D1137" s="362" t="s">
        <v>13538</v>
      </c>
      <c r="E1137" s="362" t="s">
        <v>13539</v>
      </c>
      <c r="F1137" s="362" t="s">
        <v>8041</v>
      </c>
      <c r="G1137" s="362" t="s">
        <v>9420</v>
      </c>
      <c r="H1137" s="363">
        <v>2020</v>
      </c>
      <c r="I1137" s="378">
        <v>43971</v>
      </c>
      <c r="J1137" s="434" t="s">
        <v>8042</v>
      </c>
      <c r="K1137" s="425"/>
      <c r="L1137" s="362" t="s">
        <v>13540</v>
      </c>
    </row>
    <row r="1138" spans="1:12">
      <c r="A1138" s="363">
        <f>VLOOKUP(B1138, 'PubMed 4.14.21 Results'!B:B, 1, FALSE)</f>
        <v>32481322</v>
      </c>
      <c r="B1138" s="363">
        <v>32481322</v>
      </c>
      <c r="C1138" s="362" t="s">
        <v>13541</v>
      </c>
      <c r="D1138" s="362" t="s">
        <v>13542</v>
      </c>
      <c r="E1138" s="362" t="s">
        <v>13543</v>
      </c>
      <c r="F1138" s="362" t="s">
        <v>7669</v>
      </c>
      <c r="G1138" s="362" t="s">
        <v>11908</v>
      </c>
      <c r="H1138" s="363">
        <v>2020</v>
      </c>
      <c r="I1138" s="378">
        <v>43985</v>
      </c>
      <c r="J1138" s="434" t="s">
        <v>7670</v>
      </c>
      <c r="K1138" s="425"/>
      <c r="L1138" s="362" t="s">
        <v>13544</v>
      </c>
    </row>
    <row r="1139" spans="1:12">
      <c r="A1139" s="363" t="e">
        <f>VLOOKUP(B1139, 'PubMed 4.14.21 Results'!B:B, 1, FALSE)</f>
        <v>#N/A</v>
      </c>
      <c r="B1139" s="363">
        <v>31418143</v>
      </c>
      <c r="C1139" s="362" t="s">
        <v>13545</v>
      </c>
      <c r="D1139" s="362" t="s">
        <v>13546</v>
      </c>
      <c r="E1139" s="362" t="s">
        <v>13547</v>
      </c>
      <c r="F1139" s="362" t="s">
        <v>8170</v>
      </c>
      <c r="G1139" s="362" t="s">
        <v>9916</v>
      </c>
      <c r="H1139" s="363">
        <v>2020</v>
      </c>
      <c r="I1139" s="378">
        <v>43694</v>
      </c>
      <c r="J1139" s="434" t="s">
        <v>8171</v>
      </c>
      <c r="K1139" s="425"/>
      <c r="L1139" s="362" t="s">
        <v>13548</v>
      </c>
    </row>
    <row r="1140" spans="1:12">
      <c r="A1140" s="363" t="e">
        <f>VLOOKUP(B1140, 'PubMed 4.14.21 Results'!B:B, 1, FALSE)</f>
        <v>#N/A</v>
      </c>
      <c r="B1140" s="363">
        <v>31518715</v>
      </c>
      <c r="C1140" s="362" t="s">
        <v>13549</v>
      </c>
      <c r="D1140" s="362" t="s">
        <v>13550</v>
      </c>
      <c r="E1140" s="362" t="s">
        <v>13551</v>
      </c>
      <c r="F1140" s="362" t="s">
        <v>8173</v>
      </c>
      <c r="G1140" s="362" t="s">
        <v>13552</v>
      </c>
      <c r="H1140" s="363">
        <v>2020</v>
      </c>
      <c r="I1140" s="378">
        <v>43722</v>
      </c>
      <c r="J1140" s="365"/>
      <c r="K1140" s="365"/>
      <c r="L1140" s="362" t="s">
        <v>13553</v>
      </c>
    </row>
    <row r="1141" spans="1:12">
      <c r="A1141" s="363" t="e">
        <f>VLOOKUP(B1141, 'PubMed 4.14.21 Results'!B:B, 1, FALSE)</f>
        <v>#N/A</v>
      </c>
      <c r="B1141" s="363">
        <v>31558670</v>
      </c>
      <c r="C1141" s="362" t="s">
        <v>13554</v>
      </c>
      <c r="D1141" s="362" t="s">
        <v>13555</v>
      </c>
      <c r="E1141" s="362" t="s">
        <v>13556</v>
      </c>
      <c r="F1141" s="362" t="s">
        <v>8174</v>
      </c>
      <c r="G1141" s="362" t="s">
        <v>10129</v>
      </c>
      <c r="H1141" s="363">
        <v>2020</v>
      </c>
      <c r="I1141" s="378">
        <v>43736</v>
      </c>
      <c r="J1141" s="434" t="s">
        <v>8175</v>
      </c>
      <c r="K1141" s="425"/>
      <c r="L1141" s="362" t="s">
        <v>13557</v>
      </c>
    </row>
    <row r="1142" spans="1:12">
      <c r="A1142" s="363" t="e">
        <f>VLOOKUP(B1142, 'PubMed 4.14.21 Results'!B:B, 1, FALSE)</f>
        <v>#N/A</v>
      </c>
      <c r="B1142" s="363">
        <v>32027072</v>
      </c>
      <c r="C1142" s="362" t="s">
        <v>13558</v>
      </c>
      <c r="D1142" s="362" t="s">
        <v>13559</v>
      </c>
      <c r="E1142" s="362" t="s">
        <v>13560</v>
      </c>
      <c r="F1142" s="362" t="s">
        <v>8177</v>
      </c>
      <c r="G1142" s="362" t="s">
        <v>13561</v>
      </c>
      <c r="H1142" s="363">
        <v>2020</v>
      </c>
      <c r="I1142" s="378">
        <v>43868</v>
      </c>
      <c r="J1142" s="434" t="s">
        <v>8178</v>
      </c>
      <c r="K1142" s="425"/>
      <c r="L1142" s="362" t="s">
        <v>13562</v>
      </c>
    </row>
    <row r="1143" spans="1:12">
      <c r="A1143" s="363" t="e">
        <f>VLOOKUP(B1143, 'PubMed 4.14.21 Results'!B:B, 1, FALSE)</f>
        <v>#N/A</v>
      </c>
      <c r="B1143" s="363">
        <v>32145647</v>
      </c>
      <c r="C1143" s="362" t="s">
        <v>13563</v>
      </c>
      <c r="D1143" s="362" t="s">
        <v>13564</v>
      </c>
      <c r="E1143" s="362" t="s">
        <v>13565</v>
      </c>
      <c r="F1143" s="362" t="s">
        <v>8180</v>
      </c>
      <c r="G1143" s="362" t="s">
        <v>9855</v>
      </c>
      <c r="H1143" s="363">
        <v>2020</v>
      </c>
      <c r="I1143" s="378">
        <v>43898</v>
      </c>
      <c r="J1143" s="362" t="s">
        <v>8181</v>
      </c>
      <c r="K1143" s="362" t="s">
        <v>13566</v>
      </c>
      <c r="L1143" s="362" t="s">
        <v>13567</v>
      </c>
    </row>
    <row r="1144" spans="1:12">
      <c r="A1144" s="363">
        <f>VLOOKUP(B1144, 'PubMed 4.14.21 Results'!B:B, 1, FALSE)</f>
        <v>32194150</v>
      </c>
      <c r="B1144" s="363">
        <v>32194150</v>
      </c>
      <c r="C1144" s="362" t="s">
        <v>13568</v>
      </c>
      <c r="D1144" s="362" t="s">
        <v>13569</v>
      </c>
      <c r="E1144" s="362" t="s">
        <v>13570</v>
      </c>
      <c r="F1144" s="362" t="s">
        <v>7003</v>
      </c>
      <c r="G1144" s="362" t="s">
        <v>11137</v>
      </c>
      <c r="H1144" s="363">
        <v>2020</v>
      </c>
      <c r="I1144" s="378">
        <v>43911</v>
      </c>
      <c r="J1144" s="365"/>
      <c r="K1144" s="365"/>
      <c r="L1144" s="362" t="s">
        <v>13571</v>
      </c>
    </row>
    <row r="1145" spans="1:12">
      <c r="A1145" s="363">
        <f>VLOOKUP(B1145, 'PubMed 4.14.21 Results'!B:B, 1, FALSE)</f>
        <v>32234572</v>
      </c>
      <c r="B1145" s="363">
        <v>32234572</v>
      </c>
      <c r="C1145" s="362" t="s">
        <v>13572</v>
      </c>
      <c r="D1145" s="362" t="s">
        <v>13573</v>
      </c>
      <c r="E1145" s="362" t="s">
        <v>13574</v>
      </c>
      <c r="F1145" s="362" t="s">
        <v>7780</v>
      </c>
      <c r="G1145" s="362" t="s">
        <v>13575</v>
      </c>
      <c r="H1145" s="363">
        <v>2020</v>
      </c>
      <c r="I1145" s="378">
        <v>43924</v>
      </c>
      <c r="J1145" s="365"/>
      <c r="K1145" s="365"/>
      <c r="L1145" s="362" t="s">
        <v>13576</v>
      </c>
    </row>
    <row r="1146" spans="1:12">
      <c r="A1146" s="363" t="e">
        <f>VLOOKUP(B1146, 'PubMed 4.14.21 Results'!B:B, 1, FALSE)</f>
        <v>#N/A</v>
      </c>
      <c r="B1146" s="363">
        <v>32532839</v>
      </c>
      <c r="C1146" s="362" t="s">
        <v>13577</v>
      </c>
      <c r="D1146" s="362" t="s">
        <v>13578</v>
      </c>
      <c r="E1146" s="362" t="s">
        <v>13579</v>
      </c>
      <c r="F1146" s="362" t="s">
        <v>7003</v>
      </c>
      <c r="G1146" s="362" t="s">
        <v>13580</v>
      </c>
      <c r="H1146" s="363">
        <v>2020</v>
      </c>
      <c r="I1146" s="378">
        <v>43996</v>
      </c>
      <c r="J1146" s="434" t="s">
        <v>8182</v>
      </c>
      <c r="K1146" s="425"/>
      <c r="L1146" s="362" t="s">
        <v>13581</v>
      </c>
    </row>
    <row r="1147" spans="1:12">
      <c r="A1147" s="363">
        <f>VLOOKUP(B1147, 'PubMed 4.14.21 Results'!B:B, 1, FALSE)</f>
        <v>32513308</v>
      </c>
      <c r="B1147" s="363">
        <v>32513308</v>
      </c>
      <c r="C1147" s="362" t="s">
        <v>13582</v>
      </c>
      <c r="D1147" s="362" t="s">
        <v>13583</v>
      </c>
      <c r="E1147" s="362" t="s">
        <v>13584</v>
      </c>
      <c r="F1147" s="362" t="s">
        <v>6800</v>
      </c>
      <c r="G1147" s="362" t="s">
        <v>9906</v>
      </c>
      <c r="H1147" s="363">
        <v>2020</v>
      </c>
      <c r="I1147" s="378">
        <v>43992</v>
      </c>
      <c r="J1147" s="434" t="s">
        <v>6801</v>
      </c>
      <c r="K1147" s="425"/>
      <c r="L1147" s="362" t="s">
        <v>13585</v>
      </c>
    </row>
    <row r="1148" spans="1:12">
      <c r="A1148" s="363">
        <f>VLOOKUP(B1148, 'PubMed 4.14.21 Results'!B:B, 1, FALSE)</f>
        <v>32533666</v>
      </c>
      <c r="B1148" s="363">
        <v>32533666</v>
      </c>
      <c r="C1148" s="362" t="s">
        <v>13586</v>
      </c>
      <c r="D1148" s="362" t="s">
        <v>13587</v>
      </c>
      <c r="E1148" s="362" t="s">
        <v>13588</v>
      </c>
      <c r="F1148" s="362" t="s">
        <v>7782</v>
      </c>
      <c r="G1148" s="362" t="s">
        <v>13589</v>
      </c>
      <c r="H1148" s="363">
        <v>2020</v>
      </c>
      <c r="I1148" s="378">
        <v>43996</v>
      </c>
      <c r="J1148" s="365"/>
      <c r="K1148" s="365"/>
      <c r="L1148" s="362" t="s">
        <v>13590</v>
      </c>
    </row>
    <row r="1149" spans="1:12">
      <c r="A1149" s="363">
        <f>VLOOKUP(B1149, 'PubMed 4.14.21 Results'!B:B, 1, FALSE)</f>
        <v>32544159</v>
      </c>
      <c r="B1149" s="363">
        <v>32544159</v>
      </c>
      <c r="C1149" s="362" t="s">
        <v>13591</v>
      </c>
      <c r="D1149" s="362" t="s">
        <v>13592</v>
      </c>
      <c r="E1149" s="362" t="s">
        <v>13593</v>
      </c>
      <c r="F1149" s="362" t="s">
        <v>7986</v>
      </c>
      <c r="G1149" s="362" t="s">
        <v>11097</v>
      </c>
      <c r="H1149" s="363">
        <v>2020</v>
      </c>
      <c r="I1149" s="378">
        <v>43999</v>
      </c>
      <c r="J1149" s="434" t="s">
        <v>7987</v>
      </c>
      <c r="K1149" s="425"/>
      <c r="L1149" s="362" t="s">
        <v>13594</v>
      </c>
    </row>
    <row r="1150" spans="1:12">
      <c r="A1150" s="363">
        <f>VLOOKUP(B1150, 'PubMed 4.14.21 Results'!B:B, 1, FALSE)</f>
        <v>32379955</v>
      </c>
      <c r="B1150" s="363">
        <v>32379955</v>
      </c>
      <c r="C1150" s="362" t="s">
        <v>13595</v>
      </c>
      <c r="D1150" s="362" t="s">
        <v>13596</v>
      </c>
      <c r="E1150" s="362" t="s">
        <v>13597</v>
      </c>
      <c r="F1150" s="362" t="s">
        <v>6921</v>
      </c>
      <c r="G1150" s="362" t="s">
        <v>8514</v>
      </c>
      <c r="H1150" s="363">
        <v>2020</v>
      </c>
      <c r="I1150" s="378">
        <v>43959</v>
      </c>
      <c r="J1150" s="434" t="s">
        <v>6922</v>
      </c>
      <c r="K1150" s="425"/>
      <c r="L1150" s="362" t="s">
        <v>13598</v>
      </c>
    </row>
    <row r="1151" spans="1:12">
      <c r="A1151" s="363">
        <f>VLOOKUP(B1151, 'PubMed 4.14.21 Results'!B:B, 1, FALSE)</f>
        <v>32565483</v>
      </c>
      <c r="B1151" s="363">
        <v>32565483</v>
      </c>
      <c r="C1151" s="362" t="s">
        <v>13599</v>
      </c>
      <c r="D1151" s="362" t="s">
        <v>13600</v>
      </c>
      <c r="E1151" s="362" t="s">
        <v>13601</v>
      </c>
      <c r="F1151" s="362" t="s">
        <v>7831</v>
      </c>
      <c r="G1151" s="362" t="s">
        <v>11650</v>
      </c>
      <c r="H1151" s="363">
        <v>2020</v>
      </c>
      <c r="I1151" s="378">
        <v>44005</v>
      </c>
      <c r="J1151" s="434" t="s">
        <v>7832</v>
      </c>
      <c r="K1151" s="425"/>
      <c r="L1151" s="362" t="s">
        <v>13602</v>
      </c>
    </row>
    <row r="1152" spans="1:12">
      <c r="A1152" s="363">
        <f>VLOOKUP(B1152, 'PubMed 4.14.21 Results'!B:B, 1, FALSE)</f>
        <v>32569275</v>
      </c>
      <c r="B1152" s="363">
        <v>32569275</v>
      </c>
      <c r="C1152" s="362" t="s">
        <v>13603</v>
      </c>
      <c r="D1152" s="362" t="s">
        <v>13604</v>
      </c>
      <c r="E1152" s="362" t="s">
        <v>13605</v>
      </c>
      <c r="F1152" s="362" t="s">
        <v>7564</v>
      </c>
      <c r="G1152" s="362" t="s">
        <v>11097</v>
      </c>
      <c r="H1152" s="363">
        <v>2020</v>
      </c>
      <c r="I1152" s="378">
        <v>44005</v>
      </c>
      <c r="J1152" s="434" t="s">
        <v>7565</v>
      </c>
      <c r="K1152" s="425"/>
      <c r="L1152" s="362" t="s">
        <v>13606</v>
      </c>
    </row>
    <row r="1153" spans="1:12">
      <c r="A1153" s="363">
        <f>VLOOKUP(B1153, 'PubMed 4.14.21 Results'!B:B, 1, FALSE)</f>
        <v>32393496</v>
      </c>
      <c r="B1153" s="363">
        <v>32393496</v>
      </c>
      <c r="C1153" s="362" t="s">
        <v>13607</v>
      </c>
      <c r="D1153" s="362" t="s">
        <v>13608</v>
      </c>
      <c r="E1153" s="362" t="s">
        <v>13609</v>
      </c>
      <c r="F1153" s="362" t="s">
        <v>7272</v>
      </c>
      <c r="G1153" s="362" t="s">
        <v>8675</v>
      </c>
      <c r="H1153" s="363">
        <v>2020</v>
      </c>
      <c r="I1153" s="378">
        <v>43964</v>
      </c>
      <c r="J1153" s="434" t="s">
        <v>6291</v>
      </c>
      <c r="K1153" s="425"/>
      <c r="L1153" s="362" t="s">
        <v>13610</v>
      </c>
    </row>
    <row r="1154" spans="1:12">
      <c r="A1154" s="363">
        <f>VLOOKUP(B1154, 'PubMed 4.14.21 Results'!B:B, 1, FALSE)</f>
        <v>32605578</v>
      </c>
      <c r="B1154" s="363">
        <v>32605578</v>
      </c>
      <c r="C1154" s="362" t="s">
        <v>13611</v>
      </c>
      <c r="D1154" s="362" t="s">
        <v>13612</v>
      </c>
      <c r="E1154" s="362" t="s">
        <v>13613</v>
      </c>
      <c r="F1154" s="362" t="s">
        <v>6467</v>
      </c>
      <c r="G1154" s="362" t="s">
        <v>9906</v>
      </c>
      <c r="H1154" s="363">
        <v>2020</v>
      </c>
      <c r="I1154" s="378">
        <v>44014</v>
      </c>
      <c r="J1154" s="434" t="s">
        <v>6468</v>
      </c>
      <c r="K1154" s="425"/>
      <c r="L1154" s="362" t="s">
        <v>13614</v>
      </c>
    </row>
    <row r="1155" spans="1:12">
      <c r="A1155" s="363" t="e">
        <f>VLOOKUP(B1155, 'PubMed 4.14.21 Results'!B:B, 1, FALSE)</f>
        <v>#N/A</v>
      </c>
      <c r="B1155" s="363">
        <v>31675442</v>
      </c>
      <c r="C1155" s="362" t="s">
        <v>13615</v>
      </c>
      <c r="D1155" s="362" t="s">
        <v>13616</v>
      </c>
      <c r="E1155" s="362" t="s">
        <v>13617</v>
      </c>
      <c r="F1155" s="362" t="s">
        <v>8183</v>
      </c>
      <c r="G1155" s="362" t="s">
        <v>8963</v>
      </c>
      <c r="H1155" s="363">
        <v>2020</v>
      </c>
      <c r="I1155" s="378">
        <v>43771</v>
      </c>
      <c r="J1155" s="365"/>
      <c r="K1155" s="365"/>
      <c r="L1155" s="362" t="s">
        <v>13618</v>
      </c>
    </row>
    <row r="1156" spans="1:12">
      <c r="A1156" s="363">
        <f>VLOOKUP(B1156, 'PubMed 4.14.21 Results'!B:B, 1, FALSE)</f>
        <v>31701238</v>
      </c>
      <c r="B1156" s="363">
        <v>31701238</v>
      </c>
      <c r="C1156" s="362" t="s">
        <v>13619</v>
      </c>
      <c r="D1156" s="362" t="s">
        <v>13620</v>
      </c>
      <c r="E1156" s="362" t="s">
        <v>13621</v>
      </c>
      <c r="F1156" s="362" t="s">
        <v>7617</v>
      </c>
      <c r="G1156" s="362" t="s">
        <v>13622</v>
      </c>
      <c r="H1156" s="363">
        <v>2020</v>
      </c>
      <c r="I1156" s="378">
        <v>43778</v>
      </c>
      <c r="J1156" s="365"/>
      <c r="K1156" s="365"/>
      <c r="L1156" s="362" t="s">
        <v>13623</v>
      </c>
    </row>
    <row r="1157" spans="1:12">
      <c r="A1157" s="363" t="e">
        <f>VLOOKUP(B1157, 'PubMed 4.14.21 Results'!B:B, 1, FALSE)</f>
        <v>#N/A</v>
      </c>
      <c r="B1157" s="363">
        <v>32003224</v>
      </c>
      <c r="C1157" s="362" t="s">
        <v>13624</v>
      </c>
      <c r="D1157" s="362" t="s">
        <v>13625</v>
      </c>
      <c r="E1157" s="362" t="s">
        <v>13626</v>
      </c>
      <c r="F1157" s="362" t="s">
        <v>8184</v>
      </c>
      <c r="G1157" s="362" t="s">
        <v>13627</v>
      </c>
      <c r="H1157" s="363">
        <v>2020</v>
      </c>
      <c r="I1157" s="378">
        <v>43862</v>
      </c>
      <c r="J1157" s="362" t="s">
        <v>8185</v>
      </c>
      <c r="K1157" s="362" t="s">
        <v>13628</v>
      </c>
      <c r="L1157" s="362" t="s">
        <v>13629</v>
      </c>
    </row>
    <row r="1158" spans="1:12">
      <c r="A1158" s="363">
        <f>VLOOKUP(B1158, 'PubMed 4.14.21 Results'!B:B, 1, FALSE)</f>
        <v>32350571</v>
      </c>
      <c r="B1158" s="363">
        <v>32350571</v>
      </c>
      <c r="C1158" s="362" t="s">
        <v>13630</v>
      </c>
      <c r="D1158" s="362" t="s">
        <v>13631</v>
      </c>
      <c r="E1158" s="362" t="s">
        <v>13632</v>
      </c>
      <c r="F1158" s="362" t="s">
        <v>7556</v>
      </c>
      <c r="G1158" s="362" t="s">
        <v>13633</v>
      </c>
      <c r="H1158" s="363">
        <v>2020</v>
      </c>
      <c r="I1158" s="378">
        <v>43952</v>
      </c>
      <c r="J1158" s="434" t="s">
        <v>7557</v>
      </c>
      <c r="K1158" s="425"/>
      <c r="L1158" s="362" t="s">
        <v>13634</v>
      </c>
    </row>
    <row r="1159" spans="1:12">
      <c r="A1159" s="363">
        <f>VLOOKUP(B1159, 'PubMed 4.14.21 Results'!B:B, 1, FALSE)</f>
        <v>32360583</v>
      </c>
      <c r="B1159" s="363">
        <v>32360583</v>
      </c>
      <c r="C1159" s="362" t="s">
        <v>13635</v>
      </c>
      <c r="D1159" s="362" t="s">
        <v>13636</v>
      </c>
      <c r="E1159" s="362" t="s">
        <v>13637</v>
      </c>
      <c r="F1159" s="362" t="s">
        <v>8137</v>
      </c>
      <c r="G1159" s="362" t="s">
        <v>13638</v>
      </c>
      <c r="H1159" s="363">
        <v>2020</v>
      </c>
      <c r="I1159" s="378">
        <v>43955</v>
      </c>
      <c r="J1159" s="434" t="s">
        <v>8138</v>
      </c>
      <c r="K1159" s="425"/>
      <c r="L1159" s="362" t="s">
        <v>13639</v>
      </c>
    </row>
    <row r="1160" spans="1:12">
      <c r="A1160" s="363">
        <f>VLOOKUP(B1160, 'PubMed 4.14.21 Results'!B:B, 1, FALSE)</f>
        <v>32441894</v>
      </c>
      <c r="B1160" s="363">
        <v>32441894</v>
      </c>
      <c r="C1160" s="362" t="s">
        <v>13640</v>
      </c>
      <c r="D1160" s="362" t="s">
        <v>13641</v>
      </c>
      <c r="E1160" s="362" t="s">
        <v>13642</v>
      </c>
      <c r="F1160" s="362" t="s">
        <v>6829</v>
      </c>
      <c r="G1160" s="362" t="s">
        <v>13643</v>
      </c>
      <c r="H1160" s="363">
        <v>2020</v>
      </c>
      <c r="I1160" s="378">
        <v>43974</v>
      </c>
      <c r="J1160" s="434" t="s">
        <v>5611</v>
      </c>
      <c r="K1160" s="425"/>
      <c r="L1160" s="362" t="s">
        <v>13644</v>
      </c>
    </row>
    <row r="1161" spans="1:12">
      <c r="A1161" s="363">
        <f>VLOOKUP(B1161, 'PubMed 4.14.21 Results'!B:B, 1, FALSE)</f>
        <v>32514626</v>
      </c>
      <c r="B1161" s="363">
        <v>32514626</v>
      </c>
      <c r="C1161" s="362" t="s">
        <v>13645</v>
      </c>
      <c r="D1161" s="362" t="s">
        <v>13646</v>
      </c>
      <c r="E1161" s="362" t="s">
        <v>13647</v>
      </c>
      <c r="F1161" s="362" t="s">
        <v>7862</v>
      </c>
      <c r="G1161" s="362" t="s">
        <v>13345</v>
      </c>
      <c r="H1161" s="363">
        <v>2020</v>
      </c>
      <c r="I1161" s="378">
        <v>43992</v>
      </c>
      <c r="J1161" s="434" t="s">
        <v>7863</v>
      </c>
      <c r="K1161" s="425"/>
      <c r="L1161" s="362" t="s">
        <v>13648</v>
      </c>
    </row>
    <row r="1162" spans="1:12">
      <c r="A1162" s="363">
        <f>VLOOKUP(B1162, 'PubMed 4.14.21 Results'!B:B, 1, FALSE)</f>
        <v>32755231</v>
      </c>
      <c r="B1162" s="363">
        <v>32755231</v>
      </c>
      <c r="C1162" s="362" t="s">
        <v>13649</v>
      </c>
      <c r="D1162" s="362" t="s">
        <v>13650</v>
      </c>
      <c r="E1162" s="362" t="s">
        <v>13651</v>
      </c>
      <c r="F1162" s="362" t="s">
        <v>7569</v>
      </c>
      <c r="G1162" s="362" t="s">
        <v>13652</v>
      </c>
      <c r="H1162" s="363">
        <v>2020</v>
      </c>
      <c r="I1162" s="378">
        <v>44050</v>
      </c>
      <c r="J1162" s="434" t="s">
        <v>7570</v>
      </c>
      <c r="K1162" s="425"/>
      <c r="L1162" s="362" t="s">
        <v>13653</v>
      </c>
    </row>
    <row r="1163" spans="1:12">
      <c r="A1163" s="363">
        <f>VLOOKUP(B1163, 'PubMed 4.14.21 Results'!B:B, 1, FALSE)</f>
        <v>32788015</v>
      </c>
      <c r="B1163" s="363">
        <v>32788015</v>
      </c>
      <c r="C1163" s="362" t="s">
        <v>13654</v>
      </c>
      <c r="D1163" s="362" t="s">
        <v>13655</v>
      </c>
      <c r="E1163" s="362" t="s">
        <v>13656</v>
      </c>
      <c r="F1163" s="362" t="s">
        <v>6847</v>
      </c>
      <c r="G1163" s="362" t="s">
        <v>13657</v>
      </c>
      <c r="H1163" s="363">
        <v>2020</v>
      </c>
      <c r="I1163" s="378">
        <v>44057</v>
      </c>
      <c r="J1163" s="365"/>
      <c r="K1163" s="365"/>
      <c r="L1163" s="362" t="s">
        <v>13658</v>
      </c>
    </row>
    <row r="1164" spans="1:12">
      <c r="A1164" s="363">
        <f>VLOOKUP(B1164, 'PubMed 4.14.21 Results'!B:B, 1, FALSE)</f>
        <v>32444482</v>
      </c>
      <c r="B1164" s="363">
        <v>32444482</v>
      </c>
      <c r="C1164" s="362" t="s">
        <v>13659</v>
      </c>
      <c r="D1164" s="362" t="s">
        <v>13660</v>
      </c>
      <c r="E1164" s="362" t="s">
        <v>13661</v>
      </c>
      <c r="F1164" s="362" t="s">
        <v>6762</v>
      </c>
      <c r="G1164" s="362" t="s">
        <v>9398</v>
      </c>
      <c r="H1164" s="363">
        <v>2020</v>
      </c>
      <c r="I1164" s="378">
        <v>43975</v>
      </c>
      <c r="J1164" s="434" t="s">
        <v>6763</v>
      </c>
      <c r="K1164" s="425"/>
      <c r="L1164" s="362" t="s">
        <v>13662</v>
      </c>
    </row>
    <row r="1165" spans="1:12">
      <c r="A1165" s="363">
        <f>VLOOKUP(B1165, 'PubMed 4.14.21 Results'!B:B, 1, FALSE)</f>
        <v>32632956</v>
      </c>
      <c r="B1165" s="363">
        <v>32632956</v>
      </c>
      <c r="C1165" s="362" t="s">
        <v>13663</v>
      </c>
      <c r="D1165" s="362" t="s">
        <v>13664</v>
      </c>
      <c r="E1165" s="362" t="s">
        <v>13665</v>
      </c>
      <c r="F1165" s="362" t="s">
        <v>7974</v>
      </c>
      <c r="G1165" s="362" t="s">
        <v>8857</v>
      </c>
      <c r="H1165" s="363">
        <v>2020</v>
      </c>
      <c r="I1165" s="378">
        <v>44020</v>
      </c>
      <c r="J1165" s="434" t="s">
        <v>7975</v>
      </c>
      <c r="K1165" s="425"/>
      <c r="L1165" s="362" t="s">
        <v>13666</v>
      </c>
    </row>
    <row r="1166" spans="1:12">
      <c r="A1166" s="363">
        <f>VLOOKUP(B1166, 'PubMed 4.14.21 Results'!B:B, 1, FALSE)</f>
        <v>32641148</v>
      </c>
      <c r="B1166" s="363">
        <v>32641148</v>
      </c>
      <c r="C1166" s="362" t="s">
        <v>13667</v>
      </c>
      <c r="D1166" s="362" t="s">
        <v>13668</v>
      </c>
      <c r="E1166" s="362" t="s">
        <v>13669</v>
      </c>
      <c r="F1166" s="362" t="s">
        <v>7469</v>
      </c>
      <c r="G1166" s="362" t="s">
        <v>11166</v>
      </c>
      <c r="H1166" s="363">
        <v>2020</v>
      </c>
      <c r="I1166" s="378">
        <v>44022</v>
      </c>
      <c r="J1166" s="434" t="s">
        <v>7470</v>
      </c>
      <c r="K1166" s="425"/>
      <c r="L1166" s="362" t="s">
        <v>13670</v>
      </c>
    </row>
    <row r="1167" spans="1:12">
      <c r="A1167" s="363">
        <f>VLOOKUP(B1167, 'PubMed 4.14.21 Results'!B:B, 1, FALSE)</f>
        <v>32791733</v>
      </c>
      <c r="B1167" s="363">
        <v>32791733</v>
      </c>
      <c r="C1167" s="362" t="s">
        <v>13671</v>
      </c>
      <c r="D1167" s="362" t="s">
        <v>13672</v>
      </c>
      <c r="E1167" s="362" t="s">
        <v>13673</v>
      </c>
      <c r="F1167" s="362" t="s">
        <v>6772</v>
      </c>
      <c r="G1167" s="362" t="s">
        <v>11908</v>
      </c>
      <c r="H1167" s="363">
        <v>2020</v>
      </c>
      <c r="I1167" s="378">
        <v>44058</v>
      </c>
      <c r="J1167" s="434" t="s">
        <v>6773</v>
      </c>
      <c r="K1167" s="425"/>
      <c r="L1167" s="362" t="s">
        <v>13674</v>
      </c>
    </row>
    <row r="1168" spans="1:12">
      <c r="A1168" s="363">
        <f>VLOOKUP(B1168, 'PubMed 4.14.21 Results'!B:B, 1, FALSE)</f>
        <v>32077553</v>
      </c>
      <c r="B1168" s="363">
        <v>32077553</v>
      </c>
      <c r="C1168" s="362" t="s">
        <v>13675</v>
      </c>
      <c r="D1168" s="362" t="s">
        <v>13676</v>
      </c>
      <c r="E1168" s="362" t="s">
        <v>13677</v>
      </c>
      <c r="F1168" s="362" t="s">
        <v>6529</v>
      </c>
      <c r="G1168" s="362" t="s">
        <v>13678</v>
      </c>
      <c r="H1168" s="363">
        <v>2020</v>
      </c>
      <c r="I1168" s="378">
        <v>43882</v>
      </c>
      <c r="J1168" s="365"/>
      <c r="K1168" s="365"/>
      <c r="L1168" s="362" t="s">
        <v>13679</v>
      </c>
    </row>
    <row r="1169" spans="1:12">
      <c r="A1169" s="363">
        <f>VLOOKUP(B1169, 'PubMed 4.14.21 Results'!B:B, 1, FALSE)</f>
        <v>32166390</v>
      </c>
      <c r="B1169" s="363">
        <v>32166390</v>
      </c>
      <c r="C1169" s="362" t="s">
        <v>13680</v>
      </c>
      <c r="D1169" s="362" t="s">
        <v>13681</v>
      </c>
      <c r="E1169" s="362" t="s">
        <v>13682</v>
      </c>
      <c r="F1169" s="362" t="s">
        <v>7431</v>
      </c>
      <c r="G1169" s="362" t="s">
        <v>12686</v>
      </c>
      <c r="H1169" s="363">
        <v>2020</v>
      </c>
      <c r="I1169" s="378">
        <v>43904</v>
      </c>
      <c r="J1169" s="365"/>
      <c r="K1169" s="365"/>
      <c r="L1169" s="362" t="s">
        <v>13683</v>
      </c>
    </row>
    <row r="1170" spans="1:12">
      <c r="A1170" s="363">
        <f>VLOOKUP(B1170, 'PubMed 4.14.21 Results'!B:B, 1, FALSE)</f>
        <v>32317559</v>
      </c>
      <c r="B1170" s="363">
        <v>32317559</v>
      </c>
      <c r="C1170" s="362" t="s">
        <v>13684</v>
      </c>
      <c r="D1170" s="362" t="s">
        <v>13685</v>
      </c>
      <c r="E1170" s="362" t="s">
        <v>13686</v>
      </c>
      <c r="F1170" s="362" t="s">
        <v>7977</v>
      </c>
      <c r="G1170" s="362" t="s">
        <v>13687</v>
      </c>
      <c r="H1170" s="363">
        <v>2020</v>
      </c>
      <c r="I1170" s="378">
        <v>43944</v>
      </c>
      <c r="J1170" s="434" t="s">
        <v>7978</v>
      </c>
      <c r="K1170" s="425"/>
      <c r="L1170" s="362" t="s">
        <v>13688</v>
      </c>
    </row>
    <row r="1171" spans="1:12">
      <c r="A1171" s="363">
        <f>VLOOKUP(B1171, 'PubMed 4.14.21 Results'!B:B, 1, FALSE)</f>
        <v>32781984</v>
      </c>
      <c r="B1171" s="363">
        <v>32781984</v>
      </c>
      <c r="C1171" s="362" t="s">
        <v>13689</v>
      </c>
      <c r="D1171" s="362" t="s">
        <v>13690</v>
      </c>
      <c r="E1171" s="362" t="s">
        <v>13691</v>
      </c>
      <c r="F1171" s="362" t="s">
        <v>7057</v>
      </c>
      <c r="G1171" s="362" t="s">
        <v>13692</v>
      </c>
      <c r="H1171" s="363">
        <v>2020</v>
      </c>
      <c r="I1171" s="378">
        <v>44056</v>
      </c>
      <c r="J1171" s="434" t="s">
        <v>7058</v>
      </c>
      <c r="K1171" s="425"/>
      <c r="L1171" s="362" t="s">
        <v>13693</v>
      </c>
    </row>
    <row r="1172" spans="1:12">
      <c r="A1172" s="363">
        <f>VLOOKUP(B1172, 'PubMed 4.14.21 Results'!B:B, 1, FALSE)</f>
        <v>32591466</v>
      </c>
      <c r="B1172" s="363">
        <v>32591466</v>
      </c>
      <c r="C1172" s="362" t="s">
        <v>13694</v>
      </c>
      <c r="D1172" s="362" t="s">
        <v>13695</v>
      </c>
      <c r="E1172" s="362" t="s">
        <v>13696</v>
      </c>
      <c r="F1172" s="362" t="s">
        <v>7454</v>
      </c>
      <c r="G1172" s="362" t="s">
        <v>9821</v>
      </c>
      <c r="H1172" s="363">
        <v>2020</v>
      </c>
      <c r="I1172" s="378">
        <v>44010</v>
      </c>
      <c r="J1172" s="434" t="s">
        <v>5633</v>
      </c>
      <c r="K1172" s="425"/>
      <c r="L1172" s="362" t="s">
        <v>13697</v>
      </c>
    </row>
    <row r="1173" spans="1:12">
      <c r="A1173" s="363">
        <f>VLOOKUP(B1173, 'PubMed 4.14.21 Results'!B:B, 1, FALSE)</f>
        <v>32813272</v>
      </c>
      <c r="B1173" s="363">
        <v>32813272</v>
      </c>
      <c r="C1173" s="362" t="s">
        <v>13698</v>
      </c>
      <c r="D1173" s="362" t="s">
        <v>13699</v>
      </c>
      <c r="E1173" s="362" t="s">
        <v>13700</v>
      </c>
      <c r="F1173" s="362" t="s">
        <v>6477</v>
      </c>
      <c r="G1173" s="362" t="s">
        <v>8857</v>
      </c>
      <c r="H1173" s="363">
        <v>2020</v>
      </c>
      <c r="I1173" s="378">
        <v>44063</v>
      </c>
      <c r="J1173" s="434" t="s">
        <v>6478</v>
      </c>
      <c r="K1173" s="425"/>
      <c r="L1173" s="362" t="s">
        <v>13701</v>
      </c>
    </row>
    <row r="1174" spans="1:12">
      <c r="A1174" s="363">
        <f>VLOOKUP(B1174, 'PubMed 4.14.21 Results'!B:B, 1, FALSE)</f>
        <v>32822347</v>
      </c>
      <c r="B1174" s="363">
        <v>32822347</v>
      </c>
      <c r="C1174" s="362" t="s">
        <v>13702</v>
      </c>
      <c r="D1174" s="362" t="s">
        <v>13703</v>
      </c>
      <c r="E1174" s="362" t="s">
        <v>13704</v>
      </c>
      <c r="F1174" s="362" t="s">
        <v>1404</v>
      </c>
      <c r="G1174" s="362" t="s">
        <v>10148</v>
      </c>
      <c r="H1174" s="363">
        <v>2020</v>
      </c>
      <c r="I1174" s="378">
        <v>44065</v>
      </c>
      <c r="J1174" s="434" t="s">
        <v>4253</v>
      </c>
      <c r="K1174" s="425"/>
      <c r="L1174" s="362" t="s">
        <v>13705</v>
      </c>
    </row>
    <row r="1175" spans="1:12">
      <c r="A1175" s="363" t="e">
        <f>VLOOKUP(B1175, 'PubMed 4.14.21 Results'!B:B, 1, FALSE)</f>
        <v>#N/A</v>
      </c>
      <c r="B1175" s="363">
        <v>32133525</v>
      </c>
      <c r="C1175" s="362" t="s">
        <v>13706</v>
      </c>
      <c r="D1175" s="362" t="s">
        <v>13707</v>
      </c>
      <c r="E1175" s="362" t="s">
        <v>13708</v>
      </c>
      <c r="F1175" s="362" t="s">
        <v>8186</v>
      </c>
      <c r="G1175" s="362" t="s">
        <v>13709</v>
      </c>
      <c r="H1175" s="363">
        <v>2020</v>
      </c>
      <c r="I1175" s="378">
        <v>43896</v>
      </c>
      <c r="J1175" s="434" t="s">
        <v>8187</v>
      </c>
      <c r="K1175" s="425"/>
      <c r="L1175" s="362" t="s">
        <v>13710</v>
      </c>
    </row>
    <row r="1176" spans="1:12">
      <c r="A1176" s="363" t="e">
        <f>VLOOKUP(B1176, 'PubMed 4.14.21 Results'!B:B, 1, FALSE)</f>
        <v>#N/A</v>
      </c>
      <c r="B1176" s="363">
        <v>31645371</v>
      </c>
      <c r="C1176" s="362" t="s">
        <v>13711</v>
      </c>
      <c r="D1176" s="362" t="s">
        <v>13712</v>
      </c>
      <c r="E1176" s="362" t="s">
        <v>13713</v>
      </c>
      <c r="F1176" s="362" t="s">
        <v>8188</v>
      </c>
      <c r="G1176" s="362" t="s">
        <v>10116</v>
      </c>
      <c r="H1176" s="363">
        <v>2020</v>
      </c>
      <c r="I1176" s="378">
        <v>43763</v>
      </c>
      <c r="J1176" s="434" t="s">
        <v>8189</v>
      </c>
      <c r="K1176" s="425"/>
      <c r="L1176" s="362" t="s">
        <v>13714</v>
      </c>
    </row>
    <row r="1177" spans="1:12">
      <c r="A1177" s="363" t="e">
        <f>VLOOKUP(B1177, 'PubMed 4.14.21 Results'!B:B, 1, FALSE)</f>
        <v>#N/A</v>
      </c>
      <c r="B1177" s="363">
        <v>32074665</v>
      </c>
      <c r="C1177" s="362" t="s">
        <v>13715</v>
      </c>
      <c r="D1177" s="362" t="s">
        <v>13716</v>
      </c>
      <c r="E1177" s="362" t="s">
        <v>13717</v>
      </c>
      <c r="F1177" s="362" t="s">
        <v>8190</v>
      </c>
      <c r="G1177" s="362" t="s">
        <v>10426</v>
      </c>
      <c r="H1177" s="363">
        <v>2020</v>
      </c>
      <c r="I1177" s="378">
        <v>43881</v>
      </c>
      <c r="J1177" s="434" t="s">
        <v>8191</v>
      </c>
      <c r="K1177" s="425"/>
      <c r="L1177" s="362" t="s">
        <v>13718</v>
      </c>
    </row>
    <row r="1178" spans="1:12">
      <c r="A1178" s="363">
        <f>VLOOKUP(B1178, 'PubMed 4.14.21 Results'!B:B, 1, FALSE)</f>
        <v>32511687</v>
      </c>
      <c r="B1178" s="363">
        <v>32511687</v>
      </c>
      <c r="C1178" s="362" t="s">
        <v>13719</v>
      </c>
      <c r="D1178" s="362" t="s">
        <v>13720</v>
      </c>
      <c r="E1178" s="362" t="s">
        <v>13721</v>
      </c>
      <c r="F1178" s="362" t="s">
        <v>7155</v>
      </c>
      <c r="G1178" s="362" t="s">
        <v>11982</v>
      </c>
      <c r="H1178" s="363">
        <v>2020</v>
      </c>
      <c r="I1178" s="378">
        <v>43991</v>
      </c>
      <c r="J1178" s="434" t="s">
        <v>7156</v>
      </c>
      <c r="K1178" s="425"/>
      <c r="L1178" s="362" t="s">
        <v>13722</v>
      </c>
    </row>
    <row r="1179" spans="1:12">
      <c r="A1179" s="363" t="e">
        <f>VLOOKUP(B1179, 'PubMed 4.14.21 Results'!B:B, 1, FALSE)</f>
        <v>#N/A</v>
      </c>
      <c r="B1179" s="363">
        <v>32654884</v>
      </c>
      <c r="C1179" s="362" t="s">
        <v>13723</v>
      </c>
      <c r="D1179" s="362" t="s">
        <v>13724</v>
      </c>
      <c r="E1179" s="362" t="s">
        <v>13725</v>
      </c>
      <c r="F1179" s="362" t="s">
        <v>8192</v>
      </c>
      <c r="G1179" s="362" t="s">
        <v>13726</v>
      </c>
      <c r="H1179" s="363">
        <v>2020</v>
      </c>
      <c r="I1179" s="378">
        <v>44026</v>
      </c>
      <c r="J1179" s="362" t="s">
        <v>8193</v>
      </c>
      <c r="K1179" s="362" t="s">
        <v>13727</v>
      </c>
      <c r="L1179" s="362" t="s">
        <v>13728</v>
      </c>
    </row>
    <row r="1180" spans="1:12">
      <c r="A1180" s="363">
        <f>VLOOKUP(B1180, 'PubMed 4.14.21 Results'!B:B, 1, FALSE)</f>
        <v>32614699</v>
      </c>
      <c r="B1180" s="363">
        <v>32614699</v>
      </c>
      <c r="C1180" s="362" t="s">
        <v>13729</v>
      </c>
      <c r="D1180" s="362" t="s">
        <v>13730</v>
      </c>
      <c r="E1180" s="362" t="s">
        <v>13731</v>
      </c>
      <c r="F1180" s="362" t="s">
        <v>7829</v>
      </c>
      <c r="G1180" s="362" t="s">
        <v>8547</v>
      </c>
      <c r="H1180" s="363">
        <v>2020</v>
      </c>
      <c r="I1180" s="378">
        <v>44015</v>
      </c>
      <c r="J1180" s="365"/>
      <c r="K1180" s="365"/>
      <c r="L1180" s="362" t="s">
        <v>13732</v>
      </c>
    </row>
    <row r="1181" spans="1:12">
      <c r="A1181" s="363">
        <f>VLOOKUP(B1181, 'PubMed 4.14.21 Results'!B:B, 1, FALSE)</f>
        <v>32925778</v>
      </c>
      <c r="B1181" s="363">
        <v>32925778</v>
      </c>
      <c r="C1181" s="362" t="s">
        <v>13733</v>
      </c>
      <c r="D1181" s="362" t="s">
        <v>13734</v>
      </c>
      <c r="E1181" s="362" t="s">
        <v>13735</v>
      </c>
      <c r="F1181" s="362" t="s">
        <v>8096</v>
      </c>
      <c r="G1181" s="362" t="s">
        <v>11908</v>
      </c>
      <c r="H1181" s="363">
        <v>2020</v>
      </c>
      <c r="I1181" s="378">
        <v>44088</v>
      </c>
      <c r="J1181" s="434" t="s">
        <v>8097</v>
      </c>
      <c r="K1181" s="425"/>
      <c r="L1181" s="362" t="s">
        <v>13736</v>
      </c>
    </row>
    <row r="1182" spans="1:12">
      <c r="A1182" s="363">
        <f>VLOOKUP(B1182, 'PubMed 4.14.21 Results'!B:B, 1, FALSE)</f>
        <v>32936948</v>
      </c>
      <c r="B1182" s="363">
        <v>32936948</v>
      </c>
      <c r="C1182" s="362" t="s">
        <v>13737</v>
      </c>
      <c r="D1182" s="362" t="s">
        <v>13738</v>
      </c>
      <c r="E1182" s="362" t="s">
        <v>13739</v>
      </c>
      <c r="F1182" s="362" t="s">
        <v>6592</v>
      </c>
      <c r="G1182" s="362" t="s">
        <v>8857</v>
      </c>
      <c r="H1182" s="363">
        <v>2020</v>
      </c>
      <c r="I1182" s="378">
        <v>44090</v>
      </c>
      <c r="J1182" s="434" t="s">
        <v>13740</v>
      </c>
      <c r="K1182" s="425"/>
      <c r="L1182" s="362" t="s">
        <v>13741</v>
      </c>
    </row>
    <row r="1183" spans="1:12">
      <c r="A1183" s="363">
        <f>VLOOKUP(B1183, 'PubMed 4.14.21 Results'!B:B, 1, FALSE)</f>
        <v>32936949</v>
      </c>
      <c r="B1183" s="363">
        <v>32936949</v>
      </c>
      <c r="C1183" s="362" t="s">
        <v>13742</v>
      </c>
      <c r="D1183" s="362" t="s">
        <v>13738</v>
      </c>
      <c r="E1183" s="362" t="s">
        <v>13743</v>
      </c>
      <c r="F1183" s="362" t="s">
        <v>6592</v>
      </c>
      <c r="G1183" s="362" t="s">
        <v>8857</v>
      </c>
      <c r="H1183" s="363">
        <v>2020</v>
      </c>
      <c r="I1183" s="378">
        <v>44090</v>
      </c>
      <c r="J1183" s="434" t="s">
        <v>13744</v>
      </c>
      <c r="K1183" s="425"/>
      <c r="L1183" s="362" t="s">
        <v>13745</v>
      </c>
    </row>
    <row r="1184" spans="1:12">
      <c r="A1184" s="363">
        <f>VLOOKUP(B1184, 'PubMed 4.14.21 Results'!B:B, 1, FALSE)</f>
        <v>32938444</v>
      </c>
      <c r="B1184" s="363">
        <v>32938444</v>
      </c>
      <c r="C1184" s="362" t="s">
        <v>13746</v>
      </c>
      <c r="D1184" s="362" t="s">
        <v>13747</v>
      </c>
      <c r="E1184" s="362" t="s">
        <v>13748</v>
      </c>
      <c r="F1184" s="362" t="s">
        <v>1071</v>
      </c>
      <c r="G1184" s="362" t="s">
        <v>11228</v>
      </c>
      <c r="H1184" s="363">
        <v>2020</v>
      </c>
      <c r="I1184" s="378">
        <v>44091</v>
      </c>
      <c r="J1184" s="434" t="s">
        <v>4174</v>
      </c>
      <c r="K1184" s="425"/>
      <c r="L1184" s="362" t="s">
        <v>13749</v>
      </c>
    </row>
    <row r="1185" spans="1:12">
      <c r="A1185" s="363" t="e">
        <f>VLOOKUP(B1185, 'PubMed 4.14.21 Results'!B:B, 1, FALSE)</f>
        <v>#N/A</v>
      </c>
      <c r="B1185" s="363">
        <v>32690640</v>
      </c>
      <c r="C1185" s="362" t="s">
        <v>13750</v>
      </c>
      <c r="D1185" s="362" t="s">
        <v>13751</v>
      </c>
      <c r="E1185" s="362" t="s">
        <v>13752</v>
      </c>
      <c r="F1185" s="362" t="s">
        <v>8194</v>
      </c>
      <c r="G1185" s="362" t="s">
        <v>8675</v>
      </c>
      <c r="H1185" s="363">
        <v>2020</v>
      </c>
      <c r="I1185" s="378">
        <v>44034</v>
      </c>
      <c r="J1185" s="434" t="s">
        <v>8195</v>
      </c>
      <c r="K1185" s="425"/>
      <c r="L1185" s="362" t="s">
        <v>13753</v>
      </c>
    </row>
    <row r="1186" spans="1:12">
      <c r="A1186" s="363" t="e">
        <f>VLOOKUP(B1186, 'PubMed 4.14.21 Results'!B:B, 1, FALSE)</f>
        <v>#N/A</v>
      </c>
      <c r="B1186" s="363">
        <v>32515543</v>
      </c>
      <c r="C1186" s="362" t="s">
        <v>13754</v>
      </c>
      <c r="D1186" s="362" t="s">
        <v>13755</v>
      </c>
      <c r="E1186" s="362" t="s">
        <v>13756</v>
      </c>
      <c r="F1186" s="362" t="s">
        <v>8196</v>
      </c>
      <c r="G1186" s="362" t="s">
        <v>10486</v>
      </c>
      <c r="H1186" s="363">
        <v>2020</v>
      </c>
      <c r="I1186" s="378">
        <v>43992</v>
      </c>
      <c r="J1186" s="434" t="s">
        <v>8197</v>
      </c>
      <c r="K1186" s="425"/>
      <c r="L1186" s="362" t="s">
        <v>13757</v>
      </c>
    </row>
    <row r="1187" spans="1:12">
      <c r="A1187" s="363">
        <f>VLOOKUP(B1187, 'PubMed 4.14.21 Results'!B:B, 1, FALSE)</f>
        <v>32674594</v>
      </c>
      <c r="B1187" s="363">
        <v>32674594</v>
      </c>
      <c r="C1187" s="362" t="s">
        <v>13758</v>
      </c>
      <c r="D1187" s="362" t="s">
        <v>13759</v>
      </c>
      <c r="E1187" s="362" t="s">
        <v>13760</v>
      </c>
      <c r="F1187" s="362" t="s">
        <v>6776</v>
      </c>
      <c r="G1187" s="362" t="s">
        <v>10970</v>
      </c>
      <c r="H1187" s="363">
        <v>2020</v>
      </c>
      <c r="I1187" s="378">
        <v>44030</v>
      </c>
      <c r="J1187" s="365"/>
      <c r="K1187" s="365"/>
      <c r="L1187" s="362" t="s">
        <v>13761</v>
      </c>
    </row>
    <row r="1188" spans="1:12">
      <c r="A1188" s="363">
        <f>VLOOKUP(B1188, 'PubMed 4.14.21 Results'!B:B, 1, FALSE)</f>
        <v>32702315</v>
      </c>
      <c r="B1188" s="363">
        <v>32702315</v>
      </c>
      <c r="C1188" s="362" t="s">
        <v>13762</v>
      </c>
      <c r="D1188" s="362" t="s">
        <v>13763</v>
      </c>
      <c r="E1188" s="362" t="s">
        <v>13764</v>
      </c>
      <c r="F1188" s="362" t="s">
        <v>7548</v>
      </c>
      <c r="G1188" s="362" t="s">
        <v>13765</v>
      </c>
      <c r="H1188" s="363">
        <v>2020</v>
      </c>
      <c r="I1188" s="378">
        <v>44036</v>
      </c>
      <c r="J1188" s="365"/>
      <c r="K1188" s="365"/>
      <c r="L1188" s="362" t="s">
        <v>13766</v>
      </c>
    </row>
    <row r="1189" spans="1:12">
      <c r="A1189" s="363" t="e">
        <f>VLOOKUP(B1189, 'PubMed 4.14.21 Results'!B:B, 1, FALSE)</f>
        <v>#N/A</v>
      </c>
      <c r="B1189" s="363">
        <v>32717759</v>
      </c>
      <c r="C1189" s="362" t="s">
        <v>13767</v>
      </c>
      <c r="D1189" s="362" t="s">
        <v>13768</v>
      </c>
      <c r="E1189" s="362" t="s">
        <v>13769</v>
      </c>
      <c r="F1189" s="362" t="s">
        <v>8198</v>
      </c>
      <c r="G1189" s="362" t="s">
        <v>8584</v>
      </c>
      <c r="H1189" s="363">
        <v>2020</v>
      </c>
      <c r="I1189" s="378">
        <v>44040</v>
      </c>
      <c r="J1189" s="434" t="s">
        <v>8199</v>
      </c>
      <c r="K1189" s="425"/>
      <c r="L1189" s="362" t="s">
        <v>13770</v>
      </c>
    </row>
    <row r="1190" spans="1:12">
      <c r="A1190" s="363">
        <f>VLOOKUP(B1190, 'PubMed 4.14.21 Results'!B:B, 1, FALSE)</f>
        <v>32791241</v>
      </c>
      <c r="B1190" s="363">
        <v>32791241</v>
      </c>
      <c r="C1190" s="362" t="s">
        <v>13771</v>
      </c>
      <c r="D1190" s="362" t="s">
        <v>13772</v>
      </c>
      <c r="E1190" s="362" t="s">
        <v>13773</v>
      </c>
      <c r="F1190" s="362" t="s">
        <v>8083</v>
      </c>
      <c r="G1190" s="362" t="s">
        <v>11895</v>
      </c>
      <c r="H1190" s="363">
        <v>2020</v>
      </c>
      <c r="I1190" s="378">
        <v>44057</v>
      </c>
      <c r="J1190" s="434" t="s">
        <v>8084</v>
      </c>
      <c r="K1190" s="425"/>
      <c r="L1190" s="362" t="s">
        <v>13774</v>
      </c>
    </row>
    <row r="1191" spans="1:12">
      <c r="A1191" s="363">
        <f>VLOOKUP(B1191, 'PubMed 4.14.21 Results'!B:B, 1, FALSE)</f>
        <v>32876697</v>
      </c>
      <c r="B1191" s="363">
        <v>32876697</v>
      </c>
      <c r="C1191" s="362" t="s">
        <v>13775</v>
      </c>
      <c r="D1191" s="362" t="s">
        <v>13776</v>
      </c>
      <c r="E1191" s="362" t="s">
        <v>13777</v>
      </c>
      <c r="F1191" s="362" t="s">
        <v>6436</v>
      </c>
      <c r="G1191" s="362" t="s">
        <v>8580</v>
      </c>
      <c r="H1191" s="363">
        <v>2020</v>
      </c>
      <c r="I1191" s="378">
        <v>44077</v>
      </c>
      <c r="J1191" s="434" t="s">
        <v>6437</v>
      </c>
      <c r="K1191" s="425"/>
      <c r="L1191" s="362" t="s">
        <v>13778</v>
      </c>
    </row>
    <row r="1192" spans="1:12">
      <c r="A1192" s="363" t="e">
        <f>VLOOKUP(B1192, 'PubMed 4.14.21 Results'!B:B, 1, FALSE)</f>
        <v>#N/A</v>
      </c>
      <c r="B1192" s="363">
        <v>33028293</v>
      </c>
      <c r="C1192" s="362" t="s">
        <v>13779</v>
      </c>
      <c r="D1192" s="362" t="s">
        <v>13780</v>
      </c>
      <c r="E1192" s="362" t="s">
        <v>13781</v>
      </c>
      <c r="F1192" s="362" t="s">
        <v>8200</v>
      </c>
      <c r="G1192" s="362" t="s">
        <v>11544</v>
      </c>
      <c r="H1192" s="363">
        <v>2020</v>
      </c>
      <c r="I1192" s="378">
        <v>44112</v>
      </c>
      <c r="J1192" s="434" t="s">
        <v>8201</v>
      </c>
      <c r="K1192" s="425"/>
      <c r="L1192" s="362" t="s">
        <v>13782</v>
      </c>
    </row>
    <row r="1193" spans="1:12">
      <c r="A1193" s="363">
        <f>VLOOKUP(B1193, 'PubMed 4.14.21 Results'!B:B, 1, FALSE)</f>
        <v>33044747</v>
      </c>
      <c r="B1193" s="363">
        <v>33044747</v>
      </c>
      <c r="C1193" s="362" t="s">
        <v>13783</v>
      </c>
      <c r="D1193" s="362" t="s">
        <v>13784</v>
      </c>
      <c r="E1193" s="362" t="s">
        <v>13785</v>
      </c>
      <c r="F1193" s="362" t="s">
        <v>6638</v>
      </c>
      <c r="G1193" s="362" t="s">
        <v>8857</v>
      </c>
      <c r="H1193" s="363">
        <v>2020</v>
      </c>
      <c r="I1193" s="378">
        <v>44116</v>
      </c>
      <c r="J1193" s="365"/>
      <c r="K1193" s="365"/>
      <c r="L1193" s="362" t="s">
        <v>13786</v>
      </c>
    </row>
    <row r="1194" spans="1:12">
      <c r="A1194" s="363">
        <f>VLOOKUP(B1194, 'PubMed 4.14.21 Results'!B:B, 1, FALSE)</f>
        <v>33087107</v>
      </c>
      <c r="B1194" s="363">
        <v>33087107</v>
      </c>
      <c r="C1194" s="362" t="s">
        <v>13787</v>
      </c>
      <c r="D1194" s="362" t="s">
        <v>13788</v>
      </c>
      <c r="E1194" s="362" t="s">
        <v>13789</v>
      </c>
      <c r="F1194" s="362" t="s">
        <v>7020</v>
      </c>
      <c r="G1194" s="362" t="s">
        <v>10685</v>
      </c>
      <c r="H1194" s="363">
        <v>2020</v>
      </c>
      <c r="I1194" s="378">
        <v>44126</v>
      </c>
      <c r="J1194" s="434" t="s">
        <v>7021</v>
      </c>
      <c r="K1194" s="425"/>
      <c r="L1194" s="362" t="s">
        <v>13790</v>
      </c>
    </row>
    <row r="1195" spans="1:12">
      <c r="A1195" s="363" t="e">
        <f>VLOOKUP(B1195, 'PubMed 4.14.21 Results'!B:B, 1, FALSE)</f>
        <v>#N/A</v>
      </c>
      <c r="B1195" s="363">
        <v>32588983</v>
      </c>
      <c r="C1195" s="362" t="s">
        <v>13791</v>
      </c>
      <c r="D1195" s="362" t="s">
        <v>13792</v>
      </c>
      <c r="E1195" s="362" t="s">
        <v>13793</v>
      </c>
      <c r="F1195" s="362" t="s">
        <v>8202</v>
      </c>
      <c r="G1195" s="362" t="s">
        <v>13794</v>
      </c>
      <c r="H1195" s="363">
        <v>2020</v>
      </c>
      <c r="I1195" s="378">
        <v>44009</v>
      </c>
      <c r="J1195" s="365"/>
      <c r="K1195" s="365"/>
      <c r="L1195" s="362" t="s">
        <v>13795</v>
      </c>
    </row>
    <row r="1196" spans="1:12">
      <c r="A1196" s="363" t="e">
        <f>VLOOKUP(B1196, 'PubMed 4.14.21 Results'!B:B, 1, FALSE)</f>
        <v>#N/A</v>
      </c>
      <c r="B1196" s="363">
        <v>32640196</v>
      </c>
      <c r="C1196" s="362" t="s">
        <v>13796</v>
      </c>
      <c r="D1196" s="362" t="s">
        <v>13797</v>
      </c>
      <c r="E1196" s="362" t="s">
        <v>13798</v>
      </c>
      <c r="F1196" s="362" t="s">
        <v>8204</v>
      </c>
      <c r="G1196" s="362" t="s">
        <v>8597</v>
      </c>
      <c r="H1196" s="363">
        <v>2020</v>
      </c>
      <c r="I1196" s="378">
        <v>44021</v>
      </c>
      <c r="J1196" s="365"/>
      <c r="K1196" s="365"/>
      <c r="L1196" s="362" t="s">
        <v>13799</v>
      </c>
    </row>
    <row r="1197" spans="1:12">
      <c r="A1197" s="363">
        <f>VLOOKUP(B1197, 'PubMed 4.14.21 Results'!B:B, 1, FALSE)</f>
        <v>32721580</v>
      </c>
      <c r="B1197" s="363">
        <v>32721580</v>
      </c>
      <c r="C1197" s="362" t="s">
        <v>13800</v>
      </c>
      <c r="D1197" s="362" t="s">
        <v>13801</v>
      </c>
      <c r="E1197" s="362" t="s">
        <v>13802</v>
      </c>
      <c r="F1197" s="362" t="s">
        <v>7448</v>
      </c>
      <c r="G1197" s="362" t="s">
        <v>13552</v>
      </c>
      <c r="H1197" s="363">
        <v>2020</v>
      </c>
      <c r="I1197" s="378">
        <v>44042</v>
      </c>
      <c r="J1197" s="434" t="s">
        <v>7449</v>
      </c>
      <c r="K1197" s="425"/>
      <c r="L1197" s="362" t="s">
        <v>13803</v>
      </c>
    </row>
    <row r="1198" spans="1:12">
      <c r="A1198" s="363">
        <f>VLOOKUP(B1198, 'PubMed 4.14.21 Results'!B:B, 1, FALSE)</f>
        <v>32758889</v>
      </c>
      <c r="B1198" s="363">
        <v>32758889</v>
      </c>
      <c r="C1198" s="362" t="s">
        <v>13804</v>
      </c>
      <c r="D1198" s="362" t="s">
        <v>13805</v>
      </c>
      <c r="E1198" s="362" t="s">
        <v>13806</v>
      </c>
      <c r="F1198" s="362" t="s">
        <v>7750</v>
      </c>
      <c r="G1198" s="362" t="s">
        <v>13807</v>
      </c>
      <c r="H1198" s="363">
        <v>2020</v>
      </c>
      <c r="I1198" s="378">
        <v>44051</v>
      </c>
      <c r="J1198" s="434" t="s">
        <v>7751</v>
      </c>
      <c r="K1198" s="425"/>
      <c r="L1198" s="362" t="s">
        <v>13808</v>
      </c>
    </row>
    <row r="1199" spans="1:12">
      <c r="A1199" s="363">
        <f>VLOOKUP(B1199, 'PubMed 4.14.21 Results'!B:B, 1, FALSE)</f>
        <v>32773440</v>
      </c>
      <c r="B1199" s="363">
        <v>32773440</v>
      </c>
      <c r="C1199" s="362" t="s">
        <v>13809</v>
      </c>
      <c r="D1199" s="362" t="s">
        <v>13810</v>
      </c>
      <c r="E1199" s="362" t="s">
        <v>13811</v>
      </c>
      <c r="F1199" s="362" t="s">
        <v>7402</v>
      </c>
      <c r="G1199" s="362" t="s">
        <v>8900</v>
      </c>
      <c r="H1199" s="363">
        <v>2020</v>
      </c>
      <c r="I1199" s="378">
        <v>44054</v>
      </c>
      <c r="J1199" s="365"/>
      <c r="K1199" s="365"/>
      <c r="L1199" s="362" t="s">
        <v>13812</v>
      </c>
    </row>
    <row r="1200" spans="1:12">
      <c r="A1200" s="363">
        <f>VLOOKUP(B1200, 'PubMed 4.14.21 Results'!B:B, 1, FALSE)</f>
        <v>32822455</v>
      </c>
      <c r="B1200" s="363">
        <v>32822455</v>
      </c>
      <c r="C1200" s="362" t="s">
        <v>13813</v>
      </c>
      <c r="D1200" s="362" t="s">
        <v>13814</v>
      </c>
      <c r="E1200" s="362" t="s">
        <v>13815</v>
      </c>
      <c r="F1200" s="362" t="s">
        <v>7984</v>
      </c>
      <c r="G1200" s="362" t="s">
        <v>11469</v>
      </c>
      <c r="H1200" s="363">
        <v>2020</v>
      </c>
      <c r="I1200" s="378">
        <v>44065</v>
      </c>
      <c r="J1200" s="365"/>
      <c r="K1200" s="365"/>
      <c r="L1200" s="362" t="s">
        <v>13816</v>
      </c>
    </row>
    <row r="1201" spans="1:12">
      <c r="A1201" s="363">
        <f>VLOOKUP(B1201, 'PubMed 4.14.21 Results'!B:B, 1, FALSE)</f>
        <v>32961361</v>
      </c>
      <c r="B1201" s="363">
        <v>32961361</v>
      </c>
      <c r="C1201" s="362" t="s">
        <v>13817</v>
      </c>
      <c r="D1201" s="362" t="s">
        <v>13818</v>
      </c>
      <c r="E1201" s="362" t="s">
        <v>13819</v>
      </c>
      <c r="F1201" s="362" t="s">
        <v>7486</v>
      </c>
      <c r="G1201" s="362" t="s">
        <v>13820</v>
      </c>
      <c r="H1201" s="363">
        <v>2020</v>
      </c>
      <c r="I1201" s="378">
        <v>44096</v>
      </c>
      <c r="J1201" s="434" t="s">
        <v>7487</v>
      </c>
      <c r="K1201" s="425"/>
      <c r="L1201" s="362" t="s">
        <v>13821</v>
      </c>
    </row>
    <row r="1202" spans="1:12">
      <c r="A1202" s="363">
        <f>VLOOKUP(B1202, 'PubMed 4.14.21 Results'!B:B, 1, FALSE)</f>
        <v>32986537</v>
      </c>
      <c r="B1202" s="363">
        <v>32986537</v>
      </c>
      <c r="C1202" s="362" t="s">
        <v>13822</v>
      </c>
      <c r="D1202" s="362" t="s">
        <v>13823</v>
      </c>
      <c r="E1202" s="362" t="s">
        <v>13824</v>
      </c>
      <c r="F1202" s="362" t="s">
        <v>6613</v>
      </c>
      <c r="G1202" s="362" t="s">
        <v>13825</v>
      </c>
      <c r="H1202" s="363">
        <v>2020</v>
      </c>
      <c r="I1202" s="378">
        <v>44102</v>
      </c>
      <c r="J1202" s="365"/>
      <c r="K1202" s="365"/>
      <c r="L1202" s="362" t="s">
        <v>13826</v>
      </c>
    </row>
    <row r="1203" spans="1:12">
      <c r="A1203" s="363" t="e">
        <f>VLOOKUP(B1203, 'PubMed 4.14.21 Results'!B:B, 1, FALSE)</f>
        <v>#N/A</v>
      </c>
      <c r="B1203" s="363">
        <v>33036834</v>
      </c>
      <c r="C1203" s="362" t="s">
        <v>13827</v>
      </c>
      <c r="D1203" s="362" t="s">
        <v>13828</v>
      </c>
      <c r="E1203" s="362" t="s">
        <v>13829</v>
      </c>
      <c r="F1203" s="362" t="s">
        <v>8205</v>
      </c>
      <c r="G1203" s="362" t="s">
        <v>13830</v>
      </c>
      <c r="H1203" s="363">
        <v>2020</v>
      </c>
      <c r="I1203" s="378">
        <v>44114</v>
      </c>
      <c r="J1203" s="365"/>
      <c r="K1203" s="365"/>
      <c r="L1203" s="362" t="s">
        <v>13831</v>
      </c>
    </row>
    <row r="1204" spans="1:12">
      <c r="A1204" s="363" t="e">
        <f>VLOOKUP(B1204, 'PubMed 4.14.21 Results'!B:B, 1, FALSE)</f>
        <v>#N/A</v>
      </c>
      <c r="B1204" s="363">
        <v>33144335</v>
      </c>
      <c r="C1204" s="362" t="s">
        <v>13832</v>
      </c>
      <c r="D1204" s="362" t="s">
        <v>13833</v>
      </c>
      <c r="E1204" s="362" t="s">
        <v>13834</v>
      </c>
      <c r="F1204" s="362" t="s">
        <v>8207</v>
      </c>
      <c r="G1204" s="362" t="s">
        <v>13580</v>
      </c>
      <c r="H1204" s="363">
        <v>2020</v>
      </c>
      <c r="I1204" s="378">
        <v>44139</v>
      </c>
      <c r="J1204" s="434" t="s">
        <v>8208</v>
      </c>
      <c r="K1204" s="425"/>
      <c r="L1204" s="362" t="s">
        <v>13835</v>
      </c>
    </row>
    <row r="1205" spans="1:12">
      <c r="A1205" s="363">
        <f>VLOOKUP(B1205, 'PubMed 4.14.21 Results'!B:B, 1, FALSE)</f>
        <v>32445440</v>
      </c>
      <c r="B1205" s="363">
        <v>32445440</v>
      </c>
      <c r="C1205" s="362" t="s">
        <v>13836</v>
      </c>
      <c r="D1205" s="362" t="s">
        <v>13837</v>
      </c>
      <c r="E1205" s="362" t="s">
        <v>13838</v>
      </c>
      <c r="F1205" s="362" t="s">
        <v>6507</v>
      </c>
      <c r="G1205" s="362" t="s">
        <v>8514</v>
      </c>
      <c r="H1205" s="363">
        <v>2020</v>
      </c>
      <c r="I1205" s="378">
        <v>43975</v>
      </c>
      <c r="J1205" s="434" t="s">
        <v>6510</v>
      </c>
      <c r="K1205" s="425"/>
      <c r="L1205" s="362" t="s">
        <v>13839</v>
      </c>
    </row>
    <row r="1206" spans="1:12">
      <c r="A1206" s="363">
        <f>VLOOKUP(B1206, 'PubMed 4.14.21 Results'!B:B, 1, FALSE)</f>
        <v>32459919</v>
      </c>
      <c r="B1206" s="363">
        <v>32459919</v>
      </c>
      <c r="C1206" s="362" t="s">
        <v>13840</v>
      </c>
      <c r="D1206" s="362" t="s">
        <v>13841</v>
      </c>
      <c r="E1206" s="362" t="s">
        <v>13842</v>
      </c>
      <c r="F1206" s="362" t="s">
        <v>6959</v>
      </c>
      <c r="G1206" s="362" t="s">
        <v>8514</v>
      </c>
      <c r="H1206" s="363">
        <v>2020</v>
      </c>
      <c r="I1206" s="378">
        <v>43979</v>
      </c>
      <c r="J1206" s="434" t="s">
        <v>6960</v>
      </c>
      <c r="K1206" s="425"/>
      <c r="L1206" s="362" t="s">
        <v>13843</v>
      </c>
    </row>
    <row r="1207" spans="1:12">
      <c r="A1207" s="363">
        <f>VLOOKUP(B1207, 'PubMed 4.14.21 Results'!B:B, 1, FALSE)</f>
        <v>33172504</v>
      </c>
      <c r="B1207" s="363">
        <v>33172504</v>
      </c>
      <c r="C1207" s="362" t="s">
        <v>13844</v>
      </c>
      <c r="D1207" s="362" t="s">
        <v>13845</v>
      </c>
      <c r="E1207" s="362" t="s">
        <v>13846</v>
      </c>
      <c r="F1207" s="362" t="s">
        <v>6568</v>
      </c>
      <c r="G1207" s="362" t="s">
        <v>11166</v>
      </c>
      <c r="H1207" s="363">
        <v>2020</v>
      </c>
      <c r="I1207" s="378">
        <v>44146</v>
      </c>
      <c r="J1207" s="434" t="s">
        <v>6569</v>
      </c>
      <c r="K1207" s="425"/>
      <c r="L1207" s="362" t="s">
        <v>13847</v>
      </c>
    </row>
    <row r="1208" spans="1:12">
      <c r="A1208" s="363" t="e">
        <f>VLOOKUP(B1208, 'PubMed 4.14.21 Results'!B:B, 1, FALSE)</f>
        <v>#N/A</v>
      </c>
      <c r="B1208" s="363">
        <v>33176845</v>
      </c>
      <c r="C1208" s="362" t="s">
        <v>13848</v>
      </c>
      <c r="D1208" s="362" t="s">
        <v>13849</v>
      </c>
      <c r="E1208" s="362" t="s">
        <v>13850</v>
      </c>
      <c r="F1208" s="362" t="s">
        <v>8209</v>
      </c>
      <c r="G1208" s="362" t="s">
        <v>13851</v>
      </c>
      <c r="H1208" s="363">
        <v>2020</v>
      </c>
      <c r="I1208" s="378">
        <v>44147</v>
      </c>
      <c r="J1208" s="434" t="s">
        <v>8210</v>
      </c>
      <c r="K1208" s="425"/>
      <c r="L1208" s="362" t="s">
        <v>13852</v>
      </c>
    </row>
    <row r="1209" spans="1:12">
      <c r="A1209" s="363">
        <f>VLOOKUP(B1209, 'PubMed 4.14.21 Results'!B:B, 1, FALSE)</f>
        <v>32785649</v>
      </c>
      <c r="B1209" s="363">
        <v>32785649</v>
      </c>
      <c r="C1209" s="362" t="s">
        <v>13853</v>
      </c>
      <c r="D1209" s="362" t="s">
        <v>13854</v>
      </c>
      <c r="E1209" s="362" t="s">
        <v>13855</v>
      </c>
      <c r="F1209" s="362" t="s">
        <v>7016</v>
      </c>
      <c r="G1209" s="362" t="s">
        <v>9497</v>
      </c>
      <c r="H1209" s="363">
        <v>2020</v>
      </c>
      <c r="I1209" s="378">
        <v>44057</v>
      </c>
      <c r="J1209" s="434" t="s">
        <v>7017</v>
      </c>
      <c r="K1209" s="425"/>
      <c r="L1209" s="362" t="s">
        <v>13856</v>
      </c>
    </row>
    <row r="1210" spans="1:12">
      <c r="A1210" s="363" t="e">
        <f>VLOOKUP(B1210, 'PubMed 4.14.21 Results'!B:B, 1, FALSE)</f>
        <v>#N/A</v>
      </c>
      <c r="B1210" s="363">
        <v>33196311</v>
      </c>
      <c r="C1210" s="362" t="s">
        <v>13857</v>
      </c>
      <c r="D1210" s="362" t="s">
        <v>13858</v>
      </c>
      <c r="E1210" s="362" t="s">
        <v>13859</v>
      </c>
      <c r="F1210" s="362" t="s">
        <v>8211</v>
      </c>
      <c r="G1210" s="362" t="s">
        <v>8519</v>
      </c>
      <c r="H1210" s="363">
        <v>2020</v>
      </c>
      <c r="I1210" s="378">
        <v>44151</v>
      </c>
      <c r="J1210" s="365"/>
      <c r="K1210" s="365"/>
      <c r="L1210" s="362" t="s">
        <v>13860</v>
      </c>
    </row>
    <row r="1211" spans="1:12">
      <c r="A1211" s="363">
        <f>VLOOKUP(B1211, 'PubMed 4.14.21 Results'!B:B, 1, FALSE)</f>
        <v>33225960</v>
      </c>
      <c r="B1211" s="363">
        <v>33225960</v>
      </c>
      <c r="C1211" s="362" t="s">
        <v>13861</v>
      </c>
      <c r="D1211" s="362" t="s">
        <v>13862</v>
      </c>
      <c r="E1211" s="362" t="s">
        <v>13863</v>
      </c>
      <c r="F1211" s="362" t="s">
        <v>6555</v>
      </c>
      <c r="G1211" s="362" t="s">
        <v>9906</v>
      </c>
      <c r="H1211" s="363">
        <v>2020</v>
      </c>
      <c r="I1211" s="378">
        <v>44158</v>
      </c>
      <c r="J1211" s="434" t="s">
        <v>6556</v>
      </c>
      <c r="K1211" s="425"/>
      <c r="L1211" s="362" t="s">
        <v>13864</v>
      </c>
    </row>
    <row r="1212" spans="1:12">
      <c r="A1212" s="363">
        <f>VLOOKUP(B1212, 'PubMed 4.14.21 Results'!B:B, 1, FALSE)</f>
        <v>33239013</v>
      </c>
      <c r="B1212" s="363">
        <v>33239013</v>
      </c>
      <c r="C1212" s="362" t="s">
        <v>13865</v>
      </c>
      <c r="D1212" s="362" t="s">
        <v>13866</v>
      </c>
      <c r="E1212" s="362" t="s">
        <v>13867</v>
      </c>
      <c r="F1212" s="362" t="s">
        <v>7961</v>
      </c>
      <c r="G1212" s="362" t="s">
        <v>10685</v>
      </c>
      <c r="H1212" s="363">
        <v>2020</v>
      </c>
      <c r="I1212" s="378">
        <v>44161</v>
      </c>
      <c r="J1212" s="434" t="s">
        <v>7962</v>
      </c>
      <c r="K1212" s="425"/>
      <c r="L1212" s="362" t="s">
        <v>13868</v>
      </c>
    </row>
    <row r="1213" spans="1:12">
      <c r="A1213" s="363" t="e">
        <f>VLOOKUP(B1213, 'PubMed 4.14.21 Results'!B:B, 1, FALSE)</f>
        <v>#N/A</v>
      </c>
      <c r="B1213" s="363">
        <v>32944979</v>
      </c>
      <c r="C1213" s="362" t="s">
        <v>13869</v>
      </c>
      <c r="D1213" s="362" t="s">
        <v>13870</v>
      </c>
      <c r="E1213" s="362" t="s">
        <v>13871</v>
      </c>
      <c r="F1213" s="362" t="s">
        <v>8212</v>
      </c>
      <c r="G1213" s="362" t="s">
        <v>8847</v>
      </c>
      <c r="H1213" s="363">
        <v>2020</v>
      </c>
      <c r="I1213" s="378">
        <v>44092</v>
      </c>
      <c r="J1213" s="362" t="s">
        <v>8213</v>
      </c>
      <c r="K1213" s="362" t="s">
        <v>13872</v>
      </c>
      <c r="L1213" s="362" t="s">
        <v>13873</v>
      </c>
    </row>
    <row r="1214" spans="1:12">
      <c r="A1214" s="363" t="e">
        <f>VLOOKUP(B1214, 'PubMed 4.14.21 Results'!B:B, 1, FALSE)</f>
        <v>#N/A</v>
      </c>
      <c r="B1214" s="363">
        <v>32707605</v>
      </c>
      <c r="C1214" s="362" t="s">
        <v>13874</v>
      </c>
      <c r="D1214" s="362" t="s">
        <v>13875</v>
      </c>
      <c r="E1214" s="362" t="s">
        <v>13876</v>
      </c>
      <c r="F1214" s="362" t="s">
        <v>8215</v>
      </c>
      <c r="G1214" s="362" t="s">
        <v>13877</v>
      </c>
      <c r="H1214" s="363">
        <v>2020</v>
      </c>
      <c r="I1214" s="378">
        <v>44037</v>
      </c>
      <c r="J1214" s="365"/>
      <c r="K1214" s="365"/>
      <c r="L1214" s="362" t="s">
        <v>13878</v>
      </c>
    </row>
    <row r="1215" spans="1:12">
      <c r="A1215" s="363" t="e">
        <f>VLOOKUP(B1215, 'PubMed 4.14.21 Results'!B:B, 1, FALSE)</f>
        <v>#N/A</v>
      </c>
      <c r="B1215" s="363">
        <v>32726839</v>
      </c>
      <c r="C1215" s="362" t="s">
        <v>13879</v>
      </c>
      <c r="D1215" s="362" t="s">
        <v>13880</v>
      </c>
      <c r="E1215" s="362" t="s">
        <v>13881</v>
      </c>
      <c r="F1215" s="362" t="s">
        <v>8216</v>
      </c>
      <c r="G1215" s="362" t="s">
        <v>11832</v>
      </c>
      <c r="H1215" s="363">
        <v>2020</v>
      </c>
      <c r="I1215" s="378">
        <v>44042</v>
      </c>
      <c r="J1215" s="365"/>
      <c r="K1215" s="365"/>
      <c r="L1215" s="362" t="s">
        <v>13882</v>
      </c>
    </row>
    <row r="1216" spans="1:12">
      <c r="A1216" s="363" t="e">
        <f>VLOOKUP(B1216, 'PubMed 4.14.21 Results'!B:B, 1, FALSE)</f>
        <v>#N/A</v>
      </c>
      <c r="B1216" s="363">
        <v>32842819</v>
      </c>
      <c r="C1216" s="362" t="s">
        <v>13883</v>
      </c>
      <c r="D1216" s="362" t="s">
        <v>13884</v>
      </c>
      <c r="E1216" s="362" t="s">
        <v>13885</v>
      </c>
      <c r="F1216" s="362" t="s">
        <v>8217</v>
      </c>
      <c r="G1216" s="362" t="s">
        <v>13886</v>
      </c>
      <c r="H1216" s="363">
        <v>2020</v>
      </c>
      <c r="I1216" s="378">
        <v>44070</v>
      </c>
      <c r="J1216" s="365"/>
      <c r="K1216" s="365"/>
      <c r="L1216" s="362" t="s">
        <v>13887</v>
      </c>
    </row>
    <row r="1217" spans="1:12">
      <c r="A1217" s="363">
        <f>VLOOKUP(B1217, 'PubMed 4.14.21 Results'!B:B, 1, FALSE)</f>
        <v>32859477</v>
      </c>
      <c r="B1217" s="363">
        <v>32859477</v>
      </c>
      <c r="C1217" s="362" t="s">
        <v>13888</v>
      </c>
      <c r="D1217" s="362" t="s">
        <v>13889</v>
      </c>
      <c r="E1217" s="362" t="s">
        <v>13890</v>
      </c>
      <c r="F1217" s="362" t="s">
        <v>6701</v>
      </c>
      <c r="G1217" s="362" t="s">
        <v>13891</v>
      </c>
      <c r="H1217" s="363">
        <v>2020</v>
      </c>
      <c r="I1217" s="378">
        <v>44073</v>
      </c>
      <c r="J1217" s="434" t="s">
        <v>6702</v>
      </c>
      <c r="K1217" s="425"/>
      <c r="L1217" s="362" t="s">
        <v>13892</v>
      </c>
    </row>
    <row r="1218" spans="1:12">
      <c r="A1218" s="363">
        <f>VLOOKUP(B1218, 'PubMed 4.14.21 Results'!B:B, 1, FALSE)</f>
        <v>32916565</v>
      </c>
      <c r="B1218" s="363">
        <v>32916565</v>
      </c>
      <c r="C1218" s="362" t="s">
        <v>13893</v>
      </c>
      <c r="D1218" s="362" t="s">
        <v>13894</v>
      </c>
      <c r="E1218" s="362" t="s">
        <v>13895</v>
      </c>
      <c r="F1218" s="362" t="s">
        <v>7481</v>
      </c>
      <c r="G1218" s="362" t="s">
        <v>8777</v>
      </c>
      <c r="H1218" s="363">
        <v>2020</v>
      </c>
      <c r="I1218" s="378">
        <v>44085</v>
      </c>
      <c r="J1218" s="434" t="s">
        <v>7482</v>
      </c>
      <c r="K1218" s="425"/>
      <c r="L1218" s="362" t="s">
        <v>13896</v>
      </c>
    </row>
    <row r="1219" spans="1:12">
      <c r="A1219" s="363" t="e">
        <f>VLOOKUP(B1219, 'PubMed 4.14.21 Results'!B:B, 1, FALSE)</f>
        <v>#N/A</v>
      </c>
      <c r="B1219" s="363">
        <v>32935659</v>
      </c>
      <c r="C1219" s="362" t="s">
        <v>13897</v>
      </c>
      <c r="D1219" s="362" t="s">
        <v>13898</v>
      </c>
      <c r="E1219" s="362" t="s">
        <v>13899</v>
      </c>
      <c r="F1219" s="362" t="s">
        <v>8218</v>
      </c>
      <c r="G1219" s="362" t="s">
        <v>13900</v>
      </c>
      <c r="H1219" s="363">
        <v>2020</v>
      </c>
      <c r="I1219" s="378">
        <v>44090</v>
      </c>
      <c r="J1219" s="365"/>
      <c r="K1219" s="365"/>
      <c r="L1219" s="362" t="s">
        <v>13901</v>
      </c>
    </row>
    <row r="1220" spans="1:12">
      <c r="A1220" s="363">
        <f>VLOOKUP(B1220, 'PubMed 4.14.21 Results'!B:B, 1, FALSE)</f>
        <v>32992075</v>
      </c>
      <c r="B1220" s="363">
        <v>32992075</v>
      </c>
      <c r="C1220" s="362" t="s">
        <v>13902</v>
      </c>
      <c r="D1220" s="362" t="s">
        <v>13903</v>
      </c>
      <c r="E1220" s="362" t="s">
        <v>13904</v>
      </c>
      <c r="F1220" s="362" t="s">
        <v>6530</v>
      </c>
      <c r="G1220" s="362" t="s">
        <v>8777</v>
      </c>
      <c r="H1220" s="363">
        <v>2020</v>
      </c>
      <c r="I1220" s="378">
        <v>44103</v>
      </c>
      <c r="J1220" s="434" t="s">
        <v>6531</v>
      </c>
      <c r="K1220" s="425"/>
      <c r="L1220" s="362" t="s">
        <v>13905</v>
      </c>
    </row>
    <row r="1221" spans="1:12">
      <c r="A1221" s="363">
        <f>VLOOKUP(B1221, 'PubMed 4.14.21 Results'!B:B, 1, FALSE)</f>
        <v>33017195</v>
      </c>
      <c r="B1221" s="363">
        <v>33017195</v>
      </c>
      <c r="C1221" s="362" t="s">
        <v>13906</v>
      </c>
      <c r="D1221" s="362" t="s">
        <v>13907</v>
      </c>
      <c r="E1221" s="362" t="s">
        <v>13908</v>
      </c>
      <c r="F1221" s="362" t="s">
        <v>7081</v>
      </c>
      <c r="G1221" s="362" t="s">
        <v>13909</v>
      </c>
      <c r="H1221" s="363">
        <v>2020</v>
      </c>
      <c r="I1221" s="378">
        <v>44109</v>
      </c>
      <c r="J1221" s="365"/>
      <c r="K1221" s="365"/>
      <c r="L1221" s="362" t="s">
        <v>13910</v>
      </c>
    </row>
    <row r="1222" spans="1:12">
      <c r="A1222" s="363">
        <f>VLOOKUP(B1222, 'PubMed 4.14.21 Results'!B:B, 1, FALSE)</f>
        <v>33170331</v>
      </c>
      <c r="B1222" s="363">
        <v>33170331</v>
      </c>
      <c r="C1222" s="362" t="s">
        <v>13911</v>
      </c>
      <c r="D1222" s="362" t="s">
        <v>13912</v>
      </c>
      <c r="E1222" s="362" t="s">
        <v>13913</v>
      </c>
      <c r="F1222" s="362" t="s">
        <v>6644</v>
      </c>
      <c r="G1222" s="362" t="s">
        <v>8617</v>
      </c>
      <c r="H1222" s="363">
        <v>2020</v>
      </c>
      <c r="I1222" s="378">
        <v>44145</v>
      </c>
      <c r="J1222" s="434" t="s">
        <v>6645</v>
      </c>
      <c r="K1222" s="425"/>
      <c r="L1222" s="362" t="s">
        <v>13914</v>
      </c>
    </row>
    <row r="1223" spans="1:12">
      <c r="A1223" s="363">
        <f>VLOOKUP(B1223, 'PubMed 4.14.21 Results'!B:B, 1, FALSE)</f>
        <v>33252045</v>
      </c>
      <c r="B1223" s="363">
        <v>33252045</v>
      </c>
      <c r="C1223" s="362" t="s">
        <v>13915</v>
      </c>
      <c r="D1223" s="362" t="s">
        <v>13916</v>
      </c>
      <c r="E1223" s="362" t="s">
        <v>13917</v>
      </c>
      <c r="F1223" s="362" t="s">
        <v>6407</v>
      </c>
      <c r="G1223" s="362" t="s">
        <v>13918</v>
      </c>
      <c r="H1223" s="363">
        <v>2020</v>
      </c>
      <c r="I1223" s="378">
        <v>44165</v>
      </c>
      <c r="J1223" s="365"/>
      <c r="K1223" s="365"/>
      <c r="L1223" s="362" t="s">
        <v>13919</v>
      </c>
    </row>
    <row r="1224" spans="1:12">
      <c r="A1224" s="363">
        <f>VLOOKUP(B1224, 'PubMed 4.14.21 Results'!B:B, 1, FALSE)</f>
        <v>33256617</v>
      </c>
      <c r="B1224" s="363">
        <v>33256617</v>
      </c>
      <c r="C1224" s="362" t="s">
        <v>13920</v>
      </c>
      <c r="D1224" s="362" t="s">
        <v>13921</v>
      </c>
      <c r="E1224" s="362" t="s">
        <v>13922</v>
      </c>
      <c r="F1224" s="362" t="s">
        <v>6746</v>
      </c>
      <c r="G1224" s="362" t="s">
        <v>10013</v>
      </c>
      <c r="H1224" s="363">
        <v>2020</v>
      </c>
      <c r="I1224" s="378">
        <v>44166</v>
      </c>
      <c r="J1224" s="434" t="s">
        <v>6747</v>
      </c>
      <c r="K1224" s="425"/>
      <c r="L1224" s="362" t="s">
        <v>13923</v>
      </c>
    </row>
    <row r="1225" spans="1:12">
      <c r="A1225" s="363">
        <f>VLOOKUP(B1225, 'PubMed 4.14.21 Results'!B:B, 1, FALSE)</f>
        <v>33264546</v>
      </c>
      <c r="B1225" s="363">
        <v>33264546</v>
      </c>
      <c r="C1225" s="362" t="s">
        <v>13924</v>
      </c>
      <c r="D1225" s="362" t="s">
        <v>13925</v>
      </c>
      <c r="E1225" s="362" t="s">
        <v>13926</v>
      </c>
      <c r="F1225" s="362" t="s">
        <v>7217</v>
      </c>
      <c r="G1225" s="362" t="s">
        <v>8514</v>
      </c>
      <c r="H1225" s="363">
        <v>2020</v>
      </c>
      <c r="I1225" s="378">
        <v>44167</v>
      </c>
      <c r="J1225" s="365"/>
      <c r="K1225" s="365"/>
      <c r="L1225" s="362" t="s">
        <v>13927</v>
      </c>
    </row>
    <row r="1226" spans="1:12">
      <c r="A1226" s="363">
        <f>VLOOKUP(B1226, 'PubMed 4.14.21 Results'!B:B, 1, FALSE)</f>
        <v>33270629</v>
      </c>
      <c r="B1226" s="363">
        <v>33270629</v>
      </c>
      <c r="C1226" s="362" t="s">
        <v>13928</v>
      </c>
      <c r="D1226" s="362" t="s">
        <v>13929</v>
      </c>
      <c r="E1226" s="362" t="s">
        <v>13930</v>
      </c>
      <c r="F1226" s="362" t="s">
        <v>7790</v>
      </c>
      <c r="G1226" s="362" t="s">
        <v>10379</v>
      </c>
      <c r="H1226" s="363">
        <v>2020</v>
      </c>
      <c r="I1226" s="378">
        <v>44168</v>
      </c>
      <c r="J1226" s="434" t="s">
        <v>7791</v>
      </c>
      <c r="K1226" s="425"/>
      <c r="L1226" s="362" t="s">
        <v>13931</v>
      </c>
    </row>
    <row r="1227" spans="1:12">
      <c r="A1227" s="363">
        <f>VLOOKUP(B1227, 'PubMed 4.14.21 Results'!B:B, 1, FALSE)</f>
        <v>33283264</v>
      </c>
      <c r="B1227" s="363">
        <v>33283264</v>
      </c>
      <c r="C1227" s="362" t="s">
        <v>13932</v>
      </c>
      <c r="D1227" s="362" t="s">
        <v>13933</v>
      </c>
      <c r="E1227" s="362" t="s">
        <v>13934</v>
      </c>
      <c r="F1227" s="362" t="s">
        <v>7067</v>
      </c>
      <c r="G1227" s="362" t="s">
        <v>8857</v>
      </c>
      <c r="H1227" s="363">
        <v>2020</v>
      </c>
      <c r="I1227" s="378">
        <v>44172</v>
      </c>
      <c r="J1227" s="434" t="s">
        <v>13935</v>
      </c>
      <c r="K1227" s="425"/>
      <c r="L1227" s="362" t="s">
        <v>13936</v>
      </c>
    </row>
    <row r="1228" spans="1:12">
      <c r="A1228" s="363" t="e">
        <f>VLOOKUP(B1228, 'PubMed 4.14.21 Results'!B:B, 1, FALSE)</f>
        <v>#N/A</v>
      </c>
      <c r="B1228" s="363">
        <v>32239164</v>
      </c>
      <c r="C1228" s="362" t="s">
        <v>13937</v>
      </c>
      <c r="D1228" s="362" t="s">
        <v>13938</v>
      </c>
      <c r="E1228" s="362" t="s">
        <v>13939</v>
      </c>
      <c r="F1228" s="362" t="s">
        <v>1130</v>
      </c>
      <c r="G1228" s="362" t="s">
        <v>9152</v>
      </c>
      <c r="H1228" s="363">
        <v>2020</v>
      </c>
      <c r="I1228" s="378">
        <v>43924</v>
      </c>
      <c r="J1228" s="434" t="s">
        <v>8219</v>
      </c>
      <c r="K1228" s="425"/>
      <c r="L1228" s="362" t="s">
        <v>13940</v>
      </c>
    </row>
    <row r="1229" spans="1:12">
      <c r="A1229" s="363" t="e">
        <f>VLOOKUP(B1229, 'PubMed 4.14.21 Results'!B:B, 1, FALSE)</f>
        <v>#N/A</v>
      </c>
      <c r="B1229" s="363">
        <v>33424871</v>
      </c>
      <c r="C1229" s="362" t="s">
        <v>13941</v>
      </c>
      <c r="D1229" s="362" t="s">
        <v>13942</v>
      </c>
      <c r="E1229" s="362" t="s">
        <v>13943</v>
      </c>
      <c r="F1229" s="362" t="s">
        <v>8139</v>
      </c>
      <c r="G1229" s="362" t="s">
        <v>12725</v>
      </c>
      <c r="H1229" s="363">
        <v>2020</v>
      </c>
      <c r="I1229" s="378">
        <v>44207</v>
      </c>
      <c r="J1229" s="434" t="s">
        <v>8220</v>
      </c>
      <c r="K1229" s="425"/>
      <c r="L1229" s="362" t="s">
        <v>13944</v>
      </c>
    </row>
    <row r="1230" spans="1:12">
      <c r="A1230" s="363">
        <f>VLOOKUP(B1230, 'PubMed 4.14.21 Results'!B:B, 1, FALSE)</f>
        <v>32814348</v>
      </c>
      <c r="B1230" s="363">
        <v>32814348</v>
      </c>
      <c r="C1230" s="362" t="s">
        <v>13945</v>
      </c>
      <c r="D1230" s="362" t="s">
        <v>13946</v>
      </c>
      <c r="E1230" s="362" t="s">
        <v>13947</v>
      </c>
      <c r="F1230" s="362" t="s">
        <v>7417</v>
      </c>
      <c r="G1230" s="362" t="s">
        <v>8540</v>
      </c>
      <c r="H1230" s="363">
        <v>2020</v>
      </c>
      <c r="I1230" s="378">
        <v>44063</v>
      </c>
      <c r="J1230" s="365"/>
      <c r="K1230" s="365"/>
      <c r="L1230" s="362" t="s">
        <v>13948</v>
      </c>
    </row>
    <row r="1231" spans="1:12">
      <c r="A1231" s="363" t="e">
        <f>VLOOKUP(B1231, 'PubMed 4.14.21 Results'!B:B, 1, FALSE)</f>
        <v>#N/A</v>
      </c>
      <c r="B1231" s="363">
        <v>33376181</v>
      </c>
      <c r="C1231" s="362" t="s">
        <v>13949</v>
      </c>
      <c r="D1231" s="362" t="s">
        <v>13950</v>
      </c>
      <c r="E1231" s="362" t="s">
        <v>13951</v>
      </c>
      <c r="F1231" s="362" t="s">
        <v>8221</v>
      </c>
      <c r="G1231" s="362" t="s">
        <v>11650</v>
      </c>
      <c r="H1231" s="363">
        <v>2020</v>
      </c>
      <c r="I1231" s="378">
        <v>44195</v>
      </c>
      <c r="J1231" s="434" t="s">
        <v>8222</v>
      </c>
      <c r="K1231" s="425"/>
      <c r="L1231" s="362" t="s">
        <v>13952</v>
      </c>
    </row>
    <row r="1232" spans="1:12">
      <c r="A1232" s="363" t="e">
        <f>VLOOKUP(B1232, 'PubMed 4.14.21 Results'!B:B, 1, FALSE)</f>
        <v>#N/A</v>
      </c>
      <c r="B1232" s="363">
        <v>32170515</v>
      </c>
      <c r="C1232" s="362" t="s">
        <v>13953</v>
      </c>
      <c r="D1232" s="362" t="s">
        <v>13954</v>
      </c>
      <c r="E1232" s="362" t="s">
        <v>13955</v>
      </c>
      <c r="F1232" s="362" t="s">
        <v>8224</v>
      </c>
      <c r="G1232" s="362" t="s">
        <v>9054</v>
      </c>
      <c r="H1232" s="363">
        <v>2021</v>
      </c>
      <c r="I1232" s="378">
        <v>43905</v>
      </c>
      <c r="J1232" s="365"/>
      <c r="K1232" s="365"/>
      <c r="L1232" s="362" t="s">
        <v>13956</v>
      </c>
    </row>
    <row r="1233" spans="1:12">
      <c r="A1233" s="363" t="e">
        <f>VLOOKUP(B1233, 'PubMed 4.14.21 Results'!B:B, 1, FALSE)</f>
        <v>#N/A</v>
      </c>
      <c r="B1233" s="363">
        <v>32243207</v>
      </c>
      <c r="C1233" s="362" t="s">
        <v>13957</v>
      </c>
      <c r="D1233" s="362" t="s">
        <v>13958</v>
      </c>
      <c r="E1233" s="362" t="s">
        <v>13959</v>
      </c>
      <c r="F1233" s="362" t="s">
        <v>8225</v>
      </c>
      <c r="G1233" s="362" t="s">
        <v>13960</v>
      </c>
      <c r="H1233" s="363">
        <v>2021</v>
      </c>
      <c r="I1233" s="378">
        <v>43925</v>
      </c>
      <c r="J1233" s="365"/>
      <c r="K1233" s="365"/>
      <c r="L1233" s="362" t="s">
        <v>13961</v>
      </c>
    </row>
    <row r="1234" spans="1:12">
      <c r="A1234" s="363">
        <f>VLOOKUP(B1234, 'PubMed 4.14.21 Results'!B:B, 1, FALSE)</f>
        <v>33002611</v>
      </c>
      <c r="B1234" s="363">
        <v>33002611</v>
      </c>
      <c r="C1234" s="362" t="s">
        <v>13962</v>
      </c>
      <c r="D1234" s="362" t="s">
        <v>13963</v>
      </c>
      <c r="E1234" s="362" t="s">
        <v>13964</v>
      </c>
      <c r="F1234" s="362" t="s">
        <v>7785</v>
      </c>
      <c r="G1234" s="362" t="s">
        <v>9465</v>
      </c>
      <c r="H1234" s="363">
        <v>2021</v>
      </c>
      <c r="I1234" s="378">
        <v>44105</v>
      </c>
      <c r="J1234" s="434" t="s">
        <v>7786</v>
      </c>
      <c r="K1234" s="425"/>
      <c r="L1234" s="362" t="s">
        <v>13965</v>
      </c>
    </row>
    <row r="1235" spans="1:12">
      <c r="A1235" s="363" t="e">
        <f>VLOOKUP(B1235, 'PubMed 4.14.21 Results'!B:B, 1, FALSE)</f>
        <v>#N/A</v>
      </c>
      <c r="B1235" s="363">
        <v>33111988</v>
      </c>
      <c r="C1235" s="362" t="s">
        <v>13966</v>
      </c>
      <c r="D1235" s="362" t="s">
        <v>13967</v>
      </c>
      <c r="E1235" s="362" t="s">
        <v>13968</v>
      </c>
      <c r="F1235" s="362" t="s">
        <v>8226</v>
      </c>
      <c r="G1235" s="362" t="s">
        <v>13969</v>
      </c>
      <c r="H1235" s="363">
        <v>2021</v>
      </c>
      <c r="I1235" s="378">
        <v>44132</v>
      </c>
      <c r="J1235" s="365"/>
      <c r="K1235" s="365"/>
      <c r="L1235" s="362" t="s">
        <v>13970</v>
      </c>
    </row>
    <row r="1236" spans="1:12">
      <c r="A1236" s="363" t="e">
        <f>VLOOKUP(B1236, 'PubMed 4.14.21 Results'!B:B, 1, FALSE)</f>
        <v>#N/A</v>
      </c>
      <c r="B1236" s="363">
        <v>33131035</v>
      </c>
      <c r="C1236" s="362" t="s">
        <v>13971</v>
      </c>
      <c r="D1236" s="362" t="s">
        <v>13972</v>
      </c>
      <c r="E1236" s="362" t="s">
        <v>13973</v>
      </c>
      <c r="F1236" s="362" t="s">
        <v>8227</v>
      </c>
      <c r="G1236" s="362" t="s">
        <v>11152</v>
      </c>
      <c r="H1236" s="363">
        <v>2021</v>
      </c>
      <c r="I1236" s="378">
        <v>44136</v>
      </c>
      <c r="J1236" s="365"/>
      <c r="K1236" s="365"/>
      <c r="L1236" s="362" t="s">
        <v>13974</v>
      </c>
    </row>
    <row r="1237" spans="1:12">
      <c r="A1237" s="363">
        <f>VLOOKUP(B1237, 'PubMed 4.14.21 Results'!B:B, 1, FALSE)</f>
        <v>33187978</v>
      </c>
      <c r="B1237" s="363">
        <v>33187978</v>
      </c>
      <c r="C1237" s="362" t="s">
        <v>13975</v>
      </c>
      <c r="D1237" s="362" t="s">
        <v>13976</v>
      </c>
      <c r="E1237" s="362" t="s">
        <v>13977</v>
      </c>
      <c r="F1237" s="362" t="s">
        <v>7858</v>
      </c>
      <c r="G1237" s="362" t="s">
        <v>13978</v>
      </c>
      <c r="H1237" s="363">
        <v>2021</v>
      </c>
      <c r="I1237" s="378">
        <v>44149</v>
      </c>
      <c r="J1237" s="434" t="s">
        <v>7859</v>
      </c>
      <c r="K1237" s="425"/>
      <c r="L1237" s="362" t="s">
        <v>13979</v>
      </c>
    </row>
    <row r="1238" spans="1:12">
      <c r="A1238" s="363" t="e">
        <f>VLOOKUP(B1238, 'PubMed 4.14.21 Results'!B:B, 1, FALSE)</f>
        <v>#N/A</v>
      </c>
      <c r="B1238" s="363">
        <v>34099106</v>
      </c>
      <c r="C1238" s="362" t="s">
        <v>13980</v>
      </c>
      <c r="D1238" s="362" t="s">
        <v>13981</v>
      </c>
      <c r="E1238" s="362" t="s">
        <v>13982</v>
      </c>
      <c r="F1238" s="362" t="s">
        <v>8228</v>
      </c>
      <c r="G1238" s="362" t="s">
        <v>12860</v>
      </c>
      <c r="H1238" s="363">
        <v>2021</v>
      </c>
      <c r="I1238" s="378">
        <v>44355</v>
      </c>
      <c r="J1238" s="365"/>
      <c r="K1238" s="365"/>
      <c r="L1238" s="362" t="s">
        <v>13983</v>
      </c>
    </row>
    <row r="1239" spans="1:12">
      <c r="A1239" s="363" t="e">
        <f>VLOOKUP(B1239, 'PubMed 4.14.21 Results'!B:B, 1, FALSE)</f>
        <v>#N/A</v>
      </c>
      <c r="B1239" s="363">
        <v>32621741</v>
      </c>
      <c r="C1239" s="362" t="s">
        <v>13984</v>
      </c>
      <c r="D1239" s="362" t="s">
        <v>13985</v>
      </c>
      <c r="E1239" s="362" t="s">
        <v>13986</v>
      </c>
      <c r="F1239" s="362" t="s">
        <v>4421</v>
      </c>
      <c r="G1239" s="362" t="s">
        <v>9497</v>
      </c>
      <c r="H1239" s="363">
        <v>2021</v>
      </c>
      <c r="I1239" s="378">
        <v>44017</v>
      </c>
      <c r="J1239" s="434" t="s">
        <v>8229</v>
      </c>
      <c r="K1239" s="425"/>
      <c r="L1239" s="362" t="s">
        <v>13987</v>
      </c>
    </row>
    <row r="1240" spans="1:12">
      <c r="A1240" s="363">
        <f>VLOOKUP(B1240, 'PubMed 4.14.21 Results'!B:B, 1, FALSE)</f>
        <v>33406138</v>
      </c>
      <c r="B1240" s="363">
        <v>33406138</v>
      </c>
      <c r="C1240" s="362" t="s">
        <v>13988</v>
      </c>
      <c r="D1240" s="362" t="s">
        <v>13989</v>
      </c>
      <c r="E1240" s="362" t="s">
        <v>13990</v>
      </c>
      <c r="F1240" s="362" t="s">
        <v>7264</v>
      </c>
      <c r="G1240" s="362" t="s">
        <v>10379</v>
      </c>
      <c r="H1240" s="363">
        <v>2021</v>
      </c>
      <c r="I1240" s="378">
        <v>44202</v>
      </c>
      <c r="J1240" s="434" t="s">
        <v>7265</v>
      </c>
      <c r="K1240" s="425"/>
      <c r="L1240" s="362" t="s">
        <v>13991</v>
      </c>
    </row>
    <row r="1241" spans="1:12">
      <c r="A1241" s="363" t="e">
        <f>VLOOKUP(B1241, 'PubMed 4.14.21 Results'!B:B, 1, FALSE)</f>
        <v>#N/A</v>
      </c>
      <c r="B1241" s="363">
        <v>33407756</v>
      </c>
      <c r="C1241" s="362" t="s">
        <v>13992</v>
      </c>
      <c r="D1241" s="362" t="s">
        <v>13993</v>
      </c>
      <c r="E1241" s="362" t="s">
        <v>13994</v>
      </c>
      <c r="F1241" s="362" t="s">
        <v>8230</v>
      </c>
      <c r="G1241" s="362" t="s">
        <v>11166</v>
      </c>
      <c r="H1241" s="363">
        <v>2021</v>
      </c>
      <c r="I1241" s="378">
        <v>44203</v>
      </c>
      <c r="J1241" s="434" t="s">
        <v>8231</v>
      </c>
      <c r="K1241" s="425"/>
      <c r="L1241" s="362" t="s">
        <v>13995</v>
      </c>
    </row>
    <row r="1242" spans="1:12">
      <c r="A1242" s="363">
        <f>VLOOKUP(B1242, 'PubMed 4.14.21 Results'!B:B, 1, FALSE)</f>
        <v>33306989</v>
      </c>
      <c r="B1242" s="363">
        <v>33306989</v>
      </c>
      <c r="C1242" s="362" t="s">
        <v>13996</v>
      </c>
      <c r="D1242" s="362" t="s">
        <v>13997</v>
      </c>
      <c r="E1242" s="362" t="s">
        <v>13998</v>
      </c>
      <c r="F1242" s="362" t="s">
        <v>8016</v>
      </c>
      <c r="G1242" s="362" t="s">
        <v>9420</v>
      </c>
      <c r="H1242" s="363">
        <v>2021</v>
      </c>
      <c r="I1242" s="378">
        <v>44176</v>
      </c>
      <c r="J1242" s="434" t="s">
        <v>8017</v>
      </c>
      <c r="K1242" s="425"/>
      <c r="L1242" s="362" t="s">
        <v>13999</v>
      </c>
    </row>
    <row r="1243" spans="1:12">
      <c r="A1243" s="363" t="e">
        <f>VLOOKUP(B1243, 'PubMed 4.14.21 Results'!B:B, 1, FALSE)</f>
        <v>#N/A</v>
      </c>
      <c r="B1243" s="363">
        <v>33422025</v>
      </c>
      <c r="C1243" s="362" t="s">
        <v>14000</v>
      </c>
      <c r="D1243" s="362" t="s">
        <v>14001</v>
      </c>
      <c r="E1243" s="362" t="s">
        <v>14002</v>
      </c>
      <c r="F1243" s="362" t="s">
        <v>8232</v>
      </c>
      <c r="G1243" s="362" t="s">
        <v>10907</v>
      </c>
      <c r="H1243" s="363">
        <v>2021</v>
      </c>
      <c r="I1243" s="378">
        <v>44206</v>
      </c>
      <c r="J1243" s="434" t="s">
        <v>8233</v>
      </c>
      <c r="K1243" s="425"/>
      <c r="L1243" s="362" t="s">
        <v>14003</v>
      </c>
    </row>
    <row r="1244" spans="1:12">
      <c r="A1244" s="363">
        <f>VLOOKUP(B1244, 'PubMed 4.14.21 Results'!B:B, 1, FALSE)</f>
        <v>33448349</v>
      </c>
      <c r="B1244" s="363">
        <v>33448349</v>
      </c>
      <c r="C1244" s="362" t="s">
        <v>14004</v>
      </c>
      <c r="D1244" s="362" t="s">
        <v>14005</v>
      </c>
      <c r="E1244" s="362" t="s">
        <v>14006</v>
      </c>
      <c r="F1244" s="362" t="s">
        <v>7122</v>
      </c>
      <c r="G1244" s="362" t="s">
        <v>8857</v>
      </c>
      <c r="H1244" s="363">
        <v>2021</v>
      </c>
      <c r="I1244" s="378">
        <v>44211</v>
      </c>
      <c r="J1244" s="434" t="s">
        <v>14007</v>
      </c>
      <c r="K1244" s="425"/>
      <c r="L1244" s="362" t="s">
        <v>14008</v>
      </c>
    </row>
    <row r="1245" spans="1:12">
      <c r="A1245" s="363">
        <f>VLOOKUP(B1245, 'PubMed 4.14.21 Results'!B:B, 1, FALSE)</f>
        <v>33453783</v>
      </c>
      <c r="B1245" s="363">
        <v>33453783</v>
      </c>
      <c r="C1245" s="362" t="s">
        <v>14009</v>
      </c>
      <c r="D1245" s="362" t="s">
        <v>14010</v>
      </c>
      <c r="E1245" s="362" t="s">
        <v>14011</v>
      </c>
      <c r="F1245" s="362" t="s">
        <v>6514</v>
      </c>
      <c r="G1245" s="362" t="s">
        <v>9420</v>
      </c>
      <c r="H1245" s="363">
        <v>2021</v>
      </c>
      <c r="I1245" s="378">
        <v>44213</v>
      </c>
      <c r="J1245" s="365"/>
      <c r="K1245" s="365"/>
      <c r="L1245" s="362" t="s">
        <v>14012</v>
      </c>
    </row>
    <row r="1246" spans="1:12">
      <c r="A1246" s="363">
        <f>VLOOKUP(B1246, 'PubMed 4.14.21 Results'!B:B, 1, FALSE)</f>
        <v>33477334</v>
      </c>
      <c r="B1246" s="363">
        <v>33477334</v>
      </c>
      <c r="C1246" s="362" t="s">
        <v>14013</v>
      </c>
      <c r="D1246" s="362" t="s">
        <v>14014</v>
      </c>
      <c r="E1246" s="362" t="s">
        <v>14015</v>
      </c>
      <c r="F1246" s="362" t="s">
        <v>7351</v>
      </c>
      <c r="G1246" s="362" t="s">
        <v>14016</v>
      </c>
      <c r="H1246" s="363">
        <v>2021</v>
      </c>
      <c r="I1246" s="378">
        <v>44218</v>
      </c>
      <c r="J1246" s="434" t="s">
        <v>7352</v>
      </c>
      <c r="K1246" s="425"/>
      <c r="L1246" s="362" t="s">
        <v>14017</v>
      </c>
    </row>
    <row r="1247" spans="1:12">
      <c r="A1247" s="363">
        <f>VLOOKUP(B1247, 'PubMed 4.14.21 Results'!B:B, 1, FALSE)</f>
        <v>33499310</v>
      </c>
      <c r="B1247" s="363">
        <v>33499310</v>
      </c>
      <c r="C1247" s="362" t="s">
        <v>14018</v>
      </c>
      <c r="D1247" s="362" t="s">
        <v>14019</v>
      </c>
      <c r="E1247" s="362" t="s">
        <v>14020</v>
      </c>
      <c r="F1247" s="362" t="s">
        <v>6728</v>
      </c>
      <c r="G1247" s="362" t="s">
        <v>13234</v>
      </c>
      <c r="H1247" s="363">
        <v>2021</v>
      </c>
      <c r="I1247" s="378">
        <v>44223</v>
      </c>
      <c r="J1247" s="434" t="s">
        <v>6729</v>
      </c>
      <c r="K1247" s="425"/>
      <c r="L1247" s="362" t="s">
        <v>14021</v>
      </c>
    </row>
    <row r="1248" spans="1:12">
      <c r="A1248" s="363" t="e">
        <f>VLOOKUP(B1248, 'PubMed 4.14.21 Results'!B:B, 1, FALSE)</f>
        <v>#N/A</v>
      </c>
      <c r="B1248" s="363">
        <v>32088302</v>
      </c>
      <c r="C1248" s="362" t="s">
        <v>14022</v>
      </c>
      <c r="D1248" s="362" t="s">
        <v>14023</v>
      </c>
      <c r="E1248" s="362" t="s">
        <v>14024</v>
      </c>
      <c r="F1248" s="362" t="s">
        <v>8234</v>
      </c>
      <c r="G1248" s="362" t="s">
        <v>13552</v>
      </c>
      <c r="H1248" s="363">
        <v>2021</v>
      </c>
      <c r="I1248" s="378">
        <v>43885</v>
      </c>
      <c r="J1248" s="365"/>
      <c r="K1248" s="365"/>
      <c r="L1248" s="362" t="s">
        <v>14025</v>
      </c>
    </row>
    <row r="1249" spans="1:12">
      <c r="A1249" s="363" t="e">
        <f>VLOOKUP(B1249, 'PubMed 4.14.21 Results'!B:B, 1, FALSE)</f>
        <v>#N/A</v>
      </c>
      <c r="B1249" s="363">
        <v>32691466</v>
      </c>
      <c r="C1249" s="362" t="s">
        <v>14026</v>
      </c>
      <c r="D1249" s="362" t="s">
        <v>14027</v>
      </c>
      <c r="E1249" s="362" t="s">
        <v>14028</v>
      </c>
      <c r="F1249" s="362" t="s">
        <v>8235</v>
      </c>
      <c r="G1249" s="362" t="s">
        <v>10818</v>
      </c>
      <c r="H1249" s="363">
        <v>2021</v>
      </c>
      <c r="I1249" s="378">
        <v>44034</v>
      </c>
      <c r="J1249" s="365"/>
      <c r="K1249" s="365"/>
      <c r="L1249" s="362" t="s">
        <v>14029</v>
      </c>
    </row>
    <row r="1250" spans="1:12">
      <c r="A1250" s="363">
        <f>VLOOKUP(B1250, 'PubMed 4.14.21 Results'!B:B, 1, FALSE)</f>
        <v>32750273</v>
      </c>
      <c r="B1250" s="363">
        <v>32750273</v>
      </c>
      <c r="C1250" s="362" t="s">
        <v>14030</v>
      </c>
      <c r="D1250" s="362" t="s">
        <v>14031</v>
      </c>
      <c r="E1250" s="362" t="s">
        <v>14032</v>
      </c>
      <c r="F1250" s="362" t="s">
        <v>7738</v>
      </c>
      <c r="G1250" s="362" t="s">
        <v>11713</v>
      </c>
      <c r="H1250" s="363">
        <v>2021</v>
      </c>
      <c r="I1250" s="378">
        <v>44048</v>
      </c>
      <c r="J1250" s="434" t="s">
        <v>7739</v>
      </c>
      <c r="K1250" s="425"/>
      <c r="L1250" s="362" t="s">
        <v>14033</v>
      </c>
    </row>
    <row r="1251" spans="1:12">
      <c r="A1251" s="363">
        <f>VLOOKUP(B1251, 'PubMed 4.14.21 Results'!B:B, 1, FALSE)</f>
        <v>32926834</v>
      </c>
      <c r="B1251" s="363">
        <v>32926834</v>
      </c>
      <c r="C1251" s="362" t="s">
        <v>14034</v>
      </c>
      <c r="D1251" s="362" t="s">
        <v>14035</v>
      </c>
      <c r="E1251" s="362" t="s">
        <v>14036</v>
      </c>
      <c r="F1251" s="362" t="s">
        <v>6404</v>
      </c>
      <c r="G1251" s="362" t="s">
        <v>10976</v>
      </c>
      <c r="H1251" s="363">
        <v>2021</v>
      </c>
      <c r="I1251" s="378">
        <v>44088</v>
      </c>
      <c r="J1251" s="365"/>
      <c r="K1251" s="365"/>
      <c r="L1251" s="362" t="s">
        <v>14037</v>
      </c>
    </row>
    <row r="1252" spans="1:12">
      <c r="A1252" s="363">
        <f>VLOOKUP(B1252, 'PubMed 4.14.21 Results'!B:B, 1, FALSE)</f>
        <v>33093279</v>
      </c>
      <c r="B1252" s="363">
        <v>33093279</v>
      </c>
      <c r="C1252" s="362" t="s">
        <v>14038</v>
      </c>
      <c r="D1252" s="362" t="s">
        <v>14039</v>
      </c>
      <c r="E1252" s="362" t="s">
        <v>14040</v>
      </c>
      <c r="F1252" s="362" t="s">
        <v>6612</v>
      </c>
      <c r="G1252" s="362" t="s">
        <v>8504</v>
      </c>
      <c r="H1252" s="363">
        <v>2021</v>
      </c>
      <c r="I1252" s="378">
        <v>44127</v>
      </c>
      <c r="J1252" s="365"/>
      <c r="K1252" s="365"/>
      <c r="L1252" s="362" t="s">
        <v>14041</v>
      </c>
    </row>
    <row r="1253" spans="1:12">
      <c r="A1253" s="363">
        <f>VLOOKUP(B1253, 'PubMed 4.14.21 Results'!B:B, 1, FALSE)</f>
        <v>33432484</v>
      </c>
      <c r="B1253" s="363">
        <v>33432484</v>
      </c>
      <c r="C1253" s="362" t="s">
        <v>14042</v>
      </c>
      <c r="D1253" s="362" t="s">
        <v>14043</v>
      </c>
      <c r="E1253" s="362" t="s">
        <v>14044</v>
      </c>
      <c r="F1253" s="362" t="s">
        <v>7116</v>
      </c>
      <c r="G1253" s="362" t="s">
        <v>14045</v>
      </c>
      <c r="H1253" s="363">
        <v>2021</v>
      </c>
      <c r="I1253" s="378">
        <v>44208</v>
      </c>
      <c r="J1253" s="434" t="s">
        <v>7117</v>
      </c>
      <c r="K1253" s="425"/>
      <c r="L1253" s="362" t="s">
        <v>14046</v>
      </c>
    </row>
    <row r="1254" spans="1:12">
      <c r="A1254" s="363" t="e">
        <f>VLOOKUP(B1254, 'PubMed 4.14.21 Results'!B:B, 1, FALSE)</f>
        <v>#N/A</v>
      </c>
      <c r="B1254" s="363">
        <v>33588453</v>
      </c>
      <c r="C1254" s="362" t="s">
        <v>14047</v>
      </c>
      <c r="D1254" s="362" t="s">
        <v>14048</v>
      </c>
      <c r="E1254" s="362" t="s">
        <v>14049</v>
      </c>
      <c r="F1254" s="362" t="s">
        <v>8236</v>
      </c>
      <c r="G1254" s="362" t="s">
        <v>13065</v>
      </c>
      <c r="H1254" s="363">
        <v>2021</v>
      </c>
      <c r="I1254" s="378">
        <v>44242</v>
      </c>
      <c r="J1254" s="365"/>
      <c r="K1254" s="365"/>
      <c r="L1254" s="362" t="s">
        <v>14050</v>
      </c>
    </row>
    <row r="1255" spans="1:12">
      <c r="A1255" s="363" t="e">
        <f>VLOOKUP(B1255, 'PubMed 4.14.21 Results'!B:B, 1, FALSE)</f>
        <v>#N/A</v>
      </c>
      <c r="B1255" s="363">
        <v>33083813</v>
      </c>
      <c r="C1255" s="362" t="s">
        <v>14051</v>
      </c>
      <c r="D1255" s="362" t="s">
        <v>14052</v>
      </c>
      <c r="E1255" s="362" t="s">
        <v>14053</v>
      </c>
      <c r="F1255" s="362" t="s">
        <v>8237</v>
      </c>
      <c r="G1255" s="362" t="s">
        <v>14054</v>
      </c>
      <c r="H1255" s="363">
        <v>2021</v>
      </c>
      <c r="I1255" s="378">
        <v>44125</v>
      </c>
      <c r="J1255" s="365"/>
      <c r="K1255" s="365"/>
      <c r="L1255" s="362" t="s">
        <v>14055</v>
      </c>
    </row>
    <row r="1256" spans="1:12">
      <c r="A1256" s="363">
        <f>VLOOKUP(B1256, 'PubMed 4.14.21 Results'!B:B, 1, FALSE)</f>
        <v>33568628</v>
      </c>
      <c r="B1256" s="363">
        <v>33568628</v>
      </c>
      <c r="C1256" s="362" t="s">
        <v>14056</v>
      </c>
      <c r="D1256" s="362" t="s">
        <v>14057</v>
      </c>
      <c r="E1256" s="362" t="s">
        <v>14058</v>
      </c>
      <c r="F1256" s="362" t="s">
        <v>7805</v>
      </c>
      <c r="G1256" s="362" t="s">
        <v>14059</v>
      </c>
      <c r="H1256" s="363">
        <v>2021</v>
      </c>
      <c r="I1256" s="378">
        <v>44238</v>
      </c>
      <c r="J1256" s="434" t="s">
        <v>7806</v>
      </c>
      <c r="K1256" s="425"/>
      <c r="L1256" s="362" t="s">
        <v>14060</v>
      </c>
    </row>
    <row r="1257" spans="1:12">
      <c r="A1257" s="363">
        <f>VLOOKUP(B1257, 'PubMed 4.14.21 Results'!B:B, 1, FALSE)</f>
        <v>33624299</v>
      </c>
      <c r="B1257" s="363">
        <v>33624299</v>
      </c>
      <c r="C1257" s="362" t="s">
        <v>14061</v>
      </c>
      <c r="D1257" s="362" t="s">
        <v>14062</v>
      </c>
      <c r="E1257" s="362" t="s">
        <v>14063</v>
      </c>
      <c r="F1257" s="362" t="s">
        <v>7835</v>
      </c>
      <c r="G1257" s="362" t="s">
        <v>8857</v>
      </c>
      <c r="H1257" s="363">
        <v>2021</v>
      </c>
      <c r="I1257" s="378">
        <v>44251</v>
      </c>
      <c r="J1257" s="434" t="s">
        <v>14064</v>
      </c>
      <c r="K1257" s="425"/>
      <c r="L1257" s="362" t="s">
        <v>14065</v>
      </c>
    </row>
    <row r="1258" spans="1:12">
      <c r="A1258" s="363" t="e">
        <f>VLOOKUP(B1258, 'PubMed 4.14.21 Results'!B:B, 1, FALSE)</f>
        <v>#N/A</v>
      </c>
      <c r="B1258" s="363">
        <v>32976576</v>
      </c>
      <c r="C1258" s="362" t="s">
        <v>14066</v>
      </c>
      <c r="D1258" s="362" t="s">
        <v>14067</v>
      </c>
      <c r="E1258" s="362" t="s">
        <v>14068</v>
      </c>
      <c r="F1258" s="362" t="s">
        <v>8238</v>
      </c>
      <c r="G1258" s="362" t="s">
        <v>8540</v>
      </c>
      <c r="H1258" s="363">
        <v>2021</v>
      </c>
      <c r="I1258" s="378">
        <v>44099</v>
      </c>
      <c r="J1258" s="434" t="s">
        <v>8239</v>
      </c>
      <c r="K1258" s="425"/>
      <c r="L1258" s="362" t="s">
        <v>14069</v>
      </c>
    </row>
    <row r="1259" spans="1:12">
      <c r="A1259" s="363">
        <f>VLOOKUP(B1259, 'PubMed 4.14.21 Results'!B:B, 1, FALSE)</f>
        <v>33612824</v>
      </c>
      <c r="B1259" s="363">
        <v>33612824</v>
      </c>
      <c r="C1259" s="362" t="s">
        <v>14070</v>
      </c>
      <c r="D1259" s="362" t="s">
        <v>14071</v>
      </c>
      <c r="E1259" s="362" t="s">
        <v>14072</v>
      </c>
      <c r="F1259" s="362" t="s">
        <v>7319</v>
      </c>
      <c r="G1259" s="362" t="s">
        <v>14059</v>
      </c>
      <c r="H1259" s="363">
        <v>2021</v>
      </c>
      <c r="I1259" s="378">
        <v>44249</v>
      </c>
      <c r="J1259" s="434" t="s">
        <v>7320</v>
      </c>
      <c r="K1259" s="425"/>
      <c r="L1259" s="362" t="s">
        <v>14073</v>
      </c>
    </row>
    <row r="1260" spans="1:12">
      <c r="A1260" s="363" t="e">
        <f>VLOOKUP(B1260, 'PubMed 4.14.21 Results'!B:B, 1, FALSE)</f>
        <v>#N/A</v>
      </c>
      <c r="B1260" s="363">
        <v>32052014</v>
      </c>
      <c r="C1260" s="362" t="s">
        <v>14074</v>
      </c>
      <c r="D1260" s="362" t="s">
        <v>14075</v>
      </c>
      <c r="E1260" s="362" t="s">
        <v>14076</v>
      </c>
      <c r="F1260" s="362" t="s">
        <v>8240</v>
      </c>
      <c r="G1260" s="362" t="s">
        <v>9152</v>
      </c>
      <c r="H1260" s="363">
        <v>2021</v>
      </c>
      <c r="I1260" s="378">
        <v>43875</v>
      </c>
      <c r="J1260" s="434" t="s">
        <v>8241</v>
      </c>
      <c r="K1260" s="425"/>
      <c r="L1260" s="362" t="s">
        <v>14077</v>
      </c>
    </row>
    <row r="1261" spans="1:12">
      <c r="A1261" s="363" t="e">
        <f>VLOOKUP(B1261, 'PubMed 4.14.21 Results'!B:B, 1, FALSE)</f>
        <v>#N/A</v>
      </c>
      <c r="B1261" s="363">
        <v>33153764</v>
      </c>
      <c r="C1261" s="379" t="s">
        <v>14078</v>
      </c>
      <c r="D1261" s="362" t="s">
        <v>14079</v>
      </c>
      <c r="E1261" s="362" t="s">
        <v>14080</v>
      </c>
      <c r="F1261" s="362" t="s">
        <v>8243</v>
      </c>
      <c r="G1261" s="362" t="s">
        <v>14081</v>
      </c>
      <c r="H1261" s="363">
        <v>2021</v>
      </c>
      <c r="I1261" s="378">
        <v>44141</v>
      </c>
      <c r="J1261" s="365"/>
      <c r="K1261" s="365"/>
      <c r="L1261" s="362" t="s">
        <v>14082</v>
      </c>
    </row>
    <row r="1262" spans="1:12">
      <c r="A1262" s="363">
        <f>VLOOKUP(B1262, 'PubMed 4.14.21 Results'!B:B, 1, FALSE)</f>
        <v>33429331</v>
      </c>
      <c r="B1262" s="363">
        <v>33429331</v>
      </c>
      <c r="C1262" s="362" t="s">
        <v>14083</v>
      </c>
      <c r="D1262" s="362" t="s">
        <v>14084</v>
      </c>
      <c r="E1262" s="362" t="s">
        <v>14085</v>
      </c>
      <c r="F1262" s="362" t="s">
        <v>7441</v>
      </c>
      <c r="G1262" s="362" t="s">
        <v>14086</v>
      </c>
      <c r="H1262" s="363">
        <v>2021</v>
      </c>
      <c r="I1262" s="378">
        <v>44207</v>
      </c>
      <c r="J1262" s="434" t="s">
        <v>7442</v>
      </c>
      <c r="K1262" s="425"/>
      <c r="L1262" s="362" t="s">
        <v>14087</v>
      </c>
    </row>
    <row r="1263" spans="1:12">
      <c r="A1263" s="363">
        <f>VLOOKUP(B1263, 'PubMed 4.14.21 Results'!B:B, 1, FALSE)</f>
        <v>33737345</v>
      </c>
      <c r="B1263" s="363">
        <v>33737345</v>
      </c>
      <c r="C1263" s="362" t="s">
        <v>14088</v>
      </c>
      <c r="D1263" s="362" t="s">
        <v>14089</v>
      </c>
      <c r="E1263" s="362" t="s">
        <v>14090</v>
      </c>
      <c r="F1263" s="362" t="s">
        <v>7593</v>
      </c>
      <c r="G1263" s="362" t="s">
        <v>13580</v>
      </c>
      <c r="H1263" s="363">
        <v>2021</v>
      </c>
      <c r="I1263" s="378">
        <v>44274</v>
      </c>
      <c r="J1263" s="434" t="s">
        <v>7594</v>
      </c>
      <c r="K1263" s="425"/>
      <c r="L1263" s="362" t="s">
        <v>14091</v>
      </c>
    </row>
    <row r="1264" spans="1:12">
      <c r="A1264" s="363" t="e">
        <f>VLOOKUP(B1264, 'PubMed 4.14.21 Results'!B:B, 1, FALSE)</f>
        <v>#N/A</v>
      </c>
      <c r="B1264" s="363">
        <v>32949140</v>
      </c>
      <c r="C1264" s="362" t="s">
        <v>14092</v>
      </c>
      <c r="D1264" s="362" t="s">
        <v>14093</v>
      </c>
      <c r="E1264" s="362" t="s">
        <v>14094</v>
      </c>
      <c r="F1264" s="362" t="s">
        <v>8244</v>
      </c>
      <c r="G1264" s="362" t="s">
        <v>12310</v>
      </c>
      <c r="H1264" s="363">
        <v>2021</v>
      </c>
      <c r="I1264" s="378">
        <v>44093</v>
      </c>
      <c r="J1264" s="365"/>
      <c r="K1264" s="365"/>
      <c r="L1264" s="362" t="s">
        <v>14095</v>
      </c>
    </row>
    <row r="1265" spans="1:12">
      <c r="A1265" s="363">
        <f>VLOOKUP(B1265, 'PubMed 4.14.21 Results'!B:B, 1, FALSE)</f>
        <v>32645714</v>
      </c>
      <c r="B1265" s="363">
        <v>32645714</v>
      </c>
      <c r="C1265" s="362" t="s">
        <v>14096</v>
      </c>
      <c r="D1265" s="362" t="s">
        <v>14097</v>
      </c>
      <c r="E1265" s="362" t="s">
        <v>14098</v>
      </c>
      <c r="F1265" s="362" t="s">
        <v>408</v>
      </c>
      <c r="G1265" s="362" t="s">
        <v>9497</v>
      </c>
      <c r="H1265" s="363">
        <v>2021</v>
      </c>
      <c r="I1265" s="378">
        <v>44022</v>
      </c>
      <c r="J1265" s="365"/>
      <c r="K1265" s="365"/>
      <c r="L1265" s="362" t="s">
        <v>14099</v>
      </c>
    </row>
    <row r="1266" spans="1:12">
      <c r="A1266" s="363">
        <f>VLOOKUP(B1266, 'PubMed 4.14.21 Results'!B:B, 1, FALSE)</f>
        <v>33657293</v>
      </c>
      <c r="B1266" s="363">
        <v>33657293</v>
      </c>
      <c r="C1266" s="362" t="s">
        <v>14100</v>
      </c>
      <c r="D1266" s="362" t="s">
        <v>14101</v>
      </c>
      <c r="E1266" s="362" t="s">
        <v>14102</v>
      </c>
      <c r="F1266" s="362" t="s">
        <v>6656</v>
      </c>
      <c r="G1266" s="362" t="s">
        <v>8514</v>
      </c>
      <c r="H1266" s="363">
        <v>2021</v>
      </c>
      <c r="I1266" s="378">
        <v>44258</v>
      </c>
      <c r="J1266" s="365"/>
      <c r="K1266" s="365"/>
      <c r="L1266" s="362" t="s">
        <v>14103</v>
      </c>
    </row>
    <row r="1267" spans="1:12">
      <c r="A1267" s="363" t="e">
        <f>VLOOKUP(B1267, 'PubMed 4.14.21 Results'!B:B, 1, FALSE)</f>
        <v>#N/A</v>
      </c>
      <c r="B1267" s="363">
        <v>33662147</v>
      </c>
      <c r="C1267" s="362" t="s">
        <v>14104</v>
      </c>
      <c r="D1267" s="362" t="s">
        <v>14105</v>
      </c>
      <c r="E1267" s="362" t="s">
        <v>14106</v>
      </c>
      <c r="F1267" s="362" t="s">
        <v>8245</v>
      </c>
      <c r="G1267" s="362" t="s">
        <v>8857</v>
      </c>
      <c r="H1267" s="363">
        <v>2021</v>
      </c>
      <c r="I1267" s="378">
        <v>44259</v>
      </c>
      <c r="J1267" s="434" t="s">
        <v>8246</v>
      </c>
      <c r="K1267" s="425"/>
      <c r="L1267" s="362" t="s">
        <v>14107</v>
      </c>
    </row>
    <row r="1268" spans="1:12">
      <c r="A1268" s="363">
        <f>VLOOKUP(B1268, 'PubMed 4.14.21 Results'!B:B, 1, FALSE)</f>
        <v>33567185</v>
      </c>
      <c r="B1268" s="363">
        <v>33567185</v>
      </c>
      <c r="C1268" s="362" t="s">
        <v>14108</v>
      </c>
      <c r="D1268" s="362" t="s">
        <v>14109</v>
      </c>
      <c r="E1268" s="362" t="s">
        <v>14110</v>
      </c>
      <c r="F1268" s="362" t="s">
        <v>8067</v>
      </c>
      <c r="G1268" s="362" t="s">
        <v>8514</v>
      </c>
      <c r="H1268" s="363">
        <v>2021</v>
      </c>
      <c r="I1268" s="378">
        <v>44237</v>
      </c>
      <c r="J1268" s="365"/>
      <c r="K1268" s="365"/>
      <c r="L1268" s="362" t="s">
        <v>14111</v>
      </c>
    </row>
    <row r="1269" spans="1:12">
      <c r="A1269" s="363">
        <f>VLOOKUP(B1269, 'PubMed 4.14.21 Results'!B:B, 1, FALSE)</f>
        <v>33752741</v>
      </c>
      <c r="B1269" s="363">
        <v>33752741</v>
      </c>
      <c r="C1269" s="362" t="s">
        <v>14112</v>
      </c>
      <c r="D1269" s="362" t="s">
        <v>14113</v>
      </c>
      <c r="E1269" s="362" t="s">
        <v>14114</v>
      </c>
      <c r="F1269" s="362" t="s">
        <v>7895</v>
      </c>
      <c r="G1269" s="362" t="s">
        <v>9906</v>
      </c>
      <c r="H1269" s="363">
        <v>2021</v>
      </c>
      <c r="I1269" s="378">
        <v>44278</v>
      </c>
      <c r="J1269" s="434" t="s">
        <v>7896</v>
      </c>
      <c r="K1269" s="425"/>
      <c r="L1269" s="362" t="s">
        <v>14115</v>
      </c>
    </row>
    <row r="1270" spans="1:12">
      <c r="A1270" s="363">
        <f>VLOOKUP(B1270, 'PubMed 4.14.21 Results'!B:B, 1, FALSE)</f>
        <v>33765062</v>
      </c>
      <c r="B1270" s="363">
        <v>33765062</v>
      </c>
      <c r="C1270" s="362" t="s">
        <v>14116</v>
      </c>
      <c r="D1270" s="362" t="s">
        <v>14117</v>
      </c>
      <c r="E1270" s="362" t="s">
        <v>14118</v>
      </c>
      <c r="F1270" s="362" t="s">
        <v>7215</v>
      </c>
      <c r="G1270" s="362" t="s">
        <v>14119</v>
      </c>
      <c r="H1270" s="363">
        <v>2021</v>
      </c>
      <c r="I1270" s="378">
        <v>44280</v>
      </c>
      <c r="J1270" s="434" t="s">
        <v>14120</v>
      </c>
      <c r="K1270" s="425"/>
      <c r="L1270" s="362" t="s">
        <v>14121</v>
      </c>
    </row>
    <row r="1271" spans="1:12">
      <c r="A1271" s="363" t="e">
        <f>VLOOKUP(B1271, 'PubMed 4.14.21 Results'!B:B, 1, FALSE)</f>
        <v>#N/A</v>
      </c>
      <c r="B1271" s="363">
        <v>33792252</v>
      </c>
      <c r="C1271" s="362" t="s">
        <v>14122</v>
      </c>
      <c r="D1271" s="362" t="s">
        <v>14123</v>
      </c>
      <c r="E1271" s="362" t="s">
        <v>14124</v>
      </c>
      <c r="F1271" s="362" t="s">
        <v>8247</v>
      </c>
      <c r="G1271" s="362" t="s">
        <v>14125</v>
      </c>
      <c r="H1271" s="363">
        <v>2021</v>
      </c>
      <c r="I1271" s="378">
        <v>44287</v>
      </c>
      <c r="J1271" s="365"/>
      <c r="K1271" s="365"/>
      <c r="L1271" s="362" t="s">
        <v>14126</v>
      </c>
    </row>
    <row r="1272" spans="1:12">
      <c r="A1272" s="363">
        <f>VLOOKUP(B1272, 'PubMed 4.14.21 Results'!B:B, 1, FALSE)</f>
        <v>33296619</v>
      </c>
      <c r="B1272" s="363">
        <v>33296619</v>
      </c>
      <c r="C1272" s="362" t="s">
        <v>14127</v>
      </c>
      <c r="D1272" s="362" t="s">
        <v>14128</v>
      </c>
      <c r="E1272" s="362" t="s">
        <v>14129</v>
      </c>
      <c r="F1272" s="362" t="s">
        <v>7128</v>
      </c>
      <c r="G1272" s="362" t="s">
        <v>14130</v>
      </c>
      <c r="H1272" s="363">
        <v>2021</v>
      </c>
      <c r="I1272" s="378">
        <v>44174</v>
      </c>
      <c r="J1272" s="434" t="s">
        <v>7129</v>
      </c>
      <c r="K1272" s="425"/>
      <c r="L1272" s="362" t="s">
        <v>14131</v>
      </c>
    </row>
    <row r="1273" spans="1:12">
      <c r="A1273" s="363" t="e">
        <f>VLOOKUP(B1273, 'PubMed 4.14.21 Results'!B:B, 1, FALSE)</f>
        <v>#N/A</v>
      </c>
      <c r="B1273" s="363">
        <v>33400381</v>
      </c>
      <c r="C1273" s="362" t="s">
        <v>14132</v>
      </c>
      <c r="D1273" s="362" t="s">
        <v>14133</v>
      </c>
      <c r="E1273" s="362" t="s">
        <v>14134</v>
      </c>
      <c r="F1273" s="362" t="s">
        <v>8248</v>
      </c>
      <c r="G1273" s="362" t="s">
        <v>14135</v>
      </c>
      <c r="H1273" s="363">
        <v>2021</v>
      </c>
      <c r="I1273" s="378">
        <v>44201</v>
      </c>
      <c r="J1273" s="365"/>
      <c r="K1273" s="365"/>
      <c r="L1273" s="362" t="s">
        <v>14136</v>
      </c>
    </row>
    <row r="1274" spans="1:12">
      <c r="A1274" s="363">
        <f>VLOOKUP(B1274, 'PubMed 4.14.21 Results'!B:B, 1, FALSE)</f>
        <v>33577770</v>
      </c>
      <c r="B1274" s="363">
        <v>33577770</v>
      </c>
      <c r="C1274" s="362" t="s">
        <v>14137</v>
      </c>
      <c r="D1274" s="362" t="s">
        <v>14138</v>
      </c>
      <c r="E1274" s="362" t="s">
        <v>14139</v>
      </c>
      <c r="F1274" s="362" t="s">
        <v>6498</v>
      </c>
      <c r="G1274" s="362" t="s">
        <v>13765</v>
      </c>
      <c r="H1274" s="363">
        <v>2021</v>
      </c>
      <c r="I1274" s="378">
        <v>44239</v>
      </c>
      <c r="J1274" s="434" t="s">
        <v>6499</v>
      </c>
      <c r="K1274" s="425"/>
      <c r="L1274" s="362" t="s">
        <v>14140</v>
      </c>
    </row>
    <row r="1275" spans="1:12">
      <c r="A1275" s="363">
        <f>VLOOKUP(B1275, 'PubMed 4.14.21 Results'!B:B, 1, FALSE)</f>
        <v>33786063</v>
      </c>
      <c r="B1275" s="363">
        <v>33786063</v>
      </c>
      <c r="C1275" s="362" t="s">
        <v>14141</v>
      </c>
      <c r="D1275" s="362" t="s">
        <v>14142</v>
      </c>
      <c r="E1275" s="362" t="s">
        <v>14143</v>
      </c>
      <c r="F1275" s="362" t="s">
        <v>7112</v>
      </c>
      <c r="G1275" s="362" t="s">
        <v>14144</v>
      </c>
      <c r="H1275" s="363">
        <v>2021</v>
      </c>
      <c r="I1275" s="378">
        <v>44286</v>
      </c>
      <c r="J1275" s="434" t="s">
        <v>7113</v>
      </c>
      <c r="K1275" s="425"/>
      <c r="L1275" s="362" t="s">
        <v>14145</v>
      </c>
    </row>
    <row r="1276" spans="1:12">
      <c r="A1276" s="363" t="e">
        <f>VLOOKUP(B1276, 'PubMed 4.14.21 Results'!B:B, 1, FALSE)</f>
        <v>#N/A</v>
      </c>
      <c r="B1276" s="363">
        <v>33862589</v>
      </c>
      <c r="C1276" s="362" t="s">
        <v>14146</v>
      </c>
      <c r="D1276" s="362" t="s">
        <v>14147</v>
      </c>
      <c r="E1276" s="362" t="s">
        <v>14148</v>
      </c>
      <c r="F1276" s="362" t="s">
        <v>1331</v>
      </c>
      <c r="G1276" s="362" t="s">
        <v>11664</v>
      </c>
      <c r="H1276" s="363">
        <v>2021</v>
      </c>
      <c r="I1276" s="378">
        <v>44302</v>
      </c>
      <c r="J1276" s="434" t="s">
        <v>8250</v>
      </c>
      <c r="K1276" s="425"/>
      <c r="L1276" s="362" t="s">
        <v>14149</v>
      </c>
    </row>
    <row r="1277" spans="1:12">
      <c r="A1277" s="363" t="e">
        <f>VLOOKUP(B1277, 'PubMed 4.14.21 Results'!B:B, 1, FALSE)</f>
        <v>#N/A</v>
      </c>
      <c r="B1277" s="363">
        <v>32161944</v>
      </c>
      <c r="C1277" s="362" t="s">
        <v>14150</v>
      </c>
      <c r="D1277" s="362" t="s">
        <v>14151</v>
      </c>
      <c r="E1277" s="362" t="s">
        <v>14152</v>
      </c>
      <c r="F1277" s="362" t="s">
        <v>8251</v>
      </c>
      <c r="G1277" s="362" t="s">
        <v>9152</v>
      </c>
      <c r="H1277" s="363">
        <v>2021</v>
      </c>
      <c r="I1277" s="378">
        <v>43903</v>
      </c>
      <c r="J1277" s="434" t="s">
        <v>8252</v>
      </c>
      <c r="K1277" s="425"/>
      <c r="L1277" s="362" t="s">
        <v>14153</v>
      </c>
    </row>
    <row r="1278" spans="1:12">
      <c r="A1278" s="363" t="e">
        <f>VLOOKUP(B1278, 'PubMed 4.14.21 Results'!B:B, 1, FALSE)</f>
        <v>#N/A</v>
      </c>
      <c r="B1278" s="363">
        <v>33734299</v>
      </c>
      <c r="C1278" s="362" t="s">
        <v>14154</v>
      </c>
      <c r="D1278" s="362" t="s">
        <v>14155</v>
      </c>
      <c r="E1278" s="362" t="s">
        <v>14156</v>
      </c>
      <c r="F1278" s="362" t="s">
        <v>8253</v>
      </c>
      <c r="G1278" s="362" t="s">
        <v>8580</v>
      </c>
      <c r="H1278" s="363">
        <v>2021</v>
      </c>
      <c r="I1278" s="378">
        <v>44273</v>
      </c>
      <c r="J1278" s="434" t="s">
        <v>8254</v>
      </c>
      <c r="K1278" s="425"/>
      <c r="L1278" s="362" t="s">
        <v>14157</v>
      </c>
    </row>
    <row r="1279" spans="1:12">
      <c r="A1279" s="363" t="e">
        <f>VLOOKUP(B1279, 'PubMed 4.14.21 Results'!B:B, 1, FALSE)</f>
        <v>#N/A</v>
      </c>
      <c r="B1279" s="363">
        <v>33910617</v>
      </c>
      <c r="C1279" s="362" t="s">
        <v>14158</v>
      </c>
      <c r="D1279" s="362" t="s">
        <v>14159</v>
      </c>
      <c r="E1279" s="362" t="s">
        <v>14160</v>
      </c>
      <c r="F1279" s="362" t="s">
        <v>8255</v>
      </c>
      <c r="G1279" s="362" t="s">
        <v>9906</v>
      </c>
      <c r="H1279" s="363">
        <v>2021</v>
      </c>
      <c r="I1279" s="378">
        <v>44315</v>
      </c>
      <c r="J1279" s="434" t="s">
        <v>8256</v>
      </c>
      <c r="K1279" s="425"/>
      <c r="L1279" s="362" t="s">
        <v>14161</v>
      </c>
    </row>
    <row r="1280" spans="1:12">
      <c r="A1280" s="363" t="e">
        <f>VLOOKUP(B1280, 'PubMed 4.14.21 Results'!B:B, 1, FALSE)</f>
        <v>#N/A</v>
      </c>
      <c r="B1280" s="363">
        <v>32371165</v>
      </c>
      <c r="C1280" s="362" t="s">
        <v>14162</v>
      </c>
      <c r="D1280" s="362" t="s">
        <v>14163</v>
      </c>
      <c r="E1280" s="362" t="s">
        <v>14164</v>
      </c>
      <c r="F1280" s="362" t="s">
        <v>8258</v>
      </c>
      <c r="G1280" s="362" t="s">
        <v>13552</v>
      </c>
      <c r="H1280" s="363">
        <v>2021</v>
      </c>
      <c r="I1280" s="378">
        <v>43958</v>
      </c>
      <c r="J1280" s="365"/>
      <c r="K1280" s="365"/>
      <c r="L1280" s="362" t="s">
        <v>14165</v>
      </c>
    </row>
    <row r="1281" spans="1:12">
      <c r="A1281" s="363">
        <f>VLOOKUP(B1281, 'PubMed 4.14.21 Results'!B:B, 1, FALSE)</f>
        <v>33159237</v>
      </c>
      <c r="B1281" s="363">
        <v>33159237</v>
      </c>
      <c r="C1281" s="362" t="s">
        <v>14166</v>
      </c>
      <c r="D1281" s="362" t="s">
        <v>14167</v>
      </c>
      <c r="E1281" s="362" t="s">
        <v>14168</v>
      </c>
      <c r="F1281" s="362" t="s">
        <v>6642</v>
      </c>
      <c r="G1281" s="362" t="s">
        <v>14169</v>
      </c>
      <c r="H1281" s="363">
        <v>2021</v>
      </c>
      <c r="I1281" s="378">
        <v>44142</v>
      </c>
      <c r="J1281" s="362" t="s">
        <v>14170</v>
      </c>
      <c r="K1281" s="362" t="s">
        <v>14171</v>
      </c>
      <c r="L1281" s="362" t="s">
        <v>14172</v>
      </c>
    </row>
    <row r="1282" spans="1:12">
      <c r="A1282" s="363" t="e">
        <f>VLOOKUP(B1282, 'PubMed 4.14.21 Results'!B:B, 1, FALSE)</f>
        <v>#N/A</v>
      </c>
      <c r="B1282" s="363">
        <v>33560863</v>
      </c>
      <c r="C1282" s="362" t="s">
        <v>14173</v>
      </c>
      <c r="D1282" s="362" t="s">
        <v>14174</v>
      </c>
      <c r="E1282" s="362" t="s">
        <v>14175</v>
      </c>
      <c r="F1282" s="362" t="s">
        <v>8259</v>
      </c>
      <c r="G1282" s="362" t="s">
        <v>13056</v>
      </c>
      <c r="H1282" s="363">
        <v>2021</v>
      </c>
      <c r="I1282" s="378">
        <v>44236</v>
      </c>
      <c r="J1282" s="434" t="s">
        <v>8260</v>
      </c>
      <c r="K1282" s="425"/>
      <c r="L1282" s="362" t="s">
        <v>14176</v>
      </c>
    </row>
    <row r="1283" spans="1:12">
      <c r="A1283" s="363" t="e">
        <f>VLOOKUP(B1283, 'PubMed 4.14.21 Results'!B:B, 1, FALSE)</f>
        <v>#N/A</v>
      </c>
      <c r="B1283" s="363">
        <v>33587687</v>
      </c>
      <c r="C1283" s="362" t="s">
        <v>14177</v>
      </c>
      <c r="D1283" s="362" t="s">
        <v>14178</v>
      </c>
      <c r="E1283" s="362" t="s">
        <v>14179</v>
      </c>
      <c r="F1283" s="362" t="s">
        <v>8261</v>
      </c>
      <c r="G1283" s="362" t="s">
        <v>13056</v>
      </c>
      <c r="H1283" s="363">
        <v>2021</v>
      </c>
      <c r="I1283" s="378">
        <v>44242</v>
      </c>
      <c r="J1283" s="365"/>
      <c r="K1283" s="365"/>
      <c r="L1283" s="362" t="s">
        <v>14180</v>
      </c>
    </row>
    <row r="1284" spans="1:12">
      <c r="A1284" s="363" t="e">
        <f>VLOOKUP(B1284, 'PubMed 4.14.21 Results'!B:B, 1, FALSE)</f>
        <v>#N/A</v>
      </c>
      <c r="B1284" s="363">
        <v>33594741</v>
      </c>
      <c r="C1284" s="362" t="s">
        <v>14181</v>
      </c>
      <c r="D1284" s="362" t="s">
        <v>14182</v>
      </c>
      <c r="E1284" s="362" t="s">
        <v>14183</v>
      </c>
      <c r="F1284" s="362" t="s">
        <v>8263</v>
      </c>
      <c r="G1284" s="362" t="s">
        <v>14184</v>
      </c>
      <c r="H1284" s="363">
        <v>2021</v>
      </c>
      <c r="I1284" s="378">
        <v>44244</v>
      </c>
      <c r="J1284" s="434" t="s">
        <v>8264</v>
      </c>
      <c r="K1284" s="425"/>
      <c r="L1284" s="362" t="s">
        <v>14185</v>
      </c>
    </row>
    <row r="1285" spans="1:12">
      <c r="A1285" s="363" t="e">
        <f>VLOOKUP(B1285, 'PubMed 4.14.21 Results'!B:B, 1, FALSE)</f>
        <v>#N/A</v>
      </c>
      <c r="B1285" s="363">
        <v>33933205</v>
      </c>
      <c r="C1285" s="362" t="s">
        <v>14186</v>
      </c>
      <c r="D1285" s="362" t="s">
        <v>14187</v>
      </c>
      <c r="E1285" s="362" t="s">
        <v>14188</v>
      </c>
      <c r="F1285" s="362" t="s">
        <v>8266</v>
      </c>
      <c r="G1285" s="362" t="s">
        <v>9420</v>
      </c>
      <c r="H1285" s="363">
        <v>2021</v>
      </c>
      <c r="I1285" s="378">
        <v>44318</v>
      </c>
      <c r="J1285" s="434" t="s">
        <v>8267</v>
      </c>
      <c r="K1285" s="425"/>
      <c r="L1285" s="362" t="s">
        <v>14189</v>
      </c>
    </row>
    <row r="1286" spans="1:12">
      <c r="A1286" s="363" t="e">
        <f>VLOOKUP(B1286, 'PubMed 4.14.21 Results'!B:B, 1, FALSE)</f>
        <v>#N/A</v>
      </c>
      <c r="B1286" s="363">
        <v>34008772</v>
      </c>
      <c r="C1286" s="362" t="s">
        <v>14190</v>
      </c>
      <c r="D1286" s="362" t="s">
        <v>14191</v>
      </c>
      <c r="E1286" s="362" t="s">
        <v>14192</v>
      </c>
      <c r="F1286" s="362" t="s">
        <v>8268</v>
      </c>
      <c r="G1286" s="362" t="s">
        <v>14193</v>
      </c>
      <c r="H1286" s="363">
        <v>2021</v>
      </c>
      <c r="I1286" s="378">
        <v>44335</v>
      </c>
      <c r="J1286" s="434" t="s">
        <v>8269</v>
      </c>
      <c r="K1286" s="425"/>
      <c r="L1286" s="362" t="s">
        <v>14194</v>
      </c>
    </row>
    <row r="1287" spans="1:12">
      <c r="A1287" s="363" t="e">
        <f>VLOOKUP(B1287, 'PubMed 4.14.21 Results'!B:B, 1, FALSE)</f>
        <v>#N/A</v>
      </c>
      <c r="B1287" s="363">
        <v>34035401</v>
      </c>
      <c r="C1287" s="362" t="s">
        <v>14195</v>
      </c>
      <c r="D1287" s="362" t="s">
        <v>14196</v>
      </c>
      <c r="E1287" s="362" t="s">
        <v>14197</v>
      </c>
      <c r="F1287" s="362" t="s">
        <v>8271</v>
      </c>
      <c r="G1287" s="362" t="s">
        <v>11636</v>
      </c>
      <c r="H1287" s="363">
        <v>2021</v>
      </c>
      <c r="I1287" s="378">
        <v>44342</v>
      </c>
      <c r="J1287" s="434" t="s">
        <v>8272</v>
      </c>
      <c r="K1287" s="425"/>
      <c r="L1287" s="362" t="s">
        <v>14198</v>
      </c>
    </row>
    <row r="1288" spans="1:12">
      <c r="A1288" s="363" t="e">
        <f>VLOOKUP(B1288, 'PubMed 4.14.21 Results'!B:B, 1, FALSE)</f>
        <v>#N/A</v>
      </c>
      <c r="B1288" s="363">
        <v>34073536</v>
      </c>
      <c r="C1288" s="362" t="s">
        <v>14199</v>
      </c>
      <c r="D1288" s="362" t="s">
        <v>14200</v>
      </c>
      <c r="E1288" s="362" t="s">
        <v>14201</v>
      </c>
      <c r="F1288" s="362" t="s">
        <v>8273</v>
      </c>
      <c r="G1288" s="362" t="s">
        <v>14202</v>
      </c>
      <c r="H1288" s="363">
        <v>2021</v>
      </c>
      <c r="I1288" s="378">
        <v>44349</v>
      </c>
      <c r="J1288" s="434" t="s">
        <v>8274</v>
      </c>
      <c r="K1288" s="425"/>
      <c r="L1288" s="362" t="s">
        <v>14203</v>
      </c>
    </row>
    <row r="1289" spans="1:12">
      <c r="A1289" s="363" t="e">
        <f>VLOOKUP(B1289, 'PubMed 4.14.21 Results'!B:B, 1, FALSE)</f>
        <v>#N/A</v>
      </c>
      <c r="B1289" s="363">
        <v>32876710</v>
      </c>
      <c r="C1289" s="362" t="s">
        <v>14204</v>
      </c>
      <c r="D1289" s="362" t="s">
        <v>14205</v>
      </c>
      <c r="E1289" s="362" t="s">
        <v>14206</v>
      </c>
      <c r="F1289" s="362" t="s">
        <v>8276</v>
      </c>
      <c r="G1289" s="362" t="s">
        <v>12686</v>
      </c>
      <c r="H1289" s="363">
        <v>2021</v>
      </c>
      <c r="I1289" s="378">
        <v>44077</v>
      </c>
      <c r="J1289" s="365"/>
      <c r="K1289" s="365"/>
      <c r="L1289" s="362" t="s">
        <v>14207</v>
      </c>
    </row>
    <row r="1290" spans="1:12">
      <c r="A1290" s="363" t="e">
        <f>VLOOKUP(B1290, 'PubMed 4.14.21 Results'!B:B, 1, FALSE)</f>
        <v>#N/A</v>
      </c>
      <c r="B1290" s="363">
        <v>32903168</v>
      </c>
      <c r="C1290" s="362" t="s">
        <v>14208</v>
      </c>
      <c r="D1290" s="362" t="s">
        <v>14209</v>
      </c>
      <c r="E1290" s="362" t="s">
        <v>14210</v>
      </c>
      <c r="F1290" s="362" t="s">
        <v>8277</v>
      </c>
      <c r="G1290" s="362" t="s">
        <v>14211</v>
      </c>
      <c r="H1290" s="363">
        <v>2021</v>
      </c>
      <c r="I1290" s="378">
        <v>44083</v>
      </c>
      <c r="J1290" s="365"/>
      <c r="K1290" s="365"/>
      <c r="L1290" s="362" t="s">
        <v>14212</v>
      </c>
    </row>
    <row r="1291" spans="1:12">
      <c r="A1291" s="363">
        <f>VLOOKUP(B1291, 'PubMed 4.14.21 Results'!B:B, 1, FALSE)</f>
        <v>33612449</v>
      </c>
      <c r="B1291" s="363">
        <v>33612449</v>
      </c>
      <c r="C1291" s="362" t="s">
        <v>14213</v>
      </c>
      <c r="D1291" s="362" t="s">
        <v>14214</v>
      </c>
      <c r="E1291" s="362" t="s">
        <v>14215</v>
      </c>
      <c r="F1291" s="362" t="s">
        <v>6974</v>
      </c>
      <c r="G1291" s="362" t="s">
        <v>12673</v>
      </c>
      <c r="H1291" s="363">
        <v>2021</v>
      </c>
      <c r="I1291" s="378">
        <v>44249</v>
      </c>
      <c r="J1291" s="365"/>
      <c r="K1291" s="365"/>
      <c r="L1291" s="362" t="s">
        <v>14216</v>
      </c>
    </row>
    <row r="1292" spans="1:12">
      <c r="A1292" s="363" t="e">
        <f>VLOOKUP(B1292, 'PubMed 4.14.21 Results'!B:B, 1, FALSE)</f>
        <v>#N/A</v>
      </c>
      <c r="B1292" s="363">
        <v>34061883</v>
      </c>
      <c r="C1292" s="362" t="s">
        <v>14217</v>
      </c>
      <c r="D1292" s="362" t="s">
        <v>14218</v>
      </c>
      <c r="E1292" s="362" t="s">
        <v>14219</v>
      </c>
      <c r="F1292" s="362" t="s">
        <v>8278</v>
      </c>
      <c r="G1292" s="362" t="s">
        <v>10148</v>
      </c>
      <c r="H1292" s="363">
        <v>2021</v>
      </c>
      <c r="I1292" s="378">
        <v>44348</v>
      </c>
      <c r="J1292" s="434" t="s">
        <v>8279</v>
      </c>
      <c r="K1292" s="425"/>
      <c r="L1292" s="362" t="s">
        <v>14220</v>
      </c>
    </row>
    <row r="1293" spans="1:12">
      <c r="A1293" s="363" t="e">
        <f>VLOOKUP(B1293, 'PubMed 4.14.21 Results'!B:B, 1, FALSE)</f>
        <v>#N/A</v>
      </c>
      <c r="B1293" s="363">
        <v>34311528</v>
      </c>
      <c r="C1293" s="362" t="s">
        <v>14221</v>
      </c>
      <c r="D1293" s="362" t="s">
        <v>14222</v>
      </c>
      <c r="E1293" s="362" t="s">
        <v>14223</v>
      </c>
      <c r="F1293" s="362" t="s">
        <v>8280</v>
      </c>
      <c r="G1293" s="362" t="s">
        <v>14224</v>
      </c>
      <c r="H1293" s="363">
        <v>2021</v>
      </c>
      <c r="I1293" s="378">
        <v>44404</v>
      </c>
      <c r="J1293" s="434" t="s">
        <v>8281</v>
      </c>
      <c r="K1293" s="425"/>
      <c r="L1293" s="362" t="s">
        <v>14225</v>
      </c>
    </row>
    <row r="1294" spans="1:12">
      <c r="A1294" s="363" t="e">
        <f>VLOOKUP(B1294, 'PubMed 4.14.21 Results'!B:B, 1, FALSE)</f>
        <v>#N/A</v>
      </c>
      <c r="B1294" s="363">
        <v>34082801</v>
      </c>
      <c r="C1294" s="362" t="s">
        <v>14226</v>
      </c>
      <c r="D1294" s="362" t="s">
        <v>14227</v>
      </c>
      <c r="E1294" s="362" t="s">
        <v>14228</v>
      </c>
      <c r="F1294" s="362" t="s">
        <v>8282</v>
      </c>
      <c r="G1294" s="362" t="s">
        <v>14229</v>
      </c>
      <c r="H1294" s="363">
        <v>2021</v>
      </c>
      <c r="I1294" s="378">
        <v>44351</v>
      </c>
      <c r="J1294" s="434" t="s">
        <v>8283</v>
      </c>
      <c r="K1294" s="425"/>
      <c r="L1294" s="362" t="s">
        <v>14230</v>
      </c>
    </row>
    <row r="1295" spans="1:12">
      <c r="A1295" s="363" t="e">
        <f>VLOOKUP(B1295, 'PubMed 4.14.21 Results'!B:B, 1, FALSE)</f>
        <v>#N/A</v>
      </c>
      <c r="B1295" s="363">
        <v>34158835</v>
      </c>
      <c r="C1295" s="362" t="s">
        <v>14231</v>
      </c>
      <c r="D1295" s="362" t="s">
        <v>14232</v>
      </c>
      <c r="E1295" s="362" t="s">
        <v>14233</v>
      </c>
      <c r="F1295" s="362" t="s">
        <v>8284</v>
      </c>
      <c r="G1295" s="362" t="s">
        <v>14234</v>
      </c>
      <c r="H1295" s="363">
        <v>2021</v>
      </c>
      <c r="I1295" s="378">
        <v>44370</v>
      </c>
      <c r="J1295" s="434" t="s">
        <v>8285</v>
      </c>
      <c r="K1295" s="425"/>
      <c r="L1295" s="362" t="s">
        <v>14235</v>
      </c>
    </row>
    <row r="1296" spans="1:12">
      <c r="A1296" s="363" t="e">
        <f>VLOOKUP(B1296, 'PubMed 4.14.21 Results'!B:B, 1, FALSE)</f>
        <v>#N/A</v>
      </c>
      <c r="B1296" s="363">
        <v>34087885</v>
      </c>
      <c r="C1296" s="362" t="s">
        <v>14236</v>
      </c>
      <c r="D1296" s="362" t="s">
        <v>14237</v>
      </c>
      <c r="E1296" s="362" t="s">
        <v>14238</v>
      </c>
      <c r="F1296" s="362" t="s">
        <v>8287</v>
      </c>
      <c r="G1296" s="362" t="s">
        <v>11908</v>
      </c>
      <c r="H1296" s="363">
        <v>2021</v>
      </c>
      <c r="I1296" s="378">
        <v>44351</v>
      </c>
      <c r="J1296" s="434" t="s">
        <v>8288</v>
      </c>
      <c r="K1296" s="425"/>
      <c r="L1296" s="362" t="s">
        <v>14239</v>
      </c>
    </row>
    <row r="1297" spans="1:12">
      <c r="A1297" s="363" t="e">
        <f>VLOOKUP(B1297, 'PubMed 4.14.21 Results'!B:B, 1, FALSE)</f>
        <v>#N/A</v>
      </c>
      <c r="B1297" s="363">
        <v>33882225</v>
      </c>
      <c r="C1297" s="362" t="s">
        <v>14240</v>
      </c>
      <c r="D1297" s="362" t="s">
        <v>14241</v>
      </c>
      <c r="E1297" s="362" t="s">
        <v>14242</v>
      </c>
      <c r="F1297" s="362" t="s">
        <v>8289</v>
      </c>
      <c r="G1297" s="362" t="s">
        <v>8514</v>
      </c>
      <c r="H1297" s="363">
        <v>2021</v>
      </c>
      <c r="I1297" s="378">
        <v>44307</v>
      </c>
      <c r="J1297" s="434" t="s">
        <v>8290</v>
      </c>
      <c r="K1297" s="425"/>
      <c r="L1297" s="362" t="s">
        <v>14243</v>
      </c>
    </row>
    <row r="1298" spans="1:12">
      <c r="A1298" s="363" t="e">
        <f>VLOOKUP(B1298, 'PubMed 4.14.21 Results'!B:B, 1, FALSE)</f>
        <v>#N/A</v>
      </c>
      <c r="B1298" s="363">
        <v>34124773</v>
      </c>
      <c r="C1298" s="362" t="s">
        <v>14244</v>
      </c>
      <c r="D1298" s="362" t="s">
        <v>14245</v>
      </c>
      <c r="E1298" s="362" t="s">
        <v>14246</v>
      </c>
      <c r="F1298" s="362" t="s">
        <v>8291</v>
      </c>
      <c r="G1298" s="362" t="s">
        <v>8857</v>
      </c>
      <c r="H1298" s="363">
        <v>2021</v>
      </c>
      <c r="I1298" s="378">
        <v>44361</v>
      </c>
      <c r="J1298" s="434" t="s">
        <v>8292</v>
      </c>
      <c r="K1298" s="425"/>
      <c r="L1298" s="362" t="s">
        <v>14247</v>
      </c>
    </row>
    <row r="1299" spans="1:12">
      <c r="A1299" s="363" t="e">
        <f>VLOOKUP(B1299, 'PubMed 4.14.21 Results'!B:B, 1, FALSE)</f>
        <v>#N/A</v>
      </c>
      <c r="B1299" s="363">
        <v>33751950</v>
      </c>
      <c r="C1299" s="362" t="s">
        <v>14248</v>
      </c>
      <c r="D1299" s="362" t="s">
        <v>14249</v>
      </c>
      <c r="E1299" s="362" t="s">
        <v>14250</v>
      </c>
      <c r="F1299" s="362" t="s">
        <v>8293</v>
      </c>
      <c r="G1299" s="362" t="s">
        <v>14251</v>
      </c>
      <c r="H1299" s="363">
        <v>2021</v>
      </c>
      <c r="I1299" s="378">
        <v>44277</v>
      </c>
      <c r="J1299" s="365"/>
      <c r="K1299" s="365"/>
      <c r="L1299" s="362" t="s">
        <v>14252</v>
      </c>
    </row>
    <row r="1300" spans="1:12">
      <c r="A1300" s="363" t="e">
        <f>VLOOKUP(B1300, 'PubMed 4.14.21 Results'!B:B, 1, FALSE)</f>
        <v>#N/A</v>
      </c>
      <c r="B1300" s="363">
        <v>34235275</v>
      </c>
      <c r="C1300" s="362" t="s">
        <v>14253</v>
      </c>
      <c r="D1300" s="362" t="s">
        <v>14254</v>
      </c>
      <c r="E1300" s="362" t="s">
        <v>14255</v>
      </c>
      <c r="F1300" s="362" t="s">
        <v>8295</v>
      </c>
      <c r="G1300" s="362" t="s">
        <v>14256</v>
      </c>
      <c r="H1300" s="363">
        <v>2021</v>
      </c>
      <c r="I1300" s="378">
        <v>44385</v>
      </c>
      <c r="J1300" s="434" t="s">
        <v>8296</v>
      </c>
      <c r="K1300" s="425"/>
      <c r="L1300" s="362" t="s">
        <v>14257</v>
      </c>
    </row>
    <row r="1301" spans="1:12">
      <c r="A1301" s="363" t="e">
        <f>VLOOKUP(B1301, 'PubMed 4.14.21 Results'!B:B, 1, FALSE)</f>
        <v>#N/A</v>
      </c>
      <c r="B1301" s="363">
        <v>33875433</v>
      </c>
      <c r="C1301" s="362" t="s">
        <v>14258</v>
      </c>
      <c r="D1301" s="362" t="s">
        <v>14259</v>
      </c>
      <c r="E1301" s="362" t="s">
        <v>14260</v>
      </c>
      <c r="F1301" s="362" t="s">
        <v>8298</v>
      </c>
      <c r="G1301" s="362" t="s">
        <v>8675</v>
      </c>
      <c r="H1301" s="363">
        <v>2021</v>
      </c>
      <c r="I1301" s="378">
        <v>44306</v>
      </c>
      <c r="J1301" s="434" t="s">
        <v>8299</v>
      </c>
      <c r="K1301" s="425"/>
      <c r="L1301" s="362" t="s">
        <v>14261</v>
      </c>
    </row>
    <row r="1302" spans="1:12">
      <c r="A1302" s="363" t="e">
        <f>VLOOKUP(B1302, 'PubMed 4.14.21 Results'!B:B, 1, FALSE)</f>
        <v>#N/A</v>
      </c>
      <c r="B1302" s="363">
        <v>34138849</v>
      </c>
      <c r="C1302" s="362" t="s">
        <v>14262</v>
      </c>
      <c r="D1302" s="362" t="s">
        <v>14263</v>
      </c>
      <c r="E1302" s="362" t="s">
        <v>14264</v>
      </c>
      <c r="F1302" s="362" t="s">
        <v>8300</v>
      </c>
      <c r="G1302" s="362" t="s">
        <v>11097</v>
      </c>
      <c r="H1302" s="363">
        <v>2021</v>
      </c>
      <c r="I1302" s="378">
        <v>44364</v>
      </c>
      <c r="J1302" s="434" t="s">
        <v>8301</v>
      </c>
      <c r="K1302" s="425"/>
      <c r="L1302" s="362" t="s">
        <v>14265</v>
      </c>
    </row>
    <row r="1303" spans="1:12">
      <c r="A1303" s="363" t="e">
        <f>VLOOKUP(B1303, 'PubMed 4.14.21 Results'!B:B, 1, FALSE)</f>
        <v>#N/A</v>
      </c>
      <c r="B1303" s="363">
        <v>34128898</v>
      </c>
      <c r="C1303" s="362" t="s">
        <v>14266</v>
      </c>
      <c r="D1303" s="362" t="s">
        <v>14267</v>
      </c>
      <c r="E1303" s="362" t="s">
        <v>14268</v>
      </c>
      <c r="F1303" s="362" t="s">
        <v>8302</v>
      </c>
      <c r="G1303" s="362" t="s">
        <v>11908</v>
      </c>
      <c r="H1303" s="363">
        <v>2021</v>
      </c>
      <c r="I1303" s="378">
        <v>44362</v>
      </c>
      <c r="J1303" s="434" t="s">
        <v>8303</v>
      </c>
      <c r="K1303" s="425"/>
      <c r="L1303" s="362" t="s">
        <v>14269</v>
      </c>
    </row>
    <row r="1304" spans="1:12">
      <c r="A1304" s="363" t="e">
        <f>VLOOKUP(B1304, 'PubMed 4.14.21 Results'!B:B, 1, FALSE)</f>
        <v>#N/A</v>
      </c>
      <c r="B1304" s="363">
        <v>34059561</v>
      </c>
      <c r="C1304" s="362" t="s">
        <v>14270</v>
      </c>
      <c r="D1304" s="362" t="s">
        <v>14271</v>
      </c>
      <c r="E1304" s="362" t="s">
        <v>14272</v>
      </c>
      <c r="F1304" s="362" t="s">
        <v>8304</v>
      </c>
      <c r="G1304" s="362" t="s">
        <v>14273</v>
      </c>
      <c r="H1304" s="363">
        <v>2021</v>
      </c>
      <c r="I1304" s="378">
        <v>44348</v>
      </c>
      <c r="J1304" s="434" t="s">
        <v>8305</v>
      </c>
      <c r="K1304" s="425"/>
      <c r="L1304" s="362" t="s">
        <v>14274</v>
      </c>
    </row>
    <row r="1305" spans="1:12">
      <c r="A1305" s="363">
        <f>VLOOKUP(B1305, 'PubMed 4.14.21 Results'!B:B, 1, FALSE)</f>
        <v>33676886</v>
      </c>
      <c r="B1305" s="363">
        <v>33676886</v>
      </c>
      <c r="C1305" s="362" t="s">
        <v>14275</v>
      </c>
      <c r="D1305" s="362" t="s">
        <v>14276</v>
      </c>
      <c r="E1305" s="362" t="s">
        <v>14277</v>
      </c>
      <c r="F1305" s="362" t="s">
        <v>7957</v>
      </c>
      <c r="G1305" s="362" t="s">
        <v>8665</v>
      </c>
      <c r="H1305" s="363">
        <v>2021</v>
      </c>
      <c r="I1305" s="378">
        <v>44262</v>
      </c>
      <c r="J1305" s="365"/>
      <c r="K1305" s="365"/>
      <c r="L1305" s="362" t="s">
        <v>14278</v>
      </c>
    </row>
    <row r="1306" spans="1:12">
      <c r="A1306" s="363" t="e">
        <f>VLOOKUP(B1306, 'PubMed 4.14.21 Results'!B:B, 1, FALSE)</f>
        <v>#N/A</v>
      </c>
      <c r="B1306" s="363">
        <v>33722585</v>
      </c>
      <c r="C1306" s="362" t="s">
        <v>14279</v>
      </c>
      <c r="D1306" s="362" t="s">
        <v>14280</v>
      </c>
      <c r="E1306" s="362" t="s">
        <v>14281</v>
      </c>
      <c r="F1306" s="362" t="s">
        <v>8306</v>
      </c>
      <c r="G1306" s="362" t="s">
        <v>8665</v>
      </c>
      <c r="H1306" s="363">
        <v>2021</v>
      </c>
      <c r="I1306" s="378">
        <v>44271</v>
      </c>
      <c r="J1306" s="365"/>
      <c r="K1306" s="365"/>
      <c r="L1306" s="362" t="s">
        <v>14282</v>
      </c>
    </row>
    <row r="1307" spans="1:12">
      <c r="A1307" s="363" t="e">
        <f>VLOOKUP(B1307, 'PubMed 4.14.21 Results'!B:B, 1, FALSE)</f>
        <v>#N/A</v>
      </c>
      <c r="B1307" s="363">
        <v>34031556</v>
      </c>
      <c r="C1307" s="362" t="s">
        <v>14283</v>
      </c>
      <c r="D1307" s="362" t="s">
        <v>14284</v>
      </c>
      <c r="E1307" s="362" t="s">
        <v>14285</v>
      </c>
      <c r="F1307" s="362" t="s">
        <v>8307</v>
      </c>
      <c r="G1307" s="362" t="s">
        <v>10111</v>
      </c>
      <c r="H1307" s="363">
        <v>2021</v>
      </c>
      <c r="I1307" s="378">
        <v>44341</v>
      </c>
      <c r="J1307" s="434" t="s">
        <v>8308</v>
      </c>
      <c r="K1307" s="425"/>
      <c r="L1307" s="362" t="s">
        <v>14286</v>
      </c>
    </row>
    <row r="1308" spans="1:12">
      <c r="A1308" s="363" t="e">
        <f>VLOOKUP(B1308, 'PubMed 4.14.21 Results'!B:B, 1, FALSE)</f>
        <v>#N/A</v>
      </c>
      <c r="B1308" s="363">
        <v>34171280</v>
      </c>
      <c r="C1308" s="362" t="s">
        <v>14287</v>
      </c>
      <c r="D1308" s="362" t="s">
        <v>14288</v>
      </c>
      <c r="E1308" s="362" t="s">
        <v>14289</v>
      </c>
      <c r="F1308" s="362" t="s">
        <v>8309</v>
      </c>
      <c r="G1308" s="362" t="s">
        <v>11312</v>
      </c>
      <c r="H1308" s="363">
        <v>2021</v>
      </c>
      <c r="I1308" s="378">
        <v>44372</v>
      </c>
      <c r="J1308" s="365"/>
      <c r="K1308" s="365"/>
      <c r="L1308" s="362" t="s">
        <v>14290</v>
      </c>
    </row>
    <row r="1309" spans="1:12">
      <c r="A1309" s="363" t="e">
        <f>VLOOKUP(B1309, 'PubMed 4.14.21 Results'!B:B, 1, FALSE)</f>
        <v>#N/A</v>
      </c>
      <c r="B1309" s="363">
        <v>34171282</v>
      </c>
      <c r="C1309" s="362" t="s">
        <v>14291</v>
      </c>
      <c r="D1309" s="362" t="s">
        <v>14292</v>
      </c>
      <c r="E1309" s="362" t="s">
        <v>14293</v>
      </c>
      <c r="F1309" s="362" t="s">
        <v>8310</v>
      </c>
      <c r="G1309" s="362" t="s">
        <v>11312</v>
      </c>
      <c r="H1309" s="363">
        <v>2021</v>
      </c>
      <c r="I1309" s="378">
        <v>44372</v>
      </c>
      <c r="J1309" s="365"/>
      <c r="K1309" s="365"/>
      <c r="L1309" s="362" t="s">
        <v>14294</v>
      </c>
    </row>
    <row r="1310" spans="1:12">
      <c r="A1310" s="363" t="e">
        <f>VLOOKUP(B1310, 'PubMed 4.14.21 Results'!B:B, 1, FALSE)</f>
        <v>#N/A</v>
      </c>
      <c r="B1310" s="363">
        <v>34192430</v>
      </c>
      <c r="C1310" s="362" t="s">
        <v>14295</v>
      </c>
      <c r="D1310" s="362" t="s">
        <v>14296</v>
      </c>
      <c r="E1310" s="362" t="s">
        <v>14297</v>
      </c>
      <c r="F1310" s="362" t="s">
        <v>8311</v>
      </c>
      <c r="G1310" s="362" t="s">
        <v>8514</v>
      </c>
      <c r="H1310" s="363">
        <v>2021</v>
      </c>
      <c r="I1310" s="378">
        <v>44377</v>
      </c>
      <c r="J1310" s="365"/>
      <c r="K1310" s="365"/>
      <c r="L1310" s="362" t="s">
        <v>14298</v>
      </c>
    </row>
    <row r="1311" spans="1:12">
      <c r="A1311" s="363" t="e">
        <f>VLOOKUP(B1311, 'PubMed 4.14.21 Results'!B:B, 1, FALSE)</f>
        <v>#N/A</v>
      </c>
      <c r="B1311" s="363">
        <v>34302549</v>
      </c>
      <c r="C1311" s="362" t="s">
        <v>14299</v>
      </c>
      <c r="D1311" s="362" t="s">
        <v>14300</v>
      </c>
      <c r="E1311" s="362" t="s">
        <v>14301</v>
      </c>
      <c r="F1311" s="362" t="s">
        <v>8313</v>
      </c>
      <c r="G1311" s="362" t="s">
        <v>14302</v>
      </c>
      <c r="H1311" s="363">
        <v>2021</v>
      </c>
      <c r="I1311" s="378">
        <v>44401</v>
      </c>
      <c r="J1311" s="434" t="s">
        <v>8314</v>
      </c>
      <c r="K1311" s="425"/>
      <c r="L1311" s="362" t="s">
        <v>14303</v>
      </c>
    </row>
    <row r="1312" spans="1:12">
      <c r="A1312" s="363" t="e">
        <f>VLOOKUP(B1312, 'PubMed 4.14.21 Results'!B:B, 1, FALSE)</f>
        <v>#N/A</v>
      </c>
      <c r="B1312" s="363">
        <v>34320566</v>
      </c>
      <c r="C1312" s="362" t="s">
        <v>14304</v>
      </c>
      <c r="D1312" s="362" t="s">
        <v>14305</v>
      </c>
      <c r="E1312" s="362" t="s">
        <v>14306</v>
      </c>
      <c r="F1312" s="362" t="s">
        <v>8315</v>
      </c>
      <c r="G1312" s="362" t="s">
        <v>11442</v>
      </c>
      <c r="H1312" s="363">
        <v>2021</v>
      </c>
      <c r="I1312" s="378">
        <v>44405</v>
      </c>
      <c r="J1312" s="434" t="s">
        <v>8316</v>
      </c>
      <c r="K1312" s="425"/>
      <c r="L1312" s="362" t="s">
        <v>14307</v>
      </c>
    </row>
    <row r="1313" spans="1:12">
      <c r="A1313" s="363" t="e">
        <f>VLOOKUP(B1313, 'PubMed 4.14.21 Results'!B:B, 1, FALSE)</f>
        <v>#N/A</v>
      </c>
      <c r="B1313" s="363">
        <v>33882592</v>
      </c>
      <c r="C1313" s="362" t="s">
        <v>14308</v>
      </c>
      <c r="D1313" s="362" t="s">
        <v>14309</v>
      </c>
      <c r="E1313" s="362" t="s">
        <v>14310</v>
      </c>
      <c r="F1313" s="362" t="s">
        <v>8317</v>
      </c>
      <c r="G1313" s="362" t="s">
        <v>14311</v>
      </c>
      <c r="H1313" s="363">
        <v>2021</v>
      </c>
      <c r="I1313" s="378">
        <v>44307</v>
      </c>
      <c r="J1313" s="434" t="s">
        <v>8318</v>
      </c>
      <c r="K1313" s="425"/>
      <c r="L1313" s="362" t="s">
        <v>14312</v>
      </c>
    </row>
    <row r="1314" spans="1:12">
      <c r="A1314" s="363" t="e">
        <f>VLOOKUP(B1314, 'PubMed 4.14.21 Results'!B:B, 1, FALSE)</f>
        <v>#N/A</v>
      </c>
      <c r="B1314" s="363">
        <v>33899214</v>
      </c>
      <c r="C1314" s="362" t="s">
        <v>14313</v>
      </c>
      <c r="D1314" s="362" t="s">
        <v>14314</v>
      </c>
      <c r="E1314" s="362" t="s">
        <v>14315</v>
      </c>
      <c r="F1314" s="362" t="s">
        <v>8320</v>
      </c>
      <c r="G1314" s="362" t="s">
        <v>12593</v>
      </c>
      <c r="H1314" s="363">
        <v>2021</v>
      </c>
      <c r="I1314" s="378">
        <v>44312</v>
      </c>
      <c r="J1314" s="365"/>
      <c r="K1314" s="365"/>
      <c r="L1314" s="362" t="s">
        <v>14316</v>
      </c>
    </row>
    <row r="1315" spans="1:12">
      <c r="A1315" s="363" t="e">
        <f>VLOOKUP(B1315, 'PubMed 4.14.21 Results'!B:B, 1, FALSE)</f>
        <v>#N/A</v>
      </c>
      <c r="B1315" s="363">
        <v>33915284</v>
      </c>
      <c r="C1315" s="362" t="s">
        <v>14317</v>
      </c>
      <c r="D1315" s="362" t="s">
        <v>14318</v>
      </c>
      <c r="E1315" s="362" t="s">
        <v>14319</v>
      </c>
      <c r="F1315" s="362" t="s">
        <v>8321</v>
      </c>
      <c r="G1315" s="362" t="s">
        <v>11895</v>
      </c>
      <c r="H1315" s="363">
        <v>2021</v>
      </c>
      <c r="I1315" s="378">
        <v>44315</v>
      </c>
      <c r="J1315" s="434" t="s">
        <v>8322</v>
      </c>
      <c r="K1315" s="425"/>
      <c r="L1315" s="362" t="s">
        <v>14320</v>
      </c>
    </row>
    <row r="1316" spans="1:12">
      <c r="A1316" s="363" t="e">
        <f>VLOOKUP(B1316, 'PubMed 4.14.21 Results'!B:B, 1, FALSE)</f>
        <v>#N/A</v>
      </c>
      <c r="B1316" s="363">
        <v>33946120</v>
      </c>
      <c r="C1316" s="362" t="s">
        <v>14321</v>
      </c>
      <c r="D1316" s="362" t="s">
        <v>14322</v>
      </c>
      <c r="E1316" s="362" t="s">
        <v>14323</v>
      </c>
      <c r="F1316" s="362" t="s">
        <v>8323</v>
      </c>
      <c r="G1316" s="362" t="s">
        <v>8584</v>
      </c>
      <c r="H1316" s="363">
        <v>2021</v>
      </c>
      <c r="I1316" s="378">
        <v>44320</v>
      </c>
      <c r="J1316" s="434" t="s">
        <v>8324</v>
      </c>
      <c r="K1316" s="425"/>
      <c r="L1316" s="362" t="s">
        <v>14324</v>
      </c>
    </row>
    <row r="1317" spans="1:12">
      <c r="A1317" s="363" t="e">
        <f>VLOOKUP(B1317, 'PubMed 4.14.21 Results'!B:B, 1, FALSE)</f>
        <v>#N/A</v>
      </c>
      <c r="B1317" s="363">
        <v>34039847</v>
      </c>
      <c r="C1317" s="362" t="s">
        <v>14325</v>
      </c>
      <c r="D1317" s="362" t="s">
        <v>14326</v>
      </c>
      <c r="E1317" s="362" t="s">
        <v>14327</v>
      </c>
      <c r="F1317" s="362" t="s">
        <v>8326</v>
      </c>
      <c r="G1317" s="362" t="s">
        <v>14328</v>
      </c>
      <c r="H1317" s="363">
        <v>2021</v>
      </c>
      <c r="I1317" s="378">
        <v>44343</v>
      </c>
      <c r="J1317" s="365"/>
      <c r="K1317" s="365"/>
      <c r="L1317" s="362" t="s">
        <v>14329</v>
      </c>
    </row>
    <row r="1318" spans="1:12">
      <c r="A1318" s="363" t="e">
        <f>VLOOKUP(B1318, 'PubMed 4.14.21 Results'!B:B, 1, FALSE)</f>
        <v>#N/A</v>
      </c>
      <c r="B1318" s="363">
        <v>34138694</v>
      </c>
      <c r="C1318" s="362" t="s">
        <v>14330</v>
      </c>
      <c r="D1318" s="362" t="s">
        <v>14331</v>
      </c>
      <c r="E1318" s="362" t="s">
        <v>14332</v>
      </c>
      <c r="F1318" s="362" t="s">
        <v>8327</v>
      </c>
      <c r="G1318" s="362" t="s">
        <v>9364</v>
      </c>
      <c r="H1318" s="363">
        <v>2021</v>
      </c>
      <c r="I1318" s="378">
        <v>44364</v>
      </c>
      <c r="J1318" s="434" t="s">
        <v>8328</v>
      </c>
      <c r="K1318" s="425"/>
      <c r="L1318" s="362" t="s">
        <v>14333</v>
      </c>
    </row>
    <row r="1319" spans="1:12">
      <c r="A1319" s="363" t="e">
        <f>VLOOKUP(B1319, 'PubMed 4.14.21 Results'!B:B, 1, FALSE)</f>
        <v>#N/A</v>
      </c>
      <c r="B1319" s="363">
        <v>34174536</v>
      </c>
      <c r="C1319" s="362" t="s">
        <v>14334</v>
      </c>
      <c r="D1319" s="362" t="s">
        <v>14335</v>
      </c>
      <c r="E1319" s="362" t="s">
        <v>14336</v>
      </c>
      <c r="F1319" s="362" t="s">
        <v>8329</v>
      </c>
      <c r="G1319" s="362" t="s">
        <v>14337</v>
      </c>
      <c r="H1319" s="363">
        <v>2021</v>
      </c>
      <c r="I1319" s="378">
        <v>44373</v>
      </c>
      <c r="J1319" s="434" t="s">
        <v>8330</v>
      </c>
      <c r="K1319" s="425"/>
      <c r="L1319" s="362" t="s">
        <v>14338</v>
      </c>
    </row>
    <row r="1320" spans="1:12">
      <c r="A1320" s="363" t="e">
        <f>VLOOKUP(B1320, 'PubMed 4.14.21 Results'!B:B, 1, FALSE)</f>
        <v>#N/A</v>
      </c>
      <c r="B1320" s="363">
        <v>34214481</v>
      </c>
      <c r="C1320" s="362" t="s">
        <v>14339</v>
      </c>
      <c r="D1320" s="362" t="s">
        <v>14340</v>
      </c>
      <c r="E1320" s="362" t="s">
        <v>14341</v>
      </c>
      <c r="F1320" s="362" t="s">
        <v>8331</v>
      </c>
      <c r="G1320" s="362" t="s">
        <v>13765</v>
      </c>
      <c r="H1320" s="363">
        <v>2021</v>
      </c>
      <c r="I1320" s="378">
        <v>44379</v>
      </c>
      <c r="J1320" s="365"/>
      <c r="K1320" s="365"/>
      <c r="L1320" s="362" t="s">
        <v>14342</v>
      </c>
    </row>
    <row r="1321" spans="1:12">
      <c r="A1321" s="363" t="e">
        <f>VLOOKUP(B1321, 'PubMed 4.14.21 Results'!B:B, 1, FALSE)</f>
        <v>#N/A</v>
      </c>
      <c r="B1321" s="363">
        <v>34273291</v>
      </c>
      <c r="C1321" s="362" t="s">
        <v>14343</v>
      </c>
      <c r="D1321" s="362" t="s">
        <v>14344</v>
      </c>
      <c r="E1321" s="362" t="s">
        <v>14345</v>
      </c>
      <c r="F1321" s="362" t="s">
        <v>8332</v>
      </c>
      <c r="G1321" s="362" t="s">
        <v>9420</v>
      </c>
      <c r="H1321" s="363">
        <v>2021</v>
      </c>
      <c r="I1321" s="378">
        <v>44394</v>
      </c>
      <c r="J1321" s="434" t="s">
        <v>8333</v>
      </c>
      <c r="K1321" s="425"/>
      <c r="L1321" s="362" t="s">
        <v>14346</v>
      </c>
    </row>
    <row r="1322" spans="1:12">
      <c r="A1322" s="363" t="e">
        <f>VLOOKUP(B1322, 'PubMed 4.14.21 Results'!B:B, 1, FALSE)</f>
        <v>#N/A</v>
      </c>
      <c r="B1322" s="363">
        <v>34419209</v>
      </c>
      <c r="C1322" s="362" t="s">
        <v>14347</v>
      </c>
      <c r="D1322" s="362" t="s">
        <v>14348</v>
      </c>
      <c r="E1322" s="362" t="s">
        <v>14349</v>
      </c>
      <c r="F1322" s="362" t="s">
        <v>2517</v>
      </c>
      <c r="G1322" s="362" t="s">
        <v>10976</v>
      </c>
      <c r="H1322" s="363">
        <v>2021</v>
      </c>
      <c r="I1322" s="378">
        <v>44430</v>
      </c>
      <c r="J1322" s="365"/>
      <c r="K1322" s="365"/>
      <c r="L1322" s="362" t="s">
        <v>14350</v>
      </c>
    </row>
    <row r="1323" spans="1:12">
      <c r="A1323" s="363" t="e">
        <f>VLOOKUP(B1323, 'PubMed 4.14.21 Results'!B:B, 1, FALSE)</f>
        <v>#N/A</v>
      </c>
      <c r="B1323" s="363">
        <v>34451516</v>
      </c>
      <c r="C1323" s="362" t="s">
        <v>14351</v>
      </c>
      <c r="D1323" s="362" t="s">
        <v>14352</v>
      </c>
      <c r="E1323" s="362" t="s">
        <v>14353</v>
      </c>
      <c r="F1323" s="362" t="s">
        <v>8335</v>
      </c>
      <c r="G1323" s="362" t="s">
        <v>14354</v>
      </c>
      <c r="H1323" s="363">
        <v>2021</v>
      </c>
      <c r="I1323" s="378">
        <v>44436</v>
      </c>
      <c r="J1323" s="434" t="s">
        <v>8336</v>
      </c>
      <c r="K1323" s="425"/>
      <c r="L1323" s="362" t="s">
        <v>14355</v>
      </c>
    </row>
    <row r="1324" spans="1:12">
      <c r="A1324" s="363" t="e">
        <f>VLOOKUP(B1324, 'PubMed 4.14.21 Results'!B:B, 1, FALSE)</f>
        <v>#N/A</v>
      </c>
      <c r="B1324" s="363">
        <v>34494021</v>
      </c>
      <c r="C1324" s="362" t="s">
        <v>14356</v>
      </c>
      <c r="D1324" s="362" t="s">
        <v>14357</v>
      </c>
      <c r="E1324" s="362" t="s">
        <v>14358</v>
      </c>
      <c r="F1324" s="362" t="s">
        <v>8337</v>
      </c>
      <c r="G1324" s="362" t="s">
        <v>14359</v>
      </c>
      <c r="H1324" s="363">
        <v>2021</v>
      </c>
      <c r="I1324" s="378">
        <v>44447</v>
      </c>
      <c r="J1324" s="434" t="s">
        <v>8338</v>
      </c>
      <c r="K1324" s="425"/>
      <c r="L1324" s="362" t="s">
        <v>14360</v>
      </c>
    </row>
    <row r="1325" spans="1:12">
      <c r="A1325" s="363" t="e">
        <f>VLOOKUP(B1325, 'PubMed 4.14.21 Results'!B:B, 1, FALSE)</f>
        <v>#N/A</v>
      </c>
      <c r="B1325" s="363">
        <v>33486824</v>
      </c>
      <c r="C1325" s="362" t="s">
        <v>14361</v>
      </c>
      <c r="D1325" s="362" t="s">
        <v>14362</v>
      </c>
      <c r="E1325" s="362" t="s">
        <v>14363</v>
      </c>
      <c r="F1325" s="362" t="s">
        <v>8340</v>
      </c>
      <c r="G1325" s="362" t="s">
        <v>11233</v>
      </c>
      <c r="H1325" s="363">
        <v>2021</v>
      </c>
      <c r="I1325" s="378">
        <v>44220</v>
      </c>
      <c r="J1325" s="365"/>
      <c r="K1325" s="365"/>
      <c r="L1325" s="362" t="s">
        <v>14364</v>
      </c>
    </row>
    <row r="1326" spans="1:12">
      <c r="A1326" s="363" t="e">
        <f>VLOOKUP(B1326, 'PubMed 4.14.21 Results'!B:B, 1, FALSE)</f>
        <v>#N/A</v>
      </c>
      <c r="B1326" s="363">
        <v>34216862</v>
      </c>
      <c r="C1326" s="362" t="s">
        <v>14365</v>
      </c>
      <c r="D1326" s="362" t="s">
        <v>14366</v>
      </c>
      <c r="E1326" s="362" t="s">
        <v>14367</v>
      </c>
      <c r="F1326" s="362" t="s">
        <v>8341</v>
      </c>
      <c r="G1326" s="362" t="s">
        <v>12575</v>
      </c>
      <c r="H1326" s="363">
        <v>2021</v>
      </c>
      <c r="I1326" s="378">
        <v>44380</v>
      </c>
      <c r="J1326" s="365"/>
      <c r="K1326" s="365"/>
      <c r="L1326" s="362" t="s">
        <v>14368</v>
      </c>
    </row>
    <row r="1327" spans="1:12">
      <c r="A1327" s="363" t="e">
        <f>VLOOKUP(B1327, 'PubMed 4.14.21 Results'!B:B, 1, FALSE)</f>
        <v>#N/A</v>
      </c>
      <c r="B1327" s="363">
        <v>34430837</v>
      </c>
      <c r="C1327" s="362" t="s">
        <v>14369</v>
      </c>
      <c r="D1327" s="362" t="s">
        <v>14370</v>
      </c>
      <c r="E1327" s="362" t="s">
        <v>14371</v>
      </c>
      <c r="F1327" s="362" t="s">
        <v>2542</v>
      </c>
      <c r="G1327" s="362" t="s">
        <v>14372</v>
      </c>
      <c r="H1327" s="363">
        <v>2021</v>
      </c>
      <c r="I1327" s="378">
        <v>44433</v>
      </c>
      <c r="J1327" s="434" t="s">
        <v>8342</v>
      </c>
      <c r="K1327" s="425"/>
      <c r="L1327" s="362" t="s">
        <v>14373</v>
      </c>
    </row>
    <row r="1328" spans="1:12">
      <c r="A1328" s="363" t="e">
        <f>VLOOKUP(B1328, 'PubMed 4.14.21 Results'!B:B, 1, FALSE)</f>
        <v>#N/A</v>
      </c>
      <c r="B1328" s="363">
        <v>33974497</v>
      </c>
      <c r="C1328" s="362" t="s">
        <v>14374</v>
      </c>
      <c r="D1328" s="362" t="s">
        <v>14375</v>
      </c>
      <c r="E1328" s="362" t="s">
        <v>14376</v>
      </c>
      <c r="F1328" s="362" t="s">
        <v>8343</v>
      </c>
      <c r="G1328" s="362" t="s">
        <v>11713</v>
      </c>
      <c r="H1328" s="363">
        <v>2021</v>
      </c>
      <c r="I1328" s="378">
        <v>44327</v>
      </c>
      <c r="J1328" s="434" t="s">
        <v>8344</v>
      </c>
      <c r="K1328" s="425"/>
      <c r="L1328" s="362" t="s">
        <v>14377</v>
      </c>
    </row>
    <row r="1329" spans="1:12">
      <c r="A1329" s="363" t="e">
        <f>VLOOKUP(B1329, 'PubMed 4.14.21 Results'!B:B, 1, FALSE)</f>
        <v>#N/A</v>
      </c>
      <c r="B1329" s="363">
        <v>34475174</v>
      </c>
      <c r="C1329" s="362" t="s">
        <v>14378</v>
      </c>
      <c r="D1329" s="362" t="s">
        <v>14379</v>
      </c>
      <c r="E1329" s="362" t="s">
        <v>14380</v>
      </c>
      <c r="F1329" s="362" t="s">
        <v>8345</v>
      </c>
      <c r="G1329" s="362" t="s">
        <v>11650</v>
      </c>
      <c r="H1329" s="363">
        <v>2021</v>
      </c>
      <c r="I1329" s="378">
        <v>44442</v>
      </c>
      <c r="J1329" s="434" t="s">
        <v>8346</v>
      </c>
      <c r="K1329" s="425"/>
      <c r="L1329" s="362" t="s">
        <v>14381</v>
      </c>
    </row>
    <row r="1330" spans="1:12">
      <c r="A1330" s="363" t="e">
        <f>VLOOKUP(B1330, 'PubMed 4.14.21 Results'!B:B, 1, FALSE)</f>
        <v>#N/A</v>
      </c>
      <c r="B1330" s="363">
        <v>34495079</v>
      </c>
      <c r="C1330" s="362" t="s">
        <v>14382</v>
      </c>
      <c r="D1330" s="362" t="s">
        <v>14383</v>
      </c>
      <c r="E1330" s="362" t="s">
        <v>14384</v>
      </c>
      <c r="F1330" s="362" t="s">
        <v>8348</v>
      </c>
      <c r="G1330" s="362" t="s">
        <v>14193</v>
      </c>
      <c r="H1330" s="363">
        <v>2021</v>
      </c>
      <c r="I1330" s="378">
        <v>44447</v>
      </c>
      <c r="J1330" s="434" t="s">
        <v>8349</v>
      </c>
      <c r="K1330" s="425"/>
      <c r="L1330" s="362" t="s">
        <v>14385</v>
      </c>
    </row>
    <row r="1331" spans="1:12">
      <c r="A1331" s="363" t="e">
        <f>VLOOKUP(B1331, 'PubMed 4.14.21 Results'!B:B, 1, FALSE)</f>
        <v>#N/A</v>
      </c>
      <c r="B1331" s="363">
        <v>34491803</v>
      </c>
      <c r="C1331" s="362" t="s">
        <v>14386</v>
      </c>
      <c r="D1331" s="362" t="s">
        <v>14387</v>
      </c>
      <c r="E1331" s="362" t="s">
        <v>14388</v>
      </c>
      <c r="F1331" s="362" t="s">
        <v>1360</v>
      </c>
      <c r="G1331" s="362" t="s">
        <v>8675</v>
      </c>
      <c r="H1331" s="363">
        <v>2021</v>
      </c>
      <c r="I1331" s="378">
        <v>44446</v>
      </c>
      <c r="J1331" s="365"/>
      <c r="K1331" s="365"/>
      <c r="L1331" s="362" t="s">
        <v>14389</v>
      </c>
    </row>
    <row r="1332" spans="1:12">
      <c r="A1332" s="363" t="e">
        <f>VLOOKUP(B1332, 'PubMed 4.14.21 Results'!B:B, 1, FALSE)</f>
        <v>#N/A</v>
      </c>
      <c r="B1332" s="363">
        <v>34264864</v>
      </c>
      <c r="C1332" s="362" t="s">
        <v>14390</v>
      </c>
      <c r="D1332" s="362" t="s">
        <v>14391</v>
      </c>
      <c r="E1332" s="362" t="s">
        <v>14392</v>
      </c>
      <c r="F1332" s="362" t="s">
        <v>2558</v>
      </c>
      <c r="G1332" s="362" t="s">
        <v>12537</v>
      </c>
      <c r="H1332" s="363">
        <v>2021</v>
      </c>
      <c r="I1332" s="378">
        <v>44392</v>
      </c>
      <c r="J1332" s="365"/>
      <c r="K1332" s="365"/>
      <c r="L1332" s="362" t="s">
        <v>14393</v>
      </c>
    </row>
    <row r="1333" spans="1:12">
      <c r="A1333" s="363" t="e">
        <f>VLOOKUP(B1333, 'PubMed 4.14.21 Results'!B:B, 1, FALSE)</f>
        <v>#N/A</v>
      </c>
      <c r="B1333" s="363">
        <v>34497087</v>
      </c>
      <c r="C1333" s="362" t="s">
        <v>14394</v>
      </c>
      <c r="D1333" s="362" t="s">
        <v>14395</v>
      </c>
      <c r="E1333" s="362" t="s">
        <v>14396</v>
      </c>
      <c r="F1333" s="362" t="s">
        <v>8350</v>
      </c>
      <c r="G1333" s="362" t="s">
        <v>11650</v>
      </c>
      <c r="H1333" s="363">
        <v>2021</v>
      </c>
      <c r="I1333" s="378">
        <v>44448</v>
      </c>
      <c r="J1333" s="434" t="s">
        <v>8351</v>
      </c>
      <c r="K1333" s="425"/>
      <c r="L1333" s="362" t="s">
        <v>14397</v>
      </c>
    </row>
    <row r="1334" spans="1:12">
      <c r="A1334" s="363" t="e">
        <f>VLOOKUP(B1334, 'PubMed 4.14.21 Results'!B:B, 1, FALSE)</f>
        <v>#N/A</v>
      </c>
      <c r="B1334" s="363">
        <v>34556337</v>
      </c>
      <c r="C1334" s="362" t="s">
        <v>14398</v>
      </c>
      <c r="D1334" s="362" t="s">
        <v>14399</v>
      </c>
      <c r="E1334" s="362" t="s">
        <v>14400</v>
      </c>
      <c r="F1334" s="362" t="s">
        <v>8352</v>
      </c>
      <c r="G1334" s="362" t="s">
        <v>14401</v>
      </c>
      <c r="H1334" s="363">
        <v>2021</v>
      </c>
      <c r="I1334" s="378">
        <v>44463</v>
      </c>
      <c r="J1334" s="434" t="s">
        <v>8353</v>
      </c>
      <c r="K1334" s="425"/>
      <c r="L1334" s="362" t="s">
        <v>14402</v>
      </c>
    </row>
    <row r="1335" spans="1:12">
      <c r="A1335" s="363" t="e">
        <f>VLOOKUP(B1335, 'PubMed 4.14.21 Results'!B:B, 1, FALSE)</f>
        <v>#N/A</v>
      </c>
      <c r="B1335" s="363">
        <v>34432975</v>
      </c>
      <c r="C1335" s="362" t="s">
        <v>14403</v>
      </c>
      <c r="D1335" s="362" t="s">
        <v>14404</v>
      </c>
      <c r="E1335" s="362" t="s">
        <v>14405</v>
      </c>
      <c r="F1335" s="362" t="s">
        <v>8354</v>
      </c>
      <c r="G1335" s="362" t="s">
        <v>8514</v>
      </c>
      <c r="H1335" s="363">
        <v>2021</v>
      </c>
      <c r="I1335" s="378">
        <v>44433</v>
      </c>
      <c r="J1335" s="365"/>
      <c r="K1335" s="365"/>
      <c r="L1335" s="362" t="s">
        <v>14406</v>
      </c>
    </row>
    <row r="1336" spans="1:12">
      <c r="A1336" s="363" t="e">
        <f>VLOOKUP(B1336, 'PubMed 4.14.21 Results'!B:B, 1, FALSE)</f>
        <v>#N/A</v>
      </c>
      <c r="B1336" s="363">
        <v>33966331</v>
      </c>
      <c r="C1336" s="362" t="s">
        <v>14407</v>
      </c>
      <c r="D1336" s="362" t="s">
        <v>14408</v>
      </c>
      <c r="E1336" s="362" t="s">
        <v>14409</v>
      </c>
      <c r="F1336" s="362" t="s">
        <v>8355</v>
      </c>
      <c r="G1336" s="362" t="s">
        <v>14410</v>
      </c>
      <c r="H1336" s="363">
        <v>2021</v>
      </c>
      <c r="I1336" s="378">
        <v>44325</v>
      </c>
      <c r="J1336" s="365"/>
      <c r="K1336" s="365"/>
      <c r="L1336" s="362" t="s">
        <v>14411</v>
      </c>
    </row>
    <row r="1337" spans="1:12">
      <c r="A1337" s="363" t="e">
        <f>VLOOKUP(B1337, 'PubMed 4.14.21 Results'!B:B, 1, FALSE)</f>
        <v>#N/A</v>
      </c>
      <c r="B1337" s="363">
        <v>34385093</v>
      </c>
      <c r="C1337" s="362" t="s">
        <v>14412</v>
      </c>
      <c r="D1337" s="362" t="s">
        <v>14413</v>
      </c>
      <c r="E1337" s="362" t="s">
        <v>14414</v>
      </c>
      <c r="F1337" s="362" t="s">
        <v>8356</v>
      </c>
      <c r="G1337" s="362" t="s">
        <v>14415</v>
      </c>
      <c r="H1337" s="363">
        <v>2021</v>
      </c>
      <c r="I1337" s="378">
        <v>44421</v>
      </c>
      <c r="J1337" s="365"/>
      <c r="K1337" s="365"/>
      <c r="L1337" s="362" t="s">
        <v>14416</v>
      </c>
    </row>
    <row r="1338" spans="1:12">
      <c r="A1338" s="363" t="e">
        <f>VLOOKUP(B1338, 'PubMed 4.14.21 Results'!B:B, 1, FALSE)</f>
        <v>#N/A</v>
      </c>
      <c r="B1338" s="363">
        <v>34606050</v>
      </c>
      <c r="C1338" s="362" t="s">
        <v>14417</v>
      </c>
      <c r="D1338" s="362" t="s">
        <v>14418</v>
      </c>
      <c r="E1338" s="362" t="s">
        <v>14419</v>
      </c>
      <c r="F1338" s="362" t="s">
        <v>8357</v>
      </c>
      <c r="G1338" s="362" t="s">
        <v>14420</v>
      </c>
      <c r="H1338" s="363">
        <v>2021</v>
      </c>
      <c r="I1338" s="378">
        <v>44473</v>
      </c>
      <c r="J1338" s="365"/>
      <c r="K1338" s="365"/>
      <c r="L1338" s="362" t="s">
        <v>14421</v>
      </c>
    </row>
    <row r="1339" spans="1:12">
      <c r="A1339" s="363">
        <f>VLOOKUP(B1339, 'PubMed 4.14.21 Results'!B:B, 1, FALSE)</f>
        <v>33403727</v>
      </c>
      <c r="B1339" s="363">
        <v>33403727</v>
      </c>
      <c r="C1339" s="362" t="s">
        <v>14422</v>
      </c>
      <c r="D1339" s="362" t="s">
        <v>14423</v>
      </c>
      <c r="E1339" s="362" t="s">
        <v>14424</v>
      </c>
      <c r="F1339" s="362" t="s">
        <v>7619</v>
      </c>
      <c r="G1339" s="362" t="s">
        <v>14425</v>
      </c>
      <c r="H1339" s="363">
        <v>2021</v>
      </c>
      <c r="I1339" s="378">
        <v>44202</v>
      </c>
      <c r="J1339" s="365"/>
      <c r="K1339" s="365"/>
      <c r="L1339" s="362" t="s">
        <v>14426</v>
      </c>
    </row>
  </sheetData>
  <customSheetViews>
    <customSheetView guid="{D8ECF7FC-5E3A-4DFB-B628-6DD3CD0CC9C8}" filter="1" showAutoFilter="1">
      <pageMargins left="0.7" right="0.7" top="0.75" bottom="0.75" header="0.3" footer="0.3"/>
      <autoFilter ref="A1:A1339" xr:uid="{2F7F3090-E16A-4650-9F0B-ACDB99E2ACEC}">
        <filterColumn colId="0">
          <filters>
            <filter val="#N/A"/>
          </filters>
        </filterColumn>
      </autoFilter>
    </customSheetView>
  </customSheetViews>
  <mergeCells count="471">
    <mergeCell ref="J984:K984"/>
    <mergeCell ref="J985:K985"/>
    <mergeCell ref="J986:K986"/>
    <mergeCell ref="J934:K934"/>
    <mergeCell ref="J938:K938"/>
    <mergeCell ref="J942:K942"/>
    <mergeCell ref="J943:K943"/>
    <mergeCell ref="J944:K944"/>
    <mergeCell ref="J975:K975"/>
    <mergeCell ref="J976:K976"/>
    <mergeCell ref="J978:K978"/>
    <mergeCell ref="J982:K982"/>
    <mergeCell ref="J916:K916"/>
    <mergeCell ref="J917:K917"/>
    <mergeCell ref="J920:K920"/>
    <mergeCell ref="J921:K921"/>
    <mergeCell ref="J922:K922"/>
    <mergeCell ref="J928:K928"/>
    <mergeCell ref="J929:K929"/>
    <mergeCell ref="J931:K931"/>
    <mergeCell ref="J932:K932"/>
    <mergeCell ref="J899:K899"/>
    <mergeCell ref="J903:K903"/>
    <mergeCell ref="J904:K904"/>
    <mergeCell ref="J905:K905"/>
    <mergeCell ref="J909:K909"/>
    <mergeCell ref="J910:K910"/>
    <mergeCell ref="J911:K911"/>
    <mergeCell ref="J912:K912"/>
    <mergeCell ref="J913:K913"/>
    <mergeCell ref="J967:K967"/>
    <mergeCell ref="J969:K969"/>
    <mergeCell ref="J971:K971"/>
    <mergeCell ref="J972:K972"/>
    <mergeCell ref="J973:K973"/>
    <mergeCell ref="J862:K862"/>
    <mergeCell ref="J867:K867"/>
    <mergeCell ref="J868:K868"/>
    <mergeCell ref="J870:K870"/>
    <mergeCell ref="J871:K871"/>
    <mergeCell ref="J872:K872"/>
    <mergeCell ref="J873:K873"/>
    <mergeCell ref="J874:K874"/>
    <mergeCell ref="J875:K875"/>
    <mergeCell ref="J877:K877"/>
    <mergeCell ref="J878:K878"/>
    <mergeCell ref="J879:K879"/>
    <mergeCell ref="J883:K883"/>
    <mergeCell ref="J886:K886"/>
    <mergeCell ref="J889:K889"/>
    <mergeCell ref="J892:K892"/>
    <mergeCell ref="J894:K894"/>
    <mergeCell ref="J895:K895"/>
    <mergeCell ref="J896:K896"/>
    <mergeCell ref="J950:K950"/>
    <mergeCell ref="J951:K951"/>
    <mergeCell ref="J952:K952"/>
    <mergeCell ref="J953:K953"/>
    <mergeCell ref="J959:K959"/>
    <mergeCell ref="J961:K961"/>
    <mergeCell ref="J964:K964"/>
    <mergeCell ref="J965:K965"/>
    <mergeCell ref="J966:K966"/>
    <mergeCell ref="J812:K812"/>
    <mergeCell ref="J813:K813"/>
    <mergeCell ref="J848:K848"/>
    <mergeCell ref="J849:K849"/>
    <mergeCell ref="J850:K850"/>
    <mergeCell ref="J854:K854"/>
    <mergeCell ref="J855:K855"/>
    <mergeCell ref="J858:K858"/>
    <mergeCell ref="J861:K861"/>
    <mergeCell ref="J787:K787"/>
    <mergeCell ref="J788:K788"/>
    <mergeCell ref="J795:K795"/>
    <mergeCell ref="J798:K798"/>
    <mergeCell ref="J799:K799"/>
    <mergeCell ref="J800:K800"/>
    <mergeCell ref="J804:K804"/>
    <mergeCell ref="J807:K807"/>
    <mergeCell ref="J811:K811"/>
    <mergeCell ref="J827:K827"/>
    <mergeCell ref="J828:K828"/>
    <mergeCell ref="J832:K832"/>
    <mergeCell ref="J836:K836"/>
    <mergeCell ref="J838:K838"/>
    <mergeCell ref="J841:K841"/>
    <mergeCell ref="J843:K843"/>
    <mergeCell ref="J845:K845"/>
    <mergeCell ref="J693:K693"/>
    <mergeCell ref="J698:K698"/>
    <mergeCell ref="J700:K700"/>
    <mergeCell ref="J702:K702"/>
    <mergeCell ref="J706:K706"/>
    <mergeCell ref="J707:K707"/>
    <mergeCell ref="J708:K708"/>
    <mergeCell ref="J709:K709"/>
    <mergeCell ref="J712:K712"/>
    <mergeCell ref="J713:K713"/>
    <mergeCell ref="J715:K715"/>
    <mergeCell ref="J720:K720"/>
    <mergeCell ref="J721:K721"/>
    <mergeCell ref="J722:K722"/>
    <mergeCell ref="J723:K723"/>
    <mergeCell ref="J725:K725"/>
    <mergeCell ref="J690:K690"/>
    <mergeCell ref="J691:K691"/>
    <mergeCell ref="J692:K692"/>
    <mergeCell ref="J817:K817"/>
    <mergeCell ref="J819:K819"/>
    <mergeCell ref="J820:K820"/>
    <mergeCell ref="J821:K821"/>
    <mergeCell ref="J822:K822"/>
    <mergeCell ref="J823:K823"/>
    <mergeCell ref="J726:K726"/>
    <mergeCell ref="J727:K727"/>
    <mergeCell ref="J729:K729"/>
    <mergeCell ref="J737:K737"/>
    <mergeCell ref="J744:K744"/>
    <mergeCell ref="J745:K745"/>
    <mergeCell ref="J746:K746"/>
    <mergeCell ref="J750:K750"/>
    <mergeCell ref="J752:K752"/>
    <mergeCell ref="J759:K759"/>
    <mergeCell ref="J763:K763"/>
    <mergeCell ref="J768:K768"/>
    <mergeCell ref="J775:K775"/>
    <mergeCell ref="J778:K778"/>
    <mergeCell ref="J781:K781"/>
    <mergeCell ref="J662:K662"/>
    <mergeCell ref="J663:K663"/>
    <mergeCell ref="J665:K665"/>
    <mergeCell ref="J667:K667"/>
    <mergeCell ref="J673:K673"/>
    <mergeCell ref="J677:K677"/>
    <mergeCell ref="J681:K681"/>
    <mergeCell ref="J684:K684"/>
    <mergeCell ref="J686:K686"/>
    <mergeCell ref="J636:K636"/>
    <mergeCell ref="J637:K637"/>
    <mergeCell ref="J641:K641"/>
    <mergeCell ref="J645:K645"/>
    <mergeCell ref="J646:K646"/>
    <mergeCell ref="J648:K648"/>
    <mergeCell ref="J649:K649"/>
    <mergeCell ref="J657:K657"/>
    <mergeCell ref="J661:K661"/>
    <mergeCell ref="J610:K610"/>
    <mergeCell ref="J615:K615"/>
    <mergeCell ref="J621:K621"/>
    <mergeCell ref="J627:K627"/>
    <mergeCell ref="J628:K628"/>
    <mergeCell ref="J629:K629"/>
    <mergeCell ref="J631:K631"/>
    <mergeCell ref="J632:K632"/>
    <mergeCell ref="J634:K634"/>
    <mergeCell ref="J585:K585"/>
    <mergeCell ref="J586:K586"/>
    <mergeCell ref="J590:K590"/>
    <mergeCell ref="J596:K596"/>
    <mergeCell ref="J598:K598"/>
    <mergeCell ref="J599:K599"/>
    <mergeCell ref="J601:K601"/>
    <mergeCell ref="J602:K602"/>
    <mergeCell ref="J609:K609"/>
    <mergeCell ref="J556:K556"/>
    <mergeCell ref="J557:K557"/>
    <mergeCell ref="J565:K565"/>
    <mergeCell ref="J570:K570"/>
    <mergeCell ref="J573:K573"/>
    <mergeCell ref="J576:K576"/>
    <mergeCell ref="J577:K577"/>
    <mergeCell ref="J579:K579"/>
    <mergeCell ref="J580:K580"/>
    <mergeCell ref="J530:K530"/>
    <mergeCell ref="J533:K533"/>
    <mergeCell ref="J536:K536"/>
    <mergeCell ref="J541:K541"/>
    <mergeCell ref="J544:K544"/>
    <mergeCell ref="J545:K545"/>
    <mergeCell ref="J550:K550"/>
    <mergeCell ref="J551:K551"/>
    <mergeCell ref="J553:K553"/>
    <mergeCell ref="J506:K506"/>
    <mergeCell ref="J510:K510"/>
    <mergeCell ref="J512:K512"/>
    <mergeCell ref="J516:K516"/>
    <mergeCell ref="J517:K517"/>
    <mergeCell ref="J522:K522"/>
    <mergeCell ref="J525:K525"/>
    <mergeCell ref="J527:K527"/>
    <mergeCell ref="J528:K528"/>
    <mergeCell ref="J471:K471"/>
    <mergeCell ref="J475:K475"/>
    <mergeCell ref="J482:K482"/>
    <mergeCell ref="J483:K483"/>
    <mergeCell ref="J484:K484"/>
    <mergeCell ref="J485:K485"/>
    <mergeCell ref="J486:K486"/>
    <mergeCell ref="J492:K492"/>
    <mergeCell ref="J493:K493"/>
    <mergeCell ref="J441:K441"/>
    <mergeCell ref="J442:K442"/>
    <mergeCell ref="K445:L445"/>
    <mergeCell ref="J448:K448"/>
    <mergeCell ref="J451:K451"/>
    <mergeCell ref="J460:K460"/>
    <mergeCell ref="J463:K463"/>
    <mergeCell ref="J465:K465"/>
    <mergeCell ref="J466:K466"/>
    <mergeCell ref="J425:K425"/>
    <mergeCell ref="J426:K426"/>
    <mergeCell ref="J427:K427"/>
    <mergeCell ref="J429:K429"/>
    <mergeCell ref="J432:K432"/>
    <mergeCell ref="J434:K434"/>
    <mergeCell ref="J357:K357"/>
    <mergeCell ref="J360:K360"/>
    <mergeCell ref="J363:K363"/>
    <mergeCell ref="J367:K367"/>
    <mergeCell ref="J370:K370"/>
    <mergeCell ref="J372:K372"/>
    <mergeCell ref="J373:K373"/>
    <mergeCell ref="J374:K374"/>
    <mergeCell ref="J378:K378"/>
    <mergeCell ref="J388:K388"/>
    <mergeCell ref="J395:K395"/>
    <mergeCell ref="J402:K402"/>
    <mergeCell ref="J405:K405"/>
    <mergeCell ref="J416:K416"/>
    <mergeCell ref="J327:K327"/>
    <mergeCell ref="J336:K336"/>
    <mergeCell ref="J340:K340"/>
    <mergeCell ref="J342:K342"/>
    <mergeCell ref="J343:K343"/>
    <mergeCell ref="J344:K344"/>
    <mergeCell ref="J345:K345"/>
    <mergeCell ref="J420:K420"/>
    <mergeCell ref="J423:K423"/>
    <mergeCell ref="J273:K273"/>
    <mergeCell ref="J278:K278"/>
    <mergeCell ref="J285:K285"/>
    <mergeCell ref="J286:K286"/>
    <mergeCell ref="J297:K297"/>
    <mergeCell ref="J298:K298"/>
    <mergeCell ref="J303:K303"/>
    <mergeCell ref="J312:K312"/>
    <mergeCell ref="J322:K322"/>
    <mergeCell ref="J201:K201"/>
    <mergeCell ref="J208:K208"/>
    <mergeCell ref="J217:K217"/>
    <mergeCell ref="J220:K220"/>
    <mergeCell ref="J221:K221"/>
    <mergeCell ref="J246:K246"/>
    <mergeCell ref="J252:K252"/>
    <mergeCell ref="J265:K265"/>
    <mergeCell ref="J270:K270"/>
    <mergeCell ref="J1244:K1244"/>
    <mergeCell ref="J1246:K1246"/>
    <mergeCell ref="J1247:K1247"/>
    <mergeCell ref="J1250:K1250"/>
    <mergeCell ref="J1253:K1253"/>
    <mergeCell ref="J1256:K1256"/>
    <mergeCell ref="J1257:K1257"/>
    <mergeCell ref="J27:K27"/>
    <mergeCell ref="C40:D40"/>
    <mergeCell ref="E40:F40"/>
    <mergeCell ref="J44:K44"/>
    <mergeCell ref="J84:K84"/>
    <mergeCell ref="J90:K90"/>
    <mergeCell ref="J91:K91"/>
    <mergeCell ref="J132:K132"/>
    <mergeCell ref="J140:K140"/>
    <mergeCell ref="J167:K167"/>
    <mergeCell ref="J168:K168"/>
    <mergeCell ref="J181:K181"/>
    <mergeCell ref="J186:K186"/>
    <mergeCell ref="J189:K189"/>
    <mergeCell ref="J191:K191"/>
    <mergeCell ref="J197:K197"/>
    <mergeCell ref="J198:K198"/>
    <mergeCell ref="J1229:K1229"/>
    <mergeCell ref="J1231:K1231"/>
    <mergeCell ref="J1234:K1234"/>
    <mergeCell ref="J1237:K1237"/>
    <mergeCell ref="J1239:K1239"/>
    <mergeCell ref="J1240:K1240"/>
    <mergeCell ref="J1241:K1241"/>
    <mergeCell ref="J1242:K1242"/>
    <mergeCell ref="J1243:K1243"/>
    <mergeCell ref="J1212:K1212"/>
    <mergeCell ref="J1217:K1217"/>
    <mergeCell ref="J1218:K1218"/>
    <mergeCell ref="J1220:K1220"/>
    <mergeCell ref="J1222:K1222"/>
    <mergeCell ref="J1224:K1224"/>
    <mergeCell ref="J1226:K1226"/>
    <mergeCell ref="J1227:K1227"/>
    <mergeCell ref="J1228:K1228"/>
    <mergeCell ref="J1198:K1198"/>
    <mergeCell ref="J1201:K1201"/>
    <mergeCell ref="J1204:K1204"/>
    <mergeCell ref="J1205:K1205"/>
    <mergeCell ref="J1206:K1206"/>
    <mergeCell ref="J1207:K1207"/>
    <mergeCell ref="J1208:K1208"/>
    <mergeCell ref="J1209:K1209"/>
    <mergeCell ref="J1211:K1211"/>
    <mergeCell ref="J1327:K1327"/>
    <mergeCell ref="J1328:K1328"/>
    <mergeCell ref="J1329:K1329"/>
    <mergeCell ref="J1330:K1330"/>
    <mergeCell ref="J1333:K1333"/>
    <mergeCell ref="J1334:K1334"/>
    <mergeCell ref="J1312:K1312"/>
    <mergeCell ref="J1313:K1313"/>
    <mergeCell ref="J1315:K1315"/>
    <mergeCell ref="J1316:K1316"/>
    <mergeCell ref="J1318:K1318"/>
    <mergeCell ref="J1319:K1319"/>
    <mergeCell ref="J1321:K1321"/>
    <mergeCell ref="J1300:K1300"/>
    <mergeCell ref="J1301:K1301"/>
    <mergeCell ref="J1302:K1302"/>
    <mergeCell ref="J1303:K1303"/>
    <mergeCell ref="J1304:K1304"/>
    <mergeCell ref="J1307:K1307"/>
    <mergeCell ref="J1311:K1311"/>
    <mergeCell ref="J1323:K1323"/>
    <mergeCell ref="J1324:K1324"/>
    <mergeCell ref="J1287:K1287"/>
    <mergeCell ref="J1288:K1288"/>
    <mergeCell ref="J1292:K1292"/>
    <mergeCell ref="J1293:K1293"/>
    <mergeCell ref="J1294:K1294"/>
    <mergeCell ref="J1295:K1295"/>
    <mergeCell ref="J1296:K1296"/>
    <mergeCell ref="J1297:K1297"/>
    <mergeCell ref="J1298:K1298"/>
    <mergeCell ref="J1275:K1275"/>
    <mergeCell ref="J1276:K1276"/>
    <mergeCell ref="J1277:K1277"/>
    <mergeCell ref="J1278:K1278"/>
    <mergeCell ref="J1279:K1279"/>
    <mergeCell ref="J1282:K1282"/>
    <mergeCell ref="J1284:K1284"/>
    <mergeCell ref="J1285:K1285"/>
    <mergeCell ref="J1286:K1286"/>
    <mergeCell ref="J1259:K1259"/>
    <mergeCell ref="J1260:K1260"/>
    <mergeCell ref="J1262:K1262"/>
    <mergeCell ref="J1263:K1263"/>
    <mergeCell ref="J1267:K1267"/>
    <mergeCell ref="J1269:K1269"/>
    <mergeCell ref="J1270:K1270"/>
    <mergeCell ref="J1272:K1272"/>
    <mergeCell ref="J1274:K1274"/>
    <mergeCell ref="J1166:K1166"/>
    <mergeCell ref="J1167:K1167"/>
    <mergeCell ref="J1170:K1170"/>
    <mergeCell ref="J1171:K1171"/>
    <mergeCell ref="J1172:K1172"/>
    <mergeCell ref="J1173:K1173"/>
    <mergeCell ref="J1174:K1174"/>
    <mergeCell ref="J1175:K1175"/>
    <mergeCell ref="J1258:K1258"/>
    <mergeCell ref="J1176:K1176"/>
    <mergeCell ref="J1177:K1177"/>
    <mergeCell ref="J1178:K1178"/>
    <mergeCell ref="J1181:K1181"/>
    <mergeCell ref="J1182:K1182"/>
    <mergeCell ref="J1183:K1183"/>
    <mergeCell ref="J1184:K1184"/>
    <mergeCell ref="J1185:K1185"/>
    <mergeCell ref="J1186:K1186"/>
    <mergeCell ref="J1189:K1189"/>
    <mergeCell ref="J1190:K1190"/>
    <mergeCell ref="J1191:K1191"/>
    <mergeCell ref="J1192:K1192"/>
    <mergeCell ref="J1194:K1194"/>
    <mergeCell ref="J1197:K1197"/>
    <mergeCell ref="J1153:K1153"/>
    <mergeCell ref="J1154:K1154"/>
    <mergeCell ref="J1158:K1158"/>
    <mergeCell ref="J1159:K1159"/>
    <mergeCell ref="J1160:K1160"/>
    <mergeCell ref="J1161:K1161"/>
    <mergeCell ref="J1162:K1162"/>
    <mergeCell ref="J1164:K1164"/>
    <mergeCell ref="J1165:K1165"/>
    <mergeCell ref="J1139:K1139"/>
    <mergeCell ref="J1141:K1141"/>
    <mergeCell ref="J1142:K1142"/>
    <mergeCell ref="J1146:K1146"/>
    <mergeCell ref="J1147:K1147"/>
    <mergeCell ref="J1149:K1149"/>
    <mergeCell ref="J1150:K1150"/>
    <mergeCell ref="J1151:K1151"/>
    <mergeCell ref="J1152:K1152"/>
    <mergeCell ref="J1120:K1120"/>
    <mergeCell ref="J1121:K1121"/>
    <mergeCell ref="J1122:K1122"/>
    <mergeCell ref="J1128:K1128"/>
    <mergeCell ref="J1129:K1129"/>
    <mergeCell ref="J1135:K1135"/>
    <mergeCell ref="J1136:K1136"/>
    <mergeCell ref="J1137:K1137"/>
    <mergeCell ref="J1138:K1138"/>
    <mergeCell ref="J1102:K1102"/>
    <mergeCell ref="J1105:K1105"/>
    <mergeCell ref="J1106:K1106"/>
    <mergeCell ref="J1109:K1109"/>
    <mergeCell ref="J1113:K1113"/>
    <mergeCell ref="J1114:K1114"/>
    <mergeCell ref="J1115:K1115"/>
    <mergeCell ref="J1117:K1117"/>
    <mergeCell ref="J1119:K1119"/>
    <mergeCell ref="J1083:K1083"/>
    <mergeCell ref="J1085:K1085"/>
    <mergeCell ref="J1087:K1087"/>
    <mergeCell ref="J1089:K1089"/>
    <mergeCell ref="J1090:K1090"/>
    <mergeCell ref="J1095:K1095"/>
    <mergeCell ref="J1098:K1098"/>
    <mergeCell ref="J1099:K1099"/>
    <mergeCell ref="J1101:K1101"/>
    <mergeCell ref="J1062:K1062"/>
    <mergeCell ref="J1066:K1066"/>
    <mergeCell ref="J1068:K1068"/>
    <mergeCell ref="J1070:K1070"/>
    <mergeCell ref="J1071:K1071"/>
    <mergeCell ref="J1073:K1073"/>
    <mergeCell ref="J1076:K1076"/>
    <mergeCell ref="J1077:K1077"/>
    <mergeCell ref="J1078:K1078"/>
    <mergeCell ref="J1047:K1047"/>
    <mergeCell ref="J1048:K1048"/>
    <mergeCell ref="J1049:K1049"/>
    <mergeCell ref="J1050:K1050"/>
    <mergeCell ref="J1052:K1052"/>
    <mergeCell ref="J1058:K1058"/>
    <mergeCell ref="J1059:K1059"/>
    <mergeCell ref="J1060:K1060"/>
    <mergeCell ref="J1061:K1061"/>
    <mergeCell ref="J1024:K1024"/>
    <mergeCell ref="J1025:K1025"/>
    <mergeCell ref="J1028:K1028"/>
    <mergeCell ref="J1034:K1034"/>
    <mergeCell ref="J1035:K1035"/>
    <mergeCell ref="J1039:K1039"/>
    <mergeCell ref="J1041:K1041"/>
    <mergeCell ref="J1042:K1042"/>
    <mergeCell ref="J1045:K1045"/>
    <mergeCell ref="J1008:K1008"/>
    <mergeCell ref="J1009:K1009"/>
    <mergeCell ref="J1010:K1010"/>
    <mergeCell ref="J1011:K1011"/>
    <mergeCell ref="J1015:K1015"/>
    <mergeCell ref="J1017:K1017"/>
    <mergeCell ref="J1018:K1018"/>
    <mergeCell ref="J1019:K1019"/>
    <mergeCell ref="J1023:K1023"/>
    <mergeCell ref="J987:K987"/>
    <mergeCell ref="J988:K988"/>
    <mergeCell ref="J989:K989"/>
    <mergeCell ref="J990:K990"/>
    <mergeCell ref="J993:K993"/>
    <mergeCell ref="J995:K995"/>
    <mergeCell ref="J996:K996"/>
    <mergeCell ref="J997:K997"/>
    <mergeCell ref="J1003:K1003"/>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outlinePr summaryBelow="0" summaryRight="0"/>
  </sheetPr>
  <dimension ref="A1:M900"/>
  <sheetViews>
    <sheetView workbookViewId="0"/>
  </sheetViews>
  <sheetFormatPr defaultColWidth="14.42578125" defaultRowHeight="15.75" customHeight="1"/>
  <sheetData>
    <row r="1" spans="1:12">
      <c r="A1" s="92"/>
      <c r="B1" s="92" t="s">
        <v>4583</v>
      </c>
      <c r="C1" s="92" t="s">
        <v>8448</v>
      </c>
      <c r="D1" s="92" t="s">
        <v>8449</v>
      </c>
      <c r="E1" s="92" t="s">
        <v>8450</v>
      </c>
      <c r="F1" s="92" t="s">
        <v>247</v>
      </c>
      <c r="G1" s="92" t="s">
        <v>8451</v>
      </c>
      <c r="H1" s="92" t="s">
        <v>4581</v>
      </c>
      <c r="I1" s="92" t="s">
        <v>8452</v>
      </c>
      <c r="J1" s="92" t="s">
        <v>4582</v>
      </c>
      <c r="K1" s="92" t="s">
        <v>8453</v>
      </c>
      <c r="L1" s="92" t="s">
        <v>8454</v>
      </c>
    </row>
    <row r="2" spans="1:12" ht="15.75" customHeight="1">
      <c r="A2" s="345" t="s">
        <v>14427</v>
      </c>
      <c r="B2" s="345">
        <v>5309454</v>
      </c>
      <c r="C2" s="92" t="s">
        <v>14428</v>
      </c>
      <c r="D2" s="92" t="s">
        <v>14429</v>
      </c>
      <c r="E2" s="92" t="s">
        <v>14430</v>
      </c>
      <c r="F2" s="92" t="s">
        <v>1967</v>
      </c>
      <c r="G2" s="92" t="s">
        <v>14431</v>
      </c>
      <c r="H2" s="345">
        <v>1969</v>
      </c>
      <c r="I2" s="380">
        <v>25204</v>
      </c>
      <c r="J2" s="435" t="s">
        <v>4590</v>
      </c>
      <c r="K2" s="425"/>
      <c r="L2" s="92"/>
    </row>
    <row r="3" spans="1:12" ht="15.75" customHeight="1">
      <c r="A3" s="345"/>
      <c r="B3" s="345">
        <v>2277188</v>
      </c>
      <c r="C3" s="92" t="s">
        <v>14432</v>
      </c>
      <c r="D3" s="92" t="s">
        <v>14433</v>
      </c>
      <c r="E3" s="92" t="s">
        <v>14434</v>
      </c>
      <c r="F3" s="92" t="s">
        <v>4591</v>
      </c>
      <c r="G3" s="92" t="s">
        <v>8622</v>
      </c>
      <c r="H3" s="345">
        <v>1990</v>
      </c>
      <c r="I3" s="380">
        <v>33208</v>
      </c>
      <c r="J3" s="92"/>
      <c r="K3" s="92"/>
      <c r="L3" s="92"/>
    </row>
    <row r="4" spans="1:12" ht="15.75" customHeight="1">
      <c r="A4" s="345"/>
      <c r="B4" s="345">
        <v>3722363</v>
      </c>
      <c r="C4" s="92" t="s">
        <v>14435</v>
      </c>
      <c r="D4" s="92" t="s">
        <v>14436</v>
      </c>
      <c r="E4" s="92" t="s">
        <v>14437</v>
      </c>
      <c r="F4" s="92" t="s">
        <v>1557</v>
      </c>
      <c r="G4" s="92" t="s">
        <v>14438</v>
      </c>
      <c r="H4" s="345">
        <v>1986</v>
      </c>
      <c r="I4" s="380">
        <v>31594</v>
      </c>
      <c r="J4" s="92" t="s">
        <v>4593</v>
      </c>
      <c r="K4" s="92"/>
      <c r="L4" s="381" t="s">
        <v>14439</v>
      </c>
    </row>
    <row r="5" spans="1:12" ht="15.75" customHeight="1">
      <c r="A5" s="345"/>
      <c r="B5" s="345">
        <v>6286795</v>
      </c>
      <c r="C5" s="92" t="s">
        <v>14440</v>
      </c>
      <c r="D5" s="92" t="s">
        <v>14441</v>
      </c>
      <c r="E5" s="92" t="s">
        <v>14442</v>
      </c>
      <c r="F5" s="92" t="s">
        <v>4594</v>
      </c>
      <c r="G5" s="92" t="s">
        <v>9497</v>
      </c>
      <c r="H5" s="345">
        <v>1982</v>
      </c>
      <c r="I5" s="380">
        <v>30195</v>
      </c>
      <c r="J5" s="92"/>
      <c r="K5" s="92"/>
      <c r="L5" s="381" t="s">
        <v>14443</v>
      </c>
    </row>
    <row r="6" spans="1:12" ht="15.75" customHeight="1">
      <c r="A6" s="345"/>
      <c r="B6" s="345">
        <v>3531141</v>
      </c>
      <c r="C6" s="92" t="s">
        <v>14444</v>
      </c>
      <c r="D6" s="92" t="s">
        <v>14445</v>
      </c>
      <c r="E6" s="92" t="s">
        <v>14446</v>
      </c>
      <c r="F6" s="92" t="s">
        <v>4257</v>
      </c>
      <c r="G6" s="92" t="s">
        <v>11447</v>
      </c>
      <c r="H6" s="345">
        <v>1986</v>
      </c>
      <c r="I6" s="380">
        <v>31594</v>
      </c>
      <c r="J6" s="92"/>
      <c r="K6" s="92"/>
      <c r="L6" s="381" t="s">
        <v>14447</v>
      </c>
    </row>
    <row r="7" spans="1:12" ht="15.75" customHeight="1">
      <c r="A7" s="345"/>
      <c r="B7" s="345">
        <v>6143042</v>
      </c>
      <c r="C7" s="92" t="s">
        <v>14448</v>
      </c>
      <c r="D7" s="92" t="s">
        <v>14449</v>
      </c>
      <c r="E7" s="92" t="s">
        <v>14450</v>
      </c>
      <c r="F7" s="92" t="s">
        <v>1557</v>
      </c>
      <c r="G7" s="92" t="s">
        <v>9420</v>
      </c>
      <c r="H7" s="345">
        <v>1984</v>
      </c>
      <c r="I7" s="380">
        <v>30772</v>
      </c>
      <c r="J7" s="92"/>
      <c r="K7" s="92"/>
      <c r="L7" s="381" t="s">
        <v>14451</v>
      </c>
    </row>
    <row r="8" spans="1:12" ht="15.75" customHeight="1">
      <c r="A8" s="345"/>
      <c r="B8" s="345">
        <v>7137990</v>
      </c>
      <c r="C8" s="92" t="s">
        <v>14452</v>
      </c>
      <c r="D8" s="92" t="s">
        <v>14453</v>
      </c>
      <c r="E8" s="92" t="s">
        <v>14454</v>
      </c>
      <c r="F8" s="92" t="s">
        <v>1835</v>
      </c>
      <c r="G8" s="92" t="s">
        <v>10314</v>
      </c>
      <c r="H8" s="345">
        <v>1982</v>
      </c>
      <c r="I8" s="380">
        <v>30164</v>
      </c>
      <c r="J8" s="92"/>
      <c r="K8" s="92"/>
      <c r="L8" s="381" t="s">
        <v>14455</v>
      </c>
    </row>
    <row r="9" spans="1:12" ht="15.75" customHeight="1">
      <c r="A9" s="345"/>
      <c r="B9" s="345">
        <v>118925</v>
      </c>
      <c r="C9" s="92" t="s">
        <v>14456</v>
      </c>
      <c r="D9" s="92" t="s">
        <v>14457</v>
      </c>
      <c r="E9" s="92" t="s">
        <v>14458</v>
      </c>
      <c r="F9" s="92" t="s">
        <v>4596</v>
      </c>
      <c r="G9" s="92" t="s">
        <v>11700</v>
      </c>
      <c r="H9" s="345">
        <v>1979</v>
      </c>
      <c r="I9" s="380">
        <v>29190</v>
      </c>
      <c r="J9" s="92" t="s">
        <v>4597</v>
      </c>
      <c r="K9" s="92"/>
      <c r="L9" s="381" t="s">
        <v>14459</v>
      </c>
    </row>
    <row r="10" spans="1:12" ht="15.75" customHeight="1">
      <c r="A10" s="345"/>
      <c r="B10" s="345">
        <v>4056002</v>
      </c>
      <c r="C10" s="92" t="s">
        <v>14460</v>
      </c>
      <c r="D10" s="92" t="s">
        <v>14461</v>
      </c>
      <c r="E10" s="92" t="s">
        <v>14462</v>
      </c>
      <c r="F10" s="92" t="s">
        <v>2249</v>
      </c>
      <c r="G10" s="92" t="s">
        <v>14438</v>
      </c>
      <c r="H10" s="345">
        <v>1985</v>
      </c>
      <c r="I10" s="380">
        <v>31352</v>
      </c>
      <c r="J10" s="92" t="s">
        <v>4598</v>
      </c>
      <c r="K10" s="92"/>
      <c r="L10" s="381" t="s">
        <v>14463</v>
      </c>
    </row>
    <row r="11" spans="1:12" ht="15.75" customHeight="1">
      <c r="A11" s="345"/>
      <c r="B11" s="345">
        <v>4443806</v>
      </c>
      <c r="C11" s="92" t="s">
        <v>14464</v>
      </c>
      <c r="D11" s="92" t="s">
        <v>14465</v>
      </c>
      <c r="E11" s="92" t="s">
        <v>14466</v>
      </c>
      <c r="F11" s="92" t="s">
        <v>4599</v>
      </c>
      <c r="G11" s="92" t="s">
        <v>14467</v>
      </c>
      <c r="H11" s="345">
        <v>1974</v>
      </c>
      <c r="I11" s="380">
        <v>27303</v>
      </c>
      <c r="J11" s="92" t="s">
        <v>4600</v>
      </c>
      <c r="K11" s="92"/>
      <c r="L11" s="381" t="s">
        <v>14468</v>
      </c>
    </row>
    <row r="12" spans="1:12" ht="15.75" customHeight="1">
      <c r="A12" s="345"/>
      <c r="B12" s="345">
        <v>2712549</v>
      </c>
      <c r="C12" s="92" t="s">
        <v>14469</v>
      </c>
      <c r="D12" s="92" t="s">
        <v>14470</v>
      </c>
      <c r="E12" s="92" t="s">
        <v>14471</v>
      </c>
      <c r="F12" s="92" t="s">
        <v>2152</v>
      </c>
      <c r="G12" s="92" t="s">
        <v>10314</v>
      </c>
      <c r="H12" s="345">
        <v>1989</v>
      </c>
      <c r="I12" s="380">
        <v>32540</v>
      </c>
      <c r="J12" s="92"/>
      <c r="K12" s="92"/>
      <c r="L12" s="381" t="s">
        <v>14472</v>
      </c>
    </row>
    <row r="13" spans="1:12" ht="15.75" customHeight="1">
      <c r="A13" s="345"/>
      <c r="B13" s="345">
        <v>3183640</v>
      </c>
      <c r="C13" s="92" t="s">
        <v>14473</v>
      </c>
      <c r="D13" s="92" t="s">
        <v>14474</v>
      </c>
      <c r="E13" s="92" t="s">
        <v>14475</v>
      </c>
      <c r="F13" s="92" t="s">
        <v>4265</v>
      </c>
      <c r="G13" s="92" t="s">
        <v>14476</v>
      </c>
      <c r="H13" s="345">
        <v>1988</v>
      </c>
      <c r="I13" s="380">
        <v>32417</v>
      </c>
      <c r="J13" s="92"/>
      <c r="K13" s="92"/>
      <c r="L13" s="381" t="s">
        <v>14477</v>
      </c>
    </row>
    <row r="14" spans="1:12" ht="15.75" customHeight="1">
      <c r="A14" s="345"/>
      <c r="B14" s="345">
        <v>3711273</v>
      </c>
      <c r="C14" s="92" t="s">
        <v>14478</v>
      </c>
      <c r="D14" s="92" t="s">
        <v>14479</v>
      </c>
      <c r="E14" s="92" t="s">
        <v>14480</v>
      </c>
      <c r="F14" s="92" t="s">
        <v>2249</v>
      </c>
      <c r="G14" s="92" t="s">
        <v>14438</v>
      </c>
      <c r="H14" s="345">
        <v>1986</v>
      </c>
      <c r="I14" s="380">
        <v>31533</v>
      </c>
      <c r="J14" s="92" t="s">
        <v>4601</v>
      </c>
      <c r="K14" s="92"/>
      <c r="L14" s="381" t="s">
        <v>14481</v>
      </c>
    </row>
    <row r="15" spans="1:12" ht="15.75" customHeight="1">
      <c r="A15" s="345"/>
      <c r="B15" s="345">
        <v>3700611</v>
      </c>
      <c r="C15" s="92" t="s">
        <v>14482</v>
      </c>
      <c r="D15" s="92" t="s">
        <v>14436</v>
      </c>
      <c r="E15" s="92" t="s">
        <v>14483</v>
      </c>
      <c r="F15" s="92" t="s">
        <v>1557</v>
      </c>
      <c r="G15" s="92" t="s">
        <v>14438</v>
      </c>
      <c r="H15" s="345">
        <v>1986</v>
      </c>
      <c r="I15" s="380">
        <v>31413</v>
      </c>
      <c r="J15" s="92" t="s">
        <v>4602</v>
      </c>
      <c r="K15" s="92"/>
      <c r="L15" s="381" t="s">
        <v>14484</v>
      </c>
    </row>
    <row r="16" spans="1:12" ht="15.75" customHeight="1">
      <c r="A16" s="345"/>
      <c r="B16" s="345">
        <v>165119</v>
      </c>
      <c r="C16" s="92" t="s">
        <v>14485</v>
      </c>
      <c r="D16" s="92" t="s">
        <v>14486</v>
      </c>
      <c r="E16" s="92" t="s">
        <v>14487</v>
      </c>
      <c r="F16" s="92" t="s">
        <v>4603</v>
      </c>
      <c r="G16" s="92" t="s">
        <v>14488</v>
      </c>
      <c r="H16" s="345">
        <v>1975</v>
      </c>
      <c r="I16" s="380">
        <v>27395</v>
      </c>
      <c r="J16" s="92"/>
      <c r="K16" s="92"/>
      <c r="L16" s="92"/>
    </row>
    <row r="17" spans="1:12" ht="15.75" customHeight="1">
      <c r="A17" s="345"/>
      <c r="B17" s="345">
        <v>2162116</v>
      </c>
      <c r="C17" s="92" t="s">
        <v>14489</v>
      </c>
      <c r="D17" s="92" t="s">
        <v>14490</v>
      </c>
      <c r="E17" s="92" t="s">
        <v>14491</v>
      </c>
      <c r="F17" s="92" t="s">
        <v>4344</v>
      </c>
      <c r="G17" s="92" t="s">
        <v>9205</v>
      </c>
      <c r="H17" s="345">
        <v>1990</v>
      </c>
      <c r="I17" s="380">
        <v>33055</v>
      </c>
      <c r="J17" s="92"/>
      <c r="K17" s="92"/>
      <c r="L17" s="381" t="s">
        <v>14492</v>
      </c>
    </row>
    <row r="18" spans="1:12" ht="15.75" customHeight="1">
      <c r="A18" s="345"/>
      <c r="B18" s="345">
        <v>500204</v>
      </c>
      <c r="C18" s="92" t="s">
        <v>14493</v>
      </c>
      <c r="D18" s="92" t="s">
        <v>14494</v>
      </c>
      <c r="E18" s="92" t="s">
        <v>14495</v>
      </c>
      <c r="F18" s="92" t="s">
        <v>1672</v>
      </c>
      <c r="G18" s="92" t="s">
        <v>11700</v>
      </c>
      <c r="H18" s="345">
        <v>1979</v>
      </c>
      <c r="I18" s="380">
        <v>29129</v>
      </c>
      <c r="J18" s="92" t="s">
        <v>4604</v>
      </c>
      <c r="K18" s="92"/>
      <c r="L18" s="381" t="s">
        <v>14496</v>
      </c>
    </row>
    <row r="19" spans="1:12" ht="15.75" customHeight="1">
      <c r="A19" s="345"/>
      <c r="B19" s="345">
        <v>2849376</v>
      </c>
      <c r="C19" s="92" t="s">
        <v>14497</v>
      </c>
      <c r="D19" s="92" t="s">
        <v>14498</v>
      </c>
      <c r="E19" s="92" t="s">
        <v>14499</v>
      </c>
      <c r="F19" s="92" t="s">
        <v>1835</v>
      </c>
      <c r="G19" s="92" t="s">
        <v>10314</v>
      </c>
      <c r="H19" s="345">
        <v>1988</v>
      </c>
      <c r="I19" s="380">
        <v>32325</v>
      </c>
      <c r="J19" s="92"/>
      <c r="K19" s="92"/>
      <c r="L19" s="381" t="s">
        <v>14500</v>
      </c>
    </row>
    <row r="20" spans="1:12" ht="15.75" customHeight="1">
      <c r="A20" s="345"/>
      <c r="B20" s="345">
        <v>6832823</v>
      </c>
      <c r="C20" s="92" t="s">
        <v>14501</v>
      </c>
      <c r="D20" s="92" t="s">
        <v>14502</v>
      </c>
      <c r="E20" s="92" t="s">
        <v>14503</v>
      </c>
      <c r="F20" s="92" t="s">
        <v>4605</v>
      </c>
      <c r="G20" s="92" t="s">
        <v>11700</v>
      </c>
      <c r="H20" s="345">
        <v>1983</v>
      </c>
      <c r="I20" s="380">
        <v>30348</v>
      </c>
      <c r="J20" s="92" t="s">
        <v>4606</v>
      </c>
      <c r="K20" s="92"/>
      <c r="L20" s="381" t="s">
        <v>14504</v>
      </c>
    </row>
    <row r="21" spans="1:12" ht="15.75" customHeight="1">
      <c r="A21" s="345"/>
      <c r="B21" s="345">
        <v>1083484</v>
      </c>
      <c r="C21" s="92" t="s">
        <v>14505</v>
      </c>
      <c r="D21" s="92" t="s">
        <v>14506</v>
      </c>
      <c r="E21" s="92" t="s">
        <v>14507</v>
      </c>
      <c r="F21" s="92" t="s">
        <v>2202</v>
      </c>
      <c r="G21" s="92" t="s">
        <v>8514</v>
      </c>
      <c r="H21" s="345">
        <v>1976</v>
      </c>
      <c r="I21" s="380">
        <v>27907</v>
      </c>
      <c r="J21" s="92"/>
      <c r="K21" s="92"/>
      <c r="L21" s="381" t="s">
        <v>14508</v>
      </c>
    </row>
    <row r="22" spans="1:12" ht="15.75" customHeight="1">
      <c r="A22" s="345"/>
      <c r="B22" s="345">
        <v>669819</v>
      </c>
      <c r="C22" s="92" t="s">
        <v>14509</v>
      </c>
      <c r="D22" s="92" t="s">
        <v>14510</v>
      </c>
      <c r="E22" s="92" t="s">
        <v>14511</v>
      </c>
      <c r="F22" s="92" t="s">
        <v>2077</v>
      </c>
      <c r="G22" s="92" t="s">
        <v>11700</v>
      </c>
      <c r="H22" s="345">
        <v>1978</v>
      </c>
      <c r="I22" s="380">
        <v>28642</v>
      </c>
      <c r="J22" s="92" t="s">
        <v>4607</v>
      </c>
      <c r="K22" s="92"/>
      <c r="L22" s="381" t="s">
        <v>14512</v>
      </c>
    </row>
    <row r="23" spans="1:12" ht="15.75" customHeight="1">
      <c r="A23" s="345"/>
      <c r="B23" s="345">
        <v>2993431</v>
      </c>
      <c r="C23" s="92" t="s">
        <v>14513</v>
      </c>
      <c r="D23" s="92" t="s">
        <v>14514</v>
      </c>
      <c r="E23" s="92" t="s">
        <v>14515</v>
      </c>
      <c r="F23" s="92" t="s">
        <v>4264</v>
      </c>
      <c r="G23" s="92" t="s">
        <v>9497</v>
      </c>
      <c r="H23" s="345">
        <v>1985</v>
      </c>
      <c r="I23" s="380">
        <v>31260</v>
      </c>
      <c r="J23" s="92"/>
      <c r="K23" s="92"/>
      <c r="L23" s="381" t="s">
        <v>14516</v>
      </c>
    </row>
    <row r="24" spans="1:12" ht="15.75" customHeight="1">
      <c r="A24" s="345"/>
      <c r="B24" s="345">
        <v>894078</v>
      </c>
      <c r="C24" s="92" t="s">
        <v>14517</v>
      </c>
      <c r="D24" s="92" t="s">
        <v>14518</v>
      </c>
      <c r="E24" s="92" t="s">
        <v>14519</v>
      </c>
      <c r="F24" s="92" t="s">
        <v>2162</v>
      </c>
      <c r="G24" s="92" t="s">
        <v>9497</v>
      </c>
      <c r="H24" s="345">
        <v>1977</v>
      </c>
      <c r="I24" s="380">
        <v>28338</v>
      </c>
      <c r="J24" s="92"/>
      <c r="K24" s="92"/>
      <c r="L24" s="381" t="s">
        <v>14520</v>
      </c>
    </row>
    <row r="25" spans="1:12" ht="15.75" customHeight="1">
      <c r="A25" s="345"/>
      <c r="B25" s="345">
        <v>13901335</v>
      </c>
      <c r="C25" s="92" t="s">
        <v>14521</v>
      </c>
      <c r="D25" s="92" t="s">
        <v>14522</v>
      </c>
      <c r="E25" s="92" t="s">
        <v>14523</v>
      </c>
      <c r="F25" s="92" t="s">
        <v>4316</v>
      </c>
      <c r="G25" s="92" t="s">
        <v>14524</v>
      </c>
      <c r="H25" s="345">
        <v>1962</v>
      </c>
      <c r="I25" s="380">
        <v>22767</v>
      </c>
      <c r="J25" s="435" t="s">
        <v>4608</v>
      </c>
      <c r="K25" s="425"/>
      <c r="L25" s="381" t="s">
        <v>14525</v>
      </c>
    </row>
    <row r="26" spans="1:12" ht="15.75" customHeight="1">
      <c r="A26" s="345"/>
      <c r="B26" s="345">
        <v>6277764</v>
      </c>
      <c r="C26" s="92" t="s">
        <v>14526</v>
      </c>
      <c r="D26" s="92" t="s">
        <v>14527</v>
      </c>
      <c r="E26" s="92" t="s">
        <v>14528</v>
      </c>
      <c r="F26" s="92" t="s">
        <v>4609</v>
      </c>
      <c r="G26" s="92" t="s">
        <v>14529</v>
      </c>
      <c r="H26" s="345">
        <v>1981</v>
      </c>
      <c r="I26" s="380">
        <v>29921</v>
      </c>
      <c r="J26" s="92"/>
      <c r="K26" s="92"/>
      <c r="L26" s="381" t="s">
        <v>14530</v>
      </c>
    </row>
    <row r="27" spans="1:12" ht="15.75" customHeight="1">
      <c r="A27" s="345"/>
      <c r="B27" s="345">
        <v>925382</v>
      </c>
      <c r="C27" s="92" t="s">
        <v>14531</v>
      </c>
      <c r="D27" s="92" t="s">
        <v>14532</v>
      </c>
      <c r="E27" s="92" t="s">
        <v>14533</v>
      </c>
      <c r="F27" s="92" t="s">
        <v>4265</v>
      </c>
      <c r="G27" s="92" t="s">
        <v>9497</v>
      </c>
      <c r="H27" s="345">
        <v>1977</v>
      </c>
      <c r="I27" s="380">
        <v>28460</v>
      </c>
      <c r="J27" s="92"/>
      <c r="K27" s="92"/>
      <c r="L27" s="381" t="s">
        <v>14534</v>
      </c>
    </row>
    <row r="28" spans="1:12" ht="15.75" customHeight="1">
      <c r="A28" s="345"/>
      <c r="B28" s="345">
        <v>3931271</v>
      </c>
      <c r="C28" s="92" t="s">
        <v>14535</v>
      </c>
      <c r="D28" s="92" t="s">
        <v>14536</v>
      </c>
      <c r="E28" s="92" t="s">
        <v>14537</v>
      </c>
      <c r="F28" s="92" t="s">
        <v>4610</v>
      </c>
      <c r="G28" s="92" t="s">
        <v>14538</v>
      </c>
      <c r="H28" s="345">
        <v>1985</v>
      </c>
      <c r="I28" s="380">
        <v>31048</v>
      </c>
      <c r="J28" s="435" t="s">
        <v>4611</v>
      </c>
      <c r="K28" s="425"/>
      <c r="L28" s="381" t="s">
        <v>14539</v>
      </c>
    </row>
    <row r="29" spans="1:12" ht="15.75" customHeight="1">
      <c r="A29" s="345"/>
      <c r="B29" s="345">
        <v>3039054</v>
      </c>
      <c r="C29" s="92" t="s">
        <v>14540</v>
      </c>
      <c r="D29" s="92" t="s">
        <v>14541</v>
      </c>
      <c r="E29" s="92" t="s">
        <v>14542</v>
      </c>
      <c r="F29" s="92" t="s">
        <v>4612</v>
      </c>
      <c r="G29" s="92" t="s">
        <v>14476</v>
      </c>
      <c r="H29" s="345">
        <v>1987</v>
      </c>
      <c r="I29" s="380">
        <v>31929</v>
      </c>
      <c r="J29" s="92"/>
      <c r="K29" s="92"/>
      <c r="L29" s="381" t="s">
        <v>14543</v>
      </c>
    </row>
    <row r="30" spans="1:12" ht="15.75" customHeight="1">
      <c r="A30" s="345"/>
      <c r="B30" s="345">
        <v>3813891</v>
      </c>
      <c r="C30" s="92" t="s">
        <v>14544</v>
      </c>
      <c r="D30" s="92" t="s">
        <v>14545</v>
      </c>
      <c r="E30" s="92" t="s">
        <v>14546</v>
      </c>
      <c r="F30" s="92" t="s">
        <v>4613</v>
      </c>
      <c r="G30" s="92" t="s">
        <v>14547</v>
      </c>
      <c r="H30" s="345">
        <v>1987</v>
      </c>
      <c r="I30" s="380">
        <v>31778</v>
      </c>
      <c r="J30" s="92"/>
      <c r="K30" s="92"/>
      <c r="L30" s="381" t="s">
        <v>14548</v>
      </c>
    </row>
    <row r="31" spans="1:12" ht="15.75" customHeight="1">
      <c r="A31" s="345"/>
      <c r="B31" s="345">
        <v>3435099</v>
      </c>
      <c r="C31" s="92" t="s">
        <v>14549</v>
      </c>
      <c r="D31" s="92" t="s">
        <v>14550</v>
      </c>
      <c r="E31" s="92" t="s">
        <v>14551</v>
      </c>
      <c r="F31" s="92" t="s">
        <v>2237</v>
      </c>
      <c r="G31" s="92" t="s">
        <v>8675</v>
      </c>
      <c r="H31" s="345">
        <v>1987</v>
      </c>
      <c r="I31" s="380">
        <v>32051</v>
      </c>
      <c r="J31" s="92" t="s">
        <v>4614</v>
      </c>
      <c r="K31" s="92"/>
      <c r="L31" s="381" t="s">
        <v>14552</v>
      </c>
    </row>
    <row r="32" spans="1:12" ht="15.75" customHeight="1">
      <c r="A32" s="345"/>
      <c r="B32" s="345">
        <v>2853194</v>
      </c>
      <c r="C32" s="92" t="s">
        <v>14553</v>
      </c>
      <c r="D32" s="92" t="s">
        <v>14554</v>
      </c>
      <c r="E32" s="92" t="s">
        <v>14555</v>
      </c>
      <c r="F32" s="92" t="s">
        <v>1938</v>
      </c>
      <c r="G32" s="92" t="s">
        <v>14556</v>
      </c>
      <c r="H32" s="345">
        <v>1988</v>
      </c>
      <c r="I32" s="380">
        <v>32417</v>
      </c>
      <c r="J32" s="92"/>
      <c r="K32" s="92"/>
      <c r="L32" s="381" t="s">
        <v>14557</v>
      </c>
    </row>
    <row r="33" spans="1:12" ht="15.75" customHeight="1">
      <c r="A33" s="345"/>
      <c r="B33" s="345">
        <v>2324538</v>
      </c>
      <c r="C33" s="92" t="s">
        <v>14558</v>
      </c>
      <c r="D33" s="92" t="s">
        <v>14559</v>
      </c>
      <c r="E33" s="92" t="s">
        <v>14560</v>
      </c>
      <c r="F33" s="92" t="s">
        <v>1557</v>
      </c>
      <c r="G33" s="92" t="s">
        <v>9497</v>
      </c>
      <c r="H33" s="345">
        <v>1990</v>
      </c>
      <c r="I33" s="380">
        <v>32994</v>
      </c>
      <c r="J33" s="92"/>
      <c r="K33" s="92"/>
      <c r="L33" s="381" t="s">
        <v>14561</v>
      </c>
    </row>
    <row r="34" spans="1:12" ht="15.75" customHeight="1">
      <c r="A34" s="345"/>
      <c r="B34" s="345">
        <v>171320</v>
      </c>
      <c r="C34" s="92" t="s">
        <v>14562</v>
      </c>
      <c r="D34" s="92" t="s">
        <v>14563</v>
      </c>
      <c r="E34" s="92" t="s">
        <v>14564</v>
      </c>
      <c r="F34" s="92" t="s">
        <v>4609</v>
      </c>
      <c r="G34" s="92" t="s">
        <v>9497</v>
      </c>
      <c r="H34" s="345">
        <v>1975</v>
      </c>
      <c r="I34" s="380">
        <v>27699</v>
      </c>
      <c r="J34" s="92"/>
      <c r="K34" s="92"/>
      <c r="L34" s="381" t="s">
        <v>14565</v>
      </c>
    </row>
    <row r="35" spans="1:12" ht="15.75" customHeight="1">
      <c r="A35" s="345"/>
      <c r="B35" s="345">
        <v>6099954</v>
      </c>
      <c r="C35" s="92" t="s">
        <v>14566</v>
      </c>
      <c r="D35" s="92" t="s">
        <v>14567</v>
      </c>
      <c r="E35" s="92" t="s">
        <v>14568</v>
      </c>
      <c r="F35" s="92" t="s">
        <v>2371</v>
      </c>
      <c r="G35" s="92" t="s">
        <v>14569</v>
      </c>
      <c r="H35" s="345">
        <v>1984</v>
      </c>
      <c r="I35" s="380">
        <v>30682</v>
      </c>
      <c r="J35" s="92"/>
      <c r="K35" s="92"/>
      <c r="L35" s="381" t="s">
        <v>14570</v>
      </c>
    </row>
    <row r="36" spans="1:12" ht="15.75" customHeight="1">
      <c r="A36" s="345"/>
      <c r="B36" s="345">
        <v>6531960</v>
      </c>
      <c r="C36" s="92" t="s">
        <v>14571</v>
      </c>
      <c r="D36" s="92" t="s">
        <v>14572</v>
      </c>
      <c r="E36" s="92" t="s">
        <v>14573</v>
      </c>
      <c r="F36" s="92" t="s">
        <v>2333</v>
      </c>
      <c r="G36" s="92" t="s">
        <v>21</v>
      </c>
      <c r="H36" s="345">
        <v>1984</v>
      </c>
      <c r="I36" s="380">
        <v>30926</v>
      </c>
      <c r="J36" s="92"/>
      <c r="K36" s="92"/>
      <c r="L36" s="381" t="s">
        <v>14574</v>
      </c>
    </row>
    <row r="37" spans="1:12" ht="15.75" customHeight="1">
      <c r="A37" s="345"/>
      <c r="B37" s="345">
        <v>6883807</v>
      </c>
      <c r="C37" s="92" t="s">
        <v>14575</v>
      </c>
      <c r="D37" s="92" t="s">
        <v>14576</v>
      </c>
      <c r="E37" s="92" t="s">
        <v>14577</v>
      </c>
      <c r="F37" s="92" t="s">
        <v>4615</v>
      </c>
      <c r="G37" s="92" t="s">
        <v>14578</v>
      </c>
      <c r="H37" s="345">
        <v>1983</v>
      </c>
      <c r="I37" s="380">
        <v>30529</v>
      </c>
      <c r="J37" s="435" t="s">
        <v>4616</v>
      </c>
      <c r="K37" s="425"/>
      <c r="L37" s="92"/>
    </row>
    <row r="38" spans="1:12" ht="15.75" customHeight="1">
      <c r="A38" s="345"/>
      <c r="B38" s="345">
        <v>6766903</v>
      </c>
      <c r="C38" s="92" t="s">
        <v>14579</v>
      </c>
      <c r="D38" s="92" t="s">
        <v>14580</v>
      </c>
      <c r="E38" s="92" t="s">
        <v>14581</v>
      </c>
      <c r="F38" s="92" t="s">
        <v>4617</v>
      </c>
      <c r="G38" s="92" t="s">
        <v>11700</v>
      </c>
      <c r="H38" s="345">
        <v>1980</v>
      </c>
      <c r="I38" s="380">
        <v>29221</v>
      </c>
      <c r="J38" s="92" t="s">
        <v>4618</v>
      </c>
      <c r="K38" s="92"/>
      <c r="L38" s="381" t="s">
        <v>14582</v>
      </c>
    </row>
    <row r="39" spans="1:12" ht="15.75" customHeight="1">
      <c r="A39" s="345"/>
      <c r="B39" s="345">
        <v>6852910</v>
      </c>
      <c r="C39" s="92" t="s">
        <v>14583</v>
      </c>
      <c r="D39" s="92" t="s">
        <v>14584</v>
      </c>
      <c r="E39" s="92" t="s">
        <v>14585</v>
      </c>
      <c r="F39" s="92" t="s">
        <v>1557</v>
      </c>
      <c r="G39" s="92" t="s">
        <v>11700</v>
      </c>
      <c r="H39" s="345">
        <v>1983</v>
      </c>
      <c r="I39" s="380">
        <v>30468</v>
      </c>
      <c r="J39" s="92" t="s">
        <v>4619</v>
      </c>
      <c r="K39" s="92"/>
      <c r="L39" s="381" t="s">
        <v>14586</v>
      </c>
    </row>
    <row r="40" spans="1:12" ht="15.75" customHeight="1">
      <c r="A40" s="345"/>
      <c r="B40" s="345">
        <v>2821477</v>
      </c>
      <c r="C40" s="92" t="s">
        <v>14587</v>
      </c>
      <c r="D40" s="92" t="s">
        <v>14588</v>
      </c>
      <c r="E40" s="92" t="s">
        <v>14589</v>
      </c>
      <c r="F40" s="92" t="s">
        <v>4620</v>
      </c>
      <c r="G40" s="92" t="s">
        <v>8636</v>
      </c>
      <c r="H40" s="345">
        <v>1987</v>
      </c>
      <c r="I40" s="380">
        <v>32051</v>
      </c>
      <c r="J40" s="92"/>
      <c r="K40" s="92"/>
      <c r="L40" s="92"/>
    </row>
    <row r="41" spans="1:12" ht="15.75" customHeight="1">
      <c r="A41" s="345"/>
      <c r="B41" s="345">
        <v>3755730</v>
      </c>
      <c r="C41" s="92" t="s">
        <v>14590</v>
      </c>
      <c r="D41" s="92" t="s">
        <v>14591</v>
      </c>
      <c r="E41" s="92" t="s">
        <v>14592</v>
      </c>
      <c r="F41" s="92" t="s">
        <v>2077</v>
      </c>
      <c r="G41" s="92" t="s">
        <v>14438</v>
      </c>
      <c r="H41" s="345">
        <v>1986</v>
      </c>
      <c r="I41" s="380">
        <v>31625</v>
      </c>
      <c r="J41" s="92" t="s">
        <v>4622</v>
      </c>
      <c r="K41" s="92"/>
      <c r="L41" s="381" t="s">
        <v>14593</v>
      </c>
    </row>
    <row r="42" spans="1:12" ht="15.75" customHeight="1">
      <c r="A42" s="345"/>
      <c r="B42" s="345">
        <v>15825396</v>
      </c>
      <c r="C42" s="92" t="s">
        <v>14594</v>
      </c>
      <c r="D42" s="92" t="s">
        <v>14595</v>
      </c>
      <c r="E42" s="92" t="s">
        <v>14596</v>
      </c>
      <c r="F42" s="92" t="s">
        <v>2116</v>
      </c>
      <c r="G42" s="92" t="s">
        <v>8675</v>
      </c>
      <c r="H42" s="345">
        <v>1974</v>
      </c>
      <c r="I42" s="380">
        <v>27120</v>
      </c>
      <c r="J42" s="92" t="s">
        <v>4623</v>
      </c>
      <c r="K42" s="92"/>
      <c r="L42" s="381" t="s">
        <v>14597</v>
      </c>
    </row>
    <row r="43" spans="1:12">
      <c r="A43" s="345"/>
      <c r="B43" s="345">
        <v>190910</v>
      </c>
      <c r="C43" s="92" t="s">
        <v>14598</v>
      </c>
      <c r="D43" s="92" t="s">
        <v>14599</v>
      </c>
      <c r="E43" s="92" t="s">
        <v>14600</v>
      </c>
      <c r="F43" s="92" t="s">
        <v>4624</v>
      </c>
      <c r="G43" s="92" t="s">
        <v>12950</v>
      </c>
      <c r="H43" s="345">
        <v>1977</v>
      </c>
      <c r="I43" s="380">
        <v>28126</v>
      </c>
      <c r="J43" s="92"/>
      <c r="K43" s="92"/>
      <c r="L43" s="381" t="s">
        <v>14601</v>
      </c>
    </row>
    <row r="44" spans="1:12">
      <c r="A44" s="345"/>
      <c r="B44" s="345">
        <v>2536042</v>
      </c>
      <c r="C44" s="92" t="s">
        <v>14602</v>
      </c>
      <c r="D44" s="92" t="s">
        <v>14603</v>
      </c>
      <c r="E44" s="92" t="s">
        <v>14604</v>
      </c>
      <c r="F44" s="92" t="s">
        <v>4349</v>
      </c>
      <c r="G44" s="92" t="s">
        <v>8460</v>
      </c>
      <c r="H44" s="345">
        <v>1989</v>
      </c>
      <c r="I44" s="380">
        <v>32509</v>
      </c>
      <c r="J44" s="92" t="s">
        <v>4625</v>
      </c>
      <c r="K44" s="92"/>
      <c r="L44" s="381" t="s">
        <v>14605</v>
      </c>
    </row>
    <row r="45" spans="1:12">
      <c r="A45" s="345"/>
      <c r="B45" s="345">
        <v>13439122</v>
      </c>
      <c r="C45" s="92" t="s">
        <v>14606</v>
      </c>
      <c r="D45" s="92" t="s">
        <v>14607</v>
      </c>
      <c r="E45" s="92" t="s">
        <v>14608</v>
      </c>
      <c r="F45" s="92" t="s">
        <v>4626</v>
      </c>
      <c r="G45" s="92" t="s">
        <v>14524</v>
      </c>
      <c r="H45" s="345">
        <v>1957</v>
      </c>
      <c r="I45" s="380">
        <v>21002</v>
      </c>
      <c r="J45" s="435" t="s">
        <v>4627</v>
      </c>
      <c r="K45" s="425"/>
      <c r="L45" s="381" t="s">
        <v>14609</v>
      </c>
    </row>
    <row r="46" spans="1:12">
      <c r="A46" s="345"/>
      <c r="B46" s="345">
        <v>19871608</v>
      </c>
      <c r="C46" s="92" t="s">
        <v>14610</v>
      </c>
      <c r="D46" s="92" t="s">
        <v>14611</v>
      </c>
      <c r="E46" s="92" t="s">
        <v>14612</v>
      </c>
      <c r="F46" s="92" t="s">
        <v>4629</v>
      </c>
      <c r="G46" s="92" t="s">
        <v>14524</v>
      </c>
      <c r="H46" s="345">
        <v>1947</v>
      </c>
      <c r="I46" s="380">
        <v>40116</v>
      </c>
      <c r="J46" s="435" t="s">
        <v>4630</v>
      </c>
      <c r="K46" s="425"/>
      <c r="L46" s="381" t="s">
        <v>14613</v>
      </c>
    </row>
    <row r="47" spans="1:12">
      <c r="A47" s="345"/>
      <c r="B47" s="345">
        <v>3263225</v>
      </c>
      <c r="C47" s="92" t="s">
        <v>14614</v>
      </c>
      <c r="D47" s="92" t="s">
        <v>14615</v>
      </c>
      <c r="E47" s="92" t="s">
        <v>14616</v>
      </c>
      <c r="F47" s="92" t="s">
        <v>4631</v>
      </c>
      <c r="G47" s="92" t="s">
        <v>14578</v>
      </c>
      <c r="H47" s="345">
        <v>1988</v>
      </c>
      <c r="I47" s="380">
        <v>32356</v>
      </c>
      <c r="J47" s="435" t="s">
        <v>4632</v>
      </c>
      <c r="K47" s="425"/>
      <c r="L47" s="92"/>
    </row>
    <row r="48" spans="1:12">
      <c r="A48" s="345"/>
      <c r="B48" s="345">
        <v>3336068</v>
      </c>
      <c r="C48" s="92" t="s">
        <v>14617</v>
      </c>
      <c r="D48" s="92" t="s">
        <v>14618</v>
      </c>
      <c r="E48" s="92" t="s">
        <v>14619</v>
      </c>
      <c r="F48" s="92" t="s">
        <v>2249</v>
      </c>
      <c r="G48" s="92" t="s">
        <v>9821</v>
      </c>
      <c r="H48" s="345">
        <v>1988</v>
      </c>
      <c r="I48" s="380">
        <v>32174</v>
      </c>
      <c r="J48" s="92" t="s">
        <v>4633</v>
      </c>
      <c r="K48" s="92"/>
      <c r="L48" s="381" t="s">
        <v>14620</v>
      </c>
    </row>
    <row r="49" spans="1:12">
      <c r="A49" s="345"/>
      <c r="B49" s="345">
        <v>921245</v>
      </c>
      <c r="C49" s="92" t="s">
        <v>14621</v>
      </c>
      <c r="D49" s="92" t="s">
        <v>14622</v>
      </c>
      <c r="E49" s="92" t="s">
        <v>14623</v>
      </c>
      <c r="F49" s="92" t="s">
        <v>2039</v>
      </c>
      <c r="G49" s="92" t="s">
        <v>8675</v>
      </c>
      <c r="H49" s="345">
        <v>1977</v>
      </c>
      <c r="I49" s="380">
        <v>28399</v>
      </c>
      <c r="J49" s="92" t="s">
        <v>4634</v>
      </c>
      <c r="K49" s="92"/>
      <c r="L49" s="381" t="s">
        <v>14624</v>
      </c>
    </row>
    <row r="50" spans="1:12">
      <c r="A50" s="345"/>
      <c r="B50" s="345">
        <v>2180233</v>
      </c>
      <c r="C50" s="92" t="s">
        <v>14625</v>
      </c>
      <c r="D50" s="92" t="s">
        <v>14626</v>
      </c>
      <c r="E50" s="92" t="s">
        <v>14627</v>
      </c>
      <c r="F50" s="92" t="s">
        <v>4363</v>
      </c>
      <c r="G50" s="92" t="s">
        <v>21</v>
      </c>
      <c r="H50" s="345">
        <v>1990</v>
      </c>
      <c r="I50" s="380">
        <v>32905</v>
      </c>
      <c r="J50" s="92"/>
      <c r="K50" s="92"/>
      <c r="L50" s="381" t="s">
        <v>14628</v>
      </c>
    </row>
    <row r="51" spans="1:12">
      <c r="A51" s="345"/>
      <c r="B51" s="345">
        <v>5314017</v>
      </c>
      <c r="C51" s="92" t="s">
        <v>14629</v>
      </c>
      <c r="D51" s="92" t="s">
        <v>14630</v>
      </c>
      <c r="E51" s="92" t="s">
        <v>14631</v>
      </c>
      <c r="F51" s="92" t="s">
        <v>4635</v>
      </c>
      <c r="G51" s="92" t="s">
        <v>14431</v>
      </c>
      <c r="H51" s="345">
        <v>1970</v>
      </c>
      <c r="I51" s="380">
        <v>25569</v>
      </c>
      <c r="J51" s="435" t="s">
        <v>4636</v>
      </c>
      <c r="K51" s="425"/>
      <c r="L51" s="92"/>
    </row>
    <row r="52" spans="1:12">
      <c r="A52" s="345"/>
      <c r="B52" s="345">
        <v>6983846</v>
      </c>
      <c r="C52" s="92" t="s">
        <v>14632</v>
      </c>
      <c r="D52" s="92" t="s">
        <v>14633</v>
      </c>
      <c r="E52" s="92" t="s">
        <v>14634</v>
      </c>
      <c r="F52" s="92" t="s">
        <v>4637</v>
      </c>
      <c r="G52" s="92" t="s">
        <v>14635</v>
      </c>
      <c r="H52" s="345">
        <v>1982</v>
      </c>
      <c r="I52" s="380">
        <v>30286</v>
      </c>
      <c r="J52" s="92"/>
      <c r="K52" s="92"/>
      <c r="L52" s="381" t="s">
        <v>14636</v>
      </c>
    </row>
    <row r="53" spans="1:12">
      <c r="A53" s="345"/>
      <c r="B53" s="345">
        <v>4029085</v>
      </c>
      <c r="C53" s="92" t="s">
        <v>14637</v>
      </c>
      <c r="D53" s="92" t="s">
        <v>14638</v>
      </c>
      <c r="E53" s="92" t="s">
        <v>14639</v>
      </c>
      <c r="F53" s="92" t="s">
        <v>4638</v>
      </c>
      <c r="G53" s="92" t="s">
        <v>14640</v>
      </c>
      <c r="H53" s="345">
        <v>1985</v>
      </c>
      <c r="I53" s="380">
        <v>31321</v>
      </c>
      <c r="J53" s="92"/>
      <c r="K53" s="92"/>
      <c r="L53" s="381" t="s">
        <v>14641</v>
      </c>
    </row>
    <row r="54" spans="1:12">
      <c r="A54" s="345"/>
      <c r="B54" s="345">
        <v>479857</v>
      </c>
      <c r="C54" s="92" t="s">
        <v>14642</v>
      </c>
      <c r="D54" s="92" t="s">
        <v>14643</v>
      </c>
      <c r="E54" s="92" t="s">
        <v>14644</v>
      </c>
      <c r="F54" s="92" t="s">
        <v>2014</v>
      </c>
      <c r="G54" s="92" t="s">
        <v>14476</v>
      </c>
      <c r="H54" s="345">
        <v>1979</v>
      </c>
      <c r="I54" s="380">
        <v>28856</v>
      </c>
      <c r="J54" s="92"/>
      <c r="K54" s="92"/>
      <c r="L54" s="381" t="s">
        <v>14645</v>
      </c>
    </row>
    <row r="55" spans="1:12">
      <c r="A55" s="345"/>
      <c r="B55" s="345">
        <v>97364</v>
      </c>
      <c r="C55" s="92" t="s">
        <v>14646</v>
      </c>
      <c r="D55" s="92" t="s">
        <v>14647</v>
      </c>
      <c r="E55" s="92" t="s">
        <v>14648</v>
      </c>
      <c r="F55" s="92" t="s">
        <v>4639</v>
      </c>
      <c r="G55" s="92" t="s">
        <v>14476</v>
      </c>
      <c r="H55" s="345">
        <v>1978</v>
      </c>
      <c r="I55" s="380">
        <v>28491</v>
      </c>
      <c r="J55" s="92"/>
      <c r="K55" s="92"/>
      <c r="L55" s="381" t="s">
        <v>14649</v>
      </c>
    </row>
    <row r="56" spans="1:12">
      <c r="A56" s="345"/>
      <c r="B56" s="345">
        <v>3023540</v>
      </c>
      <c r="C56" s="92" t="s">
        <v>14650</v>
      </c>
      <c r="D56" s="92" t="s">
        <v>14651</v>
      </c>
      <c r="E56" s="92" t="s">
        <v>14652</v>
      </c>
      <c r="F56" s="92" t="s">
        <v>4640</v>
      </c>
      <c r="G56" s="92" t="s">
        <v>14476</v>
      </c>
      <c r="H56" s="345">
        <v>1986</v>
      </c>
      <c r="I56" s="380">
        <v>31717</v>
      </c>
      <c r="J56" s="92"/>
      <c r="K56" s="92"/>
      <c r="L56" s="381" t="s">
        <v>14653</v>
      </c>
    </row>
    <row r="57" spans="1:12">
      <c r="A57" s="345"/>
      <c r="B57" s="345">
        <v>2617590</v>
      </c>
      <c r="C57" s="92" t="s">
        <v>14654</v>
      </c>
      <c r="D57" s="92" t="s">
        <v>14655</v>
      </c>
      <c r="E57" s="92" t="s">
        <v>14656</v>
      </c>
      <c r="F57" s="92" t="s">
        <v>4641</v>
      </c>
      <c r="G57" s="92" t="s">
        <v>8833</v>
      </c>
      <c r="H57" s="345">
        <v>1989</v>
      </c>
      <c r="I57" s="380">
        <v>32629</v>
      </c>
      <c r="J57" s="92"/>
      <c r="K57" s="92"/>
      <c r="L57" s="381" t="s">
        <v>14657</v>
      </c>
    </row>
    <row r="58" spans="1:12">
      <c r="A58" s="345"/>
      <c r="B58" s="345">
        <v>6424959</v>
      </c>
      <c r="C58" s="92" t="s">
        <v>14658</v>
      </c>
      <c r="D58" s="92" t="s">
        <v>14659</v>
      </c>
      <c r="E58" s="92" t="s">
        <v>14660</v>
      </c>
      <c r="F58" s="92" t="s">
        <v>4643</v>
      </c>
      <c r="G58" s="92" t="s">
        <v>14431</v>
      </c>
      <c r="H58" s="345">
        <v>1984</v>
      </c>
      <c r="I58" s="380">
        <v>30682</v>
      </c>
      <c r="J58" s="435" t="s">
        <v>4644</v>
      </c>
      <c r="K58" s="425"/>
      <c r="L58" s="92"/>
    </row>
    <row r="59" spans="1:12">
      <c r="A59" s="345"/>
      <c r="B59" s="345">
        <v>6088797</v>
      </c>
      <c r="C59" s="92" t="s">
        <v>14661</v>
      </c>
      <c r="D59" s="92" t="s">
        <v>14662</v>
      </c>
      <c r="E59" s="92" t="s">
        <v>14663</v>
      </c>
      <c r="F59" s="92" t="s">
        <v>4613</v>
      </c>
      <c r="G59" s="92" t="s">
        <v>9821</v>
      </c>
      <c r="H59" s="345">
        <v>1984</v>
      </c>
      <c r="I59" s="380">
        <v>30926</v>
      </c>
      <c r="J59" s="92" t="s">
        <v>4645</v>
      </c>
      <c r="K59" s="92"/>
      <c r="L59" s="381" t="s">
        <v>14664</v>
      </c>
    </row>
    <row r="60" spans="1:12">
      <c r="A60" s="345"/>
      <c r="B60" s="345">
        <v>2235209</v>
      </c>
      <c r="C60" s="92" t="s">
        <v>14665</v>
      </c>
      <c r="D60" s="92" t="s">
        <v>14666</v>
      </c>
      <c r="E60" s="92" t="s">
        <v>14667</v>
      </c>
      <c r="F60" s="92" t="s">
        <v>4646</v>
      </c>
      <c r="G60" s="92" t="s">
        <v>12638</v>
      </c>
      <c r="H60" s="345">
        <v>1990</v>
      </c>
      <c r="I60" s="380">
        <v>33117</v>
      </c>
      <c r="J60" s="92"/>
      <c r="K60" s="92"/>
      <c r="L60" s="381" t="s">
        <v>14668</v>
      </c>
    </row>
    <row r="61" spans="1:12">
      <c r="A61" s="345"/>
      <c r="B61" s="345">
        <v>1211921</v>
      </c>
      <c r="C61" s="92" t="s">
        <v>14669</v>
      </c>
      <c r="D61" s="92" t="s">
        <v>14670</v>
      </c>
      <c r="E61" s="92" t="s">
        <v>14671</v>
      </c>
      <c r="F61" s="92" t="s">
        <v>1672</v>
      </c>
      <c r="G61" s="92" t="s">
        <v>8675</v>
      </c>
      <c r="H61" s="345">
        <v>1975</v>
      </c>
      <c r="I61" s="380">
        <v>27739</v>
      </c>
      <c r="J61" s="92" t="s">
        <v>4647</v>
      </c>
      <c r="K61" s="92"/>
      <c r="L61" s="381" t="s">
        <v>14672</v>
      </c>
    </row>
    <row r="62" spans="1:12">
      <c r="A62" s="345"/>
      <c r="B62" s="345">
        <v>2204243</v>
      </c>
      <c r="C62" s="92" t="s">
        <v>14673</v>
      </c>
      <c r="D62" s="92" t="s">
        <v>14674</v>
      </c>
      <c r="E62" s="92" t="s">
        <v>14675</v>
      </c>
      <c r="F62" s="92" t="s">
        <v>1922</v>
      </c>
      <c r="G62" s="92" t="s">
        <v>21</v>
      </c>
      <c r="H62" s="345">
        <v>1990</v>
      </c>
      <c r="I62" s="380">
        <v>33086</v>
      </c>
      <c r="J62" s="92"/>
      <c r="K62" s="92"/>
      <c r="L62" s="381" t="s">
        <v>14676</v>
      </c>
    </row>
    <row r="63" spans="1:12">
      <c r="A63" s="345"/>
      <c r="B63" s="345">
        <v>4001723</v>
      </c>
      <c r="C63" s="92" t="s">
        <v>14677</v>
      </c>
      <c r="D63" s="92" t="s">
        <v>14678</v>
      </c>
      <c r="E63" s="92" t="s">
        <v>14679</v>
      </c>
      <c r="F63" s="92" t="s">
        <v>2213</v>
      </c>
      <c r="G63" s="92" t="s">
        <v>14680</v>
      </c>
      <c r="H63" s="345">
        <v>1985</v>
      </c>
      <c r="I63" s="380">
        <v>31107</v>
      </c>
      <c r="J63" s="92"/>
      <c r="K63" s="92"/>
      <c r="L63" s="381" t="s">
        <v>14681</v>
      </c>
    </row>
    <row r="64" spans="1:12">
      <c r="A64" s="345"/>
      <c r="B64" s="345">
        <v>7085075</v>
      </c>
      <c r="C64" s="92" t="s">
        <v>14682</v>
      </c>
      <c r="D64" s="92" t="s">
        <v>14683</v>
      </c>
      <c r="E64" s="92" t="s">
        <v>14684</v>
      </c>
      <c r="F64" s="92" t="s">
        <v>4648</v>
      </c>
      <c r="G64" s="92" t="s">
        <v>11700</v>
      </c>
      <c r="H64" s="345">
        <v>1982</v>
      </c>
      <c r="I64" s="380">
        <v>30072</v>
      </c>
      <c r="J64" s="92" t="s">
        <v>4649</v>
      </c>
      <c r="K64" s="92"/>
      <c r="L64" s="381" t="s">
        <v>14685</v>
      </c>
    </row>
    <row r="65" spans="1:12">
      <c r="A65" s="345"/>
      <c r="B65" s="345">
        <v>808136</v>
      </c>
      <c r="C65" s="92" t="s">
        <v>14686</v>
      </c>
      <c r="D65" s="92" t="s">
        <v>14687</v>
      </c>
      <c r="E65" s="92" t="s">
        <v>14688</v>
      </c>
      <c r="F65" s="92" t="s">
        <v>4651</v>
      </c>
      <c r="G65" s="92" t="s">
        <v>14689</v>
      </c>
      <c r="H65" s="345">
        <v>1975</v>
      </c>
      <c r="I65" s="380">
        <v>27576</v>
      </c>
      <c r="J65" s="435" t="s">
        <v>4652</v>
      </c>
      <c r="K65" s="425"/>
      <c r="L65" s="92"/>
    </row>
    <row r="66" spans="1:12">
      <c r="A66" s="345"/>
      <c r="B66" s="345">
        <v>2846464</v>
      </c>
      <c r="C66" s="92" t="s">
        <v>14690</v>
      </c>
      <c r="D66" s="92" t="s">
        <v>14691</v>
      </c>
      <c r="E66" s="92" t="s">
        <v>14692</v>
      </c>
      <c r="F66" s="92" t="s">
        <v>4640</v>
      </c>
      <c r="G66" s="92" t="s">
        <v>14693</v>
      </c>
      <c r="H66" s="345">
        <v>1988</v>
      </c>
      <c r="I66" s="380">
        <v>32143</v>
      </c>
      <c r="J66" s="92"/>
      <c r="K66" s="92"/>
      <c r="L66" s="381" t="s">
        <v>14694</v>
      </c>
    </row>
    <row r="67" spans="1:12">
      <c r="A67" s="345"/>
      <c r="B67" s="345">
        <v>2839577</v>
      </c>
      <c r="C67" s="92" t="s">
        <v>14695</v>
      </c>
      <c r="D67" s="92" t="s">
        <v>14696</v>
      </c>
      <c r="E67" s="92" t="s">
        <v>14697</v>
      </c>
      <c r="F67" s="92" t="s">
        <v>4653</v>
      </c>
      <c r="G67" s="92" t="s">
        <v>9497</v>
      </c>
      <c r="H67" s="345">
        <v>1988</v>
      </c>
      <c r="I67" s="380">
        <v>32325</v>
      </c>
      <c r="J67" s="92"/>
      <c r="K67" s="92"/>
      <c r="L67" s="381" t="s">
        <v>14698</v>
      </c>
    </row>
    <row r="68" spans="1:12">
      <c r="A68" s="345"/>
      <c r="B68" s="345">
        <v>162815</v>
      </c>
      <c r="C68" s="92" t="s">
        <v>14699</v>
      </c>
      <c r="D68" s="92" t="s">
        <v>14700</v>
      </c>
      <c r="E68" s="92" t="s">
        <v>14701</v>
      </c>
      <c r="F68" s="92" t="s">
        <v>4655</v>
      </c>
      <c r="G68" s="92" t="s">
        <v>14702</v>
      </c>
      <c r="H68" s="345">
        <v>1975</v>
      </c>
      <c r="I68" s="380">
        <v>27395</v>
      </c>
      <c r="J68" s="92"/>
      <c r="K68" s="92"/>
      <c r="L68" s="92"/>
    </row>
    <row r="69" spans="1:12">
      <c r="A69" s="345"/>
      <c r="B69" s="345">
        <v>1126572</v>
      </c>
      <c r="C69" s="92" t="s">
        <v>14703</v>
      </c>
      <c r="D69" s="92" t="s">
        <v>14704</v>
      </c>
      <c r="E69" s="92" t="s">
        <v>14705</v>
      </c>
      <c r="F69" s="92" t="s">
        <v>4657</v>
      </c>
      <c r="G69" s="92" t="s">
        <v>14488</v>
      </c>
      <c r="H69" s="345">
        <v>1975</v>
      </c>
      <c r="I69" s="380">
        <v>27395</v>
      </c>
      <c r="J69" s="92"/>
      <c r="K69" s="92"/>
      <c r="L69" s="92"/>
    </row>
    <row r="70" spans="1:12">
      <c r="A70" s="345"/>
      <c r="B70" s="345">
        <v>7141686</v>
      </c>
      <c r="C70" s="92" t="s">
        <v>14706</v>
      </c>
      <c r="D70" s="92" t="s">
        <v>14707</v>
      </c>
      <c r="E70" s="92" t="s">
        <v>14708</v>
      </c>
      <c r="F70" s="92" t="s">
        <v>1542</v>
      </c>
      <c r="G70" s="92" t="s">
        <v>11700</v>
      </c>
      <c r="H70" s="345">
        <v>1982</v>
      </c>
      <c r="I70" s="380">
        <v>30225</v>
      </c>
      <c r="J70" s="92" t="s">
        <v>4658</v>
      </c>
      <c r="K70" s="92"/>
      <c r="L70" s="381" t="s">
        <v>14709</v>
      </c>
    </row>
    <row r="71" spans="1:12">
      <c r="A71" s="345"/>
      <c r="B71" s="345">
        <v>230367</v>
      </c>
      <c r="C71" s="92" t="s">
        <v>14710</v>
      </c>
      <c r="D71" s="92" t="s">
        <v>14711</v>
      </c>
      <c r="E71" s="92" t="s">
        <v>14712</v>
      </c>
      <c r="F71" s="92" t="s">
        <v>4659</v>
      </c>
      <c r="G71" s="92" t="s">
        <v>14713</v>
      </c>
      <c r="H71" s="345">
        <v>1979</v>
      </c>
      <c r="I71" s="380">
        <v>29160</v>
      </c>
      <c r="J71" s="92"/>
      <c r="K71" s="92"/>
      <c r="L71" s="381" t="s">
        <v>14714</v>
      </c>
    </row>
    <row r="72" spans="1:12">
      <c r="A72" s="345"/>
      <c r="B72" s="345">
        <v>2707853</v>
      </c>
      <c r="C72" s="92" t="s">
        <v>14715</v>
      </c>
      <c r="D72" s="92" t="s">
        <v>14716</v>
      </c>
      <c r="E72" s="92" t="s">
        <v>14717</v>
      </c>
      <c r="F72" s="92" t="s">
        <v>4385</v>
      </c>
      <c r="G72" s="92" t="s">
        <v>11700</v>
      </c>
      <c r="H72" s="345">
        <v>1989</v>
      </c>
      <c r="I72" s="380">
        <v>32629</v>
      </c>
      <c r="J72" s="92" t="s">
        <v>4661</v>
      </c>
      <c r="K72" s="92"/>
      <c r="L72" s="381" t="s">
        <v>14718</v>
      </c>
    </row>
    <row r="73" spans="1:12">
      <c r="A73" s="345"/>
      <c r="B73" s="345">
        <v>1202110</v>
      </c>
      <c r="C73" s="92" t="s">
        <v>14719</v>
      </c>
      <c r="D73" s="92" t="s">
        <v>14720</v>
      </c>
      <c r="E73" s="92" t="s">
        <v>14721</v>
      </c>
      <c r="F73" s="92" t="s">
        <v>2186</v>
      </c>
      <c r="G73" s="92" t="s">
        <v>9497</v>
      </c>
      <c r="H73" s="345">
        <v>1975</v>
      </c>
      <c r="I73" s="380">
        <v>27729</v>
      </c>
      <c r="J73" s="92"/>
      <c r="K73" s="92"/>
      <c r="L73" s="381" t="s">
        <v>14722</v>
      </c>
    </row>
    <row r="74" spans="1:12">
      <c r="A74" s="345"/>
      <c r="B74" s="345">
        <v>3326874</v>
      </c>
      <c r="C74" s="92" t="s">
        <v>14723</v>
      </c>
      <c r="D74" s="92" t="s">
        <v>14724</v>
      </c>
      <c r="E74" s="92" t="s">
        <v>14725</v>
      </c>
      <c r="F74" s="92" t="s">
        <v>4257</v>
      </c>
      <c r="G74" s="92" t="s">
        <v>11447</v>
      </c>
      <c r="H74" s="345">
        <v>1987</v>
      </c>
      <c r="I74" s="380">
        <v>32112</v>
      </c>
      <c r="J74" s="92"/>
      <c r="K74" s="92"/>
      <c r="L74" s="381" t="s">
        <v>14726</v>
      </c>
    </row>
    <row r="75" spans="1:12">
      <c r="A75" s="345"/>
      <c r="B75" s="345">
        <v>182406</v>
      </c>
      <c r="C75" s="92" t="s">
        <v>14727</v>
      </c>
      <c r="D75" s="92" t="s">
        <v>14728</v>
      </c>
      <c r="E75" s="92" t="s">
        <v>14729</v>
      </c>
      <c r="F75" s="92" t="s">
        <v>4662</v>
      </c>
      <c r="G75" s="92" t="s">
        <v>14431</v>
      </c>
      <c r="H75" s="345">
        <v>1975</v>
      </c>
      <c r="I75" s="380">
        <v>27395</v>
      </c>
      <c r="J75" s="435" t="s">
        <v>4663</v>
      </c>
      <c r="K75" s="425"/>
      <c r="L75" s="92"/>
    </row>
    <row r="76" spans="1:12">
      <c r="A76" s="345"/>
      <c r="B76" s="345">
        <v>7149101</v>
      </c>
      <c r="C76" s="92" t="s">
        <v>14730</v>
      </c>
      <c r="D76" s="92" t="s">
        <v>14731</v>
      </c>
      <c r="E76" s="92" t="s">
        <v>14732</v>
      </c>
      <c r="F76" s="92" t="s">
        <v>4664</v>
      </c>
      <c r="G76" s="92" t="s">
        <v>12950</v>
      </c>
      <c r="H76" s="345">
        <v>1982</v>
      </c>
      <c r="I76" s="380">
        <v>30256</v>
      </c>
      <c r="J76" s="92"/>
      <c r="K76" s="92"/>
      <c r="L76" s="381" t="s">
        <v>14733</v>
      </c>
    </row>
    <row r="77" spans="1:12">
      <c r="A77" s="345"/>
      <c r="B77" s="345">
        <v>92540</v>
      </c>
      <c r="C77" s="92" t="s">
        <v>14734</v>
      </c>
      <c r="D77" s="92" t="s">
        <v>14735</v>
      </c>
      <c r="E77" s="92" t="s">
        <v>14736</v>
      </c>
      <c r="F77" s="92" t="s">
        <v>4665</v>
      </c>
      <c r="G77" s="92" t="s">
        <v>14737</v>
      </c>
      <c r="H77" s="345">
        <v>1979</v>
      </c>
      <c r="I77" s="380">
        <v>29068</v>
      </c>
      <c r="J77" s="92"/>
      <c r="K77" s="92"/>
      <c r="L77" s="381" t="s">
        <v>14738</v>
      </c>
    </row>
    <row r="78" spans="1:12">
      <c r="A78" s="345"/>
      <c r="B78" s="345">
        <v>10589</v>
      </c>
      <c r="C78" s="92" t="s">
        <v>14739</v>
      </c>
      <c r="D78" s="92" t="s">
        <v>14740</v>
      </c>
      <c r="E78" s="92" t="s">
        <v>14741</v>
      </c>
      <c r="F78" s="92" t="s">
        <v>4667</v>
      </c>
      <c r="G78" s="92" t="s">
        <v>14742</v>
      </c>
      <c r="H78" s="345">
        <v>1976</v>
      </c>
      <c r="I78" s="380">
        <v>28031</v>
      </c>
      <c r="J78" s="92"/>
      <c r="K78" s="92"/>
      <c r="L78" s="381" t="s">
        <v>14743</v>
      </c>
    </row>
    <row r="79" spans="1:12">
      <c r="A79" s="345"/>
      <c r="B79" s="345">
        <v>730356</v>
      </c>
      <c r="C79" s="92" t="s">
        <v>14744</v>
      </c>
      <c r="D79" s="92" t="s">
        <v>14745</v>
      </c>
      <c r="E79" s="92" t="s">
        <v>14746</v>
      </c>
      <c r="F79" s="92" t="s">
        <v>1626</v>
      </c>
      <c r="G79" s="92" t="s">
        <v>11700</v>
      </c>
      <c r="H79" s="345">
        <v>1978</v>
      </c>
      <c r="I79" s="380">
        <v>28795</v>
      </c>
      <c r="J79" s="92" t="s">
        <v>4669</v>
      </c>
      <c r="K79" s="92"/>
      <c r="L79" s="381" t="s">
        <v>14747</v>
      </c>
    </row>
    <row r="80" spans="1:12">
      <c r="A80" s="345"/>
      <c r="B80" s="345">
        <v>4367686</v>
      </c>
      <c r="C80" s="92" t="s">
        <v>14748</v>
      </c>
      <c r="D80" s="92" t="s">
        <v>14749</v>
      </c>
      <c r="E80" s="92" t="s">
        <v>14750</v>
      </c>
      <c r="F80" s="92" t="s">
        <v>2344</v>
      </c>
      <c r="G80" s="92" t="s">
        <v>8675</v>
      </c>
      <c r="H80" s="345">
        <v>1973</v>
      </c>
      <c r="I80" s="380">
        <v>26999</v>
      </c>
      <c r="J80" s="92" t="s">
        <v>4670</v>
      </c>
      <c r="K80" s="92"/>
      <c r="L80" s="381" t="s">
        <v>14751</v>
      </c>
    </row>
    <row r="81" spans="1:13">
      <c r="A81" s="345"/>
      <c r="B81" s="345">
        <v>6750006</v>
      </c>
      <c r="C81" s="92" t="s">
        <v>14752</v>
      </c>
      <c r="D81" s="92" t="s">
        <v>14753</v>
      </c>
      <c r="E81" s="92" t="s">
        <v>14754</v>
      </c>
      <c r="F81" s="92" t="s">
        <v>4336</v>
      </c>
      <c r="G81" s="92" t="s">
        <v>9497</v>
      </c>
      <c r="H81" s="345">
        <v>1982</v>
      </c>
      <c r="I81" s="380">
        <v>30225</v>
      </c>
      <c r="J81" s="92"/>
      <c r="K81" s="92"/>
      <c r="L81" s="381" t="s">
        <v>14755</v>
      </c>
    </row>
    <row r="82" spans="1:13">
      <c r="A82" s="345"/>
      <c r="B82" s="345">
        <v>5309483</v>
      </c>
      <c r="C82" s="92" t="s">
        <v>14756</v>
      </c>
      <c r="D82" s="92" t="s">
        <v>14757</v>
      </c>
      <c r="E82" s="92" t="s">
        <v>14758</v>
      </c>
      <c r="F82" s="92" t="s">
        <v>4671</v>
      </c>
      <c r="G82" s="92" t="s">
        <v>14431</v>
      </c>
      <c r="H82" s="345">
        <v>1969</v>
      </c>
      <c r="I82" s="380">
        <v>25204</v>
      </c>
      <c r="J82" s="435" t="s">
        <v>4672</v>
      </c>
      <c r="K82" s="425"/>
      <c r="L82" s="92"/>
    </row>
    <row r="83" spans="1:13">
      <c r="A83" s="345"/>
      <c r="B83" s="345">
        <v>6276302</v>
      </c>
      <c r="C83" s="92" t="s">
        <v>14759</v>
      </c>
      <c r="D83" s="92" t="s">
        <v>14760</v>
      </c>
      <c r="E83" s="92" t="s">
        <v>14761</v>
      </c>
      <c r="F83" s="92" t="s">
        <v>4673</v>
      </c>
      <c r="G83" s="92" t="s">
        <v>11700</v>
      </c>
      <c r="H83" s="345">
        <v>1982</v>
      </c>
      <c r="I83" s="380">
        <v>29983</v>
      </c>
      <c r="J83" s="92" t="s">
        <v>4674</v>
      </c>
      <c r="K83" s="92"/>
      <c r="L83" s="381" t="s">
        <v>14762</v>
      </c>
    </row>
    <row r="84" spans="1:13">
      <c r="A84" s="345"/>
      <c r="B84" s="345">
        <v>19867945</v>
      </c>
      <c r="C84" s="92" t="s">
        <v>14763</v>
      </c>
      <c r="D84" s="92" t="s">
        <v>14764</v>
      </c>
      <c r="E84" s="92" t="s">
        <v>14765</v>
      </c>
      <c r="F84" s="92" t="s">
        <v>4675</v>
      </c>
      <c r="G84" s="92" t="s">
        <v>14524</v>
      </c>
      <c r="H84" s="345">
        <v>1915</v>
      </c>
      <c r="I84" s="380">
        <v>40116</v>
      </c>
      <c r="J84" s="435" t="s">
        <v>4676</v>
      </c>
      <c r="K84" s="425"/>
      <c r="L84" s="381" t="s">
        <v>14766</v>
      </c>
    </row>
    <row r="85" spans="1:13">
      <c r="A85" s="345"/>
      <c r="B85" s="345">
        <v>2415971</v>
      </c>
      <c r="C85" s="92" t="s">
        <v>14767</v>
      </c>
      <c r="D85" s="92" t="s">
        <v>14768</v>
      </c>
      <c r="E85" s="92" t="s">
        <v>14769</v>
      </c>
      <c r="F85" s="92" t="s">
        <v>4677</v>
      </c>
      <c r="G85" s="92" t="s">
        <v>10291</v>
      </c>
      <c r="H85" s="345">
        <v>1985</v>
      </c>
      <c r="I85" s="380">
        <v>31352</v>
      </c>
      <c r="J85" s="92" t="s">
        <v>4678</v>
      </c>
      <c r="K85" s="92"/>
      <c r="L85" s="381" t="s">
        <v>14770</v>
      </c>
    </row>
    <row r="86" spans="1:13">
      <c r="A86" s="345"/>
      <c r="B86" s="345">
        <v>108342</v>
      </c>
      <c r="C86" s="92" t="s">
        <v>14771</v>
      </c>
      <c r="D86" s="92" t="s">
        <v>14772</v>
      </c>
      <c r="E86" s="92" t="s">
        <v>14773</v>
      </c>
      <c r="F86" s="92" t="s">
        <v>4679</v>
      </c>
      <c r="G86" s="92" t="s">
        <v>9497</v>
      </c>
      <c r="H86" s="345">
        <v>1979</v>
      </c>
      <c r="I86" s="380">
        <v>28887</v>
      </c>
      <c r="J86" s="92"/>
      <c r="K86" s="92"/>
      <c r="L86" s="381" t="s">
        <v>14774</v>
      </c>
    </row>
    <row r="87" spans="1:13">
      <c r="A87" s="345"/>
      <c r="B87" s="345">
        <v>7020398</v>
      </c>
      <c r="C87" s="92" t="s">
        <v>14775</v>
      </c>
      <c r="D87" s="92" t="s">
        <v>14776</v>
      </c>
      <c r="E87" s="92" t="s">
        <v>14777</v>
      </c>
      <c r="F87" s="92" t="s">
        <v>4680</v>
      </c>
      <c r="G87" s="92" t="s">
        <v>8935</v>
      </c>
      <c r="H87" s="345">
        <v>1981</v>
      </c>
      <c r="I87" s="380">
        <v>29768</v>
      </c>
      <c r="J87" s="92"/>
      <c r="K87" s="92"/>
      <c r="L87" s="381" t="s">
        <v>14778</v>
      </c>
    </row>
    <row r="88" spans="1:13">
      <c r="A88" s="345"/>
      <c r="B88" s="345">
        <v>19868603</v>
      </c>
      <c r="C88" s="92" t="s">
        <v>14779</v>
      </c>
      <c r="D88" s="92" t="s">
        <v>14780</v>
      </c>
      <c r="E88" s="92" t="s">
        <v>14781</v>
      </c>
      <c r="F88" s="92" t="s">
        <v>4681</v>
      </c>
      <c r="G88" s="92" t="s">
        <v>14524</v>
      </c>
      <c r="H88" s="345">
        <v>1922</v>
      </c>
      <c r="I88" s="380">
        <v>40116</v>
      </c>
      <c r="J88" s="435" t="s">
        <v>4682</v>
      </c>
      <c r="K88" s="425"/>
      <c r="L88" s="381" t="s">
        <v>14782</v>
      </c>
    </row>
    <row r="89" spans="1:13">
      <c r="A89" s="345"/>
      <c r="B89" s="345">
        <v>165133</v>
      </c>
      <c r="C89" s="92" t="s">
        <v>14783</v>
      </c>
      <c r="D89" s="92" t="s">
        <v>14784</v>
      </c>
      <c r="E89" s="92" t="s">
        <v>14785</v>
      </c>
      <c r="F89" s="92" t="s">
        <v>4683</v>
      </c>
      <c r="G89" s="92" t="s">
        <v>14488</v>
      </c>
      <c r="H89" s="345">
        <v>1975</v>
      </c>
      <c r="I89" s="380">
        <v>27395</v>
      </c>
      <c r="J89" s="92"/>
      <c r="K89" s="92"/>
      <c r="L89" s="92"/>
    </row>
    <row r="90" spans="1:13">
      <c r="A90" s="345"/>
      <c r="B90" s="345">
        <v>1692813</v>
      </c>
      <c r="C90" s="92" t="s">
        <v>14786</v>
      </c>
      <c r="D90" s="92" t="s">
        <v>14787</v>
      </c>
      <c r="E90" s="92" t="s">
        <v>14788</v>
      </c>
      <c r="F90" s="92" t="s">
        <v>4415</v>
      </c>
      <c r="G90" s="92" t="s">
        <v>11700</v>
      </c>
      <c r="H90" s="345">
        <v>1990</v>
      </c>
      <c r="I90" s="380">
        <v>33025</v>
      </c>
      <c r="J90" s="92" t="s">
        <v>4684</v>
      </c>
      <c r="K90" s="92"/>
      <c r="L90" s="381" t="s">
        <v>14789</v>
      </c>
    </row>
    <row r="91" spans="1:13">
      <c r="A91" s="349"/>
      <c r="B91" s="349">
        <v>173599</v>
      </c>
      <c r="C91" s="382" t="s">
        <v>14790</v>
      </c>
      <c r="D91" s="382" t="s">
        <v>14791</v>
      </c>
      <c r="E91" s="382" t="s">
        <v>14792</v>
      </c>
      <c r="F91" s="382" t="s">
        <v>4685</v>
      </c>
      <c r="G91" s="382" t="s">
        <v>14488</v>
      </c>
      <c r="H91" s="349">
        <v>1975</v>
      </c>
      <c r="I91" s="383">
        <v>27395</v>
      </c>
      <c r="J91" s="349"/>
      <c r="K91" s="349"/>
      <c r="L91" s="349"/>
      <c r="M91" s="290"/>
    </row>
    <row r="92" spans="1:13">
      <c r="A92" s="92" t="s">
        <v>14793</v>
      </c>
      <c r="B92" s="345">
        <v>10520648</v>
      </c>
      <c r="C92" s="92" t="s">
        <v>14794</v>
      </c>
      <c r="D92" s="92" t="s">
        <v>14795</v>
      </c>
      <c r="E92" s="92" t="s">
        <v>14796</v>
      </c>
      <c r="F92" s="92" t="s">
        <v>4686</v>
      </c>
      <c r="G92" s="92" t="s">
        <v>9420</v>
      </c>
      <c r="H92" s="345">
        <v>1999</v>
      </c>
      <c r="I92" s="380">
        <v>36449</v>
      </c>
      <c r="J92" s="92"/>
      <c r="K92" s="92"/>
      <c r="L92" s="381" t="s">
        <v>14797</v>
      </c>
    </row>
    <row r="93" spans="1:13">
      <c r="A93" s="92"/>
      <c r="B93" s="345">
        <v>9892025</v>
      </c>
      <c r="C93" s="92" t="s">
        <v>14798</v>
      </c>
      <c r="D93" s="92" t="s">
        <v>14799</v>
      </c>
      <c r="E93" s="92" t="s">
        <v>14800</v>
      </c>
      <c r="F93" s="92" t="s">
        <v>4687</v>
      </c>
      <c r="G93" s="92" t="s">
        <v>8552</v>
      </c>
      <c r="H93" s="345">
        <v>1998</v>
      </c>
      <c r="I93" s="380">
        <v>36179</v>
      </c>
      <c r="J93" s="92"/>
      <c r="K93" s="92"/>
      <c r="L93" s="381" t="s">
        <v>14801</v>
      </c>
    </row>
    <row r="94" spans="1:13">
      <c r="A94" s="92"/>
      <c r="B94" s="345">
        <v>10697061</v>
      </c>
      <c r="C94" s="92" t="s">
        <v>14802</v>
      </c>
      <c r="D94" s="92" t="s">
        <v>14803</v>
      </c>
      <c r="E94" s="92" t="s">
        <v>14804</v>
      </c>
      <c r="F94" s="92" t="s">
        <v>4399</v>
      </c>
      <c r="G94" s="92" t="s">
        <v>8580</v>
      </c>
      <c r="H94" s="345">
        <v>2000</v>
      </c>
      <c r="I94" s="380">
        <v>36589</v>
      </c>
      <c r="J94" s="92"/>
      <c r="K94" s="92"/>
      <c r="L94" s="381" t="s">
        <v>14805</v>
      </c>
    </row>
    <row r="95" spans="1:13">
      <c r="A95" s="92"/>
      <c r="B95" s="345">
        <v>9748937</v>
      </c>
      <c r="C95" s="92" t="s">
        <v>14806</v>
      </c>
      <c r="D95" s="92" t="s">
        <v>14807</v>
      </c>
      <c r="E95" s="92" t="s">
        <v>14808</v>
      </c>
      <c r="F95" s="92" t="s">
        <v>4688</v>
      </c>
      <c r="G95" s="92" t="s">
        <v>14809</v>
      </c>
      <c r="H95" s="345">
        <v>1998</v>
      </c>
      <c r="I95" s="380">
        <v>36066</v>
      </c>
      <c r="J95" s="92"/>
      <c r="K95" s="92"/>
      <c r="L95" s="381" t="s">
        <v>14810</v>
      </c>
    </row>
    <row r="96" spans="1:13">
      <c r="A96" s="92"/>
      <c r="B96" s="345">
        <v>1638909</v>
      </c>
      <c r="C96" s="92" t="s">
        <v>14811</v>
      </c>
      <c r="D96" s="92" t="s">
        <v>14812</v>
      </c>
      <c r="E96" s="92" t="s">
        <v>14813</v>
      </c>
      <c r="F96" s="92" t="s">
        <v>4690</v>
      </c>
      <c r="G96" s="92" t="s">
        <v>14814</v>
      </c>
      <c r="H96" s="345">
        <v>1992</v>
      </c>
      <c r="I96" s="380">
        <v>33604</v>
      </c>
      <c r="J96" s="92"/>
      <c r="K96" s="92"/>
      <c r="L96" s="381" t="s">
        <v>14815</v>
      </c>
    </row>
    <row r="97" spans="1:12">
      <c r="A97" s="92"/>
      <c r="B97" s="345">
        <v>7527632</v>
      </c>
      <c r="C97" s="92" t="s">
        <v>14816</v>
      </c>
      <c r="D97" s="92" t="s">
        <v>14817</v>
      </c>
      <c r="E97" s="92" t="s">
        <v>14818</v>
      </c>
      <c r="F97" s="92" t="s">
        <v>4691</v>
      </c>
      <c r="G97" s="92" t="s">
        <v>14819</v>
      </c>
      <c r="H97" s="345">
        <v>1994</v>
      </c>
      <c r="I97" s="380">
        <v>34486</v>
      </c>
      <c r="J97" s="92"/>
      <c r="K97" s="92"/>
      <c r="L97" s="381" t="s">
        <v>14820</v>
      </c>
    </row>
    <row r="98" spans="1:12">
      <c r="A98" s="92"/>
      <c r="B98" s="345">
        <v>10987115</v>
      </c>
      <c r="C98" s="92" t="s">
        <v>14821</v>
      </c>
      <c r="D98" s="92" t="s">
        <v>14822</v>
      </c>
      <c r="E98" s="92" t="s">
        <v>14823</v>
      </c>
      <c r="F98" s="92" t="s">
        <v>4692</v>
      </c>
      <c r="G98" s="92" t="s">
        <v>8622</v>
      </c>
      <c r="H98" s="345">
        <v>2000</v>
      </c>
      <c r="I98" s="380">
        <v>36784</v>
      </c>
      <c r="J98" s="92"/>
      <c r="K98" s="92"/>
      <c r="L98" s="381" t="s">
        <v>14824</v>
      </c>
    </row>
    <row r="99" spans="1:12">
      <c r="A99" s="92"/>
      <c r="B99" s="345">
        <v>10193187</v>
      </c>
      <c r="C99" s="92" t="s">
        <v>14825</v>
      </c>
      <c r="D99" s="92" t="s">
        <v>14826</v>
      </c>
      <c r="E99" s="92" t="s">
        <v>14827</v>
      </c>
      <c r="F99" s="92" t="s">
        <v>4693</v>
      </c>
      <c r="G99" s="92" t="s">
        <v>14828</v>
      </c>
      <c r="H99" s="345">
        <v>1999</v>
      </c>
      <c r="I99" s="380">
        <v>36258</v>
      </c>
      <c r="J99" s="92"/>
      <c r="K99" s="92"/>
      <c r="L99" s="381" t="s">
        <v>14829</v>
      </c>
    </row>
    <row r="100" spans="1:12">
      <c r="A100" s="92"/>
      <c r="B100" s="345">
        <v>10394645</v>
      </c>
      <c r="C100" s="92" t="s">
        <v>14830</v>
      </c>
      <c r="D100" s="92" t="s">
        <v>14831</v>
      </c>
      <c r="E100" s="92" t="s">
        <v>14832</v>
      </c>
      <c r="F100" s="92" t="s">
        <v>4694</v>
      </c>
      <c r="G100" s="92" t="s">
        <v>14833</v>
      </c>
      <c r="H100" s="345">
        <v>1999</v>
      </c>
      <c r="I100" s="380">
        <v>36349</v>
      </c>
      <c r="J100" s="92"/>
      <c r="K100" s="92"/>
      <c r="L100" s="381" t="s">
        <v>14834</v>
      </c>
    </row>
    <row r="101" spans="1:12">
      <c r="A101" s="92"/>
      <c r="B101" s="345">
        <v>8519469</v>
      </c>
      <c r="C101" s="92" t="s">
        <v>14835</v>
      </c>
      <c r="D101" s="92" t="s">
        <v>14836</v>
      </c>
      <c r="E101" s="92" t="s">
        <v>14837</v>
      </c>
      <c r="F101" s="92" t="s">
        <v>4695</v>
      </c>
      <c r="G101" s="92" t="s">
        <v>14838</v>
      </c>
      <c r="H101" s="345">
        <v>1995</v>
      </c>
      <c r="I101" s="380">
        <v>34943</v>
      </c>
      <c r="J101" s="92"/>
      <c r="K101" s="92"/>
      <c r="L101" s="381" t="s">
        <v>14839</v>
      </c>
    </row>
    <row r="102" spans="1:12">
      <c r="A102" s="92"/>
      <c r="B102" s="345">
        <v>10893025</v>
      </c>
      <c r="C102" s="92" t="s">
        <v>14840</v>
      </c>
      <c r="D102" s="92" t="s">
        <v>14841</v>
      </c>
      <c r="E102" s="92" t="s">
        <v>14842</v>
      </c>
      <c r="F102" s="92" t="s">
        <v>4696</v>
      </c>
      <c r="G102" s="92" t="s">
        <v>14843</v>
      </c>
      <c r="H102" s="345">
        <v>2000</v>
      </c>
      <c r="I102" s="380">
        <v>36720</v>
      </c>
      <c r="J102" s="92"/>
      <c r="K102" s="92"/>
      <c r="L102" s="381" t="s">
        <v>14844</v>
      </c>
    </row>
    <row r="103" spans="1:12">
      <c r="A103" s="92"/>
      <c r="B103" s="345">
        <v>10485358</v>
      </c>
      <c r="C103" s="92" t="s">
        <v>14845</v>
      </c>
      <c r="D103" s="92" t="s">
        <v>14846</v>
      </c>
      <c r="E103" s="92" t="s">
        <v>14847</v>
      </c>
      <c r="F103" s="92" t="s">
        <v>4697</v>
      </c>
      <c r="G103" s="92" t="s">
        <v>14848</v>
      </c>
      <c r="H103" s="345">
        <v>1999</v>
      </c>
      <c r="I103" s="380">
        <v>36418</v>
      </c>
      <c r="J103" s="92"/>
      <c r="K103" s="92"/>
      <c r="L103" s="381" t="s">
        <v>14849</v>
      </c>
    </row>
    <row r="104" spans="1:12">
      <c r="A104" s="92"/>
      <c r="B104" s="345">
        <v>2277188</v>
      </c>
      <c r="C104" s="92" t="s">
        <v>14432</v>
      </c>
      <c r="D104" s="92" t="s">
        <v>14433</v>
      </c>
      <c r="E104" s="92" t="s">
        <v>14434</v>
      </c>
      <c r="F104" s="92" t="s">
        <v>4591</v>
      </c>
      <c r="G104" s="92" t="s">
        <v>8622</v>
      </c>
      <c r="H104" s="345">
        <v>1990</v>
      </c>
      <c r="I104" s="380">
        <v>33208</v>
      </c>
      <c r="J104" s="92"/>
      <c r="K104" s="92"/>
      <c r="L104" s="92"/>
    </row>
    <row r="105" spans="1:12">
      <c r="A105" s="92"/>
      <c r="B105" s="345">
        <v>1526070</v>
      </c>
      <c r="C105" s="92" t="s">
        <v>14850</v>
      </c>
      <c r="D105" s="92" t="s">
        <v>14851</v>
      </c>
      <c r="E105" s="92" t="s">
        <v>14852</v>
      </c>
      <c r="F105" s="92" t="s">
        <v>4698</v>
      </c>
      <c r="G105" s="92" t="s">
        <v>14853</v>
      </c>
      <c r="H105" s="345">
        <v>1992</v>
      </c>
      <c r="I105" s="380">
        <v>33848</v>
      </c>
      <c r="J105" s="92"/>
      <c r="K105" s="92"/>
      <c r="L105" s="92"/>
    </row>
    <row r="106" spans="1:12">
      <c r="A106" s="92"/>
      <c r="B106" s="345">
        <v>11071016</v>
      </c>
      <c r="C106" s="92" t="s">
        <v>14854</v>
      </c>
      <c r="D106" s="92" t="s">
        <v>14855</v>
      </c>
      <c r="E106" s="92" t="s">
        <v>14856</v>
      </c>
      <c r="F106" s="92" t="s">
        <v>4699</v>
      </c>
      <c r="G106" s="92" t="s">
        <v>14857</v>
      </c>
      <c r="H106" s="345">
        <v>2000</v>
      </c>
      <c r="I106" s="380">
        <v>36839</v>
      </c>
      <c r="J106" s="92"/>
      <c r="K106" s="92"/>
      <c r="L106" s="92"/>
    </row>
    <row r="107" spans="1:12">
      <c r="A107" s="92"/>
      <c r="B107" s="345">
        <v>10574503</v>
      </c>
      <c r="C107" s="92" t="s">
        <v>14858</v>
      </c>
      <c r="D107" s="92" t="s">
        <v>14859</v>
      </c>
      <c r="E107" s="92" t="s">
        <v>14860</v>
      </c>
      <c r="F107" s="92" t="s">
        <v>4700</v>
      </c>
      <c r="G107" s="92" t="s">
        <v>14861</v>
      </c>
      <c r="H107" s="345">
        <v>1999</v>
      </c>
      <c r="I107" s="380">
        <v>36490</v>
      </c>
      <c r="J107" s="92"/>
      <c r="K107" s="92"/>
      <c r="L107" s="381" t="s">
        <v>14862</v>
      </c>
    </row>
    <row r="108" spans="1:12">
      <c r="A108" s="92"/>
      <c r="B108" s="345">
        <v>9593483</v>
      </c>
      <c r="C108" s="92" t="s">
        <v>14863</v>
      </c>
      <c r="D108" s="92" t="s">
        <v>14864</v>
      </c>
      <c r="E108" s="92" t="s">
        <v>14865</v>
      </c>
      <c r="F108" s="92" t="s">
        <v>4701</v>
      </c>
      <c r="G108" s="92" t="s">
        <v>14866</v>
      </c>
      <c r="H108" s="345">
        <v>1998</v>
      </c>
      <c r="I108" s="380">
        <v>35936</v>
      </c>
      <c r="J108" s="435" t="s">
        <v>4702</v>
      </c>
      <c r="K108" s="425"/>
      <c r="L108" s="381" t="s">
        <v>14867</v>
      </c>
    </row>
    <row r="109" spans="1:12">
      <c r="A109" s="92"/>
      <c r="B109" s="345">
        <v>8708364</v>
      </c>
      <c r="C109" s="92" t="s">
        <v>14868</v>
      </c>
      <c r="D109" s="92" t="s">
        <v>14869</v>
      </c>
      <c r="E109" s="92" t="s">
        <v>14870</v>
      </c>
      <c r="F109" s="92" t="s">
        <v>4703</v>
      </c>
      <c r="G109" s="92" t="s">
        <v>13900</v>
      </c>
      <c r="H109" s="345">
        <v>1996</v>
      </c>
      <c r="I109" s="380">
        <v>35125</v>
      </c>
      <c r="J109" s="92"/>
      <c r="K109" s="92"/>
      <c r="L109" s="381" t="s">
        <v>14871</v>
      </c>
    </row>
    <row r="110" spans="1:12">
      <c r="A110" s="92"/>
      <c r="B110" s="345">
        <v>11123085</v>
      </c>
      <c r="C110" s="92" t="s">
        <v>14872</v>
      </c>
      <c r="D110" s="92" t="s">
        <v>14873</v>
      </c>
      <c r="E110" s="92" t="s">
        <v>14874</v>
      </c>
      <c r="F110" s="92" t="s">
        <v>4704</v>
      </c>
      <c r="G110" s="92" t="s">
        <v>14875</v>
      </c>
      <c r="H110" s="345">
        <v>2000</v>
      </c>
      <c r="I110" s="380">
        <v>36881</v>
      </c>
      <c r="J110" s="92"/>
      <c r="K110" s="92"/>
      <c r="L110" s="381" t="s">
        <v>14876</v>
      </c>
    </row>
    <row r="111" spans="1:12">
      <c r="A111" s="92"/>
      <c r="B111" s="345">
        <v>9472719</v>
      </c>
      <c r="C111" s="92" t="s">
        <v>14877</v>
      </c>
      <c r="D111" s="92" t="s">
        <v>14878</v>
      </c>
      <c r="E111" s="92" t="s">
        <v>14879</v>
      </c>
      <c r="F111" s="92" t="s">
        <v>4705</v>
      </c>
      <c r="G111" s="92" t="s">
        <v>14880</v>
      </c>
      <c r="H111" s="345">
        <v>1998</v>
      </c>
      <c r="I111" s="380">
        <v>35850</v>
      </c>
      <c r="J111" s="92"/>
      <c r="K111" s="92"/>
      <c r="L111" s="381" t="s">
        <v>14881</v>
      </c>
    </row>
    <row r="112" spans="1:12">
      <c r="A112" s="92"/>
      <c r="B112" s="345">
        <v>7756496</v>
      </c>
      <c r="C112" s="92" t="s">
        <v>14882</v>
      </c>
      <c r="D112" s="92" t="s">
        <v>14883</v>
      </c>
      <c r="E112" s="92" t="s">
        <v>14884</v>
      </c>
      <c r="F112" s="92" t="s">
        <v>4706</v>
      </c>
      <c r="G112" s="92" t="s">
        <v>9152</v>
      </c>
      <c r="H112" s="345">
        <v>1995</v>
      </c>
      <c r="I112" s="380">
        <v>34759</v>
      </c>
      <c r="J112" s="92"/>
      <c r="K112" s="92"/>
      <c r="L112" s="381" t="s">
        <v>14885</v>
      </c>
    </row>
    <row r="113" spans="1:12">
      <c r="A113" s="92"/>
      <c r="B113" s="345">
        <v>10949062</v>
      </c>
      <c r="C113" s="92" t="s">
        <v>14886</v>
      </c>
      <c r="D113" s="92" t="s">
        <v>14887</v>
      </c>
      <c r="E113" s="92" t="s">
        <v>14888</v>
      </c>
      <c r="F113" s="92" t="s">
        <v>4707</v>
      </c>
      <c r="G113" s="92" t="s">
        <v>14861</v>
      </c>
      <c r="H113" s="345">
        <v>2000</v>
      </c>
      <c r="I113" s="380">
        <v>36757</v>
      </c>
      <c r="J113" s="92"/>
      <c r="K113" s="92"/>
      <c r="L113" s="381" t="s">
        <v>14889</v>
      </c>
    </row>
    <row r="114" spans="1:12">
      <c r="A114" s="92"/>
      <c r="B114" s="345">
        <v>8017889</v>
      </c>
      <c r="C114" s="92" t="s">
        <v>14890</v>
      </c>
      <c r="D114" s="92" t="s">
        <v>14891</v>
      </c>
      <c r="E114" s="92" t="s">
        <v>14892</v>
      </c>
      <c r="F114" s="92" t="s">
        <v>4708</v>
      </c>
      <c r="G114" s="92" t="s">
        <v>14893</v>
      </c>
      <c r="H114" s="345">
        <v>1994</v>
      </c>
      <c r="I114" s="380">
        <v>34335</v>
      </c>
      <c r="J114" s="435" t="s">
        <v>4709</v>
      </c>
      <c r="K114" s="425"/>
      <c r="L114" s="381" t="s">
        <v>14894</v>
      </c>
    </row>
    <row r="115" spans="1:12">
      <c r="A115" s="92"/>
      <c r="B115" s="345">
        <v>1524167</v>
      </c>
      <c r="C115" s="92" t="s">
        <v>14895</v>
      </c>
      <c r="D115" s="92" t="s">
        <v>14896</v>
      </c>
      <c r="E115" s="92" t="s">
        <v>14897</v>
      </c>
      <c r="F115" s="92" t="s">
        <v>4710</v>
      </c>
      <c r="G115" s="92" t="s">
        <v>14898</v>
      </c>
      <c r="H115" s="345">
        <v>1992</v>
      </c>
      <c r="I115" s="380">
        <v>33817</v>
      </c>
      <c r="J115" s="92"/>
      <c r="K115" s="92"/>
      <c r="L115" s="381" t="s">
        <v>14899</v>
      </c>
    </row>
    <row r="116" spans="1:12">
      <c r="A116" s="92"/>
      <c r="B116" s="345">
        <v>10622555</v>
      </c>
      <c r="C116" s="92" t="s">
        <v>14900</v>
      </c>
      <c r="D116" s="92" t="s">
        <v>14901</v>
      </c>
      <c r="E116" s="92" t="s">
        <v>14902</v>
      </c>
      <c r="F116" s="92" t="s">
        <v>4711</v>
      </c>
      <c r="G116" s="92" t="s">
        <v>10548</v>
      </c>
      <c r="H116" s="345">
        <v>1999</v>
      </c>
      <c r="I116" s="380">
        <v>36531</v>
      </c>
      <c r="J116" s="92"/>
      <c r="K116" s="92"/>
      <c r="L116" s="381" t="s">
        <v>14903</v>
      </c>
    </row>
    <row r="117" spans="1:12">
      <c r="A117" s="92"/>
      <c r="B117" s="345">
        <v>1650789</v>
      </c>
      <c r="C117" s="92" t="s">
        <v>14904</v>
      </c>
      <c r="D117" s="92" t="s">
        <v>14905</v>
      </c>
      <c r="E117" s="92" t="s">
        <v>14906</v>
      </c>
      <c r="F117" s="92" t="s">
        <v>1557</v>
      </c>
      <c r="G117" s="92" t="s">
        <v>14438</v>
      </c>
      <c r="H117" s="345">
        <v>1991</v>
      </c>
      <c r="I117" s="380">
        <v>33390</v>
      </c>
      <c r="J117" s="92" t="s">
        <v>4712</v>
      </c>
      <c r="K117" s="92"/>
      <c r="L117" s="381" t="s">
        <v>14907</v>
      </c>
    </row>
    <row r="118" spans="1:12">
      <c r="A118" s="92"/>
      <c r="B118" s="345">
        <v>10772831</v>
      </c>
      <c r="C118" s="92" t="s">
        <v>14908</v>
      </c>
      <c r="D118" s="92" t="s">
        <v>14909</v>
      </c>
      <c r="E118" s="92" t="s">
        <v>14910</v>
      </c>
      <c r="F118" s="92" t="s">
        <v>4713</v>
      </c>
      <c r="G118" s="92" t="s">
        <v>14911</v>
      </c>
      <c r="H118" s="345">
        <v>2000</v>
      </c>
      <c r="I118" s="380">
        <v>36641</v>
      </c>
      <c r="J118" s="92"/>
      <c r="K118" s="92"/>
      <c r="L118" s="381" t="s">
        <v>14912</v>
      </c>
    </row>
    <row r="119" spans="1:12">
      <c r="A119" s="92"/>
      <c r="B119" s="345">
        <v>1573320</v>
      </c>
      <c r="C119" s="92" t="s">
        <v>14913</v>
      </c>
      <c r="D119" s="92" t="s">
        <v>14914</v>
      </c>
      <c r="E119" s="92" t="s">
        <v>14915</v>
      </c>
      <c r="F119" s="92" t="s">
        <v>4714</v>
      </c>
      <c r="G119" s="92" t="s">
        <v>14916</v>
      </c>
      <c r="H119" s="345">
        <v>1992</v>
      </c>
      <c r="I119" s="380">
        <v>33604</v>
      </c>
      <c r="J119" s="92"/>
      <c r="K119" s="92"/>
      <c r="L119" s="381" t="s">
        <v>14917</v>
      </c>
    </row>
    <row r="120" spans="1:12">
      <c r="A120" s="92"/>
      <c r="B120" s="345">
        <v>8531887</v>
      </c>
      <c r="C120" s="92" t="s">
        <v>14918</v>
      </c>
      <c r="D120" s="92" t="s">
        <v>14919</v>
      </c>
      <c r="E120" s="92" t="s">
        <v>14920</v>
      </c>
      <c r="F120" s="92" t="s">
        <v>4715</v>
      </c>
      <c r="G120" s="92" t="s">
        <v>14921</v>
      </c>
      <c r="H120" s="345">
        <v>1995</v>
      </c>
      <c r="I120" s="380">
        <v>35034</v>
      </c>
      <c r="J120" s="92" t="s">
        <v>4716</v>
      </c>
      <c r="K120" s="92"/>
      <c r="L120" s="381" t="s">
        <v>14922</v>
      </c>
    </row>
    <row r="121" spans="1:12">
      <c r="A121" s="92"/>
      <c r="B121" s="345">
        <v>10200861</v>
      </c>
      <c r="C121" s="92" t="s">
        <v>14923</v>
      </c>
      <c r="D121" s="92" t="s">
        <v>14924</v>
      </c>
      <c r="E121" s="92" t="s">
        <v>14925</v>
      </c>
      <c r="F121" s="92" t="s">
        <v>4717</v>
      </c>
      <c r="G121" s="92" t="s">
        <v>8592</v>
      </c>
      <c r="H121" s="345">
        <v>1999</v>
      </c>
      <c r="I121" s="380">
        <v>36264</v>
      </c>
      <c r="J121" s="92"/>
      <c r="K121" s="92"/>
      <c r="L121" s="381" t="s">
        <v>14926</v>
      </c>
    </row>
    <row r="122" spans="1:12">
      <c r="A122" s="92"/>
      <c r="B122" s="345">
        <v>10574525</v>
      </c>
      <c r="C122" s="92" t="s">
        <v>14927</v>
      </c>
      <c r="D122" s="92" t="s">
        <v>14928</v>
      </c>
      <c r="E122" s="92" t="s">
        <v>14929</v>
      </c>
      <c r="F122" s="92" t="s">
        <v>4718</v>
      </c>
      <c r="G122" s="92" t="s">
        <v>14930</v>
      </c>
      <c r="H122" s="345">
        <v>1999</v>
      </c>
      <c r="I122" s="380">
        <v>36490</v>
      </c>
      <c r="J122" s="92"/>
      <c r="K122" s="92"/>
      <c r="L122" s="381" t="s">
        <v>14931</v>
      </c>
    </row>
    <row r="123" spans="1:12">
      <c r="A123" s="92"/>
      <c r="B123" s="345">
        <v>10932062</v>
      </c>
      <c r="C123" s="92" t="s">
        <v>14932</v>
      </c>
      <c r="D123" s="92" t="s">
        <v>14933</v>
      </c>
      <c r="E123" s="92" t="s">
        <v>14934</v>
      </c>
      <c r="F123" s="92" t="s">
        <v>1750</v>
      </c>
      <c r="G123" s="92" t="s">
        <v>9004</v>
      </c>
      <c r="H123" s="345">
        <v>2000</v>
      </c>
      <c r="I123" s="380">
        <v>36748</v>
      </c>
      <c r="J123" s="92"/>
      <c r="K123" s="92"/>
      <c r="L123" s="381" t="s">
        <v>14935</v>
      </c>
    </row>
    <row r="124" spans="1:12">
      <c r="A124" s="92"/>
      <c r="B124" s="345">
        <v>2195920</v>
      </c>
      <c r="C124" s="92" t="s">
        <v>14936</v>
      </c>
      <c r="D124" s="92" t="s">
        <v>14937</v>
      </c>
      <c r="E124" s="92" t="s">
        <v>14938</v>
      </c>
      <c r="F124" s="92" t="s">
        <v>4719</v>
      </c>
      <c r="G124" s="92" t="s">
        <v>14939</v>
      </c>
      <c r="H124" s="345">
        <v>1990</v>
      </c>
      <c r="I124" s="380">
        <v>33055</v>
      </c>
      <c r="J124" s="92"/>
      <c r="K124" s="92"/>
      <c r="L124" s="92"/>
    </row>
    <row r="125" spans="1:12">
      <c r="A125" s="92"/>
      <c r="B125" s="345">
        <v>10392579</v>
      </c>
      <c r="C125" s="92" t="s">
        <v>14940</v>
      </c>
      <c r="D125" s="92" t="s">
        <v>14941</v>
      </c>
      <c r="E125" s="92" t="s">
        <v>14942</v>
      </c>
      <c r="F125" s="92" t="s">
        <v>4720</v>
      </c>
      <c r="G125" s="92" t="s">
        <v>9222</v>
      </c>
      <c r="H125" s="345">
        <v>1999</v>
      </c>
      <c r="I125" s="380">
        <v>36348</v>
      </c>
      <c r="J125" s="92"/>
      <c r="K125" s="92"/>
      <c r="L125" s="381" t="s">
        <v>14943</v>
      </c>
    </row>
    <row r="126" spans="1:12">
      <c r="A126" s="92"/>
      <c r="B126" s="345">
        <v>8698234</v>
      </c>
      <c r="C126" s="92" t="s">
        <v>14944</v>
      </c>
      <c r="D126" s="92" t="s">
        <v>14945</v>
      </c>
      <c r="E126" s="92" t="s">
        <v>14946</v>
      </c>
      <c r="F126" s="92" t="s">
        <v>4721</v>
      </c>
      <c r="G126" s="92" t="s">
        <v>14947</v>
      </c>
      <c r="H126" s="345">
        <v>1996</v>
      </c>
      <c r="I126" s="380">
        <v>35261</v>
      </c>
      <c r="J126" s="92"/>
      <c r="K126" s="92"/>
      <c r="L126" s="381" t="s">
        <v>14948</v>
      </c>
    </row>
    <row r="127" spans="1:12">
      <c r="A127" s="92"/>
      <c r="B127" s="345">
        <v>10945375</v>
      </c>
      <c r="C127" s="92" t="s">
        <v>14949</v>
      </c>
      <c r="D127" s="92" t="s">
        <v>14950</v>
      </c>
      <c r="E127" s="92" t="s">
        <v>14951</v>
      </c>
      <c r="F127" s="92" t="s">
        <v>4723</v>
      </c>
      <c r="G127" s="92" t="s">
        <v>9681</v>
      </c>
      <c r="H127" s="345">
        <v>2000</v>
      </c>
      <c r="I127" s="380">
        <v>36755</v>
      </c>
      <c r="J127" s="92"/>
      <c r="K127" s="92"/>
      <c r="L127" s="381" t="s">
        <v>14952</v>
      </c>
    </row>
    <row r="128" spans="1:12">
      <c r="A128" s="92"/>
      <c r="B128" s="345">
        <v>10719741</v>
      </c>
      <c r="C128" s="92" t="s">
        <v>14953</v>
      </c>
      <c r="D128" s="92" t="s">
        <v>14954</v>
      </c>
      <c r="E128" s="92" t="s">
        <v>14955</v>
      </c>
      <c r="F128" s="92" t="s">
        <v>4724</v>
      </c>
      <c r="G128" s="92" t="s">
        <v>14956</v>
      </c>
      <c r="H128" s="345">
        <v>2000</v>
      </c>
      <c r="I128" s="380">
        <v>36602</v>
      </c>
      <c r="J128" s="92"/>
      <c r="K128" s="92"/>
      <c r="L128" s="381" t="s">
        <v>14957</v>
      </c>
    </row>
    <row r="129" spans="1:12">
      <c r="A129" s="92"/>
      <c r="B129" s="345">
        <v>11030607</v>
      </c>
      <c r="C129" s="92" t="s">
        <v>14958</v>
      </c>
      <c r="D129" s="92" t="s">
        <v>14959</v>
      </c>
      <c r="E129" s="92" t="s">
        <v>14960</v>
      </c>
      <c r="F129" s="92" t="s">
        <v>4725</v>
      </c>
      <c r="G129" s="92" t="s">
        <v>14961</v>
      </c>
      <c r="H129" s="345">
        <v>1999</v>
      </c>
      <c r="I129" s="380">
        <v>36812</v>
      </c>
      <c r="J129" s="92"/>
      <c r="K129" s="92"/>
      <c r="L129" s="381" t="s">
        <v>14962</v>
      </c>
    </row>
    <row r="130" spans="1:12">
      <c r="A130" s="92"/>
      <c r="B130" s="345">
        <v>9806102</v>
      </c>
      <c r="C130" s="92" t="s">
        <v>14963</v>
      </c>
      <c r="D130" s="92" t="s">
        <v>14964</v>
      </c>
      <c r="E130" s="92" t="s">
        <v>14965</v>
      </c>
      <c r="F130" s="92" t="s">
        <v>4271</v>
      </c>
      <c r="G130" s="92" t="s">
        <v>8509</v>
      </c>
      <c r="H130" s="345">
        <v>1998</v>
      </c>
      <c r="I130" s="380">
        <v>36106</v>
      </c>
      <c r="J130" s="92"/>
      <c r="K130" s="92"/>
      <c r="L130" s="381" t="s">
        <v>14966</v>
      </c>
    </row>
    <row r="131" spans="1:12">
      <c r="A131" s="92"/>
      <c r="B131" s="345">
        <v>8547496</v>
      </c>
      <c r="C131" s="92" t="s">
        <v>14967</v>
      </c>
      <c r="D131" s="92" t="s">
        <v>14968</v>
      </c>
      <c r="E131" s="92" t="s">
        <v>14969</v>
      </c>
      <c r="F131" s="92" t="s">
        <v>4726</v>
      </c>
      <c r="G131" s="92" t="s">
        <v>9152</v>
      </c>
      <c r="H131" s="345">
        <v>1995</v>
      </c>
      <c r="I131" s="380">
        <v>34912</v>
      </c>
      <c r="J131" s="92"/>
      <c r="K131" s="92"/>
      <c r="L131" s="381" t="s">
        <v>14970</v>
      </c>
    </row>
    <row r="132" spans="1:12">
      <c r="A132" s="92"/>
      <c r="B132" s="345">
        <v>8294625</v>
      </c>
      <c r="C132" s="92" t="s">
        <v>14971</v>
      </c>
      <c r="D132" s="92" t="s">
        <v>14972</v>
      </c>
      <c r="E132" s="92" t="s">
        <v>14973</v>
      </c>
      <c r="F132" s="92" t="s">
        <v>4727</v>
      </c>
      <c r="G132" s="92" t="s">
        <v>8617</v>
      </c>
      <c r="H132" s="345">
        <v>1993</v>
      </c>
      <c r="I132" s="380">
        <v>33970</v>
      </c>
      <c r="J132" s="92"/>
      <c r="K132" s="92"/>
      <c r="L132" s="381" t="s">
        <v>14974</v>
      </c>
    </row>
    <row r="133" spans="1:12">
      <c r="A133" s="92"/>
      <c r="B133" s="345">
        <v>10578118</v>
      </c>
      <c r="C133" s="92" t="s">
        <v>14975</v>
      </c>
      <c r="D133" s="92" t="s">
        <v>14976</v>
      </c>
      <c r="E133" s="92" t="s">
        <v>14977</v>
      </c>
      <c r="F133" s="92" t="s">
        <v>4728</v>
      </c>
      <c r="G133" s="92" t="s">
        <v>14978</v>
      </c>
      <c r="H133" s="345">
        <v>1999</v>
      </c>
      <c r="I133" s="380">
        <v>36495</v>
      </c>
      <c r="J133" s="92"/>
      <c r="K133" s="92"/>
      <c r="L133" s="381" t="s">
        <v>14979</v>
      </c>
    </row>
    <row r="134" spans="1:12">
      <c r="A134" s="92"/>
      <c r="B134" s="345">
        <v>8988875</v>
      </c>
      <c r="C134" s="92" t="s">
        <v>14980</v>
      </c>
      <c r="D134" s="92" t="s">
        <v>14981</v>
      </c>
      <c r="E134" s="92" t="s">
        <v>14982</v>
      </c>
      <c r="F134" s="92" t="s">
        <v>4729</v>
      </c>
      <c r="G134" s="92" t="s">
        <v>14983</v>
      </c>
      <c r="H134" s="345">
        <v>1996</v>
      </c>
      <c r="I134" s="380">
        <v>35370</v>
      </c>
      <c r="J134" s="92"/>
      <c r="K134" s="92"/>
      <c r="L134" s="381" t="s">
        <v>14984</v>
      </c>
    </row>
    <row r="135" spans="1:12">
      <c r="A135" s="92"/>
      <c r="B135" s="345">
        <v>9522228</v>
      </c>
      <c r="C135" s="92" t="s">
        <v>14985</v>
      </c>
      <c r="D135" s="92" t="s">
        <v>14986</v>
      </c>
      <c r="E135" s="92" t="s">
        <v>14987</v>
      </c>
      <c r="F135" s="92" t="s">
        <v>4730</v>
      </c>
      <c r="G135" s="92" t="s">
        <v>14988</v>
      </c>
      <c r="H135" s="345">
        <v>1998</v>
      </c>
      <c r="I135" s="380">
        <v>35887</v>
      </c>
      <c r="J135" s="92"/>
      <c r="K135" s="92"/>
      <c r="L135" s="381" t="s">
        <v>14989</v>
      </c>
    </row>
    <row r="136" spans="1:12">
      <c r="A136" s="92"/>
      <c r="B136" s="345">
        <v>10589383</v>
      </c>
      <c r="C136" s="92" t="s">
        <v>14990</v>
      </c>
      <c r="D136" s="92" t="s">
        <v>14991</v>
      </c>
      <c r="E136" s="92" t="s">
        <v>14992</v>
      </c>
      <c r="F136" s="92" t="s">
        <v>4731</v>
      </c>
      <c r="G136" s="92" t="s">
        <v>14993</v>
      </c>
      <c r="H136" s="345">
        <v>1999</v>
      </c>
      <c r="I136" s="380">
        <v>36504</v>
      </c>
      <c r="J136" s="92"/>
      <c r="K136" s="92"/>
      <c r="L136" s="381" t="s">
        <v>14994</v>
      </c>
    </row>
    <row r="137" spans="1:12">
      <c r="A137" s="92"/>
      <c r="B137" s="345">
        <v>8026212</v>
      </c>
      <c r="C137" s="92" t="s">
        <v>14995</v>
      </c>
      <c r="D137" s="92" t="s">
        <v>14972</v>
      </c>
      <c r="E137" s="92" t="s">
        <v>14996</v>
      </c>
      <c r="F137" s="92" t="s">
        <v>4727</v>
      </c>
      <c r="G137" s="92" t="s">
        <v>8504</v>
      </c>
      <c r="H137" s="345">
        <v>1994</v>
      </c>
      <c r="I137" s="380">
        <v>34516</v>
      </c>
      <c r="J137" s="92"/>
      <c r="K137" s="92"/>
      <c r="L137" s="381" t="s">
        <v>14997</v>
      </c>
    </row>
    <row r="138" spans="1:12">
      <c r="A138" s="92"/>
      <c r="B138" s="345">
        <v>10773116</v>
      </c>
      <c r="C138" s="92" t="s">
        <v>14998</v>
      </c>
      <c r="D138" s="92" t="s">
        <v>14999</v>
      </c>
      <c r="E138" s="92" t="s">
        <v>15000</v>
      </c>
      <c r="F138" s="92" t="s">
        <v>4732</v>
      </c>
      <c r="G138" s="92" t="s">
        <v>11510</v>
      </c>
      <c r="H138" s="345">
        <v>2000</v>
      </c>
      <c r="I138" s="380">
        <v>36641</v>
      </c>
      <c r="J138" s="92"/>
      <c r="K138" s="92"/>
      <c r="L138" s="381" t="s">
        <v>15001</v>
      </c>
    </row>
    <row r="139" spans="1:12">
      <c r="A139" s="92"/>
      <c r="B139" s="345">
        <v>8544269</v>
      </c>
      <c r="C139" s="92" t="s">
        <v>15002</v>
      </c>
      <c r="D139" s="92" t="s">
        <v>15003</v>
      </c>
      <c r="E139" s="92" t="s">
        <v>15004</v>
      </c>
      <c r="F139" s="92" t="s">
        <v>1835</v>
      </c>
      <c r="G139" s="92" t="s">
        <v>8580</v>
      </c>
      <c r="H139" s="345">
        <v>1996</v>
      </c>
      <c r="I139" s="380">
        <v>35088</v>
      </c>
      <c r="J139" s="92"/>
      <c r="K139" s="92"/>
      <c r="L139" s="92"/>
    </row>
    <row r="140" spans="1:12">
      <c r="A140" s="92"/>
      <c r="B140" s="345">
        <v>7691508</v>
      </c>
      <c r="C140" s="92" t="s">
        <v>15005</v>
      </c>
      <c r="D140" s="92" t="s">
        <v>15006</v>
      </c>
      <c r="E140" s="92" t="s">
        <v>15007</v>
      </c>
      <c r="F140" s="92" t="s">
        <v>4733</v>
      </c>
      <c r="G140" s="92" t="s">
        <v>8509</v>
      </c>
      <c r="H140" s="345">
        <v>1993</v>
      </c>
      <c r="I140" s="380">
        <v>34151</v>
      </c>
      <c r="J140" s="92"/>
      <c r="K140" s="92"/>
      <c r="L140" s="381" t="s">
        <v>15008</v>
      </c>
    </row>
    <row r="141" spans="1:12">
      <c r="A141" s="92"/>
      <c r="B141" s="345">
        <v>8291861</v>
      </c>
      <c r="C141" s="92" t="s">
        <v>15009</v>
      </c>
      <c r="D141" s="92" t="s">
        <v>15010</v>
      </c>
      <c r="E141" s="92" t="s">
        <v>15011</v>
      </c>
      <c r="F141" s="92" t="s">
        <v>1690</v>
      </c>
      <c r="G141" s="92" t="s">
        <v>15012</v>
      </c>
      <c r="H141" s="345">
        <v>1994</v>
      </c>
      <c r="I141" s="380">
        <v>34335</v>
      </c>
      <c r="J141" s="92"/>
      <c r="K141" s="92"/>
      <c r="L141" s="381" t="s">
        <v>15013</v>
      </c>
    </row>
    <row r="142" spans="1:12">
      <c r="A142" s="92"/>
      <c r="B142" s="345">
        <v>8953073</v>
      </c>
      <c r="C142" s="92" t="s">
        <v>15014</v>
      </c>
      <c r="D142" s="92" t="s">
        <v>15015</v>
      </c>
      <c r="E142" s="92" t="s">
        <v>15016</v>
      </c>
      <c r="F142" s="92" t="s">
        <v>1827</v>
      </c>
      <c r="G142" s="92" t="s">
        <v>9152</v>
      </c>
      <c r="H142" s="345">
        <v>1996</v>
      </c>
      <c r="I142" s="380">
        <v>35400</v>
      </c>
      <c r="J142" s="92"/>
      <c r="K142" s="92"/>
      <c r="L142" s="381" t="s">
        <v>15017</v>
      </c>
    </row>
    <row r="143" spans="1:12">
      <c r="A143" s="92"/>
      <c r="B143" s="345">
        <v>10890787</v>
      </c>
      <c r="C143" s="92" t="s">
        <v>15018</v>
      </c>
      <c r="D143" s="92" t="s">
        <v>15019</v>
      </c>
      <c r="E143" s="92" t="s">
        <v>15020</v>
      </c>
      <c r="F143" s="92" t="s">
        <v>1690</v>
      </c>
      <c r="G143" s="92" t="s">
        <v>12734</v>
      </c>
      <c r="H143" s="345">
        <v>1999</v>
      </c>
      <c r="I143" s="380">
        <v>36720</v>
      </c>
      <c r="J143" s="92"/>
      <c r="K143" s="92"/>
      <c r="L143" s="381" t="s">
        <v>15021</v>
      </c>
    </row>
    <row r="144" spans="1:12">
      <c r="A144" s="92"/>
      <c r="B144" s="345">
        <v>9445959</v>
      </c>
      <c r="C144" s="92" t="s">
        <v>15022</v>
      </c>
      <c r="D144" s="92" t="s">
        <v>15023</v>
      </c>
      <c r="E144" s="92" t="s">
        <v>15024</v>
      </c>
      <c r="F144" s="92" t="s">
        <v>4734</v>
      </c>
      <c r="G144" s="92" t="s">
        <v>15025</v>
      </c>
      <c r="H144" s="345">
        <v>1997</v>
      </c>
      <c r="I144" s="380">
        <v>35826</v>
      </c>
      <c r="J144" s="92"/>
      <c r="K144" s="92"/>
      <c r="L144" s="92"/>
    </row>
    <row r="145" spans="1:12">
      <c r="A145" s="92"/>
      <c r="B145" s="345">
        <v>10217584</v>
      </c>
      <c r="C145" s="92" t="s">
        <v>15026</v>
      </c>
      <c r="D145" s="92" t="s">
        <v>15027</v>
      </c>
      <c r="E145" s="92" t="s">
        <v>15028</v>
      </c>
      <c r="F145" s="92" t="s">
        <v>4735</v>
      </c>
      <c r="G145" s="92" t="s">
        <v>21</v>
      </c>
      <c r="H145" s="345">
        <v>1999</v>
      </c>
      <c r="I145" s="380">
        <v>36277</v>
      </c>
      <c r="J145" s="92"/>
      <c r="K145" s="92"/>
      <c r="L145" s="381" t="s">
        <v>15029</v>
      </c>
    </row>
    <row r="146" spans="1:12">
      <c r="A146" s="92"/>
      <c r="B146" s="345">
        <v>2042705</v>
      </c>
      <c r="C146" s="92" t="s">
        <v>15030</v>
      </c>
      <c r="D146" s="92" t="s">
        <v>15031</v>
      </c>
      <c r="E146" s="92" t="s">
        <v>15032</v>
      </c>
      <c r="F146" s="92" t="s">
        <v>4736</v>
      </c>
      <c r="G146" s="92" t="s">
        <v>12950</v>
      </c>
      <c r="H146" s="345">
        <v>1991</v>
      </c>
      <c r="I146" s="380">
        <v>33329</v>
      </c>
      <c r="J146" s="92"/>
      <c r="K146" s="92"/>
      <c r="L146" s="381" t="s">
        <v>15033</v>
      </c>
    </row>
    <row r="147" spans="1:12">
      <c r="A147" s="92"/>
      <c r="B147" s="345">
        <v>7922390</v>
      </c>
      <c r="C147" s="92" t="s">
        <v>15034</v>
      </c>
      <c r="D147" s="92" t="s">
        <v>15035</v>
      </c>
      <c r="E147" s="92" t="s">
        <v>15036</v>
      </c>
      <c r="F147" s="92" t="s">
        <v>4737</v>
      </c>
      <c r="G147" s="92" t="s">
        <v>15037</v>
      </c>
      <c r="H147" s="345">
        <v>1993</v>
      </c>
      <c r="I147" s="380">
        <v>34001</v>
      </c>
      <c r="J147" s="92"/>
      <c r="K147" s="92"/>
      <c r="L147" s="92"/>
    </row>
    <row r="148" spans="1:12">
      <c r="A148" s="92"/>
      <c r="B148" s="345">
        <v>8952023</v>
      </c>
      <c r="C148" s="92" t="s">
        <v>15038</v>
      </c>
      <c r="D148" s="92" t="s">
        <v>15039</v>
      </c>
      <c r="E148" s="92" t="s">
        <v>15040</v>
      </c>
      <c r="F148" s="92" t="s">
        <v>4738</v>
      </c>
      <c r="G148" s="92" t="s">
        <v>15041</v>
      </c>
      <c r="H148" s="345">
        <v>1996</v>
      </c>
      <c r="I148" s="380">
        <v>35370</v>
      </c>
      <c r="J148" s="92"/>
      <c r="K148" s="92"/>
      <c r="L148" s="381" t="s">
        <v>15042</v>
      </c>
    </row>
    <row r="149" spans="1:12">
      <c r="A149" s="92"/>
      <c r="B149" s="345">
        <v>8578831</v>
      </c>
      <c r="C149" s="92" t="s">
        <v>15043</v>
      </c>
      <c r="D149" s="92" t="s">
        <v>15044</v>
      </c>
      <c r="E149" s="92" t="s">
        <v>15045</v>
      </c>
      <c r="F149" s="92" t="s">
        <v>1980</v>
      </c>
      <c r="G149" s="92" t="s">
        <v>21</v>
      </c>
      <c r="H149" s="345">
        <v>1995</v>
      </c>
      <c r="I149" s="380">
        <v>35004</v>
      </c>
      <c r="J149" s="92"/>
      <c r="K149" s="92"/>
      <c r="L149" s="381" t="s">
        <v>15046</v>
      </c>
    </row>
    <row r="150" spans="1:12">
      <c r="A150" s="92"/>
      <c r="B150" s="345">
        <v>1587589</v>
      </c>
      <c r="C150" s="92" t="s">
        <v>15047</v>
      </c>
      <c r="D150" s="92" t="s">
        <v>15048</v>
      </c>
      <c r="E150" s="92" t="s">
        <v>15049</v>
      </c>
      <c r="F150" s="92" t="s">
        <v>1980</v>
      </c>
      <c r="G150" s="92" t="s">
        <v>11700</v>
      </c>
      <c r="H150" s="345">
        <v>1992</v>
      </c>
      <c r="I150" s="380">
        <v>33756</v>
      </c>
      <c r="J150" s="92" t="s">
        <v>4739</v>
      </c>
      <c r="K150" s="92"/>
      <c r="L150" s="381" t="s">
        <v>15050</v>
      </c>
    </row>
    <row r="151" spans="1:12">
      <c r="A151" s="92"/>
      <c r="B151" s="345">
        <v>9402380</v>
      </c>
      <c r="C151" s="92" t="s">
        <v>15051</v>
      </c>
      <c r="D151" s="92" t="s">
        <v>15052</v>
      </c>
      <c r="E151" s="92" t="s">
        <v>15053</v>
      </c>
      <c r="F151" s="92" t="s">
        <v>1800</v>
      </c>
      <c r="G151" s="92" t="s">
        <v>9152</v>
      </c>
      <c r="H151" s="345">
        <v>1997</v>
      </c>
      <c r="I151" s="380">
        <v>35788</v>
      </c>
      <c r="J151" s="92"/>
      <c r="K151" s="92"/>
      <c r="L151" s="381" t="s">
        <v>15054</v>
      </c>
    </row>
    <row r="152" spans="1:12">
      <c r="A152" s="92"/>
      <c r="B152" s="345">
        <v>18611520</v>
      </c>
      <c r="C152" s="92" t="s">
        <v>15055</v>
      </c>
      <c r="D152" s="92" t="s">
        <v>15056</v>
      </c>
      <c r="E152" s="92" t="s">
        <v>15057</v>
      </c>
      <c r="F152" s="92" t="s">
        <v>4740</v>
      </c>
      <c r="G152" s="92" t="s">
        <v>10603</v>
      </c>
      <c r="H152" s="345">
        <v>1992</v>
      </c>
      <c r="I152" s="380">
        <v>33939</v>
      </c>
      <c r="J152" s="92"/>
      <c r="K152" s="92"/>
      <c r="L152" s="381" t="s">
        <v>15058</v>
      </c>
    </row>
    <row r="153" spans="1:12">
      <c r="A153" s="92"/>
      <c r="B153" s="345">
        <v>10796624</v>
      </c>
      <c r="C153" s="92" t="s">
        <v>15059</v>
      </c>
      <c r="D153" s="92" t="s">
        <v>15060</v>
      </c>
      <c r="E153" s="92" t="s">
        <v>15061</v>
      </c>
      <c r="F153" s="92" t="s">
        <v>4742</v>
      </c>
      <c r="G153" s="92" t="s">
        <v>8857</v>
      </c>
      <c r="H153" s="345">
        <v>2000</v>
      </c>
      <c r="I153" s="380">
        <v>36651</v>
      </c>
      <c r="J153" s="92"/>
      <c r="K153" s="92"/>
      <c r="L153" s="381" t="s">
        <v>15062</v>
      </c>
    </row>
    <row r="154" spans="1:12">
      <c r="A154" s="92"/>
      <c r="B154" s="345">
        <v>10850524</v>
      </c>
      <c r="C154" s="92" t="s">
        <v>15063</v>
      </c>
      <c r="D154" s="92" t="s">
        <v>15064</v>
      </c>
      <c r="E154" s="92" t="s">
        <v>15065</v>
      </c>
      <c r="F154" s="92" t="s">
        <v>4743</v>
      </c>
      <c r="G154" s="92" t="s">
        <v>8670</v>
      </c>
      <c r="H154" s="345">
        <v>2000</v>
      </c>
      <c r="I154" s="380">
        <v>36690</v>
      </c>
      <c r="J154" s="92"/>
      <c r="K154" s="92"/>
      <c r="L154" s="381" t="s">
        <v>15066</v>
      </c>
    </row>
    <row r="155" spans="1:12">
      <c r="A155" s="92"/>
      <c r="B155" s="345">
        <v>7489941</v>
      </c>
      <c r="C155" s="92" t="s">
        <v>15067</v>
      </c>
      <c r="D155" s="92" t="s">
        <v>15068</v>
      </c>
      <c r="E155" s="92" t="s">
        <v>15069</v>
      </c>
      <c r="F155" s="92" t="s">
        <v>4745</v>
      </c>
      <c r="G155" s="92" t="s">
        <v>8842</v>
      </c>
      <c r="H155" s="345">
        <v>1995</v>
      </c>
      <c r="I155" s="380">
        <v>34973</v>
      </c>
      <c r="J155" s="435" t="s">
        <v>4746</v>
      </c>
      <c r="K155" s="425"/>
      <c r="L155" s="381" t="s">
        <v>15070</v>
      </c>
    </row>
    <row r="156" spans="1:12">
      <c r="A156" s="92"/>
      <c r="B156" s="345">
        <v>8394240</v>
      </c>
      <c r="C156" s="92" t="s">
        <v>15071</v>
      </c>
      <c r="D156" s="92" t="s">
        <v>15072</v>
      </c>
      <c r="E156" s="92" t="s">
        <v>15073</v>
      </c>
      <c r="F156" s="92" t="s">
        <v>2432</v>
      </c>
      <c r="G156" s="92" t="s">
        <v>14866</v>
      </c>
      <c r="H156" s="345">
        <v>1993</v>
      </c>
      <c r="I156" s="380">
        <v>34182</v>
      </c>
      <c r="J156" s="435" t="s">
        <v>4748</v>
      </c>
      <c r="K156" s="425"/>
      <c r="L156" s="381" t="s">
        <v>15074</v>
      </c>
    </row>
    <row r="157" spans="1:12">
      <c r="A157" s="92"/>
      <c r="B157" s="345">
        <v>1692807</v>
      </c>
      <c r="C157" s="92" t="s">
        <v>15075</v>
      </c>
      <c r="D157" s="92" t="s">
        <v>15076</v>
      </c>
      <c r="E157" s="92" t="s">
        <v>15077</v>
      </c>
      <c r="F157" s="92" t="s">
        <v>2319</v>
      </c>
      <c r="G157" s="92" t="s">
        <v>11700</v>
      </c>
      <c r="H157" s="345">
        <v>1990</v>
      </c>
      <c r="I157" s="380">
        <v>33025</v>
      </c>
      <c r="J157" s="92" t="s">
        <v>4749</v>
      </c>
      <c r="K157" s="92"/>
      <c r="L157" s="381" t="s">
        <v>15078</v>
      </c>
    </row>
    <row r="158" spans="1:12">
      <c r="A158" s="92"/>
      <c r="B158" s="345">
        <v>7980899</v>
      </c>
      <c r="C158" s="92" t="s">
        <v>15079</v>
      </c>
      <c r="D158" s="92" t="s">
        <v>15080</v>
      </c>
      <c r="E158" s="92" t="s">
        <v>15081</v>
      </c>
      <c r="F158" s="92" t="s">
        <v>4750</v>
      </c>
      <c r="G158" s="92" t="s">
        <v>15082</v>
      </c>
      <c r="H158" s="345">
        <v>1994</v>
      </c>
      <c r="I158" s="380">
        <v>34669</v>
      </c>
      <c r="J158" s="92"/>
      <c r="K158" s="92"/>
      <c r="L158" s="381" t="s">
        <v>15083</v>
      </c>
    </row>
    <row r="159" spans="1:12">
      <c r="A159" s="92"/>
      <c r="B159" s="345">
        <v>9637578</v>
      </c>
      <c r="C159" s="92" t="s">
        <v>15084</v>
      </c>
      <c r="D159" s="92" t="s">
        <v>15085</v>
      </c>
      <c r="E159" s="92" t="s">
        <v>15086</v>
      </c>
      <c r="F159" s="92" t="s">
        <v>4751</v>
      </c>
      <c r="G159" s="92" t="s">
        <v>15087</v>
      </c>
      <c r="H159" s="345">
        <v>1998</v>
      </c>
      <c r="I159" s="380">
        <v>35970</v>
      </c>
      <c r="J159" s="92"/>
      <c r="K159" s="92"/>
      <c r="L159" s="381" t="s">
        <v>15088</v>
      </c>
    </row>
    <row r="160" spans="1:12">
      <c r="A160" s="92"/>
      <c r="B160" s="345">
        <v>11073753</v>
      </c>
      <c r="C160" s="92" t="s">
        <v>15089</v>
      </c>
      <c r="D160" s="92" t="s">
        <v>15090</v>
      </c>
      <c r="E160" s="92" t="s">
        <v>15091</v>
      </c>
      <c r="F160" s="92" t="s">
        <v>2371</v>
      </c>
      <c r="G160" s="92" t="s">
        <v>9152</v>
      </c>
      <c r="H160" s="345">
        <v>2000</v>
      </c>
      <c r="I160" s="380">
        <v>36844</v>
      </c>
      <c r="J160" s="92"/>
      <c r="K160" s="92"/>
      <c r="L160" s="381" t="s">
        <v>15092</v>
      </c>
    </row>
    <row r="161" spans="1:12">
      <c r="A161" s="92"/>
      <c r="B161" s="345">
        <v>1317694</v>
      </c>
      <c r="C161" s="92" t="s">
        <v>15093</v>
      </c>
      <c r="D161" s="92" t="s">
        <v>15094</v>
      </c>
      <c r="E161" s="92" t="s">
        <v>15095</v>
      </c>
      <c r="F161" s="92" t="s">
        <v>2289</v>
      </c>
      <c r="G161" s="92" t="s">
        <v>13056</v>
      </c>
      <c r="H161" s="345">
        <v>1992</v>
      </c>
      <c r="I161" s="380">
        <v>33796</v>
      </c>
      <c r="J161" s="92"/>
      <c r="K161" s="92"/>
      <c r="L161" s="381" t="s">
        <v>15096</v>
      </c>
    </row>
    <row r="162" spans="1:12">
      <c r="A162" s="92"/>
      <c r="B162" s="345">
        <v>10807510</v>
      </c>
      <c r="C162" s="92" t="s">
        <v>15097</v>
      </c>
      <c r="D162" s="92" t="s">
        <v>15098</v>
      </c>
      <c r="E162" s="92" t="s">
        <v>15099</v>
      </c>
      <c r="F162" s="92" t="s">
        <v>4752</v>
      </c>
      <c r="G162" s="92" t="s">
        <v>15100</v>
      </c>
      <c r="H162" s="345">
        <v>2000</v>
      </c>
      <c r="I162" s="380">
        <v>36658</v>
      </c>
      <c r="J162" s="92"/>
      <c r="K162" s="92"/>
      <c r="L162" s="381" t="s">
        <v>15101</v>
      </c>
    </row>
    <row r="163" spans="1:12">
      <c r="A163" s="92"/>
      <c r="B163" s="345">
        <v>11354808</v>
      </c>
      <c r="C163" s="92" t="s">
        <v>15102</v>
      </c>
      <c r="D163" s="92" t="s">
        <v>15103</v>
      </c>
      <c r="E163" s="92" t="s">
        <v>15104</v>
      </c>
      <c r="F163" s="92" t="s">
        <v>4753</v>
      </c>
      <c r="G163" s="92" t="s">
        <v>15105</v>
      </c>
      <c r="H163" s="345">
        <v>2000</v>
      </c>
      <c r="I163" s="380">
        <v>37028</v>
      </c>
      <c r="J163" s="92"/>
      <c r="K163" s="92"/>
      <c r="L163" s="92"/>
    </row>
    <row r="164" spans="1:12">
      <c r="A164" s="92"/>
      <c r="B164" s="345">
        <v>8785959</v>
      </c>
      <c r="C164" s="92" t="s">
        <v>15106</v>
      </c>
      <c r="D164" s="92" t="s">
        <v>15107</v>
      </c>
      <c r="E164" s="92" t="s">
        <v>15108</v>
      </c>
      <c r="F164" s="92" t="s">
        <v>4754</v>
      </c>
      <c r="G164" s="92" t="s">
        <v>14488</v>
      </c>
      <c r="H164" s="345">
        <v>1996</v>
      </c>
      <c r="I164" s="380">
        <v>35065</v>
      </c>
      <c r="J164" s="92"/>
      <c r="K164" s="92"/>
      <c r="L164" s="92"/>
    </row>
    <row r="165" spans="1:12">
      <c r="A165" s="92"/>
      <c r="B165" s="345">
        <v>7746977</v>
      </c>
      <c r="C165" s="92" t="s">
        <v>15109</v>
      </c>
      <c r="D165" s="92" t="s">
        <v>15110</v>
      </c>
      <c r="E165" s="92" t="s">
        <v>15111</v>
      </c>
      <c r="F165" s="92" t="s">
        <v>4755</v>
      </c>
      <c r="G165" s="92" t="s">
        <v>8847</v>
      </c>
      <c r="H165" s="345">
        <v>1995</v>
      </c>
      <c r="I165" s="380">
        <v>34758</v>
      </c>
      <c r="J165" s="92"/>
      <c r="K165" s="92"/>
      <c r="L165" s="381" t="s">
        <v>15112</v>
      </c>
    </row>
    <row r="166" spans="1:12">
      <c r="A166" s="92"/>
      <c r="B166" s="345">
        <v>7788426</v>
      </c>
      <c r="C166" s="92" t="s">
        <v>15113</v>
      </c>
      <c r="D166" s="92" t="s">
        <v>15114</v>
      </c>
      <c r="E166" s="92" t="s">
        <v>15115</v>
      </c>
      <c r="F166" s="92" t="s">
        <v>4757</v>
      </c>
      <c r="G166" s="92" t="s">
        <v>15087</v>
      </c>
      <c r="H166" s="345">
        <v>1995</v>
      </c>
      <c r="I166" s="380">
        <v>34881</v>
      </c>
      <c r="J166" s="92"/>
      <c r="K166" s="92"/>
      <c r="L166" s="92"/>
    </row>
    <row r="167" spans="1:12">
      <c r="A167" s="92"/>
      <c r="B167" s="345">
        <v>10897270</v>
      </c>
      <c r="C167" s="92" t="s">
        <v>15116</v>
      </c>
      <c r="D167" s="92" t="s">
        <v>15117</v>
      </c>
      <c r="E167" s="92" t="s">
        <v>15118</v>
      </c>
      <c r="F167" s="92" t="s">
        <v>4758</v>
      </c>
      <c r="G167" s="92" t="s">
        <v>15119</v>
      </c>
      <c r="H167" s="345">
        <v>2000</v>
      </c>
      <c r="I167" s="380">
        <v>36725</v>
      </c>
      <c r="J167" s="92"/>
      <c r="K167" s="92"/>
      <c r="L167" s="381" t="s">
        <v>15120</v>
      </c>
    </row>
    <row r="168" spans="1:12">
      <c r="A168" s="92"/>
      <c r="B168" s="345">
        <v>8729205</v>
      </c>
      <c r="C168" s="92" t="s">
        <v>15121</v>
      </c>
      <c r="D168" s="92" t="s">
        <v>15122</v>
      </c>
      <c r="E168" s="92" t="s">
        <v>15123</v>
      </c>
      <c r="F168" s="92" t="s">
        <v>1800</v>
      </c>
      <c r="G168" s="92" t="s">
        <v>9152</v>
      </c>
      <c r="H168" s="345">
        <v>1996</v>
      </c>
      <c r="I168" s="380">
        <v>35156</v>
      </c>
      <c r="J168" s="92"/>
      <c r="K168" s="92"/>
      <c r="L168" s="381" t="s">
        <v>15124</v>
      </c>
    </row>
    <row r="169" spans="1:12">
      <c r="A169" s="92"/>
      <c r="B169" s="345">
        <v>2254021</v>
      </c>
      <c r="C169" s="92" t="s">
        <v>15125</v>
      </c>
      <c r="D169" s="92" t="s">
        <v>15126</v>
      </c>
      <c r="E169" s="92" t="s">
        <v>15127</v>
      </c>
      <c r="F169" s="92" t="s">
        <v>4759</v>
      </c>
      <c r="G169" s="92" t="s">
        <v>11700</v>
      </c>
      <c r="H169" s="345">
        <v>1990</v>
      </c>
      <c r="I169" s="380">
        <v>33208</v>
      </c>
      <c r="J169" s="92" t="s">
        <v>4760</v>
      </c>
      <c r="K169" s="92"/>
      <c r="L169" s="381" t="s">
        <v>15128</v>
      </c>
    </row>
    <row r="170" spans="1:12">
      <c r="A170" s="92"/>
      <c r="B170" s="345">
        <v>2024815</v>
      </c>
      <c r="C170" s="92" t="s">
        <v>15129</v>
      </c>
      <c r="D170" s="92" t="s">
        <v>15130</v>
      </c>
      <c r="E170" s="92" t="s">
        <v>15131</v>
      </c>
      <c r="F170" s="92" t="s">
        <v>4269</v>
      </c>
      <c r="G170" s="92" t="s">
        <v>14635</v>
      </c>
      <c r="H170" s="345">
        <v>1991</v>
      </c>
      <c r="I170" s="380">
        <v>33359</v>
      </c>
      <c r="J170" s="92"/>
      <c r="K170" s="92"/>
      <c r="L170" s="381" t="s">
        <v>15132</v>
      </c>
    </row>
    <row r="171" spans="1:12">
      <c r="A171" s="92"/>
      <c r="B171" s="345">
        <v>9152932</v>
      </c>
      <c r="C171" s="92" t="s">
        <v>15133</v>
      </c>
      <c r="D171" s="92" t="s">
        <v>15134</v>
      </c>
      <c r="E171" s="92" t="s">
        <v>15135</v>
      </c>
      <c r="F171" s="92" t="s">
        <v>4761</v>
      </c>
      <c r="G171" s="92" t="s">
        <v>15136</v>
      </c>
      <c r="H171" s="345">
        <v>1997</v>
      </c>
      <c r="I171" s="380">
        <v>35521</v>
      </c>
      <c r="J171" s="92"/>
      <c r="K171" s="92"/>
      <c r="L171" s="381" t="s">
        <v>15137</v>
      </c>
    </row>
    <row r="172" spans="1:12">
      <c r="A172" s="92"/>
      <c r="B172" s="345">
        <v>7547435</v>
      </c>
      <c r="C172" s="92" t="s">
        <v>15138</v>
      </c>
      <c r="D172" s="92" t="s">
        <v>15139</v>
      </c>
      <c r="E172" s="92" t="s">
        <v>15140</v>
      </c>
      <c r="F172" s="92" t="s">
        <v>4762</v>
      </c>
      <c r="G172" s="92" t="s">
        <v>15141</v>
      </c>
      <c r="H172" s="345">
        <v>1995</v>
      </c>
      <c r="I172" s="380">
        <v>34912</v>
      </c>
      <c r="J172" s="435" t="s">
        <v>4763</v>
      </c>
      <c r="K172" s="425"/>
      <c r="L172" s="92"/>
    </row>
    <row r="173" spans="1:12">
      <c r="A173" s="92"/>
      <c r="B173" s="345">
        <v>8673477</v>
      </c>
      <c r="C173" s="92" t="s">
        <v>15142</v>
      </c>
      <c r="D173" s="92" t="s">
        <v>15143</v>
      </c>
      <c r="E173" s="92" t="s">
        <v>15144</v>
      </c>
      <c r="F173" s="92" t="s">
        <v>4764</v>
      </c>
      <c r="G173" s="92" t="s">
        <v>15145</v>
      </c>
      <c r="H173" s="345">
        <v>1995</v>
      </c>
      <c r="I173" s="380">
        <v>34700</v>
      </c>
      <c r="J173" s="92"/>
      <c r="K173" s="92"/>
      <c r="L173" s="381" t="s">
        <v>15146</v>
      </c>
    </row>
    <row r="174" spans="1:12">
      <c r="A174" s="92"/>
      <c r="B174" s="345">
        <v>11089992</v>
      </c>
      <c r="C174" s="92" t="s">
        <v>15147</v>
      </c>
      <c r="D174" s="92" t="s">
        <v>15148</v>
      </c>
      <c r="E174" s="92" t="s">
        <v>15149</v>
      </c>
      <c r="F174" s="92" t="s">
        <v>4766</v>
      </c>
      <c r="G174" s="92" t="s">
        <v>15012</v>
      </c>
      <c r="H174" s="345">
        <v>2000</v>
      </c>
      <c r="I174" s="380">
        <v>36853</v>
      </c>
      <c r="J174" s="92"/>
      <c r="K174" s="92"/>
      <c r="L174" s="381" t="s">
        <v>15150</v>
      </c>
    </row>
    <row r="175" spans="1:12">
      <c r="A175" s="92"/>
      <c r="B175" s="345">
        <v>7932927</v>
      </c>
      <c r="C175" s="92" t="s">
        <v>15151</v>
      </c>
      <c r="D175" s="92" t="s">
        <v>15152</v>
      </c>
      <c r="E175" s="92" t="s">
        <v>15153</v>
      </c>
      <c r="F175" s="92" t="s">
        <v>4767</v>
      </c>
      <c r="G175" s="92" t="s">
        <v>15154</v>
      </c>
      <c r="H175" s="345">
        <v>1994</v>
      </c>
      <c r="I175" s="380">
        <v>34608</v>
      </c>
      <c r="J175" s="92"/>
      <c r="K175" s="92"/>
      <c r="L175" s="92"/>
    </row>
    <row r="176" spans="1:12">
      <c r="A176" s="92"/>
      <c r="B176" s="345">
        <v>1970898</v>
      </c>
      <c r="C176" s="92" t="s">
        <v>15155</v>
      </c>
      <c r="D176" s="92" t="s">
        <v>15156</v>
      </c>
      <c r="E176" s="92" t="s">
        <v>15157</v>
      </c>
      <c r="F176" s="92" t="s">
        <v>4768</v>
      </c>
      <c r="G176" s="92" t="s">
        <v>14742</v>
      </c>
      <c r="H176" s="345">
        <v>1990</v>
      </c>
      <c r="I176" s="380">
        <v>32975</v>
      </c>
      <c r="J176" s="92"/>
      <c r="K176" s="92"/>
      <c r="L176" s="381" t="s">
        <v>15158</v>
      </c>
    </row>
    <row r="177" spans="1:12">
      <c r="A177" s="92"/>
      <c r="B177" s="345">
        <v>8392820</v>
      </c>
      <c r="C177" s="92" t="s">
        <v>15159</v>
      </c>
      <c r="D177" s="92" t="s">
        <v>15160</v>
      </c>
      <c r="E177" s="92" t="s">
        <v>15161</v>
      </c>
      <c r="F177" s="92" t="s">
        <v>1690</v>
      </c>
      <c r="G177" s="92" t="s">
        <v>15012</v>
      </c>
      <c r="H177" s="345">
        <v>1993</v>
      </c>
      <c r="I177" s="380">
        <v>34151</v>
      </c>
      <c r="J177" s="92"/>
      <c r="K177" s="92"/>
      <c r="L177" s="381" t="s">
        <v>15162</v>
      </c>
    </row>
    <row r="178" spans="1:12">
      <c r="A178" s="92"/>
      <c r="B178" s="345">
        <v>9148225</v>
      </c>
      <c r="C178" s="92" t="s">
        <v>15163</v>
      </c>
      <c r="D178" s="92" t="s">
        <v>15164</v>
      </c>
      <c r="E178" s="92" t="s">
        <v>15165</v>
      </c>
      <c r="F178" s="92" t="s">
        <v>4769</v>
      </c>
      <c r="G178" s="92" t="s">
        <v>15166</v>
      </c>
      <c r="H178" s="345">
        <v>1997</v>
      </c>
      <c r="I178" s="380">
        <v>35490</v>
      </c>
      <c r="J178" s="92"/>
      <c r="K178" s="92"/>
      <c r="L178" s="92"/>
    </row>
    <row r="179" spans="1:12">
      <c r="A179" s="92"/>
      <c r="B179" s="345">
        <v>7602326</v>
      </c>
      <c r="C179" s="92" t="s">
        <v>15167</v>
      </c>
      <c r="D179" s="92" t="s">
        <v>15168</v>
      </c>
      <c r="E179" s="92" t="s">
        <v>15169</v>
      </c>
      <c r="F179" s="92" t="s">
        <v>4770</v>
      </c>
      <c r="G179" s="92" t="s">
        <v>15170</v>
      </c>
      <c r="H179" s="345">
        <v>1995</v>
      </c>
      <c r="I179" s="380">
        <v>34881</v>
      </c>
      <c r="J179" s="92"/>
      <c r="K179" s="92"/>
      <c r="L179" s="381" t="s">
        <v>15171</v>
      </c>
    </row>
    <row r="180" spans="1:12">
      <c r="A180" s="92"/>
      <c r="B180" s="345">
        <v>10644345</v>
      </c>
      <c r="C180" s="92" t="s">
        <v>15172</v>
      </c>
      <c r="D180" s="92" t="s">
        <v>15173</v>
      </c>
      <c r="E180" s="92" t="s">
        <v>15174</v>
      </c>
      <c r="F180" s="92" t="s">
        <v>4735</v>
      </c>
      <c r="G180" s="92" t="s">
        <v>9821</v>
      </c>
      <c r="H180" s="345">
        <v>2000</v>
      </c>
      <c r="I180" s="380">
        <v>36547</v>
      </c>
      <c r="J180" s="92" t="s">
        <v>4771</v>
      </c>
      <c r="K180" s="92"/>
      <c r="L180" s="381" t="s">
        <v>15175</v>
      </c>
    </row>
    <row r="181" spans="1:12">
      <c r="A181" s="92"/>
      <c r="B181" s="345">
        <v>10782705</v>
      </c>
      <c r="C181" s="92" t="s">
        <v>15176</v>
      </c>
      <c r="D181" s="92" t="s">
        <v>15177</v>
      </c>
      <c r="E181" s="92" t="s">
        <v>15178</v>
      </c>
      <c r="F181" s="92" t="s">
        <v>4772</v>
      </c>
      <c r="G181" s="92" t="s">
        <v>15179</v>
      </c>
      <c r="H181" s="345">
        <v>2000</v>
      </c>
      <c r="I181" s="380">
        <v>36643</v>
      </c>
      <c r="J181" s="92"/>
      <c r="K181" s="92"/>
      <c r="L181" s="381" t="s">
        <v>15180</v>
      </c>
    </row>
    <row r="182" spans="1:12">
      <c r="A182" s="92"/>
      <c r="B182" s="345">
        <v>10646605</v>
      </c>
      <c r="C182" s="92" t="s">
        <v>15181</v>
      </c>
      <c r="D182" s="92" t="s">
        <v>15182</v>
      </c>
      <c r="E182" s="92" t="s">
        <v>15183</v>
      </c>
      <c r="F182" s="92" t="s">
        <v>4773</v>
      </c>
      <c r="G182" s="92" t="s">
        <v>9222</v>
      </c>
      <c r="H182" s="345">
        <v>2000</v>
      </c>
      <c r="I182" s="380">
        <v>36551</v>
      </c>
      <c r="J182" s="92"/>
      <c r="K182" s="92"/>
      <c r="L182" s="381" t="s">
        <v>15184</v>
      </c>
    </row>
    <row r="183" spans="1:12">
      <c r="A183" s="92"/>
      <c r="B183" s="345">
        <v>1720601</v>
      </c>
      <c r="C183" s="92" t="s">
        <v>15185</v>
      </c>
      <c r="D183" s="92" t="s">
        <v>15186</v>
      </c>
      <c r="E183" s="92" t="s">
        <v>15187</v>
      </c>
      <c r="F183" s="92" t="s">
        <v>4272</v>
      </c>
      <c r="G183" s="92" t="s">
        <v>14635</v>
      </c>
      <c r="H183" s="345">
        <v>1991</v>
      </c>
      <c r="I183" s="380">
        <v>33583</v>
      </c>
      <c r="J183" s="92"/>
      <c r="K183" s="92"/>
      <c r="L183" s="381" t="s">
        <v>15188</v>
      </c>
    </row>
    <row r="184" spans="1:12">
      <c r="A184" s="92"/>
      <c r="B184" s="345">
        <v>8376833</v>
      </c>
      <c r="C184" s="92" t="s">
        <v>15189</v>
      </c>
      <c r="D184" s="92" t="s">
        <v>15190</v>
      </c>
      <c r="E184" s="92" t="s">
        <v>15191</v>
      </c>
      <c r="F184" s="92" t="s">
        <v>4774</v>
      </c>
      <c r="G184" s="92" t="s">
        <v>9497</v>
      </c>
      <c r="H184" s="345">
        <v>1993</v>
      </c>
      <c r="I184" s="380">
        <v>34243</v>
      </c>
      <c r="J184" s="92"/>
      <c r="K184" s="92"/>
      <c r="L184" s="381" t="s">
        <v>15192</v>
      </c>
    </row>
    <row r="185" spans="1:12">
      <c r="A185" s="92"/>
      <c r="B185" s="345">
        <v>1760587</v>
      </c>
      <c r="C185" s="92" t="s">
        <v>15193</v>
      </c>
      <c r="D185" s="92" t="s">
        <v>15194</v>
      </c>
      <c r="E185" s="92" t="s">
        <v>15195</v>
      </c>
      <c r="F185" s="92" t="s">
        <v>4776</v>
      </c>
      <c r="G185" s="92" t="s">
        <v>15196</v>
      </c>
      <c r="H185" s="345">
        <v>1991</v>
      </c>
      <c r="I185" s="380">
        <v>33390</v>
      </c>
      <c r="J185" s="92"/>
      <c r="K185" s="92"/>
      <c r="L185" s="92"/>
    </row>
    <row r="186" spans="1:12">
      <c r="A186" s="92"/>
      <c r="B186" s="345">
        <v>12291168</v>
      </c>
      <c r="C186" s="92" t="s">
        <v>15197</v>
      </c>
      <c r="D186" s="92" t="s">
        <v>15198</v>
      </c>
      <c r="E186" s="92" t="s">
        <v>15199</v>
      </c>
      <c r="F186" s="92" t="s">
        <v>4777</v>
      </c>
      <c r="G186" s="92" t="s">
        <v>15200</v>
      </c>
      <c r="H186" s="345">
        <v>1992</v>
      </c>
      <c r="I186" s="380">
        <v>33604</v>
      </c>
      <c r="J186" s="92"/>
      <c r="K186" s="92"/>
      <c r="L186" s="381" t="s">
        <v>15201</v>
      </c>
    </row>
    <row r="187" spans="1:12">
      <c r="A187" s="92"/>
      <c r="B187" s="345">
        <v>7511715</v>
      </c>
      <c r="C187" s="92" t="s">
        <v>15202</v>
      </c>
      <c r="D187" s="92" t="s">
        <v>15203</v>
      </c>
      <c r="E187" s="92" t="s">
        <v>15204</v>
      </c>
      <c r="F187" s="92" t="s">
        <v>4594</v>
      </c>
      <c r="G187" s="92" t="s">
        <v>15205</v>
      </c>
      <c r="H187" s="345">
        <v>1994</v>
      </c>
      <c r="I187" s="380">
        <v>34394</v>
      </c>
      <c r="J187" s="92"/>
      <c r="K187" s="92"/>
      <c r="L187" s="92"/>
    </row>
    <row r="188" spans="1:12">
      <c r="A188" s="92"/>
      <c r="B188" s="345">
        <v>10817735</v>
      </c>
      <c r="C188" s="92" t="s">
        <v>15206</v>
      </c>
      <c r="D188" s="92" t="s">
        <v>15207</v>
      </c>
      <c r="E188" s="92" t="s">
        <v>15208</v>
      </c>
      <c r="F188" s="92" t="s">
        <v>2371</v>
      </c>
      <c r="G188" s="92" t="s">
        <v>8675</v>
      </c>
      <c r="H188" s="345">
        <v>2000</v>
      </c>
      <c r="I188" s="380">
        <v>36665</v>
      </c>
      <c r="J188" s="92" t="s">
        <v>4779</v>
      </c>
      <c r="K188" s="92"/>
      <c r="L188" s="381" t="s">
        <v>15209</v>
      </c>
    </row>
    <row r="189" spans="1:12">
      <c r="A189" s="92"/>
      <c r="B189" s="345">
        <v>8108468</v>
      </c>
      <c r="C189" s="92" t="s">
        <v>15210</v>
      </c>
      <c r="D189" s="92" t="s">
        <v>15211</v>
      </c>
      <c r="E189" s="92" t="s">
        <v>15212</v>
      </c>
      <c r="F189" s="92" t="s">
        <v>4780</v>
      </c>
      <c r="G189" s="92" t="s">
        <v>15213</v>
      </c>
      <c r="H189" s="345">
        <v>1994</v>
      </c>
      <c r="I189" s="380">
        <v>34366</v>
      </c>
      <c r="J189" s="92"/>
      <c r="K189" s="92"/>
      <c r="L189" s="381" t="s">
        <v>15214</v>
      </c>
    </row>
    <row r="190" spans="1:12">
      <c r="A190" s="92"/>
      <c r="B190" s="345">
        <v>2180233</v>
      </c>
      <c r="C190" s="92" t="s">
        <v>14625</v>
      </c>
      <c r="D190" s="92" t="s">
        <v>14626</v>
      </c>
      <c r="E190" s="92" t="s">
        <v>14627</v>
      </c>
      <c r="F190" s="92" t="s">
        <v>4363</v>
      </c>
      <c r="G190" s="92" t="s">
        <v>21</v>
      </c>
      <c r="H190" s="345">
        <v>1990</v>
      </c>
      <c r="I190" s="380">
        <v>32905</v>
      </c>
      <c r="J190" s="92"/>
      <c r="K190" s="92"/>
      <c r="L190" s="381" t="s">
        <v>14628</v>
      </c>
    </row>
    <row r="191" spans="1:12">
      <c r="A191" s="92"/>
      <c r="B191" s="345">
        <v>8182510</v>
      </c>
      <c r="C191" s="92" t="s">
        <v>15215</v>
      </c>
      <c r="D191" s="92" t="s">
        <v>15216</v>
      </c>
      <c r="E191" s="92" t="s">
        <v>15217</v>
      </c>
      <c r="F191" s="92" t="s">
        <v>4782</v>
      </c>
      <c r="G191" s="92" t="s">
        <v>15218</v>
      </c>
      <c r="H191" s="345">
        <v>1994</v>
      </c>
      <c r="I191" s="380">
        <v>34335</v>
      </c>
      <c r="J191" s="92"/>
      <c r="K191" s="92"/>
      <c r="L191" s="92"/>
    </row>
    <row r="192" spans="1:12">
      <c r="A192" s="92"/>
      <c r="B192" s="345">
        <v>2162116</v>
      </c>
      <c r="C192" s="92" t="s">
        <v>14489</v>
      </c>
      <c r="D192" s="92" t="s">
        <v>14490</v>
      </c>
      <c r="E192" s="92" t="s">
        <v>14491</v>
      </c>
      <c r="F192" s="92" t="s">
        <v>4344</v>
      </c>
      <c r="G192" s="92" t="s">
        <v>9205</v>
      </c>
      <c r="H192" s="345">
        <v>1990</v>
      </c>
      <c r="I192" s="380">
        <v>33055</v>
      </c>
      <c r="J192" s="92"/>
      <c r="K192" s="92"/>
      <c r="L192" s="381" t="s">
        <v>14492</v>
      </c>
    </row>
    <row r="193" spans="1:12">
      <c r="A193" s="92"/>
      <c r="B193" s="345">
        <v>9086149</v>
      </c>
      <c r="C193" s="92" t="s">
        <v>15219</v>
      </c>
      <c r="D193" s="92" t="s">
        <v>15220</v>
      </c>
      <c r="E193" s="92" t="s">
        <v>15221</v>
      </c>
      <c r="F193" s="92" t="s">
        <v>4278</v>
      </c>
      <c r="G193" s="92" t="s">
        <v>9497</v>
      </c>
      <c r="H193" s="345">
        <v>1997</v>
      </c>
      <c r="I193" s="380">
        <v>35521</v>
      </c>
      <c r="J193" s="92"/>
      <c r="K193" s="92"/>
      <c r="L193" s="381" t="s">
        <v>15222</v>
      </c>
    </row>
    <row r="194" spans="1:12">
      <c r="A194" s="92"/>
      <c r="B194" s="345">
        <v>9249703</v>
      </c>
      <c r="C194" s="92" t="s">
        <v>15223</v>
      </c>
      <c r="D194" s="92" t="s">
        <v>15224</v>
      </c>
      <c r="E194" s="92" t="s">
        <v>15225</v>
      </c>
      <c r="F194" s="92" t="s">
        <v>4783</v>
      </c>
      <c r="G194" s="92" t="s">
        <v>14930</v>
      </c>
      <c r="H194" s="345">
        <v>1997</v>
      </c>
      <c r="I194" s="380">
        <v>35612</v>
      </c>
      <c r="J194" s="92"/>
      <c r="K194" s="92"/>
      <c r="L194" s="381" t="s">
        <v>15226</v>
      </c>
    </row>
    <row r="195" spans="1:12">
      <c r="A195" s="92"/>
      <c r="B195" s="345">
        <v>8856377</v>
      </c>
      <c r="C195" s="92" t="s">
        <v>15227</v>
      </c>
      <c r="D195" s="92" t="s">
        <v>15228</v>
      </c>
      <c r="E195" s="92" t="s">
        <v>15229</v>
      </c>
      <c r="F195" s="92" t="s">
        <v>4351</v>
      </c>
      <c r="G195" s="92" t="s">
        <v>15230</v>
      </c>
      <c r="H195" s="345">
        <v>1996</v>
      </c>
      <c r="I195" s="380">
        <v>35217</v>
      </c>
      <c r="J195" s="92"/>
      <c r="K195" s="92"/>
      <c r="L195" s="381" t="s">
        <v>15231</v>
      </c>
    </row>
    <row r="196" spans="1:12">
      <c r="A196" s="92"/>
      <c r="B196" s="345">
        <v>7922444</v>
      </c>
      <c r="C196" s="92" t="s">
        <v>15232</v>
      </c>
      <c r="D196" s="92" t="s">
        <v>15233</v>
      </c>
      <c r="E196" s="92" t="s">
        <v>15234</v>
      </c>
      <c r="F196" s="92" t="s">
        <v>4784</v>
      </c>
      <c r="G196" s="92" t="s">
        <v>15037</v>
      </c>
      <c r="H196" s="345">
        <v>1994</v>
      </c>
      <c r="I196" s="380">
        <v>34455</v>
      </c>
      <c r="J196" s="92"/>
      <c r="K196" s="92"/>
      <c r="L196" s="92"/>
    </row>
    <row r="197" spans="1:12">
      <c r="A197" s="92"/>
      <c r="B197" s="345">
        <v>10605976</v>
      </c>
      <c r="C197" s="92" t="s">
        <v>15235</v>
      </c>
      <c r="D197" s="92" t="s">
        <v>15236</v>
      </c>
      <c r="E197" s="92" t="s">
        <v>15237</v>
      </c>
      <c r="F197" s="92" t="s">
        <v>4367</v>
      </c>
      <c r="G197" s="92" t="s">
        <v>8580</v>
      </c>
      <c r="H197" s="345">
        <v>1999</v>
      </c>
      <c r="I197" s="380">
        <v>36516</v>
      </c>
      <c r="J197" s="92"/>
      <c r="K197" s="92"/>
      <c r="L197" s="381" t="s">
        <v>15238</v>
      </c>
    </row>
    <row r="198" spans="1:12">
      <c r="A198" s="92"/>
      <c r="B198" s="345">
        <v>7831815</v>
      </c>
      <c r="C198" s="92" t="s">
        <v>15239</v>
      </c>
      <c r="D198" s="92" t="s">
        <v>15240</v>
      </c>
      <c r="E198" s="92" t="s">
        <v>15241</v>
      </c>
      <c r="F198" s="92" t="s">
        <v>4785</v>
      </c>
      <c r="G198" s="92" t="s">
        <v>9205</v>
      </c>
      <c r="H198" s="345">
        <v>1995</v>
      </c>
      <c r="I198" s="380">
        <v>34709</v>
      </c>
      <c r="J198" s="92"/>
      <c r="K198" s="92"/>
      <c r="L198" s="381" t="s">
        <v>15242</v>
      </c>
    </row>
    <row r="199" spans="1:12">
      <c r="A199" s="92"/>
      <c r="B199" s="345">
        <v>9191677</v>
      </c>
      <c r="C199" s="92" t="s">
        <v>15243</v>
      </c>
      <c r="D199" s="92" t="s">
        <v>15244</v>
      </c>
      <c r="E199" s="92" t="s">
        <v>15245</v>
      </c>
      <c r="F199" s="92" t="s">
        <v>4787</v>
      </c>
      <c r="G199" s="92" t="s">
        <v>15246</v>
      </c>
      <c r="H199" s="345">
        <v>1997</v>
      </c>
      <c r="I199" s="380">
        <v>35551</v>
      </c>
      <c r="J199" s="92"/>
      <c r="K199" s="92"/>
      <c r="L199" s="381" t="s">
        <v>15247</v>
      </c>
    </row>
    <row r="200" spans="1:12">
      <c r="A200" s="92"/>
      <c r="B200" s="345">
        <v>9916552</v>
      </c>
      <c r="C200" s="92" t="s">
        <v>15248</v>
      </c>
      <c r="D200" s="92" t="s">
        <v>15249</v>
      </c>
      <c r="E200" s="92" t="s">
        <v>15250</v>
      </c>
      <c r="F200" s="92" t="s">
        <v>4789</v>
      </c>
      <c r="G200" s="92" t="s">
        <v>15251</v>
      </c>
      <c r="H200" s="345">
        <v>1998</v>
      </c>
      <c r="I200" s="380">
        <v>36183</v>
      </c>
      <c r="J200" s="92"/>
      <c r="K200" s="92"/>
      <c r="L200" s="381" t="s">
        <v>15252</v>
      </c>
    </row>
    <row r="201" spans="1:12">
      <c r="A201" s="92"/>
      <c r="B201" s="345">
        <v>1402032</v>
      </c>
      <c r="C201" s="92" t="s">
        <v>15253</v>
      </c>
      <c r="D201" s="92" t="s">
        <v>15254</v>
      </c>
      <c r="E201" s="92" t="s">
        <v>15255</v>
      </c>
      <c r="F201" s="92" t="s">
        <v>2021</v>
      </c>
      <c r="G201" s="92" t="s">
        <v>9497</v>
      </c>
      <c r="H201" s="345">
        <v>1992</v>
      </c>
      <c r="I201" s="380">
        <v>33909</v>
      </c>
      <c r="J201" s="92"/>
      <c r="K201" s="92"/>
      <c r="L201" s="381" t="s">
        <v>15256</v>
      </c>
    </row>
    <row r="202" spans="1:12">
      <c r="A202" s="92"/>
      <c r="B202" s="345">
        <v>9854744</v>
      </c>
      <c r="C202" s="92" t="s">
        <v>15257</v>
      </c>
      <c r="D202" s="92" t="s">
        <v>15258</v>
      </c>
      <c r="E202" s="92" t="s">
        <v>15259</v>
      </c>
      <c r="F202" s="92" t="s">
        <v>4790</v>
      </c>
      <c r="G202" s="92" t="s">
        <v>15260</v>
      </c>
      <c r="H202" s="345">
        <v>1998</v>
      </c>
      <c r="I202" s="380">
        <v>36146</v>
      </c>
      <c r="J202" s="435" t="s">
        <v>4791</v>
      </c>
      <c r="K202" s="425"/>
      <c r="L202" s="381" t="s">
        <v>15261</v>
      </c>
    </row>
    <row r="203" spans="1:12">
      <c r="A203" s="92"/>
      <c r="B203" s="345">
        <v>1328679</v>
      </c>
      <c r="C203" s="92" t="s">
        <v>15262</v>
      </c>
      <c r="D203" s="92" t="s">
        <v>15263</v>
      </c>
      <c r="E203" s="92" t="s">
        <v>15264</v>
      </c>
      <c r="F203" s="92" t="s">
        <v>4793</v>
      </c>
      <c r="G203" s="92" t="s">
        <v>9821</v>
      </c>
      <c r="H203" s="345">
        <v>1992</v>
      </c>
      <c r="I203" s="380">
        <v>33909</v>
      </c>
      <c r="J203" s="92" t="s">
        <v>4794</v>
      </c>
      <c r="K203" s="92"/>
      <c r="L203" s="381" t="s">
        <v>15265</v>
      </c>
    </row>
    <row r="204" spans="1:12">
      <c r="A204" s="92"/>
      <c r="B204" s="345">
        <v>10823852</v>
      </c>
      <c r="C204" s="92" t="s">
        <v>15266</v>
      </c>
      <c r="D204" s="92" t="s">
        <v>15267</v>
      </c>
      <c r="E204" s="92" t="s">
        <v>15268</v>
      </c>
      <c r="F204" s="92" t="s">
        <v>4796</v>
      </c>
      <c r="G204" s="92" t="s">
        <v>9821</v>
      </c>
      <c r="H204" s="345">
        <v>2000</v>
      </c>
      <c r="I204" s="380">
        <v>36670</v>
      </c>
      <c r="J204" s="92" t="s">
        <v>4797</v>
      </c>
      <c r="K204" s="92"/>
      <c r="L204" s="381" t="s">
        <v>15269</v>
      </c>
    </row>
    <row r="205" spans="1:12">
      <c r="A205" s="92"/>
      <c r="B205" s="345">
        <v>10589798</v>
      </c>
      <c r="C205" s="92" t="s">
        <v>15270</v>
      </c>
      <c r="D205" s="92" t="s">
        <v>15271</v>
      </c>
      <c r="E205" s="92" t="s">
        <v>15272</v>
      </c>
      <c r="F205" s="92" t="s">
        <v>4798</v>
      </c>
      <c r="G205" s="92" t="s">
        <v>15273</v>
      </c>
      <c r="H205" s="345">
        <v>1999</v>
      </c>
      <c r="I205" s="380">
        <v>36504</v>
      </c>
      <c r="J205" s="92"/>
      <c r="K205" s="92"/>
      <c r="L205" s="381" t="s">
        <v>15274</v>
      </c>
    </row>
    <row r="206" spans="1:12">
      <c r="A206" s="92"/>
      <c r="B206" s="345">
        <v>11190066</v>
      </c>
      <c r="C206" s="92" t="s">
        <v>15275</v>
      </c>
      <c r="D206" s="92" t="s">
        <v>15276</v>
      </c>
      <c r="E206" s="92" t="s">
        <v>15277</v>
      </c>
      <c r="F206" s="92" t="s">
        <v>4799</v>
      </c>
      <c r="G206" s="92" t="s">
        <v>15278</v>
      </c>
      <c r="H206" s="345">
        <v>2000</v>
      </c>
      <c r="I206" s="380">
        <v>36946</v>
      </c>
      <c r="J206" s="92"/>
      <c r="K206" s="92"/>
      <c r="L206" s="381" t="s">
        <v>15279</v>
      </c>
    </row>
    <row r="207" spans="1:12">
      <c r="A207" s="92"/>
      <c r="B207" s="345">
        <v>10781777</v>
      </c>
      <c r="C207" s="92" t="s">
        <v>15280</v>
      </c>
      <c r="D207" s="92" t="s">
        <v>15281</v>
      </c>
      <c r="E207" s="92" t="s">
        <v>15282</v>
      </c>
      <c r="F207" s="92" t="s">
        <v>4255</v>
      </c>
      <c r="G207" s="92" t="s">
        <v>9241</v>
      </c>
      <c r="H207" s="345">
        <v>2000</v>
      </c>
      <c r="I207" s="380">
        <v>36643</v>
      </c>
      <c r="J207" s="92"/>
      <c r="K207" s="92"/>
      <c r="L207" s="381" t="s">
        <v>15283</v>
      </c>
    </row>
    <row r="208" spans="1:12">
      <c r="A208" s="92"/>
      <c r="B208" s="345">
        <v>8940342</v>
      </c>
      <c r="C208" s="92" t="s">
        <v>15284</v>
      </c>
      <c r="D208" s="92" t="s">
        <v>15285</v>
      </c>
      <c r="E208" s="92" t="s">
        <v>15286</v>
      </c>
      <c r="F208" s="92" t="s">
        <v>4800</v>
      </c>
      <c r="G208" s="92" t="s">
        <v>14640</v>
      </c>
      <c r="H208" s="345">
        <v>1996</v>
      </c>
      <c r="I208" s="380">
        <v>35400</v>
      </c>
      <c r="J208" s="92"/>
      <c r="K208" s="92"/>
      <c r="L208" s="381" t="s">
        <v>15287</v>
      </c>
    </row>
    <row r="209" spans="1:12">
      <c r="A209" s="92"/>
      <c r="B209" s="345">
        <v>9140895</v>
      </c>
      <c r="C209" s="92" t="s">
        <v>15288</v>
      </c>
      <c r="D209" s="92" t="s">
        <v>15289</v>
      </c>
      <c r="E209" s="92" t="s">
        <v>15290</v>
      </c>
      <c r="F209" s="92" t="s">
        <v>2463</v>
      </c>
      <c r="G209" s="92" t="s">
        <v>15291</v>
      </c>
      <c r="H209" s="345">
        <v>1997</v>
      </c>
      <c r="I209" s="380">
        <v>35551</v>
      </c>
      <c r="J209" s="92"/>
      <c r="K209" s="92"/>
      <c r="L209" s="381" t="s">
        <v>15292</v>
      </c>
    </row>
    <row r="210" spans="1:12">
      <c r="A210" s="92"/>
      <c r="B210" s="345">
        <v>11130213</v>
      </c>
      <c r="C210" s="92" t="s">
        <v>15293</v>
      </c>
      <c r="D210" s="92" t="s">
        <v>15294</v>
      </c>
      <c r="E210" s="92" t="s">
        <v>15295</v>
      </c>
      <c r="F210" s="92" t="s">
        <v>4371</v>
      </c>
      <c r="G210" s="92" t="s">
        <v>8670</v>
      </c>
      <c r="H210" s="345">
        <v>2000</v>
      </c>
      <c r="I210" s="380">
        <v>36889</v>
      </c>
      <c r="J210" s="92"/>
      <c r="K210" s="92"/>
      <c r="L210" s="381" t="s">
        <v>15296</v>
      </c>
    </row>
    <row r="211" spans="1:12">
      <c r="A211" s="92"/>
      <c r="B211" s="345">
        <v>10532139</v>
      </c>
      <c r="C211" s="92" t="s">
        <v>15297</v>
      </c>
      <c r="D211" s="92" t="s">
        <v>15298</v>
      </c>
      <c r="E211" s="92" t="s">
        <v>15299</v>
      </c>
      <c r="F211" s="92" t="s">
        <v>4802</v>
      </c>
      <c r="G211" s="92" t="s">
        <v>15300</v>
      </c>
      <c r="H211" s="345">
        <v>1999</v>
      </c>
      <c r="I211" s="380">
        <v>36459</v>
      </c>
      <c r="J211" s="92"/>
      <c r="K211" s="92"/>
      <c r="L211" s="92"/>
    </row>
    <row r="212" spans="1:12">
      <c r="A212" s="92"/>
      <c r="B212" s="345">
        <v>10608746</v>
      </c>
      <c r="C212" s="92" t="s">
        <v>15301</v>
      </c>
      <c r="D212" s="92" t="s">
        <v>15302</v>
      </c>
      <c r="E212" s="92" t="s">
        <v>15303</v>
      </c>
      <c r="F212" s="92" t="s">
        <v>2213</v>
      </c>
      <c r="G212" s="92" t="s">
        <v>9497</v>
      </c>
      <c r="H212" s="345">
        <v>2000</v>
      </c>
      <c r="I212" s="380">
        <v>36517</v>
      </c>
      <c r="J212" s="92"/>
      <c r="K212" s="92"/>
      <c r="L212" s="381" t="s">
        <v>15304</v>
      </c>
    </row>
    <row r="213" spans="1:12">
      <c r="A213" s="92"/>
      <c r="B213" s="345">
        <v>8591744</v>
      </c>
      <c r="C213" s="92" t="s">
        <v>15305</v>
      </c>
      <c r="D213" s="92" t="s">
        <v>15306</v>
      </c>
      <c r="E213" s="92" t="s">
        <v>15307</v>
      </c>
      <c r="F213" s="92" t="s">
        <v>4803</v>
      </c>
      <c r="G213" s="92" t="s">
        <v>15308</v>
      </c>
      <c r="H213" s="345">
        <v>1995</v>
      </c>
      <c r="I213" s="380">
        <v>35034</v>
      </c>
      <c r="J213" s="92"/>
      <c r="K213" s="92"/>
      <c r="L213" s="92"/>
    </row>
    <row r="214" spans="1:12">
      <c r="A214" s="92"/>
      <c r="B214" s="345">
        <v>10390212</v>
      </c>
      <c r="C214" s="92" t="s">
        <v>15309</v>
      </c>
      <c r="D214" s="92" t="s">
        <v>15310</v>
      </c>
      <c r="E214" s="92" t="s">
        <v>15311</v>
      </c>
      <c r="F214" s="92" t="s">
        <v>4271</v>
      </c>
      <c r="G214" s="92" t="s">
        <v>8675</v>
      </c>
      <c r="H214" s="345">
        <v>1999</v>
      </c>
      <c r="I214" s="380">
        <v>36343</v>
      </c>
      <c r="J214" s="92" t="s">
        <v>4805</v>
      </c>
      <c r="K214" s="92"/>
      <c r="L214" s="381" t="s">
        <v>15312</v>
      </c>
    </row>
    <row r="215" spans="1:12">
      <c r="A215" s="92"/>
      <c r="B215" s="345">
        <v>8046681</v>
      </c>
      <c r="C215" s="92" t="s">
        <v>15313</v>
      </c>
      <c r="D215" s="92" t="s">
        <v>15314</v>
      </c>
      <c r="E215" s="92" t="s">
        <v>15315</v>
      </c>
      <c r="F215" s="92" t="s">
        <v>4806</v>
      </c>
      <c r="G215" s="92" t="s">
        <v>15316</v>
      </c>
      <c r="H215" s="345">
        <v>1994</v>
      </c>
      <c r="I215" s="380">
        <v>34394</v>
      </c>
      <c r="J215" s="92"/>
      <c r="K215" s="92"/>
      <c r="L215" s="381" t="s">
        <v>15317</v>
      </c>
    </row>
    <row r="216" spans="1:12">
      <c r="A216" s="92"/>
      <c r="B216" s="345">
        <v>11175325</v>
      </c>
      <c r="C216" s="92" t="s">
        <v>15318</v>
      </c>
      <c r="D216" s="92" t="s">
        <v>15319</v>
      </c>
      <c r="E216" s="92" t="s">
        <v>15320</v>
      </c>
      <c r="F216" s="92" t="s">
        <v>4807</v>
      </c>
      <c r="G216" s="92" t="s">
        <v>15321</v>
      </c>
      <c r="H216" s="345">
        <v>2000</v>
      </c>
      <c r="I216" s="380">
        <v>36937</v>
      </c>
      <c r="J216" s="92"/>
      <c r="K216" s="92"/>
      <c r="L216" s="381" t="s">
        <v>15322</v>
      </c>
    </row>
    <row r="217" spans="1:12">
      <c r="A217" s="92"/>
      <c r="B217" s="345">
        <v>8874304</v>
      </c>
      <c r="C217" s="92" t="s">
        <v>15323</v>
      </c>
      <c r="D217" s="92" t="s">
        <v>15324</v>
      </c>
      <c r="E217" s="92" t="s">
        <v>15325</v>
      </c>
      <c r="F217" s="92" t="s">
        <v>4808</v>
      </c>
      <c r="G217" s="92" t="s">
        <v>8504</v>
      </c>
      <c r="H217" s="345">
        <v>1996</v>
      </c>
      <c r="I217" s="380">
        <v>35339</v>
      </c>
      <c r="J217" s="92"/>
      <c r="K217" s="92"/>
      <c r="L217" s="381" t="s">
        <v>15326</v>
      </c>
    </row>
    <row r="218" spans="1:12">
      <c r="A218" s="92"/>
      <c r="B218" s="345">
        <v>10204970</v>
      </c>
      <c r="C218" s="92" t="s">
        <v>15327</v>
      </c>
      <c r="D218" s="92" t="s">
        <v>15328</v>
      </c>
      <c r="E218" s="92" t="s">
        <v>15329</v>
      </c>
      <c r="F218" s="92" t="s">
        <v>1609</v>
      </c>
      <c r="G218" s="92" t="s">
        <v>15330</v>
      </c>
      <c r="H218" s="345">
        <v>1999</v>
      </c>
      <c r="I218" s="380">
        <v>36266</v>
      </c>
      <c r="J218" s="92"/>
      <c r="K218" s="92"/>
      <c r="L218" s="381" t="s">
        <v>15331</v>
      </c>
    </row>
    <row r="219" spans="1:12">
      <c r="A219" s="92"/>
      <c r="B219" s="345">
        <v>1885946</v>
      </c>
      <c r="C219" s="92" t="s">
        <v>15332</v>
      </c>
      <c r="D219" s="92" t="s">
        <v>15333</v>
      </c>
      <c r="E219" s="92" t="s">
        <v>15334</v>
      </c>
      <c r="F219" s="92" t="s">
        <v>4809</v>
      </c>
      <c r="G219" s="92" t="s">
        <v>14476</v>
      </c>
      <c r="H219" s="345">
        <v>1991</v>
      </c>
      <c r="I219" s="380">
        <v>33359</v>
      </c>
      <c r="J219" s="92"/>
      <c r="K219" s="92"/>
      <c r="L219" s="381" t="s">
        <v>15335</v>
      </c>
    </row>
    <row r="220" spans="1:12">
      <c r="A220" s="92"/>
      <c r="B220" s="345">
        <v>10850525</v>
      </c>
      <c r="C220" s="92" t="s">
        <v>15336</v>
      </c>
      <c r="D220" s="92" t="s">
        <v>15337</v>
      </c>
      <c r="E220" s="92" t="s">
        <v>15338</v>
      </c>
      <c r="F220" s="92" t="s">
        <v>4810</v>
      </c>
      <c r="G220" s="92" t="s">
        <v>8670</v>
      </c>
      <c r="H220" s="345">
        <v>2000</v>
      </c>
      <c r="I220" s="380">
        <v>36690</v>
      </c>
      <c r="J220" s="92"/>
      <c r="K220" s="92"/>
      <c r="L220" s="381" t="s">
        <v>15339</v>
      </c>
    </row>
    <row r="221" spans="1:12">
      <c r="A221" s="92"/>
      <c r="B221" s="345">
        <v>2295861</v>
      </c>
      <c r="C221" s="92" t="s">
        <v>15340</v>
      </c>
      <c r="D221" s="92" t="s">
        <v>15341</v>
      </c>
      <c r="E221" s="92" t="s">
        <v>15342</v>
      </c>
      <c r="F221" s="92" t="s">
        <v>1538</v>
      </c>
      <c r="G221" s="92" t="s">
        <v>9497</v>
      </c>
      <c r="H221" s="345">
        <v>1990</v>
      </c>
      <c r="I221" s="380">
        <v>32874</v>
      </c>
      <c r="J221" s="92"/>
      <c r="K221" s="92"/>
      <c r="L221" s="381" t="s">
        <v>15343</v>
      </c>
    </row>
    <row r="222" spans="1:12">
      <c r="A222" s="92"/>
      <c r="B222" s="345">
        <v>9565411</v>
      </c>
      <c r="C222" s="92" t="s">
        <v>15344</v>
      </c>
      <c r="D222" s="92" t="s">
        <v>15345</v>
      </c>
      <c r="E222" s="92" t="s">
        <v>15346</v>
      </c>
      <c r="F222" s="92" t="s">
        <v>4812</v>
      </c>
      <c r="G222" s="92" t="s">
        <v>8636</v>
      </c>
      <c r="H222" s="345">
        <v>1998</v>
      </c>
      <c r="I222" s="380">
        <v>35938</v>
      </c>
      <c r="J222" s="92"/>
      <c r="K222" s="92"/>
      <c r="L222" s="381" t="s">
        <v>15347</v>
      </c>
    </row>
    <row r="223" spans="1:12">
      <c r="A223" s="92"/>
      <c r="B223" s="345">
        <v>9544412</v>
      </c>
      <c r="C223" s="92" t="s">
        <v>15348</v>
      </c>
      <c r="D223" s="92" t="s">
        <v>15349</v>
      </c>
      <c r="E223" s="92" t="s">
        <v>15350</v>
      </c>
      <c r="F223" s="92" t="s">
        <v>4813</v>
      </c>
      <c r="G223" s="92" t="s">
        <v>15351</v>
      </c>
      <c r="H223" s="345">
        <v>1998</v>
      </c>
      <c r="I223" s="380">
        <v>35902</v>
      </c>
      <c r="J223" s="92"/>
      <c r="K223" s="92"/>
      <c r="L223" s="381" t="s">
        <v>15352</v>
      </c>
    </row>
    <row r="224" spans="1:12">
      <c r="A224" s="92"/>
      <c r="B224" s="345">
        <v>9368986</v>
      </c>
      <c r="C224" s="92" t="s">
        <v>15353</v>
      </c>
      <c r="D224" s="92" t="s">
        <v>15354</v>
      </c>
      <c r="E224" s="92" t="s">
        <v>15355</v>
      </c>
      <c r="F224" s="92" t="s">
        <v>4814</v>
      </c>
      <c r="G224" s="92" t="s">
        <v>15356</v>
      </c>
      <c r="H224" s="345">
        <v>1997</v>
      </c>
      <c r="I224" s="380">
        <v>35756</v>
      </c>
      <c r="J224" s="92"/>
      <c r="K224" s="92"/>
      <c r="L224" s="92"/>
    </row>
    <row r="225" spans="1:12">
      <c r="A225" s="92"/>
      <c r="B225" s="345">
        <v>10353352</v>
      </c>
      <c r="C225" s="92" t="s">
        <v>15357</v>
      </c>
      <c r="D225" s="92" t="s">
        <v>15358</v>
      </c>
      <c r="E225" s="92" t="s">
        <v>15359</v>
      </c>
      <c r="F225" s="92" t="s">
        <v>4815</v>
      </c>
      <c r="G225" s="92" t="s">
        <v>15360</v>
      </c>
      <c r="H225" s="345">
        <v>1999</v>
      </c>
      <c r="I225" s="380">
        <v>36314</v>
      </c>
      <c r="J225" s="92"/>
      <c r="K225" s="92"/>
      <c r="L225" s="381" t="s">
        <v>15361</v>
      </c>
    </row>
    <row r="226" spans="1:12">
      <c r="A226" s="92"/>
      <c r="B226" s="345">
        <v>8433327</v>
      </c>
      <c r="C226" s="92" t="s">
        <v>15362</v>
      </c>
      <c r="D226" s="92" t="s">
        <v>15363</v>
      </c>
      <c r="E226" s="92" t="s">
        <v>15364</v>
      </c>
      <c r="F226" s="92" t="s">
        <v>4816</v>
      </c>
      <c r="G226" s="92" t="s">
        <v>15365</v>
      </c>
      <c r="H226" s="345">
        <v>1993</v>
      </c>
      <c r="I226" s="380">
        <v>33970</v>
      </c>
      <c r="J226" s="92"/>
      <c r="K226" s="92"/>
      <c r="L226" s="381" t="s">
        <v>15366</v>
      </c>
    </row>
    <row r="227" spans="1:12">
      <c r="A227" s="92"/>
      <c r="B227" s="345">
        <v>2324538</v>
      </c>
      <c r="C227" s="92" t="s">
        <v>14558</v>
      </c>
      <c r="D227" s="92" t="s">
        <v>14559</v>
      </c>
      <c r="E227" s="92" t="s">
        <v>14560</v>
      </c>
      <c r="F227" s="92" t="s">
        <v>1557</v>
      </c>
      <c r="G227" s="92" t="s">
        <v>9497</v>
      </c>
      <c r="H227" s="345">
        <v>1990</v>
      </c>
      <c r="I227" s="380">
        <v>32994</v>
      </c>
      <c r="J227" s="92"/>
      <c r="K227" s="92"/>
      <c r="L227" s="381" t="s">
        <v>14561</v>
      </c>
    </row>
    <row r="228" spans="1:12">
      <c r="A228" s="92"/>
      <c r="B228" s="345">
        <v>9624644</v>
      </c>
      <c r="C228" s="92" t="s">
        <v>15367</v>
      </c>
      <c r="D228" s="92" t="s">
        <v>15368</v>
      </c>
      <c r="E228" s="92" t="s">
        <v>15369</v>
      </c>
      <c r="F228" s="92" t="s">
        <v>4817</v>
      </c>
      <c r="G228" s="92" t="s">
        <v>15291</v>
      </c>
      <c r="H228" s="345">
        <v>1998</v>
      </c>
      <c r="I228" s="380">
        <v>35959</v>
      </c>
      <c r="J228" s="92"/>
      <c r="K228" s="92"/>
      <c r="L228" s="381" t="s">
        <v>15370</v>
      </c>
    </row>
    <row r="229" spans="1:12">
      <c r="A229" s="92"/>
      <c r="B229" s="345">
        <v>1503435</v>
      </c>
      <c r="C229" s="92" t="s">
        <v>15371</v>
      </c>
      <c r="D229" s="92" t="s">
        <v>15372</v>
      </c>
      <c r="E229" s="92" t="s">
        <v>15373</v>
      </c>
      <c r="F229" s="92" t="s">
        <v>1835</v>
      </c>
      <c r="G229" s="92" t="s">
        <v>8675</v>
      </c>
      <c r="H229" s="345">
        <v>1992</v>
      </c>
      <c r="I229" s="380">
        <v>33695</v>
      </c>
      <c r="J229" s="92" t="s">
        <v>4818</v>
      </c>
      <c r="K229" s="92"/>
      <c r="L229" s="381" t="s">
        <v>15374</v>
      </c>
    </row>
    <row r="230" spans="1:12">
      <c r="A230" s="92"/>
      <c r="B230" s="345">
        <v>9525585</v>
      </c>
      <c r="C230" s="92" t="s">
        <v>15375</v>
      </c>
      <c r="D230" s="92" t="s">
        <v>15376</v>
      </c>
      <c r="E230" s="92" t="s">
        <v>15377</v>
      </c>
      <c r="F230" s="92" t="s">
        <v>4819</v>
      </c>
      <c r="G230" s="92" t="s">
        <v>9821</v>
      </c>
      <c r="H230" s="345">
        <v>1998</v>
      </c>
      <c r="I230" s="380">
        <v>35888</v>
      </c>
      <c r="J230" s="92" t="s">
        <v>4820</v>
      </c>
      <c r="K230" s="92"/>
      <c r="L230" s="381" t="s">
        <v>15378</v>
      </c>
    </row>
    <row r="231" spans="1:12">
      <c r="A231" s="92"/>
      <c r="B231" s="345">
        <v>10555416</v>
      </c>
      <c r="C231" s="92" t="s">
        <v>15379</v>
      </c>
      <c r="D231" s="92" t="s">
        <v>15380</v>
      </c>
      <c r="E231" s="92" t="s">
        <v>15381</v>
      </c>
      <c r="F231" s="92" t="s">
        <v>4821</v>
      </c>
      <c r="G231" s="92" t="s">
        <v>15382</v>
      </c>
      <c r="H231" s="345">
        <v>1999</v>
      </c>
      <c r="I231" s="380">
        <v>36475</v>
      </c>
      <c r="J231" s="92"/>
      <c r="K231" s="92"/>
      <c r="L231" s="92"/>
    </row>
    <row r="232" spans="1:12">
      <c r="A232" s="92"/>
      <c r="B232" s="345">
        <v>10459535</v>
      </c>
      <c r="C232" s="92" t="s">
        <v>15383</v>
      </c>
      <c r="D232" s="92" t="s">
        <v>15384</v>
      </c>
      <c r="E232" s="92" t="s">
        <v>15385</v>
      </c>
      <c r="F232" s="92" t="s">
        <v>4822</v>
      </c>
      <c r="G232" s="92" t="s">
        <v>8712</v>
      </c>
      <c r="H232" s="345">
        <v>1999</v>
      </c>
      <c r="I232" s="380">
        <v>36397</v>
      </c>
      <c r="J232" s="92"/>
      <c r="K232" s="92"/>
      <c r="L232" s="381" t="s">
        <v>15386</v>
      </c>
    </row>
    <row r="233" spans="1:12">
      <c r="A233" s="92"/>
      <c r="B233" s="345">
        <v>10194165</v>
      </c>
      <c r="C233" s="92" t="s">
        <v>15387</v>
      </c>
      <c r="D233" s="92" t="s">
        <v>15388</v>
      </c>
      <c r="E233" s="92" t="s">
        <v>15389</v>
      </c>
      <c r="F233" s="92" t="s">
        <v>4823</v>
      </c>
      <c r="G233" s="92" t="s">
        <v>8524</v>
      </c>
      <c r="H233" s="345">
        <v>1999</v>
      </c>
      <c r="I233" s="380">
        <v>36258</v>
      </c>
      <c r="J233" s="92"/>
      <c r="K233" s="92"/>
      <c r="L233" s="381" t="s">
        <v>15390</v>
      </c>
    </row>
    <row r="234" spans="1:12">
      <c r="A234" s="92"/>
      <c r="B234" s="345">
        <v>10404908</v>
      </c>
      <c r="C234" s="92" t="s">
        <v>15391</v>
      </c>
      <c r="D234" s="92" t="s">
        <v>15392</v>
      </c>
      <c r="E234" s="92" t="s">
        <v>15393</v>
      </c>
      <c r="F234" s="92" t="s">
        <v>4357</v>
      </c>
      <c r="G234" s="92" t="s">
        <v>8580</v>
      </c>
      <c r="H234" s="345">
        <v>1999</v>
      </c>
      <c r="I234" s="380">
        <v>36356</v>
      </c>
      <c r="J234" s="92"/>
      <c r="K234" s="92"/>
      <c r="L234" s="381" t="s">
        <v>15394</v>
      </c>
    </row>
    <row r="235" spans="1:12">
      <c r="A235" s="92"/>
      <c r="B235" s="345">
        <v>9266632</v>
      </c>
      <c r="C235" s="92" t="s">
        <v>15395</v>
      </c>
      <c r="D235" s="92" t="s">
        <v>15396</v>
      </c>
      <c r="E235" s="92" t="s">
        <v>15397</v>
      </c>
      <c r="F235" s="92" t="s">
        <v>4825</v>
      </c>
      <c r="G235" s="92" t="s">
        <v>14538</v>
      </c>
      <c r="H235" s="345">
        <v>1997</v>
      </c>
      <c r="I235" s="380">
        <v>35431</v>
      </c>
      <c r="J235" s="92"/>
      <c r="K235" s="92"/>
      <c r="L235" s="381" t="s">
        <v>15398</v>
      </c>
    </row>
    <row r="236" spans="1:12">
      <c r="A236" s="92"/>
      <c r="B236" s="345">
        <v>10340366</v>
      </c>
      <c r="C236" s="92" t="s">
        <v>15399</v>
      </c>
      <c r="D236" s="92" t="s">
        <v>15400</v>
      </c>
      <c r="E236" s="92" t="s">
        <v>15401</v>
      </c>
      <c r="F236" s="92" t="s">
        <v>2371</v>
      </c>
      <c r="G236" s="92" t="s">
        <v>8580</v>
      </c>
      <c r="H236" s="345">
        <v>1999</v>
      </c>
      <c r="I236" s="380">
        <v>36306</v>
      </c>
      <c r="J236" s="92"/>
      <c r="K236" s="92"/>
      <c r="L236" s="381" t="s">
        <v>15402</v>
      </c>
    </row>
    <row r="237" spans="1:12">
      <c r="A237" s="92"/>
      <c r="B237" s="345">
        <v>9772318</v>
      </c>
      <c r="C237" s="92" t="s">
        <v>15403</v>
      </c>
      <c r="D237" s="92" t="s">
        <v>15404</v>
      </c>
      <c r="E237" s="92" t="s">
        <v>15405</v>
      </c>
      <c r="F237" s="92" t="s">
        <v>4826</v>
      </c>
      <c r="G237" s="92" t="s">
        <v>15406</v>
      </c>
      <c r="H237" s="345">
        <v>1998</v>
      </c>
      <c r="I237" s="380">
        <v>36085</v>
      </c>
      <c r="J237" s="92"/>
      <c r="K237" s="92"/>
      <c r="L237" s="381" t="s">
        <v>15407</v>
      </c>
    </row>
    <row r="238" spans="1:12">
      <c r="A238" s="92"/>
      <c r="B238" s="345">
        <v>10932333</v>
      </c>
      <c r="C238" s="92" t="s">
        <v>15408</v>
      </c>
      <c r="D238" s="92" t="s">
        <v>15409</v>
      </c>
      <c r="E238" s="92" t="s">
        <v>15410</v>
      </c>
      <c r="F238" s="92" t="s">
        <v>4828</v>
      </c>
      <c r="G238" s="92" t="s">
        <v>15411</v>
      </c>
      <c r="H238" s="345">
        <v>2000</v>
      </c>
      <c r="I238" s="380">
        <v>36748</v>
      </c>
      <c r="J238" s="92"/>
      <c r="K238" s="92"/>
      <c r="L238" s="381" t="s">
        <v>15412</v>
      </c>
    </row>
    <row r="239" spans="1:12">
      <c r="A239" s="92"/>
      <c r="B239" s="345">
        <v>10727839</v>
      </c>
      <c r="C239" s="92" t="s">
        <v>15413</v>
      </c>
      <c r="D239" s="92" t="s">
        <v>15414</v>
      </c>
      <c r="E239" s="92" t="s">
        <v>15415</v>
      </c>
      <c r="F239" s="92" t="s">
        <v>4829</v>
      </c>
      <c r="G239" s="92" t="s">
        <v>15416</v>
      </c>
      <c r="H239" s="345">
        <v>2000</v>
      </c>
      <c r="I239" s="380">
        <v>36608</v>
      </c>
      <c r="J239" s="92"/>
      <c r="K239" s="92"/>
      <c r="L239" s="381" t="s">
        <v>15417</v>
      </c>
    </row>
    <row r="240" spans="1:12">
      <c r="A240" s="92"/>
      <c r="B240" s="345">
        <v>9930873</v>
      </c>
      <c r="C240" s="92" t="s">
        <v>15418</v>
      </c>
      <c r="D240" s="92" t="s">
        <v>15419</v>
      </c>
      <c r="E240" s="92" t="s">
        <v>15420</v>
      </c>
      <c r="F240" s="92" t="s">
        <v>4830</v>
      </c>
      <c r="G240" s="92" t="s">
        <v>13458</v>
      </c>
      <c r="H240" s="345">
        <v>1999</v>
      </c>
      <c r="I240" s="380">
        <v>36195</v>
      </c>
      <c r="J240" s="92"/>
      <c r="K240" s="92"/>
      <c r="L240" s="92" t="s">
        <v>15421</v>
      </c>
    </row>
    <row r="241" spans="1:12">
      <c r="A241" s="92"/>
      <c r="B241" s="345">
        <v>9728553</v>
      </c>
      <c r="C241" s="92" t="s">
        <v>15422</v>
      </c>
      <c r="D241" s="92" t="s">
        <v>15423</v>
      </c>
      <c r="E241" s="92" t="s">
        <v>15424</v>
      </c>
      <c r="F241" s="92" t="s">
        <v>2060</v>
      </c>
      <c r="G241" s="92" t="s">
        <v>9497</v>
      </c>
      <c r="H241" s="345">
        <v>1998</v>
      </c>
      <c r="I241" s="380">
        <v>36043</v>
      </c>
      <c r="J241" s="92"/>
      <c r="K241" s="92"/>
      <c r="L241" s="381" t="s">
        <v>15425</v>
      </c>
    </row>
    <row r="242" spans="1:12">
      <c r="A242" s="92"/>
      <c r="B242" s="345">
        <v>9207739</v>
      </c>
      <c r="C242" s="92" t="s">
        <v>15426</v>
      </c>
      <c r="D242" s="92" t="s">
        <v>15427</v>
      </c>
      <c r="E242" s="92" t="s">
        <v>15428</v>
      </c>
      <c r="F242" s="92" t="s">
        <v>4831</v>
      </c>
      <c r="G242" s="92" t="s">
        <v>15429</v>
      </c>
      <c r="H242" s="345">
        <v>1997</v>
      </c>
      <c r="I242" s="380">
        <v>35582</v>
      </c>
      <c r="J242" s="92"/>
      <c r="K242" s="92"/>
      <c r="L242" s="381" t="s">
        <v>15430</v>
      </c>
    </row>
    <row r="243" spans="1:12">
      <c r="A243" s="92"/>
      <c r="B243" s="345">
        <v>8395225</v>
      </c>
      <c r="C243" s="92" t="s">
        <v>15431</v>
      </c>
      <c r="D243" s="92" t="s">
        <v>15432</v>
      </c>
      <c r="E243" s="92" t="s">
        <v>15433</v>
      </c>
      <c r="F243" s="92" t="s">
        <v>4832</v>
      </c>
      <c r="G243" s="92" t="s">
        <v>15136</v>
      </c>
      <c r="H243" s="345">
        <v>1993</v>
      </c>
      <c r="I243" s="380">
        <v>34121</v>
      </c>
      <c r="J243" s="92"/>
      <c r="K243" s="92"/>
      <c r="L243" s="381" t="s">
        <v>15434</v>
      </c>
    </row>
    <row r="244" spans="1:12">
      <c r="A244" s="92"/>
      <c r="B244" s="345">
        <v>11039151</v>
      </c>
      <c r="C244" s="92" t="s">
        <v>15435</v>
      </c>
      <c r="D244" s="92" t="s">
        <v>15436</v>
      </c>
      <c r="E244" s="92" t="s">
        <v>15437</v>
      </c>
      <c r="F244" s="92" t="s">
        <v>4833</v>
      </c>
      <c r="G244" s="92" t="s">
        <v>15438</v>
      </c>
      <c r="H244" s="345">
        <v>2000</v>
      </c>
      <c r="I244" s="380">
        <v>36819</v>
      </c>
      <c r="J244" s="92"/>
      <c r="K244" s="92"/>
      <c r="L244" s="92"/>
    </row>
    <row r="245" spans="1:12">
      <c r="A245" s="92"/>
      <c r="B245" s="345">
        <v>10930120</v>
      </c>
      <c r="C245" s="92" t="s">
        <v>15439</v>
      </c>
      <c r="D245" s="92" t="s">
        <v>15440</v>
      </c>
      <c r="E245" s="92" t="s">
        <v>15441</v>
      </c>
      <c r="F245" s="92" t="s">
        <v>4835</v>
      </c>
      <c r="G245" s="92" t="s">
        <v>15442</v>
      </c>
      <c r="H245" s="345">
        <v>2000</v>
      </c>
      <c r="I245" s="380">
        <v>36748</v>
      </c>
      <c r="J245" s="92"/>
      <c r="K245" s="92"/>
      <c r="L245" s="381" t="s">
        <v>15443</v>
      </c>
    </row>
    <row r="246" spans="1:12">
      <c r="A246" s="92"/>
      <c r="B246" s="345">
        <v>10781619</v>
      </c>
      <c r="C246" s="92" t="s">
        <v>15444</v>
      </c>
      <c r="D246" s="92" t="s">
        <v>15445</v>
      </c>
      <c r="E246" s="92" t="s">
        <v>15446</v>
      </c>
      <c r="F246" s="92" t="s">
        <v>4836</v>
      </c>
      <c r="G246" s="92" t="s">
        <v>8514</v>
      </c>
      <c r="H246" s="345">
        <v>2000</v>
      </c>
      <c r="I246" s="380">
        <v>36643</v>
      </c>
      <c r="J246" s="92"/>
      <c r="K246" s="92"/>
      <c r="L246" s="381" t="s">
        <v>15447</v>
      </c>
    </row>
    <row r="247" spans="1:12">
      <c r="A247" s="92"/>
      <c r="B247" s="345">
        <v>10521733</v>
      </c>
      <c r="C247" s="92" t="s">
        <v>15448</v>
      </c>
      <c r="D247" s="92" t="s">
        <v>15449</v>
      </c>
      <c r="E247" s="92" t="s">
        <v>15450</v>
      </c>
      <c r="F247" s="92" t="s">
        <v>4838</v>
      </c>
      <c r="G247" s="92" t="s">
        <v>15451</v>
      </c>
      <c r="H247" s="345">
        <v>1999</v>
      </c>
      <c r="I247" s="380">
        <v>36449</v>
      </c>
      <c r="J247" s="92"/>
      <c r="K247" s="92"/>
      <c r="L247" s="381" t="s">
        <v>15452</v>
      </c>
    </row>
    <row r="248" spans="1:12">
      <c r="A248" s="92"/>
      <c r="B248" s="345">
        <v>2336876</v>
      </c>
      <c r="C248" s="92" t="s">
        <v>15453</v>
      </c>
      <c r="D248" s="92" t="s">
        <v>15454</v>
      </c>
      <c r="E248" s="92" t="s">
        <v>15455</v>
      </c>
      <c r="F248" s="92" t="s">
        <v>4839</v>
      </c>
      <c r="G248" s="92" t="s">
        <v>21</v>
      </c>
      <c r="H248" s="345">
        <v>1990</v>
      </c>
      <c r="I248" s="380">
        <v>32964</v>
      </c>
      <c r="J248" s="92"/>
      <c r="K248" s="92"/>
      <c r="L248" s="381" t="s">
        <v>15456</v>
      </c>
    </row>
    <row r="249" spans="1:12">
      <c r="A249" s="92"/>
      <c r="B249" s="345">
        <v>10103185</v>
      </c>
      <c r="C249" s="92" t="s">
        <v>15457</v>
      </c>
      <c r="D249" s="92" t="s">
        <v>15458</v>
      </c>
      <c r="E249" s="92" t="s">
        <v>15459</v>
      </c>
      <c r="F249" s="92" t="s">
        <v>4840</v>
      </c>
      <c r="G249" s="92" t="s">
        <v>8675</v>
      </c>
      <c r="H249" s="345">
        <v>1999</v>
      </c>
      <c r="I249" s="380">
        <v>36252</v>
      </c>
      <c r="J249" s="92" t="s">
        <v>4841</v>
      </c>
      <c r="K249" s="92"/>
      <c r="L249" s="381" t="s">
        <v>15460</v>
      </c>
    </row>
    <row r="250" spans="1:12">
      <c r="A250" s="92"/>
      <c r="B250" s="345">
        <v>8982828</v>
      </c>
      <c r="C250" s="92" t="s">
        <v>15461</v>
      </c>
      <c r="D250" s="92" t="s">
        <v>15462</v>
      </c>
      <c r="E250" s="92" t="s">
        <v>15463</v>
      </c>
      <c r="F250" s="92" t="s">
        <v>4842</v>
      </c>
      <c r="G250" s="92" t="s">
        <v>15464</v>
      </c>
      <c r="H250" s="345">
        <v>1996</v>
      </c>
      <c r="I250" s="380">
        <v>35400</v>
      </c>
      <c r="J250" s="435" t="s">
        <v>4843</v>
      </c>
      <c r="K250" s="425"/>
      <c r="L250" s="92"/>
    </row>
    <row r="251" spans="1:12">
      <c r="A251" s="92"/>
      <c r="B251" s="345">
        <v>1428590</v>
      </c>
      <c r="C251" s="92" t="s">
        <v>15465</v>
      </c>
      <c r="D251" s="92" t="s">
        <v>15466</v>
      </c>
      <c r="E251" s="92" t="s">
        <v>15467</v>
      </c>
      <c r="F251" s="92" t="s">
        <v>4844</v>
      </c>
      <c r="G251" s="92" t="s">
        <v>15468</v>
      </c>
      <c r="H251" s="345">
        <v>1992</v>
      </c>
      <c r="I251" s="380">
        <v>33848</v>
      </c>
      <c r="J251" s="92"/>
      <c r="K251" s="92"/>
      <c r="L251" s="381" t="s">
        <v>15469</v>
      </c>
    </row>
    <row r="252" spans="1:12">
      <c r="A252" s="92"/>
      <c r="B252" s="345">
        <v>8067760</v>
      </c>
      <c r="C252" s="92" t="s">
        <v>15470</v>
      </c>
      <c r="D252" s="92" t="s">
        <v>15471</v>
      </c>
      <c r="E252" s="92" t="s">
        <v>15472</v>
      </c>
      <c r="F252" s="92" t="s">
        <v>1835</v>
      </c>
      <c r="G252" s="92" t="s">
        <v>8675</v>
      </c>
      <c r="H252" s="345">
        <v>1994</v>
      </c>
      <c r="I252" s="380">
        <v>34455</v>
      </c>
      <c r="J252" s="92" t="s">
        <v>4846</v>
      </c>
      <c r="K252" s="92"/>
      <c r="L252" s="381" t="s">
        <v>15473</v>
      </c>
    </row>
    <row r="253" spans="1:12">
      <c r="A253" s="92"/>
      <c r="B253" s="345">
        <v>12731753</v>
      </c>
      <c r="C253" s="92" t="s">
        <v>15474</v>
      </c>
      <c r="D253" s="92" t="s">
        <v>15475</v>
      </c>
      <c r="E253" s="92" t="s">
        <v>15476</v>
      </c>
      <c r="F253" s="92" t="s">
        <v>4271</v>
      </c>
      <c r="G253" s="92" t="s">
        <v>9533</v>
      </c>
      <c r="H253" s="345">
        <v>1999</v>
      </c>
      <c r="I253" s="380">
        <v>37748</v>
      </c>
      <c r="J253" s="92"/>
      <c r="K253" s="92"/>
      <c r="L253" s="92"/>
    </row>
    <row r="254" spans="1:12">
      <c r="A254" s="92"/>
      <c r="B254" s="345">
        <v>9057643</v>
      </c>
      <c r="C254" s="92" t="s">
        <v>15477</v>
      </c>
      <c r="D254" s="92" t="s">
        <v>15478</v>
      </c>
      <c r="E254" s="92" t="s">
        <v>15479</v>
      </c>
      <c r="F254" s="92" t="s">
        <v>4847</v>
      </c>
      <c r="G254" s="92" t="s">
        <v>8540</v>
      </c>
      <c r="H254" s="345">
        <v>1997</v>
      </c>
      <c r="I254" s="380">
        <v>35490</v>
      </c>
      <c r="J254" s="92"/>
      <c r="K254" s="92"/>
      <c r="L254" s="92"/>
    </row>
    <row r="255" spans="1:12">
      <c r="A255" s="92"/>
      <c r="B255" s="345">
        <v>7595199</v>
      </c>
      <c r="C255" s="92" t="s">
        <v>15480</v>
      </c>
      <c r="D255" s="92" t="s">
        <v>15481</v>
      </c>
      <c r="E255" s="92" t="s">
        <v>15482</v>
      </c>
      <c r="F255" s="92" t="s">
        <v>4849</v>
      </c>
      <c r="G255" s="92" t="s">
        <v>14524</v>
      </c>
      <c r="H255" s="345">
        <v>1995</v>
      </c>
      <c r="I255" s="380">
        <v>35004</v>
      </c>
      <c r="J255" s="435" t="s">
        <v>4850</v>
      </c>
      <c r="K255" s="425"/>
      <c r="L255" s="381" t="s">
        <v>15483</v>
      </c>
    </row>
    <row r="256" spans="1:12">
      <c r="A256" s="92"/>
      <c r="B256" s="345">
        <v>9573735</v>
      </c>
      <c r="C256" s="92" t="s">
        <v>15484</v>
      </c>
      <c r="D256" s="92" t="s">
        <v>15485</v>
      </c>
      <c r="E256" s="92" t="s">
        <v>15486</v>
      </c>
      <c r="F256" s="92" t="s">
        <v>4851</v>
      </c>
      <c r="G256" s="92" t="s">
        <v>15487</v>
      </c>
      <c r="H256" s="345">
        <v>1998</v>
      </c>
      <c r="I256" s="380">
        <v>35924</v>
      </c>
      <c r="J256" s="92"/>
      <c r="K256" s="92"/>
      <c r="L256" s="381" t="s">
        <v>15488</v>
      </c>
    </row>
    <row r="257" spans="1:12">
      <c r="A257" s="92"/>
      <c r="B257" s="345">
        <v>10480427</v>
      </c>
      <c r="C257" s="92" t="s">
        <v>15489</v>
      </c>
      <c r="D257" s="92" t="s">
        <v>15490</v>
      </c>
      <c r="E257" s="92" t="s">
        <v>15491</v>
      </c>
      <c r="F257" s="92" t="s">
        <v>4852</v>
      </c>
      <c r="G257" s="92" t="s">
        <v>15492</v>
      </c>
      <c r="H257" s="345">
        <v>1999</v>
      </c>
      <c r="I257" s="380">
        <v>36413</v>
      </c>
      <c r="J257" s="92"/>
      <c r="K257" s="92"/>
      <c r="L257" s="381" t="s">
        <v>15493</v>
      </c>
    </row>
    <row r="258" spans="1:12">
      <c r="A258" s="92"/>
      <c r="B258" s="345">
        <v>10024221</v>
      </c>
      <c r="C258" s="92" t="s">
        <v>15494</v>
      </c>
      <c r="D258" s="92" t="s">
        <v>15495</v>
      </c>
      <c r="E258" s="92" t="s">
        <v>15496</v>
      </c>
      <c r="F258" s="92" t="s">
        <v>4853</v>
      </c>
      <c r="G258" s="92" t="s">
        <v>10263</v>
      </c>
      <c r="H258" s="345">
        <v>1998</v>
      </c>
      <c r="I258" s="380">
        <v>36210</v>
      </c>
      <c r="J258" s="92"/>
      <c r="K258" s="92"/>
      <c r="L258" s="381" t="s">
        <v>15497</v>
      </c>
    </row>
    <row r="259" spans="1:12">
      <c r="A259" s="92"/>
      <c r="B259" s="345">
        <v>1423060</v>
      </c>
      <c r="C259" s="92" t="s">
        <v>15498</v>
      </c>
      <c r="D259" s="92" t="s">
        <v>15499</v>
      </c>
      <c r="E259" s="92" t="s">
        <v>15500</v>
      </c>
      <c r="F259" s="92" t="s">
        <v>4854</v>
      </c>
      <c r="G259" s="92" t="s">
        <v>15501</v>
      </c>
      <c r="H259" s="345">
        <v>1992</v>
      </c>
      <c r="I259" s="380">
        <v>33786</v>
      </c>
      <c r="J259" s="435" t="s">
        <v>4855</v>
      </c>
      <c r="K259" s="425"/>
      <c r="L259" s="92"/>
    </row>
    <row r="260" spans="1:12">
      <c r="A260" s="92"/>
      <c r="B260" s="345">
        <v>10604749</v>
      </c>
      <c r="C260" s="92" t="s">
        <v>15502</v>
      </c>
      <c r="D260" s="92" t="s">
        <v>15503</v>
      </c>
      <c r="E260" s="92" t="s">
        <v>15504</v>
      </c>
      <c r="F260" s="92" t="s">
        <v>4856</v>
      </c>
      <c r="G260" s="92" t="s">
        <v>15170</v>
      </c>
      <c r="H260" s="345">
        <v>1999</v>
      </c>
      <c r="I260" s="380">
        <v>36516</v>
      </c>
      <c r="J260" s="92"/>
      <c r="K260" s="92"/>
      <c r="L260" s="381" t="s">
        <v>15505</v>
      </c>
    </row>
    <row r="261" spans="1:12">
      <c r="A261" s="92"/>
      <c r="B261" s="345">
        <v>10458387</v>
      </c>
      <c r="C261" s="92" t="s">
        <v>15506</v>
      </c>
      <c r="D261" s="92" t="s">
        <v>15507</v>
      </c>
      <c r="E261" s="92" t="s">
        <v>15508</v>
      </c>
      <c r="F261" s="92" t="s">
        <v>4857</v>
      </c>
      <c r="G261" s="92" t="s">
        <v>15509</v>
      </c>
      <c r="H261" s="345">
        <v>1999</v>
      </c>
      <c r="I261" s="380">
        <v>36396</v>
      </c>
      <c r="J261" s="92"/>
      <c r="K261" s="92"/>
      <c r="L261" s="381" t="s">
        <v>15510</v>
      </c>
    </row>
    <row r="262" spans="1:12">
      <c r="A262" s="92"/>
      <c r="B262" s="345">
        <v>2204243</v>
      </c>
      <c r="C262" s="92" t="s">
        <v>14673</v>
      </c>
      <c r="D262" s="92" t="s">
        <v>14674</v>
      </c>
      <c r="E262" s="92" t="s">
        <v>14675</v>
      </c>
      <c r="F262" s="92" t="s">
        <v>1922</v>
      </c>
      <c r="G262" s="92" t="s">
        <v>21</v>
      </c>
      <c r="H262" s="345">
        <v>1990</v>
      </c>
      <c r="I262" s="380">
        <v>33086</v>
      </c>
      <c r="J262" s="92"/>
      <c r="K262" s="92"/>
      <c r="L262" s="381" t="s">
        <v>14676</v>
      </c>
    </row>
    <row r="263" spans="1:12">
      <c r="A263" s="92"/>
      <c r="B263" s="345">
        <v>9204781</v>
      </c>
      <c r="C263" s="92" t="s">
        <v>15511</v>
      </c>
      <c r="D263" s="92" t="s">
        <v>15512</v>
      </c>
      <c r="E263" s="92" t="s">
        <v>15513</v>
      </c>
      <c r="F263" s="92" t="s">
        <v>4858</v>
      </c>
      <c r="G263" s="92" t="s">
        <v>15514</v>
      </c>
      <c r="H263" s="345">
        <v>1997</v>
      </c>
      <c r="I263" s="380">
        <v>35612</v>
      </c>
      <c r="J263" s="92"/>
      <c r="K263" s="92"/>
      <c r="L263" s="381" t="s">
        <v>15515</v>
      </c>
    </row>
    <row r="264" spans="1:12">
      <c r="A264" s="92"/>
      <c r="B264" s="345">
        <v>2177742</v>
      </c>
      <c r="C264" s="92" t="s">
        <v>15516</v>
      </c>
      <c r="D264" s="92" t="s">
        <v>15517</v>
      </c>
      <c r="E264" s="92" t="s">
        <v>15518</v>
      </c>
      <c r="F264" s="92" t="s">
        <v>4859</v>
      </c>
      <c r="G264" s="92" t="s">
        <v>14693</v>
      </c>
      <c r="H264" s="345">
        <v>1990</v>
      </c>
      <c r="I264" s="380">
        <v>32874</v>
      </c>
      <c r="J264" s="92"/>
      <c r="K264" s="92"/>
      <c r="L264" s="381" t="s">
        <v>15519</v>
      </c>
    </row>
    <row r="265" spans="1:12">
      <c r="A265" s="92"/>
      <c r="B265" s="345">
        <v>8179297</v>
      </c>
      <c r="C265" s="92" t="s">
        <v>15520</v>
      </c>
      <c r="D265" s="92" t="s">
        <v>15521</v>
      </c>
      <c r="E265" s="92" t="s">
        <v>15522</v>
      </c>
      <c r="F265" s="92" t="s">
        <v>4860</v>
      </c>
      <c r="G265" s="92" t="s">
        <v>14893</v>
      </c>
      <c r="H265" s="345">
        <v>1994</v>
      </c>
      <c r="I265" s="380">
        <v>34455</v>
      </c>
      <c r="J265" s="92"/>
      <c r="K265" s="92"/>
      <c r="L265" s="381" t="s">
        <v>15523</v>
      </c>
    </row>
    <row r="266" spans="1:12">
      <c r="A266" s="92"/>
      <c r="B266" s="345">
        <v>9302301</v>
      </c>
      <c r="C266" s="92" t="s">
        <v>15524</v>
      </c>
      <c r="D266" s="92" t="s">
        <v>15525</v>
      </c>
      <c r="E266" s="92" t="s">
        <v>15526</v>
      </c>
      <c r="F266" s="92" t="s">
        <v>1835</v>
      </c>
      <c r="G266" s="92" t="s">
        <v>8514</v>
      </c>
      <c r="H266" s="345">
        <v>1997</v>
      </c>
      <c r="I266" s="380">
        <v>35699</v>
      </c>
      <c r="J266" s="92"/>
      <c r="K266" s="92"/>
      <c r="L266" s="381" t="s">
        <v>15527</v>
      </c>
    </row>
    <row r="267" spans="1:12">
      <c r="A267" s="92"/>
      <c r="B267" s="345">
        <v>11038126</v>
      </c>
      <c r="C267" s="92" t="s">
        <v>15528</v>
      </c>
      <c r="D267" s="92" t="s">
        <v>15529</v>
      </c>
      <c r="E267" s="92" t="s">
        <v>15530</v>
      </c>
      <c r="F267" s="92" t="s">
        <v>4862</v>
      </c>
      <c r="G267" s="92" t="s">
        <v>15531</v>
      </c>
      <c r="H267" s="345">
        <v>2000</v>
      </c>
      <c r="I267" s="380">
        <v>36818</v>
      </c>
      <c r="J267" s="92"/>
      <c r="K267" s="92"/>
      <c r="L267" s="381" t="s">
        <v>15532</v>
      </c>
    </row>
    <row r="268" spans="1:12">
      <c r="A268" s="92"/>
      <c r="B268" s="345">
        <v>8163832</v>
      </c>
      <c r="C268" s="92" t="s">
        <v>15533</v>
      </c>
      <c r="D268" s="92" t="s">
        <v>15534</v>
      </c>
      <c r="E268" s="92" t="s">
        <v>15535</v>
      </c>
      <c r="F268" s="92" t="s">
        <v>2481</v>
      </c>
      <c r="G268" s="92" t="s">
        <v>9028</v>
      </c>
      <c r="H268" s="345">
        <v>1994</v>
      </c>
      <c r="I268" s="380">
        <v>34335</v>
      </c>
      <c r="J268" s="92"/>
      <c r="K268" s="92"/>
      <c r="L268" s="381" t="s">
        <v>15536</v>
      </c>
    </row>
    <row r="269" spans="1:12">
      <c r="A269" s="92"/>
      <c r="B269" s="345">
        <v>9423838</v>
      </c>
      <c r="C269" s="92" t="s">
        <v>15537</v>
      </c>
      <c r="D269" s="92" t="s">
        <v>15538</v>
      </c>
      <c r="E269" s="92" t="s">
        <v>15539</v>
      </c>
      <c r="F269" s="92" t="s">
        <v>1654</v>
      </c>
      <c r="G269" s="92" t="s">
        <v>11700</v>
      </c>
      <c r="H269" s="345">
        <v>1998</v>
      </c>
      <c r="I269" s="380">
        <v>35805</v>
      </c>
      <c r="J269" s="92" t="s">
        <v>4863</v>
      </c>
      <c r="K269" s="92"/>
      <c r="L269" s="381" t="s">
        <v>15540</v>
      </c>
    </row>
    <row r="270" spans="1:12">
      <c r="A270" s="92"/>
      <c r="B270" s="345">
        <v>1915792</v>
      </c>
      <c r="C270" s="92" t="s">
        <v>15541</v>
      </c>
      <c r="D270" s="92" t="s">
        <v>15542</v>
      </c>
      <c r="E270" s="92" t="s">
        <v>15543</v>
      </c>
      <c r="F270" s="92" t="s">
        <v>4864</v>
      </c>
      <c r="G270" s="92" t="s">
        <v>15544</v>
      </c>
      <c r="H270" s="345">
        <v>1991</v>
      </c>
      <c r="I270" s="380">
        <v>33420</v>
      </c>
      <c r="J270" s="92"/>
      <c r="K270" s="92"/>
      <c r="L270" s="381" t="s">
        <v>15545</v>
      </c>
    </row>
    <row r="271" spans="1:12">
      <c r="A271" s="92"/>
      <c r="B271" s="345">
        <v>1730473</v>
      </c>
      <c r="C271" s="92" t="s">
        <v>15546</v>
      </c>
      <c r="D271" s="92" t="s">
        <v>15547</v>
      </c>
      <c r="E271" s="92" t="s">
        <v>15548</v>
      </c>
      <c r="F271" s="92" t="s">
        <v>4385</v>
      </c>
      <c r="G271" s="92" t="s">
        <v>11700</v>
      </c>
      <c r="H271" s="345">
        <v>1992</v>
      </c>
      <c r="I271" s="380">
        <v>33645</v>
      </c>
      <c r="J271" s="92" t="s">
        <v>4865</v>
      </c>
      <c r="K271" s="92"/>
      <c r="L271" s="381" t="s">
        <v>15549</v>
      </c>
    </row>
    <row r="272" spans="1:12">
      <c r="A272" s="92"/>
      <c r="B272" s="345">
        <v>1395658</v>
      </c>
      <c r="C272" s="92" t="s">
        <v>15550</v>
      </c>
      <c r="D272" s="92" t="s">
        <v>15551</v>
      </c>
      <c r="E272" s="92" t="s">
        <v>15552</v>
      </c>
      <c r="F272" s="92" t="s">
        <v>4866</v>
      </c>
      <c r="G272" s="92" t="s">
        <v>8504</v>
      </c>
      <c r="H272" s="345">
        <v>1992</v>
      </c>
      <c r="I272" s="380">
        <v>33878</v>
      </c>
      <c r="J272" s="92"/>
      <c r="K272" s="92"/>
      <c r="L272" s="381" t="s">
        <v>15553</v>
      </c>
    </row>
    <row r="273" spans="1:12">
      <c r="A273" s="92"/>
      <c r="B273" s="345">
        <v>9098860</v>
      </c>
      <c r="C273" s="92" t="s">
        <v>15554</v>
      </c>
      <c r="D273" s="92" t="s">
        <v>15555</v>
      </c>
      <c r="E273" s="92" t="s">
        <v>15556</v>
      </c>
      <c r="F273" s="92" t="s">
        <v>4868</v>
      </c>
      <c r="G273" s="92" t="s">
        <v>15557</v>
      </c>
      <c r="H273" s="345">
        <v>1997</v>
      </c>
      <c r="I273" s="380">
        <v>35521</v>
      </c>
      <c r="J273" s="92"/>
      <c r="K273" s="92"/>
      <c r="L273" s="381" t="s">
        <v>15558</v>
      </c>
    </row>
    <row r="274" spans="1:12">
      <c r="A274" s="92"/>
      <c r="B274" s="345">
        <v>10768562</v>
      </c>
      <c r="C274" s="92" t="s">
        <v>15559</v>
      </c>
      <c r="D274" s="92" t="s">
        <v>15560</v>
      </c>
      <c r="E274" s="92" t="s">
        <v>15561</v>
      </c>
      <c r="F274" s="92" t="s">
        <v>4870</v>
      </c>
      <c r="G274" s="92" t="s">
        <v>15562</v>
      </c>
      <c r="H274" s="345">
        <v>2000</v>
      </c>
      <c r="I274" s="380">
        <v>36634</v>
      </c>
      <c r="J274" s="92"/>
      <c r="K274" s="92"/>
      <c r="L274" s="92"/>
    </row>
    <row r="275" spans="1:12">
      <c r="A275" s="92"/>
      <c r="B275" s="345">
        <v>8655877</v>
      </c>
      <c r="C275" s="92" t="s">
        <v>15563</v>
      </c>
      <c r="D275" s="92" t="s">
        <v>15564</v>
      </c>
      <c r="E275" s="92" t="s">
        <v>15565</v>
      </c>
      <c r="F275" s="92" t="s">
        <v>1775</v>
      </c>
      <c r="G275" s="92" t="s">
        <v>9004</v>
      </c>
      <c r="H275" s="345">
        <v>1996</v>
      </c>
      <c r="I275" s="380">
        <v>35156</v>
      </c>
      <c r="J275" s="92"/>
      <c r="K275" s="92"/>
      <c r="L275" s="381" t="s">
        <v>15566</v>
      </c>
    </row>
    <row r="276" spans="1:12">
      <c r="A276" s="92"/>
      <c r="B276" s="345">
        <v>10976979</v>
      </c>
      <c r="C276" s="92" t="s">
        <v>15567</v>
      </c>
      <c r="D276" s="92" t="s">
        <v>15568</v>
      </c>
      <c r="E276" s="92" t="s">
        <v>15569</v>
      </c>
      <c r="F276" s="92" t="s">
        <v>4872</v>
      </c>
      <c r="G276" s="92" t="s">
        <v>15570</v>
      </c>
      <c r="H276" s="345">
        <v>2000</v>
      </c>
      <c r="I276" s="380">
        <v>36777</v>
      </c>
      <c r="J276" s="92"/>
      <c r="K276" s="92"/>
      <c r="L276" s="381" t="s">
        <v>15571</v>
      </c>
    </row>
    <row r="277" spans="1:12">
      <c r="A277" s="92"/>
      <c r="B277" s="345">
        <v>8807062</v>
      </c>
      <c r="C277" s="92" t="s">
        <v>15572</v>
      </c>
      <c r="D277" s="92" t="s">
        <v>15573</v>
      </c>
      <c r="E277" s="92" t="s">
        <v>15574</v>
      </c>
      <c r="F277" s="92" t="s">
        <v>4873</v>
      </c>
      <c r="G277" s="92" t="s">
        <v>8675</v>
      </c>
      <c r="H277" s="345">
        <v>1996</v>
      </c>
      <c r="I277" s="380">
        <v>35247</v>
      </c>
      <c r="J277" s="92" t="s">
        <v>4874</v>
      </c>
      <c r="K277" s="92"/>
      <c r="L277" s="381" t="s">
        <v>15575</v>
      </c>
    </row>
    <row r="278" spans="1:12">
      <c r="A278" s="92"/>
      <c r="B278" s="345">
        <v>10877367</v>
      </c>
      <c r="C278" s="92" t="s">
        <v>15576</v>
      </c>
      <c r="D278" s="92" t="s">
        <v>15577</v>
      </c>
      <c r="E278" s="92" t="s">
        <v>15578</v>
      </c>
      <c r="F278" s="92" t="s">
        <v>4876</v>
      </c>
      <c r="G278" s="92" t="s">
        <v>9780</v>
      </c>
      <c r="H278" s="345">
        <v>2000</v>
      </c>
      <c r="I278" s="380">
        <v>36713</v>
      </c>
      <c r="J278" s="92"/>
      <c r="K278" s="92"/>
      <c r="L278" s="381" t="s">
        <v>15579</v>
      </c>
    </row>
    <row r="279" spans="1:12">
      <c r="A279" s="92"/>
      <c r="B279" s="345">
        <v>10098640</v>
      </c>
      <c r="C279" s="92" t="s">
        <v>15580</v>
      </c>
      <c r="D279" s="92" t="s">
        <v>15581</v>
      </c>
      <c r="E279" s="92" t="s">
        <v>15582</v>
      </c>
      <c r="F279" s="92" t="s">
        <v>4877</v>
      </c>
      <c r="G279" s="92" t="s">
        <v>15041</v>
      </c>
      <c r="H279" s="345">
        <v>1999</v>
      </c>
      <c r="I279" s="380">
        <v>36250</v>
      </c>
      <c r="J279" s="92"/>
      <c r="K279" s="92"/>
      <c r="L279" s="381" t="s">
        <v>15583</v>
      </c>
    </row>
    <row r="280" spans="1:12">
      <c r="A280" s="92"/>
      <c r="B280" s="345">
        <v>8980770</v>
      </c>
      <c r="C280" s="92" t="s">
        <v>15584</v>
      </c>
      <c r="D280" s="92" t="s">
        <v>15585</v>
      </c>
      <c r="E280" s="92" t="s">
        <v>15586</v>
      </c>
      <c r="F280" s="92" t="s">
        <v>4840</v>
      </c>
      <c r="G280" s="92" t="s">
        <v>8675</v>
      </c>
      <c r="H280" s="345">
        <v>1997</v>
      </c>
      <c r="I280" s="380">
        <v>35431</v>
      </c>
      <c r="J280" s="92" t="s">
        <v>4878</v>
      </c>
      <c r="K280" s="92"/>
      <c r="L280" s="381" t="s">
        <v>15587</v>
      </c>
    </row>
    <row r="281" spans="1:12">
      <c r="A281" s="92"/>
      <c r="B281" s="345">
        <v>9395349</v>
      </c>
      <c r="C281" s="92" t="s">
        <v>15588</v>
      </c>
      <c r="D281" s="92" t="s">
        <v>15589</v>
      </c>
      <c r="E281" s="92" t="s">
        <v>15590</v>
      </c>
      <c r="F281" s="92" t="s">
        <v>2446</v>
      </c>
      <c r="G281" s="92" t="s">
        <v>9497</v>
      </c>
      <c r="H281" s="345">
        <v>1997</v>
      </c>
      <c r="I281" s="380">
        <v>35776</v>
      </c>
      <c r="J281" s="92"/>
      <c r="K281" s="92"/>
      <c r="L281" s="381" t="s">
        <v>15591</v>
      </c>
    </row>
    <row r="282" spans="1:12">
      <c r="A282" s="92"/>
      <c r="B282" s="345">
        <v>9510221</v>
      </c>
      <c r="C282" s="92" t="s">
        <v>15592</v>
      </c>
      <c r="D282" s="92" t="s">
        <v>15593</v>
      </c>
      <c r="E282" s="92" t="s">
        <v>15594</v>
      </c>
      <c r="F282" s="92" t="s">
        <v>4879</v>
      </c>
      <c r="G282" s="92" t="s">
        <v>15595</v>
      </c>
      <c r="H282" s="345">
        <v>1998</v>
      </c>
      <c r="I282" s="380">
        <v>35878</v>
      </c>
      <c r="J282" s="92"/>
      <c r="K282" s="92"/>
      <c r="L282" s="381" t="s">
        <v>15596</v>
      </c>
    </row>
    <row r="283" spans="1:12">
      <c r="A283" s="92"/>
      <c r="B283" s="345">
        <v>8849805</v>
      </c>
      <c r="C283" s="92" t="s">
        <v>15597</v>
      </c>
      <c r="D283" s="92" t="s">
        <v>15598</v>
      </c>
      <c r="E283" s="92" t="s">
        <v>15599</v>
      </c>
      <c r="F283" s="92" t="s">
        <v>1467</v>
      </c>
      <c r="G283" s="92" t="s">
        <v>12734</v>
      </c>
      <c r="H283" s="345">
        <v>1996</v>
      </c>
      <c r="I283" s="380">
        <v>35339</v>
      </c>
      <c r="J283" s="92"/>
      <c r="K283" s="92"/>
      <c r="L283" s="381" t="s">
        <v>15600</v>
      </c>
    </row>
    <row r="284" spans="1:12">
      <c r="A284" s="92"/>
      <c r="B284" s="345">
        <v>8739412</v>
      </c>
      <c r="C284" s="92" t="s">
        <v>15601</v>
      </c>
      <c r="D284" s="92" t="s">
        <v>15462</v>
      </c>
      <c r="E284" s="92" t="s">
        <v>15602</v>
      </c>
      <c r="F284" s="92" t="s">
        <v>4842</v>
      </c>
      <c r="G284" s="92" t="s">
        <v>15603</v>
      </c>
      <c r="H284" s="345">
        <v>1996</v>
      </c>
      <c r="I284" s="380">
        <v>35156</v>
      </c>
      <c r="J284" s="92"/>
      <c r="K284" s="92"/>
      <c r="L284" s="92"/>
    </row>
    <row r="285" spans="1:12">
      <c r="A285" s="92"/>
      <c r="B285" s="345">
        <v>10837169</v>
      </c>
      <c r="C285" s="92" t="s">
        <v>15604</v>
      </c>
      <c r="D285" s="92" t="s">
        <v>15605</v>
      </c>
      <c r="E285" s="92" t="s">
        <v>15606</v>
      </c>
      <c r="F285" s="92" t="s">
        <v>4880</v>
      </c>
      <c r="G285" s="92" t="s">
        <v>9497</v>
      </c>
      <c r="H285" s="345">
        <v>2000</v>
      </c>
      <c r="I285" s="380">
        <v>36683</v>
      </c>
      <c r="J285" s="92"/>
      <c r="K285" s="92"/>
      <c r="L285" s="381" t="s">
        <v>15607</v>
      </c>
    </row>
    <row r="286" spans="1:12">
      <c r="A286" s="92"/>
      <c r="B286" s="345">
        <v>8814072</v>
      </c>
      <c r="C286" s="92" t="s">
        <v>15608</v>
      </c>
      <c r="D286" s="92" t="s">
        <v>15609</v>
      </c>
      <c r="E286" s="92" t="s">
        <v>15610</v>
      </c>
      <c r="F286" s="92" t="s">
        <v>4882</v>
      </c>
      <c r="G286" s="92" t="s">
        <v>8465</v>
      </c>
      <c r="H286" s="345">
        <v>1996</v>
      </c>
      <c r="I286" s="380">
        <v>35309</v>
      </c>
      <c r="J286" s="92"/>
      <c r="K286" s="92"/>
      <c r="L286" s="381" t="s">
        <v>15611</v>
      </c>
    </row>
    <row r="287" spans="1:12">
      <c r="A287" s="92"/>
      <c r="B287" s="345">
        <v>9556858</v>
      </c>
      <c r="C287" s="92" t="s">
        <v>15612</v>
      </c>
      <c r="D287" s="92" t="s">
        <v>15613</v>
      </c>
      <c r="E287" s="92" t="s">
        <v>15614</v>
      </c>
      <c r="F287" s="92" t="s">
        <v>4883</v>
      </c>
      <c r="G287" s="92" t="s">
        <v>15416</v>
      </c>
      <c r="H287" s="345">
        <v>1998</v>
      </c>
      <c r="I287" s="380">
        <v>35914</v>
      </c>
      <c r="J287" s="92"/>
      <c r="K287" s="92"/>
      <c r="L287" s="381" t="s">
        <v>15615</v>
      </c>
    </row>
    <row r="288" spans="1:12">
      <c r="A288" s="92"/>
      <c r="B288" s="345">
        <v>8432962</v>
      </c>
      <c r="C288" s="92" t="s">
        <v>15616</v>
      </c>
      <c r="D288" s="92" t="s">
        <v>15617</v>
      </c>
      <c r="E288" s="92" t="s">
        <v>15618</v>
      </c>
      <c r="F288" s="92" t="s">
        <v>4884</v>
      </c>
      <c r="G288" s="92" t="s">
        <v>8811</v>
      </c>
      <c r="H288" s="345">
        <v>1993</v>
      </c>
      <c r="I288" s="380">
        <v>33970</v>
      </c>
      <c r="J288" s="92"/>
      <c r="K288" s="92"/>
      <c r="L288" s="381" t="s">
        <v>15619</v>
      </c>
    </row>
    <row r="289" spans="1:12">
      <c r="A289" s="92"/>
      <c r="B289" s="345">
        <v>10534006</v>
      </c>
      <c r="C289" s="92" t="s">
        <v>15620</v>
      </c>
      <c r="D289" s="92" t="s">
        <v>15621</v>
      </c>
      <c r="E289" s="92" t="s">
        <v>15622</v>
      </c>
      <c r="F289" s="92" t="s">
        <v>4886</v>
      </c>
      <c r="G289" s="92" t="s">
        <v>15501</v>
      </c>
      <c r="H289" s="345">
        <v>1999</v>
      </c>
      <c r="I289" s="380">
        <v>36459</v>
      </c>
      <c r="J289" s="435" t="s">
        <v>4887</v>
      </c>
      <c r="K289" s="425"/>
      <c r="L289" s="92"/>
    </row>
    <row r="290" spans="1:12">
      <c r="A290" s="92"/>
      <c r="B290" s="345">
        <v>8950424</v>
      </c>
      <c r="C290" s="92" t="s">
        <v>15623</v>
      </c>
      <c r="D290" s="92" t="s">
        <v>15624</v>
      </c>
      <c r="E290" s="92" t="s">
        <v>15625</v>
      </c>
      <c r="F290" s="92" t="s">
        <v>4888</v>
      </c>
      <c r="G290" s="92" t="s">
        <v>15626</v>
      </c>
      <c r="H290" s="345">
        <v>1996</v>
      </c>
      <c r="I290" s="380">
        <v>35400</v>
      </c>
      <c r="J290" s="92"/>
      <c r="K290" s="92"/>
      <c r="L290" s="92"/>
    </row>
    <row r="291" spans="1:12">
      <c r="A291" s="92"/>
      <c r="B291" s="345">
        <v>9855419</v>
      </c>
      <c r="C291" s="92" t="s">
        <v>15627</v>
      </c>
      <c r="D291" s="92" t="s">
        <v>15628</v>
      </c>
      <c r="E291" s="92" t="s">
        <v>15629</v>
      </c>
      <c r="F291" s="92" t="s">
        <v>4889</v>
      </c>
      <c r="G291" s="92" t="s">
        <v>14488</v>
      </c>
      <c r="H291" s="345">
        <v>1998</v>
      </c>
      <c r="I291" s="380">
        <v>36146</v>
      </c>
      <c r="J291" s="92"/>
      <c r="K291" s="92"/>
      <c r="L291" s="92"/>
    </row>
    <row r="292" spans="1:12">
      <c r="A292" s="92"/>
      <c r="B292" s="345">
        <v>9951430</v>
      </c>
      <c r="C292" s="92" t="s">
        <v>15630</v>
      </c>
      <c r="D292" s="92" t="s">
        <v>15631</v>
      </c>
      <c r="E292" s="92" t="s">
        <v>15632</v>
      </c>
      <c r="F292" s="92" t="s">
        <v>4890</v>
      </c>
      <c r="G292" s="92" t="s">
        <v>15633</v>
      </c>
      <c r="H292" s="345">
        <v>1999</v>
      </c>
      <c r="I292" s="380">
        <v>36201</v>
      </c>
      <c r="J292" s="92"/>
      <c r="K292" s="92"/>
      <c r="L292" s="381" t="s">
        <v>15634</v>
      </c>
    </row>
    <row r="293" spans="1:12">
      <c r="A293" s="92"/>
      <c r="B293" s="345">
        <v>9334450</v>
      </c>
      <c r="C293" s="92" t="s">
        <v>15635</v>
      </c>
      <c r="D293" s="92" t="s">
        <v>15636</v>
      </c>
      <c r="E293" s="92" t="s">
        <v>15637</v>
      </c>
      <c r="F293" s="92" t="s">
        <v>4891</v>
      </c>
      <c r="G293" s="92" t="s">
        <v>15638</v>
      </c>
      <c r="H293" s="345">
        <v>1996</v>
      </c>
      <c r="I293" s="380">
        <v>35065</v>
      </c>
      <c r="J293" s="92"/>
      <c r="K293" s="92"/>
      <c r="L293" s="92"/>
    </row>
    <row r="294" spans="1:12">
      <c r="A294" s="92"/>
      <c r="B294" s="345">
        <v>7610756</v>
      </c>
      <c r="C294" s="92" t="s">
        <v>15639</v>
      </c>
      <c r="D294" s="92" t="s">
        <v>15640</v>
      </c>
      <c r="E294" s="92" t="s">
        <v>15641</v>
      </c>
      <c r="F294" s="92" t="s">
        <v>4892</v>
      </c>
      <c r="G294" s="92" t="s">
        <v>15642</v>
      </c>
      <c r="H294" s="345">
        <v>1994</v>
      </c>
      <c r="I294" s="380">
        <v>34335</v>
      </c>
      <c r="J294" s="92"/>
      <c r="K294" s="92"/>
      <c r="L294" s="92"/>
    </row>
    <row r="295" spans="1:12">
      <c r="A295" s="92"/>
      <c r="B295" s="345">
        <v>10799896</v>
      </c>
      <c r="C295" s="92" t="s">
        <v>15643</v>
      </c>
      <c r="D295" s="92" t="s">
        <v>15644</v>
      </c>
      <c r="E295" s="92" t="s">
        <v>15645</v>
      </c>
      <c r="F295" s="92" t="s">
        <v>4831</v>
      </c>
      <c r="G295" s="92" t="s">
        <v>15646</v>
      </c>
      <c r="H295" s="345">
        <v>2000</v>
      </c>
      <c r="I295" s="380">
        <v>36655</v>
      </c>
      <c r="J295" s="92"/>
      <c r="K295" s="92"/>
      <c r="L295" s="381" t="s">
        <v>15647</v>
      </c>
    </row>
    <row r="296" spans="1:12">
      <c r="A296" s="92"/>
      <c r="B296" s="345">
        <v>2235209</v>
      </c>
      <c r="C296" s="92" t="s">
        <v>14665</v>
      </c>
      <c r="D296" s="92" t="s">
        <v>14666</v>
      </c>
      <c r="E296" s="92" t="s">
        <v>14667</v>
      </c>
      <c r="F296" s="92" t="s">
        <v>4646</v>
      </c>
      <c r="G296" s="92" t="s">
        <v>12638</v>
      </c>
      <c r="H296" s="345">
        <v>1990</v>
      </c>
      <c r="I296" s="380">
        <v>33117</v>
      </c>
      <c r="J296" s="92"/>
      <c r="K296" s="92"/>
      <c r="L296" s="381" t="s">
        <v>14668</v>
      </c>
    </row>
    <row r="297" spans="1:12">
      <c r="A297" s="92"/>
      <c r="B297" s="345">
        <v>11134688</v>
      </c>
      <c r="C297" s="92" t="s">
        <v>15648</v>
      </c>
      <c r="D297" s="92" t="s">
        <v>15649</v>
      </c>
      <c r="E297" s="92" t="s">
        <v>15650</v>
      </c>
      <c r="F297" s="92" t="s">
        <v>1724</v>
      </c>
      <c r="G297" s="92" t="s">
        <v>15651</v>
      </c>
      <c r="H297" s="345">
        <v>2000</v>
      </c>
      <c r="I297" s="380">
        <v>36894</v>
      </c>
      <c r="J297" s="435" t="s">
        <v>4893</v>
      </c>
      <c r="K297" s="425"/>
      <c r="L297" s="381" t="s">
        <v>15652</v>
      </c>
    </row>
    <row r="298" spans="1:12">
      <c r="A298" s="92"/>
      <c r="B298" s="345">
        <v>9632915</v>
      </c>
      <c r="C298" s="92" t="s">
        <v>15653</v>
      </c>
      <c r="D298" s="92" t="s">
        <v>15654</v>
      </c>
      <c r="E298" s="92" t="s">
        <v>15655</v>
      </c>
      <c r="F298" s="92" t="s">
        <v>4894</v>
      </c>
      <c r="G298" s="92" t="s">
        <v>15656</v>
      </c>
      <c r="H298" s="345">
        <v>1998</v>
      </c>
      <c r="I298" s="380">
        <v>35966</v>
      </c>
      <c r="J298" s="92"/>
      <c r="K298" s="92"/>
      <c r="L298" s="92"/>
    </row>
    <row r="299" spans="1:12">
      <c r="A299" s="92"/>
      <c r="B299" s="345">
        <v>9726729</v>
      </c>
      <c r="C299" s="92" t="s">
        <v>15657</v>
      </c>
      <c r="D299" s="92" t="s">
        <v>15658</v>
      </c>
      <c r="E299" s="92" t="s">
        <v>15659</v>
      </c>
      <c r="F299" s="92" t="s">
        <v>2069</v>
      </c>
      <c r="G299" s="92" t="s">
        <v>8597</v>
      </c>
      <c r="H299" s="345">
        <v>1998</v>
      </c>
      <c r="I299" s="380">
        <v>36041</v>
      </c>
      <c r="J299" s="92"/>
      <c r="K299" s="92"/>
      <c r="L299" s="381" t="s">
        <v>15660</v>
      </c>
    </row>
    <row r="300" spans="1:12">
      <c r="A300" s="92"/>
      <c r="B300" s="345">
        <v>9524841</v>
      </c>
      <c r="C300" s="92" t="s">
        <v>15661</v>
      </c>
      <c r="D300" s="92" t="s">
        <v>15662</v>
      </c>
      <c r="E300" s="92" t="s">
        <v>15663</v>
      </c>
      <c r="F300" s="92" t="s">
        <v>4895</v>
      </c>
      <c r="G300" s="92" t="s">
        <v>9152</v>
      </c>
      <c r="H300" s="345">
        <v>1998</v>
      </c>
      <c r="I300" s="380">
        <v>35888</v>
      </c>
      <c r="J300" s="92"/>
      <c r="K300" s="92"/>
      <c r="L300" s="381" t="s">
        <v>15664</v>
      </c>
    </row>
    <row r="301" spans="1:12">
      <c r="A301" s="92"/>
      <c r="B301" s="345">
        <v>10588548</v>
      </c>
      <c r="C301" s="92" t="s">
        <v>15665</v>
      </c>
      <c r="D301" s="92" t="s">
        <v>15666</v>
      </c>
      <c r="E301" s="92" t="s">
        <v>15667</v>
      </c>
      <c r="F301" s="92" t="s">
        <v>4897</v>
      </c>
      <c r="G301" s="92" t="s">
        <v>15668</v>
      </c>
      <c r="H301" s="345">
        <v>1999</v>
      </c>
      <c r="I301" s="380">
        <v>36504</v>
      </c>
      <c r="J301" s="92"/>
      <c r="K301" s="92"/>
      <c r="L301" s="381" t="s">
        <v>15669</v>
      </c>
    </row>
    <row r="302" spans="1:12">
      <c r="A302" s="92"/>
      <c r="B302" s="345">
        <v>9533898</v>
      </c>
      <c r="C302" s="92" t="s">
        <v>15670</v>
      </c>
      <c r="D302" s="92" t="s">
        <v>15671</v>
      </c>
      <c r="E302" s="92" t="s">
        <v>15672</v>
      </c>
      <c r="F302" s="92" t="s">
        <v>4899</v>
      </c>
      <c r="G302" s="92" t="s">
        <v>15673</v>
      </c>
      <c r="H302" s="345">
        <v>1998</v>
      </c>
      <c r="I302" s="380">
        <v>35945</v>
      </c>
      <c r="J302" s="92"/>
      <c r="K302" s="92"/>
      <c r="L302" s="381" t="s">
        <v>15674</v>
      </c>
    </row>
    <row r="303" spans="1:12">
      <c r="A303" s="92"/>
      <c r="B303" s="345">
        <v>10901853</v>
      </c>
      <c r="C303" s="92" t="s">
        <v>15675</v>
      </c>
      <c r="D303" s="92" t="s">
        <v>15676</v>
      </c>
      <c r="E303" s="92" t="s">
        <v>15677</v>
      </c>
      <c r="F303" s="92" t="s">
        <v>4900</v>
      </c>
      <c r="G303" s="92" t="s">
        <v>15678</v>
      </c>
      <c r="H303" s="345">
        <v>1999</v>
      </c>
      <c r="I303" s="380">
        <v>36728</v>
      </c>
      <c r="J303" s="92"/>
      <c r="K303" s="92"/>
      <c r="L303" s="92"/>
    </row>
    <row r="304" spans="1:12">
      <c r="A304" s="92"/>
      <c r="B304" s="345">
        <v>10736672</v>
      </c>
      <c r="C304" s="92" t="s">
        <v>15679</v>
      </c>
      <c r="D304" s="92" t="s">
        <v>15680</v>
      </c>
      <c r="E304" s="92" t="s">
        <v>15681</v>
      </c>
      <c r="F304" s="92" t="s">
        <v>4901</v>
      </c>
      <c r="G304" s="92" t="s">
        <v>15682</v>
      </c>
      <c r="H304" s="345">
        <v>2000</v>
      </c>
      <c r="I304" s="380">
        <v>36614</v>
      </c>
      <c r="J304" s="92"/>
      <c r="K304" s="92"/>
      <c r="L304" s="381" t="s">
        <v>15683</v>
      </c>
    </row>
    <row r="305" spans="1:12">
      <c r="A305" s="92"/>
      <c r="B305" s="345">
        <v>10446866</v>
      </c>
      <c r="C305" s="92" t="s">
        <v>15684</v>
      </c>
      <c r="D305" s="92" t="s">
        <v>15685</v>
      </c>
      <c r="E305" s="92" t="s">
        <v>15686</v>
      </c>
      <c r="F305" s="92" t="s">
        <v>4902</v>
      </c>
      <c r="G305" s="92" t="s">
        <v>8465</v>
      </c>
      <c r="H305" s="345">
        <v>1999</v>
      </c>
      <c r="I305" s="380">
        <v>36386</v>
      </c>
      <c r="J305" s="92"/>
      <c r="K305" s="92"/>
      <c r="L305" s="381" t="s">
        <v>15687</v>
      </c>
    </row>
    <row r="306" spans="1:12">
      <c r="A306" s="92"/>
      <c r="B306" s="345">
        <v>8891239</v>
      </c>
      <c r="C306" s="92" t="s">
        <v>15688</v>
      </c>
      <c r="D306" s="92" t="s">
        <v>15689</v>
      </c>
      <c r="E306" s="92" t="s">
        <v>15690</v>
      </c>
      <c r="F306" s="92" t="s">
        <v>4903</v>
      </c>
      <c r="G306" s="92" t="s">
        <v>15691</v>
      </c>
      <c r="H306" s="345">
        <v>1996</v>
      </c>
      <c r="I306" s="380">
        <v>35309</v>
      </c>
      <c r="J306" s="92"/>
      <c r="K306" s="92"/>
      <c r="L306" s="381" t="s">
        <v>15692</v>
      </c>
    </row>
    <row r="307" spans="1:12">
      <c r="A307" s="92"/>
      <c r="B307" s="345">
        <v>8928947</v>
      </c>
      <c r="C307" s="92" t="s">
        <v>15693</v>
      </c>
      <c r="D307" s="92" t="s">
        <v>15694</v>
      </c>
      <c r="E307" s="92" t="s">
        <v>15695</v>
      </c>
      <c r="F307" s="92" t="s">
        <v>4904</v>
      </c>
      <c r="G307" s="92" t="s">
        <v>15626</v>
      </c>
      <c r="H307" s="345">
        <v>1995</v>
      </c>
      <c r="I307" s="380">
        <v>34973</v>
      </c>
      <c r="J307" s="92"/>
      <c r="K307" s="92"/>
      <c r="L307" s="92"/>
    </row>
    <row r="308" spans="1:12">
      <c r="A308" s="92"/>
      <c r="B308" s="345">
        <v>8578828</v>
      </c>
      <c r="C308" s="92" t="s">
        <v>15696</v>
      </c>
      <c r="D308" s="92" t="s">
        <v>15697</v>
      </c>
      <c r="E308" s="92" t="s">
        <v>15698</v>
      </c>
      <c r="F308" s="92" t="s">
        <v>4905</v>
      </c>
      <c r="G308" s="92" t="s">
        <v>21</v>
      </c>
      <c r="H308" s="345">
        <v>1995</v>
      </c>
      <c r="I308" s="380">
        <v>34700</v>
      </c>
      <c r="J308" s="92"/>
      <c r="K308" s="92"/>
      <c r="L308" s="381" t="s">
        <v>15699</v>
      </c>
    </row>
    <row r="309" spans="1:12">
      <c r="A309" s="92"/>
      <c r="B309" s="345">
        <v>8712515</v>
      </c>
      <c r="C309" s="92" t="s">
        <v>15700</v>
      </c>
      <c r="D309" s="92" t="s">
        <v>15701</v>
      </c>
      <c r="E309" s="92" t="s">
        <v>15702</v>
      </c>
      <c r="F309" s="92" t="s">
        <v>4840</v>
      </c>
      <c r="G309" s="92" t="s">
        <v>15626</v>
      </c>
      <c r="H309" s="345">
        <v>1996</v>
      </c>
      <c r="I309" s="380">
        <v>35156</v>
      </c>
      <c r="J309" s="92"/>
      <c r="K309" s="92"/>
      <c r="L309" s="92"/>
    </row>
    <row r="310" spans="1:12">
      <c r="A310" s="92"/>
      <c r="B310" s="345">
        <v>11153621</v>
      </c>
      <c r="C310" s="92" t="s">
        <v>15703</v>
      </c>
      <c r="D310" s="92" t="s">
        <v>15704</v>
      </c>
      <c r="E310" s="92" t="s">
        <v>15705</v>
      </c>
      <c r="F310" s="92" t="s">
        <v>4906</v>
      </c>
      <c r="G310" s="92" t="s">
        <v>8504</v>
      </c>
      <c r="H310" s="345">
        <v>2000</v>
      </c>
      <c r="I310" s="380">
        <v>36903</v>
      </c>
      <c r="J310" s="92"/>
      <c r="K310" s="92"/>
      <c r="L310" s="381" t="s">
        <v>15706</v>
      </c>
    </row>
    <row r="311" spans="1:12">
      <c r="A311" s="92"/>
      <c r="B311" s="345">
        <v>10517426</v>
      </c>
      <c r="C311" s="92" t="s">
        <v>15707</v>
      </c>
      <c r="D311" s="92" t="s">
        <v>15708</v>
      </c>
      <c r="E311" s="92" t="s">
        <v>15709</v>
      </c>
      <c r="F311" s="92" t="s">
        <v>1835</v>
      </c>
      <c r="G311" s="92" t="s">
        <v>8580</v>
      </c>
      <c r="H311" s="345">
        <v>1999</v>
      </c>
      <c r="I311" s="380">
        <v>36445</v>
      </c>
      <c r="J311" s="92"/>
      <c r="K311" s="92"/>
      <c r="L311" s="381" t="s">
        <v>15710</v>
      </c>
    </row>
    <row r="312" spans="1:12">
      <c r="A312" s="92"/>
      <c r="B312" s="345">
        <v>8599282</v>
      </c>
      <c r="C312" s="92" t="s">
        <v>15711</v>
      </c>
      <c r="D312" s="92" t="s">
        <v>15712</v>
      </c>
      <c r="E312" s="92" t="s">
        <v>15713</v>
      </c>
      <c r="F312" s="92" t="s">
        <v>4907</v>
      </c>
      <c r="G312" s="92" t="s">
        <v>15714</v>
      </c>
      <c r="H312" s="345">
        <v>1995</v>
      </c>
      <c r="I312" s="380">
        <v>34700</v>
      </c>
      <c r="J312" s="92"/>
      <c r="K312" s="92"/>
      <c r="L312" s="381" t="s">
        <v>15715</v>
      </c>
    </row>
    <row r="313" spans="1:12">
      <c r="A313" s="92"/>
      <c r="B313" s="345">
        <v>8257637</v>
      </c>
      <c r="C313" s="92" t="s">
        <v>15716</v>
      </c>
      <c r="D313" s="92" t="s">
        <v>15717</v>
      </c>
      <c r="E313" s="92" t="s">
        <v>15718</v>
      </c>
      <c r="F313" s="92" t="s">
        <v>4908</v>
      </c>
      <c r="G313" s="92" t="s">
        <v>15719</v>
      </c>
      <c r="H313" s="345">
        <v>1993</v>
      </c>
      <c r="I313" s="380">
        <v>34213</v>
      </c>
      <c r="J313" s="92"/>
      <c r="K313" s="92"/>
      <c r="L313" s="381" t="s">
        <v>15720</v>
      </c>
    </row>
    <row r="314" spans="1:12">
      <c r="A314" s="92"/>
      <c r="B314" s="345">
        <v>9094725</v>
      </c>
      <c r="C314" s="92" t="s">
        <v>15721</v>
      </c>
      <c r="D314" s="92" t="s">
        <v>15722</v>
      </c>
      <c r="E314" s="92" t="s">
        <v>15723</v>
      </c>
      <c r="F314" s="92" t="s">
        <v>4910</v>
      </c>
      <c r="G314" s="92" t="s">
        <v>15724</v>
      </c>
      <c r="H314" s="345">
        <v>1997</v>
      </c>
      <c r="I314" s="380">
        <v>35490</v>
      </c>
      <c r="J314" s="92"/>
      <c r="K314" s="92"/>
      <c r="L314" s="381" t="s">
        <v>15725</v>
      </c>
    </row>
    <row r="315" spans="1:12">
      <c r="A315" s="92"/>
      <c r="B315" s="345">
        <v>1622173</v>
      </c>
      <c r="C315" s="92" t="s">
        <v>15726</v>
      </c>
      <c r="D315" s="92" t="s">
        <v>15727</v>
      </c>
      <c r="E315" s="92" t="s">
        <v>15728</v>
      </c>
      <c r="F315" s="92" t="s">
        <v>4911</v>
      </c>
      <c r="G315" s="92" t="s">
        <v>8675</v>
      </c>
      <c r="H315" s="345">
        <v>1992</v>
      </c>
      <c r="I315" s="380">
        <v>33674</v>
      </c>
      <c r="J315" s="92" t="s">
        <v>4912</v>
      </c>
      <c r="K315" s="92"/>
      <c r="L315" s="381" t="s">
        <v>15729</v>
      </c>
    </row>
    <row r="316" spans="1:12">
      <c r="A316" s="92"/>
      <c r="B316" s="345">
        <v>9393819</v>
      </c>
      <c r="C316" s="92" t="s">
        <v>15730</v>
      </c>
      <c r="D316" s="92" t="s">
        <v>15731</v>
      </c>
      <c r="E316" s="92" t="s">
        <v>15732</v>
      </c>
      <c r="F316" s="92" t="s">
        <v>4913</v>
      </c>
      <c r="G316" s="92" t="s">
        <v>11700</v>
      </c>
      <c r="H316" s="345">
        <v>1997</v>
      </c>
      <c r="I316" s="380">
        <v>35775</v>
      </c>
      <c r="J316" s="92" t="s">
        <v>4914</v>
      </c>
      <c r="K316" s="92"/>
      <c r="L316" s="381" t="s">
        <v>15733</v>
      </c>
    </row>
    <row r="317" spans="1:12">
      <c r="A317" s="92"/>
      <c r="B317" s="345">
        <v>8013184</v>
      </c>
      <c r="C317" s="92" t="s">
        <v>15734</v>
      </c>
      <c r="D317" s="92" t="s">
        <v>15735</v>
      </c>
      <c r="E317" s="92" t="s">
        <v>15736</v>
      </c>
      <c r="F317" s="92" t="s">
        <v>4915</v>
      </c>
      <c r="G317" s="92" t="s">
        <v>14853</v>
      </c>
      <c r="H317" s="345">
        <v>1994</v>
      </c>
      <c r="I317" s="380">
        <v>34394</v>
      </c>
      <c r="J317" s="92"/>
      <c r="K317" s="92"/>
      <c r="L317" s="92"/>
    </row>
    <row r="318" spans="1:12">
      <c r="A318" s="92"/>
      <c r="B318" s="345">
        <v>1602565</v>
      </c>
      <c r="C318" s="92" t="s">
        <v>15737</v>
      </c>
      <c r="D318" s="92" t="s">
        <v>15738</v>
      </c>
      <c r="E318" s="92" t="s">
        <v>15739</v>
      </c>
      <c r="F318" s="92" t="s">
        <v>4916</v>
      </c>
      <c r="G318" s="92" t="s">
        <v>14930</v>
      </c>
      <c r="H318" s="345">
        <v>1992</v>
      </c>
      <c r="I318" s="380">
        <v>33695</v>
      </c>
      <c r="J318" s="92"/>
      <c r="K318" s="92"/>
      <c r="L318" s="381" t="s">
        <v>15740</v>
      </c>
    </row>
    <row r="319" spans="1:12">
      <c r="A319" s="92"/>
      <c r="B319" s="345">
        <v>9411341</v>
      </c>
      <c r="C319" s="92" t="s">
        <v>15741</v>
      </c>
      <c r="D319" s="92" t="s">
        <v>15742</v>
      </c>
      <c r="E319" s="92" t="s">
        <v>15743</v>
      </c>
      <c r="F319" s="92" t="s">
        <v>4917</v>
      </c>
      <c r="G319" s="92" t="s">
        <v>15744</v>
      </c>
      <c r="H319" s="345">
        <v>1997</v>
      </c>
      <c r="I319" s="380">
        <v>35795</v>
      </c>
      <c r="J319" s="92"/>
      <c r="K319" s="92"/>
      <c r="L319" s="92"/>
    </row>
    <row r="320" spans="1:12">
      <c r="A320" s="92"/>
      <c r="B320" s="345">
        <v>1630426</v>
      </c>
      <c r="C320" s="92" t="s">
        <v>15745</v>
      </c>
      <c r="D320" s="92" t="s">
        <v>15746</v>
      </c>
      <c r="E320" s="92" t="s">
        <v>15747</v>
      </c>
      <c r="F320" s="92" t="s">
        <v>4918</v>
      </c>
      <c r="G320" s="92" t="s">
        <v>15748</v>
      </c>
      <c r="H320" s="345">
        <v>1992</v>
      </c>
      <c r="I320" s="380">
        <v>33802</v>
      </c>
      <c r="J320" s="92"/>
      <c r="K320" s="92"/>
      <c r="L320" s="92"/>
    </row>
    <row r="321" spans="1:12">
      <c r="A321" s="92"/>
      <c r="B321" s="345">
        <v>9362041</v>
      </c>
      <c r="C321" s="92" t="s">
        <v>15749</v>
      </c>
      <c r="D321" s="92" t="s">
        <v>15750</v>
      </c>
      <c r="E321" s="92" t="s">
        <v>15751</v>
      </c>
      <c r="F321" s="92" t="s">
        <v>4920</v>
      </c>
      <c r="G321" s="92" t="s">
        <v>15136</v>
      </c>
      <c r="H321" s="345">
        <v>1997</v>
      </c>
      <c r="I321" s="380">
        <v>35749</v>
      </c>
      <c r="J321" s="92"/>
      <c r="K321" s="92"/>
      <c r="L321" s="381" t="s">
        <v>15752</v>
      </c>
    </row>
    <row r="322" spans="1:12">
      <c r="A322" s="92"/>
      <c r="B322" s="345">
        <v>9081359</v>
      </c>
      <c r="C322" s="92" t="s">
        <v>15753</v>
      </c>
      <c r="D322" s="92" t="s">
        <v>15754</v>
      </c>
      <c r="E322" s="92" t="s">
        <v>15755</v>
      </c>
      <c r="F322" s="92" t="s">
        <v>4921</v>
      </c>
      <c r="G322" s="92" t="s">
        <v>10304</v>
      </c>
      <c r="H322" s="345">
        <v>1996</v>
      </c>
      <c r="I322" s="380">
        <v>35186</v>
      </c>
      <c r="J322" s="92"/>
      <c r="K322" s="92"/>
      <c r="L322" s="381" t="s">
        <v>15756</v>
      </c>
    </row>
    <row r="323" spans="1:12">
      <c r="A323" s="92"/>
      <c r="B323" s="345">
        <v>10518352</v>
      </c>
      <c r="C323" s="92" t="s">
        <v>15757</v>
      </c>
      <c r="D323" s="92" t="s">
        <v>15758</v>
      </c>
      <c r="E323" s="92" t="s">
        <v>15759</v>
      </c>
      <c r="F323" s="92" t="s">
        <v>4922</v>
      </c>
      <c r="G323" s="92" t="s">
        <v>15760</v>
      </c>
      <c r="H323" s="345">
        <v>1999</v>
      </c>
      <c r="I323" s="380">
        <v>36446</v>
      </c>
      <c r="J323" s="92"/>
      <c r="K323" s="92"/>
      <c r="L323" s="381" t="s">
        <v>15761</v>
      </c>
    </row>
    <row r="324" spans="1:12">
      <c r="A324" s="92"/>
      <c r="B324" s="345">
        <v>9343160</v>
      </c>
      <c r="C324" s="92" t="s">
        <v>15762</v>
      </c>
      <c r="D324" s="92" t="s">
        <v>15763</v>
      </c>
      <c r="E324" s="92" t="s">
        <v>15764</v>
      </c>
      <c r="F324" s="92" t="s">
        <v>4924</v>
      </c>
      <c r="G324" s="92" t="s">
        <v>9821</v>
      </c>
      <c r="H324" s="345">
        <v>1997</v>
      </c>
      <c r="I324" s="380">
        <v>35732</v>
      </c>
      <c r="J324" s="92" t="s">
        <v>4925</v>
      </c>
      <c r="K324" s="92"/>
      <c r="L324" s="381" t="s">
        <v>15765</v>
      </c>
    </row>
    <row r="325" spans="1:12">
      <c r="A325" s="92"/>
      <c r="B325" s="345">
        <v>1320307</v>
      </c>
      <c r="C325" s="92" t="s">
        <v>15766</v>
      </c>
      <c r="D325" s="92" t="s">
        <v>15767</v>
      </c>
      <c r="E325" s="92" t="s">
        <v>15768</v>
      </c>
      <c r="F325" s="92" t="s">
        <v>4926</v>
      </c>
      <c r="G325" s="92" t="s">
        <v>21</v>
      </c>
      <c r="H325" s="345">
        <v>1992</v>
      </c>
      <c r="I325" s="380">
        <v>33604</v>
      </c>
      <c r="J325" s="92"/>
      <c r="K325" s="92"/>
      <c r="L325" s="381" t="s">
        <v>15769</v>
      </c>
    </row>
    <row r="326" spans="1:12">
      <c r="A326" s="92"/>
      <c r="B326" s="345">
        <v>9758320</v>
      </c>
      <c r="C326" s="92" t="s">
        <v>15770</v>
      </c>
      <c r="D326" s="92" t="s">
        <v>15771</v>
      </c>
      <c r="E326" s="92" t="s">
        <v>15772</v>
      </c>
      <c r="F326" s="92" t="s">
        <v>4927</v>
      </c>
      <c r="G326" s="92" t="s">
        <v>8670</v>
      </c>
      <c r="H326" s="345">
        <v>1998</v>
      </c>
      <c r="I326" s="380">
        <v>36071</v>
      </c>
      <c r="J326" s="92"/>
      <c r="K326" s="92"/>
      <c r="L326" s="92"/>
    </row>
    <row r="327" spans="1:12">
      <c r="A327" s="92"/>
      <c r="B327" s="345">
        <v>1448645</v>
      </c>
      <c r="C327" s="92" t="s">
        <v>15773</v>
      </c>
      <c r="D327" s="92" t="s">
        <v>15774</v>
      </c>
      <c r="E327" s="92" t="s">
        <v>15775</v>
      </c>
      <c r="F327" s="92" t="s">
        <v>4860</v>
      </c>
      <c r="G327" s="92" t="s">
        <v>15776</v>
      </c>
      <c r="H327" s="345">
        <v>1992</v>
      </c>
      <c r="I327" s="380">
        <v>33604</v>
      </c>
      <c r="J327" s="92"/>
      <c r="K327" s="92"/>
      <c r="L327" s="92"/>
    </row>
    <row r="328" spans="1:12">
      <c r="A328" s="92"/>
      <c r="B328" s="345">
        <v>7583684</v>
      </c>
      <c r="C328" s="92" t="s">
        <v>15777</v>
      </c>
      <c r="D328" s="92" t="s">
        <v>15778</v>
      </c>
      <c r="E328" s="92" t="s">
        <v>15779</v>
      </c>
      <c r="F328" s="92" t="s">
        <v>4928</v>
      </c>
      <c r="G328" s="92" t="s">
        <v>15780</v>
      </c>
      <c r="H328" s="345">
        <v>1995</v>
      </c>
      <c r="I328" s="380">
        <v>34851</v>
      </c>
      <c r="J328" s="92"/>
      <c r="K328" s="92"/>
      <c r="L328" s="381" t="s">
        <v>15781</v>
      </c>
    </row>
    <row r="329" spans="1:12">
      <c r="A329" s="92"/>
      <c r="B329" s="345">
        <v>9855414</v>
      </c>
      <c r="C329" s="92" t="s">
        <v>15782</v>
      </c>
      <c r="D329" s="92" t="s">
        <v>15783</v>
      </c>
      <c r="E329" s="92" t="s">
        <v>15784</v>
      </c>
      <c r="F329" s="92" t="s">
        <v>4929</v>
      </c>
      <c r="G329" s="92" t="s">
        <v>14488</v>
      </c>
      <c r="H329" s="345">
        <v>1998</v>
      </c>
      <c r="I329" s="380">
        <v>36146</v>
      </c>
      <c r="J329" s="92"/>
      <c r="K329" s="92"/>
      <c r="L329" s="92"/>
    </row>
    <row r="330" spans="1:12">
      <c r="A330" s="92"/>
      <c r="B330" s="345">
        <v>9198338</v>
      </c>
      <c r="C330" s="92" t="s">
        <v>15785</v>
      </c>
      <c r="D330" s="92" t="s">
        <v>15786</v>
      </c>
      <c r="E330" s="92" t="s">
        <v>15787</v>
      </c>
      <c r="F330" s="92" t="s">
        <v>4930</v>
      </c>
      <c r="G330" s="92" t="s">
        <v>12842</v>
      </c>
      <c r="H330" s="345">
        <v>1997</v>
      </c>
      <c r="I330" s="380">
        <v>35582</v>
      </c>
      <c r="J330" s="92"/>
      <c r="K330" s="92"/>
      <c r="L330" s="381" t="s">
        <v>15788</v>
      </c>
    </row>
    <row r="331" spans="1:12">
      <c r="A331" s="92"/>
      <c r="B331" s="345">
        <v>7927754</v>
      </c>
      <c r="C331" s="92" t="s">
        <v>15789</v>
      </c>
      <c r="D331" s="92" t="s">
        <v>15790</v>
      </c>
      <c r="E331" s="92" t="s">
        <v>15791</v>
      </c>
      <c r="F331" s="92" t="s">
        <v>4931</v>
      </c>
      <c r="G331" s="92" t="s">
        <v>11700</v>
      </c>
      <c r="H331" s="345">
        <v>1994</v>
      </c>
      <c r="I331" s="380">
        <v>34639</v>
      </c>
      <c r="J331" s="92" t="s">
        <v>4932</v>
      </c>
      <c r="K331" s="92"/>
      <c r="L331" s="381" t="s">
        <v>15792</v>
      </c>
    </row>
    <row r="332" spans="1:12">
      <c r="A332" s="92"/>
      <c r="B332" s="345">
        <v>7542634</v>
      </c>
      <c r="C332" s="92" t="s">
        <v>15793</v>
      </c>
      <c r="D332" s="92" t="s">
        <v>15794</v>
      </c>
      <c r="E332" s="92" t="s">
        <v>15795</v>
      </c>
      <c r="F332" s="92" t="s">
        <v>4934</v>
      </c>
      <c r="G332" s="92" t="s">
        <v>11700</v>
      </c>
      <c r="H332" s="345">
        <v>1995</v>
      </c>
      <c r="I332" s="380">
        <v>34912</v>
      </c>
      <c r="J332" s="92" t="s">
        <v>4935</v>
      </c>
      <c r="K332" s="92"/>
      <c r="L332" s="381" t="s">
        <v>15796</v>
      </c>
    </row>
    <row r="333" spans="1:12">
      <c r="A333" s="92"/>
      <c r="B333" s="345">
        <v>8736545</v>
      </c>
      <c r="C333" s="92" t="s">
        <v>15797</v>
      </c>
      <c r="D333" s="92" t="s">
        <v>15798</v>
      </c>
      <c r="E333" s="92" t="s">
        <v>15799</v>
      </c>
      <c r="F333" s="92" t="s">
        <v>4936</v>
      </c>
      <c r="G333" s="92" t="s">
        <v>15800</v>
      </c>
      <c r="H333" s="345">
        <v>1996</v>
      </c>
      <c r="I333" s="380">
        <v>35186</v>
      </c>
      <c r="J333" s="92"/>
      <c r="K333" s="92"/>
      <c r="L333" s="381" t="s">
        <v>15801</v>
      </c>
    </row>
    <row r="334" spans="1:12">
      <c r="A334" s="92"/>
      <c r="B334" s="345">
        <v>9658115</v>
      </c>
      <c r="C334" s="92" t="s">
        <v>15802</v>
      </c>
      <c r="D334" s="92" t="s">
        <v>15803</v>
      </c>
      <c r="E334" s="92" t="s">
        <v>15804</v>
      </c>
      <c r="F334" s="92" t="s">
        <v>4938</v>
      </c>
      <c r="G334" s="92" t="s">
        <v>9821</v>
      </c>
      <c r="H334" s="345">
        <v>1998</v>
      </c>
      <c r="I334" s="380">
        <v>35987</v>
      </c>
      <c r="J334" s="92" t="s">
        <v>4939</v>
      </c>
      <c r="K334" s="92"/>
      <c r="L334" s="381" t="s">
        <v>15805</v>
      </c>
    </row>
    <row r="335" spans="1:12">
      <c r="A335" s="92"/>
      <c r="B335" s="345">
        <v>8193172</v>
      </c>
      <c r="C335" s="92" t="s">
        <v>15806</v>
      </c>
      <c r="D335" s="92" t="s">
        <v>15807</v>
      </c>
      <c r="E335" s="92" t="s">
        <v>15808</v>
      </c>
      <c r="F335" s="92" t="s">
        <v>4940</v>
      </c>
      <c r="G335" s="92" t="s">
        <v>15809</v>
      </c>
      <c r="H335" s="345">
        <v>1994</v>
      </c>
      <c r="I335" s="380">
        <v>34394</v>
      </c>
      <c r="J335" s="92"/>
      <c r="K335" s="92"/>
      <c r="L335" s="92"/>
    </row>
    <row r="336" spans="1:12">
      <c r="A336" s="92"/>
      <c r="B336" s="345">
        <v>8436664</v>
      </c>
      <c r="C336" s="92" t="s">
        <v>15810</v>
      </c>
      <c r="D336" s="92" t="s">
        <v>15811</v>
      </c>
      <c r="E336" s="92" t="s">
        <v>15812</v>
      </c>
      <c r="F336" s="92" t="s">
        <v>4941</v>
      </c>
      <c r="G336" s="92" t="s">
        <v>15813</v>
      </c>
      <c r="H336" s="345">
        <v>1993</v>
      </c>
      <c r="I336" s="380">
        <v>34001</v>
      </c>
      <c r="J336" s="92"/>
      <c r="K336" s="92"/>
      <c r="L336" s="381" t="s">
        <v>15814</v>
      </c>
    </row>
    <row r="337" spans="1:12">
      <c r="A337" s="92"/>
      <c r="B337" s="345">
        <v>9922681</v>
      </c>
      <c r="C337" s="92" t="s">
        <v>15815</v>
      </c>
      <c r="D337" s="92" t="s">
        <v>15816</v>
      </c>
      <c r="E337" s="92" t="s">
        <v>15817</v>
      </c>
      <c r="F337" s="92" t="s">
        <v>4942</v>
      </c>
      <c r="G337" s="92" t="s">
        <v>15818</v>
      </c>
      <c r="H337" s="345">
        <v>1999</v>
      </c>
      <c r="I337" s="380">
        <v>36189</v>
      </c>
      <c r="J337" s="92"/>
      <c r="K337" s="92"/>
      <c r="L337" s="92"/>
    </row>
    <row r="338" spans="1:12">
      <c r="A338" s="92"/>
      <c r="B338" s="345">
        <v>1836943</v>
      </c>
      <c r="C338" s="92" t="s">
        <v>15819</v>
      </c>
      <c r="D338" s="92" t="s">
        <v>15820</v>
      </c>
      <c r="E338" s="92" t="s">
        <v>15821</v>
      </c>
      <c r="F338" s="92" t="s">
        <v>4943</v>
      </c>
      <c r="G338" s="92" t="s">
        <v>8675</v>
      </c>
      <c r="H338" s="345">
        <v>1991</v>
      </c>
      <c r="I338" s="380">
        <v>33512</v>
      </c>
      <c r="J338" s="92" t="s">
        <v>4944</v>
      </c>
      <c r="K338" s="92"/>
      <c r="L338" s="381" t="s">
        <v>15822</v>
      </c>
    </row>
    <row r="339" spans="1:12">
      <c r="A339" s="92"/>
      <c r="B339" s="345">
        <v>7700664</v>
      </c>
      <c r="C339" s="92" t="s">
        <v>15823</v>
      </c>
      <c r="D339" s="92" t="s">
        <v>15824</v>
      </c>
      <c r="E339" s="92" t="s">
        <v>15825</v>
      </c>
      <c r="F339" s="92" t="s">
        <v>4270</v>
      </c>
      <c r="G339" s="92" t="s">
        <v>15826</v>
      </c>
      <c r="H339" s="345">
        <v>1995</v>
      </c>
      <c r="I339" s="380">
        <v>34790</v>
      </c>
      <c r="J339" s="92"/>
      <c r="K339" s="92"/>
      <c r="L339" s="381" t="s">
        <v>15827</v>
      </c>
    </row>
    <row r="340" spans="1:12">
      <c r="A340" s="92"/>
      <c r="B340" s="345">
        <v>10579255</v>
      </c>
      <c r="C340" s="92" t="s">
        <v>15828</v>
      </c>
      <c r="D340" s="92" t="s">
        <v>15829</v>
      </c>
      <c r="E340" s="92" t="s">
        <v>15830</v>
      </c>
      <c r="F340" s="92" t="s">
        <v>4727</v>
      </c>
      <c r="G340" s="92" t="s">
        <v>8504</v>
      </c>
      <c r="H340" s="345">
        <v>1999</v>
      </c>
      <c r="I340" s="380">
        <v>36495</v>
      </c>
      <c r="J340" s="92"/>
      <c r="K340" s="92"/>
      <c r="L340" s="381" t="s">
        <v>15831</v>
      </c>
    </row>
    <row r="341" spans="1:12">
      <c r="A341" s="92"/>
      <c r="B341" s="345">
        <v>1806165</v>
      </c>
      <c r="C341" s="92" t="s">
        <v>15832</v>
      </c>
      <c r="D341" s="92" t="s">
        <v>15833</v>
      </c>
      <c r="E341" s="92" t="s">
        <v>15834</v>
      </c>
      <c r="F341" s="92" t="s">
        <v>4945</v>
      </c>
      <c r="G341" s="92" t="s">
        <v>15835</v>
      </c>
      <c r="H341" s="345">
        <v>1991</v>
      </c>
      <c r="I341" s="380">
        <v>33543</v>
      </c>
      <c r="J341" s="92"/>
      <c r="K341" s="92"/>
      <c r="L341" s="92"/>
    </row>
    <row r="342" spans="1:12">
      <c r="A342" s="92"/>
      <c r="B342" s="345">
        <v>8591736</v>
      </c>
      <c r="C342" s="92" t="s">
        <v>15836</v>
      </c>
      <c r="D342" s="92" t="s">
        <v>15837</v>
      </c>
      <c r="E342" s="92" t="s">
        <v>15838</v>
      </c>
      <c r="F342" s="92" t="s">
        <v>4946</v>
      </c>
      <c r="G342" s="92" t="s">
        <v>15308</v>
      </c>
      <c r="H342" s="345">
        <v>1995</v>
      </c>
      <c r="I342" s="380">
        <v>34973</v>
      </c>
      <c r="J342" s="92"/>
      <c r="K342" s="92"/>
      <c r="L342" s="92"/>
    </row>
    <row r="343" spans="1:12">
      <c r="A343" s="92"/>
      <c r="B343" s="345">
        <v>9578860</v>
      </c>
      <c r="C343" s="92" t="s">
        <v>15839</v>
      </c>
      <c r="D343" s="92" t="s">
        <v>15840</v>
      </c>
      <c r="E343" s="92" t="s">
        <v>15841</v>
      </c>
      <c r="F343" s="92" t="s">
        <v>4947</v>
      </c>
      <c r="G343" s="92" t="s">
        <v>15842</v>
      </c>
      <c r="H343" s="345">
        <v>1998</v>
      </c>
      <c r="I343" s="380">
        <v>35929</v>
      </c>
      <c r="J343" s="435" t="s">
        <v>4948</v>
      </c>
      <c r="K343" s="425"/>
      <c r="L343" s="381" t="s">
        <v>15843</v>
      </c>
    </row>
    <row r="344" spans="1:12">
      <c r="A344" s="92"/>
      <c r="B344" s="345">
        <v>1920629</v>
      </c>
      <c r="C344" s="92" t="s">
        <v>15844</v>
      </c>
      <c r="D344" s="92" t="s">
        <v>15845</v>
      </c>
      <c r="E344" s="92" t="s">
        <v>15846</v>
      </c>
      <c r="F344" s="92" t="s">
        <v>4950</v>
      </c>
      <c r="G344" s="92" t="s">
        <v>9821</v>
      </c>
      <c r="H344" s="345">
        <v>1991</v>
      </c>
      <c r="I344" s="380">
        <v>33553</v>
      </c>
      <c r="J344" s="92" t="s">
        <v>4951</v>
      </c>
      <c r="K344" s="92"/>
      <c r="L344" s="381" t="s">
        <v>15847</v>
      </c>
    </row>
    <row r="345" spans="1:12">
      <c r="A345" s="92"/>
      <c r="B345" s="345">
        <v>10998316</v>
      </c>
      <c r="C345" s="92" t="s">
        <v>15848</v>
      </c>
      <c r="D345" s="92" t="s">
        <v>15849</v>
      </c>
      <c r="E345" s="92" t="s">
        <v>15850</v>
      </c>
      <c r="F345" s="92" t="s">
        <v>2091</v>
      </c>
      <c r="G345" s="92" t="s">
        <v>15851</v>
      </c>
      <c r="H345" s="345">
        <v>2000</v>
      </c>
      <c r="I345" s="380">
        <v>36791</v>
      </c>
      <c r="J345" s="92"/>
      <c r="K345" s="92"/>
      <c r="L345" s="381" t="s">
        <v>15852</v>
      </c>
    </row>
    <row r="346" spans="1:12">
      <c r="A346" s="92"/>
      <c r="B346" s="345">
        <v>2024229</v>
      </c>
      <c r="C346" s="92" t="s">
        <v>15853</v>
      </c>
      <c r="D346" s="92" t="s">
        <v>15854</v>
      </c>
      <c r="E346" s="92" t="s">
        <v>15855</v>
      </c>
      <c r="F346" s="92" t="s">
        <v>4952</v>
      </c>
      <c r="G346" s="92" t="s">
        <v>15856</v>
      </c>
      <c r="H346" s="345">
        <v>1991</v>
      </c>
      <c r="I346" s="380">
        <v>33239</v>
      </c>
      <c r="J346" s="92"/>
      <c r="K346" s="92"/>
      <c r="L346" s="92"/>
    </row>
    <row r="347" spans="1:12">
      <c r="A347" s="92"/>
      <c r="B347" s="345">
        <v>7735940</v>
      </c>
      <c r="C347" s="92" t="s">
        <v>15857</v>
      </c>
      <c r="D347" s="92" t="s">
        <v>15858</v>
      </c>
      <c r="E347" s="92" t="s">
        <v>15859</v>
      </c>
      <c r="F347" s="92" t="s">
        <v>4953</v>
      </c>
      <c r="G347" s="92" t="s">
        <v>8744</v>
      </c>
      <c r="H347" s="345">
        <v>1994</v>
      </c>
      <c r="I347" s="380">
        <v>34669</v>
      </c>
      <c r="J347" s="92"/>
      <c r="K347" s="92"/>
      <c r="L347" s="92"/>
    </row>
    <row r="348" spans="1:12">
      <c r="A348" s="92"/>
      <c r="B348" s="345">
        <v>8627790</v>
      </c>
      <c r="C348" s="92" t="s">
        <v>15860</v>
      </c>
      <c r="D348" s="92" t="s">
        <v>15861</v>
      </c>
      <c r="E348" s="92" t="s">
        <v>15862</v>
      </c>
      <c r="F348" s="92" t="s">
        <v>4954</v>
      </c>
      <c r="G348" s="92" t="s">
        <v>9821</v>
      </c>
      <c r="H348" s="345">
        <v>1996</v>
      </c>
      <c r="I348" s="380">
        <v>35186</v>
      </c>
      <c r="J348" s="92" t="s">
        <v>4955</v>
      </c>
      <c r="K348" s="92"/>
      <c r="L348" s="381" t="s">
        <v>15863</v>
      </c>
    </row>
    <row r="349" spans="1:12">
      <c r="A349" s="92"/>
      <c r="B349" s="345">
        <v>1626373</v>
      </c>
      <c r="C349" s="92" t="s">
        <v>15864</v>
      </c>
      <c r="D349" s="92" t="s">
        <v>15865</v>
      </c>
      <c r="E349" s="92" t="s">
        <v>15866</v>
      </c>
      <c r="F349" s="92" t="s">
        <v>4957</v>
      </c>
      <c r="G349" s="92" t="s">
        <v>15416</v>
      </c>
      <c r="H349" s="345">
        <v>1992</v>
      </c>
      <c r="I349" s="380">
        <v>33756</v>
      </c>
      <c r="J349" s="92"/>
      <c r="K349" s="92"/>
      <c r="L349" s="381" t="s">
        <v>15867</v>
      </c>
    </row>
    <row r="350" spans="1:12">
      <c r="A350" s="92"/>
      <c r="B350" s="345">
        <v>9988188</v>
      </c>
      <c r="C350" s="92" t="s">
        <v>15868</v>
      </c>
      <c r="D350" s="92" t="s">
        <v>15869</v>
      </c>
      <c r="E350" s="92" t="s">
        <v>15870</v>
      </c>
      <c r="F350" s="92" t="s">
        <v>4958</v>
      </c>
      <c r="G350" s="92" t="s">
        <v>9497</v>
      </c>
      <c r="H350" s="345">
        <v>1999</v>
      </c>
      <c r="I350" s="380">
        <v>36204</v>
      </c>
      <c r="J350" s="92"/>
      <c r="K350" s="92"/>
      <c r="L350" s="381" t="s">
        <v>15871</v>
      </c>
    </row>
    <row r="351" spans="1:12">
      <c r="A351" s="92"/>
      <c r="B351" s="345">
        <v>1859054</v>
      </c>
      <c r="C351" s="92" t="s">
        <v>15872</v>
      </c>
      <c r="D351" s="92" t="s">
        <v>15873</v>
      </c>
      <c r="E351" s="92" t="s">
        <v>15874</v>
      </c>
      <c r="F351" s="92" t="s">
        <v>4959</v>
      </c>
      <c r="G351" s="92" t="s">
        <v>14635</v>
      </c>
      <c r="H351" s="345">
        <v>1991</v>
      </c>
      <c r="I351" s="380">
        <v>33461</v>
      </c>
      <c r="J351" s="92"/>
      <c r="K351" s="92"/>
      <c r="L351" s="381" t="s">
        <v>15875</v>
      </c>
    </row>
    <row r="352" spans="1:12">
      <c r="A352" s="92"/>
      <c r="B352" s="345">
        <v>8274243</v>
      </c>
      <c r="C352" s="92" t="s">
        <v>15876</v>
      </c>
      <c r="D352" s="92" t="s">
        <v>15877</v>
      </c>
      <c r="E352" s="92" t="s">
        <v>15878</v>
      </c>
      <c r="F352" s="92" t="s">
        <v>4960</v>
      </c>
      <c r="G352" s="92" t="s">
        <v>15879</v>
      </c>
      <c r="H352" s="345">
        <v>1993</v>
      </c>
      <c r="I352" s="380">
        <v>33970</v>
      </c>
      <c r="J352" s="92"/>
      <c r="K352" s="92"/>
      <c r="L352" s="381" t="s">
        <v>15880</v>
      </c>
    </row>
    <row r="353" spans="1:12">
      <c r="A353" s="92"/>
      <c r="B353" s="345">
        <v>9846250</v>
      </c>
      <c r="C353" s="92" t="s">
        <v>15881</v>
      </c>
      <c r="D353" s="92" t="s">
        <v>15882</v>
      </c>
      <c r="E353" s="92" t="s">
        <v>15883</v>
      </c>
      <c r="F353" s="92" t="s">
        <v>4961</v>
      </c>
      <c r="G353" s="92" t="s">
        <v>15884</v>
      </c>
      <c r="H353" s="345">
        <v>1998</v>
      </c>
      <c r="I353" s="380">
        <v>36139</v>
      </c>
      <c r="J353" s="92"/>
      <c r="K353" s="92"/>
      <c r="L353" s="92"/>
    </row>
    <row r="354" spans="1:12">
      <c r="A354" s="92"/>
      <c r="B354" s="345">
        <v>2093613</v>
      </c>
      <c r="C354" s="92" t="s">
        <v>15885</v>
      </c>
      <c r="D354" s="92" t="s">
        <v>15886</v>
      </c>
      <c r="E354" s="92" t="s">
        <v>15887</v>
      </c>
      <c r="F354" s="92" t="s">
        <v>4963</v>
      </c>
      <c r="G354" s="92" t="s">
        <v>15888</v>
      </c>
      <c r="H354" s="345">
        <v>1990</v>
      </c>
      <c r="I354" s="380">
        <v>32874</v>
      </c>
      <c r="J354" s="92"/>
      <c r="K354" s="92"/>
      <c r="L354" s="92"/>
    </row>
    <row r="355" spans="1:12">
      <c r="A355" s="92"/>
      <c r="B355" s="345">
        <v>10474212</v>
      </c>
      <c r="C355" s="92" t="s">
        <v>15889</v>
      </c>
      <c r="D355" s="92" t="s">
        <v>15890</v>
      </c>
      <c r="E355" s="92" t="s">
        <v>15891</v>
      </c>
      <c r="F355" s="92" t="s">
        <v>1733</v>
      </c>
      <c r="G355" s="92" t="s">
        <v>15892</v>
      </c>
      <c r="H355" s="345">
        <v>1999</v>
      </c>
      <c r="I355" s="380">
        <v>36407</v>
      </c>
      <c r="J355" s="92"/>
      <c r="K355" s="92"/>
      <c r="L355" s="381" t="s">
        <v>15893</v>
      </c>
    </row>
    <row r="356" spans="1:12">
      <c r="A356" s="92"/>
      <c r="B356" s="345">
        <v>1660638</v>
      </c>
      <c r="C356" s="92" t="s">
        <v>15894</v>
      </c>
      <c r="D356" s="92" t="s">
        <v>15895</v>
      </c>
      <c r="E356" s="92" t="s">
        <v>15896</v>
      </c>
      <c r="F356" s="92" t="s">
        <v>4964</v>
      </c>
      <c r="G356" s="92" t="s">
        <v>15416</v>
      </c>
      <c r="H356" s="345">
        <v>1991</v>
      </c>
      <c r="I356" s="380">
        <v>33522</v>
      </c>
      <c r="J356" s="92"/>
      <c r="K356" s="92"/>
      <c r="L356" s="381" t="s">
        <v>15897</v>
      </c>
    </row>
    <row r="357" spans="1:12">
      <c r="A357" s="92"/>
      <c r="B357" s="345">
        <v>11073159</v>
      </c>
      <c r="C357" s="92" t="s">
        <v>15898</v>
      </c>
      <c r="D357" s="92" t="s">
        <v>15899</v>
      </c>
      <c r="E357" s="92" t="s">
        <v>15900</v>
      </c>
      <c r="F357" s="92" t="s">
        <v>4965</v>
      </c>
      <c r="G357" s="92" t="s">
        <v>15901</v>
      </c>
      <c r="H357" s="345">
        <v>2000</v>
      </c>
      <c r="I357" s="380">
        <v>36840</v>
      </c>
      <c r="J357" s="92"/>
      <c r="K357" s="92"/>
      <c r="L357" s="381" t="s">
        <v>15902</v>
      </c>
    </row>
    <row r="358" spans="1:12">
      <c r="A358" s="92"/>
      <c r="B358" s="345">
        <v>1478536</v>
      </c>
      <c r="C358" s="92" t="s">
        <v>15903</v>
      </c>
      <c r="D358" s="92" t="s">
        <v>15904</v>
      </c>
      <c r="E358" s="92" t="s">
        <v>15905</v>
      </c>
      <c r="F358" s="92" t="s">
        <v>4967</v>
      </c>
      <c r="G358" s="92" t="s">
        <v>15906</v>
      </c>
      <c r="H358" s="345">
        <v>1992</v>
      </c>
      <c r="I358" s="380">
        <v>33604</v>
      </c>
      <c r="J358" s="92"/>
      <c r="K358" s="92"/>
      <c r="L358" s="381" t="s">
        <v>15907</v>
      </c>
    </row>
    <row r="359" spans="1:12">
      <c r="A359" s="92"/>
      <c r="B359" s="345">
        <v>17424062</v>
      </c>
      <c r="C359" s="92" t="s">
        <v>15908</v>
      </c>
      <c r="D359" s="92" t="s">
        <v>15909</v>
      </c>
      <c r="E359" s="92" t="s">
        <v>15910</v>
      </c>
      <c r="F359" s="92" t="s">
        <v>4969</v>
      </c>
      <c r="G359" s="92" t="s">
        <v>15911</v>
      </c>
      <c r="H359" s="345">
        <v>1992</v>
      </c>
      <c r="I359" s="380">
        <v>33817</v>
      </c>
      <c r="J359" s="435" t="s">
        <v>4970</v>
      </c>
      <c r="K359" s="425"/>
      <c r="L359" s="92"/>
    </row>
    <row r="360" spans="1:12">
      <c r="A360" s="92"/>
      <c r="B360" s="345">
        <v>8383943</v>
      </c>
      <c r="C360" s="92" t="s">
        <v>15912</v>
      </c>
      <c r="D360" s="92" t="s">
        <v>15913</v>
      </c>
      <c r="E360" s="92" t="s">
        <v>15914</v>
      </c>
      <c r="F360" s="92" t="s">
        <v>2371</v>
      </c>
      <c r="G360" s="92" t="s">
        <v>8675</v>
      </c>
      <c r="H360" s="345">
        <v>1993</v>
      </c>
      <c r="I360" s="380">
        <v>34001</v>
      </c>
      <c r="J360" s="92" t="s">
        <v>4971</v>
      </c>
      <c r="K360" s="92"/>
      <c r="L360" s="381" t="s">
        <v>15915</v>
      </c>
    </row>
    <row r="361" spans="1:12">
      <c r="A361" s="92"/>
      <c r="B361" s="345">
        <v>1332264</v>
      </c>
      <c r="C361" s="92" t="s">
        <v>15916</v>
      </c>
      <c r="D361" s="92" t="s">
        <v>15917</v>
      </c>
      <c r="E361" s="92" t="s">
        <v>15918</v>
      </c>
      <c r="F361" s="92" t="s">
        <v>4972</v>
      </c>
      <c r="G361" s="92" t="s">
        <v>15919</v>
      </c>
      <c r="H361" s="345">
        <v>1992</v>
      </c>
      <c r="I361" s="380">
        <v>33725</v>
      </c>
      <c r="J361" s="92"/>
      <c r="K361" s="92"/>
      <c r="L361" s="92"/>
    </row>
    <row r="362" spans="1:12">
      <c r="A362" s="92"/>
      <c r="B362" s="345">
        <v>8391229</v>
      </c>
      <c r="C362" s="92" t="s">
        <v>15920</v>
      </c>
      <c r="D362" s="92" t="s">
        <v>15921</v>
      </c>
      <c r="E362" s="92" t="s">
        <v>15922</v>
      </c>
      <c r="F362" s="92" t="s">
        <v>4973</v>
      </c>
      <c r="G362" s="92" t="s">
        <v>15626</v>
      </c>
      <c r="H362" s="345">
        <v>1993</v>
      </c>
      <c r="I362" s="380">
        <v>34090</v>
      </c>
      <c r="J362" s="92"/>
      <c r="K362" s="92"/>
      <c r="L362" s="92"/>
    </row>
    <row r="363" spans="1:12">
      <c r="A363" s="92"/>
      <c r="B363" s="345">
        <v>8200998</v>
      </c>
      <c r="C363" s="92" t="s">
        <v>15923</v>
      </c>
      <c r="D363" s="92" t="s">
        <v>15924</v>
      </c>
      <c r="E363" s="92" t="s">
        <v>15925</v>
      </c>
      <c r="F363" s="92" t="s">
        <v>4974</v>
      </c>
      <c r="G363" s="92" t="s">
        <v>8460</v>
      </c>
      <c r="H363" s="345">
        <v>1994</v>
      </c>
      <c r="I363" s="380">
        <v>34486</v>
      </c>
      <c r="J363" s="92" t="s">
        <v>4975</v>
      </c>
      <c r="K363" s="92"/>
      <c r="L363" s="381" t="s">
        <v>15926</v>
      </c>
    </row>
    <row r="364" spans="1:12">
      <c r="A364" s="92"/>
      <c r="B364" s="345">
        <v>7777323</v>
      </c>
      <c r="C364" s="92" t="s">
        <v>15927</v>
      </c>
      <c r="D364" s="92" t="s">
        <v>15928</v>
      </c>
      <c r="E364" s="92" t="s">
        <v>15929</v>
      </c>
      <c r="F364" s="92" t="s">
        <v>4977</v>
      </c>
      <c r="G364" s="92" t="s">
        <v>15930</v>
      </c>
      <c r="H364" s="345">
        <v>1993</v>
      </c>
      <c r="I364" s="380">
        <v>34304</v>
      </c>
      <c r="J364" s="92"/>
      <c r="K364" s="92"/>
      <c r="L364" s="92"/>
    </row>
    <row r="365" spans="1:12">
      <c r="A365" s="92"/>
      <c r="B365" s="345">
        <v>7502876</v>
      </c>
      <c r="C365" s="92" t="s">
        <v>15931</v>
      </c>
      <c r="D365" s="92" t="s">
        <v>15932</v>
      </c>
      <c r="E365" s="92" t="s">
        <v>15933</v>
      </c>
      <c r="F365" s="92" t="s">
        <v>4979</v>
      </c>
      <c r="G365" s="92" t="s">
        <v>15934</v>
      </c>
      <c r="H365" s="345">
        <v>1995</v>
      </c>
      <c r="I365" s="380">
        <v>34700</v>
      </c>
      <c r="J365" s="92"/>
      <c r="K365" s="92"/>
      <c r="L365" s="92"/>
    </row>
    <row r="366" spans="1:12">
      <c r="A366" s="92"/>
      <c r="B366" s="345">
        <v>10817634</v>
      </c>
      <c r="C366" s="92" t="s">
        <v>15935</v>
      </c>
      <c r="D366" s="92" t="s">
        <v>15936</v>
      </c>
      <c r="E366" s="92" t="s">
        <v>15937</v>
      </c>
      <c r="F366" s="92" t="s">
        <v>4980</v>
      </c>
      <c r="G366" s="92" t="s">
        <v>15938</v>
      </c>
      <c r="H366" s="345">
        <v>2000</v>
      </c>
      <c r="I366" s="380">
        <v>36665</v>
      </c>
      <c r="J366" s="92"/>
      <c r="K366" s="92"/>
      <c r="L366" s="381" t="s">
        <v>15939</v>
      </c>
    </row>
    <row r="367" spans="1:12">
      <c r="A367" s="92"/>
      <c r="B367" s="345">
        <v>9151474</v>
      </c>
      <c r="C367" s="92" t="s">
        <v>15940</v>
      </c>
      <c r="D367" s="92" t="s">
        <v>15941</v>
      </c>
      <c r="E367" s="92" t="s">
        <v>15942</v>
      </c>
      <c r="F367" s="92" t="s">
        <v>4982</v>
      </c>
      <c r="G367" s="92" t="s">
        <v>15308</v>
      </c>
      <c r="H367" s="345">
        <v>1997</v>
      </c>
      <c r="I367" s="380">
        <v>35521</v>
      </c>
      <c r="J367" s="92"/>
      <c r="K367" s="92"/>
      <c r="L367" s="92"/>
    </row>
    <row r="368" spans="1:12">
      <c r="A368" s="92"/>
      <c r="B368" s="345">
        <v>1323974</v>
      </c>
      <c r="C368" s="92" t="s">
        <v>15943</v>
      </c>
      <c r="D368" s="92" t="s">
        <v>15944</v>
      </c>
      <c r="E368" s="92" t="s">
        <v>15945</v>
      </c>
      <c r="F368" s="92" t="s">
        <v>2289</v>
      </c>
      <c r="G368" s="92" t="s">
        <v>15082</v>
      </c>
      <c r="H368" s="345">
        <v>1992</v>
      </c>
      <c r="I368" s="380">
        <v>33848</v>
      </c>
      <c r="J368" s="92"/>
      <c r="K368" s="92"/>
      <c r="L368" s="381" t="s">
        <v>15946</v>
      </c>
    </row>
    <row r="369" spans="1:12">
      <c r="A369" s="92"/>
      <c r="B369" s="345">
        <v>7893886</v>
      </c>
      <c r="C369" s="92" t="s">
        <v>15947</v>
      </c>
      <c r="D369" s="92" t="s">
        <v>15948</v>
      </c>
      <c r="E369" s="92" t="s">
        <v>15949</v>
      </c>
      <c r="F369" s="92" t="s">
        <v>2021</v>
      </c>
      <c r="G369" s="92" t="s">
        <v>9152</v>
      </c>
      <c r="H369" s="345">
        <v>1994</v>
      </c>
      <c r="I369" s="380">
        <v>34639</v>
      </c>
      <c r="J369" s="92"/>
      <c r="K369" s="92"/>
      <c r="L369" s="381" t="s">
        <v>15950</v>
      </c>
    </row>
    <row r="370" spans="1:12">
      <c r="A370" s="92"/>
      <c r="B370" s="345">
        <v>8266017</v>
      </c>
      <c r="C370" s="92" t="s">
        <v>15951</v>
      </c>
      <c r="D370" s="92" t="s">
        <v>15952</v>
      </c>
      <c r="E370" s="92" t="s">
        <v>15953</v>
      </c>
      <c r="F370" s="92" t="s">
        <v>4983</v>
      </c>
      <c r="G370" s="92" t="s">
        <v>15954</v>
      </c>
      <c r="H370" s="345">
        <v>1993</v>
      </c>
      <c r="I370" s="380">
        <v>34243</v>
      </c>
      <c r="J370" s="92"/>
      <c r="K370" s="92"/>
      <c r="L370" s="381" t="s">
        <v>15955</v>
      </c>
    </row>
    <row r="371" spans="1:12">
      <c r="A371" s="92"/>
      <c r="B371" s="345">
        <v>2165848</v>
      </c>
      <c r="C371" s="92" t="s">
        <v>15956</v>
      </c>
      <c r="D371" s="92" t="s">
        <v>15957</v>
      </c>
      <c r="E371" s="92" t="s">
        <v>15958</v>
      </c>
      <c r="F371" s="92" t="s">
        <v>4984</v>
      </c>
      <c r="G371" s="92" t="s">
        <v>15501</v>
      </c>
      <c r="H371" s="345">
        <v>1990</v>
      </c>
      <c r="I371" s="380">
        <v>33025</v>
      </c>
      <c r="J371" s="435" t="s">
        <v>4985</v>
      </c>
      <c r="K371" s="425"/>
      <c r="L371" s="92"/>
    </row>
    <row r="372" spans="1:12">
      <c r="A372" s="92"/>
      <c r="B372" s="345">
        <v>2176532</v>
      </c>
      <c r="C372" s="92" t="s">
        <v>15959</v>
      </c>
      <c r="D372" s="92" t="s">
        <v>15960</v>
      </c>
      <c r="E372" s="92" t="s">
        <v>15961</v>
      </c>
      <c r="F372" s="92" t="s">
        <v>4986</v>
      </c>
      <c r="G372" s="92" t="s">
        <v>15962</v>
      </c>
      <c r="H372" s="345">
        <v>1990</v>
      </c>
      <c r="I372" s="380">
        <v>32964</v>
      </c>
      <c r="J372" s="92"/>
      <c r="K372" s="92"/>
      <c r="L372" s="92"/>
    </row>
    <row r="373" spans="1:12">
      <c r="A373" s="92"/>
      <c r="B373" s="345">
        <v>8237198</v>
      </c>
      <c r="C373" s="92" t="s">
        <v>15963</v>
      </c>
      <c r="D373" s="92" t="s">
        <v>15964</v>
      </c>
      <c r="E373" s="92" t="s">
        <v>15965</v>
      </c>
      <c r="F373" s="92" t="s">
        <v>4987</v>
      </c>
      <c r="G373" s="92" t="s">
        <v>15251</v>
      </c>
      <c r="H373" s="345">
        <v>1993</v>
      </c>
      <c r="I373" s="380">
        <v>34121</v>
      </c>
      <c r="J373" s="92"/>
      <c r="K373" s="92"/>
      <c r="L373" s="381" t="s">
        <v>15966</v>
      </c>
    </row>
    <row r="374" spans="1:12">
      <c r="A374" s="92"/>
      <c r="B374" s="345">
        <v>8274235</v>
      </c>
      <c r="C374" s="92" t="s">
        <v>15967</v>
      </c>
      <c r="D374" s="92" t="s">
        <v>15968</v>
      </c>
      <c r="E374" s="92" t="s">
        <v>15969</v>
      </c>
      <c r="F374" s="92" t="s">
        <v>4988</v>
      </c>
      <c r="G374" s="92" t="s">
        <v>15970</v>
      </c>
      <c r="H374" s="345">
        <v>1993</v>
      </c>
      <c r="I374" s="380">
        <v>34274</v>
      </c>
      <c r="J374" s="92"/>
      <c r="K374" s="92"/>
      <c r="L374" s="92"/>
    </row>
    <row r="375" spans="1:12">
      <c r="A375" s="92"/>
      <c r="B375" s="345">
        <v>8479350</v>
      </c>
      <c r="C375" s="92" t="s">
        <v>15971</v>
      </c>
      <c r="D375" s="92" t="s">
        <v>15972</v>
      </c>
      <c r="E375" s="92" t="s">
        <v>15973</v>
      </c>
      <c r="F375" s="92" t="s">
        <v>4989</v>
      </c>
      <c r="G375" s="92" t="s">
        <v>15974</v>
      </c>
      <c r="H375" s="345">
        <v>1993</v>
      </c>
      <c r="I375" s="380">
        <v>34043</v>
      </c>
      <c r="J375" s="92"/>
      <c r="K375" s="92"/>
      <c r="L375" s="381" t="s">
        <v>15975</v>
      </c>
    </row>
    <row r="376" spans="1:12">
      <c r="A376" s="92"/>
      <c r="B376" s="345">
        <v>7601702</v>
      </c>
      <c r="C376" s="92" t="s">
        <v>15976</v>
      </c>
      <c r="D376" s="92" t="s">
        <v>15977</v>
      </c>
      <c r="E376" s="92" t="s">
        <v>15978</v>
      </c>
      <c r="F376" s="92" t="s">
        <v>4991</v>
      </c>
      <c r="G376" s="92" t="s">
        <v>15979</v>
      </c>
      <c r="H376" s="345">
        <v>1995</v>
      </c>
      <c r="I376" s="380">
        <v>34881</v>
      </c>
      <c r="J376" s="92"/>
      <c r="K376" s="92"/>
      <c r="L376" s="92"/>
    </row>
    <row r="377" spans="1:12">
      <c r="A377" s="92"/>
      <c r="B377" s="345">
        <v>2107204</v>
      </c>
      <c r="C377" s="92" t="s">
        <v>15980</v>
      </c>
      <c r="D377" s="92" t="s">
        <v>15981</v>
      </c>
      <c r="E377" s="92" t="s">
        <v>15982</v>
      </c>
      <c r="F377" s="92" t="s">
        <v>4992</v>
      </c>
      <c r="G377" s="92" t="s">
        <v>14438</v>
      </c>
      <c r="H377" s="345">
        <v>1990</v>
      </c>
      <c r="I377" s="380">
        <v>32905</v>
      </c>
      <c r="J377" s="92" t="s">
        <v>4993</v>
      </c>
      <c r="K377" s="92"/>
      <c r="L377" s="381" t="s">
        <v>15983</v>
      </c>
    </row>
    <row r="378" spans="1:12">
      <c r="A378" s="92"/>
      <c r="B378" s="345">
        <v>2227400</v>
      </c>
      <c r="C378" s="92" t="s">
        <v>15984</v>
      </c>
      <c r="D378" s="92" t="s">
        <v>15985</v>
      </c>
      <c r="E378" s="92" t="s">
        <v>15986</v>
      </c>
      <c r="F378" s="92" t="s">
        <v>4994</v>
      </c>
      <c r="G378" s="92" t="s">
        <v>15987</v>
      </c>
      <c r="H378" s="345">
        <v>1990</v>
      </c>
      <c r="I378" s="380">
        <v>33055</v>
      </c>
      <c r="J378" s="92"/>
      <c r="K378" s="92"/>
      <c r="L378" s="92"/>
    </row>
    <row r="379" spans="1:12">
      <c r="A379" s="92"/>
      <c r="B379" s="345">
        <v>2175064</v>
      </c>
      <c r="C379" s="92" t="s">
        <v>15988</v>
      </c>
      <c r="D379" s="92" t="s">
        <v>15989</v>
      </c>
      <c r="E379" s="92" t="s">
        <v>15990</v>
      </c>
      <c r="F379" s="92" t="s">
        <v>4995</v>
      </c>
      <c r="G379" s="92" t="s">
        <v>15919</v>
      </c>
      <c r="H379" s="345">
        <v>1990</v>
      </c>
      <c r="I379" s="380">
        <v>33055</v>
      </c>
      <c r="J379" s="92"/>
      <c r="K379" s="92"/>
      <c r="L379" s="92"/>
    </row>
    <row r="380" spans="1:12">
      <c r="A380" s="92"/>
      <c r="B380" s="345">
        <v>11798711</v>
      </c>
      <c r="C380" s="92" t="s">
        <v>15991</v>
      </c>
      <c r="D380" s="92" t="s">
        <v>15992</v>
      </c>
      <c r="E380" s="92" t="s">
        <v>15993</v>
      </c>
      <c r="F380" s="92" t="s">
        <v>4996</v>
      </c>
      <c r="G380" s="92" t="s">
        <v>15994</v>
      </c>
      <c r="H380" s="345">
        <v>1999</v>
      </c>
      <c r="I380" s="380">
        <v>37275</v>
      </c>
      <c r="J380" s="92"/>
      <c r="K380" s="92"/>
      <c r="L380" s="92"/>
    </row>
    <row r="381" spans="1:12">
      <c r="A381" s="92"/>
      <c r="B381" s="345">
        <v>10632989</v>
      </c>
      <c r="C381" s="92" t="s">
        <v>15995</v>
      </c>
      <c r="D381" s="92" t="s">
        <v>15996</v>
      </c>
      <c r="E381" s="92" t="s">
        <v>15997</v>
      </c>
      <c r="F381" s="92" t="s">
        <v>4997</v>
      </c>
      <c r="G381" s="92" t="s">
        <v>11142</v>
      </c>
      <c r="H381" s="345">
        <v>1999</v>
      </c>
      <c r="I381" s="380">
        <v>36538</v>
      </c>
      <c r="J381" s="92"/>
      <c r="K381" s="92"/>
      <c r="L381" s="381" t="s">
        <v>15998</v>
      </c>
    </row>
    <row r="382" spans="1:12">
      <c r="A382" s="92"/>
      <c r="B382" s="345">
        <v>8072763</v>
      </c>
      <c r="C382" s="92" t="s">
        <v>15999</v>
      </c>
      <c r="D382" s="92" t="s">
        <v>16000</v>
      </c>
      <c r="E382" s="92" t="s">
        <v>16001</v>
      </c>
      <c r="F382" s="92" t="s">
        <v>4999</v>
      </c>
      <c r="G382" s="92" t="s">
        <v>15744</v>
      </c>
      <c r="H382" s="345">
        <v>1994</v>
      </c>
      <c r="I382" s="380">
        <v>34574</v>
      </c>
      <c r="J382" s="92"/>
      <c r="K382" s="92"/>
      <c r="L382" s="92"/>
    </row>
    <row r="383" spans="1:12">
      <c r="A383" s="92"/>
      <c r="B383" s="345">
        <v>10864514</v>
      </c>
      <c r="C383" s="92" t="s">
        <v>16002</v>
      </c>
      <c r="D383" s="92" t="s">
        <v>16003</v>
      </c>
      <c r="E383" s="92" t="s">
        <v>16004</v>
      </c>
      <c r="F383" s="92" t="s">
        <v>5000</v>
      </c>
      <c r="G383" s="92" t="s">
        <v>15429</v>
      </c>
      <c r="H383" s="345">
        <v>2000</v>
      </c>
      <c r="I383" s="380">
        <v>36700</v>
      </c>
      <c r="J383" s="92"/>
      <c r="K383" s="92"/>
      <c r="L383" s="381" t="s">
        <v>16005</v>
      </c>
    </row>
    <row r="384" spans="1:12">
      <c r="A384" s="92"/>
      <c r="B384" s="345">
        <v>10475720</v>
      </c>
      <c r="C384" s="92" t="s">
        <v>16006</v>
      </c>
      <c r="D384" s="92" t="s">
        <v>16007</v>
      </c>
      <c r="E384" s="92" t="s">
        <v>16008</v>
      </c>
      <c r="F384" s="92" t="s">
        <v>4790</v>
      </c>
      <c r="G384" s="92" t="s">
        <v>10086</v>
      </c>
      <c r="H384" s="345">
        <v>1999</v>
      </c>
      <c r="I384" s="380">
        <v>36407</v>
      </c>
      <c r="J384" s="92"/>
      <c r="K384" s="92"/>
      <c r="L384" s="381" t="s">
        <v>16009</v>
      </c>
    </row>
    <row r="385" spans="1:12">
      <c r="A385" s="92"/>
      <c r="B385" s="345">
        <v>10331961</v>
      </c>
      <c r="C385" s="92" t="s">
        <v>16010</v>
      </c>
      <c r="D385" s="92" t="s">
        <v>16011</v>
      </c>
      <c r="E385" s="92" t="s">
        <v>16012</v>
      </c>
      <c r="F385" s="92" t="s">
        <v>5001</v>
      </c>
      <c r="G385" s="92" t="s">
        <v>16013</v>
      </c>
      <c r="H385" s="345">
        <v>1999</v>
      </c>
      <c r="I385" s="380">
        <v>36300</v>
      </c>
      <c r="J385" s="92"/>
      <c r="K385" s="92"/>
      <c r="L385" s="381" t="s">
        <v>16014</v>
      </c>
    </row>
    <row r="386" spans="1:12">
      <c r="A386" s="92"/>
      <c r="B386" s="345">
        <v>8212568</v>
      </c>
      <c r="C386" s="92" t="s">
        <v>16015</v>
      </c>
      <c r="D386" s="92" t="s">
        <v>16016</v>
      </c>
      <c r="E386" s="92" t="s">
        <v>16017</v>
      </c>
      <c r="F386" s="92" t="s">
        <v>5002</v>
      </c>
      <c r="G386" s="92" t="s">
        <v>9205</v>
      </c>
      <c r="H386" s="345">
        <v>1993</v>
      </c>
      <c r="I386" s="380">
        <v>34274</v>
      </c>
      <c r="J386" s="92"/>
      <c r="K386" s="92"/>
      <c r="L386" s="381" t="s">
        <v>16018</v>
      </c>
    </row>
    <row r="387" spans="1:12">
      <c r="A387" s="92"/>
      <c r="B387" s="345">
        <v>10603669</v>
      </c>
      <c r="C387" s="92" t="s">
        <v>16019</v>
      </c>
      <c r="D387" s="92" t="s">
        <v>16020</v>
      </c>
      <c r="E387" s="92" t="s">
        <v>16021</v>
      </c>
      <c r="F387" s="92" t="s">
        <v>5003</v>
      </c>
      <c r="G387" s="92" t="s">
        <v>16022</v>
      </c>
      <c r="H387" s="345">
        <v>1999</v>
      </c>
      <c r="I387" s="380">
        <v>36516</v>
      </c>
      <c r="J387" s="92"/>
      <c r="K387" s="92"/>
      <c r="L387" s="92"/>
    </row>
    <row r="388" spans="1:12">
      <c r="A388" s="92"/>
      <c r="B388" s="345">
        <v>9674494</v>
      </c>
      <c r="C388" s="92" t="s">
        <v>16023</v>
      </c>
      <c r="D388" s="92" t="s">
        <v>16024</v>
      </c>
      <c r="E388" s="92" t="s">
        <v>16025</v>
      </c>
      <c r="F388" s="92" t="s">
        <v>5004</v>
      </c>
      <c r="G388" s="92" t="s">
        <v>8597</v>
      </c>
      <c r="H388" s="345">
        <v>1998</v>
      </c>
      <c r="I388" s="380">
        <v>35999</v>
      </c>
      <c r="J388" s="92"/>
      <c r="K388" s="92"/>
      <c r="L388" s="381" t="s">
        <v>16026</v>
      </c>
    </row>
    <row r="389" spans="1:12">
      <c r="A389" s="92"/>
      <c r="B389" s="345">
        <v>7916462</v>
      </c>
      <c r="C389" s="92" t="s">
        <v>16027</v>
      </c>
      <c r="D389" s="92" t="s">
        <v>16028</v>
      </c>
      <c r="E389" s="92" t="s">
        <v>16029</v>
      </c>
      <c r="F389" s="92" t="s">
        <v>5005</v>
      </c>
      <c r="G389" s="92" t="s">
        <v>10291</v>
      </c>
      <c r="H389" s="345">
        <v>1994</v>
      </c>
      <c r="I389" s="380">
        <v>34590</v>
      </c>
      <c r="J389" s="92" t="s">
        <v>5006</v>
      </c>
      <c r="K389" s="92"/>
      <c r="L389" s="381" t="s">
        <v>16030</v>
      </c>
    </row>
    <row r="390" spans="1:12">
      <c r="A390" s="92"/>
      <c r="B390" s="345">
        <v>8012763</v>
      </c>
      <c r="C390" s="92" t="s">
        <v>16031</v>
      </c>
      <c r="D390" s="92" t="s">
        <v>16032</v>
      </c>
      <c r="E390" s="92" t="s">
        <v>16033</v>
      </c>
      <c r="F390" s="92" t="s">
        <v>5008</v>
      </c>
      <c r="G390" s="92" t="s">
        <v>16034</v>
      </c>
      <c r="H390" s="345">
        <v>1994</v>
      </c>
      <c r="I390" s="380">
        <v>34394</v>
      </c>
      <c r="J390" s="92"/>
      <c r="K390" s="92"/>
      <c r="L390" s="92"/>
    </row>
    <row r="391" spans="1:12">
      <c r="A391" s="92"/>
      <c r="B391" s="345">
        <v>8141855</v>
      </c>
      <c r="C391" s="92" t="s">
        <v>16035</v>
      </c>
      <c r="D391" s="92" t="s">
        <v>16036</v>
      </c>
      <c r="E391" s="92" t="s">
        <v>16037</v>
      </c>
      <c r="F391" s="92" t="s">
        <v>5010</v>
      </c>
      <c r="G391" s="92" t="s">
        <v>16038</v>
      </c>
      <c r="H391" s="345">
        <v>1993</v>
      </c>
      <c r="I391" s="380">
        <v>34001</v>
      </c>
      <c r="J391" s="92"/>
      <c r="K391" s="92"/>
      <c r="L391" s="381" t="s">
        <v>16039</v>
      </c>
    </row>
    <row r="392" spans="1:12">
      <c r="A392" s="92"/>
      <c r="B392" s="345">
        <v>7866354</v>
      </c>
      <c r="C392" s="92" t="s">
        <v>16040</v>
      </c>
      <c r="D392" s="92" t="s">
        <v>16041</v>
      </c>
      <c r="E392" s="92" t="s">
        <v>16042</v>
      </c>
      <c r="F392" s="92" t="s">
        <v>5011</v>
      </c>
      <c r="G392" s="92" t="s">
        <v>16043</v>
      </c>
      <c r="H392" s="345">
        <v>1994</v>
      </c>
      <c r="I392" s="380">
        <v>34608</v>
      </c>
      <c r="J392" s="92"/>
      <c r="K392" s="92"/>
      <c r="L392" s="381" t="s">
        <v>16044</v>
      </c>
    </row>
    <row r="393" spans="1:12">
      <c r="A393" s="92"/>
      <c r="B393" s="345">
        <v>9363980</v>
      </c>
      <c r="C393" s="92" t="s">
        <v>16045</v>
      </c>
      <c r="D393" s="92" t="s">
        <v>16046</v>
      </c>
      <c r="E393" s="92" t="s">
        <v>16047</v>
      </c>
      <c r="F393" s="92" t="s">
        <v>5012</v>
      </c>
      <c r="G393" s="92" t="s">
        <v>14880</v>
      </c>
      <c r="H393" s="345">
        <v>1997</v>
      </c>
      <c r="I393" s="380">
        <v>35431</v>
      </c>
      <c r="J393" s="92"/>
      <c r="K393" s="92"/>
      <c r="L393" s="381" t="s">
        <v>16048</v>
      </c>
    </row>
    <row r="394" spans="1:12">
      <c r="A394" s="92"/>
      <c r="B394" s="345">
        <v>8151773</v>
      </c>
      <c r="C394" s="92" t="s">
        <v>16049</v>
      </c>
      <c r="D394" s="92" t="s">
        <v>16050</v>
      </c>
      <c r="E394" s="92" t="s">
        <v>16051</v>
      </c>
      <c r="F394" s="92" t="s">
        <v>5014</v>
      </c>
      <c r="G394" s="92" t="s">
        <v>9821</v>
      </c>
      <c r="H394" s="345">
        <v>1994</v>
      </c>
      <c r="I394" s="380">
        <v>34455</v>
      </c>
      <c r="J394" s="92" t="s">
        <v>5015</v>
      </c>
      <c r="K394" s="92"/>
      <c r="L394" s="381" t="s">
        <v>16052</v>
      </c>
    </row>
    <row r="395" spans="1:12">
      <c r="A395" s="92"/>
      <c r="B395" s="345">
        <v>9163727</v>
      </c>
      <c r="C395" s="92" t="s">
        <v>16053</v>
      </c>
      <c r="D395" s="92" t="s">
        <v>16054</v>
      </c>
      <c r="E395" s="92" t="s">
        <v>16055</v>
      </c>
      <c r="F395" s="92" t="s">
        <v>5016</v>
      </c>
      <c r="G395" s="92" t="s">
        <v>14273</v>
      </c>
      <c r="H395" s="345">
        <v>1997</v>
      </c>
      <c r="I395" s="380">
        <v>35550</v>
      </c>
      <c r="J395" s="92"/>
      <c r="K395" s="92"/>
      <c r="L395" s="92"/>
    </row>
    <row r="396" spans="1:12">
      <c r="A396" s="92"/>
      <c r="B396" s="345">
        <v>1306885</v>
      </c>
      <c r="C396" s="92" t="s">
        <v>16056</v>
      </c>
      <c r="D396" s="92" t="s">
        <v>16057</v>
      </c>
      <c r="E396" s="92" t="s">
        <v>16058</v>
      </c>
      <c r="F396" s="92" t="s">
        <v>5017</v>
      </c>
      <c r="G396" s="92" t="s">
        <v>16059</v>
      </c>
      <c r="H396" s="345">
        <v>1992</v>
      </c>
      <c r="I396" s="380">
        <v>33604</v>
      </c>
      <c r="J396" s="92"/>
      <c r="K396" s="92"/>
      <c r="L396" s="381" t="s">
        <v>16060</v>
      </c>
    </row>
    <row r="397" spans="1:12">
      <c r="A397" s="92"/>
      <c r="B397" s="345">
        <v>2310304</v>
      </c>
      <c r="C397" s="92" t="s">
        <v>16061</v>
      </c>
      <c r="D397" s="92" t="s">
        <v>16062</v>
      </c>
      <c r="E397" s="92" t="s">
        <v>16063</v>
      </c>
      <c r="F397" s="92" t="s">
        <v>2100</v>
      </c>
      <c r="G397" s="92" t="s">
        <v>14547</v>
      </c>
      <c r="H397" s="345">
        <v>1990</v>
      </c>
      <c r="I397" s="380">
        <v>32874</v>
      </c>
      <c r="J397" s="92"/>
      <c r="K397" s="92"/>
      <c r="L397" s="381" t="s">
        <v>16064</v>
      </c>
    </row>
    <row r="398" spans="1:12">
      <c r="A398" s="92"/>
      <c r="B398" s="345">
        <v>2373880</v>
      </c>
      <c r="C398" s="92" t="s">
        <v>16065</v>
      </c>
      <c r="D398" s="92" t="s">
        <v>16066</v>
      </c>
      <c r="E398" s="92" t="s">
        <v>16067</v>
      </c>
      <c r="F398" s="92" t="s">
        <v>5018</v>
      </c>
      <c r="G398" s="92" t="s">
        <v>9497</v>
      </c>
      <c r="H398" s="345">
        <v>1990</v>
      </c>
      <c r="I398" s="380">
        <v>33086</v>
      </c>
      <c r="J398" s="92"/>
      <c r="K398" s="92"/>
      <c r="L398" s="381" t="s">
        <v>16068</v>
      </c>
    </row>
    <row r="399" spans="1:12">
      <c r="A399" s="92"/>
      <c r="B399" s="345">
        <v>10607243</v>
      </c>
      <c r="C399" s="92" t="s">
        <v>16069</v>
      </c>
      <c r="D399" s="92" t="s">
        <v>16070</v>
      </c>
      <c r="E399" s="92" t="s">
        <v>16071</v>
      </c>
      <c r="F399" s="92" t="s">
        <v>5020</v>
      </c>
      <c r="G399" s="92" t="s">
        <v>13877</v>
      </c>
      <c r="H399" s="345">
        <v>1999</v>
      </c>
      <c r="I399" s="380">
        <v>36516</v>
      </c>
      <c r="J399" s="92"/>
      <c r="K399" s="92"/>
      <c r="L399" s="381" t="s">
        <v>16072</v>
      </c>
    </row>
    <row r="400" spans="1:12">
      <c r="A400" s="92"/>
      <c r="B400" s="345">
        <v>8235089</v>
      </c>
      <c r="C400" s="92" t="s">
        <v>16073</v>
      </c>
      <c r="D400" s="92" t="s">
        <v>16074</v>
      </c>
      <c r="E400" s="92" t="s">
        <v>16075</v>
      </c>
      <c r="F400" s="92" t="s">
        <v>5021</v>
      </c>
      <c r="G400" s="92" t="s">
        <v>16076</v>
      </c>
      <c r="H400" s="345">
        <v>1993</v>
      </c>
      <c r="I400" s="380">
        <v>34213</v>
      </c>
      <c r="J400" s="92"/>
      <c r="K400" s="92"/>
      <c r="L400" s="381" t="s">
        <v>16077</v>
      </c>
    </row>
    <row r="401" spans="1:12">
      <c r="A401" s="92"/>
      <c r="B401" s="345">
        <v>1492524</v>
      </c>
      <c r="C401" s="92" t="s">
        <v>16078</v>
      </c>
      <c r="D401" s="92" t="s">
        <v>16079</v>
      </c>
      <c r="E401" s="92" t="s">
        <v>16080</v>
      </c>
      <c r="F401" s="92" t="s">
        <v>5022</v>
      </c>
      <c r="G401" s="92" t="s">
        <v>15251</v>
      </c>
      <c r="H401" s="345">
        <v>1992</v>
      </c>
      <c r="I401" s="380">
        <v>33909</v>
      </c>
      <c r="J401" s="92"/>
      <c r="K401" s="92"/>
      <c r="L401" s="381" t="s">
        <v>16081</v>
      </c>
    </row>
    <row r="402" spans="1:12">
      <c r="A402" s="92"/>
      <c r="B402" s="345">
        <v>11145025</v>
      </c>
      <c r="C402" s="92" t="s">
        <v>16082</v>
      </c>
      <c r="D402" s="92" t="s">
        <v>16083</v>
      </c>
      <c r="E402" s="92" t="s">
        <v>16084</v>
      </c>
      <c r="F402" s="92" t="s">
        <v>5023</v>
      </c>
      <c r="G402" s="92" t="s">
        <v>8465</v>
      </c>
      <c r="H402" s="345">
        <v>2000</v>
      </c>
      <c r="I402" s="380">
        <v>36897</v>
      </c>
      <c r="J402" s="92"/>
      <c r="K402" s="92"/>
      <c r="L402" s="381" t="s">
        <v>16085</v>
      </c>
    </row>
    <row r="403" spans="1:12">
      <c r="A403" s="92"/>
      <c r="B403" s="345">
        <v>9656381</v>
      </c>
      <c r="C403" s="92" t="s">
        <v>16086</v>
      </c>
      <c r="D403" s="92" t="s">
        <v>16087</v>
      </c>
      <c r="E403" s="92" t="s">
        <v>16088</v>
      </c>
      <c r="F403" s="92" t="s">
        <v>5024</v>
      </c>
      <c r="G403" s="92" t="s">
        <v>16089</v>
      </c>
      <c r="H403" s="345">
        <v>1997</v>
      </c>
      <c r="I403" s="380">
        <v>35431</v>
      </c>
      <c r="J403" s="92"/>
      <c r="K403" s="92"/>
      <c r="L403" s="92"/>
    </row>
    <row r="404" spans="1:12">
      <c r="A404" s="92"/>
      <c r="B404" s="345">
        <v>9017888</v>
      </c>
      <c r="C404" s="92" t="s">
        <v>16090</v>
      </c>
      <c r="D404" s="92" t="s">
        <v>16091</v>
      </c>
      <c r="E404" s="92" t="s">
        <v>16092</v>
      </c>
      <c r="F404" s="92" t="s">
        <v>5026</v>
      </c>
      <c r="G404" s="92" t="s">
        <v>14848</v>
      </c>
      <c r="H404" s="345">
        <v>1996</v>
      </c>
      <c r="I404" s="380">
        <v>35384</v>
      </c>
      <c r="J404" s="92"/>
      <c r="K404" s="92"/>
      <c r="L404" s="381" t="s">
        <v>16093</v>
      </c>
    </row>
    <row r="405" spans="1:12">
      <c r="A405" s="92"/>
      <c r="B405" s="345">
        <v>12287505</v>
      </c>
      <c r="C405" s="435" t="s">
        <v>16094</v>
      </c>
      <c r="D405" s="425"/>
      <c r="E405" s="435" t="s">
        <v>16095</v>
      </c>
      <c r="F405" s="425"/>
      <c r="G405" s="92" t="s">
        <v>16096</v>
      </c>
      <c r="H405" s="345">
        <v>1994</v>
      </c>
      <c r="I405" s="380">
        <v>34366</v>
      </c>
      <c r="J405" s="92"/>
      <c r="K405" s="92"/>
      <c r="L405" s="92"/>
    </row>
    <row r="406" spans="1:12">
      <c r="A406" s="92"/>
      <c r="B406" s="345">
        <v>11964790</v>
      </c>
      <c r="C406" s="92" t="s">
        <v>16097</v>
      </c>
      <c r="D406" s="92" t="s">
        <v>16098</v>
      </c>
      <c r="E406" s="92" t="s">
        <v>16099</v>
      </c>
      <c r="F406" s="92" t="s">
        <v>5028</v>
      </c>
      <c r="G406" s="92" t="s">
        <v>10663</v>
      </c>
      <c r="H406" s="345">
        <v>2000</v>
      </c>
      <c r="I406" s="380">
        <v>37366</v>
      </c>
      <c r="J406" s="92"/>
      <c r="K406" s="92"/>
      <c r="L406" s="381" t="s">
        <v>16100</v>
      </c>
    </row>
    <row r="407" spans="1:12">
      <c r="A407" s="92"/>
      <c r="B407" s="345">
        <v>8627938</v>
      </c>
      <c r="C407" s="92" t="s">
        <v>16101</v>
      </c>
      <c r="D407" s="92" t="s">
        <v>16102</v>
      </c>
      <c r="E407" s="92" t="s">
        <v>16103</v>
      </c>
      <c r="F407" s="92" t="s">
        <v>5029</v>
      </c>
      <c r="G407" s="92" t="s">
        <v>14930</v>
      </c>
      <c r="H407" s="345">
        <v>1996</v>
      </c>
      <c r="I407" s="380">
        <v>35065</v>
      </c>
      <c r="J407" s="92"/>
      <c r="K407" s="92"/>
      <c r="L407" s="381" t="s">
        <v>16104</v>
      </c>
    </row>
    <row r="408" spans="1:12">
      <c r="A408" s="92"/>
      <c r="B408" s="345">
        <v>2219105</v>
      </c>
      <c r="C408" s="92" t="s">
        <v>16105</v>
      </c>
      <c r="D408" s="92" t="s">
        <v>16106</v>
      </c>
      <c r="E408" s="92" t="s">
        <v>16107</v>
      </c>
      <c r="F408" s="92" t="s">
        <v>5030</v>
      </c>
      <c r="G408" s="92" t="s">
        <v>16108</v>
      </c>
      <c r="H408" s="345">
        <v>1990</v>
      </c>
      <c r="I408" s="380">
        <v>33086</v>
      </c>
      <c r="J408" s="92"/>
      <c r="K408" s="92"/>
      <c r="L408" s="92"/>
    </row>
    <row r="409" spans="1:12">
      <c r="A409" s="92"/>
      <c r="B409" s="345">
        <v>9795803</v>
      </c>
      <c r="C409" s="92" t="s">
        <v>16109</v>
      </c>
      <c r="D409" s="92" t="s">
        <v>16110</v>
      </c>
      <c r="E409" s="92" t="s">
        <v>16111</v>
      </c>
      <c r="F409" s="92" t="s">
        <v>5031</v>
      </c>
      <c r="G409" s="92" t="s">
        <v>16112</v>
      </c>
      <c r="H409" s="345">
        <v>1998</v>
      </c>
      <c r="I409" s="380">
        <v>36099</v>
      </c>
      <c r="J409" s="92"/>
      <c r="K409" s="92"/>
      <c r="L409" s="381" t="s">
        <v>16113</v>
      </c>
    </row>
    <row r="410" spans="1:12">
      <c r="A410" s="92"/>
      <c r="B410" s="345">
        <v>8189410</v>
      </c>
      <c r="C410" s="92" t="s">
        <v>16114</v>
      </c>
      <c r="D410" s="92" t="s">
        <v>16115</v>
      </c>
      <c r="E410" s="92" t="s">
        <v>16116</v>
      </c>
      <c r="F410" s="92" t="s">
        <v>5033</v>
      </c>
      <c r="G410" s="92" t="s">
        <v>15365</v>
      </c>
      <c r="H410" s="345">
        <v>1994</v>
      </c>
      <c r="I410" s="380">
        <v>34394</v>
      </c>
      <c r="J410" s="92"/>
      <c r="K410" s="92"/>
      <c r="L410" s="381" t="s">
        <v>16117</v>
      </c>
    </row>
    <row r="411" spans="1:12">
      <c r="A411" s="92"/>
      <c r="B411" s="345">
        <v>8205400</v>
      </c>
      <c r="C411" s="92" t="s">
        <v>16118</v>
      </c>
      <c r="D411" s="92" t="s">
        <v>16119</v>
      </c>
      <c r="E411" s="92" t="s">
        <v>16120</v>
      </c>
      <c r="F411" s="92" t="s">
        <v>5035</v>
      </c>
      <c r="G411" s="92" t="s">
        <v>16121</v>
      </c>
      <c r="H411" s="345">
        <v>1994</v>
      </c>
      <c r="I411" s="380">
        <v>34486</v>
      </c>
      <c r="J411" s="92"/>
      <c r="K411" s="92"/>
      <c r="L411" s="381" t="s">
        <v>16122</v>
      </c>
    </row>
    <row r="412" spans="1:12">
      <c r="A412" s="92"/>
      <c r="B412" s="345">
        <v>9346184</v>
      </c>
      <c r="C412" s="92" t="s">
        <v>16123</v>
      </c>
      <c r="D412" s="92" t="s">
        <v>16124</v>
      </c>
      <c r="E412" s="92" t="s">
        <v>16125</v>
      </c>
      <c r="F412" s="92" t="s">
        <v>4594</v>
      </c>
      <c r="G412" s="92" t="s">
        <v>16126</v>
      </c>
      <c r="H412" s="345">
        <v>1997</v>
      </c>
      <c r="I412" s="380">
        <v>35739</v>
      </c>
      <c r="J412" s="92"/>
      <c r="K412" s="92"/>
      <c r="L412" s="92"/>
    </row>
    <row r="413" spans="1:12">
      <c r="A413" s="92"/>
      <c r="B413" s="345">
        <v>1692813</v>
      </c>
      <c r="C413" s="92" t="s">
        <v>14786</v>
      </c>
      <c r="D413" s="92" t="s">
        <v>14787</v>
      </c>
      <c r="E413" s="92" t="s">
        <v>14788</v>
      </c>
      <c r="F413" s="92" t="s">
        <v>4415</v>
      </c>
      <c r="G413" s="92" t="s">
        <v>11700</v>
      </c>
      <c r="H413" s="345">
        <v>1990</v>
      </c>
      <c r="I413" s="380">
        <v>33025</v>
      </c>
      <c r="J413" s="92" t="s">
        <v>4684</v>
      </c>
      <c r="K413" s="92"/>
      <c r="L413" s="381" t="s">
        <v>14789</v>
      </c>
    </row>
    <row r="414" spans="1:12">
      <c r="A414" s="92"/>
      <c r="B414" s="345">
        <v>1364023</v>
      </c>
      <c r="C414" s="92" t="s">
        <v>16127</v>
      </c>
      <c r="D414" s="92" t="s">
        <v>16128</v>
      </c>
      <c r="E414" s="92" t="s">
        <v>16129</v>
      </c>
      <c r="F414" s="92" t="s">
        <v>5036</v>
      </c>
      <c r="G414" s="92" t="s">
        <v>16130</v>
      </c>
      <c r="H414" s="345">
        <v>1992</v>
      </c>
      <c r="I414" s="380">
        <v>33878</v>
      </c>
      <c r="J414" s="92"/>
      <c r="K414" s="92"/>
      <c r="L414" s="92"/>
    </row>
    <row r="415" spans="1:12">
      <c r="A415" s="92"/>
      <c r="B415" s="345">
        <v>1858356</v>
      </c>
      <c r="C415" s="92" t="s">
        <v>16131</v>
      </c>
      <c r="D415" s="92" t="s">
        <v>16132</v>
      </c>
      <c r="E415" s="92" t="s">
        <v>16133</v>
      </c>
      <c r="F415" s="92" t="s">
        <v>5037</v>
      </c>
      <c r="G415" s="92" t="s">
        <v>15919</v>
      </c>
      <c r="H415" s="345">
        <v>1991</v>
      </c>
      <c r="I415" s="380">
        <v>33239</v>
      </c>
      <c r="J415" s="92"/>
      <c r="K415" s="92"/>
      <c r="L415" s="92"/>
    </row>
    <row r="416" spans="1:12">
      <c r="A416" s="92"/>
      <c r="B416" s="345">
        <v>2227533</v>
      </c>
      <c r="C416" s="92" t="s">
        <v>16134</v>
      </c>
      <c r="D416" s="92" t="s">
        <v>16135</v>
      </c>
      <c r="E416" s="92" t="s">
        <v>16136</v>
      </c>
      <c r="F416" s="92" t="s">
        <v>5038</v>
      </c>
      <c r="G416" s="92" t="s">
        <v>16137</v>
      </c>
      <c r="H416" s="345">
        <v>1990</v>
      </c>
      <c r="I416" s="380">
        <v>32874</v>
      </c>
      <c r="J416" s="92"/>
      <c r="K416" s="92"/>
      <c r="L416" s="92"/>
    </row>
    <row r="417" spans="1:13">
      <c r="A417" s="349"/>
      <c r="B417" s="349">
        <v>7676671</v>
      </c>
      <c r="C417" s="382" t="s">
        <v>16138</v>
      </c>
      <c r="D417" s="382" t="s">
        <v>16139</v>
      </c>
      <c r="E417" s="382" t="s">
        <v>16140</v>
      </c>
      <c r="F417" s="382" t="s">
        <v>5039</v>
      </c>
      <c r="G417" s="382" t="s">
        <v>15919</v>
      </c>
      <c r="H417" s="349">
        <v>1995</v>
      </c>
      <c r="I417" s="383">
        <v>34820</v>
      </c>
      <c r="J417" s="349"/>
      <c r="K417" s="349"/>
      <c r="L417" s="349"/>
      <c r="M417" s="290"/>
    </row>
    <row r="418" spans="1:13">
      <c r="A418" s="92" t="s">
        <v>16141</v>
      </c>
      <c r="B418" s="345">
        <v>19095497</v>
      </c>
      <c r="C418" s="92" t="s">
        <v>16142</v>
      </c>
      <c r="D418" s="92" t="s">
        <v>16143</v>
      </c>
      <c r="E418" s="92" t="s">
        <v>16144</v>
      </c>
      <c r="F418" s="92" t="s">
        <v>5040</v>
      </c>
      <c r="G418" s="92" t="s">
        <v>11132</v>
      </c>
      <c r="H418" s="345">
        <v>2009</v>
      </c>
      <c r="I418" s="380">
        <v>39802</v>
      </c>
      <c r="J418" s="92"/>
      <c r="K418" s="92"/>
      <c r="L418" s="381" t="s">
        <v>16145</v>
      </c>
    </row>
    <row r="419" spans="1:13">
      <c r="A419" s="92"/>
      <c r="B419" s="345">
        <v>19880020</v>
      </c>
      <c r="C419" s="92" t="s">
        <v>16146</v>
      </c>
      <c r="D419" s="92" t="s">
        <v>16147</v>
      </c>
      <c r="E419" s="92" t="s">
        <v>16148</v>
      </c>
      <c r="F419" s="92" t="s">
        <v>5041</v>
      </c>
      <c r="G419" s="92" t="s">
        <v>9420</v>
      </c>
      <c r="H419" s="345">
        <v>2009</v>
      </c>
      <c r="I419" s="380">
        <v>40120</v>
      </c>
      <c r="J419" s="92"/>
      <c r="K419" s="92"/>
      <c r="L419" s="381" t="s">
        <v>16149</v>
      </c>
    </row>
    <row r="420" spans="1:13">
      <c r="A420" s="92"/>
      <c r="B420" s="345">
        <v>18503626</v>
      </c>
      <c r="C420" s="92" t="s">
        <v>16150</v>
      </c>
      <c r="D420" s="92" t="s">
        <v>16151</v>
      </c>
      <c r="E420" s="92" t="s">
        <v>16152</v>
      </c>
      <c r="F420" s="92" t="s">
        <v>5042</v>
      </c>
      <c r="G420" s="92" t="s">
        <v>16153</v>
      </c>
      <c r="H420" s="345">
        <v>2008</v>
      </c>
      <c r="I420" s="380">
        <v>39596</v>
      </c>
      <c r="J420" s="92"/>
      <c r="K420" s="92"/>
      <c r="L420" s="381" t="s">
        <v>16154</v>
      </c>
    </row>
    <row r="421" spans="1:13">
      <c r="A421" s="92"/>
      <c r="B421" s="345">
        <v>19441868</v>
      </c>
      <c r="C421" s="92" t="s">
        <v>16155</v>
      </c>
      <c r="D421" s="92" t="s">
        <v>16156</v>
      </c>
      <c r="E421" s="92" t="s">
        <v>16157</v>
      </c>
      <c r="F421" s="92" t="s">
        <v>5044</v>
      </c>
      <c r="G421" s="92" t="s">
        <v>8509</v>
      </c>
      <c r="H421" s="345">
        <v>2009</v>
      </c>
      <c r="I421" s="380">
        <v>39949</v>
      </c>
      <c r="J421" s="92"/>
      <c r="K421" s="92"/>
      <c r="L421" s="381" t="s">
        <v>16158</v>
      </c>
    </row>
    <row r="422" spans="1:13">
      <c r="A422" s="92"/>
      <c r="B422" s="345">
        <v>19278981</v>
      </c>
      <c r="C422" s="92" t="s">
        <v>16159</v>
      </c>
      <c r="D422" s="92" t="s">
        <v>16160</v>
      </c>
      <c r="E422" s="92" t="s">
        <v>16161</v>
      </c>
      <c r="F422" s="92" t="s">
        <v>5045</v>
      </c>
      <c r="G422" s="92" t="s">
        <v>16162</v>
      </c>
      <c r="H422" s="345">
        <v>2009</v>
      </c>
      <c r="I422" s="380">
        <v>39885</v>
      </c>
      <c r="J422" s="92"/>
      <c r="K422" s="92"/>
      <c r="L422" s="381" t="s">
        <v>16163</v>
      </c>
    </row>
    <row r="423" spans="1:13">
      <c r="A423" s="92"/>
      <c r="B423" s="345">
        <v>16088455</v>
      </c>
      <c r="C423" s="92" t="s">
        <v>16164</v>
      </c>
      <c r="D423" s="92" t="s">
        <v>16165</v>
      </c>
      <c r="E423" s="92" t="s">
        <v>16166</v>
      </c>
      <c r="F423" s="92" t="s">
        <v>5046</v>
      </c>
      <c r="G423" s="92" t="s">
        <v>11832</v>
      </c>
      <c r="H423" s="345">
        <v>2004</v>
      </c>
      <c r="I423" s="380">
        <v>38574</v>
      </c>
      <c r="J423" s="92"/>
      <c r="K423" s="92"/>
      <c r="L423" s="381" t="s">
        <v>16167</v>
      </c>
    </row>
    <row r="424" spans="1:13">
      <c r="A424" s="92"/>
      <c r="B424" s="345">
        <v>16049208</v>
      </c>
      <c r="C424" s="92" t="s">
        <v>16168</v>
      </c>
      <c r="D424" s="92" t="s">
        <v>16169</v>
      </c>
      <c r="E424" s="92" t="s">
        <v>16170</v>
      </c>
      <c r="F424" s="92" t="s">
        <v>2371</v>
      </c>
      <c r="G424" s="92" t="s">
        <v>8514</v>
      </c>
      <c r="H424" s="345">
        <v>2005</v>
      </c>
      <c r="I424" s="380">
        <v>38562</v>
      </c>
      <c r="J424" s="92"/>
      <c r="K424" s="92"/>
      <c r="L424" s="381" t="s">
        <v>16171</v>
      </c>
    </row>
    <row r="425" spans="1:13">
      <c r="A425" s="92"/>
      <c r="B425" s="345">
        <v>17296917</v>
      </c>
      <c r="C425" s="92" t="s">
        <v>16172</v>
      </c>
      <c r="D425" s="92" t="s">
        <v>16173</v>
      </c>
      <c r="E425" s="92" t="s">
        <v>16174</v>
      </c>
      <c r="F425" s="92" t="s">
        <v>5047</v>
      </c>
      <c r="G425" s="92" t="s">
        <v>8529</v>
      </c>
      <c r="H425" s="345">
        <v>2007</v>
      </c>
      <c r="I425" s="380">
        <v>39127</v>
      </c>
      <c r="J425" s="92"/>
      <c r="K425" s="92"/>
      <c r="L425" s="381" t="s">
        <v>16175</v>
      </c>
    </row>
    <row r="426" spans="1:13">
      <c r="A426" s="92"/>
      <c r="B426" s="345">
        <v>17346212</v>
      </c>
      <c r="C426" s="92" t="s">
        <v>16176</v>
      </c>
      <c r="D426" s="92" t="s">
        <v>16177</v>
      </c>
      <c r="E426" s="92" t="s">
        <v>16178</v>
      </c>
      <c r="F426" s="92" t="s">
        <v>5048</v>
      </c>
      <c r="G426" s="92" t="s">
        <v>16179</v>
      </c>
      <c r="H426" s="345">
        <v>2007</v>
      </c>
      <c r="I426" s="380">
        <v>39151</v>
      </c>
      <c r="J426" s="92"/>
      <c r="K426" s="92"/>
      <c r="L426" s="381" t="s">
        <v>16180</v>
      </c>
    </row>
    <row r="427" spans="1:13">
      <c r="A427" s="92"/>
      <c r="B427" s="345">
        <v>16330791</v>
      </c>
      <c r="C427" s="92" t="s">
        <v>16181</v>
      </c>
      <c r="D427" s="92" t="s">
        <v>16182</v>
      </c>
      <c r="E427" s="92" t="s">
        <v>16183</v>
      </c>
      <c r="F427" s="92" t="s">
        <v>5049</v>
      </c>
      <c r="G427" s="92" t="s">
        <v>13056</v>
      </c>
      <c r="H427" s="345">
        <v>2005</v>
      </c>
      <c r="I427" s="380">
        <v>38693</v>
      </c>
      <c r="J427" s="92"/>
      <c r="K427" s="92"/>
      <c r="L427" s="381" t="s">
        <v>16184</v>
      </c>
    </row>
    <row r="428" spans="1:13">
      <c r="A428" s="92"/>
      <c r="B428" s="345">
        <v>20926833</v>
      </c>
      <c r="C428" s="92" t="s">
        <v>10050</v>
      </c>
      <c r="D428" s="92" t="s">
        <v>10051</v>
      </c>
      <c r="E428" s="92" t="s">
        <v>10052</v>
      </c>
      <c r="F428" s="92" t="s">
        <v>5050</v>
      </c>
      <c r="G428" s="92" t="s">
        <v>10053</v>
      </c>
      <c r="H428" s="345">
        <v>2010</v>
      </c>
      <c r="I428" s="380">
        <v>40459</v>
      </c>
      <c r="J428" s="92"/>
      <c r="K428" s="92"/>
      <c r="L428" s="381" t="s">
        <v>10054</v>
      </c>
    </row>
    <row r="429" spans="1:13">
      <c r="A429" s="92"/>
      <c r="B429" s="345">
        <v>12682561</v>
      </c>
      <c r="C429" s="92" t="s">
        <v>16185</v>
      </c>
      <c r="D429" s="92" t="s">
        <v>16186</v>
      </c>
      <c r="E429" s="92" t="s">
        <v>16187</v>
      </c>
      <c r="F429" s="92" t="s">
        <v>5052</v>
      </c>
      <c r="G429" s="92" t="s">
        <v>15179</v>
      </c>
      <c r="H429" s="345">
        <v>2003</v>
      </c>
      <c r="I429" s="380">
        <v>37723</v>
      </c>
      <c r="J429" s="92"/>
      <c r="K429" s="92"/>
      <c r="L429" s="381" t="s">
        <v>16188</v>
      </c>
    </row>
    <row r="430" spans="1:13">
      <c r="A430" s="92"/>
      <c r="B430" s="345">
        <v>15248252</v>
      </c>
      <c r="C430" s="92" t="s">
        <v>16189</v>
      </c>
      <c r="D430" s="92" t="s">
        <v>16190</v>
      </c>
      <c r="E430" s="92" t="s">
        <v>16191</v>
      </c>
      <c r="F430" s="92" t="s">
        <v>5053</v>
      </c>
      <c r="G430" s="92" t="s">
        <v>14978</v>
      </c>
      <c r="H430" s="345">
        <v>2004</v>
      </c>
      <c r="I430" s="380">
        <v>38181</v>
      </c>
      <c r="J430" s="92"/>
      <c r="K430" s="92"/>
      <c r="L430" s="381" t="s">
        <v>16192</v>
      </c>
    </row>
    <row r="431" spans="1:13">
      <c r="A431" s="92"/>
      <c r="B431" s="345">
        <v>10697061</v>
      </c>
      <c r="C431" s="92" t="s">
        <v>14802</v>
      </c>
      <c r="D431" s="92" t="s">
        <v>14803</v>
      </c>
      <c r="E431" s="92" t="s">
        <v>14804</v>
      </c>
      <c r="F431" s="92" t="s">
        <v>4399</v>
      </c>
      <c r="G431" s="92" t="s">
        <v>8580</v>
      </c>
      <c r="H431" s="345">
        <v>2000</v>
      </c>
      <c r="I431" s="380">
        <v>36589</v>
      </c>
      <c r="J431" s="92"/>
      <c r="K431" s="92"/>
      <c r="L431" s="381" t="s">
        <v>14805</v>
      </c>
    </row>
    <row r="432" spans="1:13">
      <c r="A432" s="92"/>
      <c r="B432" s="345">
        <v>14724468</v>
      </c>
      <c r="C432" s="92" t="s">
        <v>16193</v>
      </c>
      <c r="D432" s="92" t="s">
        <v>16194</v>
      </c>
      <c r="E432" s="92" t="s">
        <v>16195</v>
      </c>
      <c r="F432" s="92" t="s">
        <v>5054</v>
      </c>
      <c r="G432" s="92" t="s">
        <v>8504</v>
      </c>
      <c r="H432" s="345">
        <v>2003</v>
      </c>
      <c r="I432" s="380">
        <v>38002</v>
      </c>
      <c r="J432" s="92"/>
      <c r="K432" s="92"/>
      <c r="L432" s="381" t="s">
        <v>16196</v>
      </c>
    </row>
    <row r="433" spans="1:12">
      <c r="A433" s="92"/>
      <c r="B433" s="345">
        <v>18027987</v>
      </c>
      <c r="C433" s="92" t="s">
        <v>16197</v>
      </c>
      <c r="D433" s="92" t="s">
        <v>16198</v>
      </c>
      <c r="E433" s="92" t="s">
        <v>16199</v>
      </c>
      <c r="F433" s="92" t="s">
        <v>5055</v>
      </c>
      <c r="G433" s="92" t="s">
        <v>9524</v>
      </c>
      <c r="H433" s="345">
        <v>2007</v>
      </c>
      <c r="I433" s="380">
        <v>39408</v>
      </c>
      <c r="J433" s="92"/>
      <c r="K433" s="92"/>
      <c r="L433" s="381" t="s">
        <v>16200</v>
      </c>
    </row>
    <row r="434" spans="1:12">
      <c r="A434" s="92"/>
      <c r="B434" s="345">
        <v>15740542</v>
      </c>
      <c r="C434" s="92" t="s">
        <v>16201</v>
      </c>
      <c r="D434" s="92" t="s">
        <v>16202</v>
      </c>
      <c r="E434" s="92" t="s">
        <v>16203</v>
      </c>
      <c r="F434" s="92" t="s">
        <v>5056</v>
      </c>
      <c r="G434" s="92" t="s">
        <v>8685</v>
      </c>
      <c r="H434" s="345">
        <v>2005</v>
      </c>
      <c r="I434" s="380">
        <v>38414</v>
      </c>
      <c r="J434" s="92"/>
      <c r="K434" s="92"/>
      <c r="L434" s="381" t="s">
        <v>16204</v>
      </c>
    </row>
    <row r="435" spans="1:12">
      <c r="A435" s="92"/>
      <c r="B435" s="345">
        <v>18974084</v>
      </c>
      <c r="C435" s="92" t="s">
        <v>16205</v>
      </c>
      <c r="D435" s="92" t="s">
        <v>16206</v>
      </c>
      <c r="E435" s="92" t="s">
        <v>16207</v>
      </c>
      <c r="F435" s="92" t="s">
        <v>5057</v>
      </c>
      <c r="G435" s="92" t="s">
        <v>16208</v>
      </c>
      <c r="H435" s="345">
        <v>2008</v>
      </c>
      <c r="I435" s="380">
        <v>39753</v>
      </c>
      <c r="J435" s="435" t="s">
        <v>5058</v>
      </c>
      <c r="K435" s="425"/>
      <c r="L435" s="381" t="s">
        <v>16209</v>
      </c>
    </row>
    <row r="436" spans="1:12">
      <c r="A436" s="92"/>
      <c r="B436" s="345">
        <v>15207963</v>
      </c>
      <c r="C436" s="92" t="s">
        <v>16210</v>
      </c>
      <c r="D436" s="92" t="s">
        <v>16211</v>
      </c>
      <c r="E436" s="92" t="s">
        <v>16212</v>
      </c>
      <c r="F436" s="92" t="s">
        <v>5059</v>
      </c>
      <c r="G436" s="92" t="s">
        <v>9420</v>
      </c>
      <c r="H436" s="345">
        <v>2004</v>
      </c>
      <c r="I436" s="380">
        <v>38161</v>
      </c>
      <c r="J436" s="92"/>
      <c r="K436" s="92"/>
      <c r="L436" s="381" t="s">
        <v>16213</v>
      </c>
    </row>
    <row r="437" spans="1:12">
      <c r="A437" s="92"/>
      <c r="B437" s="345">
        <v>18231878</v>
      </c>
      <c r="C437" s="92" t="s">
        <v>16214</v>
      </c>
      <c r="D437" s="92" t="s">
        <v>16215</v>
      </c>
      <c r="E437" s="92" t="s">
        <v>16216</v>
      </c>
      <c r="F437" s="92" t="s">
        <v>5061</v>
      </c>
      <c r="G437" s="92" t="s">
        <v>16217</v>
      </c>
      <c r="H437" s="345">
        <v>2008</v>
      </c>
      <c r="I437" s="380">
        <v>39478</v>
      </c>
      <c r="J437" s="435" t="s">
        <v>5062</v>
      </c>
      <c r="K437" s="425"/>
      <c r="L437" s="381" t="s">
        <v>16218</v>
      </c>
    </row>
    <row r="438" spans="1:12">
      <c r="A438" s="92"/>
      <c r="B438" s="345">
        <v>20970725</v>
      </c>
      <c r="C438" s="92" t="s">
        <v>16219</v>
      </c>
      <c r="D438" s="92" t="s">
        <v>16220</v>
      </c>
      <c r="E438" s="92" t="s">
        <v>16221</v>
      </c>
      <c r="F438" s="92" t="s">
        <v>5063</v>
      </c>
      <c r="G438" s="92" t="s">
        <v>16222</v>
      </c>
      <c r="H438" s="345">
        <v>2010</v>
      </c>
      <c r="I438" s="380">
        <v>40477</v>
      </c>
      <c r="J438" s="92"/>
      <c r="K438" s="92"/>
      <c r="L438" s="381" t="s">
        <v>16223</v>
      </c>
    </row>
    <row r="439" spans="1:12">
      <c r="A439" s="92"/>
      <c r="B439" s="345">
        <v>21076711</v>
      </c>
      <c r="C439" s="92" t="s">
        <v>16224</v>
      </c>
      <c r="D439" s="92" t="s">
        <v>16225</v>
      </c>
      <c r="E439" s="92" t="s">
        <v>16226</v>
      </c>
      <c r="F439" s="92" t="s">
        <v>5064</v>
      </c>
      <c r="G439" s="92" t="s">
        <v>11456</v>
      </c>
      <c r="H439" s="345">
        <v>2010</v>
      </c>
      <c r="I439" s="380">
        <v>40498</v>
      </c>
      <c r="J439" s="92"/>
      <c r="K439" s="92"/>
      <c r="L439" s="381" t="s">
        <v>16227</v>
      </c>
    </row>
    <row r="440" spans="1:12">
      <c r="A440" s="92"/>
      <c r="B440" s="345">
        <v>20687080</v>
      </c>
      <c r="C440" s="92" t="s">
        <v>16228</v>
      </c>
      <c r="D440" s="92" t="s">
        <v>16229</v>
      </c>
      <c r="E440" s="92" t="s">
        <v>16230</v>
      </c>
      <c r="F440" s="92" t="s">
        <v>5065</v>
      </c>
      <c r="G440" s="92" t="s">
        <v>8857</v>
      </c>
      <c r="H440" s="345">
        <v>2010</v>
      </c>
      <c r="I440" s="380">
        <v>40396</v>
      </c>
      <c r="J440" s="92"/>
      <c r="K440" s="92"/>
      <c r="L440" s="381" t="s">
        <v>16231</v>
      </c>
    </row>
    <row r="441" spans="1:12">
      <c r="A441" s="92"/>
      <c r="B441" s="345">
        <v>10987115</v>
      </c>
      <c r="C441" s="92" t="s">
        <v>14821</v>
      </c>
      <c r="D441" s="92" t="s">
        <v>14822</v>
      </c>
      <c r="E441" s="92" t="s">
        <v>14823</v>
      </c>
      <c r="F441" s="92" t="s">
        <v>4692</v>
      </c>
      <c r="G441" s="92" t="s">
        <v>8622</v>
      </c>
      <c r="H441" s="345">
        <v>2000</v>
      </c>
      <c r="I441" s="380">
        <v>36784</v>
      </c>
      <c r="J441" s="92"/>
      <c r="K441" s="92"/>
      <c r="L441" s="381" t="s">
        <v>14824</v>
      </c>
    </row>
    <row r="442" spans="1:12">
      <c r="A442" s="92"/>
      <c r="B442" s="345">
        <v>17645934</v>
      </c>
      <c r="C442" s="92" t="s">
        <v>16232</v>
      </c>
      <c r="D442" s="92" t="s">
        <v>16233</v>
      </c>
      <c r="E442" s="92" t="s">
        <v>16234</v>
      </c>
      <c r="F442" s="92" t="s">
        <v>5066</v>
      </c>
      <c r="G442" s="92" t="s">
        <v>11935</v>
      </c>
      <c r="H442" s="345">
        <v>2007</v>
      </c>
      <c r="I442" s="380">
        <v>39288</v>
      </c>
      <c r="J442" s="92"/>
      <c r="K442" s="92"/>
      <c r="L442" s="381" t="s">
        <v>16235</v>
      </c>
    </row>
    <row r="443" spans="1:12">
      <c r="A443" s="92"/>
      <c r="B443" s="345">
        <v>11603617</v>
      </c>
      <c r="C443" s="92" t="s">
        <v>16236</v>
      </c>
      <c r="D443" s="92" t="s">
        <v>16237</v>
      </c>
      <c r="E443" s="92" t="s">
        <v>16238</v>
      </c>
      <c r="F443" s="92" t="s">
        <v>5067</v>
      </c>
      <c r="G443" s="92" t="s">
        <v>16239</v>
      </c>
      <c r="H443" s="345">
        <v>2001</v>
      </c>
      <c r="I443" s="380">
        <v>37182</v>
      </c>
      <c r="J443" s="92"/>
      <c r="K443" s="92"/>
      <c r="L443" s="92"/>
    </row>
    <row r="444" spans="1:12">
      <c r="A444" s="92"/>
      <c r="B444" s="345">
        <v>20828335</v>
      </c>
      <c r="C444" s="92" t="s">
        <v>16240</v>
      </c>
      <c r="D444" s="92" t="s">
        <v>16241</v>
      </c>
      <c r="E444" s="92" t="s">
        <v>16242</v>
      </c>
      <c r="F444" s="92" t="s">
        <v>5068</v>
      </c>
      <c r="G444" s="92" t="s">
        <v>11252</v>
      </c>
      <c r="H444" s="345">
        <v>2010</v>
      </c>
      <c r="I444" s="380">
        <v>40432</v>
      </c>
      <c r="J444" s="92"/>
      <c r="K444" s="92"/>
      <c r="L444" s="381" t="s">
        <v>16243</v>
      </c>
    </row>
    <row r="445" spans="1:12">
      <c r="A445" s="92"/>
      <c r="B445" s="345">
        <v>20799759</v>
      </c>
      <c r="C445" s="92" t="s">
        <v>16244</v>
      </c>
      <c r="D445" s="92" t="s">
        <v>16245</v>
      </c>
      <c r="E445" s="92" t="s">
        <v>16246</v>
      </c>
      <c r="F445" s="92" t="s">
        <v>5069</v>
      </c>
      <c r="G445" s="92" t="s">
        <v>8749</v>
      </c>
      <c r="H445" s="345">
        <v>2010</v>
      </c>
      <c r="I445" s="380">
        <v>40421</v>
      </c>
      <c r="J445" s="92"/>
      <c r="K445" s="92"/>
      <c r="L445" s="381" t="s">
        <v>16247</v>
      </c>
    </row>
    <row r="446" spans="1:12">
      <c r="A446" s="92"/>
      <c r="B446" s="345">
        <v>15288821</v>
      </c>
      <c r="C446" s="92" t="s">
        <v>16248</v>
      </c>
      <c r="D446" s="92" t="s">
        <v>16249</v>
      </c>
      <c r="E446" s="92" t="s">
        <v>16250</v>
      </c>
      <c r="F446" s="92" t="s">
        <v>5070</v>
      </c>
      <c r="G446" s="92" t="s">
        <v>10976</v>
      </c>
      <c r="H446" s="345">
        <v>2004</v>
      </c>
      <c r="I446" s="380">
        <v>38203</v>
      </c>
      <c r="J446" s="92"/>
      <c r="K446" s="92"/>
      <c r="L446" s="381" t="s">
        <v>16251</v>
      </c>
    </row>
    <row r="447" spans="1:12">
      <c r="A447" s="92"/>
      <c r="B447" s="345">
        <v>18044074</v>
      </c>
      <c r="C447" s="92" t="s">
        <v>16252</v>
      </c>
      <c r="D447" s="92" t="s">
        <v>16253</v>
      </c>
      <c r="E447" s="92" t="s">
        <v>16254</v>
      </c>
      <c r="F447" s="92" t="s">
        <v>5071</v>
      </c>
      <c r="G447" s="92" t="s">
        <v>10365</v>
      </c>
      <c r="H447" s="345">
        <v>2007</v>
      </c>
      <c r="I447" s="380">
        <v>39416</v>
      </c>
      <c r="J447" s="435" t="s">
        <v>5072</v>
      </c>
      <c r="K447" s="425"/>
      <c r="L447" s="381" t="s">
        <v>16255</v>
      </c>
    </row>
    <row r="448" spans="1:12">
      <c r="A448" s="92"/>
      <c r="B448" s="345">
        <v>20824838</v>
      </c>
      <c r="C448" s="92" t="s">
        <v>16256</v>
      </c>
      <c r="D448" s="92" t="s">
        <v>16257</v>
      </c>
      <c r="E448" s="92" t="s">
        <v>16258</v>
      </c>
      <c r="F448" s="92" t="s">
        <v>5073</v>
      </c>
      <c r="G448" s="92" t="s">
        <v>8857</v>
      </c>
      <c r="H448" s="345">
        <v>2010</v>
      </c>
      <c r="I448" s="380">
        <v>40430</v>
      </c>
      <c r="J448" s="92"/>
      <c r="K448" s="92"/>
      <c r="L448" s="381" t="s">
        <v>16259</v>
      </c>
    </row>
    <row r="449" spans="1:12">
      <c r="A449" s="92"/>
      <c r="B449" s="345">
        <v>20524912</v>
      </c>
      <c r="C449" s="92" t="s">
        <v>16260</v>
      </c>
      <c r="D449" s="92" t="s">
        <v>16261</v>
      </c>
      <c r="E449" s="92" t="s">
        <v>16262</v>
      </c>
      <c r="F449" s="92" t="s">
        <v>5074</v>
      </c>
      <c r="G449" s="92" t="s">
        <v>13886</v>
      </c>
      <c r="H449" s="345">
        <v>2010</v>
      </c>
      <c r="I449" s="380">
        <v>40337</v>
      </c>
      <c r="J449" s="92"/>
      <c r="K449" s="92"/>
      <c r="L449" s="381" t="s">
        <v>16263</v>
      </c>
    </row>
    <row r="450" spans="1:12">
      <c r="A450" s="92"/>
      <c r="B450" s="345">
        <v>15312114</v>
      </c>
      <c r="C450" s="92" t="s">
        <v>16264</v>
      </c>
      <c r="D450" s="92" t="s">
        <v>16265</v>
      </c>
      <c r="E450" s="92" t="s">
        <v>16266</v>
      </c>
      <c r="F450" s="92" t="s">
        <v>5075</v>
      </c>
      <c r="G450" s="92" t="s">
        <v>16267</v>
      </c>
      <c r="H450" s="345">
        <v>2004</v>
      </c>
      <c r="I450" s="380">
        <v>38217</v>
      </c>
      <c r="J450" s="92"/>
      <c r="K450" s="92"/>
      <c r="L450" s="381" t="s">
        <v>16268</v>
      </c>
    </row>
    <row r="451" spans="1:12">
      <c r="A451" s="92"/>
      <c r="B451" s="345">
        <v>17054156</v>
      </c>
      <c r="C451" s="92" t="s">
        <v>16269</v>
      </c>
      <c r="D451" s="92" t="s">
        <v>16270</v>
      </c>
      <c r="E451" s="92" t="s">
        <v>16271</v>
      </c>
      <c r="F451" s="92" t="s">
        <v>5076</v>
      </c>
      <c r="G451" s="92" t="s">
        <v>8857</v>
      </c>
      <c r="H451" s="345">
        <v>2006</v>
      </c>
      <c r="I451" s="380">
        <v>39011</v>
      </c>
      <c r="J451" s="92"/>
      <c r="K451" s="92"/>
      <c r="L451" s="381" t="s">
        <v>16272</v>
      </c>
    </row>
    <row r="452" spans="1:12">
      <c r="A452" s="92"/>
      <c r="B452" s="345">
        <v>17132140</v>
      </c>
      <c r="C452" s="92" t="s">
        <v>16273</v>
      </c>
      <c r="D452" s="92" t="s">
        <v>16274</v>
      </c>
      <c r="E452" s="92" t="s">
        <v>16275</v>
      </c>
      <c r="F452" s="92" t="s">
        <v>5077</v>
      </c>
      <c r="G452" s="92" t="s">
        <v>16043</v>
      </c>
      <c r="H452" s="345">
        <v>2006</v>
      </c>
      <c r="I452" s="380">
        <v>39051</v>
      </c>
      <c r="J452" s="435" t="s">
        <v>5078</v>
      </c>
      <c r="K452" s="425"/>
      <c r="L452" s="381" t="s">
        <v>16276</v>
      </c>
    </row>
    <row r="453" spans="1:12">
      <c r="A453" s="92"/>
      <c r="B453" s="345">
        <v>18827584</v>
      </c>
      <c r="C453" s="92" t="s">
        <v>16277</v>
      </c>
      <c r="D453" s="92" t="s">
        <v>16278</v>
      </c>
      <c r="E453" s="92" t="s">
        <v>16279</v>
      </c>
      <c r="F453" s="92" t="s">
        <v>5079</v>
      </c>
      <c r="G453" s="92" t="s">
        <v>14993</v>
      </c>
      <c r="H453" s="345">
        <v>2008</v>
      </c>
      <c r="I453" s="380">
        <v>39723</v>
      </c>
      <c r="J453" s="92"/>
      <c r="K453" s="92"/>
      <c r="L453" s="381" t="s">
        <v>16280</v>
      </c>
    </row>
    <row r="454" spans="1:12">
      <c r="A454" s="92"/>
      <c r="B454" s="345">
        <v>16113484</v>
      </c>
      <c r="C454" s="92" t="s">
        <v>16281</v>
      </c>
      <c r="D454" s="92" t="s">
        <v>16282</v>
      </c>
      <c r="E454" s="92" t="s">
        <v>16283</v>
      </c>
      <c r="F454" s="92" t="s">
        <v>5080</v>
      </c>
      <c r="G454" s="92" t="s">
        <v>9506</v>
      </c>
      <c r="H454" s="345">
        <v>2005</v>
      </c>
      <c r="I454" s="380">
        <v>38587</v>
      </c>
      <c r="J454" s="92"/>
      <c r="K454" s="92"/>
      <c r="L454" s="381" t="s">
        <v>16284</v>
      </c>
    </row>
    <row r="455" spans="1:12">
      <c r="A455" s="92"/>
      <c r="B455" s="345">
        <v>18298852</v>
      </c>
      <c r="C455" s="92" t="s">
        <v>16285</v>
      </c>
      <c r="D455" s="92" t="s">
        <v>16286</v>
      </c>
      <c r="E455" s="92" t="s">
        <v>16287</v>
      </c>
      <c r="F455" s="92" t="s">
        <v>5081</v>
      </c>
      <c r="G455" s="92" t="s">
        <v>16288</v>
      </c>
      <c r="H455" s="345">
        <v>2008</v>
      </c>
      <c r="I455" s="380">
        <v>39505</v>
      </c>
      <c r="J455" s="435" t="s">
        <v>5082</v>
      </c>
      <c r="K455" s="425"/>
      <c r="L455" s="381" t="s">
        <v>16289</v>
      </c>
    </row>
    <row r="456" spans="1:12">
      <c r="A456" s="92"/>
      <c r="B456" s="345">
        <v>19751550</v>
      </c>
      <c r="C456" s="92" t="s">
        <v>16290</v>
      </c>
      <c r="D456" s="92" t="s">
        <v>16291</v>
      </c>
      <c r="E456" s="92" t="s">
        <v>16292</v>
      </c>
      <c r="F456" s="92" t="s">
        <v>5083</v>
      </c>
      <c r="G456" s="92" t="s">
        <v>16293</v>
      </c>
      <c r="H456" s="345">
        <v>2009</v>
      </c>
      <c r="I456" s="380">
        <v>40072</v>
      </c>
      <c r="J456" s="92"/>
      <c r="K456" s="92"/>
      <c r="L456" s="381" t="s">
        <v>16294</v>
      </c>
    </row>
    <row r="457" spans="1:12">
      <c r="A457" s="92"/>
      <c r="B457" s="345">
        <v>17636705</v>
      </c>
      <c r="C457" s="92" t="s">
        <v>16295</v>
      </c>
      <c r="D457" s="92" t="s">
        <v>16296</v>
      </c>
      <c r="E457" s="92" t="s">
        <v>16297</v>
      </c>
      <c r="F457" s="92" t="s">
        <v>5084</v>
      </c>
      <c r="G457" s="92" t="s">
        <v>8857</v>
      </c>
      <c r="H457" s="345">
        <v>2007</v>
      </c>
      <c r="I457" s="380">
        <v>39283</v>
      </c>
      <c r="J457" s="92"/>
      <c r="K457" s="92"/>
      <c r="L457" s="381" t="s">
        <v>16298</v>
      </c>
    </row>
    <row r="458" spans="1:12">
      <c r="A458" s="92"/>
      <c r="B458" s="345">
        <v>20409026</v>
      </c>
      <c r="C458" s="92" t="s">
        <v>16299</v>
      </c>
      <c r="D458" s="92" t="s">
        <v>16300</v>
      </c>
      <c r="E458" s="92" t="s">
        <v>16301</v>
      </c>
      <c r="F458" s="92" t="s">
        <v>5085</v>
      </c>
      <c r="G458" s="92" t="s">
        <v>12930</v>
      </c>
      <c r="H458" s="345">
        <v>2010</v>
      </c>
      <c r="I458" s="380">
        <v>40291</v>
      </c>
      <c r="J458" s="92"/>
      <c r="K458" s="92"/>
      <c r="L458" s="381" t="s">
        <v>16302</v>
      </c>
    </row>
    <row r="459" spans="1:12">
      <c r="A459" s="92"/>
      <c r="B459" s="345">
        <v>20619382</v>
      </c>
      <c r="C459" s="92" t="s">
        <v>16303</v>
      </c>
      <c r="D459" s="92" t="s">
        <v>16304</v>
      </c>
      <c r="E459" s="92" t="s">
        <v>16305</v>
      </c>
      <c r="F459" s="92" t="s">
        <v>5086</v>
      </c>
      <c r="G459" s="92" t="s">
        <v>21</v>
      </c>
      <c r="H459" s="345">
        <v>2010</v>
      </c>
      <c r="I459" s="380">
        <v>40372</v>
      </c>
      <c r="J459" s="92" t="s">
        <v>5087</v>
      </c>
      <c r="K459" s="92" t="s">
        <v>16306</v>
      </c>
      <c r="L459" s="381" t="s">
        <v>16307</v>
      </c>
    </row>
    <row r="460" spans="1:12">
      <c r="A460" s="92"/>
      <c r="B460" s="345">
        <v>11270942</v>
      </c>
      <c r="C460" s="92" t="s">
        <v>16308</v>
      </c>
      <c r="D460" s="92" t="s">
        <v>16309</v>
      </c>
      <c r="E460" s="92" t="s">
        <v>16310</v>
      </c>
      <c r="F460" s="92" t="s">
        <v>5088</v>
      </c>
      <c r="G460" s="92" t="s">
        <v>8509</v>
      </c>
      <c r="H460" s="345">
        <v>2001</v>
      </c>
      <c r="I460" s="380">
        <v>36979</v>
      </c>
      <c r="J460" s="92"/>
      <c r="K460" s="92"/>
      <c r="L460" s="381" t="s">
        <v>16311</v>
      </c>
    </row>
    <row r="461" spans="1:12">
      <c r="A461" s="92"/>
      <c r="B461" s="345">
        <v>20626907</v>
      </c>
      <c r="C461" s="92" t="s">
        <v>16312</v>
      </c>
      <c r="D461" s="92" t="s">
        <v>16313</v>
      </c>
      <c r="E461" s="92" t="s">
        <v>16314</v>
      </c>
      <c r="F461" s="92" t="s">
        <v>5089</v>
      </c>
      <c r="G461" s="92" t="s">
        <v>10013</v>
      </c>
      <c r="H461" s="345">
        <v>2010</v>
      </c>
      <c r="I461" s="380">
        <v>40374</v>
      </c>
      <c r="J461" s="435" t="s">
        <v>5090</v>
      </c>
      <c r="K461" s="425"/>
      <c r="L461" s="381" t="s">
        <v>16315</v>
      </c>
    </row>
    <row r="462" spans="1:12">
      <c r="A462" s="92"/>
      <c r="B462" s="345">
        <v>10893025</v>
      </c>
      <c r="C462" s="92" t="s">
        <v>14840</v>
      </c>
      <c r="D462" s="92" t="s">
        <v>14841</v>
      </c>
      <c r="E462" s="92" t="s">
        <v>14842</v>
      </c>
      <c r="F462" s="92" t="s">
        <v>4696</v>
      </c>
      <c r="G462" s="92" t="s">
        <v>14843</v>
      </c>
      <c r="H462" s="345">
        <v>2000</v>
      </c>
      <c r="I462" s="380">
        <v>36720</v>
      </c>
      <c r="J462" s="92"/>
      <c r="K462" s="92"/>
      <c r="L462" s="381" t="s">
        <v>14844</v>
      </c>
    </row>
    <row r="463" spans="1:12">
      <c r="A463" s="92"/>
      <c r="B463" s="345">
        <v>11869593</v>
      </c>
      <c r="C463" s="92" t="s">
        <v>16316</v>
      </c>
      <c r="D463" s="92" t="s">
        <v>16317</v>
      </c>
      <c r="E463" s="92" t="s">
        <v>16318</v>
      </c>
      <c r="F463" s="92" t="s">
        <v>5091</v>
      </c>
      <c r="G463" s="92" t="s">
        <v>8857</v>
      </c>
      <c r="H463" s="345">
        <v>2002</v>
      </c>
      <c r="I463" s="380">
        <v>37316</v>
      </c>
      <c r="J463" s="92"/>
      <c r="K463" s="92"/>
      <c r="L463" s="381" t="s">
        <v>16319</v>
      </c>
    </row>
    <row r="464" spans="1:12">
      <c r="A464" s="92"/>
      <c r="B464" s="345">
        <v>16625588</v>
      </c>
      <c r="C464" s="92" t="s">
        <v>16320</v>
      </c>
      <c r="D464" s="92" t="s">
        <v>16321</v>
      </c>
      <c r="E464" s="92" t="s">
        <v>16322</v>
      </c>
      <c r="F464" s="92" t="s">
        <v>5092</v>
      </c>
      <c r="G464" s="92" t="s">
        <v>8857</v>
      </c>
      <c r="H464" s="345">
        <v>2006</v>
      </c>
      <c r="I464" s="380">
        <v>38828</v>
      </c>
      <c r="J464" s="92"/>
      <c r="K464" s="92"/>
      <c r="L464" s="381" t="s">
        <v>16323</v>
      </c>
    </row>
    <row r="465" spans="1:12">
      <c r="A465" s="92"/>
      <c r="B465" s="345">
        <v>11431134</v>
      </c>
      <c r="C465" s="92" t="s">
        <v>16324</v>
      </c>
      <c r="D465" s="92" t="s">
        <v>16325</v>
      </c>
      <c r="E465" s="92" t="s">
        <v>16326</v>
      </c>
      <c r="F465" s="92" t="s">
        <v>5093</v>
      </c>
      <c r="G465" s="92" t="s">
        <v>16327</v>
      </c>
      <c r="H465" s="345">
        <v>2001</v>
      </c>
      <c r="I465" s="380">
        <v>37072</v>
      </c>
      <c r="J465" s="92"/>
      <c r="K465" s="92"/>
      <c r="L465" s="381" t="s">
        <v>16328</v>
      </c>
    </row>
    <row r="466" spans="1:12">
      <c r="A466" s="92"/>
      <c r="B466" s="345">
        <v>18306464</v>
      </c>
      <c r="C466" s="92" t="s">
        <v>16329</v>
      </c>
      <c r="D466" s="92" t="s">
        <v>16330</v>
      </c>
      <c r="E466" s="92" t="s">
        <v>16331</v>
      </c>
      <c r="F466" s="92" t="s">
        <v>5094</v>
      </c>
      <c r="G466" s="92" t="s">
        <v>16332</v>
      </c>
      <c r="H466" s="345">
        <v>2008</v>
      </c>
      <c r="I466" s="380">
        <v>39507</v>
      </c>
      <c r="J466" s="435" t="s">
        <v>5095</v>
      </c>
      <c r="K466" s="425"/>
      <c r="L466" s="381" t="s">
        <v>16333</v>
      </c>
    </row>
    <row r="467" spans="1:12">
      <c r="A467" s="92"/>
      <c r="B467" s="345">
        <v>11687023</v>
      </c>
      <c r="C467" s="92" t="s">
        <v>16334</v>
      </c>
      <c r="D467" s="92" t="s">
        <v>16296</v>
      </c>
      <c r="E467" s="92" t="s">
        <v>16335</v>
      </c>
      <c r="F467" s="92" t="s">
        <v>5084</v>
      </c>
      <c r="G467" s="92" t="s">
        <v>8857</v>
      </c>
      <c r="H467" s="345">
        <v>2001</v>
      </c>
      <c r="I467" s="380">
        <v>37196</v>
      </c>
      <c r="J467" s="92"/>
      <c r="K467" s="92"/>
      <c r="L467" s="381" t="s">
        <v>16336</v>
      </c>
    </row>
    <row r="468" spans="1:12">
      <c r="A468" s="92"/>
      <c r="B468" s="345">
        <v>11844988</v>
      </c>
      <c r="C468" s="92" t="s">
        <v>14886</v>
      </c>
      <c r="D468" s="92" t="s">
        <v>14887</v>
      </c>
      <c r="E468" s="92" t="s">
        <v>16337</v>
      </c>
      <c r="F468" s="92" t="s">
        <v>4707</v>
      </c>
      <c r="G468" s="92" t="s">
        <v>14993</v>
      </c>
      <c r="H468" s="345">
        <v>2002</v>
      </c>
      <c r="I468" s="380">
        <v>37302</v>
      </c>
      <c r="J468" s="92"/>
      <c r="K468" s="92"/>
      <c r="L468" s="381" t="s">
        <v>16338</v>
      </c>
    </row>
    <row r="469" spans="1:12">
      <c r="A469" s="92"/>
      <c r="B469" s="345">
        <v>11444404</v>
      </c>
      <c r="C469" s="92" t="s">
        <v>16339</v>
      </c>
      <c r="D469" s="92" t="s">
        <v>16340</v>
      </c>
      <c r="E469" s="92" t="s">
        <v>16341</v>
      </c>
      <c r="F469" s="92" t="s">
        <v>5096</v>
      </c>
      <c r="G469" s="92" t="s">
        <v>9470</v>
      </c>
      <c r="H469" s="345">
        <v>2001</v>
      </c>
      <c r="I469" s="380">
        <v>37083</v>
      </c>
      <c r="J469" s="92"/>
      <c r="K469" s="92"/>
      <c r="L469" s="381" t="s">
        <v>16342</v>
      </c>
    </row>
    <row r="470" spans="1:12">
      <c r="A470" s="92"/>
      <c r="B470" s="345">
        <v>15720525</v>
      </c>
      <c r="C470" s="92" t="s">
        <v>16343</v>
      </c>
      <c r="D470" s="92" t="s">
        <v>16344</v>
      </c>
      <c r="E470" s="92" t="s">
        <v>16345</v>
      </c>
      <c r="F470" s="92" t="s">
        <v>5097</v>
      </c>
      <c r="G470" s="92" t="s">
        <v>13877</v>
      </c>
      <c r="H470" s="345">
        <v>2005</v>
      </c>
      <c r="I470" s="380">
        <v>38405</v>
      </c>
      <c r="J470" s="92"/>
      <c r="K470" s="92"/>
      <c r="L470" s="381" t="s">
        <v>16346</v>
      </c>
    </row>
    <row r="471" spans="1:12">
      <c r="A471" s="92"/>
      <c r="B471" s="345">
        <v>16498249</v>
      </c>
      <c r="C471" s="92" t="s">
        <v>16347</v>
      </c>
      <c r="D471" s="92" t="s">
        <v>16348</v>
      </c>
      <c r="E471" s="92" t="s">
        <v>16349</v>
      </c>
      <c r="F471" s="92" t="s">
        <v>5098</v>
      </c>
      <c r="G471" s="92" t="s">
        <v>16350</v>
      </c>
      <c r="H471" s="345">
        <v>2006</v>
      </c>
      <c r="I471" s="380">
        <v>38773</v>
      </c>
      <c r="J471" s="92"/>
      <c r="K471" s="92"/>
      <c r="L471" s="381" t="s">
        <v>16351</v>
      </c>
    </row>
    <row r="472" spans="1:12">
      <c r="A472" s="92"/>
      <c r="B472" s="345">
        <v>18220953</v>
      </c>
      <c r="C472" s="92" t="s">
        <v>16352</v>
      </c>
      <c r="D472" s="92" t="s">
        <v>16353</v>
      </c>
      <c r="E472" s="92" t="s">
        <v>16354</v>
      </c>
      <c r="F472" s="92" t="s">
        <v>5099</v>
      </c>
      <c r="G472" s="92" t="s">
        <v>16355</v>
      </c>
      <c r="H472" s="345">
        <v>2007</v>
      </c>
      <c r="I472" s="380">
        <v>39476</v>
      </c>
      <c r="J472" s="92"/>
      <c r="K472" s="92"/>
      <c r="L472" s="381" t="s">
        <v>16356</v>
      </c>
    </row>
    <row r="473" spans="1:12">
      <c r="A473" s="92"/>
      <c r="B473" s="345">
        <v>16254097</v>
      </c>
      <c r="C473" s="92" t="s">
        <v>16357</v>
      </c>
      <c r="D473" s="92" t="s">
        <v>16358</v>
      </c>
      <c r="E473" s="92" t="s">
        <v>16359</v>
      </c>
      <c r="F473" s="92" t="s">
        <v>5100</v>
      </c>
      <c r="G473" s="92" t="s">
        <v>9451</v>
      </c>
      <c r="H473" s="345">
        <v>2005</v>
      </c>
      <c r="I473" s="380">
        <v>38654</v>
      </c>
      <c r="J473" s="435" t="s">
        <v>5101</v>
      </c>
      <c r="K473" s="425"/>
      <c r="L473" s="381" t="s">
        <v>16360</v>
      </c>
    </row>
    <row r="474" spans="1:12">
      <c r="A474" s="92"/>
      <c r="B474" s="345">
        <v>18806700</v>
      </c>
      <c r="C474" s="92" t="s">
        <v>16361</v>
      </c>
      <c r="D474" s="92" t="s">
        <v>16362</v>
      </c>
      <c r="E474" s="92" t="s">
        <v>16363</v>
      </c>
      <c r="F474" s="92" t="s">
        <v>5102</v>
      </c>
      <c r="G474" s="92" t="s">
        <v>16364</v>
      </c>
      <c r="H474" s="345">
        <v>2008</v>
      </c>
      <c r="I474" s="380">
        <v>39722</v>
      </c>
      <c r="J474" s="92"/>
      <c r="K474" s="92"/>
      <c r="L474" s="381" t="s">
        <v>16365</v>
      </c>
    </row>
    <row r="475" spans="1:12">
      <c r="A475" s="92"/>
      <c r="B475" s="345">
        <v>16178047</v>
      </c>
      <c r="C475" s="92" t="s">
        <v>16366</v>
      </c>
      <c r="D475" s="92" t="s">
        <v>16367</v>
      </c>
      <c r="E475" s="92" t="s">
        <v>16368</v>
      </c>
      <c r="F475" s="92" t="s">
        <v>5103</v>
      </c>
      <c r="G475" s="92" t="s">
        <v>14978</v>
      </c>
      <c r="H475" s="345">
        <v>2005</v>
      </c>
      <c r="I475" s="380">
        <v>38619</v>
      </c>
      <c r="J475" s="92"/>
      <c r="K475" s="92"/>
      <c r="L475" s="381" t="s">
        <v>16369</v>
      </c>
    </row>
    <row r="476" spans="1:12">
      <c r="A476" s="92"/>
      <c r="B476" s="345">
        <v>16972155</v>
      </c>
      <c r="C476" s="92" t="s">
        <v>16370</v>
      </c>
      <c r="D476" s="92" t="s">
        <v>16371</v>
      </c>
      <c r="E476" s="92" t="s">
        <v>16372</v>
      </c>
      <c r="F476" s="92" t="s">
        <v>5104</v>
      </c>
      <c r="G476" s="92" t="s">
        <v>16373</v>
      </c>
      <c r="H476" s="345">
        <v>2006</v>
      </c>
      <c r="I476" s="380">
        <v>38975</v>
      </c>
      <c r="J476" s="92"/>
      <c r="K476" s="92"/>
      <c r="L476" s="381" t="s">
        <v>16374</v>
      </c>
    </row>
    <row r="477" spans="1:12">
      <c r="A477" s="92"/>
      <c r="B477" s="345">
        <v>14730266</v>
      </c>
      <c r="C477" s="92" t="s">
        <v>16375</v>
      </c>
      <c r="D477" s="92" t="s">
        <v>16376</v>
      </c>
      <c r="E477" s="92" t="s">
        <v>16377</v>
      </c>
      <c r="F477" s="92" t="s">
        <v>5105</v>
      </c>
      <c r="G477" s="92" t="s">
        <v>12638</v>
      </c>
      <c r="H477" s="345">
        <v>2004</v>
      </c>
      <c r="I477" s="380">
        <v>38006</v>
      </c>
      <c r="J477" s="92"/>
      <c r="K477" s="92"/>
      <c r="L477" s="381" t="s">
        <v>16378</v>
      </c>
    </row>
    <row r="478" spans="1:12">
      <c r="A478" s="92"/>
      <c r="B478" s="345">
        <v>11123085</v>
      </c>
      <c r="C478" s="92" t="s">
        <v>14872</v>
      </c>
      <c r="D478" s="92" t="s">
        <v>14873</v>
      </c>
      <c r="E478" s="92" t="s">
        <v>14874</v>
      </c>
      <c r="F478" s="92" t="s">
        <v>4704</v>
      </c>
      <c r="G478" s="92" t="s">
        <v>14875</v>
      </c>
      <c r="H478" s="345">
        <v>2000</v>
      </c>
      <c r="I478" s="380">
        <v>36881</v>
      </c>
      <c r="J478" s="92"/>
      <c r="K478" s="92"/>
      <c r="L478" s="381" t="s">
        <v>14876</v>
      </c>
    </row>
    <row r="479" spans="1:12">
      <c r="A479" s="92"/>
      <c r="B479" s="345">
        <v>16625582</v>
      </c>
      <c r="C479" s="92" t="s">
        <v>16379</v>
      </c>
      <c r="D479" s="92" t="s">
        <v>16380</v>
      </c>
      <c r="E479" s="92" t="s">
        <v>16381</v>
      </c>
      <c r="F479" s="92" t="s">
        <v>5106</v>
      </c>
      <c r="G479" s="92" t="s">
        <v>8857</v>
      </c>
      <c r="H479" s="345">
        <v>2006</v>
      </c>
      <c r="I479" s="380">
        <v>38828</v>
      </c>
      <c r="J479" s="435" t="s">
        <v>5107</v>
      </c>
      <c r="K479" s="425"/>
      <c r="L479" s="381" t="s">
        <v>16382</v>
      </c>
    </row>
    <row r="480" spans="1:12">
      <c r="A480" s="92"/>
      <c r="B480" s="345">
        <v>20367536</v>
      </c>
      <c r="C480" s="92" t="s">
        <v>16383</v>
      </c>
      <c r="D480" s="92" t="s">
        <v>16384</v>
      </c>
      <c r="E480" s="92" t="s">
        <v>16385</v>
      </c>
      <c r="F480" s="92" t="s">
        <v>5108</v>
      </c>
      <c r="G480" s="92" t="s">
        <v>9785</v>
      </c>
      <c r="H480" s="345">
        <v>2010</v>
      </c>
      <c r="I480" s="380">
        <v>40275</v>
      </c>
      <c r="J480" s="92"/>
      <c r="K480" s="92"/>
      <c r="L480" s="381" t="s">
        <v>16386</v>
      </c>
    </row>
    <row r="481" spans="1:12">
      <c r="A481" s="92"/>
      <c r="B481" s="345">
        <v>16456528</v>
      </c>
      <c r="C481" s="92" t="s">
        <v>16387</v>
      </c>
      <c r="D481" s="92" t="s">
        <v>16388</v>
      </c>
      <c r="E481" s="92" t="s">
        <v>16389</v>
      </c>
      <c r="F481" s="92" t="s">
        <v>5109</v>
      </c>
      <c r="G481" s="92" t="s">
        <v>16390</v>
      </c>
      <c r="H481" s="345">
        <v>2006</v>
      </c>
      <c r="I481" s="380">
        <v>38752</v>
      </c>
      <c r="J481" s="92"/>
      <c r="K481" s="92"/>
      <c r="L481" s="92"/>
    </row>
    <row r="482" spans="1:12">
      <c r="A482" s="92"/>
      <c r="B482" s="345">
        <v>20960380</v>
      </c>
      <c r="C482" s="92" t="s">
        <v>16391</v>
      </c>
      <c r="D482" s="92" t="s">
        <v>16392</v>
      </c>
      <c r="E482" s="92" t="s">
        <v>16393</v>
      </c>
      <c r="F482" s="92" t="s">
        <v>5111</v>
      </c>
      <c r="G482" s="92" t="s">
        <v>16394</v>
      </c>
      <c r="H482" s="345">
        <v>2010</v>
      </c>
      <c r="I482" s="380">
        <v>40472</v>
      </c>
      <c r="J482" s="92"/>
      <c r="K482" s="92"/>
      <c r="L482" s="381" t="s">
        <v>16395</v>
      </c>
    </row>
    <row r="483" spans="1:12">
      <c r="A483" s="92"/>
      <c r="B483" s="345">
        <v>18220944</v>
      </c>
      <c r="C483" s="92" t="s">
        <v>16396</v>
      </c>
      <c r="D483" s="92" t="s">
        <v>16397</v>
      </c>
      <c r="E483" s="92" t="s">
        <v>16398</v>
      </c>
      <c r="F483" s="92" t="s">
        <v>5112</v>
      </c>
      <c r="G483" s="92" t="s">
        <v>16399</v>
      </c>
      <c r="H483" s="345">
        <v>2007</v>
      </c>
      <c r="I483" s="380">
        <v>39476</v>
      </c>
      <c r="J483" s="92"/>
      <c r="K483" s="92"/>
      <c r="L483" s="381" t="s">
        <v>16400</v>
      </c>
    </row>
    <row r="484" spans="1:12">
      <c r="A484" s="92"/>
      <c r="B484" s="345">
        <v>17986486</v>
      </c>
      <c r="C484" s="92" t="s">
        <v>16401</v>
      </c>
      <c r="D484" s="92" t="s">
        <v>16402</v>
      </c>
      <c r="E484" s="92" t="s">
        <v>16403</v>
      </c>
      <c r="F484" s="92" t="s">
        <v>5113</v>
      </c>
      <c r="G484" s="92" t="s">
        <v>8948</v>
      </c>
      <c r="H484" s="345">
        <v>2007</v>
      </c>
      <c r="I484" s="380">
        <v>39394</v>
      </c>
      <c r="J484" s="92"/>
      <c r="K484" s="92"/>
      <c r="L484" s="381" t="s">
        <v>16404</v>
      </c>
    </row>
    <row r="485" spans="1:12">
      <c r="A485" s="92"/>
      <c r="B485" s="345">
        <v>15942333</v>
      </c>
      <c r="C485" s="92" t="s">
        <v>16405</v>
      </c>
      <c r="D485" s="92" t="s">
        <v>16406</v>
      </c>
      <c r="E485" s="92" t="s">
        <v>16407</v>
      </c>
      <c r="F485" s="92" t="s">
        <v>5114</v>
      </c>
      <c r="G485" s="92" t="s">
        <v>8504</v>
      </c>
      <c r="H485" s="345">
        <v>2005</v>
      </c>
      <c r="I485" s="380">
        <v>38512</v>
      </c>
      <c r="J485" s="92"/>
      <c r="K485" s="92"/>
      <c r="L485" s="381" t="s">
        <v>16408</v>
      </c>
    </row>
    <row r="486" spans="1:12">
      <c r="A486" s="92"/>
      <c r="B486" s="345">
        <v>12700038</v>
      </c>
      <c r="C486" s="92" t="s">
        <v>16409</v>
      </c>
      <c r="D486" s="92" t="s">
        <v>16410</v>
      </c>
      <c r="E486" s="92" t="s">
        <v>16411</v>
      </c>
      <c r="F486" s="92" t="s">
        <v>5115</v>
      </c>
      <c r="G486" s="92" t="s">
        <v>16412</v>
      </c>
      <c r="H486" s="345">
        <v>2003</v>
      </c>
      <c r="I486" s="380">
        <v>37729</v>
      </c>
      <c r="J486" s="92"/>
      <c r="K486" s="92"/>
      <c r="L486" s="92" t="s">
        <v>16413</v>
      </c>
    </row>
    <row r="487" spans="1:12">
      <c r="A487" s="92"/>
      <c r="B487" s="345">
        <v>16416391</v>
      </c>
      <c r="C487" s="92" t="s">
        <v>16414</v>
      </c>
      <c r="D487" s="92" t="s">
        <v>16415</v>
      </c>
      <c r="E487" s="92" t="s">
        <v>16416</v>
      </c>
      <c r="F487" s="92" t="s">
        <v>5116</v>
      </c>
      <c r="G487" s="92" t="s">
        <v>16417</v>
      </c>
      <c r="H487" s="345">
        <v>2005</v>
      </c>
      <c r="I487" s="380">
        <v>38735</v>
      </c>
      <c r="J487" s="92"/>
      <c r="K487" s="92"/>
      <c r="L487" s="92"/>
    </row>
    <row r="488" spans="1:12">
      <c r="A488" s="92"/>
      <c r="B488" s="345">
        <v>10949062</v>
      </c>
      <c r="C488" s="92" t="s">
        <v>14886</v>
      </c>
      <c r="D488" s="92" t="s">
        <v>14887</v>
      </c>
      <c r="E488" s="92" t="s">
        <v>14888</v>
      </c>
      <c r="F488" s="92" t="s">
        <v>4707</v>
      </c>
      <c r="G488" s="92" t="s">
        <v>14861</v>
      </c>
      <c r="H488" s="345">
        <v>2000</v>
      </c>
      <c r="I488" s="380">
        <v>36757</v>
      </c>
      <c r="J488" s="92"/>
      <c r="K488" s="92"/>
      <c r="L488" s="381" t="s">
        <v>14889</v>
      </c>
    </row>
    <row r="489" spans="1:12">
      <c r="A489" s="92"/>
      <c r="B489" s="345">
        <v>12563604</v>
      </c>
      <c r="C489" s="92" t="s">
        <v>16418</v>
      </c>
      <c r="D489" s="92" t="s">
        <v>16419</v>
      </c>
      <c r="E489" s="92" t="s">
        <v>16420</v>
      </c>
      <c r="F489" s="92" t="s">
        <v>5117</v>
      </c>
      <c r="G489" s="92" t="s">
        <v>16421</v>
      </c>
      <c r="H489" s="345">
        <v>2003</v>
      </c>
      <c r="I489" s="380">
        <v>37656</v>
      </c>
      <c r="J489" s="92"/>
      <c r="K489" s="92"/>
      <c r="L489" s="381" t="s">
        <v>16422</v>
      </c>
    </row>
    <row r="490" spans="1:12">
      <c r="A490" s="92"/>
      <c r="B490" s="345">
        <v>18421239</v>
      </c>
      <c r="C490" s="92" t="s">
        <v>16423</v>
      </c>
      <c r="D490" s="92" t="s">
        <v>16424</v>
      </c>
      <c r="E490" s="92" t="s">
        <v>16425</v>
      </c>
      <c r="F490" s="92" t="s">
        <v>5118</v>
      </c>
      <c r="G490" s="92" t="s">
        <v>16426</v>
      </c>
      <c r="H490" s="345">
        <v>2008</v>
      </c>
      <c r="I490" s="380">
        <v>39557</v>
      </c>
      <c r="J490" s="92"/>
      <c r="K490" s="92"/>
      <c r="L490" s="381" t="s">
        <v>16427</v>
      </c>
    </row>
    <row r="491" spans="1:12">
      <c r="A491" s="92"/>
      <c r="B491" s="345">
        <v>18317024</v>
      </c>
      <c r="C491" s="92" t="s">
        <v>16428</v>
      </c>
      <c r="D491" s="92" t="s">
        <v>16429</v>
      </c>
      <c r="E491" s="92" t="s">
        <v>16430</v>
      </c>
      <c r="F491" s="92" t="s">
        <v>5119</v>
      </c>
      <c r="G491" s="92" t="s">
        <v>16431</v>
      </c>
      <c r="H491" s="345">
        <v>2008</v>
      </c>
      <c r="I491" s="380">
        <v>39512</v>
      </c>
      <c r="J491" s="92"/>
      <c r="K491" s="92"/>
      <c r="L491" s="381" t="s">
        <v>16432</v>
      </c>
    </row>
    <row r="492" spans="1:12">
      <c r="A492" s="92"/>
      <c r="B492" s="345">
        <v>12589192</v>
      </c>
      <c r="C492" s="92" t="s">
        <v>16433</v>
      </c>
      <c r="D492" s="92" t="s">
        <v>16434</v>
      </c>
      <c r="E492" s="92" t="s">
        <v>16435</v>
      </c>
      <c r="F492" s="92" t="s">
        <v>5120</v>
      </c>
      <c r="G492" s="92" t="s">
        <v>14993</v>
      </c>
      <c r="H492" s="345">
        <v>2003</v>
      </c>
      <c r="I492" s="380">
        <v>37670</v>
      </c>
      <c r="J492" s="92"/>
      <c r="K492" s="92"/>
      <c r="L492" s="381" t="s">
        <v>16436</v>
      </c>
    </row>
    <row r="493" spans="1:12">
      <c r="A493" s="92"/>
      <c r="B493" s="345">
        <v>15643346</v>
      </c>
      <c r="C493" s="92" t="s">
        <v>16437</v>
      </c>
      <c r="D493" s="92" t="s">
        <v>16438</v>
      </c>
      <c r="E493" s="92" t="s">
        <v>16439</v>
      </c>
      <c r="F493" s="92" t="s">
        <v>5103</v>
      </c>
      <c r="G493" s="92" t="s">
        <v>16431</v>
      </c>
      <c r="H493" s="345">
        <v>2005</v>
      </c>
      <c r="I493" s="380">
        <v>38364</v>
      </c>
      <c r="J493" s="92"/>
      <c r="K493" s="92"/>
      <c r="L493" s="381" t="s">
        <v>16440</v>
      </c>
    </row>
    <row r="494" spans="1:12">
      <c r="A494" s="92"/>
      <c r="B494" s="345">
        <v>14992788</v>
      </c>
      <c r="C494" s="92" t="s">
        <v>16441</v>
      </c>
      <c r="D494" s="92" t="s">
        <v>16442</v>
      </c>
      <c r="E494" s="92" t="s">
        <v>16443</v>
      </c>
      <c r="F494" s="92" t="s">
        <v>5121</v>
      </c>
      <c r="G494" s="92" t="s">
        <v>14224</v>
      </c>
      <c r="H494" s="345">
        <v>2004</v>
      </c>
      <c r="I494" s="380">
        <v>38049</v>
      </c>
      <c r="J494" s="92"/>
      <c r="K494" s="92"/>
      <c r="L494" s="381" t="s">
        <v>16444</v>
      </c>
    </row>
    <row r="495" spans="1:12">
      <c r="A495" s="92"/>
      <c r="B495" s="345">
        <v>15871909</v>
      </c>
      <c r="C495" s="92" t="s">
        <v>16445</v>
      </c>
      <c r="D495" s="92" t="s">
        <v>16446</v>
      </c>
      <c r="E495" s="92" t="s">
        <v>16447</v>
      </c>
      <c r="F495" s="92" t="s">
        <v>5122</v>
      </c>
      <c r="G495" s="92" t="s">
        <v>16448</v>
      </c>
      <c r="H495" s="345">
        <v>2005</v>
      </c>
      <c r="I495" s="380">
        <v>38478</v>
      </c>
      <c r="J495" s="92"/>
      <c r="K495" s="92"/>
      <c r="L495" s="381" t="s">
        <v>16449</v>
      </c>
    </row>
    <row r="496" spans="1:12">
      <c r="A496" s="92"/>
      <c r="B496" s="345">
        <v>11445742</v>
      </c>
      <c r="C496" s="92" t="s">
        <v>16450</v>
      </c>
      <c r="D496" s="92" t="s">
        <v>14991</v>
      </c>
      <c r="E496" s="92" t="s">
        <v>16451</v>
      </c>
      <c r="F496" s="92" t="s">
        <v>4731</v>
      </c>
      <c r="G496" s="92" t="s">
        <v>8504</v>
      </c>
      <c r="H496" s="345">
        <v>2001</v>
      </c>
      <c r="I496" s="380">
        <v>37083</v>
      </c>
      <c r="J496" s="92"/>
      <c r="K496" s="92"/>
      <c r="L496" s="381" t="s">
        <v>16452</v>
      </c>
    </row>
    <row r="497" spans="1:12">
      <c r="A497" s="92"/>
      <c r="B497" s="345">
        <v>12871283</v>
      </c>
      <c r="C497" s="92" t="s">
        <v>16453</v>
      </c>
      <c r="D497" s="92" t="s">
        <v>16454</v>
      </c>
      <c r="E497" s="92" t="s">
        <v>16455</v>
      </c>
      <c r="F497" s="92" t="s">
        <v>5123</v>
      </c>
      <c r="G497" s="92" t="s">
        <v>16456</v>
      </c>
      <c r="H497" s="345">
        <v>2003</v>
      </c>
      <c r="I497" s="380">
        <v>37825</v>
      </c>
      <c r="J497" s="92"/>
      <c r="K497" s="92"/>
      <c r="L497" s="381" t="s">
        <v>16457</v>
      </c>
    </row>
    <row r="498" spans="1:12">
      <c r="A498" s="92"/>
      <c r="B498" s="345">
        <v>17244339</v>
      </c>
      <c r="C498" s="92" t="s">
        <v>16458</v>
      </c>
      <c r="D498" s="92" t="s">
        <v>16459</v>
      </c>
      <c r="E498" s="92" t="s">
        <v>16460</v>
      </c>
      <c r="F498" s="92" t="s">
        <v>5124</v>
      </c>
      <c r="G498" s="92" t="s">
        <v>15141</v>
      </c>
      <c r="H498" s="345">
        <v>2007</v>
      </c>
      <c r="I498" s="380">
        <v>39107</v>
      </c>
      <c r="J498" s="435" t="s">
        <v>5125</v>
      </c>
      <c r="K498" s="425"/>
      <c r="L498" s="381" t="s">
        <v>16461</v>
      </c>
    </row>
    <row r="499" spans="1:12">
      <c r="A499" s="92"/>
      <c r="B499" s="345">
        <v>18447621</v>
      </c>
      <c r="C499" s="92" t="s">
        <v>16462</v>
      </c>
      <c r="D499" s="92" t="s">
        <v>16463</v>
      </c>
      <c r="E499" s="92" t="s">
        <v>16464</v>
      </c>
      <c r="F499" s="92" t="s">
        <v>5126</v>
      </c>
      <c r="G499" s="92" t="s">
        <v>16465</v>
      </c>
      <c r="H499" s="345">
        <v>2008</v>
      </c>
      <c r="I499" s="380">
        <v>39570</v>
      </c>
      <c r="J499" s="435" t="s">
        <v>5127</v>
      </c>
      <c r="K499" s="425"/>
      <c r="L499" s="381" t="s">
        <v>16466</v>
      </c>
    </row>
    <row r="500" spans="1:12">
      <c r="A500" s="92"/>
      <c r="B500" s="345">
        <v>16155441</v>
      </c>
      <c r="C500" s="92" t="s">
        <v>16467</v>
      </c>
      <c r="D500" s="92" t="s">
        <v>16468</v>
      </c>
      <c r="E500" s="92" t="s">
        <v>16469</v>
      </c>
      <c r="F500" s="92" t="s">
        <v>5129</v>
      </c>
      <c r="G500" s="92" t="s">
        <v>9664</v>
      </c>
      <c r="H500" s="345">
        <v>2005</v>
      </c>
      <c r="I500" s="380">
        <v>38608</v>
      </c>
      <c r="J500" s="92"/>
      <c r="K500" s="92"/>
      <c r="L500" s="381" t="s">
        <v>16470</v>
      </c>
    </row>
    <row r="501" spans="1:12">
      <c r="A501" s="92"/>
      <c r="B501" s="345">
        <v>20042666</v>
      </c>
      <c r="C501" s="92" t="s">
        <v>16471</v>
      </c>
      <c r="D501" s="92" t="s">
        <v>16472</v>
      </c>
      <c r="E501" s="92" t="s">
        <v>16473</v>
      </c>
      <c r="F501" s="92" t="s">
        <v>5130</v>
      </c>
      <c r="G501" s="92" t="s">
        <v>14689</v>
      </c>
      <c r="H501" s="345">
        <v>2010</v>
      </c>
      <c r="I501" s="380">
        <v>40179</v>
      </c>
      <c r="J501" s="435" t="s">
        <v>5131</v>
      </c>
      <c r="K501" s="425"/>
      <c r="L501" s="381" t="s">
        <v>16474</v>
      </c>
    </row>
    <row r="502" spans="1:12">
      <c r="A502" s="92"/>
      <c r="B502" s="345">
        <v>17699131</v>
      </c>
      <c r="C502" s="92" t="s">
        <v>16475</v>
      </c>
      <c r="D502" s="92" t="s">
        <v>16476</v>
      </c>
      <c r="E502" s="92" t="s">
        <v>16477</v>
      </c>
      <c r="F502" s="92" t="s">
        <v>5132</v>
      </c>
      <c r="G502" s="92" t="s">
        <v>8597</v>
      </c>
      <c r="H502" s="345">
        <v>2007</v>
      </c>
      <c r="I502" s="380">
        <v>39313</v>
      </c>
      <c r="J502" s="92"/>
      <c r="K502" s="92"/>
      <c r="L502" s="381" t="s">
        <v>16478</v>
      </c>
    </row>
    <row r="503" spans="1:12">
      <c r="A503" s="92"/>
      <c r="B503" s="345">
        <v>15758651</v>
      </c>
      <c r="C503" s="92" t="s">
        <v>16479</v>
      </c>
      <c r="D503" s="92" t="s">
        <v>16480</v>
      </c>
      <c r="E503" s="92" t="s">
        <v>16481</v>
      </c>
      <c r="F503" s="92" t="s">
        <v>5133</v>
      </c>
      <c r="G503" s="92" t="s">
        <v>16364</v>
      </c>
      <c r="H503" s="345">
        <v>2005</v>
      </c>
      <c r="I503" s="380">
        <v>38422</v>
      </c>
      <c r="J503" s="92"/>
      <c r="K503" s="92"/>
      <c r="L503" s="381" t="s">
        <v>16482</v>
      </c>
    </row>
    <row r="504" spans="1:12">
      <c r="A504" s="92"/>
      <c r="B504" s="345">
        <v>21191031</v>
      </c>
      <c r="C504" s="92" t="s">
        <v>16483</v>
      </c>
      <c r="D504" s="92" t="s">
        <v>16484</v>
      </c>
      <c r="E504" s="92" t="s">
        <v>16485</v>
      </c>
      <c r="F504" s="92" t="s">
        <v>4273</v>
      </c>
      <c r="G504" s="92" t="s">
        <v>9821</v>
      </c>
      <c r="H504" s="345">
        <v>2011</v>
      </c>
      <c r="I504" s="380">
        <v>40543</v>
      </c>
      <c r="J504" s="435" t="s">
        <v>5134</v>
      </c>
      <c r="K504" s="425"/>
      <c r="L504" s="381" t="s">
        <v>16486</v>
      </c>
    </row>
    <row r="505" spans="1:12">
      <c r="A505" s="92"/>
      <c r="B505" s="345">
        <v>20964456</v>
      </c>
      <c r="C505" s="92" t="s">
        <v>16487</v>
      </c>
      <c r="D505" s="92" t="s">
        <v>16488</v>
      </c>
      <c r="E505" s="92" t="s">
        <v>16489</v>
      </c>
      <c r="F505" s="92" t="s">
        <v>5135</v>
      </c>
      <c r="G505" s="92" t="s">
        <v>8509</v>
      </c>
      <c r="H505" s="345">
        <v>2010</v>
      </c>
      <c r="I505" s="380">
        <v>40474</v>
      </c>
      <c r="J505" s="92"/>
      <c r="K505" s="92"/>
      <c r="L505" s="381" t="s">
        <v>16490</v>
      </c>
    </row>
    <row r="506" spans="1:12">
      <c r="A506" s="92"/>
      <c r="B506" s="345">
        <v>17426277</v>
      </c>
      <c r="C506" s="92" t="s">
        <v>16491</v>
      </c>
      <c r="D506" s="92" t="s">
        <v>16492</v>
      </c>
      <c r="E506" s="92" t="s">
        <v>16493</v>
      </c>
      <c r="F506" s="92" t="s">
        <v>4399</v>
      </c>
      <c r="G506" s="92" t="s">
        <v>8580</v>
      </c>
      <c r="H506" s="345">
        <v>2007</v>
      </c>
      <c r="I506" s="380">
        <v>39184</v>
      </c>
      <c r="J506" s="92"/>
      <c r="K506" s="92"/>
      <c r="L506" s="381" t="s">
        <v>16494</v>
      </c>
    </row>
    <row r="507" spans="1:12">
      <c r="A507" s="92"/>
      <c r="B507" s="345">
        <v>17065921</v>
      </c>
      <c r="C507" s="92" t="s">
        <v>16495</v>
      </c>
      <c r="D507" s="92" t="s">
        <v>16496</v>
      </c>
      <c r="E507" s="92" t="s">
        <v>16497</v>
      </c>
      <c r="F507" s="92" t="s">
        <v>5136</v>
      </c>
      <c r="G507" s="92" t="s">
        <v>12524</v>
      </c>
      <c r="H507" s="345">
        <v>2006</v>
      </c>
      <c r="I507" s="380">
        <v>39017</v>
      </c>
      <c r="J507" s="92"/>
      <c r="K507" s="92"/>
      <c r="L507" s="381" t="s">
        <v>16498</v>
      </c>
    </row>
    <row r="508" spans="1:12">
      <c r="A508" s="92"/>
      <c r="B508" s="345">
        <v>16023829</v>
      </c>
      <c r="C508" s="92" t="s">
        <v>16499</v>
      </c>
      <c r="D508" s="92" t="s">
        <v>16500</v>
      </c>
      <c r="E508" s="92" t="s">
        <v>16501</v>
      </c>
      <c r="F508" s="92" t="s">
        <v>1690</v>
      </c>
      <c r="G508" s="92" t="s">
        <v>16502</v>
      </c>
      <c r="H508" s="345">
        <v>2006</v>
      </c>
      <c r="I508" s="380">
        <v>38552</v>
      </c>
      <c r="J508" s="92"/>
      <c r="K508" s="92"/>
      <c r="L508" s="381" t="s">
        <v>16503</v>
      </c>
    </row>
    <row r="509" spans="1:12">
      <c r="A509" s="92"/>
      <c r="B509" s="345">
        <v>17984288</v>
      </c>
      <c r="C509" s="92" t="s">
        <v>16504</v>
      </c>
      <c r="D509" s="92" t="s">
        <v>16505</v>
      </c>
      <c r="E509" s="92" t="s">
        <v>16506</v>
      </c>
      <c r="F509" s="92" t="s">
        <v>5137</v>
      </c>
      <c r="G509" s="92" t="s">
        <v>16507</v>
      </c>
      <c r="H509" s="345">
        <v>2008</v>
      </c>
      <c r="I509" s="380">
        <v>39393</v>
      </c>
      <c r="J509" s="92"/>
      <c r="K509" s="92"/>
      <c r="L509" s="381" t="s">
        <v>16508</v>
      </c>
    </row>
    <row r="510" spans="1:12">
      <c r="A510" s="92"/>
      <c r="B510" s="345">
        <v>17825959</v>
      </c>
      <c r="C510" s="92" t="s">
        <v>16509</v>
      </c>
      <c r="D510" s="92" t="s">
        <v>16510</v>
      </c>
      <c r="E510" s="92" t="s">
        <v>16511</v>
      </c>
      <c r="F510" s="92" t="s">
        <v>5138</v>
      </c>
      <c r="G510" s="92" t="s">
        <v>21</v>
      </c>
      <c r="H510" s="345">
        <v>2007</v>
      </c>
      <c r="I510" s="380">
        <v>39336</v>
      </c>
      <c r="J510" s="92"/>
      <c r="K510" s="92"/>
      <c r="L510" s="381" t="s">
        <v>16512</v>
      </c>
    </row>
    <row r="511" spans="1:12">
      <c r="A511" s="92"/>
      <c r="B511" s="345">
        <v>12706674</v>
      </c>
      <c r="C511" s="92" t="s">
        <v>16513</v>
      </c>
      <c r="D511" s="92" t="s">
        <v>16514</v>
      </c>
      <c r="E511" s="92" t="s">
        <v>16515</v>
      </c>
      <c r="F511" s="92" t="s">
        <v>5139</v>
      </c>
      <c r="G511" s="92" t="s">
        <v>21</v>
      </c>
      <c r="H511" s="345">
        <v>2003</v>
      </c>
      <c r="I511" s="380">
        <v>37734</v>
      </c>
      <c r="J511" s="92"/>
      <c r="K511" s="92"/>
      <c r="L511" s="381" t="s">
        <v>16516</v>
      </c>
    </row>
    <row r="512" spans="1:12">
      <c r="A512" s="92"/>
      <c r="B512" s="345">
        <v>16956406</v>
      </c>
      <c r="C512" s="92" t="s">
        <v>16517</v>
      </c>
      <c r="D512" s="92" t="s">
        <v>16518</v>
      </c>
      <c r="E512" s="92" t="s">
        <v>16519</v>
      </c>
      <c r="F512" s="92" t="s">
        <v>2051</v>
      </c>
      <c r="G512" s="92" t="s">
        <v>9437</v>
      </c>
      <c r="H512" s="345">
        <v>2006</v>
      </c>
      <c r="I512" s="380">
        <v>38968</v>
      </c>
      <c r="J512" s="435" t="s">
        <v>5140</v>
      </c>
      <c r="K512" s="425"/>
      <c r="L512" s="381" t="s">
        <v>16520</v>
      </c>
    </row>
    <row r="513" spans="1:12">
      <c r="A513" s="92"/>
      <c r="B513" s="345">
        <v>17984354</v>
      </c>
      <c r="C513" s="92" t="s">
        <v>16521</v>
      </c>
      <c r="D513" s="92" t="s">
        <v>16522</v>
      </c>
      <c r="E513" s="92" t="s">
        <v>16523</v>
      </c>
      <c r="F513" s="92" t="s">
        <v>5141</v>
      </c>
      <c r="G513" s="92" t="s">
        <v>12950</v>
      </c>
      <c r="H513" s="345">
        <v>2007</v>
      </c>
      <c r="I513" s="380">
        <v>39393</v>
      </c>
      <c r="J513" s="92"/>
      <c r="K513" s="92"/>
      <c r="L513" s="92"/>
    </row>
    <row r="514" spans="1:12">
      <c r="A514" s="92"/>
      <c r="B514" s="345">
        <v>15381135</v>
      </c>
      <c r="C514" s="92" t="s">
        <v>16524</v>
      </c>
      <c r="D514" s="92" t="s">
        <v>16525</v>
      </c>
      <c r="E514" s="92" t="s">
        <v>16526</v>
      </c>
      <c r="F514" s="92" t="s">
        <v>5142</v>
      </c>
      <c r="G514" s="92" t="s">
        <v>16527</v>
      </c>
      <c r="H514" s="345">
        <v>2004</v>
      </c>
      <c r="I514" s="380">
        <v>38254</v>
      </c>
      <c r="J514" s="92"/>
      <c r="K514" s="92"/>
      <c r="L514" s="381" t="s">
        <v>16528</v>
      </c>
    </row>
    <row r="515" spans="1:12">
      <c r="A515" s="92"/>
      <c r="B515" s="345">
        <v>20100756</v>
      </c>
      <c r="C515" s="92" t="s">
        <v>16529</v>
      </c>
      <c r="D515" s="92" t="s">
        <v>16530</v>
      </c>
      <c r="E515" s="92" t="s">
        <v>16531</v>
      </c>
      <c r="F515" s="92" t="s">
        <v>5143</v>
      </c>
      <c r="G515" s="92" t="s">
        <v>8636</v>
      </c>
      <c r="H515" s="345">
        <v>2010</v>
      </c>
      <c r="I515" s="380">
        <v>40205</v>
      </c>
      <c r="J515" s="92"/>
      <c r="K515" s="92"/>
      <c r="L515" s="381" t="s">
        <v>16532</v>
      </c>
    </row>
    <row r="516" spans="1:12">
      <c r="A516" s="92"/>
      <c r="B516" s="345">
        <v>16981048</v>
      </c>
      <c r="C516" s="92" t="s">
        <v>16533</v>
      </c>
      <c r="D516" s="92" t="s">
        <v>16534</v>
      </c>
      <c r="E516" s="92" t="s">
        <v>16535</v>
      </c>
      <c r="F516" s="92" t="s">
        <v>5145</v>
      </c>
      <c r="G516" s="92" t="s">
        <v>16536</v>
      </c>
      <c r="H516" s="345">
        <v>2006</v>
      </c>
      <c r="I516" s="380">
        <v>38979</v>
      </c>
      <c r="J516" s="92"/>
      <c r="K516" s="92"/>
      <c r="L516" s="381" t="s">
        <v>16537</v>
      </c>
    </row>
    <row r="517" spans="1:12">
      <c r="A517" s="92"/>
      <c r="B517" s="345">
        <v>16023266</v>
      </c>
      <c r="C517" s="92" t="s">
        <v>16538</v>
      </c>
      <c r="D517" s="92" t="s">
        <v>16539</v>
      </c>
      <c r="E517" s="92" t="s">
        <v>16540</v>
      </c>
      <c r="F517" s="92" t="s">
        <v>5146</v>
      </c>
      <c r="G517" s="92" t="s">
        <v>10771</v>
      </c>
      <c r="H517" s="345">
        <v>2006</v>
      </c>
      <c r="I517" s="380">
        <v>38552</v>
      </c>
      <c r="J517" s="92"/>
      <c r="K517" s="92"/>
      <c r="L517" s="381" t="s">
        <v>16541</v>
      </c>
    </row>
    <row r="518" spans="1:12">
      <c r="A518" s="92"/>
      <c r="B518" s="345">
        <v>21137022</v>
      </c>
      <c r="C518" s="92" t="s">
        <v>16542</v>
      </c>
      <c r="D518" s="92" t="s">
        <v>16543</v>
      </c>
      <c r="E518" s="92" t="s">
        <v>16544</v>
      </c>
      <c r="F518" s="92" t="s">
        <v>5148</v>
      </c>
      <c r="G518" s="92" t="s">
        <v>16545</v>
      </c>
      <c r="H518" s="345">
        <v>2010</v>
      </c>
      <c r="I518" s="380">
        <v>40520</v>
      </c>
      <c r="J518" s="92"/>
      <c r="K518" s="92"/>
      <c r="L518" s="381" t="s">
        <v>16546</v>
      </c>
    </row>
    <row r="519" spans="1:12">
      <c r="A519" s="92"/>
      <c r="B519" s="345">
        <v>20416394</v>
      </c>
      <c r="C519" s="92" t="s">
        <v>16547</v>
      </c>
      <c r="D519" s="92" t="s">
        <v>16548</v>
      </c>
      <c r="E519" s="92" t="s">
        <v>16549</v>
      </c>
      <c r="F519" s="92" t="s">
        <v>5149</v>
      </c>
      <c r="G519" s="92" t="s">
        <v>15938</v>
      </c>
      <c r="H519" s="345">
        <v>2010</v>
      </c>
      <c r="I519" s="380">
        <v>40295</v>
      </c>
      <c r="J519" s="92"/>
      <c r="K519" s="92"/>
      <c r="L519" s="381" t="s">
        <v>16550</v>
      </c>
    </row>
    <row r="520" spans="1:12">
      <c r="A520" s="92"/>
      <c r="B520" s="345">
        <v>20123054</v>
      </c>
      <c r="C520" s="92" t="s">
        <v>16551</v>
      </c>
      <c r="D520" s="92" t="s">
        <v>16552</v>
      </c>
      <c r="E520" s="92" t="s">
        <v>16553</v>
      </c>
      <c r="F520" s="92" t="s">
        <v>5150</v>
      </c>
      <c r="G520" s="92" t="s">
        <v>21</v>
      </c>
      <c r="H520" s="345">
        <v>2010</v>
      </c>
      <c r="I520" s="380">
        <v>40213</v>
      </c>
      <c r="J520" s="435" t="s">
        <v>5151</v>
      </c>
      <c r="K520" s="425"/>
      <c r="L520" s="381" t="s">
        <v>16554</v>
      </c>
    </row>
    <row r="521" spans="1:12">
      <c r="A521" s="92"/>
      <c r="B521" s="345">
        <v>19320235</v>
      </c>
      <c r="C521" s="92" t="s">
        <v>16555</v>
      </c>
      <c r="D521" s="92" t="s">
        <v>16556</v>
      </c>
      <c r="E521" s="92" t="s">
        <v>16557</v>
      </c>
      <c r="F521" s="92" t="s">
        <v>2128</v>
      </c>
      <c r="G521" s="92" t="s">
        <v>9533</v>
      </c>
      <c r="H521" s="345">
        <v>2009</v>
      </c>
      <c r="I521" s="380">
        <v>39899</v>
      </c>
      <c r="J521" s="92"/>
      <c r="K521" s="92"/>
      <c r="L521" s="92"/>
    </row>
    <row r="522" spans="1:12">
      <c r="A522" s="92"/>
      <c r="B522" s="345">
        <v>15855748</v>
      </c>
      <c r="C522" s="92" t="s">
        <v>16558</v>
      </c>
      <c r="D522" s="92" t="s">
        <v>16348</v>
      </c>
      <c r="E522" s="92" t="s">
        <v>16559</v>
      </c>
      <c r="F522" s="92" t="s">
        <v>5098</v>
      </c>
      <c r="G522" s="92" t="s">
        <v>8690</v>
      </c>
      <c r="H522" s="345">
        <v>2005</v>
      </c>
      <c r="I522" s="380">
        <v>38470</v>
      </c>
      <c r="J522" s="92"/>
      <c r="K522" s="92"/>
      <c r="L522" s="381" t="s">
        <v>16560</v>
      </c>
    </row>
    <row r="523" spans="1:12">
      <c r="A523" s="92"/>
      <c r="B523" s="345">
        <v>20721317</v>
      </c>
      <c r="C523" s="92" t="s">
        <v>16561</v>
      </c>
      <c r="D523" s="92" t="s">
        <v>16562</v>
      </c>
      <c r="E523" s="92" t="s">
        <v>16563</v>
      </c>
      <c r="F523" s="92" t="s">
        <v>5153</v>
      </c>
      <c r="G523" s="92" t="s">
        <v>16564</v>
      </c>
      <c r="H523" s="345">
        <v>2010</v>
      </c>
      <c r="I523" s="380">
        <v>40410</v>
      </c>
      <c r="J523" s="435" t="s">
        <v>5154</v>
      </c>
      <c r="K523" s="425"/>
      <c r="L523" s="381" t="s">
        <v>16565</v>
      </c>
    </row>
    <row r="524" spans="1:12">
      <c r="A524" s="92"/>
      <c r="B524" s="345">
        <v>12535387</v>
      </c>
      <c r="C524" s="92" t="s">
        <v>16566</v>
      </c>
      <c r="D524" s="92" t="s">
        <v>9312</v>
      </c>
      <c r="E524" s="92" t="s">
        <v>16567</v>
      </c>
      <c r="F524" s="92" t="s">
        <v>5155</v>
      </c>
      <c r="G524" s="92" t="s">
        <v>8857</v>
      </c>
      <c r="H524" s="345">
        <v>2003</v>
      </c>
      <c r="I524" s="380">
        <v>37643</v>
      </c>
      <c r="J524" s="92"/>
      <c r="K524" s="92"/>
      <c r="L524" s="381" t="s">
        <v>16568</v>
      </c>
    </row>
    <row r="525" spans="1:12">
      <c r="A525" s="92"/>
      <c r="B525" s="345">
        <v>21048484</v>
      </c>
      <c r="C525" s="92" t="s">
        <v>16569</v>
      </c>
      <c r="D525" s="92" t="s">
        <v>16570</v>
      </c>
      <c r="E525" s="92" t="s">
        <v>16571</v>
      </c>
      <c r="F525" s="92" t="s">
        <v>5156</v>
      </c>
      <c r="G525" s="92" t="s">
        <v>16572</v>
      </c>
      <c r="H525" s="345">
        <v>2010</v>
      </c>
      <c r="I525" s="380">
        <v>40487</v>
      </c>
      <c r="J525" s="92"/>
      <c r="K525" s="92"/>
      <c r="L525" s="381" t="s">
        <v>16573</v>
      </c>
    </row>
    <row r="526" spans="1:12">
      <c r="A526" s="92"/>
      <c r="B526" s="345">
        <v>20549558</v>
      </c>
      <c r="C526" s="92" t="s">
        <v>16574</v>
      </c>
      <c r="D526" s="92" t="s">
        <v>16575</v>
      </c>
      <c r="E526" s="92" t="s">
        <v>16576</v>
      </c>
      <c r="F526" s="92" t="s">
        <v>5158</v>
      </c>
      <c r="G526" s="92" t="s">
        <v>9279</v>
      </c>
      <c r="H526" s="345">
        <v>2010</v>
      </c>
      <c r="I526" s="380">
        <v>40345</v>
      </c>
      <c r="J526" s="92" t="s">
        <v>5159</v>
      </c>
      <c r="K526" s="92" t="s">
        <v>16577</v>
      </c>
      <c r="L526" s="381" t="s">
        <v>16578</v>
      </c>
    </row>
    <row r="527" spans="1:12">
      <c r="A527" s="92"/>
      <c r="B527" s="345">
        <v>10945375</v>
      </c>
      <c r="C527" s="92" t="s">
        <v>14949</v>
      </c>
      <c r="D527" s="92" t="s">
        <v>14950</v>
      </c>
      <c r="E527" s="92" t="s">
        <v>14951</v>
      </c>
      <c r="F527" s="92" t="s">
        <v>4723</v>
      </c>
      <c r="G527" s="92" t="s">
        <v>9681</v>
      </c>
      <c r="H527" s="345">
        <v>2000</v>
      </c>
      <c r="I527" s="380">
        <v>36755</v>
      </c>
      <c r="J527" s="92"/>
      <c r="K527" s="92"/>
      <c r="L527" s="381" t="s">
        <v>14952</v>
      </c>
    </row>
    <row r="528" spans="1:12">
      <c r="A528" s="92"/>
      <c r="B528" s="345">
        <v>20694562</v>
      </c>
      <c r="C528" s="92" t="s">
        <v>16579</v>
      </c>
      <c r="D528" s="92" t="s">
        <v>16580</v>
      </c>
      <c r="E528" s="92" t="s">
        <v>16581</v>
      </c>
      <c r="F528" s="92" t="s">
        <v>5161</v>
      </c>
      <c r="G528" s="92" t="s">
        <v>16582</v>
      </c>
      <c r="H528" s="345">
        <v>2010</v>
      </c>
      <c r="I528" s="380">
        <v>40400</v>
      </c>
      <c r="J528" s="92"/>
      <c r="K528" s="92"/>
      <c r="L528" s="381" t="s">
        <v>16583</v>
      </c>
    </row>
    <row r="529" spans="1:12">
      <c r="A529" s="92"/>
      <c r="B529" s="345">
        <v>17253505</v>
      </c>
      <c r="C529" s="92" t="s">
        <v>16256</v>
      </c>
      <c r="D529" s="92" t="s">
        <v>16584</v>
      </c>
      <c r="E529" s="92" t="s">
        <v>16585</v>
      </c>
      <c r="F529" s="92" t="s">
        <v>5162</v>
      </c>
      <c r="G529" s="92" t="s">
        <v>8857</v>
      </c>
      <c r="H529" s="345">
        <v>2007</v>
      </c>
      <c r="I529" s="380">
        <v>39109</v>
      </c>
      <c r="J529" s="92"/>
      <c r="K529" s="92"/>
      <c r="L529" s="381" t="s">
        <v>16586</v>
      </c>
    </row>
    <row r="530" spans="1:12">
      <c r="A530" s="92"/>
      <c r="B530" s="345">
        <v>10719741</v>
      </c>
      <c r="C530" s="92" t="s">
        <v>14953</v>
      </c>
      <c r="D530" s="92" t="s">
        <v>14954</v>
      </c>
      <c r="E530" s="92" t="s">
        <v>14955</v>
      </c>
      <c r="F530" s="92" t="s">
        <v>4724</v>
      </c>
      <c r="G530" s="92" t="s">
        <v>14956</v>
      </c>
      <c r="H530" s="345">
        <v>2000</v>
      </c>
      <c r="I530" s="380">
        <v>36602</v>
      </c>
      <c r="J530" s="92"/>
      <c r="K530" s="92"/>
      <c r="L530" s="381" t="s">
        <v>14957</v>
      </c>
    </row>
    <row r="531" spans="1:12">
      <c r="A531" s="92"/>
      <c r="B531" s="345">
        <v>17636662</v>
      </c>
      <c r="C531" s="92" t="s">
        <v>16587</v>
      </c>
      <c r="D531" s="92" t="s">
        <v>15060</v>
      </c>
      <c r="E531" s="92" t="s">
        <v>16588</v>
      </c>
      <c r="F531" s="92" t="s">
        <v>4742</v>
      </c>
      <c r="G531" s="92" t="s">
        <v>8857</v>
      </c>
      <c r="H531" s="345">
        <v>2007</v>
      </c>
      <c r="I531" s="380">
        <v>39283</v>
      </c>
      <c r="J531" s="435" t="s">
        <v>5163</v>
      </c>
      <c r="K531" s="425"/>
      <c r="L531" s="381" t="s">
        <v>16589</v>
      </c>
    </row>
    <row r="532" spans="1:12">
      <c r="A532" s="92"/>
      <c r="B532" s="345">
        <v>18764771</v>
      </c>
      <c r="C532" s="92" t="s">
        <v>16590</v>
      </c>
      <c r="D532" s="92" t="s">
        <v>16591</v>
      </c>
      <c r="E532" s="92" t="s">
        <v>16592</v>
      </c>
      <c r="F532" s="92" t="s">
        <v>5164</v>
      </c>
      <c r="G532" s="92" t="s">
        <v>9152</v>
      </c>
      <c r="H532" s="345">
        <v>2008</v>
      </c>
      <c r="I532" s="380">
        <v>39695</v>
      </c>
      <c r="J532" s="92"/>
      <c r="K532" s="92"/>
      <c r="L532" s="381" t="s">
        <v>16593</v>
      </c>
    </row>
    <row r="533" spans="1:12">
      <c r="A533" s="92"/>
      <c r="B533" s="345">
        <v>19720365</v>
      </c>
      <c r="C533" s="92" t="s">
        <v>16594</v>
      </c>
      <c r="D533" s="92" t="s">
        <v>16595</v>
      </c>
      <c r="E533" s="92" t="s">
        <v>16596</v>
      </c>
      <c r="F533" s="92" t="s">
        <v>5165</v>
      </c>
      <c r="G533" s="92" t="s">
        <v>21</v>
      </c>
      <c r="H533" s="345">
        <v>2009</v>
      </c>
      <c r="I533" s="380">
        <v>40058</v>
      </c>
      <c r="J533" s="92"/>
      <c r="K533" s="92"/>
      <c r="L533" s="381" t="s">
        <v>16597</v>
      </c>
    </row>
    <row r="534" spans="1:12">
      <c r="A534" s="92"/>
      <c r="B534" s="345">
        <v>20616187</v>
      </c>
      <c r="C534" s="92" t="s">
        <v>16598</v>
      </c>
      <c r="D534" s="92" t="s">
        <v>16599</v>
      </c>
      <c r="E534" s="92" t="s">
        <v>16600</v>
      </c>
      <c r="F534" s="92" t="s">
        <v>5167</v>
      </c>
      <c r="G534" s="92" t="s">
        <v>15901</v>
      </c>
      <c r="H534" s="345">
        <v>2010</v>
      </c>
      <c r="I534" s="380">
        <v>40369</v>
      </c>
      <c r="J534" s="435" t="s">
        <v>5168</v>
      </c>
      <c r="K534" s="425"/>
      <c r="L534" s="381" t="s">
        <v>16601</v>
      </c>
    </row>
    <row r="535" spans="1:12">
      <c r="A535" s="92"/>
      <c r="B535" s="345">
        <v>12492903</v>
      </c>
      <c r="C535" s="92" t="s">
        <v>16602</v>
      </c>
      <c r="D535" s="92" t="s">
        <v>16603</v>
      </c>
      <c r="E535" s="92" t="s">
        <v>16604</v>
      </c>
      <c r="F535" s="92" t="s">
        <v>5169</v>
      </c>
      <c r="G535" s="92" t="s">
        <v>16605</v>
      </c>
      <c r="H535" s="345">
        <v>2002</v>
      </c>
      <c r="I535" s="380">
        <v>37611</v>
      </c>
      <c r="J535" s="92"/>
      <c r="K535" s="92"/>
      <c r="L535" s="381" t="s">
        <v>16606</v>
      </c>
    </row>
    <row r="536" spans="1:12">
      <c r="A536" s="92"/>
      <c r="B536" s="345">
        <v>11445748</v>
      </c>
      <c r="C536" s="92" t="s">
        <v>8794</v>
      </c>
      <c r="D536" s="92" t="s">
        <v>8795</v>
      </c>
      <c r="E536" s="92" t="s">
        <v>8796</v>
      </c>
      <c r="F536" s="92" t="s">
        <v>5170</v>
      </c>
      <c r="G536" s="92" t="s">
        <v>8504</v>
      </c>
      <c r="H536" s="345">
        <v>2001</v>
      </c>
      <c r="I536" s="380">
        <v>37083</v>
      </c>
      <c r="J536" s="92"/>
      <c r="K536" s="92"/>
      <c r="L536" s="381" t="s">
        <v>8797</v>
      </c>
    </row>
    <row r="537" spans="1:12">
      <c r="A537" s="92"/>
      <c r="B537" s="345">
        <v>17012875</v>
      </c>
      <c r="C537" s="92" t="s">
        <v>16607</v>
      </c>
      <c r="D537" s="92" t="s">
        <v>16608</v>
      </c>
      <c r="E537" s="92" t="s">
        <v>16609</v>
      </c>
      <c r="F537" s="92" t="s">
        <v>4055</v>
      </c>
      <c r="G537" s="92" t="s">
        <v>9719</v>
      </c>
      <c r="H537" s="345">
        <v>2006</v>
      </c>
      <c r="I537" s="380">
        <v>38993</v>
      </c>
      <c r="J537" s="92"/>
      <c r="K537" s="92"/>
      <c r="L537" s="381" t="s">
        <v>16610</v>
      </c>
    </row>
    <row r="538" spans="1:12">
      <c r="A538" s="92"/>
      <c r="B538" s="345">
        <v>15373955</v>
      </c>
      <c r="C538" s="92" t="s">
        <v>16611</v>
      </c>
      <c r="D538" s="92" t="s">
        <v>16612</v>
      </c>
      <c r="E538" s="92" t="s">
        <v>16613</v>
      </c>
      <c r="F538" s="92" t="s">
        <v>5172</v>
      </c>
      <c r="G538" s="92" t="s">
        <v>16614</v>
      </c>
      <c r="H538" s="345">
        <v>2004</v>
      </c>
      <c r="I538" s="380">
        <v>38248</v>
      </c>
      <c r="J538" s="92"/>
      <c r="K538" s="92"/>
      <c r="L538" s="381" t="s">
        <v>16615</v>
      </c>
    </row>
    <row r="539" spans="1:12">
      <c r="A539" s="92"/>
      <c r="B539" s="345">
        <v>11811892</v>
      </c>
      <c r="C539" s="92" t="s">
        <v>16616</v>
      </c>
      <c r="D539" s="92" t="s">
        <v>16617</v>
      </c>
      <c r="E539" s="92" t="s">
        <v>16618</v>
      </c>
      <c r="F539" s="92" t="s">
        <v>5173</v>
      </c>
      <c r="G539" s="92" t="s">
        <v>14866</v>
      </c>
      <c r="H539" s="345">
        <v>2001</v>
      </c>
      <c r="I539" s="380">
        <v>37285</v>
      </c>
      <c r="J539" s="435" t="s">
        <v>5174</v>
      </c>
      <c r="K539" s="425"/>
      <c r="L539" s="381" t="s">
        <v>16619</v>
      </c>
    </row>
    <row r="540" spans="1:12">
      <c r="A540" s="92"/>
      <c r="B540" s="345">
        <v>11893972</v>
      </c>
      <c r="C540" s="92" t="s">
        <v>16620</v>
      </c>
      <c r="D540" s="92" t="s">
        <v>16621</v>
      </c>
      <c r="E540" s="92" t="s">
        <v>16622</v>
      </c>
      <c r="F540" s="92" t="s">
        <v>4270</v>
      </c>
      <c r="G540" s="92" t="s">
        <v>16623</v>
      </c>
      <c r="H540" s="345">
        <v>2002</v>
      </c>
      <c r="I540" s="380">
        <v>37330</v>
      </c>
      <c r="J540" s="92"/>
      <c r="K540" s="92"/>
      <c r="L540" s="381" t="s">
        <v>16624</v>
      </c>
    </row>
    <row r="541" spans="1:12">
      <c r="A541" s="92"/>
      <c r="B541" s="345">
        <v>16235362</v>
      </c>
      <c r="C541" s="92" t="s">
        <v>16625</v>
      </c>
      <c r="D541" s="92" t="s">
        <v>16626</v>
      </c>
      <c r="E541" s="92" t="s">
        <v>16627</v>
      </c>
      <c r="F541" s="92" t="s">
        <v>5176</v>
      </c>
      <c r="G541" s="92" t="s">
        <v>8857</v>
      </c>
      <c r="H541" s="345">
        <v>2005</v>
      </c>
      <c r="I541" s="380">
        <v>38645</v>
      </c>
      <c r="J541" s="92"/>
      <c r="K541" s="92"/>
      <c r="L541" s="381" t="s">
        <v>16628</v>
      </c>
    </row>
    <row r="542" spans="1:12">
      <c r="A542" s="92"/>
      <c r="B542" s="345">
        <v>17074855</v>
      </c>
      <c r="C542" s="92" t="s">
        <v>16629</v>
      </c>
      <c r="D542" s="92" t="s">
        <v>16630</v>
      </c>
      <c r="E542" s="92" t="s">
        <v>16631</v>
      </c>
      <c r="F542" s="92" t="s">
        <v>1616</v>
      </c>
      <c r="G542" s="92" t="s">
        <v>11700</v>
      </c>
      <c r="H542" s="345">
        <v>2007</v>
      </c>
      <c r="I542" s="380">
        <v>39022</v>
      </c>
      <c r="J542" s="435" t="s">
        <v>5177</v>
      </c>
      <c r="K542" s="425"/>
      <c r="L542" s="381" t="s">
        <v>16632</v>
      </c>
    </row>
    <row r="543" spans="1:12">
      <c r="A543" s="92"/>
      <c r="B543" s="345">
        <v>17551890</v>
      </c>
      <c r="C543" s="92" t="s">
        <v>16633</v>
      </c>
      <c r="D543" s="92" t="s">
        <v>16634</v>
      </c>
      <c r="E543" s="92" t="s">
        <v>16635</v>
      </c>
      <c r="F543" s="92" t="s">
        <v>5178</v>
      </c>
      <c r="G543" s="92" t="s">
        <v>16636</v>
      </c>
      <c r="H543" s="345">
        <v>2007</v>
      </c>
      <c r="I543" s="380">
        <v>39240</v>
      </c>
      <c r="J543" s="92"/>
      <c r="K543" s="92"/>
      <c r="L543" s="381" t="s">
        <v>16637</v>
      </c>
    </row>
    <row r="544" spans="1:12">
      <c r="A544" s="92"/>
      <c r="B544" s="345">
        <v>20074161</v>
      </c>
      <c r="C544" s="92" t="s">
        <v>16638</v>
      </c>
      <c r="D544" s="92" t="s">
        <v>16639</v>
      </c>
      <c r="E544" s="92" t="s">
        <v>16640</v>
      </c>
      <c r="F544" s="92" t="s">
        <v>5179</v>
      </c>
      <c r="G544" s="92" t="s">
        <v>14956</v>
      </c>
      <c r="H544" s="345">
        <v>2010</v>
      </c>
      <c r="I544" s="380">
        <v>40194</v>
      </c>
      <c r="J544" s="92"/>
      <c r="K544" s="92"/>
      <c r="L544" s="381" t="s">
        <v>16641</v>
      </c>
    </row>
    <row r="545" spans="1:12">
      <c r="A545" s="92"/>
      <c r="B545" s="345">
        <v>17957154</v>
      </c>
      <c r="C545" s="92" t="s">
        <v>16642</v>
      </c>
      <c r="D545" s="92" t="s">
        <v>16643</v>
      </c>
      <c r="E545" s="92" t="s">
        <v>16644</v>
      </c>
      <c r="F545" s="92" t="s">
        <v>5180</v>
      </c>
      <c r="G545" s="92" t="s">
        <v>15557</v>
      </c>
      <c r="H545" s="345">
        <v>2007</v>
      </c>
      <c r="I545" s="380">
        <v>39380</v>
      </c>
      <c r="J545" s="92"/>
      <c r="K545" s="92"/>
      <c r="L545" s="381" t="s">
        <v>16645</v>
      </c>
    </row>
    <row r="546" spans="1:12">
      <c r="A546" s="92"/>
      <c r="B546" s="345">
        <v>15555475</v>
      </c>
      <c r="C546" s="92" t="s">
        <v>16646</v>
      </c>
      <c r="D546" s="92" t="s">
        <v>16156</v>
      </c>
      <c r="E546" s="92" t="s">
        <v>16647</v>
      </c>
      <c r="F546" s="92" t="s">
        <v>5044</v>
      </c>
      <c r="G546" s="92" t="s">
        <v>16648</v>
      </c>
      <c r="H546" s="345">
        <v>2004</v>
      </c>
      <c r="I546" s="380">
        <v>38315</v>
      </c>
      <c r="J546" s="92"/>
      <c r="K546" s="92"/>
      <c r="L546" s="381" t="s">
        <v>16649</v>
      </c>
    </row>
    <row r="547" spans="1:12">
      <c r="A547" s="92"/>
      <c r="B547" s="345">
        <v>14583957</v>
      </c>
      <c r="C547" s="92" t="s">
        <v>16269</v>
      </c>
      <c r="D547" s="92" t="s">
        <v>16650</v>
      </c>
      <c r="E547" s="92" t="s">
        <v>16651</v>
      </c>
      <c r="F547" s="92" t="s">
        <v>5181</v>
      </c>
      <c r="G547" s="92" t="s">
        <v>8857</v>
      </c>
      <c r="H547" s="345">
        <v>2003</v>
      </c>
      <c r="I547" s="380">
        <v>37924</v>
      </c>
      <c r="J547" s="92"/>
      <c r="K547" s="92"/>
      <c r="L547" s="381" t="s">
        <v>16652</v>
      </c>
    </row>
    <row r="548" spans="1:12">
      <c r="A548" s="92"/>
      <c r="B548" s="345">
        <v>15479374</v>
      </c>
      <c r="C548" s="92" t="s">
        <v>16653</v>
      </c>
      <c r="D548" s="92" t="s">
        <v>16454</v>
      </c>
      <c r="E548" s="92" t="s">
        <v>16654</v>
      </c>
      <c r="F548" s="92" t="s">
        <v>5123</v>
      </c>
      <c r="G548" s="92" t="s">
        <v>8699</v>
      </c>
      <c r="H548" s="345">
        <v>2004</v>
      </c>
      <c r="I548" s="380">
        <v>38274</v>
      </c>
      <c r="J548" s="92"/>
      <c r="K548" s="92"/>
      <c r="L548" s="381" t="s">
        <v>16655</v>
      </c>
    </row>
    <row r="549" spans="1:12">
      <c r="A549" s="92"/>
      <c r="B549" s="345">
        <v>12127863</v>
      </c>
      <c r="C549" s="92" t="s">
        <v>16656</v>
      </c>
      <c r="D549" s="92" t="s">
        <v>16657</v>
      </c>
      <c r="E549" s="92" t="s">
        <v>16658</v>
      </c>
      <c r="F549" s="92" t="s">
        <v>5182</v>
      </c>
      <c r="G549" s="92" t="s">
        <v>16659</v>
      </c>
      <c r="H549" s="345">
        <v>2002</v>
      </c>
      <c r="I549" s="380">
        <v>37457</v>
      </c>
      <c r="J549" s="92"/>
      <c r="K549" s="92"/>
      <c r="L549" s="381" t="s">
        <v>16660</v>
      </c>
    </row>
    <row r="550" spans="1:12">
      <c r="A550" s="92"/>
      <c r="B550" s="345">
        <v>18714060</v>
      </c>
      <c r="C550" s="92" t="s">
        <v>16661</v>
      </c>
      <c r="D550" s="92" t="s">
        <v>16662</v>
      </c>
      <c r="E550" s="92" t="s">
        <v>16663</v>
      </c>
      <c r="F550" s="92" t="s">
        <v>5183</v>
      </c>
      <c r="G550" s="92" t="s">
        <v>8580</v>
      </c>
      <c r="H550" s="345">
        <v>2008</v>
      </c>
      <c r="I550" s="380">
        <v>39681</v>
      </c>
      <c r="J550" s="92"/>
      <c r="K550" s="92"/>
      <c r="L550" s="381" t="s">
        <v>16664</v>
      </c>
    </row>
    <row r="551" spans="1:12">
      <c r="A551" s="92"/>
      <c r="B551" s="345">
        <v>19641203</v>
      </c>
      <c r="C551" s="92" t="s">
        <v>16665</v>
      </c>
      <c r="D551" s="92" t="s">
        <v>16666</v>
      </c>
      <c r="E551" s="92" t="s">
        <v>16667</v>
      </c>
      <c r="F551" s="92" t="s">
        <v>1265</v>
      </c>
      <c r="G551" s="92" t="s">
        <v>8514</v>
      </c>
      <c r="H551" s="345">
        <v>2009</v>
      </c>
      <c r="I551" s="380">
        <v>40025</v>
      </c>
      <c r="J551" s="92"/>
      <c r="K551" s="92"/>
      <c r="L551" s="381" t="s">
        <v>16668</v>
      </c>
    </row>
    <row r="552" spans="1:12">
      <c r="A552" s="92"/>
      <c r="B552" s="345">
        <v>18094803</v>
      </c>
      <c r="C552" s="92" t="s">
        <v>16669</v>
      </c>
      <c r="D552" s="92" t="s">
        <v>16670</v>
      </c>
      <c r="E552" s="92" t="s">
        <v>16671</v>
      </c>
      <c r="F552" s="92" t="s">
        <v>5185</v>
      </c>
      <c r="G552" s="92" t="s">
        <v>16672</v>
      </c>
      <c r="H552" s="345">
        <v>2007</v>
      </c>
      <c r="I552" s="380">
        <v>39437</v>
      </c>
      <c r="J552" s="92"/>
      <c r="K552" s="92"/>
      <c r="L552" s="381" t="s">
        <v>16673</v>
      </c>
    </row>
    <row r="553" spans="1:12">
      <c r="A553" s="92"/>
      <c r="B553" s="345">
        <v>15025767</v>
      </c>
      <c r="C553" s="92" t="s">
        <v>16674</v>
      </c>
      <c r="D553" s="92" t="s">
        <v>16675</v>
      </c>
      <c r="E553" s="92" t="s">
        <v>16676</v>
      </c>
      <c r="F553" s="92" t="s">
        <v>5186</v>
      </c>
      <c r="G553" s="92" t="s">
        <v>11166</v>
      </c>
      <c r="H553" s="345">
        <v>2004</v>
      </c>
      <c r="I553" s="380">
        <v>38064</v>
      </c>
      <c r="J553" s="92" t="s">
        <v>5187</v>
      </c>
      <c r="K553" s="92"/>
      <c r="L553" s="381" t="s">
        <v>16677</v>
      </c>
    </row>
    <row r="554" spans="1:12">
      <c r="A554" s="92"/>
      <c r="B554" s="345">
        <v>19036570</v>
      </c>
      <c r="C554" s="92" t="s">
        <v>16678</v>
      </c>
      <c r="D554" s="92" t="s">
        <v>16679</v>
      </c>
      <c r="E554" s="92" t="s">
        <v>16680</v>
      </c>
      <c r="F554" s="92" t="s">
        <v>5189</v>
      </c>
      <c r="G554" s="92" t="s">
        <v>13050</v>
      </c>
      <c r="H554" s="345">
        <v>2009</v>
      </c>
      <c r="I554" s="380">
        <v>39780</v>
      </c>
      <c r="J554" s="92"/>
      <c r="K554" s="92"/>
      <c r="L554" s="381" t="s">
        <v>16681</v>
      </c>
    </row>
    <row r="555" spans="1:12">
      <c r="A555" s="92"/>
      <c r="B555" s="345">
        <v>17651479</v>
      </c>
      <c r="C555" s="92" t="s">
        <v>16682</v>
      </c>
      <c r="D555" s="92" t="s">
        <v>16683</v>
      </c>
      <c r="E555" s="92" t="s">
        <v>16684</v>
      </c>
      <c r="F555" s="92" t="s">
        <v>5191</v>
      </c>
      <c r="G555" s="92" t="s">
        <v>10740</v>
      </c>
      <c r="H555" s="345">
        <v>2007</v>
      </c>
      <c r="I555" s="380">
        <v>39290</v>
      </c>
      <c r="J555" s="435" t="s">
        <v>5192</v>
      </c>
      <c r="K555" s="425"/>
      <c r="L555" s="381" t="s">
        <v>16685</v>
      </c>
    </row>
    <row r="556" spans="1:12">
      <c r="A556" s="92"/>
      <c r="B556" s="345">
        <v>19770750</v>
      </c>
      <c r="C556" s="92" t="s">
        <v>16686</v>
      </c>
      <c r="D556" s="92" t="s">
        <v>16687</v>
      </c>
      <c r="E556" s="92" t="s">
        <v>16688</v>
      </c>
      <c r="F556" s="92" t="s">
        <v>5193</v>
      </c>
      <c r="G556" s="92" t="s">
        <v>8504</v>
      </c>
      <c r="H556" s="345">
        <v>2009</v>
      </c>
      <c r="I556" s="380">
        <v>40079</v>
      </c>
      <c r="J556" s="92"/>
      <c r="K556" s="92"/>
      <c r="L556" s="381" t="s">
        <v>16689</v>
      </c>
    </row>
    <row r="557" spans="1:12">
      <c r="A557" s="92"/>
      <c r="B557" s="345">
        <v>18981253</v>
      </c>
      <c r="C557" s="92" t="s">
        <v>16690</v>
      </c>
      <c r="D557" s="92" t="s">
        <v>16691</v>
      </c>
      <c r="E557" s="92" t="s">
        <v>16692</v>
      </c>
      <c r="F557" s="92" t="s">
        <v>5194</v>
      </c>
      <c r="G557" s="92" t="s">
        <v>11700</v>
      </c>
      <c r="H557" s="345">
        <v>2009</v>
      </c>
      <c r="I557" s="380">
        <v>39757</v>
      </c>
      <c r="J557" s="435" t="s">
        <v>5195</v>
      </c>
      <c r="K557" s="425"/>
      <c r="L557" s="381" t="s">
        <v>16693</v>
      </c>
    </row>
    <row r="558" spans="1:12">
      <c r="A558" s="92"/>
      <c r="B558" s="345">
        <v>17311056</v>
      </c>
      <c r="C558" s="92" t="s">
        <v>16694</v>
      </c>
      <c r="D558" s="92" t="s">
        <v>16695</v>
      </c>
      <c r="E558" s="92" t="s">
        <v>16696</v>
      </c>
      <c r="F558" s="92" t="s">
        <v>5196</v>
      </c>
      <c r="G558" s="92" t="s">
        <v>16697</v>
      </c>
      <c r="H558" s="345">
        <v>2008</v>
      </c>
      <c r="I558" s="380">
        <v>39135</v>
      </c>
      <c r="J558" s="92"/>
      <c r="K558" s="92"/>
      <c r="L558" s="381" t="s">
        <v>16698</v>
      </c>
    </row>
    <row r="559" spans="1:12">
      <c r="A559" s="92"/>
      <c r="B559" s="345">
        <v>12888986</v>
      </c>
      <c r="C559" s="92" t="s">
        <v>16699</v>
      </c>
      <c r="D559" s="92" t="s">
        <v>16700</v>
      </c>
      <c r="E559" s="92" t="s">
        <v>16701</v>
      </c>
      <c r="F559" s="92" t="s">
        <v>5198</v>
      </c>
      <c r="G559" s="92" t="s">
        <v>16702</v>
      </c>
      <c r="H559" s="345">
        <v>2003</v>
      </c>
      <c r="I559" s="380">
        <v>37833</v>
      </c>
      <c r="J559" s="92"/>
      <c r="K559" s="92"/>
      <c r="L559" s="381" t="s">
        <v>16703</v>
      </c>
    </row>
    <row r="560" spans="1:12">
      <c r="A560" s="92"/>
      <c r="B560" s="345">
        <v>16101105</v>
      </c>
      <c r="C560" s="92" t="s">
        <v>16704</v>
      </c>
      <c r="D560" s="92" t="s">
        <v>16705</v>
      </c>
      <c r="E560" s="92" t="s">
        <v>16706</v>
      </c>
      <c r="F560" s="92" t="s">
        <v>5200</v>
      </c>
      <c r="G560" s="92" t="s">
        <v>16707</v>
      </c>
      <c r="H560" s="345">
        <v>2005</v>
      </c>
      <c r="I560" s="380">
        <v>38581</v>
      </c>
      <c r="J560" s="92"/>
      <c r="K560" s="92"/>
      <c r="L560" s="381" t="s">
        <v>16708</v>
      </c>
    </row>
    <row r="561" spans="1:12">
      <c r="A561" s="92"/>
      <c r="B561" s="345">
        <v>20723147</v>
      </c>
      <c r="C561" s="92" t="s">
        <v>16709</v>
      </c>
      <c r="D561" s="92" t="s">
        <v>16710</v>
      </c>
      <c r="E561" s="92" t="s">
        <v>16711</v>
      </c>
      <c r="F561" s="92" t="s">
        <v>5201</v>
      </c>
      <c r="G561" s="92" t="s">
        <v>16712</v>
      </c>
      <c r="H561" s="345">
        <v>2011</v>
      </c>
      <c r="I561" s="380">
        <v>40411</v>
      </c>
      <c r="J561" s="92"/>
      <c r="K561" s="92"/>
      <c r="L561" s="381" t="s">
        <v>16713</v>
      </c>
    </row>
    <row r="562" spans="1:12">
      <c r="A562" s="92"/>
      <c r="B562" s="345">
        <v>15577578</v>
      </c>
      <c r="C562" s="92" t="s">
        <v>16714</v>
      </c>
      <c r="D562" s="92" t="s">
        <v>16715</v>
      </c>
      <c r="E562" s="92" t="s">
        <v>16716</v>
      </c>
      <c r="F562" s="92" t="s">
        <v>5202</v>
      </c>
      <c r="G562" s="92" t="s">
        <v>12638</v>
      </c>
      <c r="H562" s="345">
        <v>2004</v>
      </c>
      <c r="I562" s="380">
        <v>38325</v>
      </c>
      <c r="J562" s="92"/>
      <c r="K562" s="92"/>
      <c r="L562" s="381" t="s">
        <v>16717</v>
      </c>
    </row>
    <row r="563" spans="1:12">
      <c r="A563" s="92"/>
      <c r="B563" s="345">
        <v>19124087</v>
      </c>
      <c r="C563" s="92" t="s">
        <v>16718</v>
      </c>
      <c r="D563" s="92" t="s">
        <v>16719</v>
      </c>
      <c r="E563" s="92" t="s">
        <v>16720</v>
      </c>
      <c r="F563" s="92" t="s">
        <v>5203</v>
      </c>
      <c r="G563" s="92" t="s">
        <v>13575</v>
      </c>
      <c r="H563" s="345">
        <v>2009</v>
      </c>
      <c r="I563" s="380">
        <v>39820</v>
      </c>
      <c r="J563" s="92"/>
      <c r="K563" s="92"/>
      <c r="L563" s="381" t="s">
        <v>16721</v>
      </c>
    </row>
    <row r="564" spans="1:12">
      <c r="A564" s="92"/>
      <c r="B564" s="345">
        <v>19409533</v>
      </c>
      <c r="C564" s="92" t="s">
        <v>16722</v>
      </c>
      <c r="D564" s="92" t="s">
        <v>16723</v>
      </c>
      <c r="E564" s="92" t="s">
        <v>16724</v>
      </c>
      <c r="F564" s="92" t="s">
        <v>5204</v>
      </c>
      <c r="G564" s="92" t="s">
        <v>16725</v>
      </c>
      <c r="H564" s="345">
        <v>2009</v>
      </c>
      <c r="I564" s="380">
        <v>39938</v>
      </c>
      <c r="J564" s="435" t="s">
        <v>5205</v>
      </c>
      <c r="K564" s="425"/>
      <c r="L564" s="381" t="s">
        <v>16726</v>
      </c>
    </row>
    <row r="565" spans="1:12">
      <c r="A565" s="92"/>
      <c r="B565" s="345">
        <v>21179538</v>
      </c>
      <c r="C565" s="92" t="s">
        <v>16727</v>
      </c>
      <c r="D565" s="92" t="s">
        <v>16728</v>
      </c>
      <c r="E565" s="92" t="s">
        <v>16729</v>
      </c>
      <c r="F565" s="92" t="s">
        <v>5207</v>
      </c>
      <c r="G565" s="92" t="s">
        <v>10379</v>
      </c>
      <c r="H565" s="345">
        <v>2010</v>
      </c>
      <c r="I565" s="380">
        <v>40536</v>
      </c>
      <c r="J565" s="435" t="s">
        <v>5208</v>
      </c>
      <c r="K565" s="425"/>
      <c r="L565" s="381" t="s">
        <v>16730</v>
      </c>
    </row>
    <row r="566" spans="1:12">
      <c r="A566" s="92"/>
      <c r="B566" s="345">
        <v>10773116</v>
      </c>
      <c r="C566" s="92" t="s">
        <v>14998</v>
      </c>
      <c r="D566" s="92" t="s">
        <v>14999</v>
      </c>
      <c r="E566" s="92" t="s">
        <v>15000</v>
      </c>
      <c r="F566" s="92" t="s">
        <v>4732</v>
      </c>
      <c r="G566" s="92" t="s">
        <v>11510</v>
      </c>
      <c r="H566" s="345">
        <v>2000</v>
      </c>
      <c r="I566" s="380">
        <v>36641</v>
      </c>
      <c r="J566" s="92"/>
      <c r="K566" s="92"/>
      <c r="L566" s="381" t="s">
        <v>15001</v>
      </c>
    </row>
    <row r="567" spans="1:12">
      <c r="A567" s="92"/>
      <c r="B567" s="345">
        <v>15027996</v>
      </c>
      <c r="C567" s="92" t="s">
        <v>16731</v>
      </c>
      <c r="D567" s="92" t="s">
        <v>16732</v>
      </c>
      <c r="E567" s="92" t="s">
        <v>16733</v>
      </c>
      <c r="F567" s="92" t="s">
        <v>5209</v>
      </c>
      <c r="G567" s="92" t="s">
        <v>16712</v>
      </c>
      <c r="H567" s="345">
        <v>2004</v>
      </c>
      <c r="I567" s="380">
        <v>38065</v>
      </c>
      <c r="J567" s="92"/>
      <c r="K567" s="92"/>
      <c r="L567" s="381" t="s">
        <v>16734</v>
      </c>
    </row>
    <row r="568" spans="1:12">
      <c r="A568" s="92"/>
      <c r="B568" s="345">
        <v>19818365</v>
      </c>
      <c r="C568" s="92" t="s">
        <v>16735</v>
      </c>
      <c r="D568" s="92" t="s">
        <v>16736</v>
      </c>
      <c r="E568" s="92" t="s">
        <v>16737</v>
      </c>
      <c r="F568" s="92" t="s">
        <v>5211</v>
      </c>
      <c r="G568" s="92" t="s">
        <v>9028</v>
      </c>
      <c r="H568" s="345">
        <v>2010</v>
      </c>
      <c r="I568" s="380">
        <v>40099</v>
      </c>
      <c r="J568" s="92"/>
      <c r="K568" s="92"/>
      <c r="L568" s="381" t="s">
        <v>16738</v>
      </c>
    </row>
    <row r="569" spans="1:12">
      <c r="A569" s="92"/>
      <c r="B569" s="345">
        <v>20720211</v>
      </c>
      <c r="C569" s="92" t="s">
        <v>16739</v>
      </c>
      <c r="D569" s="92" t="s">
        <v>16740</v>
      </c>
      <c r="E569" s="92" t="s">
        <v>16741</v>
      </c>
      <c r="F569" s="92" t="s">
        <v>5212</v>
      </c>
      <c r="G569" s="92" t="s">
        <v>15646</v>
      </c>
      <c r="H569" s="345">
        <v>2010</v>
      </c>
      <c r="I569" s="380">
        <v>40410</v>
      </c>
      <c r="J569" s="92" t="s">
        <v>5213</v>
      </c>
      <c r="K569" s="92" t="s">
        <v>16742</v>
      </c>
      <c r="L569" s="381" t="s">
        <v>16743</v>
      </c>
    </row>
    <row r="570" spans="1:12">
      <c r="A570" s="92"/>
      <c r="B570" s="345">
        <v>15971954</v>
      </c>
      <c r="C570" s="92" t="s">
        <v>16744</v>
      </c>
      <c r="D570" s="92" t="s">
        <v>16745</v>
      </c>
      <c r="E570" s="92" t="s">
        <v>16746</v>
      </c>
      <c r="F570" s="92" t="s">
        <v>5214</v>
      </c>
      <c r="G570" s="92" t="s">
        <v>10148</v>
      </c>
      <c r="H570" s="345">
        <v>2005</v>
      </c>
      <c r="I570" s="380">
        <v>38527</v>
      </c>
      <c r="J570" s="435" t="s">
        <v>5215</v>
      </c>
      <c r="K570" s="425"/>
      <c r="L570" s="381" t="s">
        <v>16747</v>
      </c>
    </row>
    <row r="571" spans="1:12">
      <c r="A571" s="92"/>
      <c r="B571" s="345">
        <v>19013336</v>
      </c>
      <c r="C571" s="92" t="s">
        <v>16748</v>
      </c>
      <c r="D571" s="92" t="s">
        <v>16749</v>
      </c>
      <c r="E571" s="92" t="s">
        <v>16750</v>
      </c>
      <c r="F571" s="92" t="s">
        <v>5216</v>
      </c>
      <c r="G571" s="92" t="s">
        <v>10603</v>
      </c>
      <c r="H571" s="345">
        <v>2008</v>
      </c>
      <c r="I571" s="380">
        <v>39799</v>
      </c>
      <c r="J571" s="92"/>
      <c r="K571" s="92"/>
      <c r="L571" s="381" t="s">
        <v>16751</v>
      </c>
    </row>
    <row r="572" spans="1:12">
      <c r="A572" s="92"/>
      <c r="B572" s="345">
        <v>15156472</v>
      </c>
      <c r="C572" s="92" t="s">
        <v>16752</v>
      </c>
      <c r="D572" s="92" t="s">
        <v>16753</v>
      </c>
      <c r="E572" s="92" t="s">
        <v>16754</v>
      </c>
      <c r="F572" s="92" t="s">
        <v>2289</v>
      </c>
      <c r="G572" s="92" t="s">
        <v>9152</v>
      </c>
      <c r="H572" s="345">
        <v>2004</v>
      </c>
      <c r="I572" s="380">
        <v>38132</v>
      </c>
      <c r="J572" s="435" t="s">
        <v>5217</v>
      </c>
      <c r="K572" s="425"/>
      <c r="L572" s="381" t="s">
        <v>16755</v>
      </c>
    </row>
    <row r="573" spans="1:12">
      <c r="A573" s="92"/>
      <c r="B573" s="345">
        <v>20658486</v>
      </c>
      <c r="C573" s="92" t="s">
        <v>16756</v>
      </c>
      <c r="D573" s="92" t="s">
        <v>16757</v>
      </c>
      <c r="E573" s="92" t="s">
        <v>16758</v>
      </c>
      <c r="F573" s="92" t="s">
        <v>5218</v>
      </c>
      <c r="G573" s="92" t="s">
        <v>15724</v>
      </c>
      <c r="H573" s="345">
        <v>2010</v>
      </c>
      <c r="I573" s="380">
        <v>40386</v>
      </c>
      <c r="J573" s="92"/>
      <c r="K573" s="92"/>
      <c r="L573" s="381" t="s">
        <v>16759</v>
      </c>
    </row>
    <row r="574" spans="1:12">
      <c r="A574" s="92"/>
      <c r="B574" s="345">
        <v>11928904</v>
      </c>
      <c r="C574" s="92" t="s">
        <v>16760</v>
      </c>
      <c r="D574" s="92" t="s">
        <v>16761</v>
      </c>
      <c r="E574" s="92" t="s">
        <v>16762</v>
      </c>
      <c r="F574" s="92" t="s">
        <v>5219</v>
      </c>
      <c r="G574" s="92" t="s">
        <v>16763</v>
      </c>
      <c r="H574" s="345">
        <v>2002</v>
      </c>
      <c r="I574" s="380">
        <v>37350</v>
      </c>
      <c r="J574" s="92"/>
      <c r="K574" s="92"/>
      <c r="L574" s="381" t="s">
        <v>16764</v>
      </c>
    </row>
    <row r="575" spans="1:12">
      <c r="A575" s="92"/>
      <c r="B575" s="345">
        <v>20855659</v>
      </c>
      <c r="C575" s="92" t="s">
        <v>16765</v>
      </c>
      <c r="D575" s="92" t="s">
        <v>16766</v>
      </c>
      <c r="E575" s="92" t="s">
        <v>16767</v>
      </c>
      <c r="F575" s="92" t="s">
        <v>5220</v>
      </c>
      <c r="G575" s="92" t="s">
        <v>8519</v>
      </c>
      <c r="H575" s="345">
        <v>2010</v>
      </c>
      <c r="I575" s="380">
        <v>40443</v>
      </c>
      <c r="J575" s="92"/>
      <c r="K575" s="92"/>
      <c r="L575" s="381" t="s">
        <v>16768</v>
      </c>
    </row>
    <row r="576" spans="1:12">
      <c r="A576" s="92"/>
      <c r="B576" s="345">
        <v>16997473</v>
      </c>
      <c r="C576" s="92" t="s">
        <v>16769</v>
      </c>
      <c r="D576" s="92" t="s">
        <v>16770</v>
      </c>
      <c r="E576" s="92" t="s">
        <v>16771</v>
      </c>
      <c r="F576" s="92" t="s">
        <v>5221</v>
      </c>
      <c r="G576" s="92" t="s">
        <v>14848</v>
      </c>
      <c r="H576" s="345">
        <v>2007</v>
      </c>
      <c r="I576" s="380">
        <v>38986</v>
      </c>
      <c r="J576" s="92"/>
      <c r="K576" s="92"/>
      <c r="L576" s="381" t="s">
        <v>16772</v>
      </c>
    </row>
    <row r="577" spans="1:12">
      <c r="A577" s="92"/>
      <c r="B577" s="345">
        <v>16605302</v>
      </c>
      <c r="C577" s="92" t="s">
        <v>16773</v>
      </c>
      <c r="D577" s="92" t="s">
        <v>16774</v>
      </c>
      <c r="E577" s="92" t="s">
        <v>16775</v>
      </c>
      <c r="F577" s="92" t="s">
        <v>5222</v>
      </c>
      <c r="G577" s="92" t="s">
        <v>10148</v>
      </c>
      <c r="H577" s="345">
        <v>2006</v>
      </c>
      <c r="I577" s="380">
        <v>38819</v>
      </c>
      <c r="J577" s="435" t="s">
        <v>5223</v>
      </c>
      <c r="K577" s="425"/>
      <c r="L577" s="381" t="s">
        <v>16776</v>
      </c>
    </row>
    <row r="578" spans="1:12">
      <c r="A578" s="92"/>
      <c r="B578" s="345">
        <v>11343523</v>
      </c>
      <c r="C578" s="92" t="s">
        <v>16777</v>
      </c>
      <c r="D578" s="92" t="s">
        <v>16778</v>
      </c>
      <c r="E578" s="92" t="s">
        <v>16779</v>
      </c>
      <c r="F578" s="92" t="s">
        <v>2142</v>
      </c>
      <c r="G578" s="92" t="s">
        <v>15595</v>
      </c>
      <c r="H578" s="345">
        <v>2001</v>
      </c>
      <c r="I578" s="380">
        <v>37027</v>
      </c>
      <c r="J578" s="92"/>
      <c r="K578" s="92"/>
      <c r="L578" s="381" t="s">
        <v>16780</v>
      </c>
    </row>
    <row r="579" spans="1:12">
      <c r="A579" s="92"/>
      <c r="B579" s="345">
        <v>20086085</v>
      </c>
      <c r="C579" s="92" t="s">
        <v>16781</v>
      </c>
      <c r="D579" s="92" t="s">
        <v>16782</v>
      </c>
      <c r="E579" s="92" t="s">
        <v>16783</v>
      </c>
      <c r="F579" s="92" t="s">
        <v>2354</v>
      </c>
      <c r="G579" s="92" t="s">
        <v>11700</v>
      </c>
      <c r="H579" s="345">
        <v>2010</v>
      </c>
      <c r="I579" s="380">
        <v>40199</v>
      </c>
      <c r="J579" s="435" t="s">
        <v>5224</v>
      </c>
      <c r="K579" s="425"/>
      <c r="L579" s="381" t="s">
        <v>16784</v>
      </c>
    </row>
    <row r="580" spans="1:12">
      <c r="A580" s="92"/>
      <c r="B580" s="345">
        <v>20673363</v>
      </c>
      <c r="C580" s="92" t="s">
        <v>16785</v>
      </c>
      <c r="D580" s="92" t="s">
        <v>16786</v>
      </c>
      <c r="E580" s="92" t="s">
        <v>16787</v>
      </c>
      <c r="F580" s="92" t="s">
        <v>5225</v>
      </c>
      <c r="G580" s="92" t="s">
        <v>10013</v>
      </c>
      <c r="H580" s="345">
        <v>2010</v>
      </c>
      <c r="I580" s="380">
        <v>40393</v>
      </c>
      <c r="J580" s="435" t="s">
        <v>5226</v>
      </c>
      <c r="K580" s="425"/>
      <c r="L580" s="381" t="s">
        <v>16788</v>
      </c>
    </row>
    <row r="581" spans="1:12">
      <c r="A581" s="92"/>
      <c r="B581" s="345">
        <v>17636596</v>
      </c>
      <c r="C581" s="92" t="s">
        <v>16789</v>
      </c>
      <c r="D581" s="92" t="s">
        <v>9312</v>
      </c>
      <c r="E581" s="92" t="s">
        <v>16790</v>
      </c>
      <c r="F581" s="92" t="s">
        <v>5155</v>
      </c>
      <c r="G581" s="92" t="s">
        <v>8857</v>
      </c>
      <c r="H581" s="345">
        <v>2007</v>
      </c>
      <c r="I581" s="380">
        <v>39283</v>
      </c>
      <c r="J581" s="435" t="s">
        <v>5227</v>
      </c>
      <c r="K581" s="425"/>
      <c r="L581" s="381" t="s">
        <v>16791</v>
      </c>
    </row>
    <row r="582" spans="1:12">
      <c r="A582" s="92"/>
      <c r="B582" s="345">
        <v>19301588</v>
      </c>
      <c r="C582" s="92" t="s">
        <v>16792</v>
      </c>
      <c r="D582" s="92" t="s">
        <v>16793</v>
      </c>
      <c r="E582" s="92" t="s">
        <v>16794</v>
      </c>
      <c r="F582" s="92" t="s">
        <v>5228</v>
      </c>
      <c r="G582" s="92" t="s">
        <v>14425</v>
      </c>
      <c r="H582" s="345">
        <v>2009</v>
      </c>
      <c r="I582" s="380">
        <v>39896</v>
      </c>
      <c r="J582" s="92" t="s">
        <v>5229</v>
      </c>
      <c r="K582" s="92" t="s">
        <v>16795</v>
      </c>
      <c r="L582" s="381" t="s">
        <v>16796</v>
      </c>
    </row>
    <row r="583" spans="1:12">
      <c r="A583" s="92"/>
      <c r="B583" s="345">
        <v>18956286</v>
      </c>
      <c r="C583" s="92" t="s">
        <v>16797</v>
      </c>
      <c r="D583" s="92" t="s">
        <v>16675</v>
      </c>
      <c r="E583" s="92" t="s">
        <v>16798</v>
      </c>
      <c r="F583" s="92" t="s">
        <v>5186</v>
      </c>
      <c r="G583" s="92" t="s">
        <v>13407</v>
      </c>
      <c r="H583" s="345">
        <v>2008</v>
      </c>
      <c r="I583" s="380">
        <v>39750</v>
      </c>
      <c r="J583" s="92"/>
      <c r="K583" s="92"/>
      <c r="L583" s="381" t="s">
        <v>16799</v>
      </c>
    </row>
    <row r="584" spans="1:12">
      <c r="A584" s="92"/>
      <c r="B584" s="345">
        <v>20196950</v>
      </c>
      <c r="C584" s="92" t="s">
        <v>16800</v>
      </c>
      <c r="D584" s="92" t="s">
        <v>16801</v>
      </c>
      <c r="E584" s="92" t="s">
        <v>16802</v>
      </c>
      <c r="F584" s="92" t="s">
        <v>5230</v>
      </c>
      <c r="G584" s="92" t="s">
        <v>10501</v>
      </c>
      <c r="H584" s="345">
        <v>2010</v>
      </c>
      <c r="I584" s="380">
        <v>40241</v>
      </c>
      <c r="J584" s="92"/>
      <c r="K584" s="92"/>
      <c r="L584" s="381" t="s">
        <v>16803</v>
      </c>
    </row>
    <row r="585" spans="1:12">
      <c r="A585" s="92"/>
      <c r="B585" s="345">
        <v>11884466</v>
      </c>
      <c r="C585" s="92" t="s">
        <v>16804</v>
      </c>
      <c r="D585" s="92" t="s">
        <v>16805</v>
      </c>
      <c r="E585" s="92" t="s">
        <v>16806</v>
      </c>
      <c r="F585" s="92" t="s">
        <v>5231</v>
      </c>
      <c r="G585" s="92" t="s">
        <v>15646</v>
      </c>
      <c r="H585" s="345">
        <v>2002</v>
      </c>
      <c r="I585" s="380">
        <v>37324</v>
      </c>
      <c r="J585" s="92"/>
      <c r="K585" s="92"/>
      <c r="L585" s="381" t="s">
        <v>16807</v>
      </c>
    </row>
    <row r="586" spans="1:12">
      <c r="A586" s="92"/>
      <c r="B586" s="345">
        <v>15498157</v>
      </c>
      <c r="C586" s="92" t="s">
        <v>16808</v>
      </c>
      <c r="D586" s="92" t="s">
        <v>16809</v>
      </c>
      <c r="E586" s="92" t="s">
        <v>16810</v>
      </c>
      <c r="F586" s="92" t="s">
        <v>5233</v>
      </c>
      <c r="G586" s="92" t="s">
        <v>9364</v>
      </c>
      <c r="H586" s="345">
        <v>2004</v>
      </c>
      <c r="I586" s="380">
        <v>38283</v>
      </c>
      <c r="J586" s="435" t="s">
        <v>5234</v>
      </c>
      <c r="K586" s="425"/>
      <c r="L586" s="381" t="s">
        <v>16811</v>
      </c>
    </row>
    <row r="587" spans="1:12">
      <c r="A587" s="92"/>
      <c r="B587" s="345">
        <v>12893645</v>
      </c>
      <c r="C587" s="92" t="s">
        <v>16812</v>
      </c>
      <c r="D587" s="92" t="s">
        <v>16813</v>
      </c>
      <c r="E587" s="92" t="s">
        <v>16814</v>
      </c>
      <c r="F587" s="92" t="s">
        <v>5235</v>
      </c>
      <c r="G587" s="92" t="s">
        <v>8524</v>
      </c>
      <c r="H587" s="345">
        <v>2003</v>
      </c>
      <c r="I587" s="380">
        <v>37835</v>
      </c>
      <c r="J587" s="92"/>
      <c r="K587" s="92"/>
      <c r="L587" s="381" t="s">
        <v>16815</v>
      </c>
    </row>
    <row r="588" spans="1:12">
      <c r="A588" s="92"/>
      <c r="B588" s="345">
        <v>14533659</v>
      </c>
      <c r="C588" s="92" t="s">
        <v>16816</v>
      </c>
      <c r="D588" s="92" t="s">
        <v>16817</v>
      </c>
      <c r="E588" s="92" t="s">
        <v>16818</v>
      </c>
      <c r="F588" s="92" t="s">
        <v>1740</v>
      </c>
      <c r="G588" s="92" t="s">
        <v>8552</v>
      </c>
      <c r="H588" s="345">
        <v>2003</v>
      </c>
      <c r="I588" s="380">
        <v>37904</v>
      </c>
      <c r="J588" s="92"/>
      <c r="K588" s="92"/>
      <c r="L588" s="381" t="s">
        <v>16819</v>
      </c>
    </row>
    <row r="589" spans="1:12">
      <c r="A589" s="92"/>
      <c r="B589" s="345">
        <v>19428902</v>
      </c>
      <c r="C589" s="92" t="s">
        <v>16820</v>
      </c>
      <c r="D589" s="92" t="s">
        <v>16821</v>
      </c>
      <c r="E589" s="92" t="s">
        <v>16822</v>
      </c>
      <c r="F589" s="92" t="s">
        <v>5236</v>
      </c>
      <c r="G589" s="92" t="s">
        <v>21</v>
      </c>
      <c r="H589" s="345">
        <v>2009</v>
      </c>
      <c r="I589" s="380">
        <v>39945</v>
      </c>
      <c r="J589" s="92"/>
      <c r="K589" s="92"/>
      <c r="L589" s="381" t="s">
        <v>16823</v>
      </c>
    </row>
    <row r="590" spans="1:12">
      <c r="A590" s="92"/>
      <c r="B590" s="345">
        <v>21118577</v>
      </c>
      <c r="C590" s="92" t="s">
        <v>16824</v>
      </c>
      <c r="D590" s="92" t="s">
        <v>16825</v>
      </c>
      <c r="E590" s="92" t="s">
        <v>16826</v>
      </c>
      <c r="F590" s="92" t="s">
        <v>5237</v>
      </c>
      <c r="G590" s="92" t="s">
        <v>16827</v>
      </c>
      <c r="H590" s="345">
        <v>2010</v>
      </c>
      <c r="I590" s="380">
        <v>40514</v>
      </c>
      <c r="J590" s="435" t="s">
        <v>5238</v>
      </c>
      <c r="K590" s="425"/>
      <c r="L590" s="381" t="s">
        <v>16828</v>
      </c>
    </row>
    <row r="591" spans="1:12">
      <c r="A591" s="92"/>
      <c r="B591" s="345">
        <v>19737527</v>
      </c>
      <c r="C591" s="92" t="s">
        <v>16829</v>
      </c>
      <c r="D591" s="92" t="s">
        <v>16830</v>
      </c>
      <c r="E591" s="92" t="s">
        <v>16831</v>
      </c>
      <c r="F591" s="92" t="s">
        <v>1635</v>
      </c>
      <c r="G591" s="92" t="s">
        <v>21</v>
      </c>
      <c r="H591" s="345">
        <v>2010</v>
      </c>
      <c r="I591" s="380">
        <v>40066</v>
      </c>
      <c r="J591" s="92"/>
      <c r="K591" s="92"/>
      <c r="L591" s="381" t="s">
        <v>16832</v>
      </c>
    </row>
    <row r="592" spans="1:12">
      <c r="A592" s="92"/>
      <c r="B592" s="345">
        <v>20581392</v>
      </c>
      <c r="C592" s="92" t="s">
        <v>16833</v>
      </c>
      <c r="D592" s="92" t="s">
        <v>16834</v>
      </c>
      <c r="E592" s="92" t="s">
        <v>16835</v>
      </c>
      <c r="F592" s="92" t="s">
        <v>5239</v>
      </c>
      <c r="G592" s="92" t="s">
        <v>8514</v>
      </c>
      <c r="H592" s="345">
        <v>2010</v>
      </c>
      <c r="I592" s="380">
        <v>40358</v>
      </c>
      <c r="J592" s="92"/>
      <c r="K592" s="92"/>
      <c r="L592" s="381" t="s">
        <v>16836</v>
      </c>
    </row>
    <row r="593" spans="1:12">
      <c r="A593" s="92"/>
      <c r="B593" s="345">
        <v>15688284</v>
      </c>
      <c r="C593" s="92" t="s">
        <v>16837</v>
      </c>
      <c r="D593" s="92" t="s">
        <v>16838</v>
      </c>
      <c r="E593" s="92" t="s">
        <v>16839</v>
      </c>
      <c r="F593" s="92" t="s">
        <v>4055</v>
      </c>
      <c r="G593" s="92" t="s">
        <v>9497</v>
      </c>
      <c r="H593" s="345">
        <v>2005</v>
      </c>
      <c r="I593" s="380">
        <v>38386</v>
      </c>
      <c r="J593" s="92"/>
      <c r="K593" s="92"/>
      <c r="L593" s="381" t="s">
        <v>16840</v>
      </c>
    </row>
    <row r="594" spans="1:12">
      <c r="A594" s="92"/>
      <c r="B594" s="345">
        <v>18443087</v>
      </c>
      <c r="C594" s="92" t="s">
        <v>16841</v>
      </c>
      <c r="D594" s="92" t="s">
        <v>16842</v>
      </c>
      <c r="E594" s="92" t="s">
        <v>16843</v>
      </c>
      <c r="F594" s="92" t="s">
        <v>5241</v>
      </c>
      <c r="G594" s="92" t="s">
        <v>11700</v>
      </c>
      <c r="H594" s="345">
        <v>2008</v>
      </c>
      <c r="I594" s="380">
        <v>39568</v>
      </c>
      <c r="J594" s="435" t="s">
        <v>5242</v>
      </c>
      <c r="K594" s="425"/>
      <c r="L594" s="381" t="s">
        <v>16844</v>
      </c>
    </row>
    <row r="595" spans="1:12">
      <c r="A595" s="92"/>
      <c r="B595" s="345">
        <v>20130126</v>
      </c>
      <c r="C595" s="92" t="s">
        <v>16845</v>
      </c>
      <c r="D595" s="92" t="s">
        <v>16846</v>
      </c>
      <c r="E595" s="92" t="s">
        <v>16847</v>
      </c>
      <c r="F595" s="92" t="s">
        <v>5243</v>
      </c>
      <c r="G595" s="92" t="s">
        <v>9350</v>
      </c>
      <c r="H595" s="345">
        <v>2010</v>
      </c>
      <c r="I595" s="380">
        <v>40214</v>
      </c>
      <c r="J595" s="435" t="s">
        <v>5244</v>
      </c>
      <c r="K595" s="425"/>
      <c r="L595" s="381" t="s">
        <v>16848</v>
      </c>
    </row>
    <row r="596" spans="1:12">
      <c r="A596" s="92"/>
      <c r="B596" s="345">
        <v>19623694</v>
      </c>
      <c r="C596" s="92" t="s">
        <v>16849</v>
      </c>
      <c r="D596" s="92" t="s">
        <v>16850</v>
      </c>
      <c r="E596" s="92" t="s">
        <v>16851</v>
      </c>
      <c r="F596" s="92" t="s">
        <v>5245</v>
      </c>
      <c r="G596" s="92" t="s">
        <v>12401</v>
      </c>
      <c r="H596" s="345">
        <v>2009</v>
      </c>
      <c r="I596" s="380">
        <v>40017</v>
      </c>
      <c r="J596" s="92"/>
      <c r="K596" s="92"/>
      <c r="L596" s="381" t="s">
        <v>16852</v>
      </c>
    </row>
    <row r="597" spans="1:12">
      <c r="A597" s="92"/>
      <c r="B597" s="345">
        <v>14758160</v>
      </c>
      <c r="C597" s="92" t="s">
        <v>16853</v>
      </c>
      <c r="D597" s="92" t="s">
        <v>16854</v>
      </c>
      <c r="E597" s="92" t="s">
        <v>16855</v>
      </c>
      <c r="F597" s="92" t="s">
        <v>5246</v>
      </c>
      <c r="G597" s="92" t="s">
        <v>8504</v>
      </c>
      <c r="H597" s="345">
        <v>2004</v>
      </c>
      <c r="I597" s="380">
        <v>38023</v>
      </c>
      <c r="J597" s="92"/>
      <c r="K597" s="92"/>
      <c r="L597" s="381" t="s">
        <v>16856</v>
      </c>
    </row>
    <row r="598" spans="1:12">
      <c r="A598" s="92"/>
      <c r="B598" s="345">
        <v>18262264</v>
      </c>
      <c r="C598" s="92" t="s">
        <v>16857</v>
      </c>
      <c r="D598" s="92" t="s">
        <v>16858</v>
      </c>
      <c r="E598" s="92" t="s">
        <v>16859</v>
      </c>
      <c r="F598" s="92" t="s">
        <v>5248</v>
      </c>
      <c r="G598" s="92" t="s">
        <v>16860</v>
      </c>
      <c r="H598" s="345">
        <v>2008</v>
      </c>
      <c r="I598" s="380">
        <v>39490</v>
      </c>
      <c r="J598" s="435" t="s">
        <v>5249</v>
      </c>
      <c r="K598" s="425"/>
      <c r="L598" s="381" t="s">
        <v>16861</v>
      </c>
    </row>
    <row r="599" spans="1:12">
      <c r="A599" s="92"/>
      <c r="B599" s="345">
        <v>10796624</v>
      </c>
      <c r="C599" s="92" t="s">
        <v>15059</v>
      </c>
      <c r="D599" s="92" t="s">
        <v>15060</v>
      </c>
      <c r="E599" s="92" t="s">
        <v>15061</v>
      </c>
      <c r="F599" s="92" t="s">
        <v>4742</v>
      </c>
      <c r="G599" s="92" t="s">
        <v>8857</v>
      </c>
      <c r="H599" s="345">
        <v>2000</v>
      </c>
      <c r="I599" s="380">
        <v>36651</v>
      </c>
      <c r="J599" s="92"/>
      <c r="K599" s="92"/>
      <c r="L599" s="381" t="s">
        <v>15062</v>
      </c>
    </row>
    <row r="600" spans="1:12">
      <c r="A600" s="92"/>
      <c r="B600" s="345">
        <v>18939623</v>
      </c>
      <c r="C600" s="92" t="s">
        <v>16862</v>
      </c>
      <c r="D600" s="92" t="s">
        <v>16863</v>
      </c>
      <c r="E600" s="92" t="s">
        <v>16864</v>
      </c>
      <c r="F600" s="92" t="s">
        <v>5250</v>
      </c>
      <c r="G600" s="92" t="s">
        <v>16865</v>
      </c>
      <c r="H600" s="345">
        <v>2008</v>
      </c>
      <c r="I600" s="380">
        <v>39744</v>
      </c>
      <c r="J600" s="92"/>
      <c r="K600" s="92"/>
      <c r="L600" s="381" t="s">
        <v>16866</v>
      </c>
    </row>
    <row r="601" spans="1:12">
      <c r="A601" s="92"/>
      <c r="B601" s="345">
        <v>15195260</v>
      </c>
      <c r="C601" s="92" t="s">
        <v>16867</v>
      </c>
      <c r="D601" s="92" t="s">
        <v>16868</v>
      </c>
      <c r="E601" s="92" t="s">
        <v>16869</v>
      </c>
      <c r="F601" s="92" t="s">
        <v>5251</v>
      </c>
      <c r="G601" s="92" t="s">
        <v>9497</v>
      </c>
      <c r="H601" s="345">
        <v>2004</v>
      </c>
      <c r="I601" s="380">
        <v>38153</v>
      </c>
      <c r="J601" s="92"/>
      <c r="K601" s="92"/>
      <c r="L601" s="381" t="s">
        <v>16870</v>
      </c>
    </row>
    <row r="602" spans="1:12">
      <c r="A602" s="92"/>
      <c r="B602" s="345">
        <v>18848937</v>
      </c>
      <c r="C602" s="92" t="s">
        <v>16871</v>
      </c>
      <c r="D602" s="92" t="s">
        <v>16872</v>
      </c>
      <c r="E602" s="92" t="s">
        <v>16873</v>
      </c>
      <c r="F602" s="92" t="s">
        <v>5252</v>
      </c>
      <c r="G602" s="92" t="s">
        <v>9860</v>
      </c>
      <c r="H602" s="345">
        <v>2008</v>
      </c>
      <c r="I602" s="380">
        <v>39735</v>
      </c>
      <c r="J602" s="92" t="s">
        <v>5253</v>
      </c>
      <c r="K602" s="92" t="s">
        <v>16874</v>
      </c>
      <c r="L602" s="381" t="s">
        <v>16875</v>
      </c>
    </row>
    <row r="603" spans="1:12">
      <c r="A603" s="92"/>
      <c r="B603" s="345">
        <v>18008245</v>
      </c>
      <c r="C603" s="92" t="s">
        <v>16876</v>
      </c>
      <c r="D603" s="92" t="s">
        <v>16877</v>
      </c>
      <c r="E603" s="92" t="s">
        <v>16878</v>
      </c>
      <c r="F603" s="92" t="s">
        <v>5254</v>
      </c>
      <c r="G603" s="92" t="s">
        <v>9497</v>
      </c>
      <c r="H603" s="345">
        <v>2007</v>
      </c>
      <c r="I603" s="380">
        <v>39403</v>
      </c>
      <c r="J603" s="92" t="s">
        <v>5255</v>
      </c>
      <c r="K603" s="92" t="s">
        <v>16879</v>
      </c>
      <c r="L603" s="381" t="s">
        <v>16880</v>
      </c>
    </row>
    <row r="604" spans="1:12">
      <c r="A604" s="92"/>
      <c r="B604" s="345">
        <v>12602351</v>
      </c>
      <c r="C604" s="92" t="s">
        <v>16881</v>
      </c>
      <c r="D604" s="92" t="s">
        <v>16882</v>
      </c>
      <c r="E604" s="92" t="s">
        <v>16883</v>
      </c>
      <c r="F604" s="92" t="s">
        <v>5257</v>
      </c>
      <c r="G604" s="92" t="s">
        <v>14693</v>
      </c>
      <c r="H604" s="345">
        <v>2002</v>
      </c>
      <c r="I604" s="380">
        <v>37679</v>
      </c>
      <c r="J604" s="92"/>
      <c r="K604" s="92"/>
      <c r="L604" s="381" t="s">
        <v>16884</v>
      </c>
    </row>
    <row r="605" spans="1:12">
      <c r="A605" s="92"/>
      <c r="B605" s="345">
        <v>15007741</v>
      </c>
      <c r="C605" s="92" t="s">
        <v>16885</v>
      </c>
      <c r="D605" s="92" t="s">
        <v>16886</v>
      </c>
      <c r="E605" s="92" t="s">
        <v>16887</v>
      </c>
      <c r="F605" s="92" t="s">
        <v>5258</v>
      </c>
      <c r="G605" s="92" t="s">
        <v>16112</v>
      </c>
      <c r="H605" s="345">
        <v>2004</v>
      </c>
      <c r="I605" s="380">
        <v>38056</v>
      </c>
      <c r="J605" s="92"/>
      <c r="K605" s="92"/>
      <c r="L605" s="381" t="s">
        <v>16888</v>
      </c>
    </row>
    <row r="606" spans="1:12">
      <c r="A606" s="92"/>
      <c r="B606" s="345">
        <v>10850524</v>
      </c>
      <c r="C606" s="92" t="s">
        <v>15063</v>
      </c>
      <c r="D606" s="92" t="s">
        <v>15064</v>
      </c>
      <c r="E606" s="92" t="s">
        <v>15065</v>
      </c>
      <c r="F606" s="92" t="s">
        <v>4743</v>
      </c>
      <c r="G606" s="92" t="s">
        <v>8670</v>
      </c>
      <c r="H606" s="345">
        <v>2000</v>
      </c>
      <c r="I606" s="380">
        <v>36690</v>
      </c>
      <c r="J606" s="92"/>
      <c r="K606" s="92"/>
      <c r="L606" s="381" t="s">
        <v>15066</v>
      </c>
    </row>
    <row r="607" spans="1:12">
      <c r="A607" s="92"/>
      <c r="B607" s="345">
        <v>16719931</v>
      </c>
      <c r="C607" s="92" t="s">
        <v>16889</v>
      </c>
      <c r="D607" s="92" t="s">
        <v>16890</v>
      </c>
      <c r="E607" s="92" t="s">
        <v>16891</v>
      </c>
      <c r="F607" s="92" t="s">
        <v>5259</v>
      </c>
      <c r="G607" s="92" t="s">
        <v>10004</v>
      </c>
      <c r="H607" s="345">
        <v>2006</v>
      </c>
      <c r="I607" s="380">
        <v>38862</v>
      </c>
      <c r="J607" s="435" t="s">
        <v>5260</v>
      </c>
      <c r="K607" s="425"/>
      <c r="L607" s="381" t="s">
        <v>16892</v>
      </c>
    </row>
    <row r="608" spans="1:12">
      <c r="A608" s="92"/>
      <c r="B608" s="345">
        <v>16215069</v>
      </c>
      <c r="C608" s="92" t="s">
        <v>16893</v>
      </c>
      <c r="D608" s="92" t="s">
        <v>16894</v>
      </c>
      <c r="E608" s="92" t="s">
        <v>16895</v>
      </c>
      <c r="F608" s="92" t="s">
        <v>5261</v>
      </c>
      <c r="G608" s="92" t="s">
        <v>16896</v>
      </c>
      <c r="H608" s="345">
        <v>2003</v>
      </c>
      <c r="I608" s="380">
        <v>38636</v>
      </c>
      <c r="J608" s="92"/>
      <c r="K608" s="92"/>
      <c r="L608" s="381" t="s">
        <v>16897</v>
      </c>
    </row>
    <row r="609" spans="1:12">
      <c r="A609" s="92"/>
      <c r="B609" s="345">
        <v>15758595</v>
      </c>
      <c r="C609" s="92" t="s">
        <v>16898</v>
      </c>
      <c r="D609" s="92" t="s">
        <v>16899</v>
      </c>
      <c r="E609" s="92" t="s">
        <v>16900</v>
      </c>
      <c r="F609" s="92" t="s">
        <v>5262</v>
      </c>
      <c r="G609" s="92" t="s">
        <v>10927</v>
      </c>
      <c r="H609" s="345">
        <v>2005</v>
      </c>
      <c r="I609" s="380">
        <v>38422</v>
      </c>
      <c r="J609" s="92"/>
      <c r="K609" s="92"/>
      <c r="L609" s="381" t="s">
        <v>16901</v>
      </c>
    </row>
    <row r="610" spans="1:12">
      <c r="A610" s="92"/>
      <c r="B610" s="345">
        <v>20448220</v>
      </c>
      <c r="C610" s="92" t="s">
        <v>16902</v>
      </c>
      <c r="D610" s="92" t="s">
        <v>16903</v>
      </c>
      <c r="E610" s="92" t="s">
        <v>16904</v>
      </c>
      <c r="F610" s="92" t="s">
        <v>5263</v>
      </c>
      <c r="G610" s="92" t="s">
        <v>16905</v>
      </c>
      <c r="H610" s="345">
        <v>2010</v>
      </c>
      <c r="I610" s="380">
        <v>40306</v>
      </c>
      <c r="J610" s="92"/>
      <c r="K610" s="92"/>
      <c r="L610" s="381" t="s">
        <v>16906</v>
      </c>
    </row>
    <row r="611" spans="1:12">
      <c r="A611" s="92"/>
      <c r="B611" s="345">
        <v>11798240</v>
      </c>
      <c r="C611" s="92" t="s">
        <v>16907</v>
      </c>
      <c r="D611" s="92" t="s">
        <v>16908</v>
      </c>
      <c r="E611" s="92" t="s">
        <v>16909</v>
      </c>
      <c r="F611" s="92" t="s">
        <v>5264</v>
      </c>
      <c r="G611" s="92" t="s">
        <v>16910</v>
      </c>
      <c r="H611" s="345">
        <v>2001</v>
      </c>
      <c r="I611" s="380">
        <v>37275</v>
      </c>
      <c r="J611" s="92"/>
      <c r="K611" s="92"/>
      <c r="L611" s="381" t="s">
        <v>16911</v>
      </c>
    </row>
    <row r="612" spans="1:12">
      <c r="A612" s="92"/>
      <c r="B612" s="345">
        <v>12002538</v>
      </c>
      <c r="C612" s="92" t="s">
        <v>16912</v>
      </c>
      <c r="D612" s="92" t="s">
        <v>16913</v>
      </c>
      <c r="E612" s="92" t="s">
        <v>16914</v>
      </c>
      <c r="F612" s="92" t="s">
        <v>5265</v>
      </c>
      <c r="G612" s="92" t="s">
        <v>14866</v>
      </c>
      <c r="H612" s="345">
        <v>2002</v>
      </c>
      <c r="I612" s="380">
        <v>37387</v>
      </c>
      <c r="J612" s="435" t="s">
        <v>5266</v>
      </c>
      <c r="K612" s="425"/>
      <c r="L612" s="381" t="s">
        <v>16915</v>
      </c>
    </row>
    <row r="613" spans="1:12">
      <c r="A613" s="92"/>
      <c r="B613" s="345">
        <v>12842328</v>
      </c>
      <c r="C613" s="92" t="s">
        <v>16916</v>
      </c>
      <c r="D613" s="92" t="s">
        <v>16917</v>
      </c>
      <c r="E613" s="92" t="s">
        <v>16918</v>
      </c>
      <c r="F613" s="92" t="s">
        <v>5267</v>
      </c>
      <c r="G613" s="92" t="s">
        <v>10603</v>
      </c>
      <c r="H613" s="345">
        <v>2003</v>
      </c>
      <c r="I613" s="380">
        <v>37807</v>
      </c>
      <c r="J613" s="92"/>
      <c r="K613" s="92"/>
      <c r="L613" s="381" t="s">
        <v>16919</v>
      </c>
    </row>
    <row r="614" spans="1:12">
      <c r="A614" s="92"/>
      <c r="B614" s="345">
        <v>18444850</v>
      </c>
      <c r="C614" s="92" t="s">
        <v>16920</v>
      </c>
      <c r="D614" s="92" t="s">
        <v>16921</v>
      </c>
      <c r="E614" s="92" t="s">
        <v>16922</v>
      </c>
      <c r="F614" s="92" t="s">
        <v>5268</v>
      </c>
      <c r="G614" s="92" t="s">
        <v>9152</v>
      </c>
      <c r="H614" s="345">
        <v>2008</v>
      </c>
      <c r="I614" s="380">
        <v>39569</v>
      </c>
      <c r="J614" s="92"/>
      <c r="K614" s="92"/>
      <c r="L614" s="381" t="s">
        <v>16923</v>
      </c>
    </row>
    <row r="615" spans="1:12">
      <c r="A615" s="92"/>
      <c r="B615" s="345">
        <v>15910010</v>
      </c>
      <c r="C615" s="92" t="s">
        <v>16924</v>
      </c>
      <c r="D615" s="92" t="s">
        <v>16925</v>
      </c>
      <c r="E615" s="92" t="s">
        <v>16926</v>
      </c>
      <c r="F615" s="92" t="s">
        <v>5269</v>
      </c>
      <c r="G615" s="92" t="s">
        <v>9524</v>
      </c>
      <c r="H615" s="345">
        <v>2005</v>
      </c>
      <c r="I615" s="380">
        <v>38497</v>
      </c>
      <c r="J615" s="92"/>
      <c r="K615" s="92"/>
      <c r="L615" s="381" t="s">
        <v>16927</v>
      </c>
    </row>
    <row r="616" spans="1:12">
      <c r="A616" s="92"/>
      <c r="B616" s="345">
        <v>20054439</v>
      </c>
      <c r="C616" s="92" t="s">
        <v>16928</v>
      </c>
      <c r="D616" s="92" t="s">
        <v>16929</v>
      </c>
      <c r="E616" s="92" t="s">
        <v>16930</v>
      </c>
      <c r="F616" s="92" t="s">
        <v>5271</v>
      </c>
      <c r="G616" s="92" t="s">
        <v>16931</v>
      </c>
      <c r="H616" s="345">
        <v>2009</v>
      </c>
      <c r="I616" s="380">
        <v>40186</v>
      </c>
      <c r="J616" s="435" t="s">
        <v>5272</v>
      </c>
      <c r="K616" s="425"/>
      <c r="L616" s="381" t="s">
        <v>16932</v>
      </c>
    </row>
    <row r="617" spans="1:12">
      <c r="A617" s="92"/>
      <c r="B617" s="345">
        <v>20720206</v>
      </c>
      <c r="C617" s="92" t="s">
        <v>16933</v>
      </c>
      <c r="D617" s="92" t="s">
        <v>16934</v>
      </c>
      <c r="E617" s="92" t="s">
        <v>16935</v>
      </c>
      <c r="F617" s="92" t="s">
        <v>4261</v>
      </c>
      <c r="G617" s="92" t="s">
        <v>15646</v>
      </c>
      <c r="H617" s="345">
        <v>2010</v>
      </c>
      <c r="I617" s="380">
        <v>40410</v>
      </c>
      <c r="J617" s="92"/>
      <c r="K617" s="92"/>
      <c r="L617" s="381" t="s">
        <v>16936</v>
      </c>
    </row>
    <row r="618" spans="1:12">
      <c r="A618" s="92"/>
      <c r="B618" s="345">
        <v>12902183</v>
      </c>
      <c r="C618" s="92" t="s">
        <v>16937</v>
      </c>
      <c r="D618" s="92" t="s">
        <v>16938</v>
      </c>
      <c r="E618" s="92" t="s">
        <v>16939</v>
      </c>
      <c r="F618" s="92" t="s">
        <v>5274</v>
      </c>
      <c r="G618" s="92" t="s">
        <v>16940</v>
      </c>
      <c r="H618" s="345">
        <v>2003</v>
      </c>
      <c r="I618" s="380">
        <v>37840</v>
      </c>
      <c r="J618" s="92"/>
      <c r="K618" s="92"/>
      <c r="L618" s="381" t="s">
        <v>16941</v>
      </c>
    </row>
    <row r="619" spans="1:12">
      <c r="A619" s="92"/>
      <c r="B619" s="345">
        <v>19835977</v>
      </c>
      <c r="C619" s="92" t="s">
        <v>16942</v>
      </c>
      <c r="D619" s="92" t="s">
        <v>16943</v>
      </c>
      <c r="E619" s="92" t="s">
        <v>16944</v>
      </c>
      <c r="F619" s="92" t="s">
        <v>5275</v>
      </c>
      <c r="G619" s="92" t="s">
        <v>15938</v>
      </c>
      <c r="H619" s="345">
        <v>2009</v>
      </c>
      <c r="I619" s="380">
        <v>40106</v>
      </c>
      <c r="J619" s="92"/>
      <c r="K619" s="92"/>
      <c r="L619" s="381" t="s">
        <v>16945</v>
      </c>
    </row>
    <row r="620" spans="1:12">
      <c r="A620" s="92"/>
      <c r="B620" s="345">
        <v>19090972</v>
      </c>
      <c r="C620" s="92" t="s">
        <v>16946</v>
      </c>
      <c r="D620" s="92" t="s">
        <v>16947</v>
      </c>
      <c r="E620" s="92" t="s">
        <v>16948</v>
      </c>
      <c r="F620" s="92" t="s">
        <v>5276</v>
      </c>
      <c r="G620" s="92" t="s">
        <v>11166</v>
      </c>
      <c r="H620" s="345">
        <v>2008</v>
      </c>
      <c r="I620" s="380">
        <v>39801</v>
      </c>
      <c r="J620" s="435" t="s">
        <v>5277</v>
      </c>
      <c r="K620" s="425"/>
      <c r="L620" s="381" t="s">
        <v>16949</v>
      </c>
    </row>
    <row r="621" spans="1:12">
      <c r="A621" s="92"/>
      <c r="B621" s="345">
        <v>20815703</v>
      </c>
      <c r="C621" s="92" t="s">
        <v>16950</v>
      </c>
      <c r="D621" s="92" t="s">
        <v>16951</v>
      </c>
      <c r="E621" s="92" t="s">
        <v>16952</v>
      </c>
      <c r="F621" s="92" t="s">
        <v>4374</v>
      </c>
      <c r="G621" s="92" t="s">
        <v>9497</v>
      </c>
      <c r="H621" s="345">
        <v>2010</v>
      </c>
      <c r="I621" s="380">
        <v>40428</v>
      </c>
      <c r="J621" s="92" t="s">
        <v>5279</v>
      </c>
      <c r="K621" s="92" t="s">
        <v>16953</v>
      </c>
      <c r="L621" s="381" t="s">
        <v>16954</v>
      </c>
    </row>
    <row r="622" spans="1:12">
      <c r="A622" s="92"/>
      <c r="B622" s="345">
        <v>18835437</v>
      </c>
      <c r="C622" s="92" t="s">
        <v>16955</v>
      </c>
      <c r="D622" s="92" t="s">
        <v>16956</v>
      </c>
      <c r="E622" s="92" t="s">
        <v>16957</v>
      </c>
      <c r="F622" s="92" t="s">
        <v>5280</v>
      </c>
      <c r="G622" s="92" t="s">
        <v>16502</v>
      </c>
      <c r="H622" s="345">
        <v>2009</v>
      </c>
      <c r="I622" s="380">
        <v>39728</v>
      </c>
      <c r="J622" s="435" t="s">
        <v>5281</v>
      </c>
      <c r="K622" s="425"/>
      <c r="L622" s="381" t="s">
        <v>16958</v>
      </c>
    </row>
    <row r="623" spans="1:12">
      <c r="A623" s="92"/>
      <c r="B623" s="345">
        <v>15034063</v>
      </c>
      <c r="C623" s="92" t="s">
        <v>16959</v>
      </c>
      <c r="D623" s="92" t="s">
        <v>16960</v>
      </c>
      <c r="E623" s="92" t="s">
        <v>16961</v>
      </c>
      <c r="F623" s="92" t="s">
        <v>5283</v>
      </c>
      <c r="G623" s="92" t="s">
        <v>15646</v>
      </c>
      <c r="H623" s="345">
        <v>2004</v>
      </c>
      <c r="I623" s="380">
        <v>38069</v>
      </c>
      <c r="J623" s="92"/>
      <c r="K623" s="92"/>
      <c r="L623" s="381" t="s">
        <v>16962</v>
      </c>
    </row>
    <row r="624" spans="1:12">
      <c r="A624" s="92"/>
      <c r="B624" s="345">
        <v>11073753</v>
      </c>
      <c r="C624" s="92" t="s">
        <v>15089</v>
      </c>
      <c r="D624" s="92" t="s">
        <v>15090</v>
      </c>
      <c r="E624" s="92" t="s">
        <v>15091</v>
      </c>
      <c r="F624" s="92" t="s">
        <v>2371</v>
      </c>
      <c r="G624" s="92" t="s">
        <v>9152</v>
      </c>
      <c r="H624" s="345">
        <v>2000</v>
      </c>
      <c r="I624" s="380">
        <v>36844</v>
      </c>
      <c r="J624" s="92"/>
      <c r="K624" s="92"/>
      <c r="L624" s="381" t="s">
        <v>15092</v>
      </c>
    </row>
    <row r="625" spans="1:12">
      <c r="A625" s="92"/>
      <c r="B625" s="345">
        <v>21316534</v>
      </c>
      <c r="C625" s="92" t="s">
        <v>16963</v>
      </c>
      <c r="D625" s="92" t="s">
        <v>16964</v>
      </c>
      <c r="E625" s="92" t="s">
        <v>16965</v>
      </c>
      <c r="F625" s="92" t="s">
        <v>5285</v>
      </c>
      <c r="G625" s="92" t="s">
        <v>8640</v>
      </c>
      <c r="H625" s="345">
        <v>2010</v>
      </c>
      <c r="I625" s="380">
        <v>40589</v>
      </c>
      <c r="J625" s="92"/>
      <c r="K625" s="92"/>
      <c r="L625" s="381" t="s">
        <v>16966</v>
      </c>
    </row>
    <row r="626" spans="1:12">
      <c r="A626" s="92"/>
      <c r="B626" s="345">
        <v>18285493</v>
      </c>
      <c r="C626" s="92" t="s">
        <v>16967</v>
      </c>
      <c r="D626" s="92" t="s">
        <v>16968</v>
      </c>
      <c r="E626" s="92" t="s">
        <v>16969</v>
      </c>
      <c r="F626" s="92" t="s">
        <v>5286</v>
      </c>
      <c r="G626" s="92" t="s">
        <v>11700</v>
      </c>
      <c r="H626" s="345">
        <v>2008</v>
      </c>
      <c r="I626" s="380">
        <v>39499</v>
      </c>
      <c r="J626" s="435" t="s">
        <v>5287</v>
      </c>
      <c r="K626" s="425"/>
      <c r="L626" s="381" t="s">
        <v>16970</v>
      </c>
    </row>
    <row r="627" spans="1:12">
      <c r="A627" s="92"/>
      <c r="B627" s="345">
        <v>17242485</v>
      </c>
      <c r="C627" s="92" t="s">
        <v>16971</v>
      </c>
      <c r="D627" s="92" t="s">
        <v>16972</v>
      </c>
      <c r="E627" s="92" t="s">
        <v>16973</v>
      </c>
      <c r="F627" s="92" t="s">
        <v>5288</v>
      </c>
      <c r="G627" s="92" t="s">
        <v>16974</v>
      </c>
      <c r="H627" s="345">
        <v>2006</v>
      </c>
      <c r="I627" s="380">
        <v>39106</v>
      </c>
      <c r="J627" s="92"/>
      <c r="K627" s="92"/>
      <c r="L627" s="92"/>
    </row>
    <row r="628" spans="1:12">
      <c r="A628" s="92"/>
      <c r="B628" s="345">
        <v>19010372</v>
      </c>
      <c r="C628" s="92" t="s">
        <v>16975</v>
      </c>
      <c r="D628" s="92" t="s">
        <v>16976</v>
      </c>
      <c r="E628" s="92" t="s">
        <v>16977</v>
      </c>
      <c r="F628" s="92" t="s">
        <v>5289</v>
      </c>
      <c r="G628" s="92" t="s">
        <v>21</v>
      </c>
      <c r="H628" s="345">
        <v>2009</v>
      </c>
      <c r="I628" s="380">
        <v>39770</v>
      </c>
      <c r="J628" s="92"/>
      <c r="K628" s="92"/>
      <c r="L628" s="381" t="s">
        <v>16978</v>
      </c>
    </row>
    <row r="629" spans="1:12">
      <c r="A629" s="92"/>
      <c r="B629" s="345">
        <v>11438771</v>
      </c>
      <c r="C629" s="92" t="s">
        <v>16979</v>
      </c>
      <c r="D629" s="92" t="s">
        <v>16980</v>
      </c>
      <c r="E629" s="92" t="s">
        <v>16981</v>
      </c>
      <c r="F629" s="92" t="s">
        <v>5290</v>
      </c>
      <c r="G629" s="92" t="s">
        <v>15776</v>
      </c>
      <c r="H629" s="345">
        <v>2001</v>
      </c>
      <c r="I629" s="380">
        <v>37077</v>
      </c>
      <c r="J629" s="92"/>
      <c r="K629" s="92"/>
      <c r="L629" s="92"/>
    </row>
    <row r="630" spans="1:12">
      <c r="A630" s="92"/>
      <c r="B630" s="345">
        <v>12627355</v>
      </c>
      <c r="C630" s="92" t="s">
        <v>16982</v>
      </c>
      <c r="D630" s="92" t="s">
        <v>16983</v>
      </c>
      <c r="E630" s="92" t="s">
        <v>16984</v>
      </c>
      <c r="F630" s="92" t="s">
        <v>1800</v>
      </c>
      <c r="G630" s="92" t="s">
        <v>9152</v>
      </c>
      <c r="H630" s="345">
        <v>2003</v>
      </c>
      <c r="I630" s="380">
        <v>37691</v>
      </c>
      <c r="J630" s="435" t="s">
        <v>5291</v>
      </c>
      <c r="K630" s="425"/>
      <c r="L630" s="381" t="s">
        <v>16985</v>
      </c>
    </row>
    <row r="631" spans="1:12">
      <c r="A631" s="92"/>
      <c r="B631" s="345">
        <v>11785887</v>
      </c>
      <c r="C631" s="92" t="s">
        <v>16986</v>
      </c>
      <c r="D631" s="92" t="s">
        <v>16987</v>
      </c>
      <c r="E631" s="92" t="s">
        <v>16988</v>
      </c>
      <c r="F631" s="92" t="s">
        <v>5292</v>
      </c>
      <c r="G631" s="92" t="s">
        <v>16865</v>
      </c>
      <c r="H631" s="345">
        <v>2001</v>
      </c>
      <c r="I631" s="380">
        <v>37268</v>
      </c>
      <c r="J631" s="92"/>
      <c r="K631" s="92"/>
      <c r="L631" s="92"/>
    </row>
    <row r="632" spans="1:12">
      <c r="A632" s="92"/>
      <c r="B632" s="345">
        <v>11354808</v>
      </c>
      <c r="C632" s="92" t="s">
        <v>15102</v>
      </c>
      <c r="D632" s="92" t="s">
        <v>15103</v>
      </c>
      <c r="E632" s="92" t="s">
        <v>15104</v>
      </c>
      <c r="F632" s="92" t="s">
        <v>4753</v>
      </c>
      <c r="G632" s="92" t="s">
        <v>15105</v>
      </c>
      <c r="H632" s="345">
        <v>2000</v>
      </c>
      <c r="I632" s="380">
        <v>37028</v>
      </c>
      <c r="J632" s="92"/>
      <c r="K632" s="92"/>
      <c r="L632" s="92"/>
    </row>
    <row r="633" spans="1:12">
      <c r="A633" s="92"/>
      <c r="B633" s="345">
        <v>20219540</v>
      </c>
      <c r="C633" s="92" t="s">
        <v>16989</v>
      </c>
      <c r="D633" s="92" t="s">
        <v>16990</v>
      </c>
      <c r="E633" s="92" t="s">
        <v>16991</v>
      </c>
      <c r="F633" s="92" t="s">
        <v>5293</v>
      </c>
      <c r="G633" s="92" t="s">
        <v>10058</v>
      </c>
      <c r="H633" s="345">
        <v>2010</v>
      </c>
      <c r="I633" s="380">
        <v>40249</v>
      </c>
      <c r="J633" s="92"/>
      <c r="K633" s="92"/>
      <c r="L633" s="381" t="s">
        <v>16992</v>
      </c>
    </row>
    <row r="634" spans="1:12">
      <c r="A634" s="92"/>
      <c r="B634" s="345">
        <v>12473576</v>
      </c>
      <c r="C634" s="92" t="s">
        <v>16993</v>
      </c>
      <c r="D634" s="92" t="s">
        <v>16994</v>
      </c>
      <c r="E634" s="92" t="s">
        <v>16995</v>
      </c>
      <c r="F634" s="92" t="s">
        <v>5294</v>
      </c>
      <c r="G634" s="92" t="s">
        <v>16905</v>
      </c>
      <c r="H634" s="345">
        <v>2002</v>
      </c>
      <c r="I634" s="380">
        <v>37601</v>
      </c>
      <c r="J634" s="92"/>
      <c r="K634" s="92"/>
      <c r="L634" s="92"/>
    </row>
    <row r="635" spans="1:12">
      <c r="A635" s="92"/>
      <c r="B635" s="345">
        <v>15089110</v>
      </c>
      <c r="C635" s="92" t="s">
        <v>16996</v>
      </c>
      <c r="D635" s="92" t="s">
        <v>16997</v>
      </c>
      <c r="E635" s="92" t="s">
        <v>16998</v>
      </c>
      <c r="F635" s="92" t="s">
        <v>5295</v>
      </c>
      <c r="G635" s="92" t="s">
        <v>9378</v>
      </c>
      <c r="H635" s="345">
        <v>2004</v>
      </c>
      <c r="I635" s="380">
        <v>38097</v>
      </c>
      <c r="J635" s="92"/>
      <c r="K635" s="92"/>
      <c r="L635" s="381" t="s">
        <v>16999</v>
      </c>
    </row>
    <row r="636" spans="1:12">
      <c r="A636" s="92"/>
      <c r="B636" s="345">
        <v>10807510</v>
      </c>
      <c r="C636" s="92" t="s">
        <v>15097</v>
      </c>
      <c r="D636" s="92" t="s">
        <v>15098</v>
      </c>
      <c r="E636" s="92" t="s">
        <v>15099</v>
      </c>
      <c r="F636" s="92" t="s">
        <v>4752</v>
      </c>
      <c r="G636" s="92" t="s">
        <v>15100</v>
      </c>
      <c r="H636" s="345">
        <v>2000</v>
      </c>
      <c r="I636" s="380">
        <v>36658</v>
      </c>
      <c r="J636" s="92"/>
      <c r="K636" s="92"/>
      <c r="L636" s="381" t="s">
        <v>15101</v>
      </c>
    </row>
    <row r="637" spans="1:12">
      <c r="A637" s="92"/>
      <c r="B637" s="345">
        <v>20508214</v>
      </c>
      <c r="C637" s="92" t="s">
        <v>17000</v>
      </c>
      <c r="D637" s="92" t="s">
        <v>17001</v>
      </c>
      <c r="E637" s="92" t="s">
        <v>17002</v>
      </c>
      <c r="F637" s="92" t="s">
        <v>5296</v>
      </c>
      <c r="G637" s="92" t="s">
        <v>8524</v>
      </c>
      <c r="H637" s="345">
        <v>2010</v>
      </c>
      <c r="I637" s="380">
        <v>40327</v>
      </c>
      <c r="J637" s="435" t="s">
        <v>5297</v>
      </c>
      <c r="K637" s="425"/>
      <c r="L637" s="381" t="s">
        <v>17003</v>
      </c>
    </row>
    <row r="638" spans="1:12">
      <c r="A638" s="92"/>
      <c r="B638" s="345">
        <v>17505917</v>
      </c>
      <c r="C638" s="92" t="s">
        <v>17004</v>
      </c>
      <c r="D638" s="92" t="s">
        <v>17005</v>
      </c>
      <c r="E638" s="92" t="s">
        <v>17006</v>
      </c>
      <c r="F638" s="92" t="s">
        <v>5298</v>
      </c>
      <c r="G638" s="92" t="s">
        <v>17007</v>
      </c>
      <c r="H638" s="345">
        <v>2007</v>
      </c>
      <c r="I638" s="380">
        <v>39219</v>
      </c>
      <c r="J638" s="92"/>
      <c r="K638" s="92"/>
      <c r="L638" s="381" t="s">
        <v>17008</v>
      </c>
    </row>
    <row r="639" spans="1:12">
      <c r="A639" s="92"/>
      <c r="B639" s="345">
        <v>19443795</v>
      </c>
      <c r="C639" s="92" t="s">
        <v>17009</v>
      </c>
      <c r="D639" s="92" t="s">
        <v>17010</v>
      </c>
      <c r="E639" s="92" t="s">
        <v>17011</v>
      </c>
      <c r="F639" s="92" t="s">
        <v>5300</v>
      </c>
      <c r="G639" s="92" t="s">
        <v>12183</v>
      </c>
      <c r="H639" s="345">
        <v>2009</v>
      </c>
      <c r="I639" s="380">
        <v>39949</v>
      </c>
      <c r="J639" s="92"/>
      <c r="K639" s="92"/>
      <c r="L639" s="381" t="s">
        <v>17012</v>
      </c>
    </row>
    <row r="640" spans="1:12">
      <c r="A640" s="92"/>
      <c r="B640" s="345">
        <v>14758179</v>
      </c>
      <c r="C640" s="92" t="s">
        <v>17013</v>
      </c>
      <c r="D640" s="92" t="s">
        <v>17014</v>
      </c>
      <c r="E640" s="92" t="s">
        <v>17015</v>
      </c>
      <c r="F640" s="92" t="s">
        <v>5301</v>
      </c>
      <c r="G640" s="92" t="s">
        <v>8504</v>
      </c>
      <c r="H640" s="345">
        <v>2004</v>
      </c>
      <c r="I640" s="380">
        <v>38023</v>
      </c>
      <c r="J640" s="92"/>
      <c r="K640" s="92"/>
      <c r="L640" s="381" t="s">
        <v>17016</v>
      </c>
    </row>
    <row r="641" spans="1:12">
      <c r="A641" s="92"/>
      <c r="B641" s="345">
        <v>16764676</v>
      </c>
      <c r="C641" s="92" t="s">
        <v>17017</v>
      </c>
      <c r="D641" s="92" t="s">
        <v>17018</v>
      </c>
      <c r="E641" s="92" t="s">
        <v>17019</v>
      </c>
      <c r="F641" s="92" t="s">
        <v>5302</v>
      </c>
      <c r="G641" s="92" t="s">
        <v>17020</v>
      </c>
      <c r="H641" s="345">
        <v>2006</v>
      </c>
      <c r="I641" s="380">
        <v>38881</v>
      </c>
      <c r="J641" s="92"/>
      <c r="K641" s="92"/>
      <c r="L641" s="381" t="s">
        <v>17021</v>
      </c>
    </row>
    <row r="642" spans="1:12">
      <c r="A642" s="92"/>
      <c r="B642" s="345">
        <v>19215941</v>
      </c>
      <c r="C642" s="92" t="s">
        <v>17022</v>
      </c>
      <c r="D642" s="92" t="s">
        <v>17023</v>
      </c>
      <c r="E642" s="92" t="s">
        <v>17024</v>
      </c>
      <c r="F642" s="92" t="s">
        <v>5303</v>
      </c>
      <c r="G642" s="92" t="s">
        <v>16910</v>
      </c>
      <c r="H642" s="345">
        <v>2009</v>
      </c>
      <c r="I642" s="380">
        <v>39858</v>
      </c>
      <c r="J642" s="92"/>
      <c r="K642" s="92"/>
      <c r="L642" s="381" t="s">
        <v>17025</v>
      </c>
    </row>
    <row r="643" spans="1:12">
      <c r="A643" s="92"/>
      <c r="B643" s="345">
        <v>15284384</v>
      </c>
      <c r="C643" s="92" t="s">
        <v>17026</v>
      </c>
      <c r="D643" s="92" t="s">
        <v>17027</v>
      </c>
      <c r="E643" s="92" t="s">
        <v>17028</v>
      </c>
      <c r="F643" s="92" t="s">
        <v>5305</v>
      </c>
      <c r="G643" s="92" t="s">
        <v>8968</v>
      </c>
      <c r="H643" s="345">
        <v>2004</v>
      </c>
      <c r="I643" s="380">
        <v>38199</v>
      </c>
      <c r="J643" s="92"/>
      <c r="K643" s="92"/>
      <c r="L643" s="381" t="s">
        <v>17029</v>
      </c>
    </row>
    <row r="644" spans="1:12">
      <c r="A644" s="92"/>
      <c r="B644" s="345">
        <v>18816180</v>
      </c>
      <c r="C644" s="92" t="s">
        <v>17030</v>
      </c>
      <c r="D644" s="92" t="s">
        <v>17031</v>
      </c>
      <c r="E644" s="92" t="s">
        <v>17032</v>
      </c>
      <c r="F644" s="92" t="s">
        <v>4800</v>
      </c>
      <c r="G644" s="92" t="s">
        <v>17033</v>
      </c>
      <c r="H644" s="345">
        <v>2008</v>
      </c>
      <c r="I644" s="380">
        <v>39717</v>
      </c>
      <c r="J644" s="92"/>
      <c r="K644" s="92"/>
      <c r="L644" s="381" t="s">
        <v>17034</v>
      </c>
    </row>
    <row r="645" spans="1:12">
      <c r="A645" s="92"/>
      <c r="B645" s="345">
        <v>14628995</v>
      </c>
      <c r="C645" s="92" t="s">
        <v>17035</v>
      </c>
      <c r="D645" s="92" t="s">
        <v>17036</v>
      </c>
      <c r="E645" s="92" t="s">
        <v>17037</v>
      </c>
      <c r="F645" s="92" t="s">
        <v>5306</v>
      </c>
      <c r="G645" s="92" t="s">
        <v>17038</v>
      </c>
      <c r="H645" s="345">
        <v>2003</v>
      </c>
      <c r="I645" s="380">
        <v>37950</v>
      </c>
      <c r="J645" s="92"/>
      <c r="K645" s="92"/>
      <c r="L645" s="381" t="s">
        <v>17039</v>
      </c>
    </row>
    <row r="646" spans="1:12">
      <c r="A646" s="92"/>
      <c r="B646" s="345">
        <v>11424113</v>
      </c>
      <c r="C646" s="92" t="s">
        <v>17040</v>
      </c>
      <c r="D646" s="92" t="s">
        <v>17041</v>
      </c>
      <c r="E646" s="92" t="s">
        <v>17042</v>
      </c>
      <c r="F646" s="92" t="s">
        <v>4341</v>
      </c>
      <c r="G646" s="92" t="s">
        <v>14476</v>
      </c>
      <c r="H646" s="345">
        <v>2001</v>
      </c>
      <c r="I646" s="380">
        <v>37068</v>
      </c>
      <c r="J646" s="92"/>
      <c r="K646" s="92"/>
      <c r="L646" s="381" t="s">
        <v>17043</v>
      </c>
    </row>
    <row r="647" spans="1:12">
      <c r="A647" s="92"/>
      <c r="B647" s="345">
        <v>19748521</v>
      </c>
      <c r="C647" s="92" t="s">
        <v>17044</v>
      </c>
      <c r="D647" s="92" t="s">
        <v>17045</v>
      </c>
      <c r="E647" s="92" t="s">
        <v>17046</v>
      </c>
      <c r="F647" s="92" t="s">
        <v>5307</v>
      </c>
      <c r="G647" s="92" t="s">
        <v>9028</v>
      </c>
      <c r="H647" s="345">
        <v>2010</v>
      </c>
      <c r="I647" s="380">
        <v>40071</v>
      </c>
      <c r="J647" s="92"/>
      <c r="K647" s="92"/>
      <c r="L647" s="381" t="s">
        <v>17047</v>
      </c>
    </row>
    <row r="648" spans="1:12">
      <c r="A648" s="92"/>
      <c r="B648" s="345">
        <v>11089992</v>
      </c>
      <c r="C648" s="92" t="s">
        <v>15147</v>
      </c>
      <c r="D648" s="92" t="s">
        <v>15148</v>
      </c>
      <c r="E648" s="92" t="s">
        <v>15149</v>
      </c>
      <c r="F648" s="92" t="s">
        <v>4766</v>
      </c>
      <c r="G648" s="92" t="s">
        <v>15012</v>
      </c>
      <c r="H648" s="345">
        <v>2000</v>
      </c>
      <c r="I648" s="380">
        <v>36853</v>
      </c>
      <c r="J648" s="92"/>
      <c r="K648" s="92"/>
      <c r="L648" s="381" t="s">
        <v>15150</v>
      </c>
    </row>
    <row r="649" spans="1:12">
      <c r="A649" s="92"/>
      <c r="B649" s="345">
        <v>17883282</v>
      </c>
      <c r="C649" s="92" t="s">
        <v>17048</v>
      </c>
      <c r="D649" s="92" t="s">
        <v>17049</v>
      </c>
      <c r="E649" s="92" t="s">
        <v>17050</v>
      </c>
      <c r="F649" s="92" t="s">
        <v>5308</v>
      </c>
      <c r="G649" s="92" t="s">
        <v>8509</v>
      </c>
      <c r="H649" s="345">
        <v>2007</v>
      </c>
      <c r="I649" s="380">
        <v>39347</v>
      </c>
      <c r="J649" s="92"/>
      <c r="K649" s="92"/>
      <c r="L649" s="381" t="s">
        <v>17051</v>
      </c>
    </row>
    <row r="650" spans="1:12">
      <c r="A650" s="92"/>
      <c r="B650" s="345">
        <v>12430998</v>
      </c>
      <c r="C650" s="92" t="s">
        <v>17052</v>
      </c>
      <c r="D650" s="92" t="s">
        <v>17053</v>
      </c>
      <c r="E650" s="92" t="s">
        <v>17054</v>
      </c>
      <c r="F650" s="92" t="s">
        <v>5309</v>
      </c>
      <c r="G650" s="92" t="s">
        <v>17055</v>
      </c>
      <c r="H650" s="345">
        <v>2002</v>
      </c>
      <c r="I650" s="380">
        <v>37575</v>
      </c>
      <c r="J650" s="92"/>
      <c r="K650" s="92"/>
      <c r="L650" s="381" t="s">
        <v>17056</v>
      </c>
    </row>
    <row r="651" spans="1:12">
      <c r="A651" s="92"/>
      <c r="B651" s="345">
        <v>15046213</v>
      </c>
      <c r="C651" s="92" t="s">
        <v>17057</v>
      </c>
      <c r="D651" s="92" t="s">
        <v>17058</v>
      </c>
      <c r="E651" s="92" t="s">
        <v>17059</v>
      </c>
      <c r="F651" s="92" t="s">
        <v>5310</v>
      </c>
      <c r="G651" s="92" t="s">
        <v>9292</v>
      </c>
      <c r="H651" s="345">
        <v>2004</v>
      </c>
      <c r="I651" s="380">
        <v>38076</v>
      </c>
      <c r="J651" s="92"/>
      <c r="K651" s="92"/>
      <c r="L651" s="381" t="s">
        <v>17060</v>
      </c>
    </row>
    <row r="652" spans="1:12">
      <c r="A652" s="92"/>
      <c r="B652" s="345">
        <v>15552877</v>
      </c>
      <c r="C652" s="92" t="s">
        <v>17061</v>
      </c>
      <c r="D652" s="92" t="s">
        <v>17062</v>
      </c>
      <c r="E652" s="92" t="s">
        <v>17063</v>
      </c>
      <c r="F652" s="92" t="s">
        <v>5311</v>
      </c>
      <c r="G652" s="92" t="s">
        <v>17064</v>
      </c>
      <c r="H652" s="345">
        <v>2004</v>
      </c>
      <c r="I652" s="380">
        <v>38315</v>
      </c>
      <c r="J652" s="92"/>
      <c r="K652" s="92"/>
      <c r="L652" s="92"/>
    </row>
    <row r="653" spans="1:12">
      <c r="A653" s="92"/>
      <c r="B653" s="345">
        <v>18318936</v>
      </c>
      <c r="C653" s="92" t="s">
        <v>17065</v>
      </c>
      <c r="D653" s="92" t="s">
        <v>17066</v>
      </c>
      <c r="E653" s="92" t="s">
        <v>17067</v>
      </c>
      <c r="F653" s="92" t="s">
        <v>5312</v>
      </c>
      <c r="G653" s="92" t="s">
        <v>17068</v>
      </c>
      <c r="H653" s="345">
        <v>2008</v>
      </c>
      <c r="I653" s="380">
        <v>39513</v>
      </c>
      <c r="J653" s="92"/>
      <c r="K653" s="92"/>
      <c r="L653" s="381" t="s">
        <v>17069</v>
      </c>
    </row>
    <row r="654" spans="1:12">
      <c r="A654" s="92"/>
      <c r="B654" s="345">
        <v>15077021</v>
      </c>
      <c r="C654" s="92" t="s">
        <v>17070</v>
      </c>
      <c r="D654" s="92" t="s">
        <v>17071</v>
      </c>
      <c r="E654" s="92" t="s">
        <v>17072</v>
      </c>
      <c r="F654" s="92" t="s">
        <v>5313</v>
      </c>
      <c r="G654" s="92" t="s">
        <v>8712</v>
      </c>
      <c r="H654" s="345">
        <v>2004</v>
      </c>
      <c r="I654" s="380">
        <v>38090</v>
      </c>
      <c r="J654" s="92"/>
      <c r="K654" s="92"/>
      <c r="L654" s="381" t="s">
        <v>17073</v>
      </c>
    </row>
    <row r="655" spans="1:12">
      <c r="A655" s="92"/>
      <c r="B655" s="345">
        <v>16919749</v>
      </c>
      <c r="C655" s="92" t="s">
        <v>17074</v>
      </c>
      <c r="D655" s="92" t="s">
        <v>17075</v>
      </c>
      <c r="E655" s="92" t="s">
        <v>17076</v>
      </c>
      <c r="F655" s="92" t="s">
        <v>5315</v>
      </c>
      <c r="G655" s="92" t="s">
        <v>17077</v>
      </c>
      <c r="H655" s="345">
        <v>2006</v>
      </c>
      <c r="I655" s="380">
        <v>38951</v>
      </c>
      <c r="J655" s="92"/>
      <c r="K655" s="92"/>
      <c r="L655" s="381" t="s">
        <v>17078</v>
      </c>
    </row>
    <row r="656" spans="1:12">
      <c r="A656" s="92"/>
      <c r="B656" s="345">
        <v>15353364</v>
      </c>
      <c r="C656" s="92" t="s">
        <v>17079</v>
      </c>
      <c r="D656" s="92" t="s">
        <v>17080</v>
      </c>
      <c r="E656" s="92" t="s">
        <v>17081</v>
      </c>
      <c r="F656" s="92" t="s">
        <v>5316</v>
      </c>
      <c r="G656" s="92" t="s">
        <v>16412</v>
      </c>
      <c r="H656" s="345">
        <v>2004</v>
      </c>
      <c r="I656" s="380">
        <v>38239</v>
      </c>
      <c r="J656" s="92"/>
      <c r="K656" s="92"/>
      <c r="L656" s="92" t="s">
        <v>17082</v>
      </c>
    </row>
    <row r="657" spans="1:12">
      <c r="A657" s="92"/>
      <c r="B657" s="345">
        <v>17947482</v>
      </c>
      <c r="C657" s="92" t="s">
        <v>17083</v>
      </c>
      <c r="D657" s="92" t="s">
        <v>17084</v>
      </c>
      <c r="E657" s="92" t="s">
        <v>17085</v>
      </c>
      <c r="F657" s="92" t="s">
        <v>5318</v>
      </c>
      <c r="G657" s="92" t="s">
        <v>16905</v>
      </c>
      <c r="H657" s="345">
        <v>2007</v>
      </c>
      <c r="I657" s="380">
        <v>39375</v>
      </c>
      <c r="J657" s="92"/>
      <c r="K657" s="92"/>
      <c r="L657" s="381" t="s">
        <v>17086</v>
      </c>
    </row>
    <row r="658" spans="1:12">
      <c r="A658" s="92"/>
      <c r="B658" s="345">
        <v>19995389</v>
      </c>
      <c r="C658" s="92" t="s">
        <v>17087</v>
      </c>
      <c r="D658" s="92" t="s">
        <v>17088</v>
      </c>
      <c r="E658" s="92" t="s">
        <v>17089</v>
      </c>
      <c r="F658" s="92" t="s">
        <v>5319</v>
      </c>
      <c r="G658" s="92" t="s">
        <v>11659</v>
      </c>
      <c r="H658" s="345">
        <v>2010</v>
      </c>
      <c r="I658" s="380">
        <v>40157</v>
      </c>
      <c r="J658" s="92"/>
      <c r="K658" s="92"/>
      <c r="L658" s="381" t="s">
        <v>17090</v>
      </c>
    </row>
    <row r="659" spans="1:12">
      <c r="A659" s="92"/>
      <c r="B659" s="345">
        <v>12552430</v>
      </c>
      <c r="C659" s="92" t="s">
        <v>17091</v>
      </c>
      <c r="D659" s="92" t="s">
        <v>17092</v>
      </c>
      <c r="E659" s="92" t="s">
        <v>17093</v>
      </c>
      <c r="F659" s="92" t="s">
        <v>5320</v>
      </c>
      <c r="G659" s="92" t="s">
        <v>9497</v>
      </c>
      <c r="H659" s="345">
        <v>2003</v>
      </c>
      <c r="I659" s="380">
        <v>37650</v>
      </c>
      <c r="J659" s="92"/>
      <c r="K659" s="92"/>
      <c r="L659" s="381" t="s">
        <v>17094</v>
      </c>
    </row>
    <row r="660" spans="1:12">
      <c r="A660" s="92"/>
      <c r="B660" s="345">
        <v>11968154</v>
      </c>
      <c r="C660" s="92" t="s">
        <v>17095</v>
      </c>
      <c r="D660" s="92" t="s">
        <v>17096</v>
      </c>
      <c r="E660" s="92" t="s">
        <v>17097</v>
      </c>
      <c r="F660" s="92" t="s">
        <v>5322</v>
      </c>
      <c r="G660" s="92" t="s">
        <v>9537</v>
      </c>
      <c r="H660" s="345">
        <v>2002</v>
      </c>
      <c r="I660" s="380">
        <v>37370</v>
      </c>
      <c r="J660" s="92"/>
      <c r="K660" s="92"/>
      <c r="L660" s="381" t="s">
        <v>17098</v>
      </c>
    </row>
    <row r="661" spans="1:12">
      <c r="A661" s="92"/>
      <c r="B661" s="345">
        <v>15326138</v>
      </c>
      <c r="C661" s="92" t="s">
        <v>17099</v>
      </c>
      <c r="D661" s="92" t="s">
        <v>17100</v>
      </c>
      <c r="E661" s="92" t="s">
        <v>17101</v>
      </c>
      <c r="F661" s="92" t="s">
        <v>5323</v>
      </c>
      <c r="G661" s="92" t="s">
        <v>17102</v>
      </c>
      <c r="H661" s="345">
        <v>2004</v>
      </c>
      <c r="I661" s="380">
        <v>38224</v>
      </c>
      <c r="J661" s="92"/>
      <c r="K661" s="92"/>
      <c r="L661" s="381" t="s">
        <v>17103</v>
      </c>
    </row>
    <row r="662" spans="1:12">
      <c r="A662" s="92"/>
      <c r="B662" s="345">
        <v>17643872</v>
      </c>
      <c r="C662" s="92" t="s">
        <v>17104</v>
      </c>
      <c r="D662" s="92" t="s">
        <v>17105</v>
      </c>
      <c r="E662" s="92" t="s">
        <v>17106</v>
      </c>
      <c r="F662" s="92" t="s">
        <v>5324</v>
      </c>
      <c r="G662" s="92" t="s">
        <v>15416</v>
      </c>
      <c r="H662" s="345">
        <v>2007</v>
      </c>
      <c r="I662" s="380">
        <v>39287</v>
      </c>
      <c r="J662" s="92" t="s">
        <v>5325</v>
      </c>
      <c r="K662" s="92" t="s">
        <v>17107</v>
      </c>
      <c r="L662" s="381" t="s">
        <v>17108</v>
      </c>
    </row>
    <row r="663" spans="1:12">
      <c r="A663" s="92"/>
      <c r="B663" s="345">
        <v>12821734</v>
      </c>
      <c r="C663" s="92" t="s">
        <v>17109</v>
      </c>
      <c r="D663" s="92" t="s">
        <v>17110</v>
      </c>
      <c r="E663" s="92" t="s">
        <v>17111</v>
      </c>
      <c r="F663" s="92" t="s">
        <v>5326</v>
      </c>
      <c r="G663" s="92" t="s">
        <v>8529</v>
      </c>
      <c r="H663" s="345">
        <v>2003</v>
      </c>
      <c r="I663" s="380">
        <v>37797</v>
      </c>
      <c r="J663" s="92"/>
      <c r="K663" s="92"/>
      <c r="L663" s="381" t="s">
        <v>17112</v>
      </c>
    </row>
    <row r="664" spans="1:12">
      <c r="A664" s="92"/>
      <c r="B664" s="345">
        <v>17251588</v>
      </c>
      <c r="C664" s="92" t="s">
        <v>17113</v>
      </c>
      <c r="D664" s="92" t="s">
        <v>17114</v>
      </c>
      <c r="E664" s="92" t="s">
        <v>17115</v>
      </c>
      <c r="F664" s="92" t="s">
        <v>5327</v>
      </c>
      <c r="G664" s="92" t="s">
        <v>17116</v>
      </c>
      <c r="H664" s="345">
        <v>2007</v>
      </c>
      <c r="I664" s="380">
        <v>39108</v>
      </c>
      <c r="J664" s="92"/>
      <c r="K664" s="92"/>
      <c r="L664" s="381" t="s">
        <v>17117</v>
      </c>
    </row>
    <row r="665" spans="1:12">
      <c r="A665" s="92"/>
      <c r="B665" s="345">
        <v>19167593</v>
      </c>
      <c r="C665" s="92" t="s">
        <v>17118</v>
      </c>
      <c r="D665" s="92" t="s">
        <v>17119</v>
      </c>
      <c r="E665" s="92" t="s">
        <v>17120</v>
      </c>
      <c r="F665" s="92" t="s">
        <v>5328</v>
      </c>
      <c r="G665" s="92" t="s">
        <v>8640</v>
      </c>
      <c r="H665" s="345">
        <v>2008</v>
      </c>
      <c r="I665" s="380">
        <v>39840</v>
      </c>
      <c r="J665" s="92"/>
      <c r="K665" s="92"/>
      <c r="L665" s="381" t="s">
        <v>17121</v>
      </c>
    </row>
    <row r="666" spans="1:12">
      <c r="A666" s="92"/>
      <c r="B666" s="345">
        <v>15345231</v>
      </c>
      <c r="C666" s="92" t="s">
        <v>17122</v>
      </c>
      <c r="D666" s="92" t="s">
        <v>17123</v>
      </c>
      <c r="E666" s="92" t="s">
        <v>17124</v>
      </c>
      <c r="F666" s="92" t="s">
        <v>5329</v>
      </c>
      <c r="G666" s="92" t="s">
        <v>15938</v>
      </c>
      <c r="H666" s="345">
        <v>2004</v>
      </c>
      <c r="I666" s="380">
        <v>38234</v>
      </c>
      <c r="J666" s="92"/>
      <c r="K666" s="92"/>
      <c r="L666" s="381" t="s">
        <v>17125</v>
      </c>
    </row>
    <row r="667" spans="1:12">
      <c r="A667" s="92"/>
      <c r="B667" s="345">
        <v>10644345</v>
      </c>
      <c r="C667" s="92" t="s">
        <v>15172</v>
      </c>
      <c r="D667" s="92" t="s">
        <v>15173</v>
      </c>
      <c r="E667" s="92" t="s">
        <v>15174</v>
      </c>
      <c r="F667" s="92" t="s">
        <v>4735</v>
      </c>
      <c r="G667" s="92" t="s">
        <v>9821</v>
      </c>
      <c r="H667" s="345">
        <v>2000</v>
      </c>
      <c r="I667" s="380">
        <v>36547</v>
      </c>
      <c r="J667" s="92" t="s">
        <v>4771</v>
      </c>
      <c r="K667" s="92"/>
      <c r="L667" s="381" t="s">
        <v>15175</v>
      </c>
    </row>
    <row r="668" spans="1:12">
      <c r="A668" s="92"/>
      <c r="B668" s="345">
        <v>18072873</v>
      </c>
      <c r="C668" s="92" t="s">
        <v>17126</v>
      </c>
      <c r="D668" s="92" t="s">
        <v>17127</v>
      </c>
      <c r="E668" s="92" t="s">
        <v>17128</v>
      </c>
      <c r="F668" s="92" t="s">
        <v>5330</v>
      </c>
      <c r="G668" s="92" t="s">
        <v>17129</v>
      </c>
      <c r="H668" s="345">
        <v>2008</v>
      </c>
      <c r="I668" s="380">
        <v>39429</v>
      </c>
      <c r="J668" s="92"/>
      <c r="K668" s="92"/>
      <c r="L668" s="381" t="s">
        <v>17130</v>
      </c>
    </row>
    <row r="669" spans="1:12">
      <c r="A669" s="92"/>
      <c r="B669" s="345">
        <v>16965415</v>
      </c>
      <c r="C669" s="92" t="s">
        <v>17131</v>
      </c>
      <c r="D669" s="92" t="s">
        <v>17132</v>
      </c>
      <c r="E669" s="92" t="s">
        <v>17133</v>
      </c>
      <c r="F669" s="92" t="s">
        <v>5331</v>
      </c>
      <c r="G669" s="92" t="s">
        <v>8963</v>
      </c>
      <c r="H669" s="345">
        <v>2006</v>
      </c>
      <c r="I669" s="380">
        <v>38973</v>
      </c>
      <c r="J669" s="92"/>
      <c r="K669" s="92"/>
      <c r="L669" s="381" t="s">
        <v>17134</v>
      </c>
    </row>
    <row r="670" spans="1:12">
      <c r="A670" s="92"/>
      <c r="B670" s="345">
        <v>19275277</v>
      </c>
      <c r="C670" s="92" t="s">
        <v>17135</v>
      </c>
      <c r="D670" s="92" t="s">
        <v>17136</v>
      </c>
      <c r="E670" s="92" t="s">
        <v>17137</v>
      </c>
      <c r="F670" s="92" t="s">
        <v>5332</v>
      </c>
      <c r="G670" s="92" t="s">
        <v>8509</v>
      </c>
      <c r="H670" s="345">
        <v>2009</v>
      </c>
      <c r="I670" s="380">
        <v>39884</v>
      </c>
      <c r="J670" s="92"/>
      <c r="K670" s="92"/>
      <c r="L670" s="381" t="s">
        <v>17138</v>
      </c>
    </row>
    <row r="671" spans="1:12">
      <c r="A671" s="92"/>
      <c r="B671" s="345">
        <v>16433956</v>
      </c>
      <c r="C671" s="92" t="s">
        <v>17139</v>
      </c>
      <c r="D671" s="92" t="s">
        <v>17140</v>
      </c>
      <c r="E671" s="92" t="s">
        <v>17141</v>
      </c>
      <c r="F671" s="92" t="s">
        <v>5333</v>
      </c>
      <c r="G671" s="92" t="s">
        <v>15813</v>
      </c>
      <c r="H671" s="345">
        <v>2006</v>
      </c>
      <c r="I671" s="380">
        <v>38743</v>
      </c>
      <c r="J671" s="92"/>
      <c r="K671" s="92"/>
      <c r="L671" s="381" t="s">
        <v>17142</v>
      </c>
    </row>
    <row r="672" spans="1:12">
      <c r="A672" s="92"/>
      <c r="B672" s="345">
        <v>10646605</v>
      </c>
      <c r="C672" s="92" t="s">
        <v>15181</v>
      </c>
      <c r="D672" s="92" t="s">
        <v>15182</v>
      </c>
      <c r="E672" s="92" t="s">
        <v>15183</v>
      </c>
      <c r="F672" s="92" t="s">
        <v>4773</v>
      </c>
      <c r="G672" s="92" t="s">
        <v>9222</v>
      </c>
      <c r="H672" s="345">
        <v>2000</v>
      </c>
      <c r="I672" s="380">
        <v>36551</v>
      </c>
      <c r="J672" s="92"/>
      <c r="K672" s="92"/>
      <c r="L672" s="381" t="s">
        <v>15184</v>
      </c>
    </row>
    <row r="673" spans="1:12">
      <c r="A673" s="92"/>
      <c r="B673" s="345">
        <v>18562525</v>
      </c>
      <c r="C673" s="92" t="s">
        <v>17143</v>
      </c>
      <c r="D673" s="92" t="s">
        <v>17144</v>
      </c>
      <c r="E673" s="92" t="s">
        <v>17145</v>
      </c>
      <c r="F673" s="92" t="s">
        <v>5335</v>
      </c>
      <c r="G673" s="92" t="s">
        <v>9821</v>
      </c>
      <c r="H673" s="345">
        <v>2008</v>
      </c>
      <c r="I673" s="380">
        <v>39619</v>
      </c>
      <c r="J673" s="435" t="s">
        <v>5336</v>
      </c>
      <c r="K673" s="425"/>
      <c r="L673" s="381" t="s">
        <v>17146</v>
      </c>
    </row>
    <row r="674" spans="1:12">
      <c r="A674" s="92"/>
      <c r="B674" s="345">
        <v>20649596</v>
      </c>
      <c r="C674" s="92" t="s">
        <v>17147</v>
      </c>
      <c r="D674" s="92" t="s">
        <v>17148</v>
      </c>
      <c r="E674" s="92" t="s">
        <v>17149</v>
      </c>
      <c r="F674" s="92" t="s">
        <v>5337</v>
      </c>
      <c r="G674" s="92" t="s">
        <v>17150</v>
      </c>
      <c r="H674" s="345">
        <v>2010</v>
      </c>
      <c r="I674" s="380">
        <v>40383</v>
      </c>
      <c r="J674" s="435" t="s">
        <v>5338</v>
      </c>
      <c r="K674" s="425"/>
      <c r="L674" s="381" t="s">
        <v>17151</v>
      </c>
    </row>
    <row r="675" spans="1:12">
      <c r="A675" s="92"/>
      <c r="B675" s="345">
        <v>18312555</v>
      </c>
      <c r="C675" s="92" t="s">
        <v>17152</v>
      </c>
      <c r="D675" s="92" t="s">
        <v>17153</v>
      </c>
      <c r="E675" s="92" t="s">
        <v>17154</v>
      </c>
      <c r="F675" s="92" t="s">
        <v>5340</v>
      </c>
      <c r="G675" s="92" t="s">
        <v>15316</v>
      </c>
      <c r="H675" s="345">
        <v>2008</v>
      </c>
      <c r="I675" s="380">
        <v>39511</v>
      </c>
      <c r="J675" s="92"/>
      <c r="K675" s="92"/>
      <c r="L675" s="381" t="s">
        <v>17155</v>
      </c>
    </row>
    <row r="676" spans="1:12">
      <c r="A676" s="92"/>
      <c r="B676" s="345">
        <v>22558559</v>
      </c>
      <c r="C676" s="92" t="s">
        <v>17156</v>
      </c>
      <c r="D676" s="92" t="s">
        <v>17157</v>
      </c>
      <c r="E676" s="92" t="s">
        <v>17158</v>
      </c>
      <c r="F676" s="92" t="s">
        <v>5341</v>
      </c>
      <c r="G676" s="92" t="s">
        <v>17159</v>
      </c>
      <c r="H676" s="345">
        <v>2010</v>
      </c>
      <c r="I676" s="380">
        <v>41034</v>
      </c>
      <c r="J676" s="435" t="s">
        <v>5342</v>
      </c>
      <c r="K676" s="425"/>
      <c r="L676" s="381" t="s">
        <v>17160</v>
      </c>
    </row>
    <row r="677" spans="1:12">
      <c r="A677" s="92"/>
      <c r="B677" s="345">
        <v>20146111</v>
      </c>
      <c r="C677" s="92" t="s">
        <v>17161</v>
      </c>
      <c r="D677" s="92" t="s">
        <v>17162</v>
      </c>
      <c r="E677" s="92" t="s">
        <v>17163</v>
      </c>
      <c r="F677" s="92" t="s">
        <v>5343</v>
      </c>
      <c r="G677" s="92" t="s">
        <v>17007</v>
      </c>
      <c r="H677" s="345">
        <v>2010</v>
      </c>
      <c r="I677" s="380">
        <v>40220</v>
      </c>
      <c r="J677" s="92" t="s">
        <v>5344</v>
      </c>
      <c r="K677" s="92" t="s">
        <v>17164</v>
      </c>
      <c r="L677" s="381" t="s">
        <v>17165</v>
      </c>
    </row>
    <row r="678" spans="1:12">
      <c r="A678" s="92"/>
      <c r="B678" s="345">
        <v>18586871</v>
      </c>
      <c r="C678" s="92" t="s">
        <v>17166</v>
      </c>
      <c r="D678" s="92" t="s">
        <v>17167</v>
      </c>
      <c r="E678" s="92" t="s">
        <v>17168</v>
      </c>
      <c r="F678" s="92" t="s">
        <v>5345</v>
      </c>
      <c r="G678" s="92" t="s">
        <v>17102</v>
      </c>
      <c r="H678" s="345">
        <v>2008</v>
      </c>
      <c r="I678" s="380">
        <v>39630</v>
      </c>
      <c r="J678" s="92" t="s">
        <v>5346</v>
      </c>
      <c r="K678" s="92" t="s">
        <v>17169</v>
      </c>
      <c r="L678" s="381" t="s">
        <v>17170</v>
      </c>
    </row>
    <row r="679" spans="1:12">
      <c r="A679" s="92"/>
      <c r="B679" s="345">
        <v>15914198</v>
      </c>
      <c r="C679" s="92" t="s">
        <v>17171</v>
      </c>
      <c r="D679" s="92" t="s">
        <v>17172</v>
      </c>
      <c r="E679" s="92" t="s">
        <v>17173</v>
      </c>
      <c r="F679" s="92" t="s">
        <v>5347</v>
      </c>
      <c r="G679" s="92" t="s">
        <v>17174</v>
      </c>
      <c r="H679" s="345">
        <v>2005</v>
      </c>
      <c r="I679" s="380">
        <v>38498</v>
      </c>
      <c r="J679" s="92"/>
      <c r="K679" s="92"/>
      <c r="L679" s="381" t="s">
        <v>17175</v>
      </c>
    </row>
    <row r="680" spans="1:12">
      <c r="A680" s="92"/>
      <c r="B680" s="345">
        <v>19715525</v>
      </c>
      <c r="C680" s="92" t="s">
        <v>17176</v>
      </c>
      <c r="D680" s="92" t="s">
        <v>17177</v>
      </c>
      <c r="E680" s="92" t="s">
        <v>17178</v>
      </c>
      <c r="F680" s="92" t="s">
        <v>5348</v>
      </c>
      <c r="G680" s="92" t="s">
        <v>17179</v>
      </c>
      <c r="H680" s="345">
        <v>2009</v>
      </c>
      <c r="I680" s="380">
        <v>40057</v>
      </c>
      <c r="J680" s="92"/>
      <c r="K680" s="92"/>
      <c r="L680" s="92"/>
    </row>
    <row r="681" spans="1:12">
      <c r="A681" s="92"/>
      <c r="B681" s="345">
        <v>17189085</v>
      </c>
      <c r="C681" s="92" t="s">
        <v>17180</v>
      </c>
      <c r="D681" s="92" t="s">
        <v>17181</v>
      </c>
      <c r="E681" s="92" t="s">
        <v>17182</v>
      </c>
      <c r="F681" s="92" t="s">
        <v>5350</v>
      </c>
      <c r="G681" s="92" t="s">
        <v>17183</v>
      </c>
      <c r="H681" s="345">
        <v>2007</v>
      </c>
      <c r="I681" s="380">
        <v>39077</v>
      </c>
      <c r="J681" s="92"/>
      <c r="K681" s="92"/>
      <c r="L681" s="381" t="s">
        <v>17184</v>
      </c>
    </row>
    <row r="682" spans="1:12">
      <c r="A682" s="92"/>
      <c r="B682" s="345">
        <v>20202432</v>
      </c>
      <c r="C682" s="92" t="s">
        <v>17185</v>
      </c>
      <c r="D682" s="92" t="s">
        <v>17186</v>
      </c>
      <c r="E682" s="92" t="s">
        <v>17187</v>
      </c>
      <c r="F682" s="92" t="s">
        <v>5351</v>
      </c>
      <c r="G682" s="92" t="s">
        <v>9364</v>
      </c>
      <c r="H682" s="345">
        <v>2010</v>
      </c>
      <c r="I682" s="380">
        <v>40243</v>
      </c>
      <c r="J682" s="435" t="s">
        <v>5352</v>
      </c>
      <c r="K682" s="425"/>
      <c r="L682" s="381" t="s">
        <v>17188</v>
      </c>
    </row>
    <row r="683" spans="1:12">
      <c r="A683" s="92"/>
      <c r="B683" s="345">
        <v>19770753</v>
      </c>
      <c r="C683" s="92" t="s">
        <v>17189</v>
      </c>
      <c r="D683" s="92" t="s">
        <v>17190</v>
      </c>
      <c r="E683" s="92" t="s">
        <v>17191</v>
      </c>
      <c r="F683" s="92" t="s">
        <v>5353</v>
      </c>
      <c r="G683" s="92" t="s">
        <v>8504</v>
      </c>
      <c r="H683" s="345">
        <v>2009</v>
      </c>
      <c r="I683" s="380">
        <v>40079</v>
      </c>
      <c r="J683" s="92"/>
      <c r="K683" s="92"/>
      <c r="L683" s="381" t="s">
        <v>17192</v>
      </c>
    </row>
    <row r="684" spans="1:12">
      <c r="A684" s="92"/>
      <c r="B684" s="345">
        <v>10782705</v>
      </c>
      <c r="C684" s="92" t="s">
        <v>15176</v>
      </c>
      <c r="D684" s="92" t="s">
        <v>15177</v>
      </c>
      <c r="E684" s="92" t="s">
        <v>15178</v>
      </c>
      <c r="F684" s="92" t="s">
        <v>4772</v>
      </c>
      <c r="G684" s="92" t="s">
        <v>15179</v>
      </c>
      <c r="H684" s="345">
        <v>2000</v>
      </c>
      <c r="I684" s="380">
        <v>36643</v>
      </c>
      <c r="J684" s="92"/>
      <c r="K684" s="92"/>
      <c r="L684" s="381" t="s">
        <v>15180</v>
      </c>
    </row>
    <row r="685" spans="1:12">
      <c r="A685" s="92"/>
      <c r="B685" s="345">
        <v>18397685</v>
      </c>
      <c r="C685" s="92" t="s">
        <v>17193</v>
      </c>
      <c r="D685" s="92" t="s">
        <v>17194</v>
      </c>
      <c r="E685" s="92" t="s">
        <v>17195</v>
      </c>
      <c r="F685" s="92" t="s">
        <v>5354</v>
      </c>
      <c r="G685" s="92" t="s">
        <v>17196</v>
      </c>
      <c r="H685" s="345">
        <v>2008</v>
      </c>
      <c r="I685" s="380">
        <v>39548</v>
      </c>
      <c r="J685" s="92"/>
      <c r="K685" s="92"/>
      <c r="L685" s="381" t="s">
        <v>17197</v>
      </c>
    </row>
    <row r="686" spans="1:12">
      <c r="A686" s="92"/>
      <c r="B686" s="345">
        <v>18165444</v>
      </c>
      <c r="C686" s="92" t="s">
        <v>17198</v>
      </c>
      <c r="D686" s="92" t="s">
        <v>17199</v>
      </c>
      <c r="E686" s="92" t="s">
        <v>17200</v>
      </c>
      <c r="F686" s="92" t="s">
        <v>5355</v>
      </c>
      <c r="G686" s="92" t="s">
        <v>17201</v>
      </c>
      <c r="H686" s="345">
        <v>2008</v>
      </c>
      <c r="I686" s="380">
        <v>39448</v>
      </c>
      <c r="J686" s="92"/>
      <c r="K686" s="92"/>
      <c r="L686" s="381" t="s">
        <v>17202</v>
      </c>
    </row>
    <row r="687" spans="1:12">
      <c r="A687" s="92"/>
      <c r="B687" s="345">
        <v>15155612</v>
      </c>
      <c r="C687" s="92" t="s">
        <v>17203</v>
      </c>
      <c r="D687" s="92" t="s">
        <v>17204</v>
      </c>
      <c r="E687" s="92" t="s">
        <v>17205</v>
      </c>
      <c r="F687" s="92" t="s">
        <v>5356</v>
      </c>
      <c r="G687" s="92" t="s">
        <v>11700</v>
      </c>
      <c r="H687" s="345">
        <v>2004</v>
      </c>
      <c r="I687" s="380">
        <v>38132</v>
      </c>
      <c r="J687" s="92" t="s">
        <v>5357</v>
      </c>
      <c r="K687" s="92"/>
      <c r="L687" s="381" t="s">
        <v>17206</v>
      </c>
    </row>
    <row r="688" spans="1:12">
      <c r="A688" s="92"/>
      <c r="B688" s="345">
        <v>15255555</v>
      </c>
      <c r="C688" s="92" t="s">
        <v>17207</v>
      </c>
      <c r="D688" s="92" t="s">
        <v>17208</v>
      </c>
      <c r="E688" s="92" t="s">
        <v>17209</v>
      </c>
      <c r="F688" s="92" t="s">
        <v>5055</v>
      </c>
      <c r="G688" s="92" t="s">
        <v>8627</v>
      </c>
      <c r="H688" s="345">
        <v>2004</v>
      </c>
      <c r="I688" s="380">
        <v>38185</v>
      </c>
      <c r="J688" s="92"/>
      <c r="K688" s="92"/>
      <c r="L688" s="381" t="s">
        <v>17210</v>
      </c>
    </row>
    <row r="689" spans="1:12">
      <c r="A689" s="92"/>
      <c r="B689" s="345">
        <v>10817735</v>
      </c>
      <c r="C689" s="92" t="s">
        <v>15206</v>
      </c>
      <c r="D689" s="92" t="s">
        <v>15207</v>
      </c>
      <c r="E689" s="92" t="s">
        <v>15208</v>
      </c>
      <c r="F689" s="92" t="s">
        <v>2371</v>
      </c>
      <c r="G689" s="92" t="s">
        <v>8675</v>
      </c>
      <c r="H689" s="345">
        <v>2000</v>
      </c>
      <c r="I689" s="380">
        <v>36665</v>
      </c>
      <c r="J689" s="92" t="s">
        <v>4779</v>
      </c>
      <c r="K689" s="92"/>
      <c r="L689" s="381" t="s">
        <v>15209</v>
      </c>
    </row>
    <row r="690" spans="1:12">
      <c r="A690" s="92"/>
      <c r="B690" s="345">
        <v>19951553</v>
      </c>
      <c r="C690" s="92" t="s">
        <v>9875</v>
      </c>
      <c r="D690" s="92" t="s">
        <v>9876</v>
      </c>
      <c r="E690" s="92" t="s">
        <v>9877</v>
      </c>
      <c r="F690" s="92" t="s">
        <v>5358</v>
      </c>
      <c r="G690" s="92" t="s">
        <v>9878</v>
      </c>
      <c r="H690" s="345">
        <v>2009</v>
      </c>
      <c r="I690" s="380">
        <v>40150</v>
      </c>
      <c r="J690" s="92"/>
      <c r="K690" s="92"/>
      <c r="L690" s="92"/>
    </row>
    <row r="691" spans="1:12">
      <c r="A691" s="92"/>
      <c r="B691" s="345">
        <v>17254623</v>
      </c>
      <c r="C691" s="92" t="s">
        <v>17211</v>
      </c>
      <c r="D691" s="92" t="s">
        <v>17212</v>
      </c>
      <c r="E691" s="92" t="s">
        <v>17213</v>
      </c>
      <c r="F691" s="92" t="s">
        <v>5359</v>
      </c>
      <c r="G691" s="92" t="s">
        <v>9205</v>
      </c>
      <c r="H691" s="345">
        <v>2007</v>
      </c>
      <c r="I691" s="380">
        <v>39109</v>
      </c>
      <c r="J691" s="92" t="s">
        <v>5360</v>
      </c>
      <c r="K691" s="92" t="s">
        <v>17214</v>
      </c>
      <c r="L691" s="381" t="s">
        <v>17215</v>
      </c>
    </row>
    <row r="692" spans="1:12">
      <c r="A692" s="92"/>
      <c r="B692" s="345">
        <v>20674178</v>
      </c>
      <c r="C692" s="92" t="s">
        <v>17216</v>
      </c>
      <c r="D692" s="92" t="s">
        <v>17217</v>
      </c>
      <c r="E692" s="92" t="s">
        <v>17218</v>
      </c>
      <c r="F692" s="92" t="s">
        <v>5361</v>
      </c>
      <c r="G692" s="92" t="s">
        <v>14848</v>
      </c>
      <c r="H692" s="345">
        <v>2010</v>
      </c>
      <c r="I692" s="380">
        <v>40393</v>
      </c>
      <c r="J692" s="92"/>
      <c r="K692" s="92"/>
      <c r="L692" s="381" t="s">
        <v>17219</v>
      </c>
    </row>
    <row r="693" spans="1:12">
      <c r="A693" s="92"/>
      <c r="B693" s="345">
        <v>21042827</v>
      </c>
      <c r="C693" s="92" t="s">
        <v>17220</v>
      </c>
      <c r="D693" s="92" t="s">
        <v>17221</v>
      </c>
      <c r="E693" s="92" t="s">
        <v>17222</v>
      </c>
      <c r="F693" s="92" t="s">
        <v>5362</v>
      </c>
      <c r="G693" s="92" t="s">
        <v>9873</v>
      </c>
      <c r="H693" s="345">
        <v>2011</v>
      </c>
      <c r="I693" s="380">
        <v>40485</v>
      </c>
      <c r="J693" s="92"/>
      <c r="K693" s="92"/>
      <c r="L693" s="381" t="s">
        <v>17223</v>
      </c>
    </row>
    <row r="694" spans="1:12">
      <c r="A694" s="92"/>
      <c r="B694" s="345">
        <v>18821697</v>
      </c>
      <c r="C694" s="92" t="s">
        <v>17224</v>
      </c>
      <c r="D694" s="92" t="s">
        <v>17225</v>
      </c>
      <c r="E694" s="92" t="s">
        <v>17226</v>
      </c>
      <c r="F694" s="92" t="s">
        <v>5363</v>
      </c>
      <c r="G694" s="92" t="s">
        <v>8465</v>
      </c>
      <c r="H694" s="345">
        <v>2008</v>
      </c>
      <c r="I694" s="380">
        <v>39721</v>
      </c>
      <c r="J694" s="92"/>
      <c r="K694" s="92"/>
      <c r="L694" s="381" t="s">
        <v>17227</v>
      </c>
    </row>
    <row r="695" spans="1:12">
      <c r="A695" s="92"/>
      <c r="B695" s="345">
        <v>19174586</v>
      </c>
      <c r="C695" s="92" t="s">
        <v>17228</v>
      </c>
      <c r="D695" s="92" t="s">
        <v>17229</v>
      </c>
      <c r="E695" s="92" t="s">
        <v>17230</v>
      </c>
      <c r="F695" s="92" t="s">
        <v>5364</v>
      </c>
      <c r="G695" s="92" t="s">
        <v>17231</v>
      </c>
      <c r="H695" s="345">
        <v>2009</v>
      </c>
      <c r="I695" s="380">
        <v>39842</v>
      </c>
      <c r="J695" s="92"/>
      <c r="K695" s="92"/>
      <c r="L695" s="92"/>
    </row>
    <row r="696" spans="1:12">
      <c r="A696" s="92"/>
      <c r="B696" s="345">
        <v>11793394</v>
      </c>
      <c r="C696" s="92" t="s">
        <v>17232</v>
      </c>
      <c r="D696" s="92" t="s">
        <v>17233</v>
      </c>
      <c r="E696" s="92" t="s">
        <v>17234</v>
      </c>
      <c r="F696" s="92" t="s">
        <v>5366</v>
      </c>
      <c r="G696" s="92" t="s">
        <v>14476</v>
      </c>
      <c r="H696" s="345">
        <v>2002</v>
      </c>
      <c r="I696" s="380">
        <v>37273</v>
      </c>
      <c r="J696" s="92"/>
      <c r="K696" s="92"/>
      <c r="L696" s="381" t="s">
        <v>17235</v>
      </c>
    </row>
    <row r="697" spans="1:12">
      <c r="A697" s="92"/>
      <c r="B697" s="345">
        <v>17348292</v>
      </c>
      <c r="C697" s="92" t="s">
        <v>17236</v>
      </c>
      <c r="D697" s="92" t="s">
        <v>17237</v>
      </c>
      <c r="E697" s="92" t="s">
        <v>17238</v>
      </c>
      <c r="F697" s="92" t="s">
        <v>5241</v>
      </c>
      <c r="G697" s="92" t="s">
        <v>17239</v>
      </c>
      <c r="H697" s="345">
        <v>2007</v>
      </c>
      <c r="I697" s="380">
        <v>39155</v>
      </c>
      <c r="J697" s="92"/>
      <c r="K697" s="92"/>
      <c r="L697" s="92"/>
    </row>
    <row r="698" spans="1:12">
      <c r="A698" s="92"/>
      <c r="B698" s="345">
        <v>19219398</v>
      </c>
      <c r="C698" s="92" t="s">
        <v>17240</v>
      </c>
      <c r="D698" s="92" t="s">
        <v>17241</v>
      </c>
      <c r="E698" s="92" t="s">
        <v>17242</v>
      </c>
      <c r="F698" s="92" t="s">
        <v>5367</v>
      </c>
      <c r="G698" s="92" t="s">
        <v>17243</v>
      </c>
      <c r="H698" s="345">
        <v>2009</v>
      </c>
      <c r="I698" s="380">
        <v>39861</v>
      </c>
      <c r="J698" s="92"/>
      <c r="K698" s="92"/>
      <c r="L698" s="381" t="s">
        <v>17244</v>
      </c>
    </row>
    <row r="699" spans="1:12">
      <c r="A699" s="92"/>
      <c r="B699" s="345">
        <v>18663041</v>
      </c>
      <c r="C699" s="92" t="s">
        <v>17245</v>
      </c>
      <c r="D699" s="92" t="s">
        <v>17246</v>
      </c>
      <c r="E699" s="92" t="s">
        <v>17247</v>
      </c>
      <c r="F699" s="92" t="s">
        <v>5267</v>
      </c>
      <c r="G699" s="92" t="s">
        <v>17248</v>
      </c>
      <c r="H699" s="345">
        <v>2008</v>
      </c>
      <c r="I699" s="380">
        <v>39659</v>
      </c>
      <c r="J699" s="92"/>
      <c r="K699" s="92"/>
      <c r="L699" s="381" t="s">
        <v>17249</v>
      </c>
    </row>
    <row r="700" spans="1:12">
      <c r="A700" s="92"/>
      <c r="B700" s="345">
        <v>17893497</v>
      </c>
      <c r="C700" s="92" t="s">
        <v>17250</v>
      </c>
      <c r="D700" s="92" t="s">
        <v>17251</v>
      </c>
      <c r="E700" s="92" t="s">
        <v>17252</v>
      </c>
      <c r="F700" s="92" t="s">
        <v>5368</v>
      </c>
      <c r="G700" s="92" t="s">
        <v>10335</v>
      </c>
      <c r="H700" s="345">
        <v>2007</v>
      </c>
      <c r="I700" s="380">
        <v>39351</v>
      </c>
      <c r="J700" s="92"/>
      <c r="K700" s="92"/>
      <c r="L700" s="381" t="s">
        <v>17253</v>
      </c>
    </row>
    <row r="701" spans="1:12">
      <c r="A701" s="92"/>
      <c r="B701" s="345">
        <v>20951424</v>
      </c>
      <c r="C701" s="92" t="s">
        <v>17254</v>
      </c>
      <c r="D701" s="92" t="s">
        <v>17255</v>
      </c>
      <c r="E701" s="92" t="s">
        <v>17256</v>
      </c>
      <c r="F701" s="92" t="s">
        <v>5369</v>
      </c>
      <c r="G701" s="92" t="s">
        <v>9420</v>
      </c>
      <c r="H701" s="345">
        <v>2010</v>
      </c>
      <c r="I701" s="380">
        <v>40470</v>
      </c>
      <c r="J701" s="92"/>
      <c r="K701" s="92"/>
      <c r="L701" s="381" t="s">
        <v>17257</v>
      </c>
    </row>
    <row r="702" spans="1:12">
      <c r="A702" s="92"/>
      <c r="B702" s="345">
        <v>16119511</v>
      </c>
      <c r="C702" s="92" t="s">
        <v>17258</v>
      </c>
      <c r="D702" s="92" t="s">
        <v>17259</v>
      </c>
      <c r="E702" s="92" t="s">
        <v>17260</v>
      </c>
      <c r="F702" s="92" t="s">
        <v>5370</v>
      </c>
      <c r="G702" s="92" t="s">
        <v>17196</v>
      </c>
      <c r="H702" s="345">
        <v>2005</v>
      </c>
      <c r="I702" s="380">
        <v>38591</v>
      </c>
      <c r="J702" s="92"/>
      <c r="K702" s="92"/>
      <c r="L702" s="381" t="s">
        <v>17261</v>
      </c>
    </row>
    <row r="703" spans="1:12">
      <c r="A703" s="92"/>
      <c r="B703" s="345">
        <v>17055218</v>
      </c>
      <c r="C703" s="92" t="s">
        <v>17262</v>
      </c>
      <c r="D703" s="92" t="s">
        <v>17263</v>
      </c>
      <c r="E703" s="92" t="s">
        <v>17264</v>
      </c>
      <c r="F703" s="92" t="s">
        <v>4338</v>
      </c>
      <c r="G703" s="92" t="s">
        <v>16502</v>
      </c>
      <c r="H703" s="345">
        <v>2007</v>
      </c>
      <c r="I703" s="380">
        <v>39014</v>
      </c>
      <c r="J703" s="92" t="s">
        <v>5371</v>
      </c>
      <c r="K703" s="92" t="s">
        <v>17265</v>
      </c>
      <c r="L703" s="381" t="s">
        <v>17266</v>
      </c>
    </row>
    <row r="704" spans="1:12">
      <c r="A704" s="92"/>
      <c r="B704" s="345">
        <v>18199647</v>
      </c>
      <c r="C704" s="92" t="s">
        <v>17267</v>
      </c>
      <c r="D704" s="92" t="s">
        <v>17268</v>
      </c>
      <c r="E704" s="92" t="s">
        <v>17269</v>
      </c>
      <c r="F704" s="92" t="s">
        <v>5372</v>
      </c>
      <c r="G704" s="92" t="s">
        <v>9821</v>
      </c>
      <c r="H704" s="345">
        <v>2008</v>
      </c>
      <c r="I704" s="380">
        <v>39465</v>
      </c>
      <c r="J704" s="435" t="s">
        <v>5373</v>
      </c>
      <c r="K704" s="425"/>
      <c r="L704" s="381" t="s">
        <v>17270</v>
      </c>
    </row>
    <row r="705" spans="1:12">
      <c r="A705" s="92"/>
      <c r="B705" s="345">
        <v>17698669</v>
      </c>
      <c r="C705" s="92" t="s">
        <v>17271</v>
      </c>
      <c r="D705" s="92" t="s">
        <v>17272</v>
      </c>
      <c r="E705" s="92" t="s">
        <v>17273</v>
      </c>
      <c r="F705" s="92" t="s">
        <v>5374</v>
      </c>
      <c r="G705" s="92" t="s">
        <v>17116</v>
      </c>
      <c r="H705" s="345">
        <v>2007</v>
      </c>
      <c r="I705" s="380">
        <v>39313</v>
      </c>
      <c r="J705" s="92"/>
      <c r="K705" s="92"/>
      <c r="L705" s="381" t="s">
        <v>17274</v>
      </c>
    </row>
    <row r="706" spans="1:12">
      <c r="A706" s="92"/>
      <c r="B706" s="345">
        <v>19753470</v>
      </c>
      <c r="C706" s="92" t="s">
        <v>17275</v>
      </c>
      <c r="D706" s="92" t="s">
        <v>17276</v>
      </c>
      <c r="E706" s="92" t="s">
        <v>17277</v>
      </c>
      <c r="F706" s="92" t="s">
        <v>5375</v>
      </c>
      <c r="G706" s="92" t="s">
        <v>17278</v>
      </c>
      <c r="H706" s="345">
        <v>2009</v>
      </c>
      <c r="I706" s="380">
        <v>40072</v>
      </c>
      <c r="J706" s="92"/>
      <c r="K706" s="92"/>
      <c r="L706" s="381" t="s">
        <v>17279</v>
      </c>
    </row>
    <row r="707" spans="1:12">
      <c r="A707" s="92"/>
      <c r="B707" s="345">
        <v>15506661</v>
      </c>
      <c r="C707" s="92" t="s">
        <v>17280</v>
      </c>
      <c r="D707" s="92" t="s">
        <v>17281</v>
      </c>
      <c r="E707" s="92" t="s">
        <v>17282</v>
      </c>
      <c r="F707" s="92" t="s">
        <v>4711</v>
      </c>
      <c r="G707" s="92" t="s">
        <v>10594</v>
      </c>
      <c r="H707" s="345">
        <v>2004</v>
      </c>
      <c r="I707" s="380">
        <v>38288</v>
      </c>
      <c r="J707" s="92"/>
      <c r="K707" s="92"/>
      <c r="L707" s="381" t="s">
        <v>17283</v>
      </c>
    </row>
    <row r="708" spans="1:12">
      <c r="A708" s="92"/>
      <c r="B708" s="345">
        <v>19841607</v>
      </c>
      <c r="C708" s="92" t="s">
        <v>17284</v>
      </c>
      <c r="D708" s="92" t="s">
        <v>17285</v>
      </c>
      <c r="E708" s="92" t="s">
        <v>17286</v>
      </c>
      <c r="F708" s="92" t="s">
        <v>5376</v>
      </c>
      <c r="G708" s="92" t="s">
        <v>12638</v>
      </c>
      <c r="H708" s="345">
        <v>2010</v>
      </c>
      <c r="I708" s="380">
        <v>40107</v>
      </c>
      <c r="J708" s="92"/>
      <c r="K708" s="92"/>
      <c r="L708" s="381" t="s">
        <v>17287</v>
      </c>
    </row>
    <row r="709" spans="1:12">
      <c r="A709" s="92"/>
      <c r="B709" s="345">
        <v>17641671</v>
      </c>
      <c r="C709" s="92" t="s">
        <v>17288</v>
      </c>
      <c r="D709" s="92" t="s">
        <v>17289</v>
      </c>
      <c r="E709" s="92" t="s">
        <v>17290</v>
      </c>
      <c r="F709" s="92" t="s">
        <v>5377</v>
      </c>
      <c r="G709" s="92" t="s">
        <v>17150</v>
      </c>
      <c r="H709" s="345">
        <v>2007</v>
      </c>
      <c r="I709" s="380">
        <v>39284</v>
      </c>
      <c r="J709" s="435" t="s">
        <v>5378</v>
      </c>
      <c r="K709" s="425"/>
      <c r="L709" s="381" t="s">
        <v>17291</v>
      </c>
    </row>
    <row r="710" spans="1:12">
      <c r="A710" s="92"/>
      <c r="B710" s="345">
        <v>20376320</v>
      </c>
      <c r="C710" s="92" t="s">
        <v>17292</v>
      </c>
      <c r="D710" s="92" t="s">
        <v>17293</v>
      </c>
      <c r="E710" s="92" t="s">
        <v>17294</v>
      </c>
      <c r="F710" s="92" t="s">
        <v>5379</v>
      </c>
      <c r="G710" s="92" t="s">
        <v>10379</v>
      </c>
      <c r="H710" s="345">
        <v>2010</v>
      </c>
      <c r="I710" s="380">
        <v>40277</v>
      </c>
      <c r="J710" s="435" t="s">
        <v>5380</v>
      </c>
      <c r="K710" s="425"/>
      <c r="L710" s="381" t="s">
        <v>17295</v>
      </c>
    </row>
    <row r="711" spans="1:12">
      <c r="A711" s="92"/>
      <c r="B711" s="345">
        <v>20525715</v>
      </c>
      <c r="C711" s="92" t="s">
        <v>17296</v>
      </c>
      <c r="D711" s="92" t="s">
        <v>17297</v>
      </c>
      <c r="E711" s="92" t="s">
        <v>17298</v>
      </c>
      <c r="F711" s="92" t="s">
        <v>4333</v>
      </c>
      <c r="G711" s="92" t="s">
        <v>13136</v>
      </c>
      <c r="H711" s="345">
        <v>2010</v>
      </c>
      <c r="I711" s="380">
        <v>40337</v>
      </c>
      <c r="J711" s="92"/>
      <c r="K711" s="92"/>
      <c r="L711" s="381" t="s">
        <v>17299</v>
      </c>
    </row>
    <row r="712" spans="1:12">
      <c r="A712" s="92"/>
      <c r="B712" s="345">
        <v>15742410</v>
      </c>
      <c r="C712" s="92" t="s">
        <v>17300</v>
      </c>
      <c r="D712" s="92" t="s">
        <v>17301</v>
      </c>
      <c r="E712" s="92" t="s">
        <v>17302</v>
      </c>
      <c r="F712" s="92" t="s">
        <v>5381</v>
      </c>
      <c r="G712" s="92" t="s">
        <v>17303</v>
      </c>
      <c r="H712" s="345">
        <v>2005</v>
      </c>
      <c r="I712" s="380">
        <v>38414</v>
      </c>
      <c r="J712" s="435" t="s">
        <v>5382</v>
      </c>
      <c r="K712" s="425"/>
      <c r="L712" s="381" t="s">
        <v>17304</v>
      </c>
    </row>
    <row r="713" spans="1:12">
      <c r="A713" s="92"/>
      <c r="B713" s="345">
        <v>10823852</v>
      </c>
      <c r="C713" s="92" t="s">
        <v>15266</v>
      </c>
      <c r="D713" s="92" t="s">
        <v>15267</v>
      </c>
      <c r="E713" s="92" t="s">
        <v>15268</v>
      </c>
      <c r="F713" s="92" t="s">
        <v>4796</v>
      </c>
      <c r="G713" s="92" t="s">
        <v>9821</v>
      </c>
      <c r="H713" s="345">
        <v>2000</v>
      </c>
      <c r="I713" s="380">
        <v>36670</v>
      </c>
      <c r="J713" s="92" t="s">
        <v>4797</v>
      </c>
      <c r="K713" s="92"/>
      <c r="L713" s="381" t="s">
        <v>15269</v>
      </c>
    </row>
    <row r="714" spans="1:12">
      <c r="A714" s="92"/>
      <c r="B714" s="345">
        <v>19190224</v>
      </c>
      <c r="C714" s="92" t="s">
        <v>17305</v>
      </c>
      <c r="D714" s="92" t="s">
        <v>17306</v>
      </c>
      <c r="E714" s="92" t="s">
        <v>17307</v>
      </c>
      <c r="F714" s="92" t="s">
        <v>5383</v>
      </c>
      <c r="G714" s="92" t="s">
        <v>12950</v>
      </c>
      <c r="H714" s="345">
        <v>2009</v>
      </c>
      <c r="I714" s="380">
        <v>39849</v>
      </c>
      <c r="J714" s="92"/>
      <c r="K714" s="92"/>
      <c r="L714" s="92"/>
    </row>
    <row r="715" spans="1:12">
      <c r="A715" s="92"/>
      <c r="B715" s="345">
        <v>15663066</v>
      </c>
      <c r="C715" s="92" t="s">
        <v>17308</v>
      </c>
      <c r="D715" s="92" t="s">
        <v>17309</v>
      </c>
      <c r="E715" s="92" t="s">
        <v>17310</v>
      </c>
      <c r="F715" s="92" t="s">
        <v>5384</v>
      </c>
      <c r="G715" s="92" t="s">
        <v>17311</v>
      </c>
      <c r="H715" s="345">
        <v>2005</v>
      </c>
      <c r="I715" s="380">
        <v>38377</v>
      </c>
      <c r="J715" s="92"/>
      <c r="K715" s="92"/>
      <c r="L715" s="381" t="s">
        <v>17312</v>
      </c>
    </row>
    <row r="716" spans="1:12">
      <c r="A716" s="92"/>
      <c r="B716" s="345">
        <v>20823213</v>
      </c>
      <c r="C716" s="92" t="s">
        <v>17313</v>
      </c>
      <c r="D716" s="92" t="s">
        <v>17314</v>
      </c>
      <c r="E716" s="92" t="s">
        <v>17315</v>
      </c>
      <c r="F716" s="92" t="s">
        <v>5385</v>
      </c>
      <c r="G716" s="92" t="s">
        <v>11700</v>
      </c>
      <c r="H716" s="345">
        <v>2010</v>
      </c>
      <c r="I716" s="380">
        <v>40430</v>
      </c>
      <c r="J716" s="435" t="s">
        <v>5386</v>
      </c>
      <c r="K716" s="425"/>
      <c r="L716" s="381" t="s">
        <v>17316</v>
      </c>
    </row>
    <row r="717" spans="1:12">
      <c r="A717" s="92"/>
      <c r="B717" s="345">
        <v>11692298</v>
      </c>
      <c r="C717" s="92" t="s">
        <v>17317</v>
      </c>
      <c r="D717" s="92" t="s">
        <v>17318</v>
      </c>
      <c r="E717" s="92" t="s">
        <v>17319</v>
      </c>
      <c r="F717" s="92" t="s">
        <v>2371</v>
      </c>
      <c r="G717" s="92" t="s">
        <v>9152</v>
      </c>
      <c r="H717" s="345">
        <v>2001</v>
      </c>
      <c r="I717" s="380">
        <v>37198</v>
      </c>
      <c r="J717" s="92"/>
      <c r="K717" s="92"/>
      <c r="L717" s="381" t="s">
        <v>17320</v>
      </c>
    </row>
    <row r="718" spans="1:12">
      <c r="A718" s="92"/>
      <c r="B718" s="345">
        <v>19488785</v>
      </c>
      <c r="C718" s="92" t="s">
        <v>17321</v>
      </c>
      <c r="D718" s="92" t="s">
        <v>17322</v>
      </c>
      <c r="E718" s="92" t="s">
        <v>17323</v>
      </c>
      <c r="F718" s="92" t="s">
        <v>5387</v>
      </c>
      <c r="G718" s="92" t="s">
        <v>16582</v>
      </c>
      <c r="H718" s="345">
        <v>2009</v>
      </c>
      <c r="I718" s="380">
        <v>39967</v>
      </c>
      <c r="J718" s="92"/>
      <c r="K718" s="92"/>
      <c r="L718" s="381" t="s">
        <v>17324</v>
      </c>
    </row>
    <row r="719" spans="1:12">
      <c r="A719" s="92"/>
      <c r="B719" s="345">
        <v>19797063</v>
      </c>
      <c r="C719" s="92" t="s">
        <v>17325</v>
      </c>
      <c r="D719" s="92" t="s">
        <v>17326</v>
      </c>
      <c r="E719" s="92" t="s">
        <v>17327</v>
      </c>
      <c r="F719" s="92" t="s">
        <v>5388</v>
      </c>
      <c r="G719" s="92" t="s">
        <v>11700</v>
      </c>
      <c r="H719" s="345">
        <v>2009</v>
      </c>
      <c r="I719" s="380">
        <v>40089</v>
      </c>
      <c r="J719" s="435" t="s">
        <v>5389</v>
      </c>
      <c r="K719" s="425"/>
      <c r="L719" s="381" t="s">
        <v>17328</v>
      </c>
    </row>
    <row r="720" spans="1:12">
      <c r="A720" s="92"/>
      <c r="B720" s="345">
        <v>11130213</v>
      </c>
      <c r="C720" s="92" t="s">
        <v>15293</v>
      </c>
      <c r="D720" s="92" t="s">
        <v>15294</v>
      </c>
      <c r="E720" s="92" t="s">
        <v>15295</v>
      </c>
      <c r="F720" s="92" t="s">
        <v>4371</v>
      </c>
      <c r="G720" s="92" t="s">
        <v>8670</v>
      </c>
      <c r="H720" s="345">
        <v>2000</v>
      </c>
      <c r="I720" s="380">
        <v>36889</v>
      </c>
      <c r="J720" s="92"/>
      <c r="K720" s="92"/>
      <c r="L720" s="381" t="s">
        <v>15296</v>
      </c>
    </row>
    <row r="721" spans="1:12">
      <c r="A721" s="92"/>
      <c r="B721" s="345">
        <v>14648065</v>
      </c>
      <c r="C721" s="92" t="s">
        <v>17329</v>
      </c>
      <c r="D721" s="92" t="s">
        <v>17330</v>
      </c>
      <c r="E721" s="92" t="s">
        <v>17331</v>
      </c>
      <c r="F721" s="92" t="s">
        <v>5390</v>
      </c>
      <c r="G721" s="92" t="s">
        <v>17332</v>
      </c>
      <c r="H721" s="345">
        <v>2003</v>
      </c>
      <c r="I721" s="380">
        <v>37958</v>
      </c>
      <c r="J721" s="92"/>
      <c r="K721" s="92"/>
      <c r="L721" s="381" t="s">
        <v>17333</v>
      </c>
    </row>
    <row r="722" spans="1:12">
      <c r="A722" s="92"/>
      <c r="B722" s="345">
        <v>10608746</v>
      </c>
      <c r="C722" s="92" t="s">
        <v>15301</v>
      </c>
      <c r="D722" s="92" t="s">
        <v>15302</v>
      </c>
      <c r="E722" s="92" t="s">
        <v>15303</v>
      </c>
      <c r="F722" s="92" t="s">
        <v>2213</v>
      </c>
      <c r="G722" s="92" t="s">
        <v>9497</v>
      </c>
      <c r="H722" s="345">
        <v>2000</v>
      </c>
      <c r="I722" s="380">
        <v>36517</v>
      </c>
      <c r="J722" s="92"/>
      <c r="K722" s="92"/>
      <c r="L722" s="381" t="s">
        <v>15304</v>
      </c>
    </row>
    <row r="723" spans="1:12">
      <c r="A723" s="92"/>
      <c r="B723" s="345">
        <v>16459029</v>
      </c>
      <c r="C723" s="92" t="s">
        <v>17334</v>
      </c>
      <c r="D723" s="92" t="s">
        <v>17335</v>
      </c>
      <c r="E723" s="92" t="s">
        <v>17336</v>
      </c>
      <c r="F723" s="92" t="s">
        <v>5391</v>
      </c>
      <c r="G723" s="92" t="s">
        <v>15416</v>
      </c>
      <c r="H723" s="345">
        <v>2006</v>
      </c>
      <c r="I723" s="380">
        <v>38755</v>
      </c>
      <c r="J723" s="92"/>
      <c r="K723" s="92"/>
      <c r="L723" s="381" t="s">
        <v>17337</v>
      </c>
    </row>
    <row r="724" spans="1:12">
      <c r="A724" s="92"/>
      <c r="B724" s="345">
        <v>10781777</v>
      </c>
      <c r="C724" s="92" t="s">
        <v>15280</v>
      </c>
      <c r="D724" s="92" t="s">
        <v>15281</v>
      </c>
      <c r="E724" s="92" t="s">
        <v>15282</v>
      </c>
      <c r="F724" s="92" t="s">
        <v>4255</v>
      </c>
      <c r="G724" s="92" t="s">
        <v>9241</v>
      </c>
      <c r="H724" s="345">
        <v>2000</v>
      </c>
      <c r="I724" s="380">
        <v>36643</v>
      </c>
      <c r="J724" s="92"/>
      <c r="K724" s="92"/>
      <c r="L724" s="381" t="s">
        <v>15283</v>
      </c>
    </row>
    <row r="725" spans="1:12">
      <c r="A725" s="92"/>
      <c r="B725" s="345">
        <v>19395735</v>
      </c>
      <c r="C725" s="92" t="s">
        <v>17338</v>
      </c>
      <c r="D725" s="92" t="s">
        <v>17339</v>
      </c>
      <c r="E725" s="92" t="s">
        <v>17340</v>
      </c>
      <c r="F725" s="92" t="s">
        <v>5392</v>
      </c>
      <c r="G725" s="92" t="s">
        <v>14930</v>
      </c>
      <c r="H725" s="345">
        <v>2009</v>
      </c>
      <c r="I725" s="380">
        <v>39931</v>
      </c>
      <c r="J725" s="92"/>
      <c r="K725" s="92"/>
      <c r="L725" s="381" t="s">
        <v>17341</v>
      </c>
    </row>
    <row r="726" spans="1:12">
      <c r="A726" s="92"/>
      <c r="B726" s="345">
        <v>19235917</v>
      </c>
      <c r="C726" s="92" t="s">
        <v>17342</v>
      </c>
      <c r="D726" s="92" t="s">
        <v>17343</v>
      </c>
      <c r="E726" s="92" t="s">
        <v>17344</v>
      </c>
      <c r="F726" s="92" t="s">
        <v>5393</v>
      </c>
      <c r="G726" s="92" t="s">
        <v>17345</v>
      </c>
      <c r="H726" s="345">
        <v>2009</v>
      </c>
      <c r="I726" s="380">
        <v>39869</v>
      </c>
      <c r="J726" s="92" t="s">
        <v>5394</v>
      </c>
      <c r="K726" s="92" t="s">
        <v>17346</v>
      </c>
      <c r="L726" s="381" t="s">
        <v>17347</v>
      </c>
    </row>
    <row r="727" spans="1:12">
      <c r="A727" s="92"/>
      <c r="B727" s="345">
        <v>12966125</v>
      </c>
      <c r="C727" s="92" t="s">
        <v>17348</v>
      </c>
      <c r="D727" s="92" t="s">
        <v>17349</v>
      </c>
      <c r="E727" s="92" t="s">
        <v>17350</v>
      </c>
      <c r="F727" s="92" t="s">
        <v>5395</v>
      </c>
      <c r="G727" s="92" t="s">
        <v>8580</v>
      </c>
      <c r="H727" s="345">
        <v>2003</v>
      </c>
      <c r="I727" s="380">
        <v>37875</v>
      </c>
      <c r="J727" s="92"/>
      <c r="K727" s="92"/>
      <c r="L727" s="381" t="s">
        <v>17351</v>
      </c>
    </row>
    <row r="728" spans="1:12">
      <c r="A728" s="92"/>
      <c r="B728" s="345">
        <v>18577209</v>
      </c>
      <c r="C728" s="92" t="s">
        <v>17352</v>
      </c>
      <c r="D728" s="92" t="s">
        <v>17353</v>
      </c>
      <c r="E728" s="92" t="s">
        <v>17354</v>
      </c>
      <c r="F728" s="92" t="s">
        <v>5396</v>
      </c>
      <c r="G728" s="92" t="s">
        <v>11166</v>
      </c>
      <c r="H728" s="345">
        <v>2008</v>
      </c>
      <c r="I728" s="380">
        <v>39625</v>
      </c>
      <c r="J728" s="435" t="s">
        <v>5397</v>
      </c>
      <c r="K728" s="425"/>
      <c r="L728" s="381" t="s">
        <v>17355</v>
      </c>
    </row>
    <row r="729" spans="1:12">
      <c r="A729" s="92"/>
      <c r="B729" s="345">
        <v>15166422</v>
      </c>
      <c r="C729" s="92" t="s">
        <v>17356</v>
      </c>
      <c r="D729" s="92" t="s">
        <v>17357</v>
      </c>
      <c r="E729" s="92" t="s">
        <v>17358</v>
      </c>
      <c r="F729" s="92" t="s">
        <v>5398</v>
      </c>
      <c r="G729" s="92" t="s">
        <v>17116</v>
      </c>
      <c r="H729" s="345">
        <v>2004</v>
      </c>
      <c r="I729" s="380">
        <v>38136</v>
      </c>
      <c r="J729" s="92"/>
      <c r="K729" s="92"/>
      <c r="L729" s="381" t="s">
        <v>17359</v>
      </c>
    </row>
    <row r="730" spans="1:12">
      <c r="A730" s="92"/>
      <c r="B730" s="345">
        <v>14971250</v>
      </c>
      <c r="C730" s="92" t="s">
        <v>17360</v>
      </c>
      <c r="D730" s="92" t="s">
        <v>17361</v>
      </c>
      <c r="E730" s="92" t="s">
        <v>17362</v>
      </c>
      <c r="F730" s="92" t="s">
        <v>5399</v>
      </c>
      <c r="G730" s="92" t="s">
        <v>17363</v>
      </c>
      <c r="H730" s="345">
        <v>2003</v>
      </c>
      <c r="I730" s="380">
        <v>38037</v>
      </c>
      <c r="J730" s="92"/>
      <c r="K730" s="92"/>
      <c r="L730" s="381" t="s">
        <v>17364</v>
      </c>
    </row>
    <row r="731" spans="1:12">
      <c r="A731" s="92"/>
      <c r="B731" s="345">
        <v>17376565</v>
      </c>
      <c r="C731" s="92" t="s">
        <v>17365</v>
      </c>
      <c r="D731" s="92" t="s">
        <v>17366</v>
      </c>
      <c r="E731" s="92" t="s">
        <v>17367</v>
      </c>
      <c r="F731" s="92" t="s">
        <v>5400</v>
      </c>
      <c r="G731" s="92" t="s">
        <v>9403</v>
      </c>
      <c r="H731" s="345">
        <v>2007</v>
      </c>
      <c r="I731" s="380">
        <v>39164</v>
      </c>
      <c r="J731" s="92"/>
      <c r="K731" s="92"/>
      <c r="L731" s="381" t="s">
        <v>17368</v>
      </c>
    </row>
    <row r="732" spans="1:12">
      <c r="A732" s="92"/>
      <c r="B732" s="345">
        <v>18840492</v>
      </c>
      <c r="C732" s="92" t="s">
        <v>17369</v>
      </c>
      <c r="D732" s="92" t="s">
        <v>17370</v>
      </c>
      <c r="E732" s="92" t="s">
        <v>17371</v>
      </c>
      <c r="F732" s="92" t="s">
        <v>5401</v>
      </c>
      <c r="G732" s="92" t="s">
        <v>17372</v>
      </c>
      <c r="H732" s="345">
        <v>2008</v>
      </c>
      <c r="I732" s="380">
        <v>39730</v>
      </c>
      <c r="J732" s="92"/>
      <c r="K732" s="92"/>
      <c r="L732" s="381" t="s">
        <v>17373</v>
      </c>
    </row>
    <row r="733" spans="1:12">
      <c r="A733" s="92"/>
      <c r="B733" s="345">
        <v>17513796</v>
      </c>
      <c r="C733" s="92" t="s">
        <v>17374</v>
      </c>
      <c r="D733" s="92" t="s">
        <v>17375</v>
      </c>
      <c r="E733" s="92" t="s">
        <v>17376</v>
      </c>
      <c r="F733" s="92" t="s">
        <v>5402</v>
      </c>
      <c r="G733" s="92" t="s">
        <v>15646</v>
      </c>
      <c r="H733" s="345">
        <v>2007</v>
      </c>
      <c r="I733" s="380">
        <v>39224</v>
      </c>
      <c r="J733" s="92"/>
      <c r="K733" s="92"/>
      <c r="L733" s="381" t="s">
        <v>17377</v>
      </c>
    </row>
    <row r="734" spans="1:12">
      <c r="A734" s="92"/>
      <c r="B734" s="345">
        <v>16255669</v>
      </c>
      <c r="C734" s="92" t="s">
        <v>17378</v>
      </c>
      <c r="D734" s="92" t="s">
        <v>17379</v>
      </c>
      <c r="E734" s="92" t="s">
        <v>17380</v>
      </c>
      <c r="F734" s="92" t="s">
        <v>5403</v>
      </c>
      <c r="G734" s="92" t="s">
        <v>9976</v>
      </c>
      <c r="H734" s="345">
        <v>2005</v>
      </c>
      <c r="I734" s="380">
        <v>38657</v>
      </c>
      <c r="J734" s="92"/>
      <c r="K734" s="92"/>
      <c r="L734" s="381" t="s">
        <v>17381</v>
      </c>
    </row>
    <row r="735" spans="1:12">
      <c r="A735" s="92"/>
      <c r="B735" s="345">
        <v>17575228</v>
      </c>
      <c r="C735" s="92" t="s">
        <v>17382</v>
      </c>
      <c r="D735" s="92" t="s">
        <v>17383</v>
      </c>
      <c r="E735" s="92" t="s">
        <v>17384</v>
      </c>
      <c r="F735" s="92" t="s">
        <v>5404</v>
      </c>
      <c r="G735" s="92" t="s">
        <v>16905</v>
      </c>
      <c r="H735" s="345">
        <v>2007</v>
      </c>
      <c r="I735" s="380">
        <v>39252</v>
      </c>
      <c r="J735" s="92"/>
      <c r="K735" s="92"/>
      <c r="L735" s="381" t="s">
        <v>17385</v>
      </c>
    </row>
    <row r="736" spans="1:12">
      <c r="A736" s="92"/>
      <c r="B736" s="345">
        <v>20347874</v>
      </c>
      <c r="C736" s="92" t="s">
        <v>17386</v>
      </c>
      <c r="D736" s="92" t="s">
        <v>17387</v>
      </c>
      <c r="E736" s="92" t="s">
        <v>17388</v>
      </c>
      <c r="F736" s="92" t="s">
        <v>5405</v>
      </c>
      <c r="G736" s="92" t="s">
        <v>17389</v>
      </c>
      <c r="H736" s="345">
        <v>2010</v>
      </c>
      <c r="I736" s="380">
        <v>40267</v>
      </c>
      <c r="J736" s="92"/>
      <c r="K736" s="92"/>
      <c r="L736" s="381" t="s">
        <v>17390</v>
      </c>
    </row>
    <row r="737" spans="1:12">
      <c r="A737" s="92"/>
      <c r="B737" s="345">
        <v>19349870</v>
      </c>
      <c r="C737" s="92" t="s">
        <v>17391</v>
      </c>
      <c r="D737" s="92" t="s">
        <v>17392</v>
      </c>
      <c r="E737" s="92" t="s">
        <v>17393</v>
      </c>
      <c r="F737" s="92" t="s">
        <v>5406</v>
      </c>
      <c r="G737" s="92" t="s">
        <v>12401</v>
      </c>
      <c r="H737" s="345">
        <v>2009</v>
      </c>
      <c r="I737" s="380">
        <v>39911</v>
      </c>
      <c r="J737" s="92"/>
      <c r="K737" s="92"/>
      <c r="L737" s="381" t="s">
        <v>17394</v>
      </c>
    </row>
    <row r="738" spans="1:12">
      <c r="A738" s="92"/>
      <c r="B738" s="345">
        <v>15623588</v>
      </c>
      <c r="C738" s="92" t="s">
        <v>17395</v>
      </c>
      <c r="D738" s="92" t="s">
        <v>17396</v>
      </c>
      <c r="E738" s="92" t="s">
        <v>17397</v>
      </c>
      <c r="F738" s="92" t="s">
        <v>5407</v>
      </c>
      <c r="G738" s="92" t="s">
        <v>16905</v>
      </c>
      <c r="H738" s="345">
        <v>2004</v>
      </c>
      <c r="I738" s="380">
        <v>38351</v>
      </c>
      <c r="J738" s="92"/>
      <c r="K738" s="92"/>
      <c r="L738" s="381" t="s">
        <v>17398</v>
      </c>
    </row>
    <row r="739" spans="1:12">
      <c r="A739" s="92"/>
      <c r="B739" s="345">
        <v>16580730</v>
      </c>
      <c r="C739" s="92" t="s">
        <v>17399</v>
      </c>
      <c r="D739" s="92" t="s">
        <v>17400</v>
      </c>
      <c r="E739" s="92" t="s">
        <v>17401</v>
      </c>
      <c r="F739" s="92" t="s">
        <v>5408</v>
      </c>
      <c r="G739" s="92" t="s">
        <v>9028</v>
      </c>
      <c r="H739" s="345">
        <v>2007</v>
      </c>
      <c r="I739" s="380">
        <v>38811</v>
      </c>
      <c r="J739" s="92"/>
      <c r="K739" s="92"/>
      <c r="L739" s="381" t="s">
        <v>17402</v>
      </c>
    </row>
    <row r="740" spans="1:12">
      <c r="A740" s="92"/>
      <c r="B740" s="345">
        <v>11715169</v>
      </c>
      <c r="C740" s="92" t="s">
        <v>17403</v>
      </c>
      <c r="D740" s="92" t="s">
        <v>17404</v>
      </c>
      <c r="E740" s="92" t="s">
        <v>17405</v>
      </c>
      <c r="F740" s="92" t="s">
        <v>5409</v>
      </c>
      <c r="G740" s="92" t="s">
        <v>17406</v>
      </c>
      <c r="H740" s="345">
        <v>2001</v>
      </c>
      <c r="I740" s="380">
        <v>37217</v>
      </c>
      <c r="J740" s="92"/>
      <c r="K740" s="92"/>
      <c r="L740" s="381" t="s">
        <v>17407</v>
      </c>
    </row>
    <row r="741" spans="1:12">
      <c r="A741" s="92"/>
      <c r="B741" s="345">
        <v>19057821</v>
      </c>
      <c r="C741" s="92" t="s">
        <v>17408</v>
      </c>
      <c r="D741" s="92" t="s">
        <v>17409</v>
      </c>
      <c r="E741" s="92" t="s">
        <v>17410</v>
      </c>
      <c r="F741" s="92" t="s">
        <v>5410</v>
      </c>
      <c r="G741" s="92" t="s">
        <v>17278</v>
      </c>
      <c r="H741" s="345">
        <v>2008</v>
      </c>
      <c r="I741" s="380">
        <v>39788</v>
      </c>
      <c r="J741" s="92"/>
      <c r="K741" s="92"/>
      <c r="L741" s="381" t="s">
        <v>17411</v>
      </c>
    </row>
    <row r="742" spans="1:12">
      <c r="A742" s="92"/>
      <c r="B742" s="345">
        <v>18498299</v>
      </c>
      <c r="C742" s="92" t="s">
        <v>17412</v>
      </c>
      <c r="D742" s="92" t="s">
        <v>17413</v>
      </c>
      <c r="E742" s="92" t="s">
        <v>17414</v>
      </c>
      <c r="F742" s="92" t="s">
        <v>5411</v>
      </c>
      <c r="G742" s="92" t="s">
        <v>17415</v>
      </c>
      <c r="H742" s="345">
        <v>2009</v>
      </c>
      <c r="I742" s="380">
        <v>39592</v>
      </c>
      <c r="J742" s="92"/>
      <c r="K742" s="92"/>
      <c r="L742" s="381" t="s">
        <v>17416</v>
      </c>
    </row>
    <row r="743" spans="1:12">
      <c r="A743" s="92"/>
      <c r="B743" s="345">
        <v>15088780</v>
      </c>
      <c r="C743" s="92" t="s">
        <v>17417</v>
      </c>
      <c r="D743" s="92" t="s">
        <v>17418</v>
      </c>
      <c r="E743" s="92" t="s">
        <v>17419</v>
      </c>
      <c r="F743" s="92" t="s">
        <v>4396</v>
      </c>
      <c r="G743" s="92" t="s">
        <v>17420</v>
      </c>
      <c r="H743" s="345">
        <v>2003</v>
      </c>
      <c r="I743" s="380">
        <v>38097</v>
      </c>
      <c r="J743" s="92"/>
      <c r="K743" s="92"/>
      <c r="L743" s="92"/>
    </row>
    <row r="744" spans="1:12">
      <c r="A744" s="92"/>
      <c r="B744" s="345">
        <v>15501766</v>
      </c>
      <c r="C744" s="92" t="s">
        <v>17421</v>
      </c>
      <c r="D744" s="92" t="s">
        <v>17422</v>
      </c>
      <c r="E744" s="92" t="s">
        <v>17423</v>
      </c>
      <c r="F744" s="92" t="s">
        <v>5412</v>
      </c>
      <c r="G744" s="92" t="s">
        <v>11700</v>
      </c>
      <c r="H744" s="345">
        <v>2004</v>
      </c>
      <c r="I744" s="380">
        <v>38287</v>
      </c>
      <c r="J744" s="92" t="s">
        <v>5413</v>
      </c>
      <c r="K744" s="92"/>
      <c r="L744" s="381" t="s">
        <v>17424</v>
      </c>
    </row>
    <row r="745" spans="1:12">
      <c r="A745" s="92"/>
      <c r="B745" s="345">
        <v>11673584</v>
      </c>
      <c r="C745" s="92" t="s">
        <v>17425</v>
      </c>
      <c r="D745" s="92" t="s">
        <v>17426</v>
      </c>
      <c r="E745" s="92" t="s">
        <v>17427</v>
      </c>
      <c r="F745" s="92" t="s">
        <v>5414</v>
      </c>
      <c r="G745" s="92" t="s">
        <v>8529</v>
      </c>
      <c r="H745" s="345">
        <v>2001</v>
      </c>
      <c r="I745" s="380">
        <v>37188</v>
      </c>
      <c r="J745" s="92"/>
      <c r="K745" s="92"/>
      <c r="L745" s="381" t="s">
        <v>17428</v>
      </c>
    </row>
    <row r="746" spans="1:12">
      <c r="A746" s="92"/>
      <c r="B746" s="345">
        <v>18376302</v>
      </c>
      <c r="C746" s="92" t="s">
        <v>17429</v>
      </c>
      <c r="D746" s="92" t="s">
        <v>17430</v>
      </c>
      <c r="E746" s="92" t="s">
        <v>17431</v>
      </c>
      <c r="F746" s="92" t="s">
        <v>5416</v>
      </c>
      <c r="G746" s="92" t="s">
        <v>17432</v>
      </c>
      <c r="H746" s="345">
        <v>2008</v>
      </c>
      <c r="I746" s="380">
        <v>39539</v>
      </c>
      <c r="J746" s="92"/>
      <c r="K746" s="92"/>
      <c r="L746" s="381" t="s">
        <v>17433</v>
      </c>
    </row>
    <row r="747" spans="1:12">
      <c r="A747" s="92"/>
      <c r="B747" s="345">
        <v>14551489</v>
      </c>
      <c r="C747" s="92" t="s">
        <v>17434</v>
      </c>
      <c r="D747" s="92" t="s">
        <v>17435</v>
      </c>
      <c r="E747" s="92" t="s">
        <v>17436</v>
      </c>
      <c r="F747" s="92" t="s">
        <v>5417</v>
      </c>
      <c r="G747" s="92" t="s">
        <v>12638</v>
      </c>
      <c r="H747" s="345">
        <v>2003</v>
      </c>
      <c r="I747" s="380">
        <v>37905</v>
      </c>
      <c r="J747" s="92"/>
      <c r="K747" s="92"/>
      <c r="L747" s="381" t="s">
        <v>17437</v>
      </c>
    </row>
    <row r="748" spans="1:12">
      <c r="A748" s="92"/>
      <c r="B748" s="345">
        <v>11305513</v>
      </c>
      <c r="C748" s="92" t="s">
        <v>17438</v>
      </c>
      <c r="D748" s="92" t="s">
        <v>17439</v>
      </c>
      <c r="E748" s="92" t="s">
        <v>17440</v>
      </c>
      <c r="F748" s="92" t="s">
        <v>5418</v>
      </c>
      <c r="G748" s="92" t="s">
        <v>15954</v>
      </c>
      <c r="H748" s="345">
        <v>2001</v>
      </c>
      <c r="I748" s="380">
        <v>36999</v>
      </c>
      <c r="J748" s="92"/>
      <c r="K748" s="92"/>
      <c r="L748" s="381" t="s">
        <v>17441</v>
      </c>
    </row>
    <row r="749" spans="1:12">
      <c r="A749" s="92"/>
      <c r="B749" s="345">
        <v>10727839</v>
      </c>
      <c r="C749" s="92" t="s">
        <v>15413</v>
      </c>
      <c r="D749" s="92" t="s">
        <v>15414</v>
      </c>
      <c r="E749" s="92" t="s">
        <v>15415</v>
      </c>
      <c r="F749" s="92" t="s">
        <v>4829</v>
      </c>
      <c r="G749" s="92" t="s">
        <v>15416</v>
      </c>
      <c r="H749" s="345">
        <v>2000</v>
      </c>
      <c r="I749" s="380">
        <v>36608</v>
      </c>
      <c r="J749" s="92"/>
      <c r="K749" s="92"/>
      <c r="L749" s="381" t="s">
        <v>15417</v>
      </c>
    </row>
    <row r="750" spans="1:12">
      <c r="A750" s="92"/>
      <c r="B750" s="345">
        <v>16899099</v>
      </c>
      <c r="C750" s="92" t="s">
        <v>17442</v>
      </c>
      <c r="D750" s="92" t="s">
        <v>17443</v>
      </c>
      <c r="E750" s="92" t="s">
        <v>17444</v>
      </c>
      <c r="F750" s="92" t="s">
        <v>5419</v>
      </c>
      <c r="G750" s="92" t="s">
        <v>16605</v>
      </c>
      <c r="H750" s="345">
        <v>2006</v>
      </c>
      <c r="I750" s="380">
        <v>38940</v>
      </c>
      <c r="J750" s="92"/>
      <c r="K750" s="92"/>
      <c r="L750" s="381" t="s">
        <v>17445</v>
      </c>
    </row>
    <row r="751" spans="1:12">
      <c r="A751" s="92"/>
      <c r="B751" s="345">
        <v>19563295</v>
      </c>
      <c r="C751" s="92" t="s">
        <v>17446</v>
      </c>
      <c r="D751" s="92" t="s">
        <v>17447</v>
      </c>
      <c r="E751" s="92" t="s">
        <v>17448</v>
      </c>
      <c r="F751" s="92" t="s">
        <v>4304</v>
      </c>
      <c r="G751" s="92" t="s">
        <v>13969</v>
      </c>
      <c r="H751" s="345">
        <v>2009</v>
      </c>
      <c r="I751" s="380">
        <v>39995</v>
      </c>
      <c r="J751" s="92"/>
      <c r="K751" s="92"/>
      <c r="L751" s="381" t="s">
        <v>17449</v>
      </c>
    </row>
    <row r="752" spans="1:12">
      <c r="A752" s="92"/>
      <c r="B752" s="345">
        <v>16732720</v>
      </c>
      <c r="C752" s="92" t="s">
        <v>17450</v>
      </c>
      <c r="D752" s="92" t="s">
        <v>17451</v>
      </c>
      <c r="E752" s="92" t="s">
        <v>17452</v>
      </c>
      <c r="F752" s="92" t="s">
        <v>5420</v>
      </c>
      <c r="G752" s="92" t="s">
        <v>8734</v>
      </c>
      <c r="H752" s="345">
        <v>2006</v>
      </c>
      <c r="I752" s="380">
        <v>38868</v>
      </c>
      <c r="J752" s="92"/>
      <c r="K752" s="92"/>
      <c r="L752" s="381" t="s">
        <v>17453</v>
      </c>
    </row>
    <row r="753" spans="1:12">
      <c r="A753" s="92"/>
      <c r="B753" s="345">
        <v>17091240</v>
      </c>
      <c r="C753" s="92" t="s">
        <v>17454</v>
      </c>
      <c r="D753" s="92" t="s">
        <v>17455</v>
      </c>
      <c r="E753" s="92" t="s">
        <v>17456</v>
      </c>
      <c r="F753" s="92" t="s">
        <v>5421</v>
      </c>
      <c r="G753" s="92" t="s">
        <v>8617</v>
      </c>
      <c r="H753" s="345">
        <v>2007</v>
      </c>
      <c r="I753" s="380">
        <v>39030</v>
      </c>
      <c r="J753" s="92"/>
      <c r="K753" s="92"/>
      <c r="L753" s="381" t="s">
        <v>17457</v>
      </c>
    </row>
    <row r="754" spans="1:12">
      <c r="A754" s="92"/>
      <c r="B754" s="345">
        <v>18701826</v>
      </c>
      <c r="C754" s="92" t="s">
        <v>17458</v>
      </c>
      <c r="D754" s="92" t="s">
        <v>17459</v>
      </c>
      <c r="E754" s="92" t="s">
        <v>17460</v>
      </c>
      <c r="F754" s="92" t="s">
        <v>5422</v>
      </c>
      <c r="G754" s="92" t="s">
        <v>16350</v>
      </c>
      <c r="H754" s="345">
        <v>2008</v>
      </c>
      <c r="I754" s="380">
        <v>39675</v>
      </c>
      <c r="J754" s="92"/>
      <c r="K754" s="92"/>
      <c r="L754" s="381" t="s">
        <v>17461</v>
      </c>
    </row>
    <row r="755" spans="1:12">
      <c r="A755" s="92"/>
      <c r="B755" s="345">
        <v>18467696</v>
      </c>
      <c r="C755" s="92" t="s">
        <v>17462</v>
      </c>
      <c r="D755" s="92" t="s">
        <v>17463</v>
      </c>
      <c r="E755" s="92" t="s">
        <v>17464</v>
      </c>
      <c r="F755" s="92" t="s">
        <v>5423</v>
      </c>
      <c r="G755" s="92" t="s">
        <v>14689</v>
      </c>
      <c r="H755" s="345">
        <v>2008</v>
      </c>
      <c r="I755" s="380">
        <v>39578</v>
      </c>
      <c r="J755" s="435" t="s">
        <v>5424</v>
      </c>
      <c r="K755" s="425"/>
      <c r="L755" s="381" t="s">
        <v>17465</v>
      </c>
    </row>
    <row r="756" spans="1:12">
      <c r="A756" s="92"/>
      <c r="B756" s="345">
        <v>12186830</v>
      </c>
      <c r="C756" s="92" t="s">
        <v>17466</v>
      </c>
      <c r="D756" s="92" t="s">
        <v>17467</v>
      </c>
      <c r="E756" s="92" t="s">
        <v>17468</v>
      </c>
      <c r="F756" s="92" t="s">
        <v>5425</v>
      </c>
      <c r="G756" s="92" t="s">
        <v>8524</v>
      </c>
      <c r="H756" s="345">
        <v>2002</v>
      </c>
      <c r="I756" s="380">
        <v>37489</v>
      </c>
      <c r="J756" s="92"/>
      <c r="K756" s="92"/>
      <c r="L756" s="381" t="s">
        <v>17469</v>
      </c>
    </row>
    <row r="757" spans="1:12">
      <c r="A757" s="92"/>
      <c r="B757" s="345">
        <v>11039151</v>
      </c>
      <c r="C757" s="92" t="s">
        <v>15435</v>
      </c>
      <c r="D757" s="92" t="s">
        <v>15436</v>
      </c>
      <c r="E757" s="92" t="s">
        <v>15437</v>
      </c>
      <c r="F757" s="92" t="s">
        <v>4833</v>
      </c>
      <c r="G757" s="92" t="s">
        <v>15438</v>
      </c>
      <c r="H757" s="345">
        <v>2000</v>
      </c>
      <c r="I757" s="380">
        <v>36819</v>
      </c>
      <c r="J757" s="92"/>
      <c r="K757" s="92"/>
      <c r="L757" s="92"/>
    </row>
    <row r="758" spans="1:12">
      <c r="A758" s="92"/>
      <c r="B758" s="345">
        <v>12888650</v>
      </c>
      <c r="C758" s="92" t="s">
        <v>17470</v>
      </c>
      <c r="D758" s="92" t="s">
        <v>17471</v>
      </c>
      <c r="E758" s="92" t="s">
        <v>17472</v>
      </c>
      <c r="F758" s="92" t="s">
        <v>5426</v>
      </c>
      <c r="G758" s="92" t="s">
        <v>8968</v>
      </c>
      <c r="H758" s="345">
        <v>2003</v>
      </c>
      <c r="I758" s="380">
        <v>37833</v>
      </c>
      <c r="J758" s="92"/>
      <c r="K758" s="92"/>
      <c r="L758" s="381" t="s">
        <v>17473</v>
      </c>
    </row>
    <row r="759" spans="1:12">
      <c r="A759" s="92"/>
      <c r="B759" s="345">
        <v>17637332</v>
      </c>
      <c r="C759" s="92" t="s">
        <v>17474</v>
      </c>
      <c r="D759" s="92" t="s">
        <v>17475</v>
      </c>
      <c r="E759" s="92" t="s">
        <v>17476</v>
      </c>
      <c r="F759" s="92" t="s">
        <v>5427</v>
      </c>
      <c r="G759" s="92" t="s">
        <v>17477</v>
      </c>
      <c r="H759" s="345">
        <v>2007</v>
      </c>
      <c r="I759" s="380">
        <v>39283</v>
      </c>
      <c r="J759" s="92"/>
      <c r="K759" s="92"/>
      <c r="L759" s="381" t="s">
        <v>17478</v>
      </c>
    </row>
    <row r="760" spans="1:12">
      <c r="A760" s="92"/>
      <c r="B760" s="345">
        <v>20727205</v>
      </c>
      <c r="C760" s="92" t="s">
        <v>17479</v>
      </c>
      <c r="D760" s="92" t="s">
        <v>17480</v>
      </c>
      <c r="E760" s="92" t="s">
        <v>17481</v>
      </c>
      <c r="F760" s="92" t="s">
        <v>5428</v>
      </c>
      <c r="G760" s="92" t="s">
        <v>16288</v>
      </c>
      <c r="H760" s="345">
        <v>2010</v>
      </c>
      <c r="I760" s="380">
        <v>40414</v>
      </c>
      <c r="J760" s="435" t="s">
        <v>5429</v>
      </c>
      <c r="K760" s="425"/>
      <c r="L760" s="381" t="s">
        <v>17482</v>
      </c>
    </row>
    <row r="761" spans="1:12">
      <c r="A761" s="92"/>
      <c r="B761" s="345">
        <v>10930120</v>
      </c>
      <c r="C761" s="92" t="s">
        <v>15439</v>
      </c>
      <c r="D761" s="92" t="s">
        <v>15440</v>
      </c>
      <c r="E761" s="92" t="s">
        <v>15441</v>
      </c>
      <c r="F761" s="92" t="s">
        <v>4835</v>
      </c>
      <c r="G761" s="92" t="s">
        <v>15442</v>
      </c>
      <c r="H761" s="345">
        <v>2000</v>
      </c>
      <c r="I761" s="380">
        <v>36748</v>
      </c>
      <c r="J761" s="92"/>
      <c r="K761" s="92"/>
      <c r="L761" s="381" t="s">
        <v>15443</v>
      </c>
    </row>
    <row r="762" spans="1:12">
      <c r="A762" s="92"/>
      <c r="B762" s="345">
        <v>20971106</v>
      </c>
      <c r="C762" s="92" t="s">
        <v>17483</v>
      </c>
      <c r="D762" s="92" t="s">
        <v>17484</v>
      </c>
      <c r="E762" s="92" t="s">
        <v>17485</v>
      </c>
      <c r="F762" s="92" t="s">
        <v>5430</v>
      </c>
      <c r="G762" s="92" t="s">
        <v>15429</v>
      </c>
      <c r="H762" s="345">
        <v>2011</v>
      </c>
      <c r="I762" s="380">
        <v>40477</v>
      </c>
      <c r="J762" s="92"/>
      <c r="K762" s="92"/>
      <c r="L762" s="381" t="s">
        <v>17486</v>
      </c>
    </row>
    <row r="763" spans="1:12">
      <c r="A763" s="92"/>
      <c r="B763" s="345">
        <v>10932333</v>
      </c>
      <c r="C763" s="92" t="s">
        <v>15408</v>
      </c>
      <c r="D763" s="92" t="s">
        <v>15409</v>
      </c>
      <c r="E763" s="92" t="s">
        <v>15410</v>
      </c>
      <c r="F763" s="92" t="s">
        <v>4828</v>
      </c>
      <c r="G763" s="92" t="s">
        <v>15411</v>
      </c>
      <c r="H763" s="345">
        <v>2000</v>
      </c>
      <c r="I763" s="380">
        <v>36748</v>
      </c>
      <c r="J763" s="92"/>
      <c r="K763" s="92"/>
      <c r="L763" s="381" t="s">
        <v>15412</v>
      </c>
    </row>
    <row r="764" spans="1:12">
      <c r="A764" s="92"/>
      <c r="B764" s="345">
        <v>19386802</v>
      </c>
      <c r="C764" s="92" t="s">
        <v>17487</v>
      </c>
      <c r="D764" s="92" t="s">
        <v>17488</v>
      </c>
      <c r="E764" s="92" t="s">
        <v>17489</v>
      </c>
      <c r="F764" s="92" t="s">
        <v>5431</v>
      </c>
      <c r="G764" s="92" t="s">
        <v>9350</v>
      </c>
      <c r="H764" s="345">
        <v>2009</v>
      </c>
      <c r="I764" s="380">
        <v>39927</v>
      </c>
      <c r="J764" s="435" t="s">
        <v>5432</v>
      </c>
      <c r="K764" s="425"/>
      <c r="L764" s="381" t="s">
        <v>17490</v>
      </c>
    </row>
    <row r="765" spans="1:12">
      <c r="A765" s="92"/>
      <c r="B765" s="345">
        <v>20007363</v>
      </c>
      <c r="C765" s="92" t="s">
        <v>17491</v>
      </c>
      <c r="D765" s="92" t="s">
        <v>17492</v>
      </c>
      <c r="E765" s="92" t="s">
        <v>17493</v>
      </c>
      <c r="F765" s="92" t="s">
        <v>5433</v>
      </c>
      <c r="G765" s="92" t="s">
        <v>9350</v>
      </c>
      <c r="H765" s="345">
        <v>2010</v>
      </c>
      <c r="I765" s="380">
        <v>40164</v>
      </c>
      <c r="J765" s="435" t="s">
        <v>5434</v>
      </c>
      <c r="K765" s="425"/>
      <c r="L765" s="381" t="s">
        <v>17494</v>
      </c>
    </row>
    <row r="766" spans="1:12">
      <c r="A766" s="92"/>
      <c r="B766" s="345">
        <v>18226814</v>
      </c>
      <c r="C766" s="92" t="s">
        <v>17495</v>
      </c>
      <c r="D766" s="92" t="s">
        <v>17496</v>
      </c>
      <c r="E766" s="92" t="s">
        <v>17497</v>
      </c>
      <c r="F766" s="92" t="s">
        <v>5435</v>
      </c>
      <c r="G766" s="92" t="s">
        <v>15429</v>
      </c>
      <c r="H766" s="345">
        <v>2008</v>
      </c>
      <c r="I766" s="380">
        <v>39477</v>
      </c>
      <c r="J766" s="92"/>
      <c r="K766" s="92"/>
      <c r="L766" s="381" t="s">
        <v>17498</v>
      </c>
    </row>
    <row r="767" spans="1:12">
      <c r="A767" s="92"/>
      <c r="B767" s="345">
        <v>19796562</v>
      </c>
      <c r="C767" s="92" t="s">
        <v>17499</v>
      </c>
      <c r="D767" s="92" t="s">
        <v>17500</v>
      </c>
      <c r="E767" s="92" t="s">
        <v>17501</v>
      </c>
      <c r="F767" s="92" t="s">
        <v>5436</v>
      </c>
      <c r="G767" s="92" t="s">
        <v>9129</v>
      </c>
      <c r="H767" s="345">
        <v>2009</v>
      </c>
      <c r="I767" s="380">
        <v>40089</v>
      </c>
      <c r="J767" s="92"/>
      <c r="K767" s="92"/>
      <c r="L767" s="92"/>
    </row>
    <row r="768" spans="1:12">
      <c r="A768" s="92"/>
      <c r="B768" s="345">
        <v>19967396</v>
      </c>
      <c r="C768" s="92" t="s">
        <v>17502</v>
      </c>
      <c r="D768" s="92" t="s">
        <v>17503</v>
      </c>
      <c r="E768" s="92" t="s">
        <v>17504</v>
      </c>
      <c r="F768" s="92" t="s">
        <v>5437</v>
      </c>
      <c r="G768" s="92" t="s">
        <v>17505</v>
      </c>
      <c r="H768" s="345">
        <v>2010</v>
      </c>
      <c r="I768" s="380">
        <v>40155</v>
      </c>
      <c r="J768" s="92"/>
      <c r="K768" s="92"/>
      <c r="L768" s="381" t="s">
        <v>17506</v>
      </c>
    </row>
    <row r="769" spans="1:12">
      <c r="A769" s="92"/>
      <c r="B769" s="345">
        <v>11038126</v>
      </c>
      <c r="C769" s="92" t="s">
        <v>15528</v>
      </c>
      <c r="D769" s="92" t="s">
        <v>15529</v>
      </c>
      <c r="E769" s="92" t="s">
        <v>15530</v>
      </c>
      <c r="F769" s="92" t="s">
        <v>4862</v>
      </c>
      <c r="G769" s="92" t="s">
        <v>15531</v>
      </c>
      <c r="H769" s="345">
        <v>2000</v>
      </c>
      <c r="I769" s="380">
        <v>36818</v>
      </c>
      <c r="J769" s="92"/>
      <c r="K769" s="92"/>
      <c r="L769" s="381" t="s">
        <v>15532</v>
      </c>
    </row>
    <row r="770" spans="1:12">
      <c r="A770" s="92"/>
      <c r="B770" s="345">
        <v>11252468</v>
      </c>
      <c r="C770" s="92" t="s">
        <v>17507</v>
      </c>
      <c r="D770" s="92" t="s">
        <v>17508</v>
      </c>
      <c r="E770" s="92" t="s">
        <v>17509</v>
      </c>
      <c r="F770" s="92" t="s">
        <v>5438</v>
      </c>
      <c r="G770" s="92" t="s">
        <v>17510</v>
      </c>
      <c r="H770" s="345">
        <v>2001</v>
      </c>
      <c r="I770" s="380">
        <v>36967</v>
      </c>
      <c r="J770" s="92"/>
      <c r="K770" s="92"/>
      <c r="L770" s="381" t="s">
        <v>17511</v>
      </c>
    </row>
    <row r="771" spans="1:12">
      <c r="A771" s="92"/>
      <c r="B771" s="345">
        <v>17905228</v>
      </c>
      <c r="C771" s="92" t="s">
        <v>17512</v>
      </c>
      <c r="D771" s="92" t="s">
        <v>17513</v>
      </c>
      <c r="E771" s="92" t="s">
        <v>17514</v>
      </c>
      <c r="F771" s="92" t="s">
        <v>5439</v>
      </c>
      <c r="G771" s="92" t="s">
        <v>17515</v>
      </c>
      <c r="H771" s="345">
        <v>2007</v>
      </c>
      <c r="I771" s="380">
        <v>39357</v>
      </c>
      <c r="J771" s="92" t="s">
        <v>5440</v>
      </c>
      <c r="K771" s="92" t="s">
        <v>17516</v>
      </c>
      <c r="L771" s="381" t="s">
        <v>17517</v>
      </c>
    </row>
    <row r="772" spans="1:12">
      <c r="A772" s="92"/>
      <c r="B772" s="345">
        <v>18399904</v>
      </c>
      <c r="C772" s="92" t="s">
        <v>17518</v>
      </c>
      <c r="D772" s="92" t="s">
        <v>17519</v>
      </c>
      <c r="E772" s="92" t="s">
        <v>17520</v>
      </c>
      <c r="F772" s="92" t="s">
        <v>5441</v>
      </c>
      <c r="G772" s="92" t="s">
        <v>17415</v>
      </c>
      <c r="H772" s="345">
        <v>2008</v>
      </c>
      <c r="I772" s="380">
        <v>39549</v>
      </c>
      <c r="J772" s="92"/>
      <c r="K772" s="92"/>
      <c r="L772" s="381" t="s">
        <v>17521</v>
      </c>
    </row>
    <row r="773" spans="1:12">
      <c r="A773" s="92"/>
      <c r="B773" s="345">
        <v>15552897</v>
      </c>
      <c r="C773" s="92" t="s">
        <v>17522</v>
      </c>
      <c r="D773" s="92" t="s">
        <v>17523</v>
      </c>
      <c r="E773" s="92" t="s">
        <v>17524</v>
      </c>
      <c r="F773" s="92" t="s">
        <v>5442</v>
      </c>
      <c r="G773" s="92" t="s">
        <v>17064</v>
      </c>
      <c r="H773" s="345">
        <v>2004</v>
      </c>
      <c r="I773" s="380">
        <v>38315</v>
      </c>
      <c r="J773" s="92"/>
      <c r="K773" s="92"/>
      <c r="L773" s="92"/>
    </row>
    <row r="774" spans="1:12">
      <c r="A774" s="92"/>
      <c r="B774" s="345">
        <v>18608175</v>
      </c>
      <c r="C774" s="92" t="s">
        <v>17525</v>
      </c>
      <c r="D774" s="92" t="s">
        <v>17526</v>
      </c>
      <c r="E774" s="92" t="s">
        <v>17527</v>
      </c>
      <c r="F774" s="92" t="s">
        <v>5443</v>
      </c>
      <c r="G774" s="92" t="s">
        <v>17528</v>
      </c>
      <c r="H774" s="345">
        <v>2009</v>
      </c>
      <c r="I774" s="380">
        <v>39638</v>
      </c>
      <c r="J774" s="92"/>
      <c r="K774" s="92"/>
      <c r="L774" s="381" t="s">
        <v>17529</v>
      </c>
    </row>
    <row r="775" spans="1:12">
      <c r="A775" s="92"/>
      <c r="B775" s="345">
        <v>18698050</v>
      </c>
      <c r="C775" s="92" t="s">
        <v>17530</v>
      </c>
      <c r="D775" s="92" t="s">
        <v>17531</v>
      </c>
      <c r="E775" s="92" t="s">
        <v>17532</v>
      </c>
      <c r="F775" s="92" t="s">
        <v>5444</v>
      </c>
      <c r="G775" s="92" t="s">
        <v>16905</v>
      </c>
      <c r="H775" s="345">
        <v>2008</v>
      </c>
      <c r="I775" s="380">
        <v>39674</v>
      </c>
      <c r="J775" s="92"/>
      <c r="K775" s="92"/>
      <c r="L775" s="381" t="s">
        <v>17533</v>
      </c>
    </row>
    <row r="776" spans="1:12">
      <c r="A776" s="92"/>
      <c r="B776" s="345">
        <v>11574768</v>
      </c>
      <c r="C776" s="92" t="s">
        <v>17534</v>
      </c>
      <c r="D776" s="92" t="s">
        <v>17535</v>
      </c>
      <c r="E776" s="92" t="s">
        <v>17536</v>
      </c>
      <c r="F776" s="92" t="s">
        <v>5445</v>
      </c>
      <c r="G776" s="92" t="s">
        <v>17537</v>
      </c>
      <c r="H776" s="345">
        <v>2001</v>
      </c>
      <c r="I776" s="380">
        <v>37162</v>
      </c>
      <c r="J776" s="92"/>
      <c r="K776" s="92"/>
      <c r="L776" s="381" t="s">
        <v>17538</v>
      </c>
    </row>
    <row r="777" spans="1:12">
      <c r="A777" s="92"/>
      <c r="B777" s="345">
        <v>21178410</v>
      </c>
      <c r="C777" s="92" t="s">
        <v>17539</v>
      </c>
      <c r="D777" s="92" t="s">
        <v>17540</v>
      </c>
      <c r="E777" s="92" t="s">
        <v>17541</v>
      </c>
      <c r="F777" s="92" t="s">
        <v>5446</v>
      </c>
      <c r="G777" s="92" t="s">
        <v>17542</v>
      </c>
      <c r="H777" s="345">
        <v>2010</v>
      </c>
      <c r="I777" s="380">
        <v>40536</v>
      </c>
      <c r="J777" s="435" t="s">
        <v>5447</v>
      </c>
      <c r="K777" s="425"/>
      <c r="L777" s="381" t="s">
        <v>17543</v>
      </c>
    </row>
    <row r="778" spans="1:12">
      <c r="A778" s="92"/>
      <c r="B778" s="345">
        <v>20099460</v>
      </c>
      <c r="C778" s="92" t="s">
        <v>17544</v>
      </c>
      <c r="D778" s="92" t="s">
        <v>17545</v>
      </c>
      <c r="E778" s="92" t="s">
        <v>17546</v>
      </c>
      <c r="F778" s="92" t="s">
        <v>5448</v>
      </c>
      <c r="G778" s="92" t="s">
        <v>17547</v>
      </c>
      <c r="H778" s="345">
        <v>2009</v>
      </c>
      <c r="I778" s="380">
        <v>40205</v>
      </c>
      <c r="J778" s="92"/>
      <c r="K778" s="92"/>
      <c r="L778" s="92"/>
    </row>
    <row r="779" spans="1:12">
      <c r="A779" s="92"/>
      <c r="B779" s="345">
        <v>19012942</v>
      </c>
      <c r="C779" s="92" t="s">
        <v>17548</v>
      </c>
      <c r="D779" s="92" t="s">
        <v>17549</v>
      </c>
      <c r="E779" s="92" t="s">
        <v>17550</v>
      </c>
      <c r="F779" s="92" t="s">
        <v>5449</v>
      </c>
      <c r="G779" s="92" t="s">
        <v>9205</v>
      </c>
      <c r="H779" s="345">
        <v>2009</v>
      </c>
      <c r="I779" s="380">
        <v>39770</v>
      </c>
      <c r="J779" s="92"/>
      <c r="K779" s="92"/>
      <c r="L779" s="381" t="s">
        <v>17551</v>
      </c>
    </row>
    <row r="780" spans="1:12">
      <c r="A780" s="92"/>
      <c r="B780" s="345">
        <v>16338490</v>
      </c>
      <c r="C780" s="92" t="s">
        <v>17552</v>
      </c>
      <c r="D780" s="92" t="s">
        <v>17553</v>
      </c>
      <c r="E780" s="92" t="s">
        <v>17554</v>
      </c>
      <c r="F780" s="92" t="s">
        <v>5450</v>
      </c>
      <c r="G780" s="92" t="s">
        <v>15492</v>
      </c>
      <c r="H780" s="345">
        <v>2005</v>
      </c>
      <c r="I780" s="380">
        <v>38699</v>
      </c>
      <c r="J780" s="92"/>
      <c r="K780" s="92"/>
      <c r="L780" s="381" t="s">
        <v>17555</v>
      </c>
    </row>
    <row r="781" spans="1:12">
      <c r="A781" s="92"/>
      <c r="B781" s="345">
        <v>19815632</v>
      </c>
      <c r="C781" s="92" t="s">
        <v>17556</v>
      </c>
      <c r="D781" s="92" t="s">
        <v>17557</v>
      </c>
      <c r="E781" s="92" t="s">
        <v>17558</v>
      </c>
      <c r="F781" s="92" t="s">
        <v>5451</v>
      </c>
      <c r="G781" s="92" t="s">
        <v>11447</v>
      </c>
      <c r="H781" s="345">
        <v>2009</v>
      </c>
      <c r="I781" s="380">
        <v>40096</v>
      </c>
      <c r="J781" s="92"/>
      <c r="K781" s="92"/>
      <c r="L781" s="381" t="s">
        <v>17559</v>
      </c>
    </row>
    <row r="782" spans="1:12">
      <c r="A782" s="92"/>
      <c r="B782" s="345">
        <v>17072120</v>
      </c>
      <c r="C782" s="92" t="s">
        <v>17560</v>
      </c>
      <c r="D782" s="92" t="s">
        <v>17561</v>
      </c>
      <c r="E782" s="92" t="s">
        <v>17562</v>
      </c>
      <c r="F782" s="92" t="s">
        <v>5452</v>
      </c>
      <c r="G782" s="92" t="s">
        <v>12638</v>
      </c>
      <c r="H782" s="345">
        <v>2006</v>
      </c>
      <c r="I782" s="380">
        <v>39021</v>
      </c>
      <c r="J782" s="92"/>
      <c r="K782" s="92"/>
      <c r="L782" s="381" t="s">
        <v>17563</v>
      </c>
    </row>
    <row r="783" spans="1:12">
      <c r="A783" s="92"/>
      <c r="B783" s="345">
        <v>18029064</v>
      </c>
      <c r="C783" s="92" t="s">
        <v>17564</v>
      </c>
      <c r="D783" s="92" t="s">
        <v>17565</v>
      </c>
      <c r="E783" s="92" t="s">
        <v>17566</v>
      </c>
      <c r="F783" s="92" t="s">
        <v>5453</v>
      </c>
      <c r="G783" s="92" t="s">
        <v>21</v>
      </c>
      <c r="H783" s="345">
        <v>2007</v>
      </c>
      <c r="I783" s="380">
        <v>39408</v>
      </c>
      <c r="J783" s="92"/>
      <c r="K783" s="92"/>
      <c r="L783" s="381" t="s">
        <v>17567</v>
      </c>
    </row>
    <row r="784" spans="1:12">
      <c r="A784" s="92"/>
      <c r="B784" s="345">
        <v>16455120</v>
      </c>
      <c r="C784" s="92" t="s">
        <v>17568</v>
      </c>
      <c r="D784" s="92" t="s">
        <v>17569</v>
      </c>
      <c r="E784" s="92" t="s">
        <v>17570</v>
      </c>
      <c r="F784" s="92" t="s">
        <v>5454</v>
      </c>
      <c r="G784" s="92" t="s">
        <v>8833</v>
      </c>
      <c r="H784" s="345">
        <v>2006</v>
      </c>
      <c r="I784" s="380">
        <v>38752</v>
      </c>
      <c r="J784" s="92"/>
      <c r="K784" s="92"/>
      <c r="L784" s="381" t="s">
        <v>17571</v>
      </c>
    </row>
    <row r="785" spans="1:12">
      <c r="A785" s="92"/>
      <c r="B785" s="345">
        <v>15575364</v>
      </c>
      <c r="C785" s="92" t="s">
        <v>17572</v>
      </c>
      <c r="D785" s="92" t="s">
        <v>17573</v>
      </c>
      <c r="E785" s="92" t="s">
        <v>17574</v>
      </c>
      <c r="F785" s="92" t="s">
        <v>5455</v>
      </c>
      <c r="G785" s="92" t="s">
        <v>17239</v>
      </c>
      <c r="H785" s="345">
        <v>2004</v>
      </c>
      <c r="I785" s="380">
        <v>38325</v>
      </c>
      <c r="J785" s="92"/>
      <c r="K785" s="92"/>
      <c r="L785" s="92"/>
    </row>
    <row r="786" spans="1:12">
      <c r="A786" s="92"/>
      <c r="B786" s="345">
        <v>17600275</v>
      </c>
      <c r="C786" s="92" t="s">
        <v>17575</v>
      </c>
      <c r="D786" s="92" t="s">
        <v>17576</v>
      </c>
      <c r="E786" s="92" t="s">
        <v>17577</v>
      </c>
      <c r="F786" s="92" t="s">
        <v>5456</v>
      </c>
      <c r="G786" s="92" t="s">
        <v>8524</v>
      </c>
      <c r="H786" s="345">
        <v>2007</v>
      </c>
      <c r="I786" s="380">
        <v>39263</v>
      </c>
      <c r="J786" s="92"/>
      <c r="K786" s="92"/>
      <c r="L786" s="381" t="s">
        <v>17578</v>
      </c>
    </row>
    <row r="787" spans="1:12">
      <c r="A787" s="92"/>
      <c r="B787" s="345">
        <v>15483406</v>
      </c>
      <c r="C787" s="92" t="s">
        <v>17579</v>
      </c>
      <c r="D787" s="92" t="s">
        <v>17580</v>
      </c>
      <c r="E787" s="92" t="s">
        <v>17581</v>
      </c>
      <c r="F787" s="92" t="s">
        <v>5458</v>
      </c>
      <c r="G787" s="92" t="s">
        <v>8504</v>
      </c>
      <c r="H787" s="345">
        <v>2004</v>
      </c>
      <c r="I787" s="380">
        <v>38276</v>
      </c>
      <c r="J787" s="92"/>
      <c r="K787" s="92"/>
      <c r="L787" s="381" t="s">
        <v>17582</v>
      </c>
    </row>
    <row r="788" spans="1:12">
      <c r="A788" s="92"/>
      <c r="B788" s="345">
        <v>18439291</v>
      </c>
      <c r="C788" s="92" t="s">
        <v>17583</v>
      </c>
      <c r="D788" s="92" t="s">
        <v>17584</v>
      </c>
      <c r="E788" s="92" t="s">
        <v>17585</v>
      </c>
      <c r="F788" s="92" t="s">
        <v>5459</v>
      </c>
      <c r="G788" s="92" t="s">
        <v>11228</v>
      </c>
      <c r="H788" s="345">
        <v>2008</v>
      </c>
      <c r="I788" s="380">
        <v>39567</v>
      </c>
      <c r="J788" s="435" t="s">
        <v>5460</v>
      </c>
      <c r="K788" s="425"/>
      <c r="L788" s="381" t="s">
        <v>17586</v>
      </c>
    </row>
    <row r="789" spans="1:12">
      <c r="A789" s="92"/>
      <c r="B789" s="345">
        <v>12365660</v>
      </c>
      <c r="C789" s="92" t="s">
        <v>17587</v>
      </c>
      <c r="D789" s="92" t="s">
        <v>17588</v>
      </c>
      <c r="E789" s="92" t="s">
        <v>17589</v>
      </c>
      <c r="F789" s="92" t="s">
        <v>5461</v>
      </c>
      <c r="G789" s="92" t="s">
        <v>17590</v>
      </c>
      <c r="H789" s="345">
        <v>2002</v>
      </c>
      <c r="I789" s="380">
        <v>37538</v>
      </c>
      <c r="J789" s="92"/>
      <c r="K789" s="92"/>
      <c r="L789" s="92"/>
    </row>
    <row r="790" spans="1:12">
      <c r="A790" s="92"/>
      <c r="B790" s="345">
        <v>16965648</v>
      </c>
      <c r="C790" s="92" t="s">
        <v>17591</v>
      </c>
      <c r="D790" s="92" t="s">
        <v>17592</v>
      </c>
      <c r="E790" s="92" t="s">
        <v>17593</v>
      </c>
      <c r="F790" s="92" t="s">
        <v>5462</v>
      </c>
      <c r="G790" s="92" t="s">
        <v>17594</v>
      </c>
      <c r="H790" s="345">
        <v>2006</v>
      </c>
      <c r="I790" s="380">
        <v>38973</v>
      </c>
      <c r="J790" s="92"/>
      <c r="K790" s="92"/>
      <c r="L790" s="92"/>
    </row>
    <row r="791" spans="1:12">
      <c r="A791" s="92"/>
      <c r="B791" s="345">
        <v>11305516</v>
      </c>
      <c r="C791" s="92" t="s">
        <v>17595</v>
      </c>
      <c r="D791" s="92" t="s">
        <v>17596</v>
      </c>
      <c r="E791" s="92" t="s">
        <v>17597</v>
      </c>
      <c r="F791" s="92" t="s">
        <v>5463</v>
      </c>
      <c r="G791" s="92" t="s">
        <v>15954</v>
      </c>
      <c r="H791" s="345">
        <v>2001</v>
      </c>
      <c r="I791" s="380">
        <v>36999</v>
      </c>
      <c r="J791" s="92"/>
      <c r="K791" s="92"/>
      <c r="L791" s="381" t="s">
        <v>17598</v>
      </c>
    </row>
    <row r="792" spans="1:12">
      <c r="A792" s="92"/>
      <c r="B792" s="345">
        <v>18322553</v>
      </c>
      <c r="C792" s="92" t="s">
        <v>17599</v>
      </c>
      <c r="D792" s="92" t="s">
        <v>17600</v>
      </c>
      <c r="E792" s="92" t="s">
        <v>17601</v>
      </c>
      <c r="F792" s="92" t="s">
        <v>5464</v>
      </c>
      <c r="G792" s="92" t="s">
        <v>17602</v>
      </c>
      <c r="H792" s="345">
        <v>2008</v>
      </c>
      <c r="I792" s="380">
        <v>39514</v>
      </c>
      <c r="J792" s="92"/>
      <c r="K792" s="92"/>
      <c r="L792" s="381" t="s">
        <v>17603</v>
      </c>
    </row>
    <row r="793" spans="1:12">
      <c r="A793" s="92"/>
      <c r="B793" s="345">
        <v>12887185</v>
      </c>
      <c r="C793" s="92" t="s">
        <v>17604</v>
      </c>
      <c r="D793" s="92" t="s">
        <v>17605</v>
      </c>
      <c r="E793" s="92" t="s">
        <v>17606</v>
      </c>
      <c r="F793" s="92" t="s">
        <v>5465</v>
      </c>
      <c r="G793" s="92" t="s">
        <v>16865</v>
      </c>
      <c r="H793" s="345">
        <v>2003</v>
      </c>
      <c r="I793" s="380">
        <v>37833</v>
      </c>
      <c r="J793" s="92"/>
      <c r="K793" s="92"/>
      <c r="L793" s="381" t="s">
        <v>17607</v>
      </c>
    </row>
    <row r="794" spans="1:12">
      <c r="A794" s="92"/>
      <c r="B794" s="345">
        <v>12545341</v>
      </c>
      <c r="C794" s="92" t="s">
        <v>17608</v>
      </c>
      <c r="D794" s="92" t="s">
        <v>17609</v>
      </c>
      <c r="E794" s="92" t="s">
        <v>17610</v>
      </c>
      <c r="F794" s="92" t="s">
        <v>5466</v>
      </c>
      <c r="G794" s="92" t="s">
        <v>17611</v>
      </c>
      <c r="H794" s="345">
        <v>2003</v>
      </c>
      <c r="I794" s="380">
        <v>37646</v>
      </c>
      <c r="J794" s="92"/>
      <c r="K794" s="92"/>
      <c r="L794" s="381" t="s">
        <v>17612</v>
      </c>
    </row>
    <row r="795" spans="1:12">
      <c r="A795" s="92"/>
      <c r="B795" s="345">
        <v>15147226</v>
      </c>
      <c r="C795" s="92" t="s">
        <v>17613</v>
      </c>
      <c r="D795" s="92" t="s">
        <v>17614</v>
      </c>
      <c r="E795" s="92" t="s">
        <v>17615</v>
      </c>
      <c r="F795" s="92" t="s">
        <v>5467</v>
      </c>
      <c r="G795" s="92" t="s">
        <v>17616</v>
      </c>
      <c r="H795" s="345">
        <v>2004</v>
      </c>
      <c r="I795" s="380">
        <v>38126</v>
      </c>
      <c r="J795" s="92"/>
      <c r="K795" s="92"/>
      <c r="L795" s="381" t="s">
        <v>17617</v>
      </c>
    </row>
    <row r="796" spans="1:12">
      <c r="A796" s="92"/>
      <c r="B796" s="345">
        <v>18298931</v>
      </c>
      <c r="C796" s="92" t="s">
        <v>17618</v>
      </c>
      <c r="D796" s="92" t="s">
        <v>17619</v>
      </c>
      <c r="E796" s="92" t="s">
        <v>17620</v>
      </c>
      <c r="F796" s="92" t="s">
        <v>5468</v>
      </c>
      <c r="G796" s="92" t="s">
        <v>17477</v>
      </c>
      <c r="H796" s="345">
        <v>2008</v>
      </c>
      <c r="I796" s="380">
        <v>39505</v>
      </c>
      <c r="J796" s="92"/>
      <c r="K796" s="92"/>
      <c r="L796" s="381" t="s">
        <v>17621</v>
      </c>
    </row>
    <row r="797" spans="1:12">
      <c r="A797" s="92"/>
      <c r="B797" s="345">
        <v>18419533</v>
      </c>
      <c r="C797" s="92" t="s">
        <v>17622</v>
      </c>
      <c r="D797" s="92" t="s">
        <v>17623</v>
      </c>
      <c r="E797" s="92" t="s">
        <v>17624</v>
      </c>
      <c r="F797" s="92" t="s">
        <v>5469</v>
      </c>
      <c r="G797" s="92" t="s">
        <v>9497</v>
      </c>
      <c r="H797" s="345">
        <v>2008</v>
      </c>
      <c r="I797" s="380">
        <v>39557</v>
      </c>
      <c r="J797" s="92"/>
      <c r="K797" s="92"/>
      <c r="L797" s="381" t="s">
        <v>17625</v>
      </c>
    </row>
    <row r="798" spans="1:12">
      <c r="A798" s="92"/>
      <c r="B798" s="345">
        <v>11845817</v>
      </c>
      <c r="C798" s="92" t="s">
        <v>17626</v>
      </c>
      <c r="D798" s="92" t="s">
        <v>17627</v>
      </c>
      <c r="E798" s="92" t="s">
        <v>17628</v>
      </c>
      <c r="F798" s="92" t="s">
        <v>5470</v>
      </c>
      <c r="G798" s="92" t="s">
        <v>17629</v>
      </c>
      <c r="H798" s="345">
        <v>2001</v>
      </c>
      <c r="I798" s="380">
        <v>37303</v>
      </c>
      <c r="J798" s="92"/>
      <c r="K798" s="92"/>
      <c r="L798" s="381" t="s">
        <v>17630</v>
      </c>
    </row>
    <row r="799" spans="1:12">
      <c r="A799" s="92"/>
      <c r="B799" s="345">
        <v>15756405</v>
      </c>
      <c r="C799" s="92" t="s">
        <v>17631</v>
      </c>
      <c r="D799" s="92" t="s">
        <v>17632</v>
      </c>
      <c r="E799" s="92" t="s">
        <v>17633</v>
      </c>
      <c r="F799" s="92" t="s">
        <v>5471</v>
      </c>
      <c r="G799" s="92" t="s">
        <v>17634</v>
      </c>
      <c r="H799" s="345">
        <v>2005</v>
      </c>
      <c r="I799" s="380">
        <v>38421</v>
      </c>
      <c r="J799" s="92"/>
      <c r="K799" s="92"/>
      <c r="L799" s="92"/>
    </row>
    <row r="800" spans="1:12">
      <c r="A800" s="92"/>
      <c r="B800" s="345">
        <v>16538883</v>
      </c>
      <c r="C800" s="92" t="s">
        <v>17635</v>
      </c>
      <c r="D800" s="92" t="s">
        <v>17636</v>
      </c>
      <c r="E800" s="92" t="s">
        <v>17637</v>
      </c>
      <c r="F800" s="92" t="s">
        <v>5472</v>
      </c>
      <c r="G800" s="92" t="s">
        <v>17638</v>
      </c>
      <c r="H800" s="345">
        <v>2006</v>
      </c>
      <c r="I800" s="380">
        <v>38793</v>
      </c>
      <c r="J800" s="92"/>
      <c r="K800" s="92"/>
      <c r="L800" s="92"/>
    </row>
    <row r="801" spans="1:12">
      <c r="A801" s="92"/>
      <c r="B801" s="345">
        <v>19129468</v>
      </c>
      <c r="C801" s="92" t="s">
        <v>17639</v>
      </c>
      <c r="D801" s="92" t="s">
        <v>17640</v>
      </c>
      <c r="E801" s="92" t="s">
        <v>17641</v>
      </c>
      <c r="F801" s="92" t="s">
        <v>5474</v>
      </c>
      <c r="G801" s="92" t="s">
        <v>9350</v>
      </c>
      <c r="H801" s="345">
        <v>2009</v>
      </c>
      <c r="I801" s="380">
        <v>39822</v>
      </c>
      <c r="J801" s="435" t="s">
        <v>5475</v>
      </c>
      <c r="K801" s="425"/>
      <c r="L801" s="381" t="s">
        <v>17642</v>
      </c>
    </row>
    <row r="802" spans="1:12">
      <c r="A802" s="92"/>
      <c r="B802" s="345">
        <v>12793843</v>
      </c>
      <c r="C802" s="92" t="s">
        <v>17643</v>
      </c>
      <c r="D802" s="92" t="s">
        <v>17644</v>
      </c>
      <c r="E802" s="92" t="s">
        <v>17645</v>
      </c>
      <c r="F802" s="92" t="s">
        <v>5055</v>
      </c>
      <c r="G802" s="92" t="s">
        <v>9524</v>
      </c>
      <c r="H802" s="345">
        <v>2003</v>
      </c>
      <c r="I802" s="380">
        <v>37782</v>
      </c>
      <c r="J802" s="92"/>
      <c r="K802" s="92"/>
      <c r="L802" s="381" t="s">
        <v>17646</v>
      </c>
    </row>
    <row r="803" spans="1:12">
      <c r="A803" s="92"/>
      <c r="B803" s="345">
        <v>17625517</v>
      </c>
      <c r="C803" s="92" t="s">
        <v>17647</v>
      </c>
      <c r="D803" s="92" t="s">
        <v>17648</v>
      </c>
      <c r="E803" s="92" t="s">
        <v>17649</v>
      </c>
      <c r="F803" s="92" t="s">
        <v>1750</v>
      </c>
      <c r="G803" s="92" t="s">
        <v>15633</v>
      </c>
      <c r="H803" s="345">
        <v>2008</v>
      </c>
      <c r="I803" s="380">
        <v>39276</v>
      </c>
      <c r="J803" s="92"/>
      <c r="K803" s="92"/>
      <c r="L803" s="381" t="s">
        <v>17650</v>
      </c>
    </row>
    <row r="804" spans="1:12">
      <c r="A804" s="92"/>
      <c r="B804" s="345">
        <v>19786565</v>
      </c>
      <c r="C804" s="92" t="s">
        <v>17651</v>
      </c>
      <c r="D804" s="92" t="s">
        <v>17652</v>
      </c>
      <c r="E804" s="92" t="s">
        <v>17653</v>
      </c>
      <c r="F804" s="92" t="s">
        <v>5476</v>
      </c>
      <c r="G804" s="92" t="s">
        <v>11700</v>
      </c>
      <c r="H804" s="345">
        <v>2009</v>
      </c>
      <c r="I804" s="380">
        <v>40086</v>
      </c>
      <c r="J804" s="435" t="s">
        <v>5477</v>
      </c>
      <c r="K804" s="425"/>
      <c r="L804" s="381" t="s">
        <v>17654</v>
      </c>
    </row>
    <row r="805" spans="1:12">
      <c r="A805" s="92"/>
      <c r="B805" s="345">
        <v>19773593</v>
      </c>
      <c r="C805" s="92" t="s">
        <v>17655</v>
      </c>
      <c r="D805" s="92" t="s">
        <v>17656</v>
      </c>
      <c r="E805" s="92" t="s">
        <v>17657</v>
      </c>
      <c r="F805" s="92" t="s">
        <v>5478</v>
      </c>
      <c r="G805" s="92" t="s">
        <v>15668</v>
      </c>
      <c r="H805" s="345">
        <v>2009</v>
      </c>
      <c r="I805" s="380">
        <v>40080</v>
      </c>
      <c r="J805" s="92" t="s">
        <v>5479</v>
      </c>
      <c r="K805" s="92" t="s">
        <v>17658</v>
      </c>
      <c r="L805" s="381" t="s">
        <v>17659</v>
      </c>
    </row>
    <row r="806" spans="1:12">
      <c r="A806" s="92"/>
      <c r="B806" s="345">
        <v>12428663</v>
      </c>
      <c r="C806" s="92" t="s">
        <v>17660</v>
      </c>
      <c r="D806" s="92" t="s">
        <v>17661</v>
      </c>
      <c r="E806" s="92" t="s">
        <v>17662</v>
      </c>
      <c r="F806" s="92" t="s">
        <v>5480</v>
      </c>
      <c r="G806" s="92" t="s">
        <v>15626</v>
      </c>
      <c r="H806" s="345">
        <v>2002</v>
      </c>
      <c r="I806" s="380">
        <v>37574</v>
      </c>
      <c r="J806" s="92"/>
      <c r="K806" s="92"/>
      <c r="L806" s="381" t="s">
        <v>17663</v>
      </c>
    </row>
    <row r="807" spans="1:12">
      <c r="A807" s="92"/>
      <c r="B807" s="345">
        <v>10976979</v>
      </c>
      <c r="C807" s="92" t="s">
        <v>15567</v>
      </c>
      <c r="D807" s="92" t="s">
        <v>15568</v>
      </c>
      <c r="E807" s="92" t="s">
        <v>15569</v>
      </c>
      <c r="F807" s="92" t="s">
        <v>4872</v>
      </c>
      <c r="G807" s="92" t="s">
        <v>15570</v>
      </c>
      <c r="H807" s="345">
        <v>2000</v>
      </c>
      <c r="I807" s="380">
        <v>36777</v>
      </c>
      <c r="J807" s="92"/>
      <c r="K807" s="92"/>
      <c r="L807" s="381" t="s">
        <v>15571</v>
      </c>
    </row>
    <row r="808" spans="1:12">
      <c r="A808" s="92"/>
      <c r="B808" s="345">
        <v>17276364</v>
      </c>
      <c r="C808" s="92" t="s">
        <v>17664</v>
      </c>
      <c r="D808" s="92" t="s">
        <v>17665</v>
      </c>
      <c r="E808" s="92" t="s">
        <v>17666</v>
      </c>
      <c r="F808" s="92" t="s">
        <v>5481</v>
      </c>
      <c r="G808" s="92" t="s">
        <v>8792</v>
      </c>
      <c r="H808" s="345">
        <v>2006</v>
      </c>
      <c r="I808" s="380">
        <v>39119</v>
      </c>
      <c r="J808" s="92"/>
      <c r="K808" s="92"/>
      <c r="L808" s="381" t="s">
        <v>17667</v>
      </c>
    </row>
    <row r="809" spans="1:12">
      <c r="A809" s="92"/>
      <c r="B809" s="345">
        <v>15458574</v>
      </c>
      <c r="C809" s="92" t="s">
        <v>17668</v>
      </c>
      <c r="D809" s="92" t="s">
        <v>17669</v>
      </c>
      <c r="E809" s="92" t="s">
        <v>17670</v>
      </c>
      <c r="F809" s="92" t="s">
        <v>5483</v>
      </c>
      <c r="G809" s="92" t="s">
        <v>17671</v>
      </c>
      <c r="H809" s="345">
        <v>2004</v>
      </c>
      <c r="I809" s="380">
        <v>38262</v>
      </c>
      <c r="J809" s="92" t="s">
        <v>5484</v>
      </c>
      <c r="K809" s="92"/>
      <c r="L809" s="381" t="s">
        <v>17672</v>
      </c>
    </row>
    <row r="810" spans="1:12">
      <c r="A810" s="92"/>
      <c r="B810" s="345">
        <v>19541567</v>
      </c>
      <c r="C810" s="92" t="s">
        <v>17673</v>
      </c>
      <c r="D810" s="92" t="s">
        <v>17674</v>
      </c>
      <c r="E810" s="92" t="s">
        <v>17675</v>
      </c>
      <c r="F810" s="92" t="s">
        <v>5486</v>
      </c>
      <c r="G810" s="92" t="s">
        <v>17676</v>
      </c>
      <c r="H810" s="345">
        <v>2009</v>
      </c>
      <c r="I810" s="380">
        <v>39987</v>
      </c>
      <c r="J810" s="92"/>
      <c r="K810" s="92"/>
      <c r="L810" s="381" t="s">
        <v>17677</v>
      </c>
    </row>
    <row r="811" spans="1:12">
      <c r="A811" s="92"/>
      <c r="B811" s="345">
        <v>11734429</v>
      </c>
      <c r="C811" s="92" t="s">
        <v>17678</v>
      </c>
      <c r="D811" s="92" t="s">
        <v>17679</v>
      </c>
      <c r="E811" s="92" t="s">
        <v>17680</v>
      </c>
      <c r="F811" s="92" t="s">
        <v>1788</v>
      </c>
      <c r="G811" s="92" t="s">
        <v>8524</v>
      </c>
      <c r="H811" s="345">
        <v>2001</v>
      </c>
      <c r="I811" s="380">
        <v>37231</v>
      </c>
      <c r="J811" s="92"/>
      <c r="K811" s="92"/>
      <c r="L811" s="381" t="s">
        <v>17681</v>
      </c>
    </row>
    <row r="812" spans="1:12">
      <c r="A812" s="92"/>
      <c r="B812" s="345">
        <v>10768562</v>
      </c>
      <c r="C812" s="92" t="s">
        <v>15559</v>
      </c>
      <c r="D812" s="92" t="s">
        <v>15560</v>
      </c>
      <c r="E812" s="92" t="s">
        <v>15561</v>
      </c>
      <c r="F812" s="92" t="s">
        <v>4870</v>
      </c>
      <c r="G812" s="92" t="s">
        <v>15562</v>
      </c>
      <c r="H812" s="345">
        <v>2000</v>
      </c>
      <c r="I812" s="380">
        <v>36634</v>
      </c>
      <c r="J812" s="92"/>
      <c r="K812" s="92"/>
      <c r="L812" s="92"/>
    </row>
    <row r="813" spans="1:12">
      <c r="A813" s="92"/>
      <c r="B813" s="345">
        <v>11368195</v>
      </c>
      <c r="C813" s="92" t="s">
        <v>17682</v>
      </c>
      <c r="D813" s="92" t="s">
        <v>17683</v>
      </c>
      <c r="E813" s="92" t="s">
        <v>17684</v>
      </c>
      <c r="F813" s="92" t="s">
        <v>5488</v>
      </c>
      <c r="G813" s="92" t="s">
        <v>17685</v>
      </c>
      <c r="H813" s="345">
        <v>2001</v>
      </c>
      <c r="I813" s="380">
        <v>37034</v>
      </c>
      <c r="J813" s="435" t="s">
        <v>5489</v>
      </c>
      <c r="K813" s="425"/>
      <c r="L813" s="381" t="s">
        <v>17686</v>
      </c>
    </row>
    <row r="814" spans="1:12">
      <c r="A814" s="92"/>
      <c r="B814" s="345">
        <v>18094110</v>
      </c>
      <c r="C814" s="92" t="s">
        <v>17687</v>
      </c>
      <c r="D814" s="92" t="s">
        <v>17688</v>
      </c>
      <c r="E814" s="92" t="s">
        <v>17689</v>
      </c>
      <c r="F814" s="92" t="s">
        <v>5490</v>
      </c>
      <c r="G814" s="92" t="s">
        <v>9350</v>
      </c>
      <c r="H814" s="345">
        <v>2008</v>
      </c>
      <c r="I814" s="380">
        <v>39437</v>
      </c>
      <c r="J814" s="435" t="s">
        <v>5491</v>
      </c>
      <c r="K814" s="425"/>
      <c r="L814" s="381" t="s">
        <v>17690</v>
      </c>
    </row>
    <row r="815" spans="1:12">
      <c r="A815" s="92"/>
      <c r="B815" s="345">
        <v>11486115</v>
      </c>
      <c r="C815" s="92" t="s">
        <v>17691</v>
      </c>
      <c r="D815" s="92" t="s">
        <v>17692</v>
      </c>
      <c r="E815" s="92" t="s">
        <v>17693</v>
      </c>
      <c r="F815" s="92" t="s">
        <v>5492</v>
      </c>
      <c r="G815" s="92" t="s">
        <v>12183</v>
      </c>
      <c r="H815" s="345">
        <v>2001</v>
      </c>
      <c r="I815" s="380">
        <v>37107</v>
      </c>
      <c r="J815" s="92"/>
      <c r="K815" s="92"/>
      <c r="L815" s="381" t="s">
        <v>17694</v>
      </c>
    </row>
    <row r="816" spans="1:12">
      <c r="A816" s="92"/>
      <c r="B816" s="345">
        <v>19911974</v>
      </c>
      <c r="C816" s="92" t="s">
        <v>17695</v>
      </c>
      <c r="D816" s="92" t="s">
        <v>17696</v>
      </c>
      <c r="E816" s="92" t="s">
        <v>17697</v>
      </c>
      <c r="F816" s="92" t="s">
        <v>5493</v>
      </c>
      <c r="G816" s="92" t="s">
        <v>17698</v>
      </c>
      <c r="H816" s="345">
        <v>2010</v>
      </c>
      <c r="I816" s="380">
        <v>40134</v>
      </c>
      <c r="J816" s="435" t="s">
        <v>5494</v>
      </c>
      <c r="K816" s="425"/>
      <c r="L816" s="381" t="s">
        <v>17699</v>
      </c>
    </row>
    <row r="817" spans="1:12">
      <c r="A817" s="92"/>
      <c r="B817" s="345">
        <v>17152649</v>
      </c>
      <c r="C817" s="92" t="s">
        <v>17700</v>
      </c>
      <c r="D817" s="92" t="s">
        <v>17701</v>
      </c>
      <c r="E817" s="92" t="s">
        <v>17702</v>
      </c>
      <c r="F817" s="92" t="s">
        <v>5496</v>
      </c>
      <c r="G817" s="92" t="s">
        <v>17703</v>
      </c>
      <c r="H817" s="345">
        <v>2006</v>
      </c>
      <c r="I817" s="380">
        <v>39064</v>
      </c>
      <c r="J817" s="92"/>
      <c r="K817" s="92"/>
      <c r="L817" s="92"/>
    </row>
    <row r="818" spans="1:12">
      <c r="A818" s="92"/>
      <c r="B818" s="345">
        <v>11345389</v>
      </c>
      <c r="C818" s="92" t="s">
        <v>17704</v>
      </c>
      <c r="D818" s="92" t="s">
        <v>17705</v>
      </c>
      <c r="E818" s="92" t="s">
        <v>17706</v>
      </c>
      <c r="F818" s="92" t="s">
        <v>5497</v>
      </c>
      <c r="G818" s="92" t="s">
        <v>9014</v>
      </c>
      <c r="H818" s="345">
        <v>2001</v>
      </c>
      <c r="I818" s="380">
        <v>37021</v>
      </c>
      <c r="J818" s="92"/>
      <c r="K818" s="92"/>
      <c r="L818" s="381" t="s">
        <v>17707</v>
      </c>
    </row>
    <row r="819" spans="1:12">
      <c r="A819" s="92"/>
      <c r="B819" s="345">
        <v>10877367</v>
      </c>
      <c r="C819" s="92" t="s">
        <v>15576</v>
      </c>
      <c r="D819" s="92" t="s">
        <v>15577</v>
      </c>
      <c r="E819" s="92" t="s">
        <v>15578</v>
      </c>
      <c r="F819" s="92" t="s">
        <v>4876</v>
      </c>
      <c r="G819" s="92" t="s">
        <v>9780</v>
      </c>
      <c r="H819" s="345">
        <v>2000</v>
      </c>
      <c r="I819" s="380">
        <v>36713</v>
      </c>
      <c r="J819" s="92"/>
      <c r="K819" s="92"/>
      <c r="L819" s="381" t="s">
        <v>15579</v>
      </c>
    </row>
    <row r="820" spans="1:12">
      <c r="A820" s="92"/>
      <c r="B820" s="345">
        <v>20537410</v>
      </c>
      <c r="C820" s="92" t="s">
        <v>17708</v>
      </c>
      <c r="D820" s="92" t="s">
        <v>17709</v>
      </c>
      <c r="E820" s="92" t="s">
        <v>17710</v>
      </c>
      <c r="F820" s="92" t="s">
        <v>5498</v>
      </c>
      <c r="G820" s="92" t="s">
        <v>17711</v>
      </c>
      <c r="H820" s="345">
        <v>2010</v>
      </c>
      <c r="I820" s="380">
        <v>40341</v>
      </c>
      <c r="J820" s="92"/>
      <c r="K820" s="92"/>
      <c r="L820" s="381" t="s">
        <v>17712</v>
      </c>
    </row>
    <row r="821" spans="1:12">
      <c r="A821" s="92"/>
      <c r="B821" s="345">
        <v>17370439</v>
      </c>
      <c r="C821" s="92" t="s">
        <v>17713</v>
      </c>
      <c r="D821" s="92" t="s">
        <v>17714</v>
      </c>
      <c r="E821" s="92" t="s">
        <v>17715</v>
      </c>
      <c r="F821" s="92" t="s">
        <v>5499</v>
      </c>
      <c r="G821" s="92" t="s">
        <v>17716</v>
      </c>
      <c r="H821" s="345">
        <v>2006</v>
      </c>
      <c r="I821" s="380">
        <v>39162</v>
      </c>
      <c r="J821" s="92"/>
      <c r="K821" s="92"/>
      <c r="L821" s="92"/>
    </row>
    <row r="822" spans="1:12">
      <c r="A822" s="92"/>
      <c r="B822" s="345">
        <v>15305847</v>
      </c>
      <c r="C822" s="92" t="s">
        <v>17717</v>
      </c>
      <c r="D822" s="92" t="s">
        <v>17718</v>
      </c>
      <c r="E822" s="92" t="s">
        <v>17719</v>
      </c>
      <c r="F822" s="92" t="s">
        <v>5501</v>
      </c>
      <c r="G822" s="92" t="s">
        <v>17720</v>
      </c>
      <c r="H822" s="345">
        <v>2004</v>
      </c>
      <c r="I822" s="380">
        <v>38212</v>
      </c>
      <c r="J822" s="92"/>
      <c r="K822" s="92"/>
      <c r="L822" s="381" t="s">
        <v>17721</v>
      </c>
    </row>
    <row r="823" spans="1:12">
      <c r="A823" s="92"/>
      <c r="B823" s="345">
        <v>19180511</v>
      </c>
      <c r="C823" s="92" t="s">
        <v>17722</v>
      </c>
      <c r="D823" s="92" t="s">
        <v>17723</v>
      </c>
      <c r="E823" s="92" t="s">
        <v>17724</v>
      </c>
      <c r="F823" s="92" t="s">
        <v>5502</v>
      </c>
      <c r="G823" s="92" t="s">
        <v>8465</v>
      </c>
      <c r="H823" s="345">
        <v>2009</v>
      </c>
      <c r="I823" s="380">
        <v>39844</v>
      </c>
      <c r="J823" s="92" t="s">
        <v>5503</v>
      </c>
      <c r="K823" s="92" t="s">
        <v>17725</v>
      </c>
      <c r="L823" s="381" t="s">
        <v>17726</v>
      </c>
    </row>
    <row r="824" spans="1:12">
      <c r="A824" s="92"/>
      <c r="B824" s="345">
        <v>18024918</v>
      </c>
      <c r="C824" s="92" t="s">
        <v>17727</v>
      </c>
      <c r="D824" s="92" t="s">
        <v>17728</v>
      </c>
      <c r="E824" s="92" t="s">
        <v>17729</v>
      </c>
      <c r="F824" s="92" t="s">
        <v>5504</v>
      </c>
      <c r="G824" s="92" t="s">
        <v>17116</v>
      </c>
      <c r="H824" s="345">
        <v>2007</v>
      </c>
      <c r="I824" s="380">
        <v>39407</v>
      </c>
      <c r="J824" s="92"/>
      <c r="K824" s="92"/>
      <c r="L824" s="381" t="s">
        <v>17730</v>
      </c>
    </row>
    <row r="825" spans="1:12">
      <c r="A825" s="92"/>
      <c r="B825" s="345">
        <v>11134688</v>
      </c>
      <c r="C825" s="92" t="s">
        <v>15648</v>
      </c>
      <c r="D825" s="92" t="s">
        <v>15649</v>
      </c>
      <c r="E825" s="92" t="s">
        <v>15650</v>
      </c>
      <c r="F825" s="92" t="s">
        <v>1724</v>
      </c>
      <c r="G825" s="92" t="s">
        <v>15651</v>
      </c>
      <c r="H825" s="345">
        <v>2000</v>
      </c>
      <c r="I825" s="380">
        <v>36894</v>
      </c>
      <c r="J825" s="435" t="s">
        <v>4893</v>
      </c>
      <c r="K825" s="425"/>
      <c r="L825" s="381" t="s">
        <v>15652</v>
      </c>
    </row>
    <row r="826" spans="1:12">
      <c r="A826" s="92"/>
      <c r="B826" s="345">
        <v>16699144</v>
      </c>
      <c r="C826" s="92" t="s">
        <v>17731</v>
      </c>
      <c r="D826" s="92" t="s">
        <v>17732</v>
      </c>
      <c r="E826" s="92" t="s">
        <v>17733</v>
      </c>
      <c r="F826" s="92" t="s">
        <v>5505</v>
      </c>
      <c r="G826" s="92" t="s">
        <v>14930</v>
      </c>
      <c r="H826" s="345">
        <v>2006</v>
      </c>
      <c r="I826" s="380">
        <v>38853</v>
      </c>
      <c r="J826" s="92"/>
      <c r="K826" s="92"/>
      <c r="L826" s="381" t="s">
        <v>17734</v>
      </c>
    </row>
    <row r="827" spans="1:12">
      <c r="A827" s="92"/>
      <c r="B827" s="345">
        <v>20925688</v>
      </c>
      <c r="C827" s="92" t="s">
        <v>17735</v>
      </c>
      <c r="D827" s="92" t="s">
        <v>17736</v>
      </c>
      <c r="E827" s="92" t="s">
        <v>17737</v>
      </c>
      <c r="F827" s="92" t="s">
        <v>5506</v>
      </c>
      <c r="G827" s="92" t="s">
        <v>17738</v>
      </c>
      <c r="H827" s="345">
        <v>2011</v>
      </c>
      <c r="I827" s="380">
        <v>40459</v>
      </c>
      <c r="J827" s="92" t="s">
        <v>5507</v>
      </c>
      <c r="K827" s="92" t="s">
        <v>17739</v>
      </c>
      <c r="L827" s="381" t="s">
        <v>17740</v>
      </c>
    </row>
    <row r="828" spans="1:12">
      <c r="A828" s="92"/>
      <c r="B828" s="345">
        <v>19203846</v>
      </c>
      <c r="C828" s="92" t="s">
        <v>17741</v>
      </c>
      <c r="D828" s="92" t="s">
        <v>17742</v>
      </c>
      <c r="E828" s="92" t="s">
        <v>17743</v>
      </c>
      <c r="F828" s="92" t="s">
        <v>5508</v>
      </c>
      <c r="G828" s="92" t="s">
        <v>15416</v>
      </c>
      <c r="H828" s="345">
        <v>2009</v>
      </c>
      <c r="I828" s="380">
        <v>39855</v>
      </c>
      <c r="J828" s="92"/>
      <c r="K828" s="92"/>
      <c r="L828" s="381" t="s">
        <v>17744</v>
      </c>
    </row>
    <row r="829" spans="1:12">
      <c r="A829" s="92"/>
      <c r="B829" s="345">
        <v>12784197</v>
      </c>
      <c r="C829" s="92" t="s">
        <v>17745</v>
      </c>
      <c r="D829" s="92" t="s">
        <v>17746</v>
      </c>
      <c r="E829" s="92" t="s">
        <v>17747</v>
      </c>
      <c r="F829" s="92" t="s">
        <v>5509</v>
      </c>
      <c r="G829" s="92" t="s">
        <v>17748</v>
      </c>
      <c r="H829" s="345">
        <v>2003</v>
      </c>
      <c r="I829" s="380">
        <v>37777</v>
      </c>
      <c r="J829" s="92"/>
      <c r="K829" s="92"/>
      <c r="L829" s="381" t="s">
        <v>17749</v>
      </c>
    </row>
    <row r="830" spans="1:12">
      <c r="A830" s="92"/>
      <c r="B830" s="345">
        <v>15316164</v>
      </c>
      <c r="C830" s="92" t="s">
        <v>17750</v>
      </c>
      <c r="D830" s="92" t="s">
        <v>17751</v>
      </c>
      <c r="E830" s="92" t="s">
        <v>17752</v>
      </c>
      <c r="F830" s="92" t="s">
        <v>5511</v>
      </c>
      <c r="G830" s="92" t="s">
        <v>17753</v>
      </c>
      <c r="H830" s="345">
        <v>2004</v>
      </c>
      <c r="I830" s="380">
        <v>38218</v>
      </c>
      <c r="J830" s="92"/>
      <c r="K830" s="92"/>
      <c r="L830" s="381" t="s">
        <v>17754</v>
      </c>
    </row>
    <row r="831" spans="1:12">
      <c r="A831" s="92"/>
      <c r="B831" s="345">
        <v>11153185</v>
      </c>
      <c r="C831" s="92" t="s">
        <v>17755</v>
      </c>
      <c r="D831" s="92" t="s">
        <v>17756</v>
      </c>
      <c r="E831" s="92" t="s">
        <v>17757</v>
      </c>
      <c r="F831" s="92" t="s">
        <v>5512</v>
      </c>
      <c r="G831" s="92" t="s">
        <v>17758</v>
      </c>
      <c r="H831" s="345">
        <v>2001</v>
      </c>
      <c r="I831" s="380">
        <v>36903</v>
      </c>
      <c r="J831" s="92"/>
      <c r="K831" s="92"/>
      <c r="L831" s="92"/>
    </row>
    <row r="832" spans="1:12">
      <c r="A832" s="92"/>
      <c r="B832" s="345">
        <v>15385516</v>
      </c>
      <c r="C832" s="92" t="s">
        <v>17759</v>
      </c>
      <c r="D832" s="92" t="s">
        <v>17760</v>
      </c>
      <c r="E832" s="92" t="s">
        <v>17761</v>
      </c>
      <c r="F832" s="92" t="s">
        <v>5513</v>
      </c>
      <c r="G832" s="92" t="s">
        <v>11700</v>
      </c>
      <c r="H832" s="345">
        <v>2004</v>
      </c>
      <c r="I832" s="380">
        <v>38254</v>
      </c>
      <c r="J832" s="92" t="s">
        <v>5514</v>
      </c>
      <c r="K832" s="92"/>
      <c r="L832" s="381" t="s">
        <v>17762</v>
      </c>
    </row>
    <row r="833" spans="1:12">
      <c r="A833" s="92"/>
      <c r="B833" s="345">
        <v>19836903</v>
      </c>
      <c r="C833" s="92" t="s">
        <v>17763</v>
      </c>
      <c r="D833" s="92" t="s">
        <v>17764</v>
      </c>
      <c r="E833" s="92" t="s">
        <v>17765</v>
      </c>
      <c r="F833" s="92" t="s">
        <v>5515</v>
      </c>
      <c r="G833" s="92" t="s">
        <v>13807</v>
      </c>
      <c r="H833" s="345">
        <v>2010</v>
      </c>
      <c r="I833" s="380">
        <v>40106</v>
      </c>
      <c r="J833" s="92"/>
      <c r="K833" s="92"/>
      <c r="L833" s="381" t="s">
        <v>17766</v>
      </c>
    </row>
    <row r="834" spans="1:12">
      <c r="A834" s="92"/>
      <c r="B834" s="345">
        <v>29319954</v>
      </c>
      <c r="C834" s="92" t="s">
        <v>17767</v>
      </c>
      <c r="D834" s="92" t="s">
        <v>17768</v>
      </c>
      <c r="E834" s="92" t="s">
        <v>17769</v>
      </c>
      <c r="F834" s="92" t="s">
        <v>5516</v>
      </c>
      <c r="G834" s="92" t="s">
        <v>17767</v>
      </c>
      <c r="H834" s="345">
        <v>2007</v>
      </c>
      <c r="I834" s="380">
        <v>39114</v>
      </c>
      <c r="J834" s="92"/>
      <c r="K834" s="92"/>
      <c r="L834" s="92"/>
    </row>
    <row r="835" spans="1:12">
      <c r="A835" s="92"/>
      <c r="B835" s="345">
        <v>11569731</v>
      </c>
      <c r="C835" s="92" t="s">
        <v>17770</v>
      </c>
      <c r="D835" s="92" t="s">
        <v>17771</v>
      </c>
      <c r="E835" s="92" t="s">
        <v>17772</v>
      </c>
      <c r="F835" s="92" t="s">
        <v>5517</v>
      </c>
      <c r="G835" s="92" t="s">
        <v>16865</v>
      </c>
      <c r="H835" s="345">
        <v>2001</v>
      </c>
      <c r="I835" s="380">
        <v>37159</v>
      </c>
      <c r="J835" s="92"/>
      <c r="K835" s="92"/>
      <c r="L835" s="92"/>
    </row>
    <row r="836" spans="1:12">
      <c r="A836" s="92"/>
      <c r="B836" s="345">
        <v>15185569</v>
      </c>
      <c r="C836" s="92" t="s">
        <v>17773</v>
      </c>
      <c r="D836" s="92" t="s">
        <v>17774</v>
      </c>
      <c r="E836" s="92" t="s">
        <v>17775</v>
      </c>
      <c r="F836" s="92" t="s">
        <v>5518</v>
      </c>
      <c r="G836" s="92" t="s">
        <v>15930</v>
      </c>
      <c r="H836" s="345">
        <v>2004</v>
      </c>
      <c r="I836" s="380">
        <v>38148</v>
      </c>
      <c r="J836" s="92"/>
      <c r="K836" s="92"/>
      <c r="L836" s="381" t="s">
        <v>17776</v>
      </c>
    </row>
    <row r="837" spans="1:12">
      <c r="A837" s="92"/>
      <c r="B837" s="345">
        <v>12698018</v>
      </c>
      <c r="C837" s="92" t="s">
        <v>17777</v>
      </c>
      <c r="D837" s="92" t="s">
        <v>17778</v>
      </c>
      <c r="E837" s="92" t="s">
        <v>17779</v>
      </c>
      <c r="F837" s="92" t="s">
        <v>5519</v>
      </c>
      <c r="G837" s="92" t="s">
        <v>17780</v>
      </c>
      <c r="H837" s="345">
        <v>2003</v>
      </c>
      <c r="I837" s="380">
        <v>37728</v>
      </c>
      <c r="J837" s="92"/>
      <c r="K837" s="92"/>
      <c r="L837" s="92"/>
    </row>
    <row r="838" spans="1:12">
      <c r="A838" s="92"/>
      <c r="B838" s="345">
        <v>11790667</v>
      </c>
      <c r="C838" s="92" t="s">
        <v>17781</v>
      </c>
      <c r="D838" s="92" t="s">
        <v>17782</v>
      </c>
      <c r="E838" s="92" t="s">
        <v>17783</v>
      </c>
      <c r="F838" s="92" t="s">
        <v>5520</v>
      </c>
      <c r="G838" s="92" t="s">
        <v>8524</v>
      </c>
      <c r="H838" s="345">
        <v>2002</v>
      </c>
      <c r="I838" s="380">
        <v>37272</v>
      </c>
      <c r="J838" s="92"/>
      <c r="K838" s="92"/>
      <c r="L838" s="381" t="s">
        <v>17784</v>
      </c>
    </row>
    <row r="839" spans="1:12">
      <c r="A839" s="92"/>
      <c r="B839" s="345">
        <v>16929910</v>
      </c>
      <c r="C839" s="92" t="s">
        <v>17785</v>
      </c>
      <c r="D839" s="92" t="s">
        <v>17786</v>
      </c>
      <c r="E839" s="92" t="s">
        <v>17787</v>
      </c>
      <c r="F839" s="92" t="s">
        <v>5521</v>
      </c>
      <c r="G839" s="92" t="s">
        <v>17788</v>
      </c>
      <c r="H839" s="345">
        <v>2006</v>
      </c>
      <c r="I839" s="380">
        <v>38955</v>
      </c>
      <c r="J839" s="92"/>
      <c r="K839" s="92"/>
      <c r="L839" s="92"/>
    </row>
    <row r="840" spans="1:12">
      <c r="A840" s="92"/>
      <c r="B840" s="345">
        <v>11153621</v>
      </c>
      <c r="C840" s="92" t="s">
        <v>15703</v>
      </c>
      <c r="D840" s="92" t="s">
        <v>15704</v>
      </c>
      <c r="E840" s="92" t="s">
        <v>15705</v>
      </c>
      <c r="F840" s="92" t="s">
        <v>4906</v>
      </c>
      <c r="G840" s="92" t="s">
        <v>8504</v>
      </c>
      <c r="H840" s="345">
        <v>2000</v>
      </c>
      <c r="I840" s="380">
        <v>36903</v>
      </c>
      <c r="J840" s="92"/>
      <c r="K840" s="92"/>
      <c r="L840" s="381" t="s">
        <v>15706</v>
      </c>
    </row>
    <row r="841" spans="1:12">
      <c r="A841" s="92"/>
      <c r="B841" s="345">
        <v>11419827</v>
      </c>
      <c r="C841" s="92" t="s">
        <v>17789</v>
      </c>
      <c r="D841" s="92" t="s">
        <v>17790</v>
      </c>
      <c r="E841" s="92" t="s">
        <v>17791</v>
      </c>
      <c r="F841" s="92" t="s">
        <v>5522</v>
      </c>
      <c r="G841" s="92" t="s">
        <v>9292</v>
      </c>
      <c r="H841" s="345">
        <v>2001</v>
      </c>
      <c r="I841" s="380">
        <v>37065</v>
      </c>
      <c r="J841" s="92"/>
      <c r="K841" s="92"/>
      <c r="L841" s="381" t="s">
        <v>17792</v>
      </c>
    </row>
    <row r="842" spans="1:12">
      <c r="A842" s="92"/>
      <c r="B842" s="345">
        <v>14688360</v>
      </c>
      <c r="C842" s="92" t="s">
        <v>17793</v>
      </c>
      <c r="D842" s="92" t="s">
        <v>17794</v>
      </c>
      <c r="E842" s="92" t="s">
        <v>17795</v>
      </c>
      <c r="F842" s="92" t="s">
        <v>5523</v>
      </c>
      <c r="G842" s="92" t="s">
        <v>15646</v>
      </c>
      <c r="H842" s="345">
        <v>2004</v>
      </c>
      <c r="I842" s="380">
        <v>37978</v>
      </c>
      <c r="J842" s="92"/>
      <c r="K842" s="92"/>
      <c r="L842" s="381" t="s">
        <v>17796</v>
      </c>
    </row>
    <row r="843" spans="1:12">
      <c r="A843" s="92"/>
      <c r="B843" s="345">
        <v>11592918</v>
      </c>
      <c r="C843" s="92" t="s">
        <v>17797</v>
      </c>
      <c r="D843" s="92" t="s">
        <v>17798</v>
      </c>
      <c r="E843" s="92" t="s">
        <v>17799</v>
      </c>
      <c r="F843" s="92" t="s">
        <v>5524</v>
      </c>
      <c r="G843" s="92" t="s">
        <v>17800</v>
      </c>
      <c r="H843" s="345">
        <v>2001</v>
      </c>
      <c r="I843" s="380">
        <v>37175</v>
      </c>
      <c r="J843" s="92"/>
      <c r="K843" s="92"/>
      <c r="L843" s="381" t="s">
        <v>17801</v>
      </c>
    </row>
    <row r="844" spans="1:12">
      <c r="A844" s="92"/>
      <c r="B844" s="345">
        <v>21244738</v>
      </c>
      <c r="C844" s="92" t="s">
        <v>17802</v>
      </c>
      <c r="D844" s="92" t="s">
        <v>17803</v>
      </c>
      <c r="E844" s="92" t="s">
        <v>17804</v>
      </c>
      <c r="F844" s="92" t="s">
        <v>2472</v>
      </c>
      <c r="G844" s="92" t="s">
        <v>17805</v>
      </c>
      <c r="H844" s="345">
        <v>2010</v>
      </c>
      <c r="I844" s="380">
        <v>40563</v>
      </c>
      <c r="J844" s="92"/>
      <c r="K844" s="92"/>
      <c r="L844" s="381" t="s">
        <v>17806</v>
      </c>
    </row>
    <row r="845" spans="1:12">
      <c r="A845" s="92"/>
      <c r="B845" s="345">
        <v>18643847</v>
      </c>
      <c r="C845" s="92" t="s">
        <v>17807</v>
      </c>
      <c r="D845" s="92" t="s">
        <v>17808</v>
      </c>
      <c r="E845" s="92" t="s">
        <v>17809</v>
      </c>
      <c r="F845" s="92" t="s">
        <v>4354</v>
      </c>
      <c r="G845" s="92" t="s">
        <v>17810</v>
      </c>
      <c r="H845" s="345">
        <v>2009</v>
      </c>
      <c r="I845" s="380">
        <v>39652</v>
      </c>
      <c r="J845" s="92"/>
      <c r="K845" s="92"/>
      <c r="L845" s="381" t="s">
        <v>17811</v>
      </c>
    </row>
    <row r="846" spans="1:12">
      <c r="A846" s="92"/>
      <c r="B846" s="345">
        <v>20970433</v>
      </c>
      <c r="C846" s="92" t="s">
        <v>17812</v>
      </c>
      <c r="D846" s="92" t="s">
        <v>17813</v>
      </c>
      <c r="E846" s="92" t="s">
        <v>17814</v>
      </c>
      <c r="F846" s="92" t="s">
        <v>5525</v>
      </c>
      <c r="G846" s="92" t="s">
        <v>17815</v>
      </c>
      <c r="H846" s="345">
        <v>2011</v>
      </c>
      <c r="I846" s="380">
        <v>40477</v>
      </c>
      <c r="J846" s="92"/>
      <c r="K846" s="92"/>
      <c r="L846" s="381" t="s">
        <v>17816</v>
      </c>
    </row>
    <row r="847" spans="1:12">
      <c r="A847" s="92"/>
      <c r="B847" s="345">
        <v>18004256</v>
      </c>
      <c r="C847" s="92" t="s">
        <v>17817</v>
      </c>
      <c r="D847" s="92" t="s">
        <v>17818</v>
      </c>
      <c r="E847" s="92" t="s">
        <v>17819</v>
      </c>
      <c r="F847" s="92" t="s">
        <v>5527</v>
      </c>
      <c r="G847" s="92" t="s">
        <v>17820</v>
      </c>
      <c r="H847" s="345">
        <v>2007</v>
      </c>
      <c r="I847" s="380">
        <v>39402</v>
      </c>
      <c r="J847" s="92"/>
      <c r="K847" s="92"/>
      <c r="L847" s="92"/>
    </row>
    <row r="848" spans="1:12">
      <c r="A848" s="92"/>
      <c r="B848" s="345">
        <v>18195059</v>
      </c>
      <c r="C848" s="92" t="s">
        <v>17821</v>
      </c>
      <c r="D848" s="92" t="s">
        <v>17822</v>
      </c>
      <c r="E848" s="92" t="s">
        <v>17823</v>
      </c>
      <c r="F848" s="92" t="s">
        <v>5528</v>
      </c>
      <c r="G848" s="92" t="s">
        <v>8675</v>
      </c>
      <c r="H848" s="345">
        <v>2008</v>
      </c>
      <c r="I848" s="380">
        <v>39463</v>
      </c>
      <c r="J848" s="435" t="s">
        <v>5529</v>
      </c>
      <c r="K848" s="425"/>
      <c r="L848" s="381" t="s">
        <v>17824</v>
      </c>
    </row>
    <row r="849" spans="1:12">
      <c r="A849" s="92"/>
      <c r="B849" s="345">
        <v>14633632</v>
      </c>
      <c r="C849" s="92" t="s">
        <v>17825</v>
      </c>
      <c r="D849" s="92" t="s">
        <v>17826</v>
      </c>
      <c r="E849" s="92" t="s">
        <v>17827</v>
      </c>
      <c r="F849" s="92" t="s">
        <v>5530</v>
      </c>
      <c r="G849" s="92" t="s">
        <v>14689</v>
      </c>
      <c r="H849" s="345">
        <v>2003</v>
      </c>
      <c r="I849" s="380">
        <v>37950</v>
      </c>
      <c r="J849" s="435" t="s">
        <v>5531</v>
      </c>
      <c r="K849" s="425"/>
      <c r="L849" s="381" t="s">
        <v>17828</v>
      </c>
    </row>
    <row r="850" spans="1:12">
      <c r="A850" s="92"/>
      <c r="B850" s="345">
        <v>17964595</v>
      </c>
      <c r="C850" s="92" t="s">
        <v>17829</v>
      </c>
      <c r="D850" s="92" t="s">
        <v>17830</v>
      </c>
      <c r="E850" s="92" t="s">
        <v>17831</v>
      </c>
      <c r="F850" s="92" t="s">
        <v>5532</v>
      </c>
      <c r="G850" s="92" t="s">
        <v>17174</v>
      </c>
      <c r="H850" s="345">
        <v>2008</v>
      </c>
      <c r="I850" s="380">
        <v>39385</v>
      </c>
      <c r="J850" s="92" t="s">
        <v>5533</v>
      </c>
      <c r="K850" s="92" t="s">
        <v>17832</v>
      </c>
      <c r="L850" s="381" t="s">
        <v>17833</v>
      </c>
    </row>
    <row r="851" spans="1:12">
      <c r="A851" s="92"/>
      <c r="B851" s="345">
        <v>18272752</v>
      </c>
      <c r="C851" s="92" t="s">
        <v>17834</v>
      </c>
      <c r="D851" s="92" t="s">
        <v>17835</v>
      </c>
      <c r="E851" s="92" t="s">
        <v>17836</v>
      </c>
      <c r="F851" s="92" t="s">
        <v>5534</v>
      </c>
      <c r="G851" s="92" t="s">
        <v>17116</v>
      </c>
      <c r="H851" s="345">
        <v>2008</v>
      </c>
      <c r="I851" s="380">
        <v>39493</v>
      </c>
      <c r="J851" s="92"/>
      <c r="K851" s="92"/>
      <c r="L851" s="381" t="s">
        <v>17837</v>
      </c>
    </row>
    <row r="852" spans="1:12">
      <c r="A852" s="92"/>
      <c r="B852" s="345">
        <v>18635321</v>
      </c>
      <c r="C852" s="92" t="s">
        <v>17838</v>
      </c>
      <c r="D852" s="92" t="s">
        <v>17839</v>
      </c>
      <c r="E852" s="92" t="s">
        <v>17840</v>
      </c>
      <c r="F852" s="92" t="s">
        <v>5535</v>
      </c>
      <c r="G852" s="92" t="s">
        <v>15416</v>
      </c>
      <c r="H852" s="345">
        <v>2009</v>
      </c>
      <c r="I852" s="380">
        <v>39648</v>
      </c>
      <c r="J852" s="92"/>
      <c r="K852" s="92"/>
      <c r="L852" s="381" t="s">
        <v>17841</v>
      </c>
    </row>
    <row r="853" spans="1:12">
      <c r="A853" s="92"/>
      <c r="B853" s="345">
        <v>17242486</v>
      </c>
      <c r="C853" s="92" t="s">
        <v>17842</v>
      </c>
      <c r="D853" s="92" t="s">
        <v>17843</v>
      </c>
      <c r="E853" s="92" t="s">
        <v>17844</v>
      </c>
      <c r="F853" s="92" t="s">
        <v>5536</v>
      </c>
      <c r="G853" s="92" t="s">
        <v>16974</v>
      </c>
      <c r="H853" s="345">
        <v>2006</v>
      </c>
      <c r="I853" s="380">
        <v>39106</v>
      </c>
      <c r="J853" s="92"/>
      <c r="K853" s="92"/>
      <c r="L853" s="92"/>
    </row>
    <row r="854" spans="1:12">
      <c r="A854" s="92"/>
      <c r="B854" s="345">
        <v>21124892</v>
      </c>
      <c r="C854" s="92" t="s">
        <v>17845</v>
      </c>
      <c r="D854" s="92" t="s">
        <v>17846</v>
      </c>
      <c r="E854" s="92" t="s">
        <v>17847</v>
      </c>
      <c r="F854" s="92" t="s">
        <v>5525</v>
      </c>
      <c r="G854" s="92" t="s">
        <v>10379</v>
      </c>
      <c r="H854" s="345">
        <v>2010</v>
      </c>
      <c r="I854" s="380">
        <v>40515</v>
      </c>
      <c r="J854" s="435" t="s">
        <v>5537</v>
      </c>
      <c r="K854" s="425"/>
      <c r="L854" s="381" t="s">
        <v>17848</v>
      </c>
    </row>
    <row r="855" spans="1:12">
      <c r="A855" s="92"/>
      <c r="B855" s="345">
        <v>16284329</v>
      </c>
      <c r="C855" s="92" t="s">
        <v>17849</v>
      </c>
      <c r="D855" s="92" t="s">
        <v>17850</v>
      </c>
      <c r="E855" s="92" t="s">
        <v>17851</v>
      </c>
      <c r="F855" s="92" t="s">
        <v>5538</v>
      </c>
      <c r="G855" s="92" t="s">
        <v>17055</v>
      </c>
      <c r="H855" s="345">
        <v>2005</v>
      </c>
      <c r="I855" s="380">
        <v>38671</v>
      </c>
      <c r="J855" s="92"/>
      <c r="K855" s="92"/>
      <c r="L855" s="381" t="s">
        <v>17852</v>
      </c>
    </row>
    <row r="856" spans="1:12">
      <c r="A856" s="92"/>
      <c r="B856" s="345">
        <v>19086692</v>
      </c>
      <c r="C856" s="92" t="s">
        <v>17853</v>
      </c>
      <c r="D856" s="92" t="s">
        <v>17854</v>
      </c>
      <c r="E856" s="92" t="s">
        <v>17855</v>
      </c>
      <c r="F856" s="92" t="s">
        <v>5539</v>
      </c>
      <c r="G856" s="92" t="s">
        <v>17856</v>
      </c>
      <c r="H856" s="345">
        <v>2008</v>
      </c>
      <c r="I856" s="380">
        <v>39800</v>
      </c>
      <c r="J856" s="92"/>
      <c r="K856" s="92"/>
      <c r="L856" s="92"/>
    </row>
    <row r="857" spans="1:12">
      <c r="A857" s="92"/>
      <c r="B857" s="345">
        <v>15193917</v>
      </c>
      <c r="C857" s="92" t="s">
        <v>17857</v>
      </c>
      <c r="D857" s="92" t="s">
        <v>17858</v>
      </c>
      <c r="E857" s="92" t="s">
        <v>17859</v>
      </c>
      <c r="F857" s="92" t="s">
        <v>5540</v>
      </c>
      <c r="G857" s="92" t="s">
        <v>9205</v>
      </c>
      <c r="H857" s="345">
        <v>2004</v>
      </c>
      <c r="I857" s="380">
        <v>38153</v>
      </c>
      <c r="J857" s="92"/>
      <c r="K857" s="92"/>
      <c r="L857" s="381" t="s">
        <v>17860</v>
      </c>
    </row>
    <row r="858" spans="1:12">
      <c r="A858" s="92"/>
      <c r="B858" s="345">
        <v>16671442</v>
      </c>
      <c r="C858" s="92" t="s">
        <v>17861</v>
      </c>
      <c r="D858" s="92" t="s">
        <v>17862</v>
      </c>
      <c r="E858" s="92" t="s">
        <v>17863</v>
      </c>
      <c r="F858" s="92" t="s">
        <v>5541</v>
      </c>
      <c r="G858" s="92" t="s">
        <v>11247</v>
      </c>
      <c r="H858" s="345">
        <v>2006</v>
      </c>
      <c r="I858" s="380">
        <v>38842</v>
      </c>
      <c r="J858" s="92"/>
      <c r="K858" s="92"/>
      <c r="L858" s="381" t="s">
        <v>17864</v>
      </c>
    </row>
    <row r="859" spans="1:12">
      <c r="A859" s="92"/>
      <c r="B859" s="345">
        <v>16854590</v>
      </c>
      <c r="C859" s="92" t="s">
        <v>17865</v>
      </c>
      <c r="D859" s="92" t="s">
        <v>17866</v>
      </c>
      <c r="E859" s="92" t="s">
        <v>17867</v>
      </c>
      <c r="F859" s="92" t="s">
        <v>5542</v>
      </c>
      <c r="G859" s="92" t="s">
        <v>17868</v>
      </c>
      <c r="H859" s="345">
        <v>2006</v>
      </c>
      <c r="I859" s="380">
        <v>38919</v>
      </c>
      <c r="J859" s="92"/>
      <c r="K859" s="92"/>
      <c r="L859" s="381" t="s">
        <v>17869</v>
      </c>
    </row>
    <row r="860" spans="1:12">
      <c r="A860" s="92"/>
      <c r="B860" s="345">
        <v>15291120</v>
      </c>
      <c r="C860" s="92" t="s">
        <v>17870</v>
      </c>
      <c r="D860" s="92" t="s">
        <v>17871</v>
      </c>
      <c r="E860" s="92" t="s">
        <v>17872</v>
      </c>
      <c r="F860" s="92" t="s">
        <v>5543</v>
      </c>
      <c r="G860" s="92" t="s">
        <v>17873</v>
      </c>
      <c r="H860" s="345">
        <v>2004</v>
      </c>
      <c r="I860" s="380">
        <v>38204</v>
      </c>
      <c r="J860" s="92"/>
      <c r="K860" s="92"/>
      <c r="L860" s="92"/>
    </row>
    <row r="861" spans="1:12">
      <c r="A861" s="92"/>
      <c r="B861" s="345">
        <v>11249088</v>
      </c>
      <c r="C861" s="92" t="s">
        <v>17874</v>
      </c>
      <c r="D861" s="92" t="s">
        <v>17875</v>
      </c>
      <c r="E861" s="92" t="s">
        <v>17876</v>
      </c>
      <c r="F861" s="92" t="s">
        <v>5544</v>
      </c>
      <c r="G861" s="92" t="s">
        <v>17877</v>
      </c>
      <c r="H861" s="345">
        <v>2001</v>
      </c>
      <c r="I861" s="380">
        <v>36966</v>
      </c>
      <c r="J861" s="92"/>
      <c r="K861" s="92"/>
      <c r="L861" s="381" t="s">
        <v>17878</v>
      </c>
    </row>
    <row r="862" spans="1:12">
      <c r="A862" s="92"/>
      <c r="B862" s="345">
        <v>17339913</v>
      </c>
      <c r="C862" s="92" t="s">
        <v>17879</v>
      </c>
      <c r="D862" s="92" t="s">
        <v>17880</v>
      </c>
      <c r="E862" s="92" t="s">
        <v>17881</v>
      </c>
      <c r="F862" s="92" t="s">
        <v>5464</v>
      </c>
      <c r="G862" s="92" t="s">
        <v>17602</v>
      </c>
      <c r="H862" s="345">
        <v>2007</v>
      </c>
      <c r="I862" s="380">
        <v>39148</v>
      </c>
      <c r="J862" s="92"/>
      <c r="K862" s="92"/>
      <c r="L862" s="381" t="s">
        <v>17882</v>
      </c>
    </row>
    <row r="863" spans="1:12">
      <c r="A863" s="92"/>
      <c r="B863" s="345">
        <v>15759157</v>
      </c>
      <c r="C863" s="92" t="s">
        <v>17883</v>
      </c>
      <c r="D863" s="92" t="s">
        <v>17884</v>
      </c>
      <c r="E863" s="92" t="s">
        <v>17885</v>
      </c>
      <c r="F863" s="92" t="s">
        <v>5545</v>
      </c>
      <c r="G863" s="92" t="s">
        <v>16582</v>
      </c>
      <c r="H863" s="345">
        <v>2005</v>
      </c>
      <c r="I863" s="380">
        <v>38422</v>
      </c>
      <c r="J863" s="92"/>
      <c r="K863" s="92"/>
      <c r="L863" s="381" t="s">
        <v>17886</v>
      </c>
    </row>
    <row r="864" spans="1:12">
      <c r="A864" s="92"/>
      <c r="B864" s="345">
        <v>10998316</v>
      </c>
      <c r="C864" s="92" t="s">
        <v>15848</v>
      </c>
      <c r="D864" s="92" t="s">
        <v>15849</v>
      </c>
      <c r="E864" s="92" t="s">
        <v>15850</v>
      </c>
      <c r="F864" s="92" t="s">
        <v>2091</v>
      </c>
      <c r="G864" s="92" t="s">
        <v>15851</v>
      </c>
      <c r="H864" s="345">
        <v>2000</v>
      </c>
      <c r="I864" s="380">
        <v>36791</v>
      </c>
      <c r="J864" s="92"/>
      <c r="K864" s="92"/>
      <c r="L864" s="381" t="s">
        <v>15852</v>
      </c>
    </row>
    <row r="865" spans="1:12">
      <c r="A865" s="92"/>
      <c r="B865" s="345">
        <v>17984254</v>
      </c>
      <c r="C865" s="92" t="s">
        <v>17887</v>
      </c>
      <c r="D865" s="92" t="s">
        <v>17888</v>
      </c>
      <c r="E865" s="92" t="s">
        <v>17889</v>
      </c>
      <c r="F865" s="92" t="s">
        <v>5546</v>
      </c>
      <c r="G865" s="92" t="s">
        <v>14930</v>
      </c>
      <c r="H865" s="345">
        <v>2007</v>
      </c>
      <c r="I865" s="380">
        <v>39393</v>
      </c>
      <c r="J865" s="92"/>
      <c r="K865" s="92"/>
      <c r="L865" s="381" t="s">
        <v>17890</v>
      </c>
    </row>
    <row r="866" spans="1:12">
      <c r="A866" s="92"/>
      <c r="B866" s="345">
        <v>20381635</v>
      </c>
      <c r="C866" s="92" t="s">
        <v>17891</v>
      </c>
      <c r="D866" s="92" t="s">
        <v>17892</v>
      </c>
      <c r="E866" s="92" t="s">
        <v>17893</v>
      </c>
      <c r="F866" s="92" t="s">
        <v>5547</v>
      </c>
      <c r="G866" s="92" t="s">
        <v>15938</v>
      </c>
      <c r="H866" s="345">
        <v>2010</v>
      </c>
      <c r="I866" s="380">
        <v>40281</v>
      </c>
      <c r="J866" s="92"/>
      <c r="K866" s="92"/>
      <c r="L866" s="381" t="s">
        <v>17894</v>
      </c>
    </row>
    <row r="867" spans="1:12">
      <c r="A867" s="92"/>
      <c r="B867" s="345">
        <v>11833296</v>
      </c>
      <c r="C867" s="92" t="s">
        <v>17895</v>
      </c>
      <c r="D867" s="92" t="s">
        <v>17896</v>
      </c>
      <c r="E867" s="92" t="s">
        <v>17897</v>
      </c>
      <c r="F867" s="92" t="s">
        <v>5548</v>
      </c>
      <c r="G867" s="92" t="s">
        <v>17898</v>
      </c>
      <c r="H867" s="345">
        <v>2001</v>
      </c>
      <c r="I867" s="380">
        <v>37296</v>
      </c>
      <c r="J867" s="92"/>
      <c r="K867" s="92"/>
      <c r="L867" s="381" t="s">
        <v>17899</v>
      </c>
    </row>
    <row r="868" spans="1:12">
      <c r="A868" s="92"/>
      <c r="B868" s="345">
        <v>11222014</v>
      </c>
      <c r="C868" s="92" t="s">
        <v>17900</v>
      </c>
      <c r="D868" s="92" t="s">
        <v>17901</v>
      </c>
      <c r="E868" s="92" t="s">
        <v>17902</v>
      </c>
      <c r="F868" s="92" t="s">
        <v>5549</v>
      </c>
      <c r="G868" s="92" t="s">
        <v>16910</v>
      </c>
      <c r="H868" s="345">
        <v>2001</v>
      </c>
      <c r="I868" s="380">
        <v>36949</v>
      </c>
      <c r="J868" s="92"/>
      <c r="K868" s="92"/>
      <c r="L868" s="381" t="s">
        <v>17903</v>
      </c>
    </row>
    <row r="869" spans="1:12">
      <c r="A869" s="92"/>
      <c r="B869" s="345">
        <v>19240531</v>
      </c>
      <c r="C869" s="92" t="s">
        <v>17904</v>
      </c>
      <c r="D869" s="92" t="s">
        <v>17905</v>
      </c>
      <c r="E869" s="92" t="s">
        <v>17906</v>
      </c>
      <c r="F869" s="92" t="s">
        <v>5550</v>
      </c>
      <c r="G869" s="92" t="s">
        <v>17907</v>
      </c>
      <c r="H869" s="345">
        <v>2009</v>
      </c>
      <c r="I869" s="380">
        <v>39870</v>
      </c>
      <c r="J869" s="92"/>
      <c r="K869" s="92"/>
      <c r="L869" s="381" t="s">
        <v>17908</v>
      </c>
    </row>
    <row r="870" spans="1:12">
      <c r="A870" s="92"/>
      <c r="B870" s="345">
        <v>18538851</v>
      </c>
      <c r="C870" s="92" t="s">
        <v>17909</v>
      </c>
      <c r="D870" s="92" t="s">
        <v>17910</v>
      </c>
      <c r="E870" s="92" t="s">
        <v>17911</v>
      </c>
      <c r="F870" s="92" t="s">
        <v>5551</v>
      </c>
      <c r="G870" s="92" t="s">
        <v>9028</v>
      </c>
      <c r="H870" s="345">
        <v>2008</v>
      </c>
      <c r="I870" s="380">
        <v>39609</v>
      </c>
      <c r="J870" s="92"/>
      <c r="K870" s="92"/>
      <c r="L870" s="381" t="s">
        <v>17912</v>
      </c>
    </row>
    <row r="871" spans="1:12">
      <c r="A871" s="92"/>
      <c r="B871" s="345">
        <v>23074408</v>
      </c>
      <c r="C871" s="92" t="s">
        <v>17913</v>
      </c>
      <c r="D871" s="92" t="s">
        <v>9688</v>
      </c>
      <c r="E871" s="92" t="s">
        <v>17914</v>
      </c>
      <c r="F871" s="92" t="s">
        <v>5552</v>
      </c>
      <c r="G871" s="92" t="s">
        <v>9690</v>
      </c>
      <c r="H871" s="345">
        <v>2010</v>
      </c>
      <c r="I871" s="380">
        <v>41200</v>
      </c>
      <c r="J871" s="435" t="s">
        <v>5553</v>
      </c>
      <c r="K871" s="425"/>
      <c r="L871" s="92"/>
    </row>
    <row r="872" spans="1:12">
      <c r="A872" s="92"/>
      <c r="B872" s="345">
        <v>12431867</v>
      </c>
      <c r="C872" s="92" t="s">
        <v>17915</v>
      </c>
      <c r="D872" s="92" t="s">
        <v>17916</v>
      </c>
      <c r="E872" s="92" t="s">
        <v>17917</v>
      </c>
      <c r="F872" s="92" t="s">
        <v>5055</v>
      </c>
      <c r="G872" s="92" t="s">
        <v>10603</v>
      </c>
      <c r="H872" s="345">
        <v>2002</v>
      </c>
      <c r="I872" s="380">
        <v>37575</v>
      </c>
      <c r="J872" s="92"/>
      <c r="K872" s="92"/>
      <c r="L872" s="381" t="s">
        <v>17918</v>
      </c>
    </row>
    <row r="873" spans="1:12">
      <c r="A873" s="92"/>
      <c r="B873" s="345">
        <v>16094566</v>
      </c>
      <c r="C873" s="92" t="s">
        <v>17919</v>
      </c>
      <c r="D873" s="92" t="s">
        <v>17920</v>
      </c>
      <c r="E873" s="92" t="s">
        <v>17921</v>
      </c>
      <c r="F873" s="92" t="s">
        <v>5556</v>
      </c>
      <c r="G873" s="92" t="s">
        <v>17922</v>
      </c>
      <c r="H873" s="345">
        <v>2005</v>
      </c>
      <c r="I873" s="380">
        <v>38576</v>
      </c>
      <c r="J873" s="92"/>
      <c r="K873" s="92"/>
      <c r="L873" s="92"/>
    </row>
    <row r="874" spans="1:12">
      <c r="A874" s="92"/>
      <c r="B874" s="345">
        <v>21631747</v>
      </c>
      <c r="C874" s="92" t="s">
        <v>17923</v>
      </c>
      <c r="D874" s="92" t="s">
        <v>17924</v>
      </c>
      <c r="E874" s="92" t="s">
        <v>17925</v>
      </c>
      <c r="F874" s="92" t="s">
        <v>5557</v>
      </c>
      <c r="G874" s="92" t="s">
        <v>17926</v>
      </c>
      <c r="H874" s="345">
        <v>2005</v>
      </c>
      <c r="I874" s="380">
        <v>40697</v>
      </c>
      <c r="J874" s="92"/>
      <c r="K874" s="92"/>
      <c r="L874" s="381" t="s">
        <v>17927</v>
      </c>
    </row>
    <row r="875" spans="1:12">
      <c r="A875" s="92"/>
      <c r="B875" s="345">
        <v>27819973</v>
      </c>
      <c r="C875" s="92" t="s">
        <v>17923</v>
      </c>
      <c r="D875" s="92" t="s">
        <v>17924</v>
      </c>
      <c r="E875" s="92" t="s">
        <v>17928</v>
      </c>
      <c r="F875" s="92" t="s">
        <v>5557</v>
      </c>
      <c r="G875" s="92" t="s">
        <v>17929</v>
      </c>
      <c r="H875" s="345">
        <v>2005</v>
      </c>
      <c r="I875" s="380">
        <v>42682</v>
      </c>
      <c r="J875" s="92"/>
      <c r="K875" s="92"/>
      <c r="L875" s="381" t="s">
        <v>17930</v>
      </c>
    </row>
    <row r="876" spans="1:12">
      <c r="A876" s="92"/>
      <c r="B876" s="345">
        <v>12468368</v>
      </c>
      <c r="C876" s="92" t="s">
        <v>17931</v>
      </c>
      <c r="D876" s="92" t="s">
        <v>17932</v>
      </c>
      <c r="E876" s="92" t="s">
        <v>17933</v>
      </c>
      <c r="F876" s="92" t="s">
        <v>5558</v>
      </c>
      <c r="G876" s="92" t="s">
        <v>9403</v>
      </c>
      <c r="H876" s="345">
        <v>2002</v>
      </c>
      <c r="I876" s="380">
        <v>37597</v>
      </c>
      <c r="J876" s="92"/>
      <c r="K876" s="92"/>
      <c r="L876" s="381" t="s">
        <v>17934</v>
      </c>
    </row>
    <row r="877" spans="1:12">
      <c r="A877" s="92"/>
      <c r="B877" s="345">
        <v>17620623</v>
      </c>
      <c r="C877" s="92" t="s">
        <v>17935</v>
      </c>
      <c r="D877" s="92" t="s">
        <v>17936</v>
      </c>
      <c r="E877" s="92" t="s">
        <v>17937</v>
      </c>
      <c r="F877" s="92" t="s">
        <v>5559</v>
      </c>
      <c r="G877" s="92" t="s">
        <v>12950</v>
      </c>
      <c r="H877" s="345">
        <v>2007</v>
      </c>
      <c r="I877" s="380">
        <v>39274</v>
      </c>
      <c r="J877" s="92"/>
      <c r="K877" s="92"/>
      <c r="L877" s="92"/>
    </row>
    <row r="878" spans="1:12">
      <c r="A878" s="92"/>
      <c r="B878" s="345">
        <v>12010570</v>
      </c>
      <c r="C878" s="92" t="s">
        <v>17938</v>
      </c>
      <c r="D878" s="92" t="s">
        <v>17939</v>
      </c>
      <c r="E878" s="92" t="s">
        <v>17940</v>
      </c>
      <c r="F878" s="92" t="s">
        <v>4882</v>
      </c>
      <c r="G878" s="92" t="s">
        <v>17941</v>
      </c>
      <c r="H878" s="345">
        <v>2002</v>
      </c>
      <c r="I878" s="380">
        <v>37392</v>
      </c>
      <c r="J878" s="92" t="s">
        <v>5560</v>
      </c>
      <c r="K878" s="92"/>
      <c r="L878" s="92" t="s">
        <v>17942</v>
      </c>
    </row>
    <row r="879" spans="1:12">
      <c r="A879" s="92"/>
      <c r="B879" s="345">
        <v>12008010</v>
      </c>
      <c r="C879" s="92" t="s">
        <v>17943</v>
      </c>
      <c r="D879" s="92" t="s">
        <v>17944</v>
      </c>
      <c r="E879" s="92" t="s">
        <v>17945</v>
      </c>
      <c r="F879" s="92" t="s">
        <v>5562</v>
      </c>
      <c r="G879" s="92" t="s">
        <v>10058</v>
      </c>
      <c r="H879" s="345">
        <v>2002</v>
      </c>
      <c r="I879" s="380">
        <v>37391</v>
      </c>
      <c r="J879" s="92"/>
      <c r="K879" s="92"/>
      <c r="L879" s="381" t="s">
        <v>17946</v>
      </c>
    </row>
    <row r="880" spans="1:12">
      <c r="A880" s="92"/>
      <c r="B880" s="345">
        <v>16094558</v>
      </c>
      <c r="C880" s="92" t="s">
        <v>17947</v>
      </c>
      <c r="D880" s="92" t="s">
        <v>17948</v>
      </c>
      <c r="E880" s="92" t="s">
        <v>17949</v>
      </c>
      <c r="F880" s="92" t="s">
        <v>5563</v>
      </c>
      <c r="G880" s="92" t="s">
        <v>17922</v>
      </c>
      <c r="H880" s="345">
        <v>2005</v>
      </c>
      <c r="I880" s="380">
        <v>38576</v>
      </c>
      <c r="J880" s="92"/>
      <c r="K880" s="92"/>
      <c r="L880" s="92"/>
    </row>
    <row r="881" spans="1:12">
      <c r="A881" s="92"/>
      <c r="B881" s="345">
        <v>16053399</v>
      </c>
      <c r="C881" s="92" t="s">
        <v>17950</v>
      </c>
      <c r="D881" s="92" t="s">
        <v>17951</v>
      </c>
      <c r="E881" s="92" t="s">
        <v>17952</v>
      </c>
      <c r="F881" s="92" t="s">
        <v>5564</v>
      </c>
      <c r="G881" s="92" t="s">
        <v>17953</v>
      </c>
      <c r="H881" s="345">
        <v>2005</v>
      </c>
      <c r="I881" s="380">
        <v>38566</v>
      </c>
      <c r="J881" s="92"/>
      <c r="K881" s="92"/>
      <c r="L881" s="381" t="s">
        <v>17954</v>
      </c>
    </row>
    <row r="882" spans="1:12">
      <c r="A882" s="92"/>
      <c r="B882" s="345">
        <v>18697428</v>
      </c>
      <c r="C882" s="92" t="s">
        <v>17955</v>
      </c>
      <c r="D882" s="92" t="s">
        <v>17956</v>
      </c>
      <c r="E882" s="92" t="s">
        <v>17957</v>
      </c>
      <c r="F882" s="92" t="s">
        <v>5566</v>
      </c>
      <c r="G882" s="92" t="s">
        <v>17958</v>
      </c>
      <c r="H882" s="345">
        <v>2008</v>
      </c>
      <c r="I882" s="380">
        <v>39674</v>
      </c>
      <c r="J882" s="92"/>
      <c r="K882" s="92"/>
      <c r="L882" s="92"/>
    </row>
    <row r="883" spans="1:12">
      <c r="A883" s="92"/>
      <c r="B883" s="345">
        <v>12923655</v>
      </c>
      <c r="C883" s="92" t="s">
        <v>17959</v>
      </c>
      <c r="D883" s="92" t="s">
        <v>17960</v>
      </c>
      <c r="E883" s="92" t="s">
        <v>17961</v>
      </c>
      <c r="F883" s="92" t="s">
        <v>5567</v>
      </c>
      <c r="G883" s="92" t="s">
        <v>17962</v>
      </c>
      <c r="H883" s="345">
        <v>2003</v>
      </c>
      <c r="I883" s="380">
        <v>37852</v>
      </c>
      <c r="J883" s="92"/>
      <c r="K883" s="92"/>
      <c r="L883" s="381" t="s">
        <v>17963</v>
      </c>
    </row>
    <row r="884" spans="1:12">
      <c r="A884" s="92"/>
      <c r="B884" s="345">
        <v>10864514</v>
      </c>
      <c r="C884" s="92" t="s">
        <v>16002</v>
      </c>
      <c r="D884" s="92" t="s">
        <v>16003</v>
      </c>
      <c r="E884" s="92" t="s">
        <v>16004</v>
      </c>
      <c r="F884" s="92" t="s">
        <v>5000</v>
      </c>
      <c r="G884" s="92" t="s">
        <v>15429</v>
      </c>
      <c r="H884" s="345">
        <v>2000</v>
      </c>
      <c r="I884" s="380">
        <v>36700</v>
      </c>
      <c r="J884" s="92"/>
      <c r="K884" s="92"/>
      <c r="L884" s="381" t="s">
        <v>16005</v>
      </c>
    </row>
    <row r="885" spans="1:12">
      <c r="A885" s="92"/>
      <c r="B885" s="345">
        <v>12939589</v>
      </c>
      <c r="C885" s="92" t="s">
        <v>17964</v>
      </c>
      <c r="D885" s="92" t="s">
        <v>17965</v>
      </c>
      <c r="E885" s="92" t="s">
        <v>17966</v>
      </c>
      <c r="F885" s="92" t="s">
        <v>5569</v>
      </c>
      <c r="G885" s="92" t="s">
        <v>8480</v>
      </c>
      <c r="H885" s="345">
        <v>2003</v>
      </c>
      <c r="I885" s="380">
        <v>37860</v>
      </c>
      <c r="J885" s="92"/>
      <c r="K885" s="92"/>
      <c r="L885" s="381" t="s">
        <v>17967</v>
      </c>
    </row>
    <row r="886" spans="1:12">
      <c r="A886" s="92"/>
      <c r="B886" s="345">
        <v>18672736</v>
      </c>
      <c r="C886" s="92" t="s">
        <v>17968</v>
      </c>
      <c r="D886" s="92" t="s">
        <v>17969</v>
      </c>
      <c r="E886" s="92" t="s">
        <v>17970</v>
      </c>
      <c r="F886" s="92" t="s">
        <v>5570</v>
      </c>
      <c r="G886" s="92" t="s">
        <v>15308</v>
      </c>
      <c r="H886" s="345">
        <v>2008</v>
      </c>
      <c r="I886" s="380">
        <v>39665</v>
      </c>
      <c r="J886" s="92"/>
      <c r="K886" s="92"/>
      <c r="L886" s="92"/>
    </row>
    <row r="887" spans="1:12">
      <c r="A887" s="92"/>
      <c r="B887" s="345">
        <v>14636969</v>
      </c>
      <c r="C887" s="92" t="s">
        <v>17971</v>
      </c>
      <c r="D887" s="92" t="s">
        <v>17972</v>
      </c>
      <c r="E887" s="92" t="s">
        <v>17973</v>
      </c>
      <c r="F887" s="92" t="s">
        <v>5571</v>
      </c>
      <c r="G887" s="92" t="s">
        <v>12575</v>
      </c>
      <c r="H887" s="345">
        <v>2003</v>
      </c>
      <c r="I887" s="380">
        <v>37951</v>
      </c>
      <c r="J887" s="92"/>
      <c r="K887" s="92"/>
      <c r="L887" s="381" t="s">
        <v>17974</v>
      </c>
    </row>
    <row r="888" spans="1:12">
      <c r="A888" s="92"/>
      <c r="B888" s="345">
        <v>12724006</v>
      </c>
      <c r="C888" s="92" t="s">
        <v>17975</v>
      </c>
      <c r="D888" s="92" t="s">
        <v>17976</v>
      </c>
      <c r="E888" s="92" t="s">
        <v>17977</v>
      </c>
      <c r="F888" s="92" t="s">
        <v>4927</v>
      </c>
      <c r="G888" s="92" t="s">
        <v>17953</v>
      </c>
      <c r="H888" s="345">
        <v>2003</v>
      </c>
      <c r="I888" s="380">
        <v>37743</v>
      </c>
      <c r="J888" s="92"/>
      <c r="K888" s="92"/>
      <c r="L888" s="381" t="s">
        <v>17978</v>
      </c>
    </row>
    <row r="889" spans="1:12">
      <c r="A889" s="92"/>
      <c r="B889" s="345">
        <v>11583478</v>
      </c>
      <c r="C889" s="92" t="s">
        <v>17979</v>
      </c>
      <c r="D889" s="92" t="s">
        <v>17980</v>
      </c>
      <c r="E889" s="92" t="s">
        <v>17981</v>
      </c>
      <c r="F889" s="92" t="s">
        <v>5572</v>
      </c>
      <c r="G889" s="92" t="s">
        <v>10091</v>
      </c>
      <c r="H889" s="345">
        <v>2001</v>
      </c>
      <c r="I889" s="380">
        <v>37169</v>
      </c>
      <c r="J889" s="92"/>
      <c r="K889" s="92"/>
      <c r="L889" s="381" t="s">
        <v>17982</v>
      </c>
    </row>
    <row r="890" spans="1:12">
      <c r="A890" s="92"/>
      <c r="B890" s="345">
        <v>11964790</v>
      </c>
      <c r="C890" s="92" t="s">
        <v>16097</v>
      </c>
      <c r="D890" s="92" t="s">
        <v>16098</v>
      </c>
      <c r="E890" s="92" t="s">
        <v>16099</v>
      </c>
      <c r="F890" s="92" t="s">
        <v>5028</v>
      </c>
      <c r="G890" s="92" t="s">
        <v>10663</v>
      </c>
      <c r="H890" s="345">
        <v>2000</v>
      </c>
      <c r="I890" s="380">
        <v>37366</v>
      </c>
      <c r="J890" s="92"/>
      <c r="K890" s="92"/>
      <c r="L890" s="381" t="s">
        <v>16100</v>
      </c>
    </row>
    <row r="891" spans="1:12">
      <c r="A891" s="92"/>
      <c r="B891" s="345">
        <v>17293985</v>
      </c>
      <c r="C891" s="92" t="s">
        <v>17983</v>
      </c>
      <c r="D891" s="92" t="s">
        <v>17984</v>
      </c>
      <c r="E891" s="92" t="s">
        <v>17985</v>
      </c>
      <c r="F891" s="92" t="s">
        <v>5574</v>
      </c>
      <c r="G891" s="92" t="s">
        <v>17278</v>
      </c>
      <c r="H891" s="345">
        <v>2006</v>
      </c>
      <c r="I891" s="380">
        <v>39126</v>
      </c>
      <c r="J891" s="92"/>
      <c r="K891" s="92"/>
      <c r="L891" s="381" t="s">
        <v>17986</v>
      </c>
    </row>
    <row r="892" spans="1:12">
      <c r="A892" s="92"/>
      <c r="B892" s="345">
        <v>19480823</v>
      </c>
      <c r="C892" s="92" t="s">
        <v>17987</v>
      </c>
      <c r="D892" s="92" t="s">
        <v>17988</v>
      </c>
      <c r="E892" s="92" t="s">
        <v>17989</v>
      </c>
      <c r="F892" s="92" t="s">
        <v>5575</v>
      </c>
      <c r="G892" s="92" t="s">
        <v>17990</v>
      </c>
      <c r="H892" s="345">
        <v>2009</v>
      </c>
      <c r="I892" s="380">
        <v>39966</v>
      </c>
      <c r="J892" s="92"/>
      <c r="K892" s="92"/>
      <c r="L892" s="381" t="s">
        <v>17991</v>
      </c>
    </row>
    <row r="893" spans="1:12">
      <c r="A893" s="92"/>
      <c r="B893" s="345">
        <v>19189246</v>
      </c>
      <c r="C893" s="92" t="s">
        <v>17992</v>
      </c>
      <c r="D893" s="92" t="s">
        <v>17993</v>
      </c>
      <c r="E893" s="92" t="s">
        <v>17994</v>
      </c>
      <c r="F893" s="92" t="s">
        <v>5576</v>
      </c>
      <c r="G893" s="92" t="s">
        <v>17995</v>
      </c>
      <c r="H893" s="345">
        <v>2009</v>
      </c>
      <c r="I893" s="380">
        <v>39848</v>
      </c>
      <c r="J893" s="92"/>
      <c r="K893" s="92"/>
      <c r="L893" s="381" t="s">
        <v>17996</v>
      </c>
    </row>
    <row r="894" spans="1:12">
      <c r="A894" s="92"/>
      <c r="B894" s="345">
        <v>19740417</v>
      </c>
      <c r="C894" s="92" t="s">
        <v>17997</v>
      </c>
      <c r="D894" s="92" t="s">
        <v>17998</v>
      </c>
      <c r="E894" s="92" t="s">
        <v>17999</v>
      </c>
      <c r="F894" s="92" t="s">
        <v>5578</v>
      </c>
      <c r="G894" s="92" t="s">
        <v>11166</v>
      </c>
      <c r="H894" s="345">
        <v>2009</v>
      </c>
      <c r="I894" s="380">
        <v>40067</v>
      </c>
      <c r="J894" s="435" t="s">
        <v>5579</v>
      </c>
      <c r="K894" s="425"/>
      <c r="L894" s="381" t="s">
        <v>18000</v>
      </c>
    </row>
    <row r="895" spans="1:12">
      <c r="A895" s="92"/>
      <c r="B895" s="345">
        <v>20219156</v>
      </c>
      <c r="C895" s="92" t="s">
        <v>18001</v>
      </c>
      <c r="D895" s="92" t="s">
        <v>18002</v>
      </c>
      <c r="E895" s="92" t="s">
        <v>18003</v>
      </c>
      <c r="F895" s="92" t="s">
        <v>5580</v>
      </c>
      <c r="G895" s="92" t="s">
        <v>18004</v>
      </c>
      <c r="H895" s="345">
        <v>2010</v>
      </c>
      <c r="I895" s="380">
        <v>40249</v>
      </c>
      <c r="J895" s="92"/>
      <c r="K895" s="92"/>
      <c r="L895" s="381" t="s">
        <v>18005</v>
      </c>
    </row>
    <row r="896" spans="1:12">
      <c r="A896" s="92"/>
      <c r="B896" s="345">
        <v>20026374</v>
      </c>
      <c r="C896" s="92" t="s">
        <v>18006</v>
      </c>
      <c r="D896" s="92" t="s">
        <v>18007</v>
      </c>
      <c r="E896" s="92" t="s">
        <v>18008</v>
      </c>
      <c r="F896" s="92" t="s">
        <v>5581</v>
      </c>
      <c r="G896" s="92" t="s">
        <v>18009</v>
      </c>
      <c r="H896" s="345">
        <v>2010</v>
      </c>
      <c r="I896" s="380">
        <v>40170</v>
      </c>
      <c r="J896" s="92"/>
      <c r="K896" s="92"/>
      <c r="L896" s="381" t="s">
        <v>18010</v>
      </c>
    </row>
    <row r="897" spans="1:12">
      <c r="A897" s="92"/>
      <c r="B897" s="345">
        <v>14695775</v>
      </c>
      <c r="C897" s="92" t="s">
        <v>18011</v>
      </c>
      <c r="D897" s="92" t="s">
        <v>18012</v>
      </c>
      <c r="E897" s="92" t="s">
        <v>18013</v>
      </c>
      <c r="F897" s="92" t="s">
        <v>5582</v>
      </c>
      <c r="G897" s="92" t="s">
        <v>17303</v>
      </c>
      <c r="H897" s="345">
        <v>2004</v>
      </c>
      <c r="I897" s="380">
        <v>37982</v>
      </c>
      <c r="J897" s="435" t="s">
        <v>5583</v>
      </c>
      <c r="K897" s="425"/>
      <c r="L897" s="381" t="s">
        <v>18014</v>
      </c>
    </row>
    <row r="898" spans="1:12">
      <c r="A898" s="92"/>
      <c r="B898" s="345">
        <v>15268797</v>
      </c>
      <c r="C898" s="92" t="s">
        <v>18015</v>
      </c>
      <c r="D898" s="92" t="s">
        <v>18016</v>
      </c>
      <c r="E898" s="92" t="s">
        <v>18017</v>
      </c>
      <c r="F898" s="92" t="s">
        <v>5584</v>
      </c>
      <c r="G898" s="92" t="s">
        <v>10501</v>
      </c>
      <c r="H898" s="345">
        <v>2004</v>
      </c>
      <c r="I898" s="380">
        <v>38191</v>
      </c>
      <c r="J898" s="92"/>
      <c r="K898" s="92"/>
      <c r="L898" s="92"/>
    </row>
    <row r="899" spans="1:12">
      <c r="A899" s="92"/>
      <c r="B899" s="345">
        <v>15173543</v>
      </c>
      <c r="C899" s="92" t="s">
        <v>18018</v>
      </c>
      <c r="D899" s="92" t="s">
        <v>18019</v>
      </c>
      <c r="E899" s="92" t="s">
        <v>18020</v>
      </c>
      <c r="F899" s="92" t="s">
        <v>5586</v>
      </c>
      <c r="G899" s="92" t="s">
        <v>8636</v>
      </c>
      <c r="H899" s="345">
        <v>2004</v>
      </c>
      <c r="I899" s="380">
        <v>38141</v>
      </c>
      <c r="J899" s="92"/>
      <c r="K899" s="92"/>
      <c r="L899" s="381" t="s">
        <v>18021</v>
      </c>
    </row>
    <row r="900" spans="1:12">
      <c r="A900" s="92"/>
      <c r="B900" s="345">
        <v>15074873</v>
      </c>
      <c r="C900" s="92" t="s">
        <v>18022</v>
      </c>
      <c r="D900" s="92" t="s">
        <v>18023</v>
      </c>
      <c r="E900" s="92" t="s">
        <v>18024</v>
      </c>
      <c r="F900" s="92" t="s">
        <v>5588</v>
      </c>
      <c r="G900" s="92" t="s">
        <v>18025</v>
      </c>
      <c r="H900" s="345">
        <v>2004</v>
      </c>
      <c r="I900" s="380">
        <v>38090</v>
      </c>
      <c r="J900" s="92"/>
      <c r="K900" s="92"/>
      <c r="L900" s="381" t="s">
        <v>18026</v>
      </c>
    </row>
  </sheetData>
  <mergeCells count="102">
    <mergeCell ref="J719:K719"/>
    <mergeCell ref="J728:K728"/>
    <mergeCell ref="J755:K755"/>
    <mergeCell ref="J760:K760"/>
    <mergeCell ref="J894:K894"/>
    <mergeCell ref="J897:K897"/>
    <mergeCell ref="J871:K871"/>
    <mergeCell ref="J520:K520"/>
    <mergeCell ref="J523:K523"/>
    <mergeCell ref="J531:K531"/>
    <mergeCell ref="J534:K534"/>
    <mergeCell ref="J539:K539"/>
    <mergeCell ref="J542:K542"/>
    <mergeCell ref="J555:K555"/>
    <mergeCell ref="J557:K557"/>
    <mergeCell ref="J564:K564"/>
    <mergeCell ref="J565:K565"/>
    <mergeCell ref="J570:K570"/>
    <mergeCell ref="J572:K572"/>
    <mergeCell ref="J577:K577"/>
    <mergeCell ref="J579:K579"/>
    <mergeCell ref="J580:K580"/>
    <mergeCell ref="J581:K581"/>
    <mergeCell ref="J586:K586"/>
    <mergeCell ref="J590:K590"/>
    <mergeCell ref="J594:K594"/>
    <mergeCell ref="J595:K595"/>
    <mergeCell ref="J598:K598"/>
    <mergeCell ref="J607:K607"/>
    <mergeCell ref="J612:K612"/>
    <mergeCell ref="J801:K801"/>
    <mergeCell ref="J804:K804"/>
    <mergeCell ref="J813:K813"/>
    <mergeCell ref="J814:K814"/>
    <mergeCell ref="J816:K816"/>
    <mergeCell ref="J825:K825"/>
    <mergeCell ref="J848:K848"/>
    <mergeCell ref="J849:K849"/>
    <mergeCell ref="J854:K854"/>
    <mergeCell ref="J498:K498"/>
    <mergeCell ref="J499:K499"/>
    <mergeCell ref="J501:K501"/>
    <mergeCell ref="J504:K504"/>
    <mergeCell ref="J512:K512"/>
    <mergeCell ref="J764:K764"/>
    <mergeCell ref="J765:K765"/>
    <mergeCell ref="J777:K777"/>
    <mergeCell ref="J788:K788"/>
    <mergeCell ref="J616:K616"/>
    <mergeCell ref="J620:K620"/>
    <mergeCell ref="J622:K622"/>
    <mergeCell ref="J626:K626"/>
    <mergeCell ref="J630:K630"/>
    <mergeCell ref="J637:K637"/>
    <mergeCell ref="J673:K673"/>
    <mergeCell ref="J674:K674"/>
    <mergeCell ref="J676:K676"/>
    <mergeCell ref="J682:K682"/>
    <mergeCell ref="J704:K704"/>
    <mergeCell ref="J709:K709"/>
    <mergeCell ref="J710:K710"/>
    <mergeCell ref="J712:K712"/>
    <mergeCell ref="J716:K716"/>
    <mergeCell ref="J435:K435"/>
    <mergeCell ref="J437:K437"/>
    <mergeCell ref="J447:K447"/>
    <mergeCell ref="J452:K452"/>
    <mergeCell ref="J455:K455"/>
    <mergeCell ref="J461:K461"/>
    <mergeCell ref="J466:K466"/>
    <mergeCell ref="J473:K473"/>
    <mergeCell ref="J479:K479"/>
    <mergeCell ref="J172:K172"/>
    <mergeCell ref="J202:K202"/>
    <mergeCell ref="J250:K250"/>
    <mergeCell ref="C405:D405"/>
    <mergeCell ref="E405:F405"/>
    <mergeCell ref="J255:K255"/>
    <mergeCell ref="J259:K259"/>
    <mergeCell ref="J289:K289"/>
    <mergeCell ref="J297:K297"/>
    <mergeCell ref="J343:K343"/>
    <mergeCell ref="J359:K359"/>
    <mergeCell ref="J371:K371"/>
    <mergeCell ref="J65:K65"/>
    <mergeCell ref="J75:K75"/>
    <mergeCell ref="J82:K82"/>
    <mergeCell ref="J84:K84"/>
    <mergeCell ref="J88:K88"/>
    <mergeCell ref="J108:K108"/>
    <mergeCell ref="J114:K114"/>
    <mergeCell ref="J155:K155"/>
    <mergeCell ref="J156:K156"/>
    <mergeCell ref="J2:K2"/>
    <mergeCell ref="J25:K25"/>
    <mergeCell ref="J28:K28"/>
    <mergeCell ref="J37:K37"/>
    <mergeCell ref="J45:K45"/>
    <mergeCell ref="J46:K46"/>
    <mergeCell ref="J47:K47"/>
    <mergeCell ref="J51:K51"/>
    <mergeCell ref="J58:K58"/>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outlinePr summaryBelow="0" summaryRight="0"/>
  </sheetPr>
  <dimension ref="A1:G418"/>
  <sheetViews>
    <sheetView workbookViewId="0"/>
  </sheetViews>
  <sheetFormatPr defaultColWidth="14.42578125" defaultRowHeight="15.75" customHeight="1"/>
  <sheetData>
    <row r="1" spans="1:7" ht="18" customHeight="1">
      <c r="A1" s="276" t="s">
        <v>18027</v>
      </c>
      <c r="B1" s="276" t="s">
        <v>8448</v>
      </c>
      <c r="C1" s="276" t="s">
        <v>8449</v>
      </c>
      <c r="D1" s="276" t="s">
        <v>18028</v>
      </c>
      <c r="E1" s="276" t="s">
        <v>18029</v>
      </c>
      <c r="F1" s="28" t="s">
        <v>18030</v>
      </c>
      <c r="G1" s="28" t="s">
        <v>18031</v>
      </c>
    </row>
    <row r="2" spans="1:7" ht="12.75">
      <c r="A2" s="277">
        <v>1</v>
      </c>
      <c r="B2" s="276" t="s">
        <v>18032</v>
      </c>
      <c r="C2" s="276" t="s">
        <v>5590</v>
      </c>
      <c r="D2" s="276" t="s">
        <v>18033</v>
      </c>
      <c r="E2" s="276" t="s">
        <v>5591</v>
      </c>
      <c r="F2" s="28" t="s">
        <v>18034</v>
      </c>
      <c r="G2" s="28" t="s">
        <v>18035</v>
      </c>
    </row>
    <row r="3" spans="1:7" ht="12.75">
      <c r="A3" s="277">
        <v>2</v>
      </c>
      <c r="B3" s="276" t="s">
        <v>18036</v>
      </c>
      <c r="C3" s="276" t="s">
        <v>5592</v>
      </c>
      <c r="D3" s="276" t="s">
        <v>18037</v>
      </c>
      <c r="E3" s="276" t="s">
        <v>5593</v>
      </c>
      <c r="F3" s="28" t="s">
        <v>18038</v>
      </c>
      <c r="G3" s="384">
        <v>44306</v>
      </c>
    </row>
    <row r="4" spans="1:7" ht="12.75">
      <c r="A4" s="277">
        <v>3</v>
      </c>
      <c r="B4" s="276" t="s">
        <v>18039</v>
      </c>
      <c r="C4" s="276" t="s">
        <v>5594</v>
      </c>
      <c r="D4" s="276" t="s">
        <v>18040</v>
      </c>
      <c r="E4" s="276" t="s">
        <v>5595</v>
      </c>
      <c r="F4" s="28" t="s">
        <v>18041</v>
      </c>
      <c r="G4" s="28">
        <v>417</v>
      </c>
    </row>
    <row r="5" spans="1:7" ht="12.75">
      <c r="A5" s="277">
        <v>4</v>
      </c>
      <c r="B5" s="276" t="s">
        <v>18042</v>
      </c>
      <c r="C5" s="276" t="s">
        <v>5596</v>
      </c>
      <c r="D5" s="276" t="s">
        <v>18043</v>
      </c>
      <c r="E5" s="276" t="s">
        <v>4112</v>
      </c>
    </row>
    <row r="6" spans="1:7" ht="12.75">
      <c r="A6" s="277">
        <v>5</v>
      </c>
      <c r="B6" s="276" t="s">
        <v>18044</v>
      </c>
      <c r="C6" s="276" t="s">
        <v>5597</v>
      </c>
      <c r="D6" s="276" t="s">
        <v>18045</v>
      </c>
      <c r="E6" s="276" t="s">
        <v>5598</v>
      </c>
    </row>
    <row r="7" spans="1:7" ht="12.75">
      <c r="A7" s="277">
        <v>6</v>
      </c>
      <c r="B7" s="276" t="s">
        <v>18046</v>
      </c>
      <c r="C7" s="276" t="s">
        <v>5600</v>
      </c>
      <c r="D7" s="276" t="s">
        <v>18047</v>
      </c>
      <c r="E7" s="276" t="s">
        <v>4161</v>
      </c>
    </row>
    <row r="8" spans="1:7" ht="12.75">
      <c r="A8" s="277">
        <v>7</v>
      </c>
      <c r="B8" s="276" t="s">
        <v>18048</v>
      </c>
      <c r="C8" s="276" t="s">
        <v>5601</v>
      </c>
      <c r="D8" s="276" t="s">
        <v>18049</v>
      </c>
      <c r="E8" s="276" t="s">
        <v>4102</v>
      </c>
    </row>
    <row r="9" spans="1:7" ht="12.75">
      <c r="A9" s="277">
        <v>8</v>
      </c>
      <c r="B9" s="276" t="s">
        <v>18050</v>
      </c>
      <c r="C9" s="276" t="s">
        <v>5602</v>
      </c>
      <c r="D9" s="276" t="s">
        <v>18051</v>
      </c>
      <c r="E9" s="276" t="s">
        <v>4205</v>
      </c>
    </row>
    <row r="10" spans="1:7" ht="12.75">
      <c r="A10" s="277">
        <v>9</v>
      </c>
      <c r="B10" s="276" t="s">
        <v>18052</v>
      </c>
      <c r="C10" s="276" t="s">
        <v>5600</v>
      </c>
      <c r="D10" s="276" t="s">
        <v>18053</v>
      </c>
      <c r="E10" s="276" t="s">
        <v>4163</v>
      </c>
    </row>
    <row r="11" spans="1:7" ht="12.75">
      <c r="A11" s="277">
        <v>10</v>
      </c>
      <c r="B11" s="276" t="s">
        <v>18054</v>
      </c>
      <c r="C11" s="276" t="s">
        <v>5603</v>
      </c>
      <c r="D11" s="276" t="s">
        <v>18055</v>
      </c>
      <c r="E11" s="276" t="s">
        <v>5604</v>
      </c>
    </row>
    <row r="12" spans="1:7" ht="12.75">
      <c r="A12" s="277">
        <v>11</v>
      </c>
      <c r="B12" s="276" t="s">
        <v>18056</v>
      </c>
      <c r="C12" s="276" t="s">
        <v>5606</v>
      </c>
      <c r="D12" s="276" t="s">
        <v>18057</v>
      </c>
      <c r="E12" s="276" t="s">
        <v>5607</v>
      </c>
    </row>
    <row r="13" spans="1:7" ht="12.75">
      <c r="A13" s="277">
        <v>12</v>
      </c>
      <c r="B13" s="276" t="s">
        <v>18058</v>
      </c>
      <c r="C13" s="276" t="s">
        <v>5608</v>
      </c>
      <c r="D13" s="276" t="s">
        <v>18059</v>
      </c>
      <c r="E13" s="276" t="s">
        <v>5609</v>
      </c>
    </row>
    <row r="14" spans="1:7" ht="12.75">
      <c r="A14" s="277">
        <v>13</v>
      </c>
      <c r="B14" s="276" t="s">
        <v>18060</v>
      </c>
      <c r="C14" s="276" t="s">
        <v>5610</v>
      </c>
      <c r="D14" s="276" t="s">
        <v>18061</v>
      </c>
      <c r="E14" s="276" t="s">
        <v>5611</v>
      </c>
    </row>
    <row r="15" spans="1:7" ht="12.75">
      <c r="A15" s="277">
        <v>14</v>
      </c>
      <c r="B15" s="276" t="s">
        <v>18062</v>
      </c>
      <c r="C15" s="276" t="s">
        <v>5612</v>
      </c>
      <c r="D15" s="276" t="s">
        <v>18063</v>
      </c>
      <c r="E15" s="276" t="s">
        <v>5613</v>
      </c>
    </row>
    <row r="16" spans="1:7" ht="12.75">
      <c r="A16" s="277">
        <v>15</v>
      </c>
      <c r="B16" s="276" t="s">
        <v>18064</v>
      </c>
      <c r="C16" s="276" t="s">
        <v>5614</v>
      </c>
      <c r="D16" s="276" t="s">
        <v>18065</v>
      </c>
      <c r="E16" s="276" t="s">
        <v>5615</v>
      </c>
    </row>
    <row r="17" spans="1:5" ht="12.75">
      <c r="A17" s="277">
        <v>16</v>
      </c>
      <c r="B17" s="276" t="s">
        <v>18066</v>
      </c>
      <c r="C17" s="276" t="s">
        <v>5616</v>
      </c>
      <c r="D17" s="276" t="s">
        <v>18067</v>
      </c>
      <c r="E17" s="276" t="s">
        <v>5617</v>
      </c>
    </row>
    <row r="18" spans="1:5" ht="12.75">
      <c r="A18" s="277">
        <v>17</v>
      </c>
      <c r="B18" s="276" t="s">
        <v>18068</v>
      </c>
      <c r="C18" s="276" t="s">
        <v>5619</v>
      </c>
      <c r="D18" s="276" t="s">
        <v>18069</v>
      </c>
      <c r="E18" s="276" t="s">
        <v>5620</v>
      </c>
    </row>
    <row r="19" spans="1:5" ht="12.75">
      <c r="A19" s="277">
        <v>18</v>
      </c>
      <c r="B19" s="276" t="s">
        <v>18070</v>
      </c>
      <c r="C19" s="276" t="s">
        <v>5621</v>
      </c>
      <c r="D19" s="276" t="s">
        <v>18071</v>
      </c>
      <c r="E19" s="276" t="s">
        <v>5622</v>
      </c>
    </row>
    <row r="20" spans="1:5" ht="12.75">
      <c r="A20" s="277">
        <v>19</v>
      </c>
      <c r="B20" s="276" t="s">
        <v>18072</v>
      </c>
      <c r="C20" s="276" t="s">
        <v>5623</v>
      </c>
      <c r="D20" s="276" t="s">
        <v>18073</v>
      </c>
      <c r="E20" s="276" t="s">
        <v>5624</v>
      </c>
    </row>
    <row r="21" spans="1:5" ht="12.75">
      <c r="A21" s="277">
        <v>20</v>
      </c>
      <c r="B21" s="276" t="s">
        <v>18074</v>
      </c>
      <c r="C21" s="276" t="s">
        <v>5625</v>
      </c>
      <c r="D21" s="276" t="s">
        <v>18075</v>
      </c>
      <c r="E21" s="276" t="s">
        <v>5626</v>
      </c>
    </row>
    <row r="22" spans="1:5" ht="12.75">
      <c r="A22" s="277">
        <v>21</v>
      </c>
      <c r="B22" s="276" t="s">
        <v>18076</v>
      </c>
      <c r="C22" s="276" t="s">
        <v>5628</v>
      </c>
      <c r="D22" s="276" t="s">
        <v>18077</v>
      </c>
      <c r="E22" s="276" t="s">
        <v>5629</v>
      </c>
    </row>
    <row r="23" spans="1:5" ht="12.75">
      <c r="A23" s="277">
        <v>22</v>
      </c>
      <c r="B23" s="276" t="s">
        <v>18078</v>
      </c>
      <c r="C23" s="276" t="s">
        <v>5630</v>
      </c>
      <c r="D23" s="276" t="s">
        <v>18079</v>
      </c>
      <c r="E23" s="276" t="s">
        <v>5631</v>
      </c>
    </row>
    <row r="24" spans="1:5" ht="12.75">
      <c r="A24" s="277">
        <v>23</v>
      </c>
      <c r="B24" s="276" t="s">
        <v>18080</v>
      </c>
      <c r="C24" s="276" t="s">
        <v>5632</v>
      </c>
      <c r="D24" s="276" t="s">
        <v>18081</v>
      </c>
      <c r="E24" s="276" t="s">
        <v>5633</v>
      </c>
    </row>
    <row r="25" spans="1:5" ht="12.75">
      <c r="A25" s="277">
        <v>24</v>
      </c>
      <c r="B25" s="276" t="s">
        <v>18082</v>
      </c>
      <c r="C25" s="276" t="s">
        <v>5634</v>
      </c>
      <c r="D25" s="276" t="s">
        <v>18083</v>
      </c>
      <c r="E25" s="276" t="s">
        <v>5635</v>
      </c>
    </row>
    <row r="26" spans="1:5" ht="12.75">
      <c r="A26" s="277">
        <v>25</v>
      </c>
      <c r="B26" s="276" t="s">
        <v>18084</v>
      </c>
      <c r="C26" s="276" t="s">
        <v>5636</v>
      </c>
      <c r="D26" s="276" t="s">
        <v>18085</v>
      </c>
      <c r="E26" s="276" t="s">
        <v>5637</v>
      </c>
    </row>
    <row r="27" spans="1:5" ht="12.75">
      <c r="A27" s="277">
        <v>26</v>
      </c>
      <c r="B27" s="276" t="s">
        <v>18086</v>
      </c>
      <c r="C27" s="276" t="s">
        <v>5638</v>
      </c>
      <c r="D27" s="276" t="s">
        <v>18087</v>
      </c>
      <c r="E27" s="276" t="s">
        <v>5639</v>
      </c>
    </row>
    <row r="28" spans="1:5" ht="12.75">
      <c r="A28" s="277">
        <v>27</v>
      </c>
      <c r="B28" s="276" t="s">
        <v>18088</v>
      </c>
      <c r="C28" s="276" t="s">
        <v>5641</v>
      </c>
      <c r="D28" s="276" t="s">
        <v>18089</v>
      </c>
      <c r="E28" s="276" t="s">
        <v>5642</v>
      </c>
    </row>
    <row r="29" spans="1:5" ht="12.75">
      <c r="A29" s="277">
        <v>28</v>
      </c>
      <c r="B29" s="276" t="s">
        <v>18090</v>
      </c>
      <c r="C29" s="276" t="s">
        <v>5643</v>
      </c>
      <c r="D29" s="276" t="s">
        <v>18091</v>
      </c>
      <c r="E29" s="276" t="s">
        <v>5644</v>
      </c>
    </row>
    <row r="30" spans="1:5" ht="12.75">
      <c r="A30" s="277">
        <v>29</v>
      </c>
      <c r="B30" s="276" t="s">
        <v>18092</v>
      </c>
      <c r="C30" s="276" t="s">
        <v>5645</v>
      </c>
      <c r="D30" s="276" t="s">
        <v>18093</v>
      </c>
      <c r="E30" s="276" t="s">
        <v>5646</v>
      </c>
    </row>
    <row r="31" spans="1:5" ht="12.75">
      <c r="A31" s="277">
        <v>30</v>
      </c>
      <c r="B31" s="276" t="s">
        <v>18094</v>
      </c>
      <c r="C31" s="276" t="s">
        <v>5647</v>
      </c>
      <c r="D31" s="276" t="s">
        <v>18095</v>
      </c>
      <c r="E31" s="276" t="s">
        <v>5648</v>
      </c>
    </row>
    <row r="32" spans="1:5" ht="12.75">
      <c r="A32" s="277">
        <v>31</v>
      </c>
      <c r="B32" s="276" t="s">
        <v>18096</v>
      </c>
      <c r="C32" s="276" t="s">
        <v>5649</v>
      </c>
      <c r="D32" s="276" t="s">
        <v>18097</v>
      </c>
      <c r="E32" s="276" t="s">
        <v>5650</v>
      </c>
    </row>
    <row r="33" spans="1:5" ht="12.75">
      <c r="A33" s="277">
        <v>32</v>
      </c>
      <c r="B33" s="276" t="s">
        <v>18098</v>
      </c>
      <c r="C33" s="276" t="s">
        <v>5651</v>
      </c>
      <c r="D33" s="276" t="s">
        <v>18099</v>
      </c>
      <c r="E33" s="276" t="s">
        <v>5652</v>
      </c>
    </row>
    <row r="34" spans="1:5" ht="12.75">
      <c r="A34" s="277">
        <v>33</v>
      </c>
      <c r="B34" s="276" t="s">
        <v>18100</v>
      </c>
      <c r="C34" s="276" t="s">
        <v>5653</v>
      </c>
      <c r="D34" s="276" t="s">
        <v>18101</v>
      </c>
      <c r="E34" s="276" t="s">
        <v>5654</v>
      </c>
    </row>
    <row r="35" spans="1:5" ht="12.75">
      <c r="A35" s="277">
        <v>34</v>
      </c>
      <c r="B35" s="276" t="s">
        <v>18102</v>
      </c>
      <c r="C35" s="276" t="s">
        <v>5655</v>
      </c>
      <c r="D35" s="276" t="s">
        <v>18103</v>
      </c>
      <c r="E35" s="276" t="s">
        <v>5656</v>
      </c>
    </row>
    <row r="36" spans="1:5" ht="12.75">
      <c r="A36" s="277">
        <v>35</v>
      </c>
      <c r="B36" s="276" t="s">
        <v>18104</v>
      </c>
      <c r="C36" s="276" t="s">
        <v>5657</v>
      </c>
      <c r="D36" s="276" t="s">
        <v>18105</v>
      </c>
      <c r="E36" s="276" t="s">
        <v>5658</v>
      </c>
    </row>
    <row r="37" spans="1:5" ht="12.75">
      <c r="A37" s="277">
        <v>36</v>
      </c>
      <c r="B37" s="276" t="s">
        <v>18106</v>
      </c>
      <c r="C37" s="276" t="s">
        <v>5659</v>
      </c>
      <c r="D37" s="276" t="s">
        <v>18107</v>
      </c>
      <c r="E37" s="276" t="s">
        <v>5660</v>
      </c>
    </row>
    <row r="38" spans="1:5" ht="12.75">
      <c r="A38" s="277">
        <v>37</v>
      </c>
      <c r="B38" s="276" t="s">
        <v>18108</v>
      </c>
      <c r="C38" s="276" t="s">
        <v>5596</v>
      </c>
      <c r="D38" s="276" t="s">
        <v>18109</v>
      </c>
      <c r="E38" s="276" t="s">
        <v>4114</v>
      </c>
    </row>
    <row r="39" spans="1:5" ht="12.75">
      <c r="A39" s="277">
        <v>38</v>
      </c>
      <c r="B39" s="276" t="s">
        <v>18110</v>
      </c>
      <c r="C39" s="276" t="s">
        <v>5661</v>
      </c>
      <c r="D39" s="276" t="s">
        <v>18111</v>
      </c>
      <c r="E39" s="276" t="s">
        <v>5662</v>
      </c>
    </row>
    <row r="40" spans="1:5" ht="12.75">
      <c r="A40" s="277">
        <v>39</v>
      </c>
      <c r="B40" s="276" t="s">
        <v>18112</v>
      </c>
      <c r="C40" s="276" t="s">
        <v>5663</v>
      </c>
      <c r="D40" s="276" t="s">
        <v>18113</v>
      </c>
      <c r="E40" s="276" t="s">
        <v>4222</v>
      </c>
    </row>
    <row r="41" spans="1:5" ht="12.75">
      <c r="A41" s="277">
        <v>40</v>
      </c>
      <c r="B41" s="276" t="s">
        <v>18114</v>
      </c>
      <c r="C41" s="276" t="s">
        <v>5664</v>
      </c>
      <c r="D41" s="276" t="s">
        <v>18115</v>
      </c>
      <c r="E41" s="276" t="s">
        <v>5665</v>
      </c>
    </row>
    <row r="42" spans="1:5" ht="12.75">
      <c r="A42" s="277">
        <v>41</v>
      </c>
      <c r="B42" s="276" t="s">
        <v>18116</v>
      </c>
      <c r="C42" s="276" t="s">
        <v>5666</v>
      </c>
      <c r="D42" s="276" t="s">
        <v>18117</v>
      </c>
      <c r="E42" s="276" t="s">
        <v>5667</v>
      </c>
    </row>
    <row r="43" spans="1:5" ht="12.75">
      <c r="A43" s="277">
        <v>42</v>
      </c>
      <c r="B43" s="276" t="s">
        <v>18118</v>
      </c>
      <c r="C43" s="276" t="s">
        <v>5669</v>
      </c>
      <c r="D43" s="276" t="s">
        <v>18119</v>
      </c>
      <c r="E43" s="276" t="s">
        <v>5670</v>
      </c>
    </row>
    <row r="44" spans="1:5" ht="12.75">
      <c r="A44" s="277">
        <v>43</v>
      </c>
      <c r="B44" s="276" t="s">
        <v>18120</v>
      </c>
      <c r="C44" s="276" t="s">
        <v>5671</v>
      </c>
      <c r="D44" s="276" t="s">
        <v>18121</v>
      </c>
      <c r="E44" s="276" t="s">
        <v>5672</v>
      </c>
    </row>
    <row r="45" spans="1:5" ht="12.75">
      <c r="A45" s="277">
        <v>44</v>
      </c>
      <c r="B45" s="276" t="s">
        <v>18122</v>
      </c>
      <c r="C45" s="276" t="s">
        <v>5619</v>
      </c>
      <c r="D45" s="276" t="s">
        <v>18123</v>
      </c>
      <c r="E45" s="276" t="s">
        <v>5673</v>
      </c>
    </row>
    <row r="46" spans="1:5" ht="12.75">
      <c r="A46" s="277">
        <v>45</v>
      </c>
      <c r="B46" s="276" t="s">
        <v>18124</v>
      </c>
      <c r="C46" s="276" t="s">
        <v>5674</v>
      </c>
      <c r="D46" s="276" t="s">
        <v>18125</v>
      </c>
      <c r="E46" s="276" t="s">
        <v>5675</v>
      </c>
    </row>
    <row r="47" spans="1:5" ht="12.75">
      <c r="A47" s="277">
        <v>46</v>
      </c>
      <c r="B47" s="276" t="s">
        <v>18126</v>
      </c>
      <c r="C47" s="276" t="s">
        <v>5676</v>
      </c>
      <c r="D47" s="276" t="s">
        <v>18127</v>
      </c>
      <c r="E47" s="276" t="s">
        <v>5677</v>
      </c>
    </row>
    <row r="48" spans="1:5" ht="12.75">
      <c r="A48" s="277">
        <v>47</v>
      </c>
      <c r="B48" s="276" t="s">
        <v>18128</v>
      </c>
      <c r="C48" s="276" t="s">
        <v>5678</v>
      </c>
      <c r="D48" s="276" t="s">
        <v>18129</v>
      </c>
      <c r="E48" s="276" t="s">
        <v>5679</v>
      </c>
    </row>
    <row r="49" spans="1:5" ht="12.75">
      <c r="A49" s="277">
        <v>48</v>
      </c>
      <c r="B49" s="276" t="s">
        <v>18130</v>
      </c>
      <c r="C49" s="276" t="s">
        <v>5645</v>
      </c>
      <c r="D49" s="276" t="s">
        <v>18131</v>
      </c>
      <c r="E49" s="276" t="s">
        <v>5680</v>
      </c>
    </row>
    <row r="50" spans="1:5" ht="12.75">
      <c r="A50" s="277">
        <v>49</v>
      </c>
      <c r="B50" s="276" t="s">
        <v>18132</v>
      </c>
      <c r="C50" s="276" t="s">
        <v>5681</v>
      </c>
      <c r="D50" s="276" t="s">
        <v>18133</v>
      </c>
      <c r="E50" s="276" t="s">
        <v>5682</v>
      </c>
    </row>
    <row r="51" spans="1:5" ht="12.75">
      <c r="A51" s="277">
        <v>50</v>
      </c>
      <c r="B51" s="276" t="s">
        <v>18134</v>
      </c>
      <c r="C51" s="276" t="s">
        <v>5683</v>
      </c>
      <c r="D51" s="276" t="s">
        <v>18135</v>
      </c>
      <c r="E51" s="276" t="s">
        <v>5684</v>
      </c>
    </row>
    <row r="52" spans="1:5" ht="12.75">
      <c r="A52" s="277">
        <v>51</v>
      </c>
      <c r="B52" s="276" t="s">
        <v>18136</v>
      </c>
      <c r="C52" s="276" t="s">
        <v>5685</v>
      </c>
      <c r="D52" s="276" t="s">
        <v>18137</v>
      </c>
      <c r="E52" s="276" t="s">
        <v>5686</v>
      </c>
    </row>
    <row r="53" spans="1:5" ht="12.75">
      <c r="A53" s="277">
        <v>52</v>
      </c>
      <c r="B53" s="276" t="s">
        <v>18138</v>
      </c>
      <c r="C53" s="276" t="s">
        <v>5687</v>
      </c>
      <c r="D53" s="276" t="s">
        <v>18139</v>
      </c>
      <c r="E53" s="276" t="s">
        <v>5688</v>
      </c>
    </row>
    <row r="54" spans="1:5" ht="12.75">
      <c r="A54" s="277">
        <v>53</v>
      </c>
      <c r="B54" s="276" t="s">
        <v>18140</v>
      </c>
      <c r="C54" s="276" t="s">
        <v>5689</v>
      </c>
      <c r="D54" s="276" t="s">
        <v>18141</v>
      </c>
      <c r="E54" s="276" t="s">
        <v>5690</v>
      </c>
    </row>
    <row r="55" spans="1:5" ht="12.75">
      <c r="A55" s="277">
        <v>54</v>
      </c>
      <c r="B55" s="276" t="s">
        <v>18142</v>
      </c>
      <c r="C55" s="276" t="s">
        <v>5691</v>
      </c>
      <c r="D55" s="276" t="s">
        <v>18143</v>
      </c>
      <c r="E55" s="276" t="s">
        <v>5692</v>
      </c>
    </row>
    <row r="56" spans="1:5" ht="12.75">
      <c r="A56" s="277">
        <v>55</v>
      </c>
      <c r="B56" s="276" t="s">
        <v>18144</v>
      </c>
      <c r="C56" s="276" t="s">
        <v>5693</v>
      </c>
      <c r="D56" s="276" t="s">
        <v>18145</v>
      </c>
      <c r="E56" s="276" t="s">
        <v>5694</v>
      </c>
    </row>
    <row r="57" spans="1:5" ht="12.75">
      <c r="A57" s="277">
        <v>56</v>
      </c>
      <c r="B57" s="276" t="s">
        <v>18146</v>
      </c>
      <c r="C57" s="276" t="s">
        <v>5695</v>
      </c>
      <c r="D57" s="276" t="s">
        <v>18147</v>
      </c>
      <c r="E57" s="276" t="s">
        <v>5696</v>
      </c>
    </row>
    <row r="58" spans="1:5" ht="12.75">
      <c r="A58" s="277">
        <v>57</v>
      </c>
      <c r="B58" s="276" t="s">
        <v>18148</v>
      </c>
      <c r="C58" s="276" t="s">
        <v>5697</v>
      </c>
      <c r="D58" s="276" t="s">
        <v>18149</v>
      </c>
      <c r="E58" s="276" t="s">
        <v>5698</v>
      </c>
    </row>
    <row r="59" spans="1:5" ht="12.75">
      <c r="A59" s="277">
        <v>58</v>
      </c>
      <c r="B59" s="276" t="s">
        <v>18150</v>
      </c>
      <c r="C59" s="276" t="s">
        <v>5699</v>
      </c>
      <c r="D59" s="276" t="s">
        <v>18151</v>
      </c>
      <c r="E59" s="276" t="s">
        <v>5700</v>
      </c>
    </row>
    <row r="60" spans="1:5" ht="12.75">
      <c r="A60" s="277">
        <v>59</v>
      </c>
      <c r="B60" s="276" t="s">
        <v>18152</v>
      </c>
      <c r="C60" s="276" t="s">
        <v>5701</v>
      </c>
      <c r="D60" s="276" t="s">
        <v>18153</v>
      </c>
      <c r="E60" s="276" t="s">
        <v>5702</v>
      </c>
    </row>
    <row r="61" spans="1:5" ht="12.75">
      <c r="A61" s="277">
        <v>60</v>
      </c>
      <c r="B61" s="276" t="s">
        <v>18154</v>
      </c>
      <c r="C61" s="276" t="s">
        <v>5703</v>
      </c>
      <c r="D61" s="276" t="s">
        <v>18155</v>
      </c>
      <c r="E61" s="276" t="s">
        <v>5704</v>
      </c>
    </row>
    <row r="62" spans="1:5" ht="12.75">
      <c r="A62" s="277">
        <v>61</v>
      </c>
      <c r="B62" s="276" t="s">
        <v>18156</v>
      </c>
      <c r="C62" s="276" t="s">
        <v>5706</v>
      </c>
      <c r="D62" s="276" t="s">
        <v>18157</v>
      </c>
      <c r="E62" s="276" t="s">
        <v>5707</v>
      </c>
    </row>
    <row r="63" spans="1:5" ht="12.75">
      <c r="A63" s="277">
        <v>62</v>
      </c>
      <c r="B63" s="276" t="s">
        <v>18158</v>
      </c>
      <c r="C63" s="276" t="s">
        <v>5709</v>
      </c>
      <c r="D63" s="276" t="s">
        <v>18159</v>
      </c>
      <c r="E63" s="276" t="s">
        <v>5710</v>
      </c>
    </row>
    <row r="64" spans="1:5" ht="12.75">
      <c r="A64" s="277">
        <v>63</v>
      </c>
      <c r="B64" s="276" t="s">
        <v>18160</v>
      </c>
      <c r="C64" s="276" t="s">
        <v>5711</v>
      </c>
      <c r="D64" s="276" t="s">
        <v>18161</v>
      </c>
      <c r="E64" s="276" t="s">
        <v>5712</v>
      </c>
    </row>
    <row r="65" spans="1:5" ht="12.75">
      <c r="A65" s="277">
        <v>64</v>
      </c>
      <c r="B65" s="276" t="s">
        <v>18162</v>
      </c>
      <c r="C65" s="276" t="s">
        <v>5713</v>
      </c>
      <c r="D65" s="276" t="s">
        <v>18163</v>
      </c>
      <c r="E65" s="276" t="s">
        <v>5714</v>
      </c>
    </row>
    <row r="66" spans="1:5" ht="12.75">
      <c r="A66" s="277">
        <v>65</v>
      </c>
      <c r="B66" s="276" t="s">
        <v>18164</v>
      </c>
      <c r="C66" s="276" t="s">
        <v>5715</v>
      </c>
      <c r="D66" s="276" t="s">
        <v>18165</v>
      </c>
      <c r="E66" s="276" t="s">
        <v>5716</v>
      </c>
    </row>
    <row r="67" spans="1:5" ht="12.75">
      <c r="A67" s="277">
        <v>66</v>
      </c>
      <c r="B67" s="276" t="s">
        <v>18166</v>
      </c>
      <c r="C67" s="276" t="s">
        <v>5717</v>
      </c>
      <c r="D67" s="276" t="s">
        <v>18167</v>
      </c>
      <c r="E67" s="276" t="s">
        <v>5718</v>
      </c>
    </row>
    <row r="68" spans="1:5" ht="12.75">
      <c r="A68" s="277">
        <v>67</v>
      </c>
      <c r="B68" s="276" t="s">
        <v>18168</v>
      </c>
      <c r="C68" s="276" t="s">
        <v>5719</v>
      </c>
      <c r="D68" s="276" t="s">
        <v>18169</v>
      </c>
      <c r="E68" s="276" t="s">
        <v>5720</v>
      </c>
    </row>
    <row r="69" spans="1:5" ht="12.75">
      <c r="A69" s="277">
        <v>68</v>
      </c>
      <c r="B69" s="276" t="s">
        <v>18170</v>
      </c>
      <c r="C69" s="276" t="s">
        <v>5721</v>
      </c>
      <c r="D69" s="276" t="s">
        <v>18171</v>
      </c>
      <c r="E69" s="276" t="s">
        <v>5722</v>
      </c>
    </row>
    <row r="70" spans="1:5" ht="12.75">
      <c r="A70" s="277">
        <v>69</v>
      </c>
      <c r="B70" s="276" t="s">
        <v>18172</v>
      </c>
      <c r="C70" s="276" t="s">
        <v>5723</v>
      </c>
      <c r="D70" s="276" t="s">
        <v>18173</v>
      </c>
      <c r="E70" s="276" t="s">
        <v>5724</v>
      </c>
    </row>
    <row r="71" spans="1:5" ht="12.75">
      <c r="A71" s="277">
        <v>70</v>
      </c>
      <c r="B71" s="276" t="s">
        <v>18174</v>
      </c>
      <c r="C71" s="276" t="s">
        <v>5725</v>
      </c>
      <c r="D71" s="276" t="s">
        <v>18175</v>
      </c>
      <c r="E71" s="276" t="s">
        <v>5726</v>
      </c>
    </row>
    <row r="72" spans="1:5" ht="12.75">
      <c r="A72" s="277">
        <v>71</v>
      </c>
      <c r="B72" s="276" t="s">
        <v>18176</v>
      </c>
      <c r="C72" s="276" t="s">
        <v>5728</v>
      </c>
      <c r="D72" s="276" t="s">
        <v>18177</v>
      </c>
      <c r="E72" s="276" t="s">
        <v>5729</v>
      </c>
    </row>
    <row r="73" spans="1:5" ht="12.75">
      <c r="A73" s="277">
        <v>72</v>
      </c>
      <c r="B73" s="276" t="s">
        <v>18178</v>
      </c>
      <c r="C73" s="276" t="s">
        <v>5730</v>
      </c>
      <c r="D73" s="276" t="s">
        <v>18179</v>
      </c>
      <c r="E73" s="276" t="s">
        <v>5731</v>
      </c>
    </row>
    <row r="74" spans="1:5" ht="12.75">
      <c r="A74" s="277">
        <v>73</v>
      </c>
      <c r="B74" s="276" t="s">
        <v>18180</v>
      </c>
      <c r="C74" s="276" t="s">
        <v>5732</v>
      </c>
      <c r="D74" s="276" t="s">
        <v>18181</v>
      </c>
      <c r="E74" s="276" t="s">
        <v>5733</v>
      </c>
    </row>
    <row r="75" spans="1:5" ht="12.75">
      <c r="A75" s="277">
        <v>74</v>
      </c>
      <c r="B75" s="276" t="s">
        <v>18182</v>
      </c>
      <c r="C75" s="276" t="s">
        <v>5734</v>
      </c>
      <c r="D75" s="276" t="s">
        <v>18183</v>
      </c>
      <c r="E75" s="276" t="s">
        <v>5735</v>
      </c>
    </row>
    <row r="76" spans="1:5" ht="12.75">
      <c r="A76" s="277">
        <v>75</v>
      </c>
      <c r="B76" s="276" t="s">
        <v>18184</v>
      </c>
      <c r="C76" s="276" t="s">
        <v>5723</v>
      </c>
      <c r="D76" s="276" t="s">
        <v>18185</v>
      </c>
      <c r="E76" s="276" t="s">
        <v>5737</v>
      </c>
    </row>
    <row r="77" spans="1:5" ht="12.75">
      <c r="A77" s="277">
        <v>76</v>
      </c>
      <c r="B77" s="276" t="s">
        <v>18186</v>
      </c>
      <c r="C77" s="276" t="s">
        <v>5738</v>
      </c>
      <c r="D77" s="276" t="s">
        <v>18187</v>
      </c>
      <c r="E77" s="276" t="s">
        <v>5739</v>
      </c>
    </row>
    <row r="78" spans="1:5" ht="12.75">
      <c r="A78" s="277">
        <v>77</v>
      </c>
      <c r="B78" s="276" t="s">
        <v>18188</v>
      </c>
      <c r="C78" s="276" t="s">
        <v>5740</v>
      </c>
      <c r="D78" s="276" t="s">
        <v>18189</v>
      </c>
      <c r="E78" s="276" t="s">
        <v>5741</v>
      </c>
    </row>
    <row r="79" spans="1:5" ht="12.75">
      <c r="A79" s="277">
        <v>78</v>
      </c>
      <c r="B79" s="276" t="s">
        <v>18190</v>
      </c>
      <c r="C79" s="276" t="s">
        <v>5743</v>
      </c>
      <c r="D79" s="276" t="s">
        <v>18191</v>
      </c>
      <c r="E79" s="276" t="s">
        <v>5744</v>
      </c>
    </row>
    <row r="80" spans="1:5" ht="12.75">
      <c r="A80" s="277">
        <v>79</v>
      </c>
      <c r="B80" s="276" t="s">
        <v>18192</v>
      </c>
      <c r="C80" s="276" t="s">
        <v>5610</v>
      </c>
      <c r="D80" s="276" t="s">
        <v>18193</v>
      </c>
      <c r="E80" s="276" t="s">
        <v>5745</v>
      </c>
    </row>
    <row r="81" spans="1:5" ht="12.75">
      <c r="A81" s="277">
        <v>80</v>
      </c>
      <c r="B81" s="276" t="s">
        <v>18194</v>
      </c>
      <c r="C81" s="276" t="s">
        <v>5746</v>
      </c>
      <c r="D81" s="276" t="s">
        <v>18195</v>
      </c>
      <c r="E81" s="276" t="s">
        <v>5747</v>
      </c>
    </row>
    <row r="82" spans="1:5" ht="12.75">
      <c r="A82" s="277">
        <v>81</v>
      </c>
      <c r="B82" s="276" t="s">
        <v>18196</v>
      </c>
      <c r="C82" s="276" t="s">
        <v>5663</v>
      </c>
      <c r="D82" s="276" t="s">
        <v>18197</v>
      </c>
      <c r="E82" s="276" t="s">
        <v>4223</v>
      </c>
    </row>
    <row r="83" spans="1:5" ht="12.75">
      <c r="A83" s="277">
        <v>82</v>
      </c>
      <c r="B83" s="276" t="s">
        <v>18198</v>
      </c>
      <c r="C83" s="276" t="s">
        <v>5748</v>
      </c>
      <c r="D83" s="276" t="s">
        <v>18199</v>
      </c>
      <c r="E83" s="276" t="s">
        <v>5749</v>
      </c>
    </row>
    <row r="84" spans="1:5" ht="12.75">
      <c r="A84" s="277">
        <v>83</v>
      </c>
      <c r="B84" s="276" t="s">
        <v>18200</v>
      </c>
      <c r="C84" s="276" t="s">
        <v>5750</v>
      </c>
      <c r="D84" s="276" t="s">
        <v>18201</v>
      </c>
      <c r="E84" s="276" t="s">
        <v>4557</v>
      </c>
    </row>
    <row r="85" spans="1:5" ht="12.75">
      <c r="A85" s="277">
        <v>84</v>
      </c>
      <c r="B85" s="276" t="s">
        <v>18202</v>
      </c>
      <c r="C85" s="276" t="s">
        <v>5751</v>
      </c>
      <c r="D85" s="276" t="s">
        <v>18203</v>
      </c>
      <c r="E85" s="276" t="s">
        <v>5752</v>
      </c>
    </row>
    <row r="86" spans="1:5" ht="12.75">
      <c r="A86" s="277">
        <v>85</v>
      </c>
      <c r="B86" s="276" t="s">
        <v>18204</v>
      </c>
      <c r="C86" s="276" t="s">
        <v>5753</v>
      </c>
      <c r="D86" s="276" t="s">
        <v>18205</v>
      </c>
      <c r="E86" s="276" t="s">
        <v>5754</v>
      </c>
    </row>
    <row r="87" spans="1:5" ht="12.75">
      <c r="A87" s="277">
        <v>86</v>
      </c>
      <c r="B87" s="276" t="s">
        <v>18206</v>
      </c>
      <c r="C87" s="276" t="s">
        <v>5755</v>
      </c>
      <c r="D87" s="276" t="s">
        <v>18207</v>
      </c>
      <c r="E87" s="276" t="s">
        <v>5756</v>
      </c>
    </row>
    <row r="88" spans="1:5" ht="12.75">
      <c r="A88" s="277">
        <v>87</v>
      </c>
      <c r="B88" s="276" t="s">
        <v>18208</v>
      </c>
      <c r="C88" s="276" t="s">
        <v>5757</v>
      </c>
      <c r="D88" s="276" t="s">
        <v>18209</v>
      </c>
      <c r="E88" s="276" t="s">
        <v>5758</v>
      </c>
    </row>
    <row r="89" spans="1:5" ht="12.75">
      <c r="A89" s="277">
        <v>88</v>
      </c>
      <c r="B89" s="276" t="s">
        <v>18210</v>
      </c>
      <c r="C89" s="276" t="s">
        <v>5760</v>
      </c>
      <c r="D89" s="276" t="s">
        <v>18211</v>
      </c>
      <c r="E89" s="276" t="s">
        <v>5761</v>
      </c>
    </row>
    <row r="90" spans="1:5" ht="12.75">
      <c r="A90" s="277">
        <v>89</v>
      </c>
      <c r="B90" s="276" t="s">
        <v>18212</v>
      </c>
      <c r="C90" s="276" t="s">
        <v>5762</v>
      </c>
      <c r="D90" s="276" t="s">
        <v>18213</v>
      </c>
      <c r="E90" s="276" t="s">
        <v>5763</v>
      </c>
    </row>
    <row r="91" spans="1:5" ht="12.75">
      <c r="A91" s="277">
        <v>90</v>
      </c>
      <c r="B91" s="276" t="s">
        <v>18214</v>
      </c>
      <c r="C91" s="276" t="s">
        <v>5764</v>
      </c>
      <c r="D91" s="276" t="s">
        <v>18215</v>
      </c>
      <c r="E91" s="276" t="s">
        <v>5765</v>
      </c>
    </row>
    <row r="92" spans="1:5" ht="12.75">
      <c r="A92" s="277">
        <v>91</v>
      </c>
      <c r="B92" s="276" t="s">
        <v>18216</v>
      </c>
      <c r="C92" s="276" t="s">
        <v>5766</v>
      </c>
      <c r="D92" s="276" t="s">
        <v>18217</v>
      </c>
      <c r="E92" s="276" t="s">
        <v>5767</v>
      </c>
    </row>
    <row r="93" spans="1:5" ht="12.75">
      <c r="A93" s="277">
        <v>92</v>
      </c>
      <c r="B93" s="276" t="s">
        <v>18218</v>
      </c>
      <c r="C93" s="276" t="s">
        <v>5768</v>
      </c>
      <c r="D93" s="276" t="s">
        <v>18219</v>
      </c>
      <c r="E93" s="276" t="s">
        <v>5769</v>
      </c>
    </row>
    <row r="94" spans="1:5" ht="12.75">
      <c r="A94" s="277">
        <v>93</v>
      </c>
      <c r="B94" s="276" t="s">
        <v>18220</v>
      </c>
      <c r="C94" s="276" t="s">
        <v>5770</v>
      </c>
      <c r="D94" s="276" t="s">
        <v>18221</v>
      </c>
      <c r="E94" s="276" t="s">
        <v>5771</v>
      </c>
    </row>
    <row r="95" spans="1:5" ht="12.75">
      <c r="A95" s="277">
        <v>94</v>
      </c>
      <c r="B95" s="276" t="s">
        <v>18222</v>
      </c>
      <c r="C95" s="276" t="s">
        <v>5772</v>
      </c>
      <c r="D95" s="276" t="s">
        <v>18223</v>
      </c>
      <c r="E95" s="276" t="s">
        <v>5773</v>
      </c>
    </row>
    <row r="96" spans="1:5" ht="12.75">
      <c r="A96" s="277">
        <v>95</v>
      </c>
      <c r="B96" s="276" t="s">
        <v>18224</v>
      </c>
      <c r="C96" s="276" t="s">
        <v>5774</v>
      </c>
      <c r="D96" s="276" t="s">
        <v>18225</v>
      </c>
      <c r="E96" s="276" t="s">
        <v>5775</v>
      </c>
    </row>
    <row r="97" spans="1:5" ht="12.75">
      <c r="A97" s="277">
        <v>96</v>
      </c>
      <c r="B97" s="276" t="s">
        <v>18226</v>
      </c>
      <c r="C97" s="276" t="s">
        <v>5776</v>
      </c>
      <c r="D97" s="276" t="s">
        <v>18227</v>
      </c>
      <c r="E97" s="276" t="s">
        <v>4119</v>
      </c>
    </row>
    <row r="98" spans="1:5" ht="12.75">
      <c r="A98" s="277">
        <v>97</v>
      </c>
      <c r="B98" s="276" t="s">
        <v>18228</v>
      </c>
      <c r="C98" s="276" t="s">
        <v>5777</v>
      </c>
      <c r="D98" s="276" t="s">
        <v>18229</v>
      </c>
      <c r="E98" s="276" t="s">
        <v>5778</v>
      </c>
    </row>
    <row r="99" spans="1:5" ht="12.75">
      <c r="A99" s="277">
        <v>98</v>
      </c>
      <c r="B99" s="276" t="s">
        <v>18230</v>
      </c>
      <c r="C99" s="276" t="s">
        <v>5779</v>
      </c>
      <c r="D99" s="276" t="s">
        <v>18231</v>
      </c>
      <c r="E99" s="276" t="s">
        <v>5780</v>
      </c>
    </row>
    <row r="100" spans="1:5" ht="12.75">
      <c r="A100" s="277">
        <v>99</v>
      </c>
      <c r="B100" s="276" t="s">
        <v>18232</v>
      </c>
      <c r="C100" s="276" t="s">
        <v>5782</v>
      </c>
      <c r="D100" s="276" t="s">
        <v>18233</v>
      </c>
      <c r="E100" s="276" t="s">
        <v>5783</v>
      </c>
    </row>
    <row r="101" spans="1:5" ht="12.75">
      <c r="A101" s="277">
        <v>100</v>
      </c>
      <c r="B101" s="276" t="s">
        <v>18234</v>
      </c>
      <c r="C101" s="276" t="s">
        <v>5784</v>
      </c>
      <c r="D101" s="276" t="s">
        <v>18235</v>
      </c>
      <c r="E101" s="276" t="s">
        <v>5785</v>
      </c>
    </row>
    <row r="102" spans="1:5" ht="12.75">
      <c r="A102" s="277">
        <v>101</v>
      </c>
      <c r="B102" s="276" t="s">
        <v>18236</v>
      </c>
      <c r="C102" s="276" t="s">
        <v>5786</v>
      </c>
      <c r="D102" s="276" t="s">
        <v>18237</v>
      </c>
      <c r="E102" s="276" t="s">
        <v>5787</v>
      </c>
    </row>
    <row r="103" spans="1:5" ht="12.75">
      <c r="A103" s="277">
        <v>102</v>
      </c>
      <c r="B103" s="276" t="s">
        <v>18238</v>
      </c>
      <c r="C103" s="276" t="s">
        <v>5788</v>
      </c>
      <c r="D103" s="276" t="s">
        <v>18239</v>
      </c>
      <c r="E103" s="276" t="s">
        <v>5789</v>
      </c>
    </row>
    <row r="104" spans="1:5" ht="12.75">
      <c r="A104" s="277">
        <v>103</v>
      </c>
      <c r="B104" s="276" t="s">
        <v>18240</v>
      </c>
      <c r="C104" s="276" t="s">
        <v>5790</v>
      </c>
      <c r="D104" s="276" t="s">
        <v>18241</v>
      </c>
      <c r="E104" s="276" t="s">
        <v>5791</v>
      </c>
    </row>
    <row r="105" spans="1:5" ht="12.75">
      <c r="A105" s="277">
        <v>104</v>
      </c>
      <c r="B105" s="276" t="s">
        <v>18242</v>
      </c>
      <c r="C105" s="276" t="s">
        <v>5792</v>
      </c>
      <c r="D105" s="276" t="s">
        <v>18243</v>
      </c>
      <c r="E105" s="276" t="s">
        <v>5793</v>
      </c>
    </row>
    <row r="106" spans="1:5" ht="12.75">
      <c r="A106" s="277">
        <v>105</v>
      </c>
      <c r="B106" s="276" t="s">
        <v>18244</v>
      </c>
      <c r="C106" s="276" t="s">
        <v>5794</v>
      </c>
      <c r="D106" s="276" t="s">
        <v>18245</v>
      </c>
      <c r="E106" s="276" t="s">
        <v>5795</v>
      </c>
    </row>
    <row r="107" spans="1:5" ht="12.75">
      <c r="A107" s="277">
        <v>106</v>
      </c>
      <c r="B107" s="276" t="s">
        <v>18246</v>
      </c>
      <c r="C107" s="276" t="s">
        <v>5796</v>
      </c>
      <c r="D107" s="276" t="s">
        <v>18247</v>
      </c>
      <c r="E107" s="276" t="s">
        <v>5797</v>
      </c>
    </row>
    <row r="108" spans="1:5" ht="12.75">
      <c r="A108" s="277">
        <v>107</v>
      </c>
      <c r="B108" s="276" t="s">
        <v>18248</v>
      </c>
      <c r="C108" s="276" t="s">
        <v>5798</v>
      </c>
      <c r="D108" s="276" t="s">
        <v>18249</v>
      </c>
      <c r="E108" s="276" t="s">
        <v>5799</v>
      </c>
    </row>
    <row r="109" spans="1:5" ht="12.75">
      <c r="A109" s="277">
        <v>108</v>
      </c>
      <c r="B109" s="276" t="s">
        <v>18250</v>
      </c>
      <c r="C109" s="276" t="s">
        <v>5800</v>
      </c>
      <c r="D109" s="276" t="s">
        <v>18251</v>
      </c>
      <c r="E109" s="276" t="s">
        <v>5801</v>
      </c>
    </row>
    <row r="110" spans="1:5" ht="12.75">
      <c r="A110" s="277">
        <v>109</v>
      </c>
      <c r="B110" s="276" t="s">
        <v>18252</v>
      </c>
      <c r="C110" s="276" t="s">
        <v>5669</v>
      </c>
      <c r="D110" s="276" t="s">
        <v>18253</v>
      </c>
      <c r="E110" s="276" t="s">
        <v>5802</v>
      </c>
    </row>
    <row r="111" spans="1:5" ht="12.75">
      <c r="A111" s="277">
        <v>110</v>
      </c>
      <c r="B111" s="276" t="s">
        <v>18254</v>
      </c>
      <c r="C111" s="276" t="s">
        <v>5803</v>
      </c>
      <c r="D111" s="276" t="s">
        <v>18255</v>
      </c>
      <c r="E111" s="276" t="s">
        <v>5804</v>
      </c>
    </row>
    <row r="112" spans="1:5" ht="12.75">
      <c r="A112" s="277">
        <v>111</v>
      </c>
      <c r="B112" s="276" t="s">
        <v>18256</v>
      </c>
      <c r="C112" s="276" t="s">
        <v>5805</v>
      </c>
      <c r="D112" s="276" t="s">
        <v>18257</v>
      </c>
      <c r="E112" s="276" t="s">
        <v>5806</v>
      </c>
    </row>
    <row r="113" spans="1:5" ht="12.75">
      <c r="A113" s="277">
        <v>112</v>
      </c>
      <c r="B113" s="276" t="s">
        <v>18258</v>
      </c>
      <c r="C113" s="276" t="s">
        <v>5623</v>
      </c>
      <c r="D113" s="276" t="s">
        <v>18259</v>
      </c>
      <c r="E113" s="276" t="s">
        <v>5807</v>
      </c>
    </row>
    <row r="114" spans="1:5" ht="12.75">
      <c r="A114" s="277">
        <v>113</v>
      </c>
      <c r="B114" s="276" t="s">
        <v>18260</v>
      </c>
      <c r="C114" s="276" t="s">
        <v>5808</v>
      </c>
      <c r="D114" s="276" t="s">
        <v>18261</v>
      </c>
      <c r="E114" s="276" t="s">
        <v>5809</v>
      </c>
    </row>
    <row r="115" spans="1:5" ht="12.75">
      <c r="A115" s="277">
        <v>114</v>
      </c>
      <c r="B115" s="276" t="s">
        <v>18262</v>
      </c>
      <c r="C115" s="276" t="s">
        <v>5810</v>
      </c>
      <c r="D115" s="276" t="s">
        <v>18263</v>
      </c>
      <c r="E115" s="276" t="s">
        <v>5811</v>
      </c>
    </row>
    <row r="116" spans="1:5" ht="12.75">
      <c r="A116" s="277">
        <v>115</v>
      </c>
      <c r="B116" s="276" t="s">
        <v>18264</v>
      </c>
      <c r="C116" s="276" t="s">
        <v>5812</v>
      </c>
      <c r="D116" s="276" t="s">
        <v>18265</v>
      </c>
      <c r="E116" s="276" t="s">
        <v>4109</v>
      </c>
    </row>
    <row r="117" spans="1:5" ht="12.75">
      <c r="A117" s="277">
        <v>116</v>
      </c>
      <c r="B117" s="276" t="s">
        <v>18266</v>
      </c>
      <c r="C117" s="276" t="s">
        <v>5813</v>
      </c>
      <c r="D117" s="276" t="s">
        <v>18267</v>
      </c>
      <c r="E117" s="276" t="s">
        <v>5814</v>
      </c>
    </row>
    <row r="118" spans="1:5" ht="12.75">
      <c r="A118" s="277">
        <v>117</v>
      </c>
      <c r="B118" s="276" t="s">
        <v>18268</v>
      </c>
      <c r="C118" s="276" t="s">
        <v>4248</v>
      </c>
      <c r="D118" s="276" t="s">
        <v>18269</v>
      </c>
      <c r="E118" s="276" t="s">
        <v>4216</v>
      </c>
    </row>
    <row r="119" spans="1:5" ht="12.75">
      <c r="A119" s="277">
        <v>118</v>
      </c>
      <c r="B119" s="276" t="s">
        <v>18270</v>
      </c>
      <c r="C119" s="276" t="s">
        <v>5815</v>
      </c>
      <c r="D119" s="276" t="s">
        <v>18271</v>
      </c>
      <c r="E119" s="276" t="s">
        <v>5816</v>
      </c>
    </row>
    <row r="120" spans="1:5" ht="12.75">
      <c r="A120" s="277">
        <v>119</v>
      </c>
      <c r="B120" s="276" t="s">
        <v>18272</v>
      </c>
      <c r="C120" s="276" t="s">
        <v>5817</v>
      </c>
      <c r="D120" s="276" t="s">
        <v>18273</v>
      </c>
      <c r="E120" s="276" t="s">
        <v>4231</v>
      </c>
    </row>
    <row r="121" spans="1:5" ht="12.75">
      <c r="A121" s="277">
        <v>120</v>
      </c>
      <c r="B121" s="276" t="s">
        <v>18274</v>
      </c>
      <c r="C121" s="276" t="s">
        <v>5818</v>
      </c>
      <c r="D121" s="276" t="s">
        <v>18275</v>
      </c>
      <c r="E121" s="276" t="s">
        <v>5819</v>
      </c>
    </row>
    <row r="122" spans="1:5" ht="12.75">
      <c r="A122" s="277">
        <v>121</v>
      </c>
      <c r="B122" s="276" t="s">
        <v>18276</v>
      </c>
      <c r="C122" s="276" t="s">
        <v>5821</v>
      </c>
      <c r="D122" s="276" t="s">
        <v>18277</v>
      </c>
      <c r="E122" s="276" t="s">
        <v>5822</v>
      </c>
    </row>
    <row r="123" spans="1:5" ht="12.75">
      <c r="A123" s="277">
        <v>122</v>
      </c>
      <c r="B123" s="276" t="s">
        <v>18278</v>
      </c>
      <c r="C123" s="276" t="s">
        <v>5823</v>
      </c>
      <c r="D123" s="276" t="s">
        <v>18279</v>
      </c>
      <c r="E123" s="276" t="s">
        <v>5824</v>
      </c>
    </row>
    <row r="124" spans="1:5" ht="12.75">
      <c r="A124" s="277">
        <v>123</v>
      </c>
      <c r="B124" s="276" t="s">
        <v>18280</v>
      </c>
      <c r="C124" s="276" t="s">
        <v>5825</v>
      </c>
      <c r="D124" s="276" t="s">
        <v>18281</v>
      </c>
      <c r="E124" s="276" t="s">
        <v>5826</v>
      </c>
    </row>
    <row r="125" spans="1:5" ht="12.75">
      <c r="A125" s="277">
        <v>124</v>
      </c>
      <c r="B125" s="276" t="s">
        <v>18282</v>
      </c>
      <c r="C125" s="276" t="s">
        <v>5828</v>
      </c>
      <c r="D125" s="276" t="s">
        <v>18283</v>
      </c>
      <c r="E125" s="276" t="s">
        <v>4211</v>
      </c>
    </row>
    <row r="126" spans="1:5" ht="12.75">
      <c r="A126" s="277">
        <v>125</v>
      </c>
      <c r="B126" s="276" t="s">
        <v>18284</v>
      </c>
      <c r="C126" s="276" t="s">
        <v>5829</v>
      </c>
      <c r="D126" s="276" t="s">
        <v>18285</v>
      </c>
      <c r="E126" s="276" t="s">
        <v>5830</v>
      </c>
    </row>
    <row r="127" spans="1:5" ht="12.75">
      <c r="A127" s="277">
        <v>126</v>
      </c>
      <c r="B127" s="276" t="s">
        <v>18286</v>
      </c>
      <c r="C127" s="276" t="s">
        <v>5832</v>
      </c>
      <c r="D127" s="276" t="s">
        <v>18287</v>
      </c>
      <c r="E127" s="276" t="s">
        <v>5833</v>
      </c>
    </row>
    <row r="128" spans="1:5" ht="12.75">
      <c r="A128" s="277">
        <v>127</v>
      </c>
      <c r="B128" s="276" t="s">
        <v>18288</v>
      </c>
      <c r="C128" s="276" t="s">
        <v>5834</v>
      </c>
      <c r="D128" s="276" t="s">
        <v>18289</v>
      </c>
      <c r="E128" s="276" t="s">
        <v>5835</v>
      </c>
    </row>
    <row r="129" spans="1:5" ht="12.75">
      <c r="A129" s="277">
        <v>128</v>
      </c>
      <c r="B129" s="276" t="s">
        <v>18290</v>
      </c>
      <c r="C129" s="276" t="s">
        <v>5836</v>
      </c>
      <c r="D129" s="276" t="s">
        <v>18291</v>
      </c>
      <c r="E129" s="276" t="s">
        <v>5837</v>
      </c>
    </row>
    <row r="130" spans="1:5" ht="12.75">
      <c r="A130" s="277">
        <v>129</v>
      </c>
      <c r="B130" s="276" t="s">
        <v>18292</v>
      </c>
      <c r="C130" s="276" t="s">
        <v>5838</v>
      </c>
      <c r="D130" s="276" t="s">
        <v>18293</v>
      </c>
      <c r="E130" s="276" t="s">
        <v>5839</v>
      </c>
    </row>
    <row r="131" spans="1:5" ht="12.75">
      <c r="A131" s="277">
        <v>130</v>
      </c>
      <c r="B131" s="276" t="s">
        <v>18294</v>
      </c>
      <c r="C131" s="276" t="s">
        <v>5840</v>
      </c>
      <c r="D131" s="276" t="s">
        <v>18295</v>
      </c>
      <c r="E131" s="276" t="s">
        <v>5841</v>
      </c>
    </row>
    <row r="132" spans="1:5" ht="12.75">
      <c r="A132" s="277">
        <v>131</v>
      </c>
      <c r="B132" s="276" t="s">
        <v>18296</v>
      </c>
      <c r="C132" s="276" t="s">
        <v>5842</v>
      </c>
      <c r="D132" s="276" t="s">
        <v>18297</v>
      </c>
      <c r="E132" s="276" t="s">
        <v>5843</v>
      </c>
    </row>
    <row r="133" spans="1:5" ht="12.75">
      <c r="A133" s="277">
        <v>132</v>
      </c>
      <c r="B133" s="276" t="s">
        <v>18298</v>
      </c>
      <c r="C133" s="276" t="s">
        <v>5844</v>
      </c>
      <c r="D133" s="276" t="s">
        <v>18299</v>
      </c>
      <c r="E133" s="276" t="s">
        <v>5845</v>
      </c>
    </row>
    <row r="134" spans="1:5" ht="12.75">
      <c r="A134" s="277">
        <v>133</v>
      </c>
      <c r="B134" s="276" t="s">
        <v>18300</v>
      </c>
      <c r="C134" s="276" t="s">
        <v>5846</v>
      </c>
      <c r="D134" s="276" t="s">
        <v>18301</v>
      </c>
      <c r="E134" s="276" t="s">
        <v>5847</v>
      </c>
    </row>
    <row r="135" spans="1:5" ht="12.75">
      <c r="A135" s="277">
        <v>134</v>
      </c>
      <c r="B135" s="276" t="s">
        <v>18302</v>
      </c>
      <c r="C135" s="276" t="s">
        <v>5848</v>
      </c>
      <c r="D135" s="276" t="s">
        <v>18303</v>
      </c>
      <c r="E135" s="276" t="s">
        <v>5849</v>
      </c>
    </row>
    <row r="136" spans="1:5" ht="12.75">
      <c r="A136" s="277">
        <v>135</v>
      </c>
      <c r="B136" s="276" t="s">
        <v>18304</v>
      </c>
      <c r="C136" s="276" t="s">
        <v>5850</v>
      </c>
      <c r="D136" s="276" t="s">
        <v>18305</v>
      </c>
      <c r="E136" s="276" t="s">
        <v>5851</v>
      </c>
    </row>
    <row r="137" spans="1:5" ht="12.75">
      <c r="A137" s="277">
        <v>136</v>
      </c>
      <c r="B137" s="276" t="s">
        <v>18306</v>
      </c>
      <c r="C137" s="276" t="s">
        <v>5852</v>
      </c>
      <c r="D137" s="276" t="s">
        <v>18307</v>
      </c>
      <c r="E137" s="276" t="s">
        <v>5853</v>
      </c>
    </row>
    <row r="138" spans="1:5" ht="12.75">
      <c r="A138" s="277">
        <v>137</v>
      </c>
      <c r="B138" s="276" t="s">
        <v>18308</v>
      </c>
      <c r="C138" s="276" t="s">
        <v>5854</v>
      </c>
      <c r="D138" s="276" t="s">
        <v>18309</v>
      </c>
      <c r="E138" s="276" t="s">
        <v>5855</v>
      </c>
    </row>
    <row r="139" spans="1:5" ht="12.75">
      <c r="A139" s="277">
        <v>138</v>
      </c>
      <c r="B139" s="276" t="s">
        <v>18310</v>
      </c>
      <c r="C139" s="276" t="s">
        <v>5856</v>
      </c>
      <c r="D139" s="276" t="s">
        <v>18311</v>
      </c>
      <c r="E139" s="276" t="s">
        <v>5857</v>
      </c>
    </row>
    <row r="140" spans="1:5" ht="12.75">
      <c r="A140" s="277">
        <v>139</v>
      </c>
      <c r="B140" s="276" t="s">
        <v>18312</v>
      </c>
      <c r="C140" s="276" t="s">
        <v>5825</v>
      </c>
      <c r="D140" s="276" t="s">
        <v>18313</v>
      </c>
      <c r="E140" s="276" t="s">
        <v>5858</v>
      </c>
    </row>
    <row r="141" spans="1:5" ht="12.75">
      <c r="A141" s="277">
        <v>140</v>
      </c>
      <c r="B141" s="276" t="s">
        <v>18314</v>
      </c>
      <c r="C141" s="276" t="s">
        <v>5859</v>
      </c>
      <c r="D141" s="276" t="s">
        <v>18315</v>
      </c>
      <c r="E141" s="276" t="s">
        <v>4101</v>
      </c>
    </row>
    <row r="142" spans="1:5" ht="12.75">
      <c r="A142" s="277">
        <v>141</v>
      </c>
      <c r="B142" s="276" t="s">
        <v>18316</v>
      </c>
      <c r="C142" s="276" t="s">
        <v>5776</v>
      </c>
      <c r="D142" s="276" t="s">
        <v>18317</v>
      </c>
      <c r="E142" s="276" t="s">
        <v>4120</v>
      </c>
    </row>
    <row r="143" spans="1:5" ht="12.75">
      <c r="A143" s="277">
        <v>142</v>
      </c>
      <c r="B143" s="276" t="s">
        <v>18318</v>
      </c>
      <c r="C143" s="276" t="s">
        <v>5860</v>
      </c>
      <c r="D143" s="276" t="s">
        <v>18319</v>
      </c>
      <c r="E143" s="276" t="s">
        <v>5861</v>
      </c>
    </row>
    <row r="144" spans="1:5" ht="12.75">
      <c r="A144" s="277">
        <v>143</v>
      </c>
      <c r="B144" s="276" t="s">
        <v>18320</v>
      </c>
      <c r="C144" s="276" t="s">
        <v>5862</v>
      </c>
      <c r="D144" s="276" t="s">
        <v>18321</v>
      </c>
      <c r="E144" s="276" t="s">
        <v>5863</v>
      </c>
    </row>
    <row r="145" spans="1:5" ht="12.75">
      <c r="A145" s="277">
        <v>144</v>
      </c>
      <c r="B145" s="276" t="s">
        <v>18322</v>
      </c>
      <c r="C145" s="276" t="s">
        <v>5864</v>
      </c>
      <c r="D145" s="276" t="s">
        <v>18323</v>
      </c>
      <c r="E145" s="276" t="s">
        <v>5865</v>
      </c>
    </row>
    <row r="146" spans="1:5" ht="12.75">
      <c r="A146" s="277">
        <v>145</v>
      </c>
      <c r="B146" s="276" t="s">
        <v>18324</v>
      </c>
      <c r="C146" s="276" t="s">
        <v>5867</v>
      </c>
      <c r="D146" s="276" t="s">
        <v>18325</v>
      </c>
      <c r="E146" s="276" t="s">
        <v>5868</v>
      </c>
    </row>
    <row r="147" spans="1:5" ht="12.75">
      <c r="A147" s="277">
        <v>146</v>
      </c>
      <c r="B147" s="276" t="s">
        <v>18326</v>
      </c>
      <c r="C147" s="276" t="s">
        <v>5869</v>
      </c>
      <c r="D147" s="276" t="s">
        <v>18327</v>
      </c>
      <c r="E147" s="276" t="s">
        <v>5870</v>
      </c>
    </row>
    <row r="148" spans="1:5" ht="12.75">
      <c r="A148" s="277">
        <v>147</v>
      </c>
      <c r="B148" s="276" t="s">
        <v>18328</v>
      </c>
      <c r="C148" s="276" t="s">
        <v>5871</v>
      </c>
      <c r="D148" s="276" t="s">
        <v>18329</v>
      </c>
      <c r="E148" s="276" t="s">
        <v>4215</v>
      </c>
    </row>
    <row r="149" spans="1:5" ht="12.75">
      <c r="A149" s="277">
        <v>148</v>
      </c>
      <c r="B149" s="276" t="s">
        <v>18330</v>
      </c>
      <c r="C149" s="276" t="s">
        <v>5776</v>
      </c>
      <c r="D149" s="276" t="s">
        <v>18331</v>
      </c>
      <c r="E149" s="276" t="s">
        <v>4123</v>
      </c>
    </row>
    <row r="150" spans="1:5" ht="12.75">
      <c r="A150" s="277">
        <v>149</v>
      </c>
      <c r="B150" s="276" t="s">
        <v>18332</v>
      </c>
      <c r="C150" s="276" t="s">
        <v>5872</v>
      </c>
      <c r="D150" s="276" t="s">
        <v>18333</v>
      </c>
      <c r="E150" s="276" t="s">
        <v>5873</v>
      </c>
    </row>
    <row r="151" spans="1:5" ht="12.75">
      <c r="A151" s="277">
        <v>150</v>
      </c>
      <c r="B151" s="276" t="s">
        <v>18334</v>
      </c>
      <c r="C151" s="276" t="s">
        <v>5874</v>
      </c>
      <c r="D151" s="276" t="s">
        <v>18335</v>
      </c>
      <c r="E151" s="276" t="s">
        <v>5875</v>
      </c>
    </row>
    <row r="152" spans="1:5" ht="12.75">
      <c r="A152" s="277">
        <v>151</v>
      </c>
      <c r="B152" s="276" t="s">
        <v>18336</v>
      </c>
      <c r="C152" s="276" t="s">
        <v>5876</v>
      </c>
      <c r="D152" s="276" t="s">
        <v>18337</v>
      </c>
      <c r="E152" s="276" t="s">
        <v>5877</v>
      </c>
    </row>
    <row r="153" spans="1:5" ht="12.75">
      <c r="A153" s="277">
        <v>152</v>
      </c>
      <c r="B153" s="276" t="s">
        <v>18338</v>
      </c>
      <c r="C153" s="276" t="s">
        <v>5878</v>
      </c>
      <c r="D153" s="276" t="s">
        <v>18339</v>
      </c>
      <c r="E153" s="276" t="s">
        <v>4182</v>
      </c>
    </row>
    <row r="154" spans="1:5" ht="12.75">
      <c r="A154" s="277">
        <v>153</v>
      </c>
      <c r="B154" s="276" t="s">
        <v>18340</v>
      </c>
      <c r="C154" s="276" t="s">
        <v>5879</v>
      </c>
      <c r="D154" s="276" t="s">
        <v>18341</v>
      </c>
      <c r="E154" s="276" t="s">
        <v>5880</v>
      </c>
    </row>
    <row r="155" spans="1:5" ht="12.75">
      <c r="A155" s="277">
        <v>154</v>
      </c>
      <c r="B155" s="276" t="s">
        <v>18342</v>
      </c>
      <c r="C155" s="276" t="s">
        <v>5881</v>
      </c>
      <c r="D155" s="276" t="s">
        <v>18343</v>
      </c>
      <c r="E155" s="276" t="s">
        <v>5882</v>
      </c>
    </row>
    <row r="156" spans="1:5" ht="12.75">
      <c r="A156" s="277">
        <v>155</v>
      </c>
      <c r="B156" s="276" t="s">
        <v>18344</v>
      </c>
      <c r="C156" s="276" t="s">
        <v>5883</v>
      </c>
      <c r="D156" s="276" t="s">
        <v>18345</v>
      </c>
      <c r="E156" s="276" t="s">
        <v>5884</v>
      </c>
    </row>
    <row r="157" spans="1:5" ht="12.75">
      <c r="A157" s="277">
        <v>156</v>
      </c>
      <c r="B157" s="276" t="s">
        <v>18346</v>
      </c>
      <c r="C157" s="276" t="s">
        <v>5885</v>
      </c>
      <c r="D157" s="276" t="s">
        <v>18347</v>
      </c>
      <c r="E157" s="276" t="s">
        <v>5886</v>
      </c>
    </row>
    <row r="158" spans="1:5" ht="12.75">
      <c r="A158" s="277">
        <v>157</v>
      </c>
      <c r="B158" s="276" t="s">
        <v>18348</v>
      </c>
      <c r="C158" s="276" t="s">
        <v>5887</v>
      </c>
      <c r="D158" s="276" t="s">
        <v>18349</v>
      </c>
      <c r="E158" s="276" t="s">
        <v>5888</v>
      </c>
    </row>
    <row r="159" spans="1:5" ht="12.75">
      <c r="A159" s="277">
        <v>158</v>
      </c>
      <c r="B159" s="276" t="s">
        <v>18350</v>
      </c>
      <c r="C159" s="276" t="s">
        <v>5889</v>
      </c>
      <c r="D159" s="276" t="s">
        <v>18351</v>
      </c>
      <c r="E159" s="276" t="s">
        <v>5890</v>
      </c>
    </row>
    <row r="160" spans="1:5" ht="12.75">
      <c r="A160" s="277">
        <v>159</v>
      </c>
      <c r="B160" s="276" t="s">
        <v>18352</v>
      </c>
      <c r="C160" s="276" t="s">
        <v>5891</v>
      </c>
      <c r="D160" s="276" t="s">
        <v>18353</v>
      </c>
      <c r="E160" s="276" t="s">
        <v>5892</v>
      </c>
    </row>
    <row r="161" spans="1:5" ht="12.75">
      <c r="A161" s="277">
        <v>160</v>
      </c>
      <c r="B161" s="276" t="s">
        <v>18354</v>
      </c>
      <c r="C161" s="276" t="s">
        <v>5894</v>
      </c>
      <c r="D161" s="276" t="s">
        <v>18355</v>
      </c>
      <c r="E161" s="276" t="s">
        <v>5895</v>
      </c>
    </row>
    <row r="162" spans="1:5" ht="12.75">
      <c r="A162" s="277">
        <v>161</v>
      </c>
      <c r="B162" s="276" t="s">
        <v>18356</v>
      </c>
      <c r="C162" s="276" t="s">
        <v>5897</v>
      </c>
      <c r="D162" s="276" t="s">
        <v>18357</v>
      </c>
      <c r="E162" s="276" t="s">
        <v>5898</v>
      </c>
    </row>
    <row r="163" spans="1:5" ht="12.75">
      <c r="A163" s="277">
        <v>162</v>
      </c>
      <c r="B163" s="276" t="s">
        <v>18358</v>
      </c>
      <c r="C163" s="276" t="s">
        <v>5900</v>
      </c>
      <c r="D163" s="276" t="s">
        <v>18359</v>
      </c>
      <c r="E163" s="276" t="s">
        <v>5901</v>
      </c>
    </row>
    <row r="164" spans="1:5" ht="12.75">
      <c r="A164" s="277">
        <v>163</v>
      </c>
      <c r="B164" s="276" t="s">
        <v>18360</v>
      </c>
      <c r="C164" s="276" t="s">
        <v>5902</v>
      </c>
      <c r="D164" s="276" t="s">
        <v>18361</v>
      </c>
      <c r="E164" s="276" t="s">
        <v>5903</v>
      </c>
    </row>
    <row r="165" spans="1:5" ht="12.75">
      <c r="A165" s="277">
        <v>164</v>
      </c>
      <c r="B165" s="276" t="s">
        <v>18362</v>
      </c>
      <c r="C165" s="276" t="s">
        <v>5904</v>
      </c>
      <c r="D165" s="276" t="s">
        <v>18363</v>
      </c>
      <c r="E165" s="276" t="s">
        <v>5905</v>
      </c>
    </row>
    <row r="166" spans="1:5" ht="12.75">
      <c r="A166" s="277">
        <v>165</v>
      </c>
      <c r="B166" s="276" t="s">
        <v>18364</v>
      </c>
      <c r="C166" s="276" t="s">
        <v>5906</v>
      </c>
      <c r="D166" s="276" t="s">
        <v>18365</v>
      </c>
      <c r="E166" s="276" t="s">
        <v>4116</v>
      </c>
    </row>
    <row r="167" spans="1:5" ht="12.75">
      <c r="A167" s="277">
        <v>166</v>
      </c>
      <c r="B167" s="276" t="s">
        <v>18366</v>
      </c>
      <c r="C167" s="276" t="s">
        <v>5907</v>
      </c>
      <c r="D167" s="276" t="s">
        <v>18367</v>
      </c>
      <c r="E167" s="276" t="s">
        <v>5908</v>
      </c>
    </row>
    <row r="168" spans="1:5" ht="12.75">
      <c r="A168" s="277">
        <v>167</v>
      </c>
      <c r="B168" s="276" t="s">
        <v>18368</v>
      </c>
      <c r="C168" s="276" t="s">
        <v>5910</v>
      </c>
      <c r="D168" s="276" t="s">
        <v>18369</v>
      </c>
      <c r="E168" s="276" t="s">
        <v>5911</v>
      </c>
    </row>
    <row r="169" spans="1:5" ht="12.75">
      <c r="A169" s="277">
        <v>168</v>
      </c>
      <c r="B169" s="276" t="s">
        <v>18370</v>
      </c>
      <c r="C169" s="276" t="s">
        <v>5912</v>
      </c>
      <c r="D169" s="276" t="s">
        <v>18371</v>
      </c>
      <c r="E169" s="276" t="s">
        <v>5913</v>
      </c>
    </row>
    <row r="170" spans="1:5" ht="12.75">
      <c r="A170" s="277">
        <v>169</v>
      </c>
      <c r="B170" s="276" t="s">
        <v>18372</v>
      </c>
      <c r="C170" s="276" t="s">
        <v>5914</v>
      </c>
      <c r="D170" s="276" t="s">
        <v>18373</v>
      </c>
      <c r="E170" s="276" t="s">
        <v>5915</v>
      </c>
    </row>
    <row r="171" spans="1:5" ht="12.75">
      <c r="A171" s="277">
        <v>170</v>
      </c>
      <c r="B171" s="276" t="s">
        <v>18374</v>
      </c>
      <c r="C171" s="276" t="s">
        <v>5917</v>
      </c>
      <c r="D171" s="276" t="s">
        <v>18375</v>
      </c>
      <c r="E171" s="276" t="s">
        <v>5918</v>
      </c>
    </row>
    <row r="172" spans="1:5" ht="12.75">
      <c r="A172" s="277">
        <v>171</v>
      </c>
      <c r="B172" s="276" t="s">
        <v>18376</v>
      </c>
      <c r="C172" s="276" t="s">
        <v>5919</v>
      </c>
      <c r="D172" s="276" t="s">
        <v>18377</v>
      </c>
      <c r="E172" s="276" t="s">
        <v>5920</v>
      </c>
    </row>
    <row r="173" spans="1:5" ht="12.75">
      <c r="A173" s="277">
        <v>172</v>
      </c>
      <c r="B173" s="276" t="s">
        <v>18378</v>
      </c>
      <c r="C173" s="276" t="s">
        <v>5921</v>
      </c>
      <c r="D173" s="276" t="s">
        <v>18379</v>
      </c>
      <c r="E173" s="276" t="s">
        <v>5922</v>
      </c>
    </row>
    <row r="174" spans="1:5" ht="12.75">
      <c r="A174" s="277">
        <v>173</v>
      </c>
      <c r="B174" s="276" t="s">
        <v>18380</v>
      </c>
      <c r="C174" s="276" t="s">
        <v>5923</v>
      </c>
      <c r="D174" s="276" t="s">
        <v>18381</v>
      </c>
      <c r="E174" s="276" t="s">
        <v>5924</v>
      </c>
    </row>
    <row r="175" spans="1:5" ht="12.75">
      <c r="A175" s="277">
        <v>174</v>
      </c>
      <c r="B175" s="276" t="s">
        <v>18382</v>
      </c>
      <c r="C175" s="276" t="s">
        <v>5925</v>
      </c>
      <c r="D175" s="276" t="s">
        <v>18383</v>
      </c>
      <c r="E175" s="276" t="s">
        <v>5926</v>
      </c>
    </row>
    <row r="176" spans="1:5" ht="12.75">
      <c r="A176" s="277">
        <v>175</v>
      </c>
      <c r="B176" s="276" t="s">
        <v>18384</v>
      </c>
      <c r="C176" s="276" t="s">
        <v>5928</v>
      </c>
      <c r="D176" s="276" t="s">
        <v>18385</v>
      </c>
      <c r="E176" s="276" t="s">
        <v>5929</v>
      </c>
    </row>
    <row r="177" spans="1:5" ht="12.75">
      <c r="A177" s="277">
        <v>176</v>
      </c>
      <c r="B177" s="276" t="s">
        <v>18386</v>
      </c>
      <c r="C177" s="276" t="s">
        <v>5930</v>
      </c>
      <c r="D177" s="276" t="s">
        <v>18387</v>
      </c>
      <c r="E177" s="276" t="s">
        <v>5931</v>
      </c>
    </row>
    <row r="178" spans="1:5" ht="12.75">
      <c r="A178" s="277">
        <v>177</v>
      </c>
      <c r="B178" s="276" t="s">
        <v>18388</v>
      </c>
      <c r="C178" s="276" t="s">
        <v>5933</v>
      </c>
      <c r="D178" s="276" t="s">
        <v>18389</v>
      </c>
      <c r="E178" s="276" t="s">
        <v>5934</v>
      </c>
    </row>
    <row r="179" spans="1:5" ht="12.75">
      <c r="A179" s="277">
        <v>178</v>
      </c>
      <c r="B179" s="276" t="s">
        <v>18390</v>
      </c>
      <c r="C179" s="276" t="s">
        <v>5935</v>
      </c>
      <c r="D179" s="276" t="s">
        <v>18391</v>
      </c>
      <c r="E179" s="276" t="s">
        <v>5936</v>
      </c>
    </row>
    <row r="180" spans="1:5" ht="12.75">
      <c r="A180" s="277">
        <v>179</v>
      </c>
      <c r="B180" s="276" t="s">
        <v>18392</v>
      </c>
      <c r="C180" s="276" t="s">
        <v>5937</v>
      </c>
      <c r="D180" s="276" t="s">
        <v>18393</v>
      </c>
      <c r="E180" s="276" t="s">
        <v>4553</v>
      </c>
    </row>
    <row r="181" spans="1:5" ht="12.75">
      <c r="A181" s="277">
        <v>180</v>
      </c>
      <c r="B181" s="276" t="s">
        <v>18394</v>
      </c>
      <c r="C181" s="276" t="s">
        <v>5938</v>
      </c>
      <c r="D181" s="276" t="s">
        <v>18395</v>
      </c>
      <c r="E181" s="276" t="s">
        <v>5939</v>
      </c>
    </row>
    <row r="182" spans="1:5" ht="12.75">
      <c r="A182" s="277">
        <v>181</v>
      </c>
      <c r="B182" s="276" t="s">
        <v>18396</v>
      </c>
      <c r="C182" s="276" t="s">
        <v>5848</v>
      </c>
      <c r="D182" s="276" t="s">
        <v>18397</v>
      </c>
      <c r="E182" s="276" t="s">
        <v>5940</v>
      </c>
    </row>
    <row r="183" spans="1:5" ht="12.75">
      <c r="A183" s="277">
        <v>182</v>
      </c>
      <c r="B183" s="276" t="s">
        <v>18398</v>
      </c>
      <c r="C183" s="276" t="s">
        <v>5669</v>
      </c>
      <c r="D183" s="276" t="s">
        <v>18399</v>
      </c>
      <c r="E183" s="276" t="s">
        <v>5941</v>
      </c>
    </row>
    <row r="184" spans="1:5" ht="12.75">
      <c r="A184" s="277">
        <v>183</v>
      </c>
      <c r="B184" s="276" t="s">
        <v>18400</v>
      </c>
      <c r="C184" s="276" t="s">
        <v>5838</v>
      </c>
      <c r="D184" s="276" t="s">
        <v>18401</v>
      </c>
      <c r="E184" s="276" t="s">
        <v>5942</v>
      </c>
    </row>
    <row r="185" spans="1:5" ht="12.75">
      <c r="A185" s="277">
        <v>184</v>
      </c>
      <c r="B185" s="276" t="s">
        <v>18402</v>
      </c>
      <c r="C185" s="276" t="s">
        <v>5838</v>
      </c>
      <c r="D185" s="276" t="s">
        <v>18403</v>
      </c>
      <c r="E185" s="276" t="s">
        <v>5943</v>
      </c>
    </row>
    <row r="186" spans="1:5" ht="12.75">
      <c r="A186" s="277">
        <v>185</v>
      </c>
      <c r="B186" s="276" t="s">
        <v>18404</v>
      </c>
      <c r="C186" s="276" t="s">
        <v>5944</v>
      </c>
      <c r="D186" s="276" t="s">
        <v>18405</v>
      </c>
      <c r="E186" s="276" t="s">
        <v>4232</v>
      </c>
    </row>
    <row r="187" spans="1:5" ht="12.75">
      <c r="A187" s="277">
        <v>186</v>
      </c>
      <c r="B187" s="276" t="s">
        <v>18406</v>
      </c>
      <c r="C187" s="276" t="s">
        <v>5945</v>
      </c>
      <c r="D187" s="276" t="s">
        <v>18407</v>
      </c>
      <c r="E187" s="276" t="s">
        <v>5946</v>
      </c>
    </row>
    <row r="188" spans="1:5" ht="12.75">
      <c r="A188" s="277">
        <v>187</v>
      </c>
      <c r="B188" s="276" t="s">
        <v>18408</v>
      </c>
      <c r="C188" s="276" t="s">
        <v>5948</v>
      </c>
      <c r="D188" s="276" t="s">
        <v>18409</v>
      </c>
      <c r="E188" s="276" t="s">
        <v>4127</v>
      </c>
    </row>
    <row r="189" spans="1:5" ht="12.75">
      <c r="A189" s="277">
        <v>188</v>
      </c>
      <c r="B189" s="276" t="s">
        <v>18410</v>
      </c>
      <c r="C189" s="276" t="s">
        <v>5949</v>
      </c>
      <c r="D189" s="276" t="s">
        <v>18411</v>
      </c>
      <c r="E189" s="276" t="s">
        <v>5950</v>
      </c>
    </row>
    <row r="190" spans="1:5" ht="12.75">
      <c r="A190" s="277">
        <v>189</v>
      </c>
      <c r="B190" s="276" t="s">
        <v>18412</v>
      </c>
      <c r="C190" s="276" t="s">
        <v>5951</v>
      </c>
      <c r="D190" s="276" t="s">
        <v>18413</v>
      </c>
      <c r="E190" s="276" t="s">
        <v>5952</v>
      </c>
    </row>
    <row r="191" spans="1:5" ht="12.75">
      <c r="A191" s="277">
        <v>190</v>
      </c>
      <c r="B191" s="276" t="s">
        <v>18414</v>
      </c>
      <c r="C191" s="276" t="s">
        <v>5885</v>
      </c>
      <c r="D191" s="276" t="s">
        <v>18415</v>
      </c>
      <c r="E191" s="276" t="s">
        <v>4094</v>
      </c>
    </row>
    <row r="192" spans="1:5" ht="12.75">
      <c r="A192" s="277">
        <v>191</v>
      </c>
      <c r="B192" s="276" t="s">
        <v>18416</v>
      </c>
      <c r="C192" s="276" t="s">
        <v>5676</v>
      </c>
      <c r="D192" s="276" t="s">
        <v>18417</v>
      </c>
      <c r="E192" s="276" t="s">
        <v>4103</v>
      </c>
    </row>
    <row r="193" spans="1:5" ht="12.75">
      <c r="A193" s="277">
        <v>192</v>
      </c>
      <c r="B193" s="276" t="s">
        <v>18418</v>
      </c>
      <c r="C193" s="276" t="s">
        <v>5953</v>
      </c>
      <c r="D193" s="276" t="s">
        <v>18419</v>
      </c>
      <c r="E193" s="276" t="s">
        <v>5954</v>
      </c>
    </row>
    <row r="194" spans="1:5" ht="12.75">
      <c r="A194" s="277">
        <v>193</v>
      </c>
      <c r="B194" s="276" t="s">
        <v>18420</v>
      </c>
      <c r="C194" s="276" t="s">
        <v>5955</v>
      </c>
      <c r="D194" s="276" t="s">
        <v>18421</v>
      </c>
      <c r="E194" s="276" t="s">
        <v>5956</v>
      </c>
    </row>
    <row r="195" spans="1:5" ht="12.75">
      <c r="A195" s="277">
        <v>194</v>
      </c>
      <c r="B195" s="276" t="s">
        <v>18422</v>
      </c>
      <c r="C195" s="276" t="s">
        <v>5957</v>
      </c>
      <c r="D195" s="276" t="s">
        <v>18423</v>
      </c>
      <c r="E195" s="276" t="s">
        <v>5958</v>
      </c>
    </row>
    <row r="196" spans="1:5" ht="12.75">
      <c r="A196" s="277">
        <v>195</v>
      </c>
      <c r="B196" s="276" t="s">
        <v>18424</v>
      </c>
      <c r="C196" s="276" t="s">
        <v>5959</v>
      </c>
      <c r="D196" s="276" t="s">
        <v>18425</v>
      </c>
      <c r="E196" s="276" t="s">
        <v>5960</v>
      </c>
    </row>
    <row r="197" spans="1:5" ht="12.75">
      <c r="A197" s="277">
        <v>196</v>
      </c>
      <c r="B197" s="276" t="s">
        <v>18426</v>
      </c>
      <c r="C197" s="276" t="s">
        <v>5961</v>
      </c>
      <c r="D197" s="276" t="s">
        <v>18427</v>
      </c>
      <c r="E197" s="276" t="s">
        <v>5962</v>
      </c>
    </row>
    <row r="198" spans="1:5" ht="12.75">
      <c r="A198" s="277">
        <v>197</v>
      </c>
      <c r="B198" s="276" t="s">
        <v>18428</v>
      </c>
      <c r="C198" s="276" t="s">
        <v>5963</v>
      </c>
      <c r="D198" s="276" t="s">
        <v>18429</v>
      </c>
      <c r="E198" s="276" t="s">
        <v>5964</v>
      </c>
    </row>
    <row r="199" spans="1:5" ht="12.75">
      <c r="A199" s="277">
        <v>198</v>
      </c>
      <c r="B199" s="276" t="s">
        <v>18430</v>
      </c>
      <c r="C199" s="276" t="s">
        <v>5965</v>
      </c>
      <c r="D199" s="276" t="s">
        <v>18431</v>
      </c>
      <c r="E199" s="276" t="s">
        <v>4212</v>
      </c>
    </row>
    <row r="200" spans="1:5" ht="12.75">
      <c r="A200" s="277">
        <v>199</v>
      </c>
      <c r="B200" s="276" t="s">
        <v>18432</v>
      </c>
      <c r="C200" s="276" t="s">
        <v>5823</v>
      </c>
      <c r="D200" s="276" t="s">
        <v>18433</v>
      </c>
      <c r="E200" s="276" t="s">
        <v>5966</v>
      </c>
    </row>
    <row r="201" spans="1:5" ht="12.75">
      <c r="A201" s="277">
        <v>200</v>
      </c>
      <c r="B201" s="276" t="s">
        <v>18434</v>
      </c>
      <c r="C201" s="276" t="s">
        <v>5967</v>
      </c>
      <c r="D201" s="276" t="s">
        <v>18435</v>
      </c>
      <c r="E201" s="276" t="s">
        <v>5968</v>
      </c>
    </row>
    <row r="202" spans="1:5" ht="12.75">
      <c r="A202" s="277">
        <v>201</v>
      </c>
      <c r="B202" s="276" t="s">
        <v>18436</v>
      </c>
      <c r="C202" s="276" t="s">
        <v>5969</v>
      </c>
      <c r="D202" s="276" t="s">
        <v>18437</v>
      </c>
      <c r="E202" s="276" t="s">
        <v>856</v>
      </c>
    </row>
    <row r="203" spans="1:5" ht="12.75">
      <c r="A203" s="277">
        <v>202</v>
      </c>
      <c r="B203" s="276" t="s">
        <v>18438</v>
      </c>
      <c r="C203" s="276" t="s">
        <v>5970</v>
      </c>
      <c r="D203" s="276" t="s">
        <v>18439</v>
      </c>
      <c r="E203" s="276" t="s">
        <v>5971</v>
      </c>
    </row>
    <row r="204" spans="1:5" ht="12.75">
      <c r="A204" s="277">
        <v>203</v>
      </c>
      <c r="B204" s="276" t="s">
        <v>18440</v>
      </c>
      <c r="C204" s="276" t="s">
        <v>5972</v>
      </c>
      <c r="D204" s="276" t="s">
        <v>18441</v>
      </c>
      <c r="E204" s="276" t="s">
        <v>4550</v>
      </c>
    </row>
    <row r="205" spans="1:5" ht="12.75">
      <c r="A205" s="277">
        <v>204</v>
      </c>
      <c r="B205" s="276" t="s">
        <v>18442</v>
      </c>
      <c r="C205" s="276" t="s">
        <v>5973</v>
      </c>
      <c r="D205" s="276" t="s">
        <v>18443</v>
      </c>
      <c r="E205" s="276" t="s">
        <v>5974</v>
      </c>
    </row>
    <row r="206" spans="1:5" ht="12.75">
      <c r="A206" s="277">
        <v>205</v>
      </c>
      <c r="B206" s="276" t="s">
        <v>18444</v>
      </c>
      <c r="C206" s="276" t="s">
        <v>5975</v>
      </c>
      <c r="D206" s="276" t="s">
        <v>18445</v>
      </c>
      <c r="E206" s="276" t="s">
        <v>5976</v>
      </c>
    </row>
    <row r="207" spans="1:5" ht="12.75">
      <c r="A207" s="277">
        <v>206</v>
      </c>
      <c r="B207" s="276" t="s">
        <v>18446</v>
      </c>
      <c r="C207" s="276" t="s">
        <v>5977</v>
      </c>
      <c r="D207" s="276" t="s">
        <v>18447</v>
      </c>
      <c r="E207" s="276" t="s">
        <v>5978</v>
      </c>
    </row>
    <row r="208" spans="1:5" ht="12.75">
      <c r="A208" s="277">
        <v>207</v>
      </c>
      <c r="B208" s="276" t="s">
        <v>18448</v>
      </c>
      <c r="C208" s="276" t="s">
        <v>5979</v>
      </c>
      <c r="D208" s="276" t="s">
        <v>18449</v>
      </c>
      <c r="E208" s="276" t="s">
        <v>5980</v>
      </c>
    </row>
    <row r="209" spans="1:5" ht="12.75">
      <c r="A209" s="277">
        <v>208</v>
      </c>
      <c r="B209" s="276" t="s">
        <v>18450</v>
      </c>
      <c r="C209" s="276" t="s">
        <v>5981</v>
      </c>
      <c r="D209" s="276" t="s">
        <v>18451</v>
      </c>
      <c r="E209" s="276" t="s">
        <v>5982</v>
      </c>
    </row>
    <row r="210" spans="1:5" ht="12.75">
      <c r="A210" s="277">
        <v>209</v>
      </c>
      <c r="B210" s="276" t="s">
        <v>18452</v>
      </c>
      <c r="C210" s="276" t="s">
        <v>5983</v>
      </c>
      <c r="D210" s="276" t="s">
        <v>18453</v>
      </c>
      <c r="E210" s="276" t="s">
        <v>5984</v>
      </c>
    </row>
    <row r="211" spans="1:5" ht="12.75">
      <c r="A211" s="277">
        <v>210</v>
      </c>
      <c r="B211" s="276" t="s">
        <v>18454</v>
      </c>
      <c r="C211" s="276" t="s">
        <v>5986</v>
      </c>
      <c r="D211" s="276" t="s">
        <v>18455</v>
      </c>
      <c r="E211" s="276" t="s">
        <v>4208</v>
      </c>
    </row>
    <row r="212" spans="1:5" ht="12.75">
      <c r="A212" s="277">
        <v>211</v>
      </c>
      <c r="B212" s="276" t="s">
        <v>18456</v>
      </c>
      <c r="C212" s="276" t="s">
        <v>5987</v>
      </c>
      <c r="D212" s="276" t="s">
        <v>18457</v>
      </c>
      <c r="E212" s="276" t="s">
        <v>4214</v>
      </c>
    </row>
    <row r="213" spans="1:5" ht="12.75">
      <c r="A213" s="277">
        <v>212</v>
      </c>
      <c r="B213" s="276" t="s">
        <v>18458</v>
      </c>
      <c r="C213" s="276" t="s">
        <v>5988</v>
      </c>
      <c r="D213" s="276" t="s">
        <v>18459</v>
      </c>
      <c r="E213" s="276" t="s">
        <v>4229</v>
      </c>
    </row>
    <row r="214" spans="1:5" ht="12.75">
      <c r="A214" s="277">
        <v>213</v>
      </c>
      <c r="B214" s="276" t="s">
        <v>18460</v>
      </c>
      <c r="C214" s="276" t="s">
        <v>5989</v>
      </c>
      <c r="D214" s="276" t="s">
        <v>18461</v>
      </c>
      <c r="E214" s="276" t="s">
        <v>5990</v>
      </c>
    </row>
    <row r="215" spans="1:5" ht="12.75">
      <c r="A215" s="277">
        <v>214</v>
      </c>
      <c r="B215" s="276" t="s">
        <v>18462</v>
      </c>
      <c r="C215" s="276" t="s">
        <v>5991</v>
      </c>
      <c r="D215" s="276" t="s">
        <v>18463</v>
      </c>
      <c r="E215" s="276" t="s">
        <v>4251</v>
      </c>
    </row>
    <row r="216" spans="1:5" ht="12.75">
      <c r="A216" s="277">
        <v>215</v>
      </c>
      <c r="B216" s="276" t="s">
        <v>18464</v>
      </c>
      <c r="C216" s="276" t="s">
        <v>5992</v>
      </c>
      <c r="D216" s="276" t="s">
        <v>18465</v>
      </c>
      <c r="E216" s="276" t="s">
        <v>5993</v>
      </c>
    </row>
    <row r="217" spans="1:5" ht="12.75">
      <c r="A217" s="277">
        <v>216</v>
      </c>
      <c r="B217" s="276" t="s">
        <v>18466</v>
      </c>
      <c r="C217" s="276" t="s">
        <v>5994</v>
      </c>
      <c r="D217" s="276" t="s">
        <v>18467</v>
      </c>
      <c r="E217" s="276" t="s">
        <v>5995</v>
      </c>
    </row>
    <row r="218" spans="1:5" ht="12.75">
      <c r="A218" s="277">
        <v>217</v>
      </c>
      <c r="B218" s="276" t="s">
        <v>18468</v>
      </c>
      <c r="C218" s="276" t="s">
        <v>5997</v>
      </c>
      <c r="D218" s="276" t="s">
        <v>18469</v>
      </c>
      <c r="E218" s="276" t="s">
        <v>4188</v>
      </c>
    </row>
    <row r="219" spans="1:5" ht="12.75">
      <c r="A219" s="277">
        <v>218</v>
      </c>
      <c r="B219" s="276" t="s">
        <v>18470</v>
      </c>
      <c r="C219" s="276" t="s">
        <v>5998</v>
      </c>
      <c r="D219" s="276" t="s">
        <v>18471</v>
      </c>
      <c r="E219" s="276" t="s">
        <v>5999</v>
      </c>
    </row>
    <row r="220" spans="1:5" ht="12.75">
      <c r="A220" s="277">
        <v>219</v>
      </c>
      <c r="B220" s="276" t="s">
        <v>18472</v>
      </c>
      <c r="C220" s="276" t="s">
        <v>5803</v>
      </c>
      <c r="D220" s="276" t="s">
        <v>18473</v>
      </c>
      <c r="E220" s="276" t="s">
        <v>4166</v>
      </c>
    </row>
    <row r="221" spans="1:5" ht="12.75">
      <c r="A221" s="277">
        <v>220</v>
      </c>
      <c r="B221" s="276" t="s">
        <v>18474</v>
      </c>
      <c r="C221" s="276" t="s">
        <v>6000</v>
      </c>
      <c r="D221" s="276" t="s">
        <v>18475</v>
      </c>
      <c r="E221" s="276" t="s">
        <v>4233</v>
      </c>
    </row>
    <row r="222" spans="1:5" ht="12.75">
      <c r="A222" s="277">
        <v>221</v>
      </c>
      <c r="B222" s="276" t="s">
        <v>18476</v>
      </c>
      <c r="C222" s="276" t="s">
        <v>6001</v>
      </c>
      <c r="D222" s="276" t="s">
        <v>18477</v>
      </c>
      <c r="E222" s="276" t="s">
        <v>6002</v>
      </c>
    </row>
    <row r="223" spans="1:5" ht="12.75">
      <c r="A223" s="277">
        <v>222</v>
      </c>
      <c r="B223" s="276" t="s">
        <v>18478</v>
      </c>
      <c r="C223" s="276" t="s">
        <v>6004</v>
      </c>
      <c r="D223" s="276" t="s">
        <v>18479</v>
      </c>
      <c r="E223" s="276" t="s">
        <v>6005</v>
      </c>
    </row>
    <row r="224" spans="1:5" ht="12.75">
      <c r="A224" s="277">
        <v>223</v>
      </c>
      <c r="B224" s="276" t="s">
        <v>18480</v>
      </c>
      <c r="C224" s="276" t="s">
        <v>6006</v>
      </c>
      <c r="D224" s="276" t="s">
        <v>18481</v>
      </c>
      <c r="E224" s="276" t="s">
        <v>6007</v>
      </c>
    </row>
    <row r="225" spans="1:5" ht="12.75">
      <c r="A225" s="277">
        <v>224</v>
      </c>
      <c r="B225" s="276" t="s">
        <v>18482</v>
      </c>
      <c r="C225" s="276" t="s">
        <v>6008</v>
      </c>
      <c r="D225" s="276" t="s">
        <v>18483</v>
      </c>
      <c r="E225" s="276" t="s">
        <v>6009</v>
      </c>
    </row>
    <row r="226" spans="1:5" ht="12.75">
      <c r="A226" s="277">
        <v>225</v>
      </c>
      <c r="B226" s="276" t="s">
        <v>18484</v>
      </c>
      <c r="C226" s="276" t="s">
        <v>6010</v>
      </c>
      <c r="D226" s="276" t="s">
        <v>18485</v>
      </c>
      <c r="E226" s="276" t="s">
        <v>6011</v>
      </c>
    </row>
    <row r="227" spans="1:5" ht="12.75">
      <c r="A227" s="277">
        <v>226</v>
      </c>
      <c r="B227" s="276" t="s">
        <v>18486</v>
      </c>
      <c r="C227" s="276" t="s">
        <v>6013</v>
      </c>
      <c r="D227" s="276" t="s">
        <v>18487</v>
      </c>
      <c r="E227" s="276" t="s">
        <v>4209</v>
      </c>
    </row>
    <row r="228" spans="1:5" ht="12.75">
      <c r="A228" s="277">
        <v>227</v>
      </c>
      <c r="B228" s="276" t="s">
        <v>18488</v>
      </c>
      <c r="C228" s="276" t="s">
        <v>6014</v>
      </c>
      <c r="D228" s="276" t="s">
        <v>18489</v>
      </c>
      <c r="E228" s="276" t="s">
        <v>6015</v>
      </c>
    </row>
    <row r="229" spans="1:5" ht="12.75">
      <c r="A229" s="277">
        <v>228</v>
      </c>
      <c r="B229" s="276" t="s">
        <v>18490</v>
      </c>
      <c r="C229" s="276" t="s">
        <v>6017</v>
      </c>
      <c r="D229" s="276" t="s">
        <v>18491</v>
      </c>
      <c r="E229" s="276" t="s">
        <v>4108</v>
      </c>
    </row>
    <row r="230" spans="1:5" ht="12.75">
      <c r="A230" s="277">
        <v>229</v>
      </c>
      <c r="B230" s="276" t="s">
        <v>18492</v>
      </c>
      <c r="C230" s="276" t="s">
        <v>6018</v>
      </c>
      <c r="D230" s="276" t="s">
        <v>18493</v>
      </c>
      <c r="E230" s="276" t="s">
        <v>6019</v>
      </c>
    </row>
    <row r="231" spans="1:5" ht="12.75">
      <c r="A231" s="277">
        <v>230</v>
      </c>
      <c r="B231" s="276" t="s">
        <v>18494</v>
      </c>
      <c r="C231" s="276" t="s">
        <v>6020</v>
      </c>
      <c r="D231" s="276" t="s">
        <v>18495</v>
      </c>
      <c r="E231" s="276" t="s">
        <v>4200</v>
      </c>
    </row>
    <row r="232" spans="1:5" ht="12.75">
      <c r="A232" s="277">
        <v>231</v>
      </c>
      <c r="B232" s="276" t="s">
        <v>18496</v>
      </c>
      <c r="C232" s="276" t="s">
        <v>6021</v>
      </c>
      <c r="D232" s="276" t="s">
        <v>18497</v>
      </c>
      <c r="E232" s="276" t="s">
        <v>6022</v>
      </c>
    </row>
    <row r="233" spans="1:5" ht="12.75">
      <c r="A233" s="277">
        <v>232</v>
      </c>
      <c r="B233" s="276" t="s">
        <v>18498</v>
      </c>
      <c r="C233" s="276" t="s">
        <v>6025</v>
      </c>
      <c r="D233" s="276" t="s">
        <v>18499</v>
      </c>
      <c r="E233" s="276" t="s">
        <v>6026</v>
      </c>
    </row>
    <row r="234" spans="1:5" ht="12.75">
      <c r="A234" s="277">
        <v>233</v>
      </c>
      <c r="B234" s="276" t="s">
        <v>18500</v>
      </c>
      <c r="C234" s="276" t="s">
        <v>6028</v>
      </c>
      <c r="D234" s="276" t="s">
        <v>18501</v>
      </c>
      <c r="E234" s="276" t="s">
        <v>6029</v>
      </c>
    </row>
    <row r="235" spans="1:5" ht="12.75">
      <c r="A235" s="277">
        <v>234</v>
      </c>
      <c r="B235" s="276" t="s">
        <v>18502</v>
      </c>
      <c r="C235" s="276" t="s">
        <v>6031</v>
      </c>
      <c r="D235" s="276" t="s">
        <v>18503</v>
      </c>
      <c r="E235" s="276" t="s">
        <v>4198</v>
      </c>
    </row>
    <row r="236" spans="1:5" ht="12.75">
      <c r="A236" s="277">
        <v>235</v>
      </c>
      <c r="B236" s="276" t="s">
        <v>18504</v>
      </c>
      <c r="C236" s="276" t="s">
        <v>6032</v>
      </c>
      <c r="D236" s="276" t="s">
        <v>18505</v>
      </c>
      <c r="E236" s="276" t="s">
        <v>6033</v>
      </c>
    </row>
    <row r="237" spans="1:5" ht="12.75">
      <c r="A237" s="277">
        <v>236</v>
      </c>
      <c r="B237" s="276" t="s">
        <v>18506</v>
      </c>
      <c r="C237" s="276" t="s">
        <v>6034</v>
      </c>
      <c r="D237" s="276" t="s">
        <v>18507</v>
      </c>
      <c r="E237" s="276" t="s">
        <v>6035</v>
      </c>
    </row>
    <row r="238" spans="1:5" ht="12.75">
      <c r="A238" s="277">
        <v>237</v>
      </c>
      <c r="B238" s="276" t="s">
        <v>18508</v>
      </c>
      <c r="C238" s="276" t="s">
        <v>6025</v>
      </c>
      <c r="D238" s="276" t="s">
        <v>18509</v>
      </c>
      <c r="E238" s="276" t="s">
        <v>6037</v>
      </c>
    </row>
    <row r="239" spans="1:5" ht="12.75">
      <c r="A239" s="277">
        <v>238</v>
      </c>
      <c r="B239" s="276" t="s">
        <v>18510</v>
      </c>
      <c r="C239" s="276" t="s">
        <v>6038</v>
      </c>
      <c r="D239" s="276" t="s">
        <v>18511</v>
      </c>
      <c r="E239" s="276" t="s">
        <v>6039</v>
      </c>
    </row>
    <row r="240" spans="1:5" ht="12.75">
      <c r="A240" s="277">
        <v>239</v>
      </c>
      <c r="B240" s="276" t="s">
        <v>18512</v>
      </c>
      <c r="C240" s="276" t="s">
        <v>6040</v>
      </c>
      <c r="D240" s="276" t="s">
        <v>18513</v>
      </c>
      <c r="E240" s="276" t="s">
        <v>6041</v>
      </c>
    </row>
    <row r="241" spans="1:5" ht="12.75">
      <c r="A241" s="277">
        <v>240</v>
      </c>
      <c r="B241" s="276" t="s">
        <v>18514</v>
      </c>
      <c r="C241" s="276" t="s">
        <v>6043</v>
      </c>
      <c r="D241" s="276" t="s">
        <v>18515</v>
      </c>
      <c r="E241" s="276" t="s">
        <v>6044</v>
      </c>
    </row>
    <row r="242" spans="1:5" ht="12.75">
      <c r="A242" s="277">
        <v>241</v>
      </c>
      <c r="B242" s="276" t="s">
        <v>18516</v>
      </c>
      <c r="C242" s="276" t="s">
        <v>6045</v>
      </c>
      <c r="D242" s="276" t="s">
        <v>18517</v>
      </c>
      <c r="E242" s="276" t="s">
        <v>6046</v>
      </c>
    </row>
    <row r="243" spans="1:5" ht="12.75">
      <c r="A243" s="277">
        <v>242</v>
      </c>
      <c r="B243" s="276" t="s">
        <v>18518</v>
      </c>
      <c r="C243" s="276" t="s">
        <v>6048</v>
      </c>
      <c r="D243" s="276" t="s">
        <v>18519</v>
      </c>
      <c r="E243" s="276" t="s">
        <v>6049</v>
      </c>
    </row>
    <row r="244" spans="1:5" ht="12.75">
      <c r="A244" s="277">
        <v>243</v>
      </c>
      <c r="B244" s="276" t="s">
        <v>18520</v>
      </c>
      <c r="C244" s="276" t="s">
        <v>6050</v>
      </c>
      <c r="D244" s="276" t="s">
        <v>18521</v>
      </c>
      <c r="E244" s="276" t="s">
        <v>4192</v>
      </c>
    </row>
    <row r="245" spans="1:5" ht="12.75">
      <c r="A245" s="277">
        <v>244</v>
      </c>
      <c r="B245" s="276" t="s">
        <v>18522</v>
      </c>
      <c r="C245" s="276" t="s">
        <v>6051</v>
      </c>
      <c r="D245" s="276" t="s">
        <v>18523</v>
      </c>
      <c r="E245" s="276" t="s">
        <v>4236</v>
      </c>
    </row>
    <row r="246" spans="1:5" ht="12.75">
      <c r="A246" s="277">
        <v>245</v>
      </c>
      <c r="B246" s="276" t="s">
        <v>18524</v>
      </c>
      <c r="C246" s="276" t="s">
        <v>6052</v>
      </c>
      <c r="D246" s="276" t="s">
        <v>18525</v>
      </c>
      <c r="E246" s="276" t="s">
        <v>6053</v>
      </c>
    </row>
    <row r="247" spans="1:5" ht="12.75">
      <c r="A247" s="277">
        <v>246</v>
      </c>
      <c r="B247" s="276" t="s">
        <v>18526</v>
      </c>
      <c r="C247" s="276" t="s">
        <v>6054</v>
      </c>
      <c r="D247" s="276" t="s">
        <v>18527</v>
      </c>
      <c r="E247" s="276" t="s">
        <v>6055</v>
      </c>
    </row>
    <row r="248" spans="1:5" ht="12.75">
      <c r="A248" s="277">
        <v>247</v>
      </c>
      <c r="B248" s="276" t="s">
        <v>18528</v>
      </c>
      <c r="C248" s="276" t="s">
        <v>6056</v>
      </c>
      <c r="D248" s="276" t="s">
        <v>18529</v>
      </c>
      <c r="E248" s="276" t="s">
        <v>6057</v>
      </c>
    </row>
    <row r="249" spans="1:5" ht="12.75">
      <c r="A249" s="277">
        <v>248</v>
      </c>
      <c r="B249" s="276" t="s">
        <v>18530</v>
      </c>
      <c r="C249" s="276" t="s">
        <v>6058</v>
      </c>
      <c r="D249" s="276" t="s">
        <v>18531</v>
      </c>
      <c r="E249" s="276" t="s">
        <v>6059</v>
      </c>
    </row>
    <row r="250" spans="1:5" ht="12.75">
      <c r="A250" s="277">
        <v>249</v>
      </c>
      <c r="B250" s="276" t="s">
        <v>18532</v>
      </c>
      <c r="C250" s="276" t="s">
        <v>6060</v>
      </c>
      <c r="D250" s="276" t="s">
        <v>18533</v>
      </c>
      <c r="E250" s="276" t="s">
        <v>6061</v>
      </c>
    </row>
    <row r="251" spans="1:5" ht="12.75">
      <c r="A251" s="277">
        <v>250</v>
      </c>
      <c r="B251" s="276" t="s">
        <v>18534</v>
      </c>
      <c r="C251" s="276" t="s">
        <v>6063</v>
      </c>
      <c r="D251" s="276" t="s">
        <v>18535</v>
      </c>
      <c r="E251" s="276" t="s">
        <v>6064</v>
      </c>
    </row>
    <row r="252" spans="1:5" ht="12.75">
      <c r="A252" s="277">
        <v>251</v>
      </c>
      <c r="B252" s="276" t="s">
        <v>18536</v>
      </c>
      <c r="C252" s="276" t="s">
        <v>6065</v>
      </c>
      <c r="D252" s="276" t="s">
        <v>18537</v>
      </c>
      <c r="E252" s="276" t="s">
        <v>729</v>
      </c>
    </row>
    <row r="253" spans="1:5" ht="12.75">
      <c r="A253" s="277">
        <v>252</v>
      </c>
      <c r="B253" s="276" t="s">
        <v>18538</v>
      </c>
      <c r="C253" s="276" t="s">
        <v>6066</v>
      </c>
      <c r="D253" s="276" t="s">
        <v>18539</v>
      </c>
      <c r="E253" s="276" t="s">
        <v>6067</v>
      </c>
    </row>
    <row r="254" spans="1:5" ht="12.75">
      <c r="A254" s="277">
        <v>253</v>
      </c>
      <c r="B254" s="276" t="s">
        <v>18540</v>
      </c>
      <c r="C254" s="276" t="s">
        <v>6068</v>
      </c>
      <c r="D254" s="276" t="s">
        <v>18541</v>
      </c>
      <c r="E254" s="276" t="s">
        <v>6069</v>
      </c>
    </row>
    <row r="255" spans="1:5" ht="12.75">
      <c r="A255" s="277">
        <v>254</v>
      </c>
      <c r="B255" s="276" t="s">
        <v>18542</v>
      </c>
      <c r="C255" s="276" t="s">
        <v>6071</v>
      </c>
      <c r="D255" s="276" t="s">
        <v>18543</v>
      </c>
      <c r="E255" s="276" t="s">
        <v>6072</v>
      </c>
    </row>
    <row r="256" spans="1:5" ht="12.75">
      <c r="A256" s="277">
        <v>255</v>
      </c>
      <c r="B256" s="276" t="s">
        <v>18544</v>
      </c>
      <c r="C256" s="276" t="s">
        <v>6073</v>
      </c>
      <c r="D256" s="276" t="s">
        <v>18545</v>
      </c>
      <c r="E256" s="276" t="s">
        <v>6074</v>
      </c>
    </row>
    <row r="257" spans="1:5" ht="12.75">
      <c r="A257" s="277">
        <v>256</v>
      </c>
      <c r="B257" s="276" t="s">
        <v>18546</v>
      </c>
      <c r="C257" s="276" t="s">
        <v>6075</v>
      </c>
      <c r="D257" s="276" t="s">
        <v>18547</v>
      </c>
      <c r="E257" s="276" t="s">
        <v>6076</v>
      </c>
    </row>
    <row r="258" spans="1:5" ht="12.75">
      <c r="A258" s="277">
        <v>257</v>
      </c>
      <c r="B258" s="276" t="s">
        <v>18548</v>
      </c>
      <c r="C258" s="276" t="s">
        <v>6077</v>
      </c>
      <c r="D258" s="276" t="s">
        <v>18549</v>
      </c>
      <c r="E258" s="276" t="s">
        <v>6078</v>
      </c>
    </row>
    <row r="259" spans="1:5" ht="12.75">
      <c r="A259" s="277">
        <v>258</v>
      </c>
      <c r="B259" s="276" t="s">
        <v>18550</v>
      </c>
      <c r="C259" s="276" t="s">
        <v>6079</v>
      </c>
      <c r="D259" s="276" t="s">
        <v>18551</v>
      </c>
      <c r="E259" s="276" t="s">
        <v>6080</v>
      </c>
    </row>
    <row r="260" spans="1:5" ht="12.75">
      <c r="A260" s="277">
        <v>259</v>
      </c>
      <c r="B260" s="276" t="s">
        <v>18552</v>
      </c>
      <c r="C260" s="276" t="s">
        <v>6081</v>
      </c>
      <c r="D260" s="276" t="s">
        <v>18553</v>
      </c>
      <c r="E260" s="276" t="s">
        <v>4168</v>
      </c>
    </row>
    <row r="261" spans="1:5" ht="12.75">
      <c r="A261" s="277">
        <v>260</v>
      </c>
      <c r="B261" s="276" t="s">
        <v>18554</v>
      </c>
      <c r="C261" s="276" t="s">
        <v>6082</v>
      </c>
      <c r="D261" s="276" t="s">
        <v>18555</v>
      </c>
      <c r="E261" s="276" t="s">
        <v>6083</v>
      </c>
    </row>
    <row r="262" spans="1:5" ht="12.75">
      <c r="A262" s="277">
        <v>261</v>
      </c>
      <c r="B262" s="276" t="s">
        <v>18556</v>
      </c>
      <c r="C262" s="276" t="s">
        <v>6084</v>
      </c>
      <c r="D262" s="276" t="s">
        <v>18557</v>
      </c>
      <c r="E262" s="276" t="s">
        <v>6085</v>
      </c>
    </row>
    <row r="263" spans="1:5" ht="12.75">
      <c r="A263" s="277">
        <v>262</v>
      </c>
      <c r="B263" s="276" t="s">
        <v>18558</v>
      </c>
      <c r="C263" s="276" t="s">
        <v>6087</v>
      </c>
      <c r="D263" s="276" t="s">
        <v>18559</v>
      </c>
      <c r="E263" s="276" t="s">
        <v>4203</v>
      </c>
    </row>
    <row r="264" spans="1:5" ht="12.75">
      <c r="A264" s="277">
        <v>263</v>
      </c>
      <c r="B264" s="276" t="s">
        <v>18560</v>
      </c>
      <c r="C264" s="276" t="s">
        <v>6088</v>
      </c>
      <c r="D264" s="276" t="s">
        <v>18561</v>
      </c>
      <c r="E264" s="276" t="s">
        <v>6089</v>
      </c>
    </row>
    <row r="265" spans="1:5" ht="12.75">
      <c r="A265" s="277">
        <v>264</v>
      </c>
      <c r="B265" s="276" t="s">
        <v>18562</v>
      </c>
      <c r="C265" s="276" t="s">
        <v>6090</v>
      </c>
      <c r="D265" s="276" t="s">
        <v>18563</v>
      </c>
      <c r="E265" s="276" t="s">
        <v>6091</v>
      </c>
    </row>
    <row r="266" spans="1:5" ht="12.75">
      <c r="A266" s="277">
        <v>265</v>
      </c>
      <c r="B266" s="276" t="s">
        <v>18564</v>
      </c>
      <c r="C266" s="276" t="s">
        <v>6092</v>
      </c>
      <c r="D266" s="276" t="s">
        <v>18565</v>
      </c>
      <c r="E266" s="276" t="s">
        <v>6093</v>
      </c>
    </row>
    <row r="267" spans="1:5" ht="12.75">
      <c r="A267" s="277">
        <v>266</v>
      </c>
      <c r="B267" s="276" t="s">
        <v>18566</v>
      </c>
      <c r="C267" s="276" t="s">
        <v>6095</v>
      </c>
      <c r="D267" s="276" t="s">
        <v>18567</v>
      </c>
      <c r="E267" s="276" t="s">
        <v>6096</v>
      </c>
    </row>
    <row r="268" spans="1:5" ht="12.75">
      <c r="A268" s="277">
        <v>267</v>
      </c>
      <c r="B268" s="276" t="s">
        <v>18568</v>
      </c>
      <c r="C268" s="276" t="s">
        <v>6097</v>
      </c>
      <c r="D268" s="276" t="s">
        <v>18569</v>
      </c>
      <c r="E268" s="276" t="s">
        <v>6098</v>
      </c>
    </row>
    <row r="269" spans="1:5" ht="12.75">
      <c r="A269" s="277">
        <v>268</v>
      </c>
      <c r="B269" s="276" t="s">
        <v>18570</v>
      </c>
      <c r="C269" s="276" t="s">
        <v>6099</v>
      </c>
      <c r="D269" s="276" t="s">
        <v>18571</v>
      </c>
      <c r="E269" s="276" t="s">
        <v>4176</v>
      </c>
    </row>
    <row r="270" spans="1:5" ht="12.75">
      <c r="A270" s="277">
        <v>269</v>
      </c>
      <c r="B270" s="276" t="s">
        <v>18572</v>
      </c>
      <c r="C270" s="276" t="s">
        <v>6100</v>
      </c>
      <c r="D270" s="276" t="s">
        <v>18573</v>
      </c>
      <c r="E270" s="276" t="s">
        <v>6101</v>
      </c>
    </row>
    <row r="271" spans="1:5" ht="12.75">
      <c r="A271" s="277">
        <v>270</v>
      </c>
      <c r="B271" s="276" t="s">
        <v>18574</v>
      </c>
      <c r="C271" s="276" t="s">
        <v>6102</v>
      </c>
      <c r="D271" s="276" t="s">
        <v>18575</v>
      </c>
      <c r="E271" s="276" t="s">
        <v>4126</v>
      </c>
    </row>
    <row r="272" spans="1:5" ht="12.75">
      <c r="A272" s="277">
        <v>271</v>
      </c>
      <c r="B272" s="276" t="s">
        <v>18576</v>
      </c>
      <c r="C272" s="276" t="s">
        <v>6103</v>
      </c>
      <c r="D272" s="276" t="s">
        <v>18577</v>
      </c>
      <c r="E272" s="276" t="s">
        <v>6104</v>
      </c>
    </row>
    <row r="273" spans="1:5" ht="12.75">
      <c r="A273" s="277">
        <v>272</v>
      </c>
      <c r="B273" s="276" t="s">
        <v>18578</v>
      </c>
      <c r="C273" s="276" t="s">
        <v>6106</v>
      </c>
      <c r="D273" s="276" t="s">
        <v>18579</v>
      </c>
      <c r="E273" s="276" t="s">
        <v>4088</v>
      </c>
    </row>
    <row r="274" spans="1:5" ht="12.75">
      <c r="A274" s="277">
        <v>273</v>
      </c>
      <c r="B274" s="276" t="s">
        <v>18580</v>
      </c>
      <c r="C274" s="276" t="s">
        <v>6107</v>
      </c>
      <c r="D274" s="276" t="s">
        <v>18581</v>
      </c>
      <c r="E274" s="276" t="s">
        <v>6108</v>
      </c>
    </row>
    <row r="275" spans="1:5" ht="12.75">
      <c r="A275" s="277">
        <v>274</v>
      </c>
      <c r="B275" s="276" t="s">
        <v>18582</v>
      </c>
      <c r="C275" s="276" t="s">
        <v>6109</v>
      </c>
      <c r="D275" s="276" t="s">
        <v>18583</v>
      </c>
      <c r="E275" s="276" t="s">
        <v>6110</v>
      </c>
    </row>
    <row r="276" spans="1:5" ht="12.75">
      <c r="A276" s="277">
        <v>275</v>
      </c>
      <c r="B276" s="276" t="s">
        <v>18584</v>
      </c>
      <c r="C276" s="276" t="s">
        <v>6112</v>
      </c>
      <c r="D276" s="276" t="s">
        <v>18585</v>
      </c>
      <c r="E276" s="276" t="s">
        <v>6113</v>
      </c>
    </row>
    <row r="277" spans="1:5" ht="12.75">
      <c r="A277" s="277">
        <v>276</v>
      </c>
      <c r="B277" s="276" t="s">
        <v>18586</v>
      </c>
      <c r="C277" s="276" t="s">
        <v>6114</v>
      </c>
      <c r="D277" s="276" t="s">
        <v>18587</v>
      </c>
      <c r="E277" s="276" t="s">
        <v>6115</v>
      </c>
    </row>
    <row r="278" spans="1:5" ht="12.75">
      <c r="A278" s="277">
        <v>277</v>
      </c>
      <c r="B278" s="276" t="s">
        <v>18588</v>
      </c>
      <c r="C278" s="276" t="s">
        <v>6117</v>
      </c>
      <c r="D278" s="276" t="s">
        <v>18589</v>
      </c>
      <c r="E278" s="276" t="s">
        <v>4242</v>
      </c>
    </row>
    <row r="279" spans="1:5" ht="12.75">
      <c r="A279" s="277">
        <v>278</v>
      </c>
      <c r="B279" s="276" t="s">
        <v>18590</v>
      </c>
      <c r="C279" s="276" t="s">
        <v>6118</v>
      </c>
      <c r="D279" s="276" t="s">
        <v>18591</v>
      </c>
      <c r="E279" s="276" t="s">
        <v>6119</v>
      </c>
    </row>
    <row r="280" spans="1:5" ht="12.75">
      <c r="A280" s="277">
        <v>279</v>
      </c>
      <c r="B280" s="276" t="s">
        <v>18592</v>
      </c>
      <c r="C280" s="276" t="s">
        <v>6120</v>
      </c>
      <c r="D280" s="276" t="s">
        <v>18593</v>
      </c>
      <c r="E280" s="276" t="s">
        <v>6121</v>
      </c>
    </row>
    <row r="281" spans="1:5" ht="12.75">
      <c r="A281" s="277">
        <v>280</v>
      </c>
      <c r="B281" s="276" t="s">
        <v>18594</v>
      </c>
      <c r="C281" s="276" t="s">
        <v>6123</v>
      </c>
      <c r="D281" s="276" t="s">
        <v>18595</v>
      </c>
      <c r="E281" s="276" t="s">
        <v>4551</v>
      </c>
    </row>
    <row r="282" spans="1:5" ht="12.75">
      <c r="A282" s="277">
        <v>281</v>
      </c>
      <c r="B282" s="276" t="s">
        <v>18596</v>
      </c>
      <c r="C282" s="276" t="s">
        <v>6124</v>
      </c>
      <c r="D282" s="276" t="s">
        <v>18597</v>
      </c>
      <c r="E282" s="276" t="s">
        <v>4115</v>
      </c>
    </row>
    <row r="283" spans="1:5" ht="12.75">
      <c r="A283" s="277">
        <v>282</v>
      </c>
      <c r="B283" s="276" t="s">
        <v>18598</v>
      </c>
      <c r="C283" s="276" t="s">
        <v>6125</v>
      </c>
      <c r="D283" s="276" t="s">
        <v>18599</v>
      </c>
      <c r="E283" s="276" t="s">
        <v>6126</v>
      </c>
    </row>
    <row r="284" spans="1:5" ht="12.75">
      <c r="A284" s="277">
        <v>283</v>
      </c>
      <c r="B284" s="276" t="s">
        <v>18600</v>
      </c>
      <c r="C284" s="276" t="s">
        <v>5948</v>
      </c>
      <c r="D284" s="276" t="s">
        <v>18601</v>
      </c>
      <c r="E284" s="276" t="s">
        <v>4133</v>
      </c>
    </row>
    <row r="285" spans="1:5" ht="12.75">
      <c r="A285" s="277">
        <v>284</v>
      </c>
      <c r="B285" s="276" t="s">
        <v>18602</v>
      </c>
      <c r="C285" s="276" t="s">
        <v>6127</v>
      </c>
      <c r="D285" s="276" t="s">
        <v>18603</v>
      </c>
      <c r="E285" s="276" t="s">
        <v>6128</v>
      </c>
    </row>
    <row r="286" spans="1:5" ht="12.75">
      <c r="A286" s="277">
        <v>285</v>
      </c>
      <c r="B286" s="276" t="s">
        <v>18604</v>
      </c>
      <c r="C286" s="276" t="s">
        <v>6129</v>
      </c>
      <c r="D286" s="276" t="s">
        <v>18605</v>
      </c>
      <c r="E286" s="276" t="s">
        <v>6130</v>
      </c>
    </row>
    <row r="287" spans="1:5" ht="12.75">
      <c r="A287" s="277">
        <v>286</v>
      </c>
      <c r="B287" s="276" t="s">
        <v>18606</v>
      </c>
      <c r="C287" s="276" t="s">
        <v>6131</v>
      </c>
      <c r="D287" s="276" t="s">
        <v>18607</v>
      </c>
      <c r="E287" s="276" t="s">
        <v>6132</v>
      </c>
    </row>
    <row r="288" spans="1:5" ht="12.75">
      <c r="A288" s="277">
        <v>287</v>
      </c>
      <c r="B288" s="276" t="s">
        <v>18608</v>
      </c>
      <c r="C288" s="276" t="s">
        <v>4248</v>
      </c>
      <c r="D288" s="276" t="s">
        <v>18609</v>
      </c>
      <c r="E288" s="276" t="s">
        <v>4219</v>
      </c>
    </row>
    <row r="289" spans="1:5" ht="12.75">
      <c r="A289" s="277">
        <v>288</v>
      </c>
      <c r="B289" s="276" t="s">
        <v>18610</v>
      </c>
      <c r="C289" s="276" t="s">
        <v>6133</v>
      </c>
      <c r="D289" s="276" t="s">
        <v>18611</v>
      </c>
      <c r="E289" s="276" t="s">
        <v>4552</v>
      </c>
    </row>
    <row r="290" spans="1:5" ht="12.75">
      <c r="A290" s="277">
        <v>289</v>
      </c>
      <c r="B290" s="276" t="s">
        <v>18612</v>
      </c>
      <c r="C290" s="276" t="s">
        <v>6134</v>
      </c>
      <c r="D290" s="276" t="s">
        <v>18613</v>
      </c>
      <c r="E290" s="276" t="s">
        <v>6135</v>
      </c>
    </row>
    <row r="291" spans="1:5" ht="12.75">
      <c r="A291" s="277">
        <v>290</v>
      </c>
      <c r="B291" s="276" t="s">
        <v>18614</v>
      </c>
      <c r="C291" s="276" t="s">
        <v>6136</v>
      </c>
      <c r="D291" s="276" t="s">
        <v>18615</v>
      </c>
      <c r="E291" s="276" t="s">
        <v>6137</v>
      </c>
    </row>
    <row r="292" spans="1:5" ht="12.75">
      <c r="A292" s="277">
        <v>291</v>
      </c>
      <c r="B292" s="276" t="s">
        <v>18616</v>
      </c>
      <c r="C292" s="276" t="s">
        <v>6139</v>
      </c>
      <c r="D292" s="276" t="s">
        <v>18617</v>
      </c>
      <c r="E292" s="276" t="s">
        <v>4184</v>
      </c>
    </row>
    <row r="293" spans="1:5" ht="12.75">
      <c r="A293" s="277">
        <v>292</v>
      </c>
      <c r="B293" s="276" t="s">
        <v>18618</v>
      </c>
      <c r="C293" s="276" t="s">
        <v>6140</v>
      </c>
      <c r="D293" s="276" t="s">
        <v>18619</v>
      </c>
      <c r="E293" s="276" t="s">
        <v>6141</v>
      </c>
    </row>
    <row r="294" spans="1:5" ht="12.75">
      <c r="A294" s="277">
        <v>293</v>
      </c>
      <c r="B294" s="276" t="s">
        <v>18620</v>
      </c>
      <c r="C294" s="276" t="s">
        <v>6143</v>
      </c>
      <c r="D294" s="276" t="s">
        <v>18621</v>
      </c>
      <c r="E294" s="276" t="s">
        <v>6144</v>
      </c>
    </row>
    <row r="295" spans="1:5" ht="12.75">
      <c r="A295" s="277">
        <v>294</v>
      </c>
      <c r="B295" s="276" t="s">
        <v>18622</v>
      </c>
      <c r="C295" s="276" t="s">
        <v>6145</v>
      </c>
      <c r="D295" s="276" t="s">
        <v>18623</v>
      </c>
      <c r="E295" s="276" t="s">
        <v>6146</v>
      </c>
    </row>
    <row r="296" spans="1:5" ht="12.75">
      <c r="A296" s="277">
        <v>295</v>
      </c>
      <c r="B296" s="276" t="s">
        <v>18624</v>
      </c>
      <c r="C296" s="276" t="s">
        <v>6147</v>
      </c>
      <c r="D296" s="276" t="s">
        <v>18625</v>
      </c>
      <c r="E296" s="276" t="s">
        <v>6148</v>
      </c>
    </row>
    <row r="297" spans="1:5" ht="12.75">
      <c r="A297" s="277">
        <v>296</v>
      </c>
      <c r="B297" s="276" t="s">
        <v>18626</v>
      </c>
      <c r="C297" s="276" t="s">
        <v>6150</v>
      </c>
      <c r="D297" s="276" t="s">
        <v>18627</v>
      </c>
      <c r="E297" s="276" t="s">
        <v>6151</v>
      </c>
    </row>
    <row r="298" spans="1:5" ht="12.75">
      <c r="A298" s="277">
        <v>297</v>
      </c>
      <c r="B298" s="276" t="s">
        <v>18628</v>
      </c>
      <c r="C298" s="276" t="s">
        <v>6152</v>
      </c>
      <c r="D298" s="276" t="s">
        <v>18629</v>
      </c>
      <c r="E298" s="276" t="s">
        <v>4220</v>
      </c>
    </row>
    <row r="299" spans="1:5" ht="12.75">
      <c r="A299" s="277">
        <v>298</v>
      </c>
      <c r="B299" s="276" t="s">
        <v>18630</v>
      </c>
      <c r="C299" s="276" t="s">
        <v>6153</v>
      </c>
      <c r="D299" s="276" t="s">
        <v>18631</v>
      </c>
      <c r="E299" s="276" t="s">
        <v>6154</v>
      </c>
    </row>
    <row r="300" spans="1:5" ht="12.75">
      <c r="A300" s="277">
        <v>299</v>
      </c>
      <c r="B300" s="276" t="s">
        <v>18632</v>
      </c>
      <c r="C300" s="276" t="s">
        <v>6156</v>
      </c>
      <c r="D300" s="276" t="s">
        <v>18633</v>
      </c>
      <c r="E300" s="276" t="s">
        <v>4095</v>
      </c>
    </row>
    <row r="301" spans="1:5" ht="12.75">
      <c r="A301" s="277">
        <v>300</v>
      </c>
      <c r="B301" s="276" t="s">
        <v>18634</v>
      </c>
      <c r="C301" s="276" t="s">
        <v>6157</v>
      </c>
      <c r="D301" s="276" t="s">
        <v>18635</v>
      </c>
      <c r="E301" s="276" t="s">
        <v>4105</v>
      </c>
    </row>
    <row r="302" spans="1:5" ht="12.75">
      <c r="A302" s="277">
        <v>301</v>
      </c>
      <c r="B302" s="276" t="s">
        <v>18636</v>
      </c>
      <c r="C302" s="276" t="s">
        <v>6158</v>
      </c>
      <c r="D302" s="276" t="s">
        <v>18637</v>
      </c>
      <c r="E302" s="276" t="s">
        <v>4104</v>
      </c>
    </row>
    <row r="303" spans="1:5" ht="12.75">
      <c r="A303" s="277">
        <v>302</v>
      </c>
      <c r="B303" s="276" t="s">
        <v>18638</v>
      </c>
      <c r="C303" s="276" t="s">
        <v>6159</v>
      </c>
      <c r="D303" s="276" t="s">
        <v>18639</v>
      </c>
      <c r="E303" s="276" t="s">
        <v>4135</v>
      </c>
    </row>
    <row r="304" spans="1:5" ht="12.75">
      <c r="A304" s="277">
        <v>303</v>
      </c>
      <c r="B304" s="276" t="s">
        <v>18640</v>
      </c>
      <c r="C304" s="276" t="s">
        <v>5828</v>
      </c>
      <c r="D304" s="276" t="s">
        <v>18641</v>
      </c>
      <c r="E304" s="276" t="s">
        <v>6160</v>
      </c>
    </row>
    <row r="305" spans="1:5" ht="12.75">
      <c r="A305" s="277">
        <v>304</v>
      </c>
      <c r="B305" s="276" t="s">
        <v>18642</v>
      </c>
      <c r="C305" s="276" t="s">
        <v>6161</v>
      </c>
      <c r="D305" s="276" t="s">
        <v>18643</v>
      </c>
      <c r="E305" s="276" t="s">
        <v>6162</v>
      </c>
    </row>
    <row r="306" spans="1:5" ht="12.75">
      <c r="A306" s="277">
        <v>305</v>
      </c>
      <c r="B306" s="276" t="s">
        <v>18644</v>
      </c>
      <c r="C306" s="276" t="s">
        <v>6021</v>
      </c>
      <c r="D306" s="276" t="s">
        <v>18645</v>
      </c>
      <c r="E306" s="276" t="s">
        <v>6164</v>
      </c>
    </row>
    <row r="307" spans="1:5" ht="12.75">
      <c r="A307" s="277">
        <v>306</v>
      </c>
      <c r="B307" s="276" t="s">
        <v>18646</v>
      </c>
      <c r="C307" s="276" t="s">
        <v>6165</v>
      </c>
      <c r="D307" s="276" t="s">
        <v>18647</v>
      </c>
      <c r="E307" s="276" t="s">
        <v>6166</v>
      </c>
    </row>
    <row r="308" spans="1:5" ht="12.75">
      <c r="A308" s="277">
        <v>307</v>
      </c>
      <c r="B308" s="276" t="s">
        <v>18648</v>
      </c>
      <c r="C308" s="276" t="s">
        <v>5850</v>
      </c>
      <c r="D308" s="276" t="s">
        <v>18649</v>
      </c>
      <c r="E308" s="276" t="s">
        <v>6167</v>
      </c>
    </row>
    <row r="309" spans="1:5" ht="12.75">
      <c r="A309" s="277">
        <v>308</v>
      </c>
      <c r="B309" s="276" t="s">
        <v>18650</v>
      </c>
      <c r="C309" s="276" t="s">
        <v>6169</v>
      </c>
      <c r="D309" s="276" t="s">
        <v>18651</v>
      </c>
      <c r="E309" s="276" t="s">
        <v>6170</v>
      </c>
    </row>
    <row r="310" spans="1:5" ht="12.75">
      <c r="A310" s="277">
        <v>309</v>
      </c>
      <c r="B310" s="276" t="s">
        <v>18652</v>
      </c>
      <c r="C310" s="276" t="s">
        <v>5641</v>
      </c>
      <c r="D310" s="276" t="s">
        <v>18653</v>
      </c>
      <c r="E310" s="276" t="s">
        <v>4130</v>
      </c>
    </row>
    <row r="311" spans="1:5" ht="12.75">
      <c r="A311" s="277">
        <v>310</v>
      </c>
      <c r="B311" s="276" t="s">
        <v>18654</v>
      </c>
      <c r="C311" s="276" t="s">
        <v>6172</v>
      </c>
      <c r="D311" s="276" t="s">
        <v>18655</v>
      </c>
      <c r="E311" s="276" t="s">
        <v>6173</v>
      </c>
    </row>
    <row r="312" spans="1:5" ht="12.75">
      <c r="A312" s="277">
        <v>311</v>
      </c>
      <c r="B312" s="276" t="s">
        <v>18656</v>
      </c>
      <c r="C312" s="276" t="s">
        <v>6174</v>
      </c>
      <c r="D312" s="276" t="s">
        <v>18657</v>
      </c>
      <c r="E312" s="276" t="s">
        <v>6175</v>
      </c>
    </row>
    <row r="313" spans="1:5" ht="12.75">
      <c r="A313" s="277">
        <v>312</v>
      </c>
      <c r="B313" s="276" t="s">
        <v>18658</v>
      </c>
      <c r="C313" s="276" t="s">
        <v>6176</v>
      </c>
      <c r="D313" s="276" t="s">
        <v>18659</v>
      </c>
      <c r="E313" s="276" t="s">
        <v>6177</v>
      </c>
    </row>
    <row r="314" spans="1:5" ht="12.75">
      <c r="A314" s="277">
        <v>313</v>
      </c>
      <c r="B314" s="276" t="s">
        <v>18660</v>
      </c>
      <c r="C314" s="276" t="s">
        <v>6178</v>
      </c>
      <c r="D314" s="276" t="s">
        <v>18661</v>
      </c>
      <c r="E314" s="276" t="s">
        <v>6179</v>
      </c>
    </row>
    <row r="315" spans="1:5" ht="12.75">
      <c r="A315" s="277">
        <v>314</v>
      </c>
      <c r="B315" s="276" t="s">
        <v>18662</v>
      </c>
      <c r="C315" s="276" t="s">
        <v>6112</v>
      </c>
      <c r="D315" s="276" t="s">
        <v>18663</v>
      </c>
      <c r="E315" s="276" t="s">
        <v>6180</v>
      </c>
    </row>
    <row r="316" spans="1:5" ht="12.75">
      <c r="A316" s="277">
        <v>315</v>
      </c>
      <c r="B316" s="276" t="s">
        <v>18664</v>
      </c>
      <c r="C316" s="276" t="s">
        <v>5812</v>
      </c>
      <c r="D316" s="276" t="s">
        <v>18665</v>
      </c>
      <c r="E316" s="276" t="s">
        <v>4110</v>
      </c>
    </row>
    <row r="317" spans="1:5" ht="12.75">
      <c r="A317" s="277">
        <v>316</v>
      </c>
      <c r="B317" s="276" t="s">
        <v>18666</v>
      </c>
      <c r="C317" s="276" t="s">
        <v>6181</v>
      </c>
      <c r="D317" s="276" t="s">
        <v>18667</v>
      </c>
      <c r="E317" s="276" t="s">
        <v>4235</v>
      </c>
    </row>
    <row r="318" spans="1:5" ht="12.75">
      <c r="A318" s="277">
        <v>317</v>
      </c>
      <c r="B318" s="276" t="s">
        <v>18668</v>
      </c>
      <c r="C318" s="276" t="s">
        <v>6182</v>
      </c>
      <c r="D318" s="276" t="s">
        <v>18669</v>
      </c>
      <c r="E318" s="276" t="s">
        <v>6183</v>
      </c>
    </row>
    <row r="319" spans="1:5" ht="12.75">
      <c r="A319" s="277">
        <v>318</v>
      </c>
      <c r="B319" s="276" t="s">
        <v>18670</v>
      </c>
      <c r="C319" s="276" t="s">
        <v>6185</v>
      </c>
      <c r="D319" s="276" t="s">
        <v>18671</v>
      </c>
      <c r="E319" s="276" t="s">
        <v>4226</v>
      </c>
    </row>
    <row r="320" spans="1:5" ht="12.75">
      <c r="A320" s="277">
        <v>319</v>
      </c>
      <c r="B320" s="276" t="s">
        <v>18672</v>
      </c>
      <c r="C320" s="276" t="s">
        <v>6186</v>
      </c>
      <c r="D320" s="276" t="s">
        <v>18673</v>
      </c>
      <c r="E320" s="276" t="s">
        <v>4558</v>
      </c>
    </row>
    <row r="321" spans="1:5" ht="12.75">
      <c r="A321" s="277">
        <v>320</v>
      </c>
      <c r="B321" s="276" t="s">
        <v>18674</v>
      </c>
      <c r="C321" s="276" t="s">
        <v>6187</v>
      </c>
      <c r="D321" s="276" t="s">
        <v>18675</v>
      </c>
      <c r="E321" s="276" t="s">
        <v>6188</v>
      </c>
    </row>
    <row r="322" spans="1:5" ht="12.75">
      <c r="A322" s="277">
        <v>321</v>
      </c>
      <c r="B322" s="276" t="s">
        <v>18676</v>
      </c>
      <c r="C322" s="276" t="s">
        <v>6189</v>
      </c>
      <c r="D322" s="276" t="s">
        <v>18677</v>
      </c>
      <c r="E322" s="276" t="s">
        <v>4554</v>
      </c>
    </row>
    <row r="323" spans="1:5" ht="12.75">
      <c r="A323" s="277">
        <v>322</v>
      </c>
      <c r="B323" s="276" t="s">
        <v>18678</v>
      </c>
      <c r="C323" s="276" t="s">
        <v>6190</v>
      </c>
      <c r="D323" s="276" t="s">
        <v>18679</v>
      </c>
      <c r="E323" s="276" t="s">
        <v>6191</v>
      </c>
    </row>
    <row r="324" spans="1:5" ht="12.75">
      <c r="A324" s="277">
        <v>323</v>
      </c>
      <c r="B324" s="276" t="s">
        <v>18680</v>
      </c>
      <c r="C324" s="276" t="s">
        <v>6192</v>
      </c>
      <c r="D324" s="276" t="s">
        <v>18681</v>
      </c>
      <c r="E324" s="276" t="s">
        <v>6193</v>
      </c>
    </row>
    <row r="325" spans="1:5" ht="12.75">
      <c r="A325" s="277">
        <v>324</v>
      </c>
      <c r="B325" s="276" t="s">
        <v>18682</v>
      </c>
      <c r="C325" s="276" t="s">
        <v>6194</v>
      </c>
      <c r="D325" s="276" t="s">
        <v>18683</v>
      </c>
      <c r="E325" s="276" t="s">
        <v>6195</v>
      </c>
    </row>
    <row r="326" spans="1:5" ht="12.75">
      <c r="A326" s="277">
        <v>325</v>
      </c>
      <c r="B326" s="276" t="s">
        <v>18684</v>
      </c>
      <c r="C326" s="276" t="s">
        <v>6196</v>
      </c>
      <c r="D326" s="276" t="s">
        <v>18685</v>
      </c>
      <c r="E326" s="276" t="s">
        <v>6197</v>
      </c>
    </row>
    <row r="327" spans="1:5" ht="12.75">
      <c r="A327" s="277">
        <v>326</v>
      </c>
      <c r="B327" s="276" t="s">
        <v>18686</v>
      </c>
      <c r="C327" s="276" t="s">
        <v>6189</v>
      </c>
      <c r="D327" s="276" t="s">
        <v>18687</v>
      </c>
      <c r="E327" s="276" t="s">
        <v>4556</v>
      </c>
    </row>
    <row r="328" spans="1:5" ht="12.75">
      <c r="A328" s="277">
        <v>327</v>
      </c>
      <c r="B328" s="276" t="s">
        <v>18688</v>
      </c>
      <c r="C328" s="276" t="s">
        <v>6050</v>
      </c>
      <c r="D328" s="276" t="s">
        <v>18689</v>
      </c>
      <c r="E328" s="276" t="s">
        <v>4195</v>
      </c>
    </row>
    <row r="329" spans="1:5" ht="12.75">
      <c r="A329" s="277">
        <v>328</v>
      </c>
      <c r="B329" s="276" t="s">
        <v>18690</v>
      </c>
      <c r="C329" s="276" t="s">
        <v>6198</v>
      </c>
      <c r="D329" s="276" t="s">
        <v>18691</v>
      </c>
      <c r="E329" s="276" t="s">
        <v>6199</v>
      </c>
    </row>
    <row r="330" spans="1:5" ht="12.75">
      <c r="A330" s="277">
        <v>329</v>
      </c>
      <c r="B330" s="276" t="s">
        <v>18692</v>
      </c>
      <c r="C330" s="276" t="s">
        <v>6201</v>
      </c>
      <c r="D330" s="276" t="s">
        <v>18693</v>
      </c>
      <c r="E330" s="276" t="s">
        <v>6202</v>
      </c>
    </row>
    <row r="331" spans="1:5" ht="12.75">
      <c r="A331" s="277">
        <v>330</v>
      </c>
      <c r="B331" s="276" t="s">
        <v>18694</v>
      </c>
      <c r="C331" s="276" t="s">
        <v>6204</v>
      </c>
      <c r="D331" s="276" t="s">
        <v>18695</v>
      </c>
      <c r="E331" s="276" t="s">
        <v>6205</v>
      </c>
    </row>
    <row r="332" spans="1:5" ht="12.75">
      <c r="A332" s="277">
        <v>331</v>
      </c>
      <c r="B332" s="276" t="s">
        <v>18696</v>
      </c>
      <c r="C332" s="276" t="s">
        <v>6207</v>
      </c>
      <c r="D332" s="276" t="s">
        <v>18697</v>
      </c>
      <c r="E332" s="276" t="s">
        <v>4125</v>
      </c>
    </row>
    <row r="333" spans="1:5" ht="12.75">
      <c r="A333" s="277">
        <v>332</v>
      </c>
      <c r="B333" s="276" t="s">
        <v>18698</v>
      </c>
      <c r="C333" s="276" t="s">
        <v>6208</v>
      </c>
      <c r="D333" s="276" t="s">
        <v>18699</v>
      </c>
      <c r="E333" s="276" t="s">
        <v>6209</v>
      </c>
    </row>
    <row r="334" spans="1:5" ht="12.75">
      <c r="A334" s="277">
        <v>333</v>
      </c>
      <c r="B334" s="276" t="s">
        <v>18700</v>
      </c>
      <c r="C334" s="276" t="s">
        <v>6211</v>
      </c>
      <c r="D334" s="276" t="s">
        <v>18701</v>
      </c>
      <c r="E334" s="276" t="s">
        <v>6212</v>
      </c>
    </row>
    <row r="335" spans="1:5" ht="12.75">
      <c r="A335" s="277">
        <v>334</v>
      </c>
      <c r="B335" s="276" t="s">
        <v>18702</v>
      </c>
      <c r="C335" s="276" t="s">
        <v>6213</v>
      </c>
      <c r="D335" s="276" t="s">
        <v>18703</v>
      </c>
      <c r="E335" s="276" t="s">
        <v>6214</v>
      </c>
    </row>
    <row r="336" spans="1:5" ht="12.75">
      <c r="A336" s="277">
        <v>335</v>
      </c>
      <c r="B336" s="276" t="s">
        <v>18704</v>
      </c>
      <c r="C336" s="276" t="s">
        <v>6216</v>
      </c>
      <c r="D336" s="276" t="s">
        <v>18705</v>
      </c>
      <c r="E336" s="276" t="s">
        <v>6217</v>
      </c>
    </row>
    <row r="337" spans="1:5" ht="12.75">
      <c r="A337" s="277">
        <v>336</v>
      </c>
      <c r="B337" s="276" t="s">
        <v>18706</v>
      </c>
      <c r="C337" s="276" t="s">
        <v>6218</v>
      </c>
      <c r="D337" s="276" t="s">
        <v>18707</v>
      </c>
      <c r="E337" s="276" t="s">
        <v>6219</v>
      </c>
    </row>
    <row r="338" spans="1:5" ht="12.75">
      <c r="A338" s="277">
        <v>337</v>
      </c>
      <c r="B338" s="276" t="s">
        <v>18708</v>
      </c>
      <c r="C338" s="276" t="s">
        <v>6221</v>
      </c>
      <c r="D338" s="276" t="s">
        <v>18709</v>
      </c>
      <c r="E338" s="276" t="s">
        <v>6222</v>
      </c>
    </row>
    <row r="339" spans="1:5" ht="12.75">
      <c r="A339" s="277">
        <v>338</v>
      </c>
      <c r="B339" s="276" t="s">
        <v>18710</v>
      </c>
      <c r="C339" s="276" t="s">
        <v>6223</v>
      </c>
      <c r="D339" s="276" t="s">
        <v>18711</v>
      </c>
      <c r="E339" s="276" t="s">
        <v>6224</v>
      </c>
    </row>
    <row r="340" spans="1:5" ht="12.75">
      <c r="A340" s="277">
        <v>339</v>
      </c>
      <c r="B340" s="276" t="s">
        <v>18712</v>
      </c>
      <c r="C340" s="276" t="s">
        <v>6225</v>
      </c>
      <c r="D340" s="276" t="s">
        <v>18713</v>
      </c>
      <c r="E340" s="276" t="s">
        <v>6226</v>
      </c>
    </row>
    <row r="341" spans="1:5" ht="12.75">
      <c r="A341" s="277">
        <v>340</v>
      </c>
      <c r="B341" s="276" t="s">
        <v>18714</v>
      </c>
      <c r="C341" s="276" t="s">
        <v>6228</v>
      </c>
      <c r="D341" s="276" t="s">
        <v>18715</v>
      </c>
      <c r="E341" s="276" t="s">
        <v>6229</v>
      </c>
    </row>
    <row r="342" spans="1:5" ht="12.75">
      <c r="A342" s="277">
        <v>341</v>
      </c>
      <c r="B342" s="276" t="s">
        <v>18716</v>
      </c>
      <c r="C342" s="276" t="s">
        <v>6230</v>
      </c>
      <c r="D342" s="276" t="s">
        <v>18717</v>
      </c>
      <c r="E342" s="276" t="s">
        <v>4179</v>
      </c>
    </row>
    <row r="343" spans="1:5" ht="12.75">
      <c r="A343" s="277">
        <v>342</v>
      </c>
      <c r="B343" s="276" t="s">
        <v>18718</v>
      </c>
      <c r="C343" s="276" t="s">
        <v>6231</v>
      </c>
      <c r="D343" s="276" t="s">
        <v>18719</v>
      </c>
      <c r="E343" s="276" t="s">
        <v>6232</v>
      </c>
    </row>
    <row r="344" spans="1:5" ht="12.75">
      <c r="A344" s="277">
        <v>343</v>
      </c>
      <c r="B344" s="276" t="s">
        <v>18720</v>
      </c>
      <c r="C344" s="276" t="s">
        <v>6233</v>
      </c>
      <c r="D344" s="276" t="s">
        <v>18721</v>
      </c>
      <c r="E344" s="276" t="s">
        <v>6234</v>
      </c>
    </row>
    <row r="345" spans="1:5" ht="12.75">
      <c r="A345" s="277">
        <v>344</v>
      </c>
      <c r="B345" s="276" t="s">
        <v>18722</v>
      </c>
      <c r="C345" s="276" t="s">
        <v>6236</v>
      </c>
      <c r="D345" s="276" t="s">
        <v>18723</v>
      </c>
      <c r="E345" s="276" t="s">
        <v>6237</v>
      </c>
    </row>
    <row r="346" spans="1:5" ht="12.75">
      <c r="A346" s="277">
        <v>345</v>
      </c>
      <c r="B346" s="276" t="s">
        <v>18724</v>
      </c>
      <c r="C346" s="276" t="s">
        <v>6238</v>
      </c>
      <c r="D346" s="276" t="s">
        <v>18725</v>
      </c>
      <c r="E346" s="276" t="s">
        <v>6239</v>
      </c>
    </row>
    <row r="347" spans="1:5" ht="12.75">
      <c r="A347" s="277">
        <v>346</v>
      </c>
      <c r="B347" s="276" t="s">
        <v>18726</v>
      </c>
      <c r="C347" s="276" t="s">
        <v>6241</v>
      </c>
      <c r="D347" s="276" t="s">
        <v>18727</v>
      </c>
      <c r="E347" s="276" t="s">
        <v>6242</v>
      </c>
    </row>
    <row r="348" spans="1:5" ht="12.75">
      <c r="A348" s="277">
        <v>347</v>
      </c>
      <c r="B348" s="276" t="s">
        <v>18728</v>
      </c>
      <c r="C348" s="276" t="s">
        <v>6244</v>
      </c>
      <c r="D348" s="276" t="s">
        <v>18729</v>
      </c>
      <c r="E348" s="276" t="s">
        <v>6245</v>
      </c>
    </row>
    <row r="349" spans="1:5" ht="12.75">
      <c r="A349" s="277">
        <v>348</v>
      </c>
      <c r="B349" s="276" t="s">
        <v>18730</v>
      </c>
      <c r="C349" s="276" t="s">
        <v>6246</v>
      </c>
      <c r="D349" s="276" t="s">
        <v>18731</v>
      </c>
      <c r="E349" s="276" t="s">
        <v>6247</v>
      </c>
    </row>
    <row r="350" spans="1:5" ht="12.75">
      <c r="A350" s="277">
        <v>349</v>
      </c>
      <c r="B350" s="276" t="s">
        <v>18732</v>
      </c>
      <c r="C350" s="276" t="s">
        <v>6248</v>
      </c>
      <c r="D350" s="276" t="s">
        <v>18733</v>
      </c>
      <c r="E350" s="276" t="s">
        <v>4170</v>
      </c>
    </row>
    <row r="351" spans="1:5" ht="12.75">
      <c r="A351" s="277">
        <v>350</v>
      </c>
      <c r="B351" s="276" t="s">
        <v>18734</v>
      </c>
      <c r="C351" s="276" t="s">
        <v>6249</v>
      </c>
      <c r="D351" s="276" t="s">
        <v>18735</v>
      </c>
      <c r="E351" s="276" t="s">
        <v>6250</v>
      </c>
    </row>
    <row r="352" spans="1:5" ht="12.75">
      <c r="A352" s="277">
        <v>351</v>
      </c>
      <c r="B352" s="276" t="s">
        <v>18736</v>
      </c>
      <c r="C352" s="276" t="s">
        <v>6252</v>
      </c>
      <c r="D352" s="276" t="s">
        <v>18737</v>
      </c>
      <c r="E352" s="276" t="s">
        <v>6253</v>
      </c>
    </row>
    <row r="353" spans="1:5" ht="12.75">
      <c r="A353" s="277">
        <v>352</v>
      </c>
      <c r="B353" s="276" t="s">
        <v>18738</v>
      </c>
      <c r="C353" s="276" t="s">
        <v>6254</v>
      </c>
      <c r="D353" s="276" t="s">
        <v>18739</v>
      </c>
      <c r="E353" s="276" t="s">
        <v>4167</v>
      </c>
    </row>
    <row r="354" spans="1:5" ht="12.75">
      <c r="A354" s="277">
        <v>353</v>
      </c>
      <c r="B354" s="276" t="s">
        <v>18740</v>
      </c>
      <c r="C354" s="276" t="s">
        <v>6255</v>
      </c>
      <c r="D354" s="276" t="s">
        <v>18741</v>
      </c>
      <c r="E354" s="276" t="s">
        <v>4174</v>
      </c>
    </row>
    <row r="355" spans="1:5" ht="12.75">
      <c r="A355" s="277">
        <v>354</v>
      </c>
      <c r="B355" s="276" t="s">
        <v>18742</v>
      </c>
      <c r="C355" s="276" t="s">
        <v>6256</v>
      </c>
      <c r="D355" s="276" t="s">
        <v>18743</v>
      </c>
      <c r="E355" s="276" t="s">
        <v>6257</v>
      </c>
    </row>
    <row r="356" spans="1:5" ht="12.75">
      <c r="A356" s="277">
        <v>355</v>
      </c>
      <c r="B356" s="276" t="s">
        <v>18744</v>
      </c>
      <c r="C356" s="276" t="s">
        <v>6258</v>
      </c>
      <c r="D356" s="276" t="s">
        <v>18745</v>
      </c>
      <c r="E356" s="276" t="s">
        <v>6259</v>
      </c>
    </row>
    <row r="357" spans="1:5" ht="12.75">
      <c r="A357" s="277">
        <v>356</v>
      </c>
      <c r="B357" s="276" t="s">
        <v>18746</v>
      </c>
      <c r="C357" s="276" t="s">
        <v>6261</v>
      </c>
      <c r="D357" s="276" t="s">
        <v>18747</v>
      </c>
      <c r="E357" s="276" t="s">
        <v>6262</v>
      </c>
    </row>
    <row r="358" spans="1:5" ht="12.75">
      <c r="A358" s="277">
        <v>357</v>
      </c>
      <c r="B358" s="276" t="s">
        <v>18748</v>
      </c>
      <c r="C358" s="276" t="s">
        <v>6263</v>
      </c>
      <c r="D358" s="276" t="s">
        <v>18749</v>
      </c>
      <c r="E358" s="276" t="s">
        <v>6264</v>
      </c>
    </row>
    <row r="359" spans="1:5" ht="12.75">
      <c r="A359" s="277">
        <v>358</v>
      </c>
      <c r="B359" s="276" t="s">
        <v>18750</v>
      </c>
      <c r="C359" s="276" t="s">
        <v>6267</v>
      </c>
      <c r="D359" s="276" t="s">
        <v>18751</v>
      </c>
      <c r="E359" s="276" t="s">
        <v>6268</v>
      </c>
    </row>
    <row r="360" spans="1:5" ht="12.75">
      <c r="A360" s="277">
        <v>359</v>
      </c>
      <c r="B360" s="276" t="s">
        <v>18752</v>
      </c>
      <c r="C360" s="276" t="s">
        <v>6021</v>
      </c>
      <c r="D360" s="276" t="s">
        <v>18753</v>
      </c>
      <c r="E360" s="276" t="s">
        <v>6269</v>
      </c>
    </row>
    <row r="361" spans="1:5" ht="12.75">
      <c r="A361" s="277">
        <v>360</v>
      </c>
      <c r="B361" s="276" t="s">
        <v>18754</v>
      </c>
      <c r="C361" s="276" t="s">
        <v>6120</v>
      </c>
      <c r="D361" s="276" t="s">
        <v>18755</v>
      </c>
      <c r="E361" s="276" t="s">
        <v>6271</v>
      </c>
    </row>
    <row r="362" spans="1:5" ht="12.75">
      <c r="A362" s="277">
        <v>361</v>
      </c>
      <c r="B362" s="276" t="s">
        <v>18756</v>
      </c>
      <c r="C362" s="276" t="s">
        <v>6272</v>
      </c>
      <c r="D362" s="276" t="s">
        <v>18757</v>
      </c>
      <c r="E362" s="276" t="s">
        <v>6273</v>
      </c>
    </row>
    <row r="363" spans="1:5" ht="12.75">
      <c r="A363" s="277">
        <v>362</v>
      </c>
      <c r="B363" s="276" t="s">
        <v>18758</v>
      </c>
      <c r="C363" s="276" t="s">
        <v>6274</v>
      </c>
      <c r="D363" s="276" t="s">
        <v>18759</v>
      </c>
      <c r="E363" s="276" t="s">
        <v>6275</v>
      </c>
    </row>
    <row r="364" spans="1:5" ht="12.75">
      <c r="A364" s="277">
        <v>363</v>
      </c>
      <c r="B364" s="276" t="s">
        <v>18760</v>
      </c>
      <c r="C364" s="276" t="s">
        <v>6276</v>
      </c>
      <c r="D364" s="276" t="s">
        <v>18761</v>
      </c>
      <c r="E364" s="276" t="s">
        <v>6277</v>
      </c>
    </row>
    <row r="365" spans="1:5" ht="12.75">
      <c r="A365" s="277">
        <v>364</v>
      </c>
      <c r="B365" s="276" t="s">
        <v>18762</v>
      </c>
      <c r="C365" s="276" t="s">
        <v>6278</v>
      </c>
      <c r="D365" s="276" t="s">
        <v>18763</v>
      </c>
      <c r="E365" s="276" t="s">
        <v>6279</v>
      </c>
    </row>
    <row r="366" spans="1:5" ht="12.75">
      <c r="A366" s="277">
        <v>365</v>
      </c>
      <c r="B366" s="276" t="s">
        <v>18764</v>
      </c>
      <c r="C366" s="276" t="s">
        <v>6280</v>
      </c>
      <c r="D366" s="276" t="s">
        <v>18765</v>
      </c>
      <c r="E366" s="276" t="s">
        <v>6281</v>
      </c>
    </row>
    <row r="367" spans="1:5" ht="12.75">
      <c r="A367" s="277">
        <v>366</v>
      </c>
      <c r="B367" s="276" t="s">
        <v>18766</v>
      </c>
      <c r="C367" s="276" t="s">
        <v>6282</v>
      </c>
      <c r="D367" s="276" t="s">
        <v>18767</v>
      </c>
      <c r="E367" s="276" t="s">
        <v>6283</v>
      </c>
    </row>
    <row r="368" spans="1:5" ht="12.75">
      <c r="A368" s="277">
        <v>367</v>
      </c>
      <c r="B368" s="276" t="s">
        <v>18768</v>
      </c>
      <c r="C368" s="276" t="s">
        <v>6284</v>
      </c>
      <c r="D368" s="276" t="s">
        <v>18769</v>
      </c>
      <c r="E368" s="276" t="s">
        <v>4098</v>
      </c>
    </row>
    <row r="369" spans="1:5" ht="12.75">
      <c r="A369" s="277">
        <v>368</v>
      </c>
      <c r="B369" s="276" t="s">
        <v>18770</v>
      </c>
      <c r="C369" s="276" t="s">
        <v>6285</v>
      </c>
      <c r="D369" s="276" t="s">
        <v>18771</v>
      </c>
      <c r="E369" s="276" t="s">
        <v>6286</v>
      </c>
    </row>
    <row r="370" spans="1:5" ht="12.75">
      <c r="A370" s="277">
        <v>369</v>
      </c>
      <c r="B370" s="276" t="s">
        <v>18772</v>
      </c>
      <c r="C370" s="276" t="s">
        <v>6287</v>
      </c>
      <c r="D370" s="276" t="s">
        <v>18773</v>
      </c>
      <c r="E370" s="276" t="s">
        <v>6288</v>
      </c>
    </row>
    <row r="371" spans="1:5" ht="12.75">
      <c r="A371" s="277">
        <v>370</v>
      </c>
      <c r="B371" s="276" t="s">
        <v>18774</v>
      </c>
      <c r="C371" s="276" t="s">
        <v>6290</v>
      </c>
      <c r="D371" s="276" t="s">
        <v>18775</v>
      </c>
      <c r="E371" s="276" t="s">
        <v>6291</v>
      </c>
    </row>
    <row r="372" spans="1:5" ht="12.75">
      <c r="A372" s="277">
        <v>371</v>
      </c>
      <c r="B372" s="276" t="s">
        <v>18776</v>
      </c>
      <c r="C372" s="276" t="s">
        <v>6292</v>
      </c>
      <c r="D372" s="276" t="s">
        <v>18777</v>
      </c>
      <c r="E372" s="276" t="s">
        <v>6293</v>
      </c>
    </row>
    <row r="373" spans="1:5" ht="12.75">
      <c r="A373" s="277">
        <v>372</v>
      </c>
      <c r="B373" s="276" t="s">
        <v>18778</v>
      </c>
      <c r="C373" s="276" t="s">
        <v>6294</v>
      </c>
      <c r="D373" s="276" t="s">
        <v>18779</v>
      </c>
      <c r="E373" s="276" t="s">
        <v>6295</v>
      </c>
    </row>
    <row r="374" spans="1:5" ht="12.75">
      <c r="A374" s="277">
        <v>373</v>
      </c>
      <c r="B374" s="276" t="s">
        <v>18780</v>
      </c>
      <c r="C374" s="276" t="s">
        <v>6296</v>
      </c>
      <c r="D374" s="276" t="s">
        <v>18781</v>
      </c>
      <c r="E374" s="276" t="s">
        <v>6297</v>
      </c>
    </row>
    <row r="375" spans="1:5" ht="12.75">
      <c r="A375" s="277">
        <v>374</v>
      </c>
      <c r="B375" s="276" t="s">
        <v>18782</v>
      </c>
      <c r="C375" s="276" t="s">
        <v>6298</v>
      </c>
      <c r="D375" s="276" t="s">
        <v>18783</v>
      </c>
      <c r="E375" s="276" t="s">
        <v>4197</v>
      </c>
    </row>
    <row r="376" spans="1:5" ht="12.75">
      <c r="A376" s="277">
        <v>375</v>
      </c>
      <c r="B376" s="276" t="s">
        <v>18784</v>
      </c>
      <c r="C376" s="276" t="s">
        <v>6299</v>
      </c>
      <c r="D376" s="276" t="s">
        <v>18785</v>
      </c>
      <c r="E376" s="276" t="s">
        <v>4191</v>
      </c>
    </row>
    <row r="377" spans="1:5" ht="12.75">
      <c r="A377" s="277">
        <v>376</v>
      </c>
      <c r="B377" s="276" t="s">
        <v>18786</v>
      </c>
      <c r="C377" s="276" t="s">
        <v>6300</v>
      </c>
      <c r="D377" s="276" t="s">
        <v>18787</v>
      </c>
      <c r="E377" s="276" t="s">
        <v>4253</v>
      </c>
    </row>
    <row r="378" spans="1:5" ht="12.75">
      <c r="A378" s="277">
        <v>377</v>
      </c>
      <c r="B378" s="276" t="s">
        <v>18788</v>
      </c>
      <c r="C378" s="276" t="s">
        <v>6301</v>
      </c>
      <c r="D378" s="276" t="s">
        <v>18789</v>
      </c>
      <c r="E378" s="276" t="s">
        <v>6302</v>
      </c>
    </row>
    <row r="379" spans="1:5" ht="12.75">
      <c r="A379" s="277">
        <v>378</v>
      </c>
      <c r="B379" s="276" t="s">
        <v>18790</v>
      </c>
      <c r="C379" s="276" t="s">
        <v>6303</v>
      </c>
      <c r="D379" s="276" t="s">
        <v>18791</v>
      </c>
      <c r="E379" s="276" t="s">
        <v>6304</v>
      </c>
    </row>
    <row r="380" spans="1:5" ht="12.75">
      <c r="A380" s="277">
        <v>379</v>
      </c>
      <c r="B380" s="276" t="s">
        <v>18792</v>
      </c>
      <c r="C380" s="276" t="s">
        <v>6306</v>
      </c>
      <c r="D380" s="276" t="s">
        <v>18793</v>
      </c>
      <c r="E380" s="276" t="s">
        <v>6307</v>
      </c>
    </row>
    <row r="381" spans="1:5" ht="12.75">
      <c r="A381" s="277">
        <v>380</v>
      </c>
      <c r="B381" s="276" t="s">
        <v>18794</v>
      </c>
      <c r="C381" s="276" t="s">
        <v>6308</v>
      </c>
      <c r="D381" s="276" t="s">
        <v>18795</v>
      </c>
      <c r="E381" s="276" t="s">
        <v>6309</v>
      </c>
    </row>
    <row r="382" spans="1:5" ht="12.75">
      <c r="A382" s="277">
        <v>381</v>
      </c>
      <c r="B382" s="276" t="s">
        <v>18796</v>
      </c>
      <c r="C382" s="276" t="s">
        <v>6311</v>
      </c>
      <c r="D382" s="276" t="s">
        <v>18797</v>
      </c>
      <c r="E382" s="276" t="s">
        <v>6312</v>
      </c>
    </row>
    <row r="383" spans="1:5" ht="12.75">
      <c r="A383" s="277">
        <v>382</v>
      </c>
      <c r="B383" s="276" t="s">
        <v>18798</v>
      </c>
      <c r="C383" s="276" t="s">
        <v>6313</v>
      </c>
      <c r="D383" s="276" t="s">
        <v>18799</v>
      </c>
      <c r="E383" s="276" t="s">
        <v>6314</v>
      </c>
    </row>
    <row r="384" spans="1:5" ht="12.75">
      <c r="A384" s="277">
        <v>383</v>
      </c>
      <c r="B384" s="276" t="s">
        <v>18800</v>
      </c>
      <c r="C384" s="276" t="s">
        <v>6315</v>
      </c>
      <c r="D384" s="276" t="s">
        <v>18801</v>
      </c>
      <c r="E384" s="276" t="s">
        <v>6316</v>
      </c>
    </row>
    <row r="385" spans="1:5" ht="12.75">
      <c r="A385" s="277">
        <v>384</v>
      </c>
      <c r="B385" s="276" t="s">
        <v>18802</v>
      </c>
      <c r="C385" s="276" t="s">
        <v>6317</v>
      </c>
      <c r="D385" s="276" t="s">
        <v>18803</v>
      </c>
      <c r="E385" s="276" t="s">
        <v>6318</v>
      </c>
    </row>
    <row r="386" spans="1:5" ht="12.75">
      <c r="A386" s="277">
        <v>385</v>
      </c>
      <c r="B386" s="276" t="s">
        <v>18804</v>
      </c>
      <c r="C386" s="276" t="s">
        <v>6319</v>
      </c>
      <c r="D386" s="276" t="s">
        <v>18805</v>
      </c>
      <c r="E386" s="276" t="s">
        <v>6320</v>
      </c>
    </row>
    <row r="387" spans="1:5" ht="12.75">
      <c r="A387" s="277">
        <v>386</v>
      </c>
      <c r="B387" s="276" t="s">
        <v>18806</v>
      </c>
      <c r="C387" s="276" t="s">
        <v>6321</v>
      </c>
      <c r="D387" s="276" t="s">
        <v>18807</v>
      </c>
      <c r="E387" s="276" t="s">
        <v>4238</v>
      </c>
    </row>
    <row r="388" spans="1:5" ht="12.75">
      <c r="A388" s="277">
        <v>387</v>
      </c>
      <c r="B388" s="276" t="s">
        <v>18808</v>
      </c>
      <c r="C388" s="276" t="s">
        <v>6322</v>
      </c>
      <c r="D388" s="276" t="s">
        <v>18809</v>
      </c>
      <c r="E388" s="276" t="s">
        <v>6323</v>
      </c>
    </row>
    <row r="389" spans="1:5" ht="12.75">
      <c r="A389" s="277">
        <v>388</v>
      </c>
      <c r="B389" s="276" t="s">
        <v>18810</v>
      </c>
      <c r="C389" s="276" t="s">
        <v>6324</v>
      </c>
      <c r="D389" s="276" t="s">
        <v>18811</v>
      </c>
      <c r="E389" s="276" t="s">
        <v>6325</v>
      </c>
    </row>
    <row r="390" spans="1:5" ht="12.75">
      <c r="A390" s="277">
        <v>389</v>
      </c>
      <c r="B390" s="276" t="s">
        <v>18812</v>
      </c>
      <c r="C390" s="276" t="s">
        <v>6246</v>
      </c>
      <c r="D390" s="276" t="s">
        <v>18813</v>
      </c>
      <c r="E390" s="276" t="s">
        <v>6326</v>
      </c>
    </row>
    <row r="391" spans="1:5" ht="12.75">
      <c r="A391" s="277">
        <v>390</v>
      </c>
      <c r="B391" s="276" t="s">
        <v>18814</v>
      </c>
      <c r="C391" s="276" t="s">
        <v>6327</v>
      </c>
      <c r="D391" s="276" t="s">
        <v>18815</v>
      </c>
      <c r="E391" s="276" t="s">
        <v>4172</v>
      </c>
    </row>
    <row r="392" spans="1:5" ht="12.75">
      <c r="A392" s="277">
        <v>391</v>
      </c>
      <c r="B392" s="276" t="s">
        <v>18816</v>
      </c>
      <c r="C392" s="276" t="s">
        <v>6328</v>
      </c>
      <c r="D392" s="276" t="s">
        <v>18817</v>
      </c>
      <c r="E392" s="276" t="s">
        <v>6329</v>
      </c>
    </row>
    <row r="393" spans="1:5" ht="12.75">
      <c r="A393" s="277">
        <v>392</v>
      </c>
      <c r="B393" s="276" t="s">
        <v>18818</v>
      </c>
      <c r="C393" s="276" t="s">
        <v>6330</v>
      </c>
      <c r="D393" s="276" t="s">
        <v>18819</v>
      </c>
      <c r="E393" s="276" t="s">
        <v>4224</v>
      </c>
    </row>
    <row r="394" spans="1:5" ht="12.75">
      <c r="A394" s="277">
        <v>393</v>
      </c>
      <c r="B394" s="276" t="s">
        <v>18820</v>
      </c>
      <c r="C394" s="276" t="s">
        <v>6331</v>
      </c>
      <c r="D394" s="276" t="s">
        <v>18821</v>
      </c>
      <c r="E394" s="276" t="s">
        <v>4165</v>
      </c>
    </row>
    <row r="395" spans="1:5" ht="12.75">
      <c r="A395" s="277">
        <v>394</v>
      </c>
      <c r="B395" s="276" t="s">
        <v>18822</v>
      </c>
      <c r="C395" s="276" t="s">
        <v>6021</v>
      </c>
      <c r="D395" s="276" t="s">
        <v>18823</v>
      </c>
      <c r="E395" s="276" t="s">
        <v>6332</v>
      </c>
    </row>
    <row r="396" spans="1:5" ht="12.75">
      <c r="A396" s="277">
        <v>395</v>
      </c>
      <c r="B396" s="276" t="s">
        <v>18824</v>
      </c>
      <c r="C396" s="276" t="s">
        <v>6334</v>
      </c>
      <c r="D396" s="276" t="s">
        <v>18825</v>
      </c>
      <c r="E396" s="354" t="s">
        <v>6335</v>
      </c>
    </row>
    <row r="397" spans="1:5" ht="12.75">
      <c r="A397" s="277">
        <v>396</v>
      </c>
      <c r="B397" s="276" t="s">
        <v>18826</v>
      </c>
      <c r="C397" s="276" t="s">
        <v>6050</v>
      </c>
      <c r="D397" s="276" t="s">
        <v>18827</v>
      </c>
      <c r="E397" s="276" t="s">
        <v>4194</v>
      </c>
    </row>
    <row r="398" spans="1:5" ht="12.75">
      <c r="A398" s="277">
        <v>397</v>
      </c>
      <c r="B398" s="276" t="s">
        <v>18828</v>
      </c>
      <c r="C398" s="276" t="s">
        <v>6337</v>
      </c>
      <c r="D398" s="276" t="s">
        <v>18829</v>
      </c>
      <c r="E398" s="276" t="s">
        <v>6338</v>
      </c>
    </row>
    <row r="399" spans="1:5" ht="12.75">
      <c r="A399" s="277">
        <v>398</v>
      </c>
      <c r="B399" s="276" t="s">
        <v>18830</v>
      </c>
      <c r="C399" s="276" t="s">
        <v>6339</v>
      </c>
      <c r="D399" s="276" t="s">
        <v>18831</v>
      </c>
      <c r="E399" s="276" t="s">
        <v>6340</v>
      </c>
    </row>
    <row r="400" spans="1:5" ht="12.75">
      <c r="A400" s="277">
        <v>399</v>
      </c>
      <c r="B400" s="276" t="s">
        <v>18832</v>
      </c>
      <c r="C400" s="276" t="s">
        <v>6341</v>
      </c>
      <c r="D400" s="276" t="s">
        <v>18833</v>
      </c>
      <c r="E400" s="276" t="s">
        <v>6342</v>
      </c>
    </row>
    <row r="401" spans="1:5" ht="12.75">
      <c r="A401" s="277">
        <v>400</v>
      </c>
      <c r="B401" s="276" t="s">
        <v>18834</v>
      </c>
      <c r="C401" s="276" t="s">
        <v>6343</v>
      </c>
      <c r="D401" s="276" t="s">
        <v>18835</v>
      </c>
      <c r="E401" s="276" t="s">
        <v>6344</v>
      </c>
    </row>
    <row r="402" spans="1:5" ht="12.75">
      <c r="A402" s="277">
        <v>401</v>
      </c>
      <c r="B402" s="276" t="s">
        <v>18836</v>
      </c>
      <c r="C402" s="276" t="s">
        <v>6346</v>
      </c>
      <c r="D402" s="276" t="s">
        <v>18837</v>
      </c>
      <c r="E402" s="276" t="s">
        <v>6347</v>
      </c>
    </row>
    <row r="403" spans="1:5" ht="12.75">
      <c r="A403" s="277">
        <v>402</v>
      </c>
      <c r="B403" s="276" t="s">
        <v>18838</v>
      </c>
      <c r="C403" s="276" t="s">
        <v>6348</v>
      </c>
      <c r="D403" s="276" t="s">
        <v>18839</v>
      </c>
      <c r="E403" s="276" t="s">
        <v>6349</v>
      </c>
    </row>
    <row r="404" spans="1:5" ht="12.75">
      <c r="A404" s="277">
        <v>403</v>
      </c>
      <c r="B404" s="276" t="s">
        <v>18840</v>
      </c>
      <c r="C404" s="276" t="s">
        <v>6350</v>
      </c>
      <c r="D404" s="276" t="s">
        <v>18841</v>
      </c>
      <c r="E404" s="276" t="s">
        <v>4227</v>
      </c>
    </row>
    <row r="405" spans="1:5" ht="12.75">
      <c r="A405" s="277">
        <v>404</v>
      </c>
      <c r="B405" s="276" t="s">
        <v>18842</v>
      </c>
      <c r="C405" s="276" t="s">
        <v>6351</v>
      </c>
      <c r="D405" s="276" t="s">
        <v>18843</v>
      </c>
      <c r="E405" s="276" t="s">
        <v>6352</v>
      </c>
    </row>
    <row r="406" spans="1:5" ht="12.75">
      <c r="A406" s="277">
        <v>405</v>
      </c>
      <c r="B406" s="276" t="s">
        <v>18844</v>
      </c>
      <c r="C406" s="276" t="s">
        <v>6354</v>
      </c>
      <c r="D406" s="276" t="s">
        <v>18845</v>
      </c>
      <c r="E406" s="276" t="s">
        <v>6355</v>
      </c>
    </row>
    <row r="407" spans="1:5" ht="12.75">
      <c r="A407" s="277">
        <v>406</v>
      </c>
      <c r="B407" s="276" t="s">
        <v>18846</v>
      </c>
      <c r="C407" s="276" t="s">
        <v>6356</v>
      </c>
      <c r="D407" s="276" t="s">
        <v>18847</v>
      </c>
      <c r="E407" s="276" t="s">
        <v>6357</v>
      </c>
    </row>
    <row r="408" spans="1:5" ht="12.75">
      <c r="A408" s="277">
        <v>407</v>
      </c>
      <c r="B408" s="276" t="s">
        <v>18848</v>
      </c>
      <c r="C408" s="276" t="s">
        <v>6359</v>
      </c>
      <c r="D408" s="276" t="s">
        <v>18849</v>
      </c>
      <c r="E408" s="276" t="s">
        <v>6360</v>
      </c>
    </row>
    <row r="409" spans="1:5" ht="12.75">
      <c r="A409" s="277">
        <v>408</v>
      </c>
      <c r="B409" s="276" t="s">
        <v>18850</v>
      </c>
      <c r="C409" s="276" t="s">
        <v>6362</v>
      </c>
      <c r="D409" s="276" t="s">
        <v>18851</v>
      </c>
      <c r="E409" s="276" t="s">
        <v>6363</v>
      </c>
    </row>
    <row r="410" spans="1:5" ht="12.75">
      <c r="A410" s="277">
        <v>409</v>
      </c>
      <c r="B410" s="276" t="s">
        <v>18852</v>
      </c>
      <c r="C410" s="276" t="s">
        <v>6364</v>
      </c>
      <c r="D410" s="276" t="s">
        <v>18853</v>
      </c>
      <c r="E410" s="276" t="s">
        <v>6365</v>
      </c>
    </row>
    <row r="411" spans="1:5" ht="12.75">
      <c r="A411" s="277">
        <v>410</v>
      </c>
      <c r="B411" s="276" t="s">
        <v>18854</v>
      </c>
      <c r="C411" s="276" t="s">
        <v>6367</v>
      </c>
      <c r="D411" s="276" t="s">
        <v>18855</v>
      </c>
      <c r="E411" s="276" t="s">
        <v>6368</v>
      </c>
    </row>
    <row r="412" spans="1:5" ht="12.75">
      <c r="A412" s="277">
        <v>411</v>
      </c>
      <c r="B412" s="276" t="s">
        <v>18856</v>
      </c>
      <c r="C412" s="276" t="s">
        <v>6370</v>
      </c>
      <c r="D412" s="276" t="s">
        <v>18857</v>
      </c>
      <c r="E412" s="276" t="s">
        <v>6371</v>
      </c>
    </row>
    <row r="413" spans="1:5" ht="12.75">
      <c r="A413" s="277">
        <v>412</v>
      </c>
      <c r="B413" s="276" t="s">
        <v>18858</v>
      </c>
      <c r="C413" s="276" t="s">
        <v>6372</v>
      </c>
      <c r="D413" s="276" t="s">
        <v>18859</v>
      </c>
      <c r="E413" s="276" t="s">
        <v>6373</v>
      </c>
    </row>
    <row r="414" spans="1:5" ht="12.75">
      <c r="A414" s="277">
        <v>413</v>
      </c>
      <c r="B414" s="276" t="s">
        <v>18860</v>
      </c>
      <c r="C414" s="276" t="s">
        <v>6374</v>
      </c>
      <c r="D414" s="276" t="s">
        <v>18861</v>
      </c>
      <c r="E414" s="276" t="s">
        <v>6375</v>
      </c>
    </row>
    <row r="415" spans="1:5" ht="12.75">
      <c r="A415" s="277">
        <v>414</v>
      </c>
      <c r="B415" s="276" t="s">
        <v>18862</v>
      </c>
      <c r="C415" s="276" t="s">
        <v>6377</v>
      </c>
      <c r="D415" s="276" t="s">
        <v>18863</v>
      </c>
      <c r="E415" s="276" t="s">
        <v>6378</v>
      </c>
    </row>
    <row r="416" spans="1:5" ht="12.75">
      <c r="A416" s="277">
        <v>415</v>
      </c>
      <c r="B416" s="276" t="s">
        <v>18864</v>
      </c>
      <c r="C416" s="276" t="s">
        <v>6021</v>
      </c>
      <c r="D416" s="276" t="s">
        <v>18865</v>
      </c>
      <c r="E416" s="276" t="s">
        <v>6380</v>
      </c>
    </row>
    <row r="417" spans="1:5" ht="12.75">
      <c r="A417" s="28">
        <v>416</v>
      </c>
      <c r="B417" s="28" t="s">
        <v>18866</v>
      </c>
      <c r="C417" s="28" t="s">
        <v>18867</v>
      </c>
      <c r="D417" s="28" t="s">
        <v>18868</v>
      </c>
      <c r="E417" s="28" t="s">
        <v>6383</v>
      </c>
    </row>
    <row r="418" spans="1:5" ht="12.75">
      <c r="A418" s="28">
        <v>417</v>
      </c>
      <c r="B418" s="28" t="s">
        <v>18869</v>
      </c>
      <c r="C418" s="28" t="s">
        <v>18870</v>
      </c>
      <c r="D418" s="28" t="s">
        <v>18871</v>
      </c>
      <c r="E418" s="28" t="s">
        <v>6387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outlinePr summaryBelow="0" summaryRight="0"/>
  </sheetPr>
  <dimension ref="A1:N1221"/>
  <sheetViews>
    <sheetView workbookViewId="0"/>
  </sheetViews>
  <sheetFormatPr defaultColWidth="14.42578125" defaultRowHeight="15.75" customHeight="1"/>
  <sheetData>
    <row r="1" spans="1:14">
      <c r="A1" s="275" t="s">
        <v>18872</v>
      </c>
      <c r="B1" s="276" t="s">
        <v>4583</v>
      </c>
      <c r="C1" s="276" t="s">
        <v>8448</v>
      </c>
      <c r="D1" s="276" t="s">
        <v>8449</v>
      </c>
      <c r="E1" s="276" t="s">
        <v>8450</v>
      </c>
      <c r="F1" s="276" t="s">
        <v>247</v>
      </c>
      <c r="G1" s="276" t="s">
        <v>8451</v>
      </c>
      <c r="H1" s="276" t="s">
        <v>4581</v>
      </c>
      <c r="I1" s="276" t="s">
        <v>8452</v>
      </c>
      <c r="J1" s="276" t="s">
        <v>4582</v>
      </c>
      <c r="K1" s="276" t="s">
        <v>8453</v>
      </c>
      <c r="L1" s="276" t="s">
        <v>8454</v>
      </c>
      <c r="M1" s="276" t="s">
        <v>18030</v>
      </c>
      <c r="N1" s="385" t="s">
        <v>8456</v>
      </c>
    </row>
    <row r="2" spans="1:14">
      <c r="A2" s="277">
        <f>VLOOKUP(B2, 'PubMed 10.7.21 Results'!B:B, 1, FALSE)</f>
        <v>32423584</v>
      </c>
      <c r="B2" s="277">
        <v>32423584</v>
      </c>
      <c r="C2" s="276" t="s">
        <v>13537</v>
      </c>
      <c r="D2" s="276" t="s">
        <v>13538</v>
      </c>
      <c r="E2" s="276" t="s">
        <v>13539</v>
      </c>
      <c r="F2" s="276" t="s">
        <v>8041</v>
      </c>
      <c r="G2" s="276" t="s">
        <v>9420</v>
      </c>
      <c r="H2" s="277">
        <v>2020</v>
      </c>
      <c r="I2" s="386">
        <v>43971</v>
      </c>
      <c r="J2" s="276" t="s">
        <v>8042</v>
      </c>
      <c r="K2" s="276"/>
      <c r="L2" s="276" t="s">
        <v>13540</v>
      </c>
      <c r="M2" s="385" t="s">
        <v>18873</v>
      </c>
      <c r="N2" s="276" t="s">
        <v>18874</v>
      </c>
    </row>
    <row r="3" spans="1:14">
      <c r="A3" s="277">
        <f>VLOOKUP(B3, 'PubMed 10.7.21 Results'!B:B, 1, FALSE)</f>
        <v>27486731</v>
      </c>
      <c r="B3" s="277">
        <v>27486731</v>
      </c>
      <c r="C3" s="276" t="s">
        <v>11829</v>
      </c>
      <c r="D3" s="276" t="s">
        <v>11830</v>
      </c>
      <c r="E3" s="276" t="s">
        <v>11831</v>
      </c>
      <c r="F3" s="276" t="s">
        <v>7606</v>
      </c>
      <c r="G3" s="276" t="s">
        <v>11832</v>
      </c>
      <c r="H3" s="277">
        <v>2016</v>
      </c>
      <c r="I3" s="386">
        <v>42586</v>
      </c>
      <c r="J3" s="276" t="s">
        <v>7607</v>
      </c>
      <c r="K3" s="276"/>
      <c r="L3" s="276" t="s">
        <v>11833</v>
      </c>
      <c r="M3" s="276" t="s">
        <v>18875</v>
      </c>
      <c r="N3" s="386">
        <v>44300</v>
      </c>
    </row>
    <row r="4" spans="1:14">
      <c r="A4" s="277">
        <f>VLOOKUP(B4, 'PubMed 10.7.21 Results'!B:B, 1, FALSE)</f>
        <v>31623894</v>
      </c>
      <c r="B4" s="277">
        <v>31623894</v>
      </c>
      <c r="C4" s="276" t="s">
        <v>13269</v>
      </c>
      <c r="D4" s="276" t="s">
        <v>13270</v>
      </c>
      <c r="E4" s="276" t="s">
        <v>13271</v>
      </c>
      <c r="F4" s="276" t="s">
        <v>6705</v>
      </c>
      <c r="G4" s="276" t="s">
        <v>9420</v>
      </c>
      <c r="H4" s="277">
        <v>2019</v>
      </c>
      <c r="I4" s="386">
        <v>43757</v>
      </c>
      <c r="J4" s="276" t="s">
        <v>6706</v>
      </c>
      <c r="K4" s="276"/>
      <c r="L4" s="276" t="s">
        <v>13272</v>
      </c>
      <c r="M4" s="385" t="s">
        <v>18876</v>
      </c>
      <c r="N4" s="277">
        <v>1220</v>
      </c>
    </row>
    <row r="5" spans="1:14">
      <c r="A5" s="277">
        <f>VLOOKUP(B5, 'PubMed 10.7.21 Results'!B:B, 1, FALSE)</f>
        <v>32459919</v>
      </c>
      <c r="B5" s="277">
        <v>32459919</v>
      </c>
      <c r="C5" s="276" t="s">
        <v>13840</v>
      </c>
      <c r="D5" s="276" t="s">
        <v>13841</v>
      </c>
      <c r="E5" s="276" t="s">
        <v>13842</v>
      </c>
      <c r="F5" s="276" t="s">
        <v>6959</v>
      </c>
      <c r="G5" s="276" t="s">
        <v>8514</v>
      </c>
      <c r="H5" s="277">
        <v>2020</v>
      </c>
      <c r="I5" s="386">
        <v>43979</v>
      </c>
      <c r="J5" s="276" t="s">
        <v>6960</v>
      </c>
      <c r="K5" s="276"/>
      <c r="L5" s="276" t="s">
        <v>13843</v>
      </c>
    </row>
    <row r="6" spans="1:14">
      <c r="A6" s="277">
        <f>VLOOKUP(B6, 'PubMed 10.7.21 Results'!B:B, 1, FALSE)</f>
        <v>32379955</v>
      </c>
      <c r="B6" s="277">
        <v>32379955</v>
      </c>
      <c r="C6" s="276" t="s">
        <v>13595</v>
      </c>
      <c r="D6" s="276" t="s">
        <v>13596</v>
      </c>
      <c r="E6" s="276" t="s">
        <v>13597</v>
      </c>
      <c r="F6" s="276" t="s">
        <v>6921</v>
      </c>
      <c r="G6" s="276" t="s">
        <v>8514</v>
      </c>
      <c r="H6" s="277">
        <v>2020</v>
      </c>
      <c r="I6" s="386">
        <v>43959</v>
      </c>
      <c r="J6" s="276" t="s">
        <v>6922</v>
      </c>
      <c r="K6" s="276"/>
      <c r="L6" s="276" t="s">
        <v>13598</v>
      </c>
    </row>
    <row r="7" spans="1:14">
      <c r="A7" s="277">
        <f>VLOOKUP(B7, 'PubMed 10.7.21 Results'!B:B, 1, FALSE)</f>
        <v>32785649</v>
      </c>
      <c r="B7" s="277">
        <v>32785649</v>
      </c>
      <c r="C7" s="276" t="s">
        <v>13853</v>
      </c>
      <c r="D7" s="276" t="s">
        <v>13854</v>
      </c>
      <c r="E7" s="276" t="s">
        <v>13855</v>
      </c>
      <c r="F7" s="276" t="s">
        <v>7016</v>
      </c>
      <c r="G7" s="276" t="s">
        <v>9497</v>
      </c>
      <c r="H7" s="277">
        <v>2020</v>
      </c>
      <c r="I7" s="386">
        <v>44057</v>
      </c>
      <c r="J7" s="276" t="s">
        <v>7017</v>
      </c>
      <c r="K7" s="276"/>
      <c r="L7" s="276" t="s">
        <v>13856</v>
      </c>
    </row>
    <row r="8" spans="1:14">
      <c r="A8" s="277">
        <f>VLOOKUP(B8, 'PubMed 10.7.21 Results'!B:B, 1, FALSE)</f>
        <v>28457665</v>
      </c>
      <c r="B8" s="277">
        <v>28457665</v>
      </c>
      <c r="C8" s="276" t="s">
        <v>12140</v>
      </c>
      <c r="D8" s="276" t="s">
        <v>12141</v>
      </c>
      <c r="E8" s="276" t="s">
        <v>12142</v>
      </c>
      <c r="F8" s="276" t="s">
        <v>4003</v>
      </c>
      <c r="G8" s="276" t="s">
        <v>10277</v>
      </c>
      <c r="H8" s="277">
        <v>2017</v>
      </c>
      <c r="I8" s="386">
        <v>42857</v>
      </c>
      <c r="J8" s="276" t="s">
        <v>6466</v>
      </c>
      <c r="K8" s="276"/>
      <c r="L8" s="276" t="s">
        <v>12143</v>
      </c>
    </row>
    <row r="9" spans="1:14">
      <c r="A9" s="277">
        <f>VLOOKUP(B9, 'PubMed 10.7.21 Results'!B:B, 1, FALSE)</f>
        <v>29236286</v>
      </c>
      <c r="B9" s="277">
        <v>29236286</v>
      </c>
      <c r="C9" s="276" t="s">
        <v>12363</v>
      </c>
      <c r="D9" s="276" t="s">
        <v>12364</v>
      </c>
      <c r="E9" s="276" t="s">
        <v>12365</v>
      </c>
      <c r="F9" s="276" t="s">
        <v>7864</v>
      </c>
      <c r="G9" s="276" t="s">
        <v>8857</v>
      </c>
      <c r="H9" s="277">
        <v>2017</v>
      </c>
      <c r="I9" s="386">
        <v>43083</v>
      </c>
      <c r="J9" s="276" t="s">
        <v>7865</v>
      </c>
      <c r="K9" s="276"/>
      <c r="L9" s="385" t="s">
        <v>12366</v>
      </c>
      <c r="M9" s="276"/>
    </row>
    <row r="10" spans="1:14">
      <c r="A10" s="277">
        <f>VLOOKUP(B10, 'PubMed 10.7.21 Results'!B:B, 1, FALSE)</f>
        <v>32513308</v>
      </c>
      <c r="B10" s="277">
        <v>32513308</v>
      </c>
      <c r="C10" s="276" t="s">
        <v>13582</v>
      </c>
      <c r="D10" s="276" t="s">
        <v>13583</v>
      </c>
      <c r="E10" s="276" t="s">
        <v>13584</v>
      </c>
      <c r="F10" s="276" t="s">
        <v>6800</v>
      </c>
      <c r="G10" s="276" t="s">
        <v>9906</v>
      </c>
      <c r="H10" s="277">
        <v>2020</v>
      </c>
      <c r="I10" s="386">
        <v>43992</v>
      </c>
      <c r="J10" s="276" t="s">
        <v>6801</v>
      </c>
      <c r="K10" s="276"/>
      <c r="L10" s="385" t="s">
        <v>13585</v>
      </c>
      <c r="M10" s="276"/>
    </row>
    <row r="11" spans="1:14">
      <c r="A11" s="277">
        <f>VLOOKUP(B11, 'PubMed 10.7.21 Results'!B:B, 1, FALSE)</f>
        <v>32591466</v>
      </c>
      <c r="B11" s="277">
        <v>32591466</v>
      </c>
      <c r="C11" s="276" t="s">
        <v>13694</v>
      </c>
      <c r="D11" s="276" t="s">
        <v>13695</v>
      </c>
      <c r="E11" s="276" t="s">
        <v>13696</v>
      </c>
      <c r="F11" s="276" t="s">
        <v>7454</v>
      </c>
      <c r="G11" s="276" t="s">
        <v>9821</v>
      </c>
      <c r="H11" s="277">
        <v>2020</v>
      </c>
      <c r="I11" s="386">
        <v>44010</v>
      </c>
      <c r="J11" s="276" t="s">
        <v>5633</v>
      </c>
      <c r="K11" s="276"/>
      <c r="L11" s="385" t="s">
        <v>13697</v>
      </c>
      <c r="M11" s="276"/>
    </row>
    <row r="12" spans="1:14">
      <c r="A12" s="277">
        <f>VLOOKUP(B12, 'PubMed 10.7.21 Results'!B:B, 1, FALSE)</f>
        <v>31574543</v>
      </c>
      <c r="B12" s="277">
        <v>31574543</v>
      </c>
      <c r="C12" s="276" t="s">
        <v>13404</v>
      </c>
      <c r="D12" s="276" t="s">
        <v>13405</v>
      </c>
      <c r="E12" s="276" t="s">
        <v>13406</v>
      </c>
      <c r="F12" s="276" t="s">
        <v>6993</v>
      </c>
      <c r="G12" s="276" t="s">
        <v>13407</v>
      </c>
      <c r="H12" s="277">
        <v>2020</v>
      </c>
      <c r="I12" s="386">
        <v>43740</v>
      </c>
      <c r="J12" s="276"/>
      <c r="K12" s="276"/>
      <c r="L12" s="385" t="s">
        <v>13408</v>
      </c>
      <c r="M12" s="276"/>
    </row>
    <row r="13" spans="1:14">
      <c r="A13" s="277">
        <f>VLOOKUP(B13, 'PubMed 10.7.21 Results'!B:B, 1, FALSE)</f>
        <v>29257353</v>
      </c>
      <c r="B13" s="277">
        <v>29257353</v>
      </c>
      <c r="C13" s="276" t="s">
        <v>10746</v>
      </c>
      <c r="D13" s="276" t="s">
        <v>12371</v>
      </c>
      <c r="E13" s="276" t="s">
        <v>12372</v>
      </c>
      <c r="F13" s="276" t="s">
        <v>6955</v>
      </c>
      <c r="G13" s="276" t="s">
        <v>8857</v>
      </c>
      <c r="H13" s="277">
        <v>2017</v>
      </c>
      <c r="I13" s="386">
        <v>43089</v>
      </c>
      <c r="J13" s="276" t="s">
        <v>6956</v>
      </c>
      <c r="K13" s="276"/>
      <c r="L13" s="385" t="s">
        <v>12373</v>
      </c>
      <c r="M13" s="276"/>
    </row>
    <row r="14" spans="1:14">
      <c r="A14" s="277">
        <f>VLOOKUP(B14, 'PubMed 10.7.21 Results'!B:B, 1, FALSE)</f>
        <v>27121755</v>
      </c>
      <c r="B14" s="277">
        <v>27121755</v>
      </c>
      <c r="C14" s="276" t="s">
        <v>9548</v>
      </c>
      <c r="D14" s="276" t="s">
        <v>11736</v>
      </c>
      <c r="E14" s="276" t="s">
        <v>11737</v>
      </c>
      <c r="F14" s="276" t="s">
        <v>7634</v>
      </c>
      <c r="G14" s="276" t="s">
        <v>8857</v>
      </c>
      <c r="H14" s="277">
        <v>2016</v>
      </c>
      <c r="I14" s="386">
        <v>42489</v>
      </c>
      <c r="J14" s="276" t="s">
        <v>7635</v>
      </c>
      <c r="K14" s="276"/>
      <c r="L14" s="385" t="s">
        <v>11738</v>
      </c>
      <c r="M14" s="276"/>
    </row>
    <row r="15" spans="1:14">
      <c r="A15" s="277">
        <f>VLOOKUP(B15, 'PubMed 10.7.21 Results'!B:B, 1, FALSE)</f>
        <v>32187464</v>
      </c>
      <c r="B15" s="277">
        <v>32187464</v>
      </c>
      <c r="C15" s="276" t="s">
        <v>13529</v>
      </c>
      <c r="D15" s="276" t="s">
        <v>13530</v>
      </c>
      <c r="E15" s="276" t="s">
        <v>13531</v>
      </c>
      <c r="F15" s="276" t="s">
        <v>6610</v>
      </c>
      <c r="G15" s="276" t="s">
        <v>8514</v>
      </c>
      <c r="H15" s="277">
        <v>2020</v>
      </c>
      <c r="I15" s="386">
        <v>43909</v>
      </c>
      <c r="J15" s="276" t="s">
        <v>6611</v>
      </c>
      <c r="K15" s="276"/>
      <c r="L15" s="385" t="s">
        <v>13532</v>
      </c>
      <c r="M15" s="276"/>
    </row>
    <row r="16" spans="1:14">
      <c r="A16" s="277">
        <f>VLOOKUP(B16, 'PubMed 10.7.21 Results'!B:B, 1, FALSE)</f>
        <v>28983908</v>
      </c>
      <c r="B16" s="277">
        <v>28983908</v>
      </c>
      <c r="C16" s="276" t="s">
        <v>12290</v>
      </c>
      <c r="D16" s="276" t="s">
        <v>12291</v>
      </c>
      <c r="E16" s="276" t="s">
        <v>12292</v>
      </c>
      <c r="F16" s="276" t="s">
        <v>6523</v>
      </c>
      <c r="G16" s="276" t="s">
        <v>8857</v>
      </c>
      <c r="H16" s="277">
        <v>2017</v>
      </c>
      <c r="I16" s="386">
        <v>43015</v>
      </c>
      <c r="J16" s="276" t="s">
        <v>6524</v>
      </c>
      <c r="K16" s="276"/>
      <c r="L16" s="385" t="s">
        <v>12293</v>
      </c>
      <c r="M16" s="276"/>
    </row>
    <row r="17" spans="1:13">
      <c r="A17" s="277">
        <f>VLOOKUP(B17, 'PubMed 10.7.21 Results'!B:B, 1, FALSE)</f>
        <v>30787276</v>
      </c>
      <c r="B17" s="277">
        <v>30787276</v>
      </c>
      <c r="C17" s="276" t="s">
        <v>12917</v>
      </c>
      <c r="D17" s="276" t="s">
        <v>12918</v>
      </c>
      <c r="E17" s="276" t="s">
        <v>12919</v>
      </c>
      <c r="F17" s="276" t="s">
        <v>480</v>
      </c>
      <c r="G17" s="276" t="s">
        <v>12920</v>
      </c>
      <c r="H17" s="277">
        <v>2019</v>
      </c>
      <c r="I17" s="386">
        <v>43518</v>
      </c>
      <c r="J17" s="276" t="s">
        <v>8022</v>
      </c>
      <c r="K17" s="276"/>
      <c r="L17" s="385" t="s">
        <v>12921</v>
      </c>
      <c r="M17" s="276"/>
    </row>
    <row r="18" spans="1:13">
      <c r="A18" s="277">
        <f>VLOOKUP(B18, 'PubMed 10.7.21 Results'!B:B, 1, FALSE)</f>
        <v>32791241</v>
      </c>
      <c r="B18" s="277">
        <v>32791241</v>
      </c>
      <c r="C18" s="276" t="s">
        <v>13771</v>
      </c>
      <c r="D18" s="276" t="s">
        <v>13772</v>
      </c>
      <c r="E18" s="276" t="s">
        <v>13773</v>
      </c>
      <c r="F18" s="276" t="s">
        <v>8083</v>
      </c>
      <c r="G18" s="276" t="s">
        <v>11895</v>
      </c>
      <c r="H18" s="277">
        <v>2020</v>
      </c>
      <c r="I18" s="386">
        <v>44057</v>
      </c>
      <c r="J18" s="276" t="s">
        <v>8084</v>
      </c>
      <c r="K18" s="276"/>
      <c r="L18" s="385" t="s">
        <v>13774</v>
      </c>
      <c r="M18" s="276"/>
    </row>
    <row r="19" spans="1:13">
      <c r="A19" s="277">
        <f>VLOOKUP(B19, 'PubMed 10.7.21 Results'!B:B, 1, FALSE)</f>
        <v>28765140</v>
      </c>
      <c r="B19" s="277">
        <v>28765140</v>
      </c>
      <c r="C19" s="276" t="s">
        <v>12230</v>
      </c>
      <c r="D19" s="276" t="s">
        <v>12231</v>
      </c>
      <c r="E19" s="276" t="s">
        <v>12232</v>
      </c>
      <c r="F19" s="276" t="s">
        <v>7039</v>
      </c>
      <c r="G19" s="276" t="s">
        <v>12233</v>
      </c>
      <c r="H19" s="277">
        <v>2017</v>
      </c>
      <c r="I19" s="386">
        <v>42950</v>
      </c>
      <c r="J19" s="276" t="s">
        <v>7040</v>
      </c>
      <c r="K19" s="276"/>
      <c r="L19" s="385" t="s">
        <v>12234</v>
      </c>
      <c r="M19" s="276"/>
    </row>
    <row r="20" spans="1:13">
      <c r="A20" s="277">
        <f>VLOOKUP(B20, 'PubMed 10.7.21 Results'!B:B, 1, FALSE)</f>
        <v>29265171</v>
      </c>
      <c r="B20" s="277">
        <v>29265171</v>
      </c>
      <c r="C20" s="276" t="s">
        <v>10789</v>
      </c>
      <c r="D20" s="276" t="s">
        <v>10790</v>
      </c>
      <c r="E20" s="276" t="s">
        <v>12374</v>
      </c>
      <c r="F20" s="276" t="s">
        <v>8130</v>
      </c>
      <c r="G20" s="276" t="s">
        <v>8857</v>
      </c>
      <c r="H20" s="277">
        <v>2017</v>
      </c>
      <c r="I20" s="386">
        <v>43091</v>
      </c>
      <c r="J20" s="276" t="s">
        <v>8131</v>
      </c>
      <c r="K20" s="276"/>
      <c r="L20" s="385" t="s">
        <v>12375</v>
      </c>
      <c r="M20" s="276"/>
    </row>
    <row r="21" spans="1:13">
      <c r="A21" s="277">
        <f>VLOOKUP(B21, 'PubMed 10.7.21 Results'!B:B, 1, FALSE)</f>
        <v>28257555</v>
      </c>
      <c r="B21" s="277">
        <v>28257555</v>
      </c>
      <c r="C21" s="276" t="s">
        <v>12028</v>
      </c>
      <c r="D21" s="276" t="s">
        <v>12029</v>
      </c>
      <c r="E21" s="276" t="s">
        <v>12030</v>
      </c>
      <c r="F21" s="276" t="s">
        <v>7514</v>
      </c>
      <c r="G21" s="276" t="s">
        <v>8857</v>
      </c>
      <c r="H21" s="277">
        <v>2017</v>
      </c>
      <c r="I21" s="386">
        <v>42798</v>
      </c>
      <c r="J21" s="276" t="s">
        <v>7515</v>
      </c>
      <c r="K21" s="276"/>
      <c r="L21" s="385" t="s">
        <v>12031</v>
      </c>
      <c r="M21" s="276"/>
    </row>
    <row r="22" spans="1:13">
      <c r="A22" s="277">
        <f>VLOOKUP(B22, 'PubMed 10.7.21 Results'!B:B, 1, FALSE)</f>
        <v>32066978</v>
      </c>
      <c r="B22" s="277">
        <v>32066978</v>
      </c>
      <c r="C22" s="276" t="s">
        <v>13455</v>
      </c>
      <c r="D22" s="276" t="s">
        <v>13456</v>
      </c>
      <c r="E22" s="276" t="s">
        <v>13457</v>
      </c>
      <c r="F22" s="276" t="s">
        <v>423</v>
      </c>
      <c r="G22" s="276" t="s">
        <v>13458</v>
      </c>
      <c r="H22" s="277">
        <v>2020</v>
      </c>
      <c r="I22" s="386">
        <v>43880</v>
      </c>
      <c r="J22" s="276"/>
      <c r="K22" s="276"/>
      <c r="L22" s="385" t="s">
        <v>13459</v>
      </c>
      <c r="M22" s="276"/>
    </row>
    <row r="23" spans="1:13">
      <c r="A23" s="277">
        <f>VLOOKUP(B23, 'PubMed 10.7.21 Results'!B:B, 1, FALSE)</f>
        <v>27193488</v>
      </c>
      <c r="B23" s="277">
        <v>27193488</v>
      </c>
      <c r="C23" s="276" t="s">
        <v>11780</v>
      </c>
      <c r="D23" s="276" t="s">
        <v>11781</v>
      </c>
      <c r="E23" s="276" t="s">
        <v>11782</v>
      </c>
      <c r="F23" s="276" t="s">
        <v>7375</v>
      </c>
      <c r="G23" s="276" t="s">
        <v>11783</v>
      </c>
      <c r="H23" s="277">
        <v>2016</v>
      </c>
      <c r="I23" s="386">
        <v>42510</v>
      </c>
      <c r="J23" s="276" t="s">
        <v>7376</v>
      </c>
      <c r="K23" s="276" t="s">
        <v>11784</v>
      </c>
      <c r="L23" s="385" t="s">
        <v>11785</v>
      </c>
      <c r="M23" s="276"/>
    </row>
    <row r="24" spans="1:13">
      <c r="A24" s="277">
        <f>VLOOKUP(B24, 'PubMed 10.7.21 Results'!B:B, 1, FALSE)</f>
        <v>29667726</v>
      </c>
      <c r="B24" s="277">
        <v>29667726</v>
      </c>
      <c r="C24" s="276" t="s">
        <v>12504</v>
      </c>
      <c r="D24" s="276" t="s">
        <v>12505</v>
      </c>
      <c r="E24" s="276" t="s">
        <v>12506</v>
      </c>
      <c r="F24" s="276" t="s">
        <v>7540</v>
      </c>
      <c r="G24" s="276" t="s">
        <v>8857</v>
      </c>
      <c r="H24" s="277">
        <v>2018</v>
      </c>
      <c r="I24" s="386">
        <v>43209</v>
      </c>
      <c r="J24" s="276" t="s">
        <v>7541</v>
      </c>
      <c r="K24" s="276"/>
      <c r="L24" s="385" t="s">
        <v>12507</v>
      </c>
      <c r="M24" s="276"/>
    </row>
    <row r="25" spans="1:13">
      <c r="A25" s="277">
        <f>VLOOKUP(B25, 'PubMed 10.7.21 Results'!B:B, 1, FALSE)</f>
        <v>24014191</v>
      </c>
      <c r="B25" s="277">
        <v>24014191</v>
      </c>
      <c r="C25" s="276" t="s">
        <v>9806</v>
      </c>
      <c r="D25" s="276" t="s">
        <v>10812</v>
      </c>
      <c r="E25" s="276" t="s">
        <v>10813</v>
      </c>
      <c r="F25" s="276" t="s">
        <v>6689</v>
      </c>
      <c r="G25" s="276" t="s">
        <v>8857</v>
      </c>
      <c r="H25" s="277">
        <v>2013</v>
      </c>
      <c r="I25" s="386">
        <v>41527</v>
      </c>
      <c r="J25" s="276"/>
      <c r="K25" s="276"/>
      <c r="L25" s="385" t="s">
        <v>10814</v>
      </c>
      <c r="M25" s="276"/>
    </row>
    <row r="26" spans="1:13">
      <c r="A26" s="277">
        <f>VLOOKUP(B26, 'PubMed 10.7.21 Results'!B:B, 1, FALSE)</f>
        <v>30996040</v>
      </c>
      <c r="B26" s="277">
        <v>30996040</v>
      </c>
      <c r="C26" s="276" t="s">
        <v>13096</v>
      </c>
      <c r="D26" s="276" t="s">
        <v>13097</v>
      </c>
      <c r="E26" s="276" t="s">
        <v>13098</v>
      </c>
      <c r="F26" s="276" t="s">
        <v>7038</v>
      </c>
      <c r="G26" s="276" t="s">
        <v>13099</v>
      </c>
      <c r="H26" s="277">
        <v>2019</v>
      </c>
      <c r="I26" s="386">
        <v>43574</v>
      </c>
      <c r="J26" s="276"/>
      <c r="K26" s="276"/>
      <c r="L26" s="385" t="s">
        <v>13100</v>
      </c>
      <c r="M26" s="276"/>
    </row>
    <row r="27" spans="1:13">
      <c r="A27" s="277">
        <f>VLOOKUP(B27, 'PubMed 10.7.21 Results'!B:B, 1, FALSE)</f>
        <v>31314192</v>
      </c>
      <c r="B27" s="277">
        <v>31314192</v>
      </c>
      <c r="C27" s="276" t="s">
        <v>13003</v>
      </c>
      <c r="D27" s="276" t="s">
        <v>13004</v>
      </c>
      <c r="E27" s="276" t="s">
        <v>13005</v>
      </c>
      <c r="F27" s="276" t="s">
        <v>8110</v>
      </c>
      <c r="G27" s="276" t="s">
        <v>13006</v>
      </c>
      <c r="H27" s="277">
        <v>2019</v>
      </c>
      <c r="I27" s="386">
        <v>43664</v>
      </c>
      <c r="J27" s="276"/>
      <c r="K27" s="276"/>
      <c r="L27" s="276"/>
      <c r="M27" s="276"/>
    </row>
    <row r="28" spans="1:13">
      <c r="A28" s="277">
        <f>VLOOKUP(B28, 'PubMed 10.7.21 Results'!B:B, 1, FALSE)</f>
        <v>32444482</v>
      </c>
      <c r="B28" s="277">
        <v>32444482</v>
      </c>
      <c r="C28" s="276" t="s">
        <v>13659</v>
      </c>
      <c r="D28" s="276" t="s">
        <v>13660</v>
      </c>
      <c r="E28" s="276" t="s">
        <v>13661</v>
      </c>
      <c r="F28" s="276" t="s">
        <v>6762</v>
      </c>
      <c r="G28" s="276" t="s">
        <v>9398</v>
      </c>
      <c r="H28" s="277">
        <v>2020</v>
      </c>
      <c r="I28" s="386">
        <v>43975</v>
      </c>
      <c r="J28" s="276" t="s">
        <v>6763</v>
      </c>
      <c r="K28" s="276"/>
      <c r="L28" s="385" t="s">
        <v>13662</v>
      </c>
      <c r="M28" s="276"/>
    </row>
    <row r="29" spans="1:13">
      <c r="A29" s="277">
        <f>VLOOKUP(B29, 'PubMed 10.7.21 Results'!B:B, 1, FALSE)</f>
        <v>26098746</v>
      </c>
      <c r="B29" s="277">
        <v>26098746</v>
      </c>
      <c r="C29" s="276" t="s">
        <v>11411</v>
      </c>
      <c r="D29" s="276" t="s">
        <v>11412</v>
      </c>
      <c r="E29" s="276" t="s">
        <v>11413</v>
      </c>
      <c r="F29" s="276" t="s">
        <v>6681</v>
      </c>
      <c r="G29" s="276" t="s">
        <v>8857</v>
      </c>
      <c r="H29" s="277">
        <v>2015</v>
      </c>
      <c r="I29" s="386">
        <v>42178</v>
      </c>
      <c r="J29" s="276" t="s">
        <v>6682</v>
      </c>
      <c r="K29" s="276"/>
      <c r="L29" s="385" t="s">
        <v>11414</v>
      </c>
      <c r="M29" s="276"/>
    </row>
    <row r="30" spans="1:13">
      <c r="A30" s="277">
        <f>VLOOKUP(B30, 'PubMed 10.7.21 Results'!B:B, 1, FALSE)</f>
        <v>24618152</v>
      </c>
      <c r="B30" s="277">
        <v>24618152</v>
      </c>
      <c r="C30" s="276" t="s">
        <v>11134</v>
      </c>
      <c r="D30" s="276" t="s">
        <v>11135</v>
      </c>
      <c r="E30" s="276" t="s">
        <v>11136</v>
      </c>
      <c r="F30" s="276" t="s">
        <v>7658</v>
      </c>
      <c r="G30" s="276" t="s">
        <v>11137</v>
      </c>
      <c r="H30" s="277">
        <v>2014</v>
      </c>
      <c r="I30" s="386">
        <v>41711</v>
      </c>
      <c r="J30" s="276"/>
      <c r="K30" s="276"/>
      <c r="L30" s="385" t="s">
        <v>11138</v>
      </c>
      <c r="M30" s="276"/>
    </row>
    <row r="31" spans="1:13">
      <c r="A31" s="277">
        <f>VLOOKUP(B31, 'PubMed 10.7.21 Results'!B:B, 1, FALSE)</f>
        <v>32360583</v>
      </c>
      <c r="B31" s="277">
        <v>32360583</v>
      </c>
      <c r="C31" s="276" t="s">
        <v>13635</v>
      </c>
      <c r="D31" s="276" t="s">
        <v>13636</v>
      </c>
      <c r="E31" s="276" t="s">
        <v>13637</v>
      </c>
      <c r="F31" s="276" t="s">
        <v>8137</v>
      </c>
      <c r="G31" s="276" t="s">
        <v>13638</v>
      </c>
      <c r="H31" s="277">
        <v>2020</v>
      </c>
      <c r="I31" s="386">
        <v>43955</v>
      </c>
      <c r="J31" s="276" t="s">
        <v>8138</v>
      </c>
      <c r="K31" s="276"/>
      <c r="L31" s="385" t="s">
        <v>13639</v>
      </c>
      <c r="M31" s="276"/>
    </row>
    <row r="32" spans="1:13">
      <c r="A32" s="277">
        <f>VLOOKUP(B32, 'PubMed 10.7.21 Results'!B:B, 1, FALSE)</f>
        <v>30765242</v>
      </c>
      <c r="B32" s="277">
        <v>30765242</v>
      </c>
      <c r="C32" s="276" t="s">
        <v>12961</v>
      </c>
      <c r="D32" s="276" t="s">
        <v>12962</v>
      </c>
      <c r="E32" s="276" t="s">
        <v>12963</v>
      </c>
      <c r="F32" s="276" t="s">
        <v>7633</v>
      </c>
      <c r="G32" s="276" t="s">
        <v>10976</v>
      </c>
      <c r="H32" s="277">
        <v>2019</v>
      </c>
      <c r="I32" s="386">
        <v>43512</v>
      </c>
      <c r="J32" s="276"/>
      <c r="K32" s="276"/>
      <c r="L32" s="385" t="s">
        <v>12964</v>
      </c>
      <c r="M32" s="276"/>
    </row>
    <row r="33" spans="1:13">
      <c r="A33" s="277">
        <f>VLOOKUP(B33, 'PubMed 10.7.21 Results'!B:B, 1, FALSE)</f>
        <v>29390169</v>
      </c>
      <c r="B33" s="277">
        <v>29390169</v>
      </c>
      <c r="C33" s="276" t="s">
        <v>12414</v>
      </c>
      <c r="D33" s="276" t="s">
        <v>12415</v>
      </c>
      <c r="E33" s="276" t="s">
        <v>12416</v>
      </c>
      <c r="F33" s="276" t="s">
        <v>6699</v>
      </c>
      <c r="G33" s="276" t="s">
        <v>8857</v>
      </c>
      <c r="H33" s="277">
        <v>2018</v>
      </c>
      <c r="I33" s="386">
        <v>43133</v>
      </c>
      <c r="J33" s="276" t="s">
        <v>6700</v>
      </c>
      <c r="K33" s="276"/>
      <c r="L33" s="385" t="s">
        <v>12417</v>
      </c>
      <c r="M33" s="276"/>
    </row>
    <row r="34" spans="1:13">
      <c r="A34" s="277">
        <f>VLOOKUP(B34, 'PubMed 10.7.21 Results'!B:B, 1, FALSE)</f>
        <v>30673716</v>
      </c>
      <c r="B34" s="277">
        <v>30673716</v>
      </c>
      <c r="C34" s="276" t="s">
        <v>12883</v>
      </c>
      <c r="D34" s="276" t="s">
        <v>12884</v>
      </c>
      <c r="E34" s="276" t="s">
        <v>12885</v>
      </c>
      <c r="F34" s="276" t="s">
        <v>7093</v>
      </c>
      <c r="G34" s="276" t="s">
        <v>10379</v>
      </c>
      <c r="H34" s="277">
        <v>2019</v>
      </c>
      <c r="I34" s="386">
        <v>43489</v>
      </c>
      <c r="J34" s="276" t="s">
        <v>7094</v>
      </c>
      <c r="K34" s="276"/>
      <c r="L34" s="385" t="s">
        <v>12886</v>
      </c>
      <c r="M34" s="276"/>
    </row>
    <row r="35" spans="1:13">
      <c r="A35" s="277">
        <f>VLOOKUP(B35, 'PubMed 10.7.21 Results'!B:B, 1, FALSE)</f>
        <v>26501852</v>
      </c>
      <c r="B35" s="277">
        <v>26501852</v>
      </c>
      <c r="C35" s="276" t="s">
        <v>11578</v>
      </c>
      <c r="D35" s="276" t="s">
        <v>11579</v>
      </c>
      <c r="E35" s="276" t="s">
        <v>11580</v>
      </c>
      <c r="F35" s="276" t="s">
        <v>8028</v>
      </c>
      <c r="G35" s="276" t="s">
        <v>8597</v>
      </c>
      <c r="H35" s="277">
        <v>2016</v>
      </c>
      <c r="I35" s="386">
        <v>42304</v>
      </c>
      <c r="J35" s="276"/>
      <c r="K35" s="276"/>
      <c r="L35" s="385" t="s">
        <v>11581</v>
      </c>
      <c r="M35" s="276"/>
    </row>
    <row r="36" spans="1:13">
      <c r="A36" s="277">
        <f>VLOOKUP(B36, 'PubMed 10.7.21 Results'!B:B, 1, FALSE)</f>
        <v>23076910</v>
      </c>
      <c r="B36" s="277">
        <v>23076910</v>
      </c>
      <c r="C36" s="276" t="s">
        <v>9267</v>
      </c>
      <c r="D36" s="276" t="s">
        <v>10565</v>
      </c>
      <c r="E36" s="276" t="s">
        <v>10566</v>
      </c>
      <c r="F36" s="276" t="s">
        <v>7286</v>
      </c>
      <c r="G36" s="276" t="s">
        <v>8857</v>
      </c>
      <c r="H36" s="277">
        <v>2012</v>
      </c>
      <c r="I36" s="386">
        <v>41201</v>
      </c>
      <c r="J36" s="276" t="s">
        <v>7287</v>
      </c>
      <c r="K36" s="276"/>
      <c r="L36" s="385" t="s">
        <v>10567</v>
      </c>
      <c r="M36" s="276"/>
    </row>
    <row r="37" spans="1:13">
      <c r="A37" s="277">
        <f>VLOOKUP(B37, 'PubMed 10.7.21 Results'!B:B, 1, FALSE)</f>
        <v>28984368</v>
      </c>
      <c r="B37" s="277">
        <v>28984368</v>
      </c>
      <c r="C37" s="276" t="s">
        <v>12294</v>
      </c>
      <c r="D37" s="276" t="s">
        <v>12295</v>
      </c>
      <c r="E37" s="276" t="s">
        <v>12296</v>
      </c>
      <c r="F37" s="276" t="s">
        <v>7386</v>
      </c>
      <c r="G37" s="276" t="s">
        <v>8857</v>
      </c>
      <c r="H37" s="277">
        <v>2017</v>
      </c>
      <c r="I37" s="386">
        <v>43015</v>
      </c>
      <c r="J37" s="276" t="s">
        <v>7387</v>
      </c>
      <c r="K37" s="276"/>
      <c r="L37" s="385" t="s">
        <v>12297</v>
      </c>
      <c r="M37" s="276"/>
    </row>
    <row r="38" spans="1:13">
      <c r="A38" s="277">
        <f>VLOOKUP(B38, 'PubMed 10.7.21 Results'!B:B, 1, FALSE)</f>
        <v>24484547</v>
      </c>
      <c r="B38" s="277">
        <v>24484547</v>
      </c>
      <c r="C38" s="276" t="s">
        <v>10909</v>
      </c>
      <c r="D38" s="276" t="s">
        <v>10910</v>
      </c>
      <c r="E38" s="276" t="s">
        <v>10911</v>
      </c>
      <c r="F38" s="276" t="s">
        <v>6875</v>
      </c>
      <c r="G38" s="276" t="s">
        <v>10912</v>
      </c>
      <c r="H38" s="277">
        <v>2014</v>
      </c>
      <c r="I38" s="386">
        <v>41674</v>
      </c>
      <c r="J38" s="276" t="s">
        <v>6876</v>
      </c>
      <c r="K38" s="276"/>
      <c r="L38" s="385" t="s">
        <v>10913</v>
      </c>
      <c r="M38" s="276"/>
    </row>
    <row r="39" spans="1:13">
      <c r="A39" s="277">
        <f>VLOOKUP(B39, 'PubMed 10.7.21 Results'!B:B, 1, FALSE)</f>
        <v>21328305</v>
      </c>
      <c r="B39" s="277">
        <v>21328305</v>
      </c>
      <c r="C39" s="276" t="s">
        <v>10155</v>
      </c>
      <c r="D39" s="276" t="s">
        <v>10156</v>
      </c>
      <c r="E39" s="276" t="s">
        <v>10157</v>
      </c>
      <c r="F39" s="276" t="s">
        <v>7775</v>
      </c>
      <c r="G39" s="276" t="s">
        <v>8857</v>
      </c>
      <c r="H39" s="277">
        <v>2011</v>
      </c>
      <c r="I39" s="386">
        <v>40592</v>
      </c>
      <c r="J39" s="276"/>
      <c r="K39" s="276"/>
      <c r="L39" s="385" t="s">
        <v>10158</v>
      </c>
      <c r="M39" s="276"/>
    </row>
    <row r="40" spans="1:13">
      <c r="A40" s="277">
        <f>VLOOKUP(B40, 'PubMed 10.7.21 Results'!B:B, 1, FALSE)</f>
        <v>25970800</v>
      </c>
      <c r="B40" s="277">
        <v>25970800</v>
      </c>
      <c r="C40" s="276" t="s">
        <v>11466</v>
      </c>
      <c r="D40" s="276" t="s">
        <v>11467</v>
      </c>
      <c r="E40" s="276" t="s">
        <v>11468</v>
      </c>
      <c r="F40" s="276" t="s">
        <v>7147</v>
      </c>
      <c r="G40" s="276" t="s">
        <v>11469</v>
      </c>
      <c r="H40" s="277">
        <v>2015</v>
      </c>
      <c r="I40" s="386">
        <v>42138</v>
      </c>
      <c r="J40" s="276"/>
      <c r="K40" s="276"/>
      <c r="L40" s="385" t="s">
        <v>11470</v>
      </c>
      <c r="M40" s="276"/>
    </row>
    <row r="41" spans="1:13">
      <c r="A41" s="277">
        <f>VLOOKUP(B41, 'PubMed 10.7.21 Results'!B:B, 1, FALSE)</f>
        <v>31582358</v>
      </c>
      <c r="B41" s="277">
        <v>31582358</v>
      </c>
      <c r="C41" s="276" t="s">
        <v>13255</v>
      </c>
      <c r="D41" s="276" t="s">
        <v>13256</v>
      </c>
      <c r="E41" s="276" t="s">
        <v>13257</v>
      </c>
      <c r="F41" s="276" t="s">
        <v>6732</v>
      </c>
      <c r="G41" s="276" t="s">
        <v>10851</v>
      </c>
      <c r="H41" s="277">
        <v>2019</v>
      </c>
      <c r="I41" s="386">
        <v>43743</v>
      </c>
      <c r="J41" s="276" t="s">
        <v>6733</v>
      </c>
      <c r="K41" s="276"/>
      <c r="L41" s="385" t="s">
        <v>13258</v>
      </c>
      <c r="M41" s="276"/>
    </row>
    <row r="42" spans="1:13">
      <c r="A42" s="277">
        <f>VLOOKUP(B42, 'PubMed 10.7.21 Results'!B:B, 1, FALSE)</f>
        <v>24576824</v>
      </c>
      <c r="B42" s="277">
        <v>24576824</v>
      </c>
      <c r="C42" s="276" t="s">
        <v>11074</v>
      </c>
      <c r="D42" s="276" t="s">
        <v>11075</v>
      </c>
      <c r="E42" s="276" t="s">
        <v>11076</v>
      </c>
      <c r="F42" s="276" t="s">
        <v>7562</v>
      </c>
      <c r="G42" s="276" t="s">
        <v>9028</v>
      </c>
      <c r="H42" s="277">
        <v>2014</v>
      </c>
      <c r="I42" s="386">
        <v>41699</v>
      </c>
      <c r="J42" s="276"/>
      <c r="K42" s="276"/>
      <c r="L42" s="385" t="s">
        <v>11077</v>
      </c>
      <c r="M42" s="276"/>
    </row>
    <row r="43" spans="1:13">
      <c r="A43" s="277">
        <f>VLOOKUP(B43, 'PubMed 10.7.21 Results'!B:B, 1, FALSE)</f>
        <v>26669566</v>
      </c>
      <c r="B43" s="277">
        <v>26669566</v>
      </c>
      <c r="C43" s="276" t="s">
        <v>11560</v>
      </c>
      <c r="D43" s="276" t="s">
        <v>11561</v>
      </c>
      <c r="E43" s="276" t="s">
        <v>11562</v>
      </c>
      <c r="F43" s="276" t="s">
        <v>7868</v>
      </c>
      <c r="G43" s="276" t="s">
        <v>11171</v>
      </c>
      <c r="H43" s="277">
        <v>2015</v>
      </c>
      <c r="I43" s="386">
        <v>42355</v>
      </c>
      <c r="J43" s="276" t="s">
        <v>7869</v>
      </c>
      <c r="K43" s="276"/>
      <c r="L43" s="385" t="s">
        <v>11563</v>
      </c>
      <c r="M43" s="276"/>
    </row>
    <row r="44" spans="1:13">
      <c r="A44" s="277">
        <f>VLOOKUP(B44, 'PubMed 10.7.21 Results'!B:B, 1, FALSE)</f>
        <v>30624763</v>
      </c>
      <c r="B44" s="277">
        <v>30624763</v>
      </c>
      <c r="C44" s="276" t="s">
        <v>9756</v>
      </c>
      <c r="D44" s="276" t="s">
        <v>12876</v>
      </c>
      <c r="E44" s="276" t="s">
        <v>12877</v>
      </c>
      <c r="F44" s="276" t="s">
        <v>6967</v>
      </c>
      <c r="G44" s="276" t="s">
        <v>8857</v>
      </c>
      <c r="H44" s="277">
        <v>2019</v>
      </c>
      <c r="I44" s="386">
        <v>43475</v>
      </c>
      <c r="J44" s="276" t="s">
        <v>6968</v>
      </c>
      <c r="K44" s="276"/>
      <c r="L44" s="385" t="s">
        <v>12878</v>
      </c>
      <c r="M44" s="276"/>
    </row>
    <row r="45" spans="1:13">
      <c r="A45" s="277">
        <f>VLOOKUP(B45, 'PubMed 10.7.21 Results'!B:B, 1, FALSE)</f>
        <v>29393044</v>
      </c>
      <c r="B45" s="277">
        <v>29393044</v>
      </c>
      <c r="C45" s="276" t="s">
        <v>12418</v>
      </c>
      <c r="D45" s="276" t="s">
        <v>12419</v>
      </c>
      <c r="E45" s="276" t="s">
        <v>12420</v>
      </c>
      <c r="F45" s="276" t="s">
        <v>7608</v>
      </c>
      <c r="G45" s="276" t="s">
        <v>10890</v>
      </c>
      <c r="H45" s="277">
        <v>2018</v>
      </c>
      <c r="I45" s="386">
        <v>43134</v>
      </c>
      <c r="J45" s="276"/>
      <c r="K45" s="276"/>
      <c r="L45" s="276"/>
      <c r="M45" s="276"/>
    </row>
    <row r="46" spans="1:13">
      <c r="A46" s="277">
        <f>VLOOKUP(B46, 'PubMed 10.7.21 Results'!B:B, 1, FALSE)</f>
        <v>30844887</v>
      </c>
      <c r="B46" s="277">
        <v>30844887</v>
      </c>
      <c r="C46" s="276" t="s">
        <v>13105</v>
      </c>
      <c r="D46" s="276" t="s">
        <v>13106</v>
      </c>
      <c r="E46" s="276" t="s">
        <v>13107</v>
      </c>
      <c r="F46" s="276" t="s">
        <v>7277</v>
      </c>
      <c r="G46" s="276" t="s">
        <v>13108</v>
      </c>
      <c r="H46" s="277">
        <v>2019</v>
      </c>
      <c r="I46" s="386">
        <v>43532</v>
      </c>
      <c r="J46" s="276" t="s">
        <v>7278</v>
      </c>
      <c r="K46" s="276"/>
      <c r="L46" s="385" t="s">
        <v>13109</v>
      </c>
      <c r="M46" s="276"/>
    </row>
    <row r="47" spans="1:13">
      <c r="A47" s="277">
        <f>VLOOKUP(B47, 'PubMed 10.7.21 Results'!B:B, 1, FALSE)</f>
        <v>32721580</v>
      </c>
      <c r="B47" s="277">
        <v>32721580</v>
      </c>
      <c r="C47" s="276" t="s">
        <v>13800</v>
      </c>
      <c r="D47" s="276" t="s">
        <v>13801</v>
      </c>
      <c r="E47" s="276" t="s">
        <v>13802</v>
      </c>
      <c r="F47" s="276" t="s">
        <v>7448</v>
      </c>
      <c r="G47" s="276" t="s">
        <v>13552</v>
      </c>
      <c r="H47" s="277">
        <v>2020</v>
      </c>
      <c r="I47" s="386">
        <v>44042</v>
      </c>
      <c r="J47" s="276" t="s">
        <v>7449</v>
      </c>
      <c r="K47" s="276"/>
      <c r="L47" s="385" t="s">
        <v>13803</v>
      </c>
      <c r="M47" s="276"/>
    </row>
    <row r="48" spans="1:13">
      <c r="A48" s="277">
        <f>VLOOKUP(B48, 'PubMed 10.7.21 Results'!B:B, 1, FALSE)</f>
        <v>17803871</v>
      </c>
      <c r="B48" s="277">
        <v>17803871</v>
      </c>
      <c r="C48" s="276" t="s">
        <v>9467</v>
      </c>
      <c r="D48" s="276" t="s">
        <v>9468</v>
      </c>
      <c r="E48" s="276" t="s">
        <v>9469</v>
      </c>
      <c r="F48" s="276" t="s">
        <v>6986</v>
      </c>
      <c r="G48" s="276" t="s">
        <v>9470</v>
      </c>
      <c r="H48" s="277">
        <v>2007</v>
      </c>
      <c r="I48" s="386">
        <v>39332</v>
      </c>
      <c r="J48" s="276"/>
      <c r="K48" s="276"/>
      <c r="L48" s="385" t="s">
        <v>9471</v>
      </c>
      <c r="M48" s="276"/>
    </row>
    <row r="49" spans="1:13">
      <c r="A49" s="277">
        <f>VLOOKUP(B49, 'PubMed 10.7.21 Results'!B:B, 1, FALSE)</f>
        <v>31065872</v>
      </c>
      <c r="B49" s="277">
        <v>31065872</v>
      </c>
      <c r="C49" s="276" t="s">
        <v>13159</v>
      </c>
      <c r="D49" s="276" t="s">
        <v>13160</v>
      </c>
      <c r="E49" s="276" t="s">
        <v>13161</v>
      </c>
      <c r="F49" s="276" t="s">
        <v>6629</v>
      </c>
      <c r="G49" s="276" t="s">
        <v>13162</v>
      </c>
      <c r="H49" s="277">
        <v>2019</v>
      </c>
      <c r="I49" s="386">
        <v>43594</v>
      </c>
      <c r="J49" s="276" t="s">
        <v>6630</v>
      </c>
      <c r="K49" s="276"/>
      <c r="L49" s="385" t="s">
        <v>13163</v>
      </c>
      <c r="M49" s="276"/>
    </row>
    <row r="50" spans="1:13">
      <c r="A50" s="277">
        <f>VLOOKUP(B50, 'PubMed 10.7.21 Results'!B:B, 1, FALSE)</f>
        <v>31291932</v>
      </c>
      <c r="B50" s="277">
        <v>31291932</v>
      </c>
      <c r="C50" s="276" t="s">
        <v>13146</v>
      </c>
      <c r="D50" s="276" t="s">
        <v>13147</v>
      </c>
      <c r="E50" s="276" t="s">
        <v>13148</v>
      </c>
      <c r="F50" s="276" t="s">
        <v>7089</v>
      </c>
      <c r="G50" s="276" t="s">
        <v>13149</v>
      </c>
      <c r="H50" s="277">
        <v>2019</v>
      </c>
      <c r="I50" s="386">
        <v>43658</v>
      </c>
      <c r="J50" s="276" t="s">
        <v>7090</v>
      </c>
      <c r="K50" s="276"/>
      <c r="L50" s="385" t="s">
        <v>13150</v>
      </c>
      <c r="M50" s="276"/>
    </row>
    <row r="51" spans="1:13">
      <c r="A51" s="277">
        <f>VLOOKUP(B51, 'PubMed 10.7.21 Results'!B:B, 1, FALSE)</f>
        <v>30045416</v>
      </c>
      <c r="B51" s="277">
        <v>30045416</v>
      </c>
      <c r="C51" s="276" t="s">
        <v>12627</v>
      </c>
      <c r="D51" s="276" t="s">
        <v>12628</v>
      </c>
      <c r="E51" s="276" t="s">
        <v>12629</v>
      </c>
      <c r="F51" s="276" t="s">
        <v>7921</v>
      </c>
      <c r="G51" s="276" t="s">
        <v>8857</v>
      </c>
      <c r="H51" s="277">
        <v>2018</v>
      </c>
      <c r="I51" s="386">
        <v>43307</v>
      </c>
      <c r="J51" s="276" t="s">
        <v>7922</v>
      </c>
      <c r="K51" s="276"/>
      <c r="L51" s="385" t="s">
        <v>12630</v>
      </c>
      <c r="M51" s="276"/>
    </row>
    <row r="52" spans="1:13">
      <c r="A52" s="277">
        <f>VLOOKUP(B52, 'PubMed 10.7.21 Results'!B:B, 1, FALSE)</f>
        <v>26193126</v>
      </c>
      <c r="B52" s="277">
        <v>26193126</v>
      </c>
      <c r="C52" s="276" t="s">
        <v>11462</v>
      </c>
      <c r="D52" s="276" t="s">
        <v>11463</v>
      </c>
      <c r="E52" s="276" t="s">
        <v>11464</v>
      </c>
      <c r="F52" s="276" t="s">
        <v>7920</v>
      </c>
      <c r="G52" s="276" t="s">
        <v>8514</v>
      </c>
      <c r="H52" s="277">
        <v>2015</v>
      </c>
      <c r="I52" s="386">
        <v>42206</v>
      </c>
      <c r="J52" s="276"/>
      <c r="K52" s="276"/>
      <c r="L52" s="385" t="s">
        <v>11465</v>
      </c>
      <c r="M52" s="276"/>
    </row>
    <row r="53" spans="1:13">
      <c r="A53" s="277">
        <f>VLOOKUP(B53, 'PubMed 10.7.21 Results'!B:B, 1, FALSE)</f>
        <v>27759621</v>
      </c>
      <c r="B53" s="277">
        <v>27759621</v>
      </c>
      <c r="C53" s="276" t="s">
        <v>12083</v>
      </c>
      <c r="D53" s="276" t="s">
        <v>12084</v>
      </c>
      <c r="E53" s="276" t="s">
        <v>12085</v>
      </c>
      <c r="F53" s="276" t="s">
        <v>7035</v>
      </c>
      <c r="G53" s="276" t="s">
        <v>10335</v>
      </c>
      <c r="H53" s="277">
        <v>2017</v>
      </c>
      <c r="I53" s="386">
        <v>42664</v>
      </c>
      <c r="J53" s="276"/>
      <c r="K53" s="276"/>
      <c r="L53" s="385" t="s">
        <v>12086</v>
      </c>
      <c r="M53" s="276"/>
    </row>
    <row r="54" spans="1:13">
      <c r="A54" s="277">
        <f>VLOOKUP(B54, 'PubMed 10.7.21 Results'!B:B, 1, FALSE)</f>
        <v>29190037</v>
      </c>
      <c r="B54" s="277">
        <v>29190037</v>
      </c>
      <c r="C54" s="276" t="s">
        <v>12321</v>
      </c>
      <c r="D54" s="276" t="s">
        <v>12322</v>
      </c>
      <c r="E54" s="276" t="s">
        <v>12323</v>
      </c>
      <c r="F54" s="276" t="s">
        <v>6552</v>
      </c>
      <c r="G54" s="276" t="s">
        <v>8857</v>
      </c>
      <c r="H54" s="277">
        <v>2017</v>
      </c>
      <c r="I54" s="386">
        <v>43070</v>
      </c>
      <c r="J54" s="276" t="s">
        <v>6553</v>
      </c>
      <c r="K54" s="276"/>
      <c r="L54" s="385" t="s">
        <v>12324</v>
      </c>
      <c r="M54" s="276"/>
    </row>
    <row r="55" spans="1:13">
      <c r="A55" s="277">
        <f>VLOOKUP(B55, 'PubMed 10.7.21 Results'!B:B, 1, FALSE)</f>
        <v>9738173</v>
      </c>
      <c r="B55" s="277">
        <v>9738173</v>
      </c>
      <c r="C55" s="385" t="s">
        <v>8634</v>
      </c>
      <c r="D55" s="276"/>
      <c r="E55" s="385" t="s">
        <v>8635</v>
      </c>
      <c r="F55" s="276"/>
      <c r="G55" s="276" t="s">
        <v>8636</v>
      </c>
      <c r="H55" s="277">
        <v>1998</v>
      </c>
      <c r="I55" s="386">
        <v>36055</v>
      </c>
      <c r="J55" s="276"/>
      <c r="K55" s="276"/>
      <c r="L55" s="276"/>
      <c r="M55" s="276"/>
    </row>
    <row r="56" spans="1:13">
      <c r="A56" s="277">
        <f>VLOOKUP(B56, 'PubMed 10.7.21 Results'!B:B, 1, FALSE)</f>
        <v>29987845</v>
      </c>
      <c r="B56" s="277">
        <v>29987845</v>
      </c>
      <c r="C56" s="276" t="s">
        <v>12614</v>
      </c>
      <c r="D56" s="276" t="s">
        <v>12615</v>
      </c>
      <c r="E56" s="276" t="s">
        <v>12616</v>
      </c>
      <c r="F56" s="276" t="s">
        <v>6662</v>
      </c>
      <c r="G56" s="276" t="s">
        <v>8857</v>
      </c>
      <c r="H56" s="277">
        <v>2018</v>
      </c>
      <c r="I56" s="386">
        <v>43292</v>
      </c>
      <c r="J56" s="276" t="s">
        <v>6663</v>
      </c>
      <c r="K56" s="276"/>
      <c r="L56" s="385" t="s">
        <v>12617</v>
      </c>
      <c r="M56" s="276"/>
    </row>
    <row r="57" spans="1:13">
      <c r="A57" s="277">
        <f>VLOOKUP(B57, 'PubMed 10.7.21 Results'!B:B, 1, FALSE)</f>
        <v>31988012</v>
      </c>
      <c r="B57" s="277">
        <v>31988012</v>
      </c>
      <c r="C57" s="276" t="s">
        <v>13486</v>
      </c>
      <c r="D57" s="276" t="s">
        <v>13487</v>
      </c>
      <c r="E57" s="276" t="s">
        <v>13488</v>
      </c>
      <c r="F57" s="276" t="s">
        <v>7904</v>
      </c>
      <c r="G57" s="276" t="s">
        <v>9465</v>
      </c>
      <c r="H57" s="277">
        <v>2020</v>
      </c>
      <c r="I57" s="386">
        <v>43859</v>
      </c>
      <c r="J57" s="276"/>
      <c r="K57" s="276"/>
      <c r="L57" s="385" t="s">
        <v>13489</v>
      </c>
      <c r="M57" s="276"/>
    </row>
    <row r="58" spans="1:13">
      <c r="A58" s="277">
        <f>VLOOKUP(B58, 'PubMed 10.7.21 Results'!B:B, 1, FALSE)</f>
        <v>33044747</v>
      </c>
      <c r="B58" s="277">
        <v>33044747</v>
      </c>
      <c r="C58" s="276" t="s">
        <v>13783</v>
      </c>
      <c r="D58" s="276" t="s">
        <v>13784</v>
      </c>
      <c r="E58" s="276" t="s">
        <v>13785</v>
      </c>
      <c r="F58" s="276" t="s">
        <v>6638</v>
      </c>
      <c r="G58" s="276" t="s">
        <v>8857</v>
      </c>
      <c r="H58" s="277">
        <v>2020</v>
      </c>
      <c r="I58" s="386">
        <v>44116</v>
      </c>
      <c r="J58" s="276"/>
      <c r="K58" s="276"/>
      <c r="L58" s="385" t="s">
        <v>13786</v>
      </c>
      <c r="M58" s="276"/>
    </row>
    <row r="59" spans="1:13">
      <c r="A59" s="277">
        <f>VLOOKUP(B59, 'PubMed 10.7.21 Results'!B:B, 1, FALSE)</f>
        <v>32441894</v>
      </c>
      <c r="B59" s="277">
        <v>32441894</v>
      </c>
      <c r="C59" s="276" t="s">
        <v>13640</v>
      </c>
      <c r="D59" s="276" t="s">
        <v>13641</v>
      </c>
      <c r="E59" s="276" t="s">
        <v>13642</v>
      </c>
      <c r="F59" s="276" t="s">
        <v>6829</v>
      </c>
      <c r="G59" s="276" t="s">
        <v>13643</v>
      </c>
      <c r="H59" s="277">
        <v>2020</v>
      </c>
      <c r="I59" s="386">
        <v>43974</v>
      </c>
      <c r="J59" s="276" t="s">
        <v>5611</v>
      </c>
      <c r="K59" s="276"/>
      <c r="L59" s="385" t="s">
        <v>13644</v>
      </c>
      <c r="M59" s="276"/>
    </row>
    <row r="60" spans="1:13">
      <c r="A60" s="277">
        <f>VLOOKUP(B60, 'PubMed 10.7.21 Results'!B:B, 1, FALSE)</f>
        <v>22192254</v>
      </c>
      <c r="B60" s="277">
        <v>22192254</v>
      </c>
      <c r="C60" s="276" t="s">
        <v>10351</v>
      </c>
      <c r="D60" s="276" t="s">
        <v>10352</v>
      </c>
      <c r="E60" s="276" t="s">
        <v>10353</v>
      </c>
      <c r="F60" s="276" t="s">
        <v>6439</v>
      </c>
      <c r="G60" s="276" t="s">
        <v>10354</v>
      </c>
      <c r="H60" s="277">
        <v>2012</v>
      </c>
      <c r="I60" s="386">
        <v>40901</v>
      </c>
      <c r="J60" s="276" t="s">
        <v>6440</v>
      </c>
      <c r="K60" s="276" t="s">
        <v>10355</v>
      </c>
      <c r="L60" s="385" t="s">
        <v>10356</v>
      </c>
      <c r="M60" s="276"/>
    </row>
    <row r="61" spans="1:13">
      <c r="A61" s="277">
        <f>VLOOKUP(B61, 'PubMed 10.7.21 Results'!B:B, 1, FALSE)</f>
        <v>30675854</v>
      </c>
      <c r="B61" s="277">
        <v>30675854</v>
      </c>
      <c r="C61" s="276" t="s">
        <v>12947</v>
      </c>
      <c r="D61" s="276" t="s">
        <v>12948</v>
      </c>
      <c r="E61" s="276" t="s">
        <v>12949</v>
      </c>
      <c r="F61" s="276" t="s">
        <v>4017</v>
      </c>
      <c r="G61" s="276" t="s">
        <v>12950</v>
      </c>
      <c r="H61" s="277">
        <v>2019</v>
      </c>
      <c r="I61" s="386">
        <v>43490</v>
      </c>
      <c r="J61" s="276" t="s">
        <v>6889</v>
      </c>
      <c r="K61" s="276"/>
      <c r="L61" s="385" t="s">
        <v>12951</v>
      </c>
      <c r="M61" s="276"/>
    </row>
    <row r="62" spans="1:13">
      <c r="A62" s="277">
        <f>VLOOKUP(B62, 'PubMed 10.7.21 Results'!B:B, 1, FALSE)</f>
        <v>30252528</v>
      </c>
      <c r="B62" s="277">
        <v>30252528</v>
      </c>
      <c r="C62" s="276" t="s">
        <v>12775</v>
      </c>
      <c r="D62" s="276" t="s">
        <v>12776</v>
      </c>
      <c r="E62" s="276" t="s">
        <v>12777</v>
      </c>
      <c r="F62" s="276" t="s">
        <v>7458</v>
      </c>
      <c r="G62" s="276" t="s">
        <v>12778</v>
      </c>
      <c r="H62" s="277">
        <v>2018</v>
      </c>
      <c r="I62" s="386">
        <v>43369</v>
      </c>
      <c r="J62" s="276" t="s">
        <v>7459</v>
      </c>
      <c r="K62" s="276"/>
      <c r="L62" s="385" t="s">
        <v>12779</v>
      </c>
      <c r="M62" s="276"/>
    </row>
    <row r="63" spans="1:13">
      <c r="A63" s="277">
        <f>VLOOKUP(B63, 'PubMed 10.7.21 Results'!B:B, 1, FALSE)</f>
        <v>32481322</v>
      </c>
      <c r="B63" s="277">
        <v>32481322</v>
      </c>
      <c r="C63" s="276" t="s">
        <v>13541</v>
      </c>
      <c r="D63" s="276" t="s">
        <v>13542</v>
      </c>
      <c r="E63" s="276" t="s">
        <v>13543</v>
      </c>
      <c r="F63" s="276" t="s">
        <v>7669</v>
      </c>
      <c r="G63" s="276" t="s">
        <v>11908</v>
      </c>
      <c r="H63" s="277">
        <v>2020</v>
      </c>
      <c r="I63" s="386">
        <v>43985</v>
      </c>
      <c r="J63" s="276" t="s">
        <v>7670</v>
      </c>
      <c r="K63" s="276"/>
      <c r="L63" s="385" t="s">
        <v>13544</v>
      </c>
      <c r="M63" s="276"/>
    </row>
    <row r="64" spans="1:13">
      <c r="A64" s="277">
        <f>VLOOKUP(B64, 'PubMed 10.7.21 Results'!B:B, 1, FALSE)</f>
        <v>23197664</v>
      </c>
      <c r="B64" s="277">
        <v>23197664</v>
      </c>
      <c r="C64" s="276" t="s">
        <v>10560</v>
      </c>
      <c r="D64" s="276" t="s">
        <v>10561</v>
      </c>
      <c r="E64" s="276" t="s">
        <v>10562</v>
      </c>
      <c r="F64" s="276" t="s">
        <v>7807</v>
      </c>
      <c r="G64" s="276" t="s">
        <v>10563</v>
      </c>
      <c r="H64" s="277">
        <v>2012</v>
      </c>
      <c r="I64" s="386">
        <v>41244</v>
      </c>
      <c r="J64" s="276" t="s">
        <v>7808</v>
      </c>
      <c r="K64" s="276"/>
      <c r="L64" s="385" t="s">
        <v>10564</v>
      </c>
      <c r="M64" s="276"/>
    </row>
    <row r="65" spans="1:13">
      <c r="A65" s="277">
        <f>VLOOKUP(B65, 'PubMed 10.7.21 Results'!B:B, 1, FALSE)</f>
        <v>28828759</v>
      </c>
      <c r="B65" s="277">
        <v>28828759</v>
      </c>
      <c r="C65" s="276" t="s">
        <v>12216</v>
      </c>
      <c r="D65" s="276" t="s">
        <v>12217</v>
      </c>
      <c r="E65" s="276" t="s">
        <v>12218</v>
      </c>
      <c r="F65" s="276" t="s">
        <v>7384</v>
      </c>
      <c r="G65" s="276" t="s">
        <v>8857</v>
      </c>
      <c r="H65" s="277">
        <v>2017</v>
      </c>
      <c r="I65" s="386">
        <v>42970</v>
      </c>
      <c r="J65" s="276" t="s">
        <v>7385</v>
      </c>
      <c r="K65" s="276"/>
      <c r="L65" s="385" t="s">
        <v>12219</v>
      </c>
      <c r="M65" s="276"/>
    </row>
    <row r="66" spans="1:13">
      <c r="A66" s="277">
        <f>VLOOKUP(B66, 'PubMed 10.7.21 Results'!B:B, 1, FALSE)</f>
        <v>30257278</v>
      </c>
      <c r="B66" s="277">
        <v>30257278</v>
      </c>
      <c r="C66" s="276" t="s">
        <v>11085</v>
      </c>
      <c r="D66" s="276" t="s">
        <v>11086</v>
      </c>
      <c r="E66" s="276" t="s">
        <v>11087</v>
      </c>
      <c r="F66" s="276" t="s">
        <v>7328</v>
      </c>
      <c r="G66" s="276" t="s">
        <v>11088</v>
      </c>
      <c r="H66" s="277">
        <v>2014</v>
      </c>
      <c r="I66" s="386">
        <v>43371</v>
      </c>
      <c r="J66" s="276"/>
      <c r="K66" s="276"/>
      <c r="L66" s="385" t="s">
        <v>11089</v>
      </c>
      <c r="M66" s="276"/>
    </row>
    <row r="67" spans="1:13">
      <c r="A67" s="277">
        <f>VLOOKUP(B67, 'PubMed 10.7.21 Results'!B:B, 1, FALSE)</f>
        <v>32755231</v>
      </c>
      <c r="B67" s="277">
        <v>32755231</v>
      </c>
      <c r="C67" s="276" t="s">
        <v>13649</v>
      </c>
      <c r="D67" s="276" t="s">
        <v>13650</v>
      </c>
      <c r="E67" s="276" t="s">
        <v>13651</v>
      </c>
      <c r="F67" s="276" t="s">
        <v>7569</v>
      </c>
      <c r="G67" s="276" t="s">
        <v>13652</v>
      </c>
      <c r="H67" s="277">
        <v>2020</v>
      </c>
      <c r="I67" s="386">
        <v>44050</v>
      </c>
      <c r="J67" s="276" t="s">
        <v>7570</v>
      </c>
      <c r="K67" s="276"/>
      <c r="L67" s="385" t="s">
        <v>13653</v>
      </c>
      <c r="M67" s="276"/>
    </row>
    <row r="68" spans="1:13">
      <c r="A68" s="277">
        <f>VLOOKUP(B68, 'PubMed 10.7.21 Results'!B:B, 1, FALSE)</f>
        <v>28968735</v>
      </c>
      <c r="B68" s="277">
        <v>28968735</v>
      </c>
      <c r="C68" s="276" t="s">
        <v>12307</v>
      </c>
      <c r="D68" s="276" t="s">
        <v>12308</v>
      </c>
      <c r="E68" s="276" t="s">
        <v>12309</v>
      </c>
      <c r="F68" s="276" t="s">
        <v>7395</v>
      </c>
      <c r="G68" s="276" t="s">
        <v>12310</v>
      </c>
      <c r="H68" s="277">
        <v>2017</v>
      </c>
      <c r="I68" s="386">
        <v>43011</v>
      </c>
      <c r="J68" s="276" t="s">
        <v>7396</v>
      </c>
      <c r="K68" s="276"/>
      <c r="L68" s="385" t="s">
        <v>12311</v>
      </c>
      <c r="M68" s="276"/>
    </row>
    <row r="69" spans="1:13">
      <c r="A69" s="277">
        <f>VLOOKUP(B69, 'PubMed 10.7.21 Results'!B:B, 1, FALSE)</f>
        <v>29389671</v>
      </c>
      <c r="B69" s="277">
        <v>29389671</v>
      </c>
      <c r="C69" s="276" t="s">
        <v>12500</v>
      </c>
      <c r="D69" s="276" t="s">
        <v>12501</v>
      </c>
      <c r="E69" s="276" t="s">
        <v>12502</v>
      </c>
      <c r="F69" s="276" t="s">
        <v>632</v>
      </c>
      <c r="G69" s="276" t="s">
        <v>8460</v>
      </c>
      <c r="H69" s="277">
        <v>2018</v>
      </c>
      <c r="I69" s="386">
        <v>43133</v>
      </c>
      <c r="J69" s="276" t="s">
        <v>4095</v>
      </c>
      <c r="K69" s="276"/>
      <c r="L69" s="385" t="s">
        <v>12503</v>
      </c>
      <c r="M69" s="276"/>
    </row>
    <row r="70" spans="1:13">
      <c r="A70" s="277">
        <f>VLOOKUP(B70, 'PubMed 10.7.21 Results'!B:B, 1, FALSE)</f>
        <v>26028608</v>
      </c>
      <c r="B70" s="277">
        <v>26028608</v>
      </c>
      <c r="C70" s="276" t="s">
        <v>11407</v>
      </c>
      <c r="D70" s="276" t="s">
        <v>11408</v>
      </c>
      <c r="E70" s="276" t="s">
        <v>11409</v>
      </c>
      <c r="F70" s="276" t="s">
        <v>6626</v>
      </c>
      <c r="G70" s="276" t="s">
        <v>8857</v>
      </c>
      <c r="H70" s="277">
        <v>2015</v>
      </c>
      <c r="I70" s="386">
        <v>42157</v>
      </c>
      <c r="J70" s="276"/>
      <c r="K70" s="276"/>
      <c r="L70" s="385" t="s">
        <v>11410</v>
      </c>
      <c r="M70" s="276"/>
    </row>
    <row r="71" spans="1:13">
      <c r="A71" s="277">
        <f>VLOOKUP(B71, 'PubMed 10.7.21 Results'!B:B, 1, FALSE)</f>
        <v>31899506</v>
      </c>
      <c r="B71" s="277">
        <v>31899506</v>
      </c>
      <c r="C71" s="276" t="s">
        <v>13516</v>
      </c>
      <c r="D71" s="276" t="s">
        <v>13517</v>
      </c>
      <c r="E71" s="276" t="s">
        <v>13518</v>
      </c>
      <c r="F71" s="276" t="s">
        <v>6770</v>
      </c>
      <c r="G71" s="276" t="s">
        <v>8787</v>
      </c>
      <c r="H71" s="277">
        <v>2020</v>
      </c>
      <c r="I71" s="386">
        <v>43834</v>
      </c>
      <c r="J71" s="276"/>
      <c r="K71" s="276"/>
      <c r="L71" s="385" t="s">
        <v>13519</v>
      </c>
      <c r="M71" s="276"/>
    </row>
    <row r="72" spans="1:13">
      <c r="A72" s="277">
        <f>VLOOKUP(B72, 'PubMed 10.7.21 Results'!B:B, 1, FALSE)</f>
        <v>32813272</v>
      </c>
      <c r="B72" s="277">
        <v>32813272</v>
      </c>
      <c r="C72" s="276" t="s">
        <v>13698</v>
      </c>
      <c r="D72" s="276" t="s">
        <v>13699</v>
      </c>
      <c r="E72" s="276" t="s">
        <v>13700</v>
      </c>
      <c r="F72" s="276" t="s">
        <v>6477</v>
      </c>
      <c r="G72" s="276" t="s">
        <v>8857</v>
      </c>
      <c r="H72" s="277">
        <v>2020</v>
      </c>
      <c r="I72" s="386">
        <v>44063</v>
      </c>
      <c r="J72" s="276" t="s">
        <v>6478</v>
      </c>
      <c r="K72" s="276"/>
      <c r="L72" s="385" t="s">
        <v>13701</v>
      </c>
      <c r="M72" s="276"/>
    </row>
    <row r="73" spans="1:13">
      <c r="A73" s="277">
        <f>VLOOKUP(B73, 'PubMed 10.7.21 Results'!B:B, 1, FALSE)</f>
        <v>26862016</v>
      </c>
      <c r="B73" s="277">
        <v>26862016</v>
      </c>
      <c r="C73" s="276" t="s">
        <v>18877</v>
      </c>
      <c r="D73" s="276" t="s">
        <v>11703</v>
      </c>
      <c r="E73" s="276" t="s">
        <v>11704</v>
      </c>
      <c r="F73" s="276" t="s">
        <v>6421</v>
      </c>
      <c r="G73" s="276" t="s">
        <v>8617</v>
      </c>
      <c r="H73" s="277">
        <v>2016</v>
      </c>
      <c r="I73" s="386">
        <v>42411</v>
      </c>
      <c r="J73" s="276" t="s">
        <v>6422</v>
      </c>
      <c r="K73" s="276"/>
      <c r="L73" s="385" t="s">
        <v>11705</v>
      </c>
      <c r="M73" s="276"/>
    </row>
    <row r="74" spans="1:13">
      <c r="A74" s="277">
        <f>VLOOKUP(B74, 'PubMed 10.7.21 Results'!B:B, 1, FALSE)</f>
        <v>32674594</v>
      </c>
      <c r="B74" s="277">
        <v>32674594</v>
      </c>
      <c r="C74" s="276" t="s">
        <v>13758</v>
      </c>
      <c r="D74" s="276" t="s">
        <v>13759</v>
      </c>
      <c r="E74" s="276" t="s">
        <v>13760</v>
      </c>
      <c r="F74" s="276" t="s">
        <v>6776</v>
      </c>
      <c r="G74" s="276" t="s">
        <v>10970</v>
      </c>
      <c r="H74" s="277">
        <v>2020</v>
      </c>
      <c r="I74" s="386">
        <v>44030</v>
      </c>
      <c r="J74" s="276"/>
      <c r="K74" s="276"/>
      <c r="L74" s="385" t="s">
        <v>13761</v>
      </c>
      <c r="M74" s="276"/>
    </row>
    <row r="75" spans="1:13">
      <c r="A75" s="277">
        <f>VLOOKUP(B75, 'PubMed 10.7.21 Results'!B:B, 1, FALSE)</f>
        <v>33429331</v>
      </c>
      <c r="B75" s="277">
        <v>33429331</v>
      </c>
      <c r="C75" s="276" t="s">
        <v>14083</v>
      </c>
      <c r="D75" s="276" t="s">
        <v>14084</v>
      </c>
      <c r="E75" s="276" t="s">
        <v>14085</v>
      </c>
      <c r="F75" s="276" t="s">
        <v>7441</v>
      </c>
      <c r="G75" s="276" t="s">
        <v>14086</v>
      </c>
      <c r="H75" s="277">
        <v>2021</v>
      </c>
      <c r="I75" s="386">
        <v>44207</v>
      </c>
      <c r="J75" s="276" t="s">
        <v>7442</v>
      </c>
      <c r="K75" s="276"/>
      <c r="L75" s="385" t="s">
        <v>14087</v>
      </c>
      <c r="M75" s="276"/>
    </row>
    <row r="76" spans="1:13">
      <c r="A76" s="277">
        <f>VLOOKUP(B76, 'PubMed 10.7.21 Results'!B:B, 1, FALSE)</f>
        <v>30170735</v>
      </c>
      <c r="B76" s="277">
        <v>30170735</v>
      </c>
      <c r="C76" s="276" t="s">
        <v>12767</v>
      </c>
      <c r="D76" s="276" t="s">
        <v>12768</v>
      </c>
      <c r="E76" s="276" t="s">
        <v>12769</v>
      </c>
      <c r="F76" s="276" t="s">
        <v>7102</v>
      </c>
      <c r="G76" s="276" t="s">
        <v>9873</v>
      </c>
      <c r="H76" s="277">
        <v>2018</v>
      </c>
      <c r="I76" s="386">
        <v>43345</v>
      </c>
      <c r="J76" s="276"/>
      <c r="K76" s="276"/>
      <c r="L76" s="385" t="s">
        <v>12770</v>
      </c>
      <c r="M76" s="276"/>
    </row>
    <row r="77" spans="1:13">
      <c r="A77" s="277">
        <f>VLOOKUP(B77, 'PubMed 10.7.21 Results'!B:B, 1, FALSE)</f>
        <v>15266443</v>
      </c>
      <c r="B77" s="277">
        <v>15266443</v>
      </c>
      <c r="C77" s="276" t="s">
        <v>9061</v>
      </c>
      <c r="D77" s="276" t="s">
        <v>9062</v>
      </c>
      <c r="E77" s="276" t="s">
        <v>9063</v>
      </c>
      <c r="F77" s="276" t="s">
        <v>6415</v>
      </c>
      <c r="G77" s="276" t="s">
        <v>8857</v>
      </c>
      <c r="H77" s="277">
        <v>2004</v>
      </c>
      <c r="I77" s="386">
        <v>38190</v>
      </c>
      <c r="J77" s="276" t="s">
        <v>6416</v>
      </c>
      <c r="K77" s="276"/>
      <c r="L77" s="385" t="s">
        <v>9064</v>
      </c>
      <c r="M77" s="276"/>
    </row>
    <row r="78" spans="1:13">
      <c r="A78" s="277">
        <f>VLOOKUP(B78, 'PubMed 10.7.21 Results'!B:B, 1, FALSE)</f>
        <v>28363363</v>
      </c>
      <c r="B78" s="277">
        <v>28363363</v>
      </c>
      <c r="C78" s="276" t="s">
        <v>12113</v>
      </c>
      <c r="D78" s="276" t="s">
        <v>12114</v>
      </c>
      <c r="E78" s="276" t="s">
        <v>12115</v>
      </c>
      <c r="F78" s="276" t="s">
        <v>7887</v>
      </c>
      <c r="G78" s="276" t="s">
        <v>12116</v>
      </c>
      <c r="H78" s="277">
        <v>2017</v>
      </c>
      <c r="I78" s="386">
        <v>42827</v>
      </c>
      <c r="J78" s="276"/>
      <c r="K78" s="276"/>
      <c r="L78" s="385" t="s">
        <v>12117</v>
      </c>
      <c r="M78" s="276"/>
    </row>
    <row r="79" spans="1:13">
      <c r="A79" s="277">
        <f>VLOOKUP(B79, 'PubMed 10.7.21 Results'!B:B, 1, FALSE)</f>
        <v>33252045</v>
      </c>
      <c r="B79" s="277">
        <v>33252045</v>
      </c>
      <c r="C79" s="276" t="s">
        <v>13915</v>
      </c>
      <c r="D79" s="276" t="s">
        <v>13916</v>
      </c>
      <c r="E79" s="276" t="s">
        <v>13917</v>
      </c>
      <c r="F79" s="276" t="s">
        <v>6407</v>
      </c>
      <c r="G79" s="276" t="s">
        <v>13918</v>
      </c>
      <c r="H79" s="277">
        <v>2020</v>
      </c>
      <c r="I79" s="386">
        <v>44165</v>
      </c>
      <c r="J79" s="276"/>
      <c r="K79" s="276"/>
      <c r="L79" s="385" t="s">
        <v>13919</v>
      </c>
      <c r="M79" s="276"/>
    </row>
    <row r="80" spans="1:13">
      <c r="A80" s="277">
        <f>VLOOKUP(B80, 'PubMed 10.7.21 Results'!B:B, 1, FALSE)</f>
        <v>32297320</v>
      </c>
      <c r="B80" s="277">
        <v>32297320</v>
      </c>
      <c r="C80" s="276" t="s">
        <v>13499</v>
      </c>
      <c r="D80" s="276" t="s">
        <v>13500</v>
      </c>
      <c r="E80" s="276" t="s">
        <v>13501</v>
      </c>
      <c r="F80" s="276" t="s">
        <v>6588</v>
      </c>
      <c r="G80" s="276" t="s">
        <v>8857</v>
      </c>
      <c r="H80" s="277">
        <v>2020</v>
      </c>
      <c r="I80" s="386">
        <v>43938</v>
      </c>
      <c r="J80" s="276" t="s">
        <v>6589</v>
      </c>
      <c r="K80" s="276"/>
      <c r="L80" s="385" t="s">
        <v>13502</v>
      </c>
      <c r="M80" s="276"/>
    </row>
    <row r="81" spans="1:13">
      <c r="A81" s="277">
        <f>VLOOKUP(B81, 'PubMed 10.7.21 Results'!B:B, 1, FALSE)</f>
        <v>32632956</v>
      </c>
      <c r="B81" s="277">
        <v>32632956</v>
      </c>
      <c r="C81" s="276" t="s">
        <v>13663</v>
      </c>
      <c r="D81" s="276" t="s">
        <v>13664</v>
      </c>
      <c r="E81" s="276" t="s">
        <v>13665</v>
      </c>
      <c r="F81" s="276" t="s">
        <v>7974</v>
      </c>
      <c r="G81" s="276" t="s">
        <v>8857</v>
      </c>
      <c r="H81" s="277">
        <v>2020</v>
      </c>
      <c r="I81" s="386">
        <v>44020</v>
      </c>
      <c r="J81" s="276" t="s">
        <v>7975</v>
      </c>
      <c r="K81" s="276"/>
      <c r="L81" s="385" t="s">
        <v>13666</v>
      </c>
      <c r="M81" s="276"/>
    </row>
    <row r="82" spans="1:13">
      <c r="A82" s="277">
        <f>VLOOKUP(B82, 'PubMed 10.7.21 Results'!B:B, 1, FALSE)</f>
        <v>30308319</v>
      </c>
      <c r="B82" s="277">
        <v>30308319</v>
      </c>
      <c r="C82" s="276" t="s">
        <v>12800</v>
      </c>
      <c r="D82" s="276" t="s">
        <v>12801</v>
      </c>
      <c r="E82" s="276" t="s">
        <v>12802</v>
      </c>
      <c r="F82" s="276" t="s">
        <v>6730</v>
      </c>
      <c r="G82" s="276" t="s">
        <v>12803</v>
      </c>
      <c r="H82" s="277">
        <v>2018</v>
      </c>
      <c r="I82" s="386">
        <v>43385</v>
      </c>
      <c r="J82" s="276"/>
      <c r="K82" s="276"/>
      <c r="L82" s="385" t="s">
        <v>12804</v>
      </c>
      <c r="M82" s="276"/>
    </row>
    <row r="83" spans="1:13">
      <c r="A83" s="277">
        <f>VLOOKUP(B83, 'PubMed 10.7.21 Results'!B:B, 1, FALSE)</f>
        <v>31502239</v>
      </c>
      <c r="B83" s="277">
        <v>31502239</v>
      </c>
      <c r="C83" s="276" t="s">
        <v>13390</v>
      </c>
      <c r="D83" s="276" t="s">
        <v>13391</v>
      </c>
      <c r="E83" s="276" t="s">
        <v>13392</v>
      </c>
      <c r="F83" s="276" t="s">
        <v>7632</v>
      </c>
      <c r="G83" s="276" t="s">
        <v>13393</v>
      </c>
      <c r="H83" s="277">
        <v>2020</v>
      </c>
      <c r="I83" s="386">
        <v>43719</v>
      </c>
      <c r="J83" s="276"/>
      <c r="K83" s="276"/>
      <c r="L83" s="385" t="s">
        <v>13394</v>
      </c>
      <c r="M83" s="276"/>
    </row>
    <row r="84" spans="1:13">
      <c r="A84" s="277">
        <f>VLOOKUP(B84, 'PubMed 10.7.21 Results'!B:B, 1, FALSE)</f>
        <v>31107966</v>
      </c>
      <c r="B84" s="277">
        <v>31107966</v>
      </c>
      <c r="C84" s="276" t="s">
        <v>13058</v>
      </c>
      <c r="D84" s="276" t="s">
        <v>13059</v>
      </c>
      <c r="E84" s="276" t="s">
        <v>13060</v>
      </c>
      <c r="F84" s="276" t="s">
        <v>7627</v>
      </c>
      <c r="G84" s="276" t="s">
        <v>8857</v>
      </c>
      <c r="H84" s="277">
        <v>2019</v>
      </c>
      <c r="I84" s="386">
        <v>43606</v>
      </c>
      <c r="J84" s="276" t="s">
        <v>7628</v>
      </c>
      <c r="K84" s="276"/>
      <c r="L84" s="385" t="s">
        <v>13061</v>
      </c>
      <c r="M84" s="276"/>
    </row>
    <row r="85" spans="1:13">
      <c r="A85" s="277">
        <f>VLOOKUP(B85, 'PubMed 10.7.21 Results'!B:B, 1, FALSE)</f>
        <v>30958392</v>
      </c>
      <c r="B85" s="277">
        <v>30958392</v>
      </c>
      <c r="C85" s="276" t="s">
        <v>13043</v>
      </c>
      <c r="D85" s="276" t="s">
        <v>13044</v>
      </c>
      <c r="E85" s="276" t="s">
        <v>13045</v>
      </c>
      <c r="F85" s="276" t="s">
        <v>7208</v>
      </c>
      <c r="G85" s="276" t="s">
        <v>10481</v>
      </c>
      <c r="H85" s="277">
        <v>2019</v>
      </c>
      <c r="I85" s="386">
        <v>43564</v>
      </c>
      <c r="J85" s="276" t="s">
        <v>7209</v>
      </c>
      <c r="K85" s="276"/>
      <c r="L85" s="385" t="s">
        <v>13046</v>
      </c>
      <c r="M85" s="276"/>
    </row>
    <row r="86" spans="1:13">
      <c r="A86" s="277">
        <f>VLOOKUP(B86, 'PubMed 10.7.21 Results'!B:B, 1, FALSE)</f>
        <v>28847985</v>
      </c>
      <c r="B86" s="277">
        <v>28847985</v>
      </c>
      <c r="C86" s="276" t="s">
        <v>12235</v>
      </c>
      <c r="D86" s="276" t="s">
        <v>12236</v>
      </c>
      <c r="E86" s="276" t="s">
        <v>12237</v>
      </c>
      <c r="F86" s="276" t="s">
        <v>8111</v>
      </c>
      <c r="G86" s="276" t="s">
        <v>8636</v>
      </c>
      <c r="H86" s="277">
        <v>2017</v>
      </c>
      <c r="I86" s="386">
        <v>42977</v>
      </c>
      <c r="J86" s="276"/>
      <c r="K86" s="276"/>
      <c r="L86" s="385" t="s">
        <v>12238</v>
      </c>
      <c r="M86" s="276"/>
    </row>
    <row r="87" spans="1:13">
      <c r="A87" s="277">
        <f>VLOOKUP(B87, 'PubMed 10.7.21 Results'!B:B, 1, FALSE)</f>
        <v>31062052</v>
      </c>
      <c r="B87" s="277">
        <v>31062052</v>
      </c>
      <c r="C87" s="276" t="s">
        <v>13077</v>
      </c>
      <c r="D87" s="276" t="s">
        <v>13078</v>
      </c>
      <c r="E87" s="276" t="s">
        <v>13079</v>
      </c>
      <c r="F87" s="276" t="s">
        <v>7493</v>
      </c>
      <c r="G87" s="276" t="s">
        <v>8617</v>
      </c>
      <c r="H87" s="277">
        <v>2019</v>
      </c>
      <c r="I87" s="386">
        <v>43593</v>
      </c>
      <c r="J87" s="276"/>
      <c r="K87" s="276"/>
      <c r="L87" s="385" t="s">
        <v>13080</v>
      </c>
      <c r="M87" s="276"/>
    </row>
    <row r="88" spans="1:13">
      <c r="A88" s="277">
        <f>VLOOKUP(B88, 'PubMed 10.7.21 Results'!B:B, 1, FALSE)</f>
        <v>33264546</v>
      </c>
      <c r="B88" s="277">
        <v>33264546</v>
      </c>
      <c r="C88" s="276" t="s">
        <v>13924</v>
      </c>
      <c r="D88" s="276" t="s">
        <v>13925</v>
      </c>
      <c r="E88" s="276" t="s">
        <v>13926</v>
      </c>
      <c r="F88" s="276" t="s">
        <v>7217</v>
      </c>
      <c r="G88" s="276" t="s">
        <v>8514</v>
      </c>
      <c r="H88" s="277">
        <v>2020</v>
      </c>
      <c r="I88" s="386">
        <v>44167</v>
      </c>
      <c r="J88" s="276"/>
      <c r="K88" s="276"/>
      <c r="L88" s="385" t="s">
        <v>13927</v>
      </c>
      <c r="M88" s="276"/>
    </row>
    <row r="89" spans="1:13">
      <c r="A89" s="277">
        <f>VLOOKUP(B89, 'PubMed 10.7.21 Results'!B:B, 1, FALSE)</f>
        <v>31050912</v>
      </c>
      <c r="B89" s="277">
        <v>31050912</v>
      </c>
      <c r="C89" s="276" t="s">
        <v>13072</v>
      </c>
      <c r="D89" s="276" t="s">
        <v>13073</v>
      </c>
      <c r="E89" s="276" t="s">
        <v>13074</v>
      </c>
      <c r="F89" s="276" t="s">
        <v>7369</v>
      </c>
      <c r="G89" s="276" t="s">
        <v>13075</v>
      </c>
      <c r="H89" s="277">
        <v>2019</v>
      </c>
      <c r="I89" s="386">
        <v>43589</v>
      </c>
      <c r="J89" s="276"/>
      <c r="K89" s="276"/>
      <c r="L89" s="385" t="s">
        <v>13076</v>
      </c>
      <c r="M89" s="276"/>
    </row>
    <row r="90" spans="1:13">
      <c r="A90" s="277">
        <f>VLOOKUP(B90, 'PubMed 10.7.21 Results'!B:B, 1, FALSE)</f>
        <v>32938444</v>
      </c>
      <c r="B90" s="277">
        <v>32938444</v>
      </c>
      <c r="C90" s="276" t="s">
        <v>13746</v>
      </c>
      <c r="D90" s="276" t="s">
        <v>13747</v>
      </c>
      <c r="E90" s="276" t="s">
        <v>13748</v>
      </c>
      <c r="F90" s="276" t="s">
        <v>1071</v>
      </c>
      <c r="G90" s="276" t="s">
        <v>11228</v>
      </c>
      <c r="H90" s="277">
        <v>2020</v>
      </c>
      <c r="I90" s="386">
        <v>44091</v>
      </c>
      <c r="J90" s="276" t="s">
        <v>4174</v>
      </c>
      <c r="K90" s="276"/>
      <c r="L90" s="385" t="s">
        <v>13749</v>
      </c>
      <c r="M90" s="276"/>
    </row>
    <row r="91" spans="1:13">
      <c r="A91" s="277">
        <f>VLOOKUP(B91, 'PubMed 10.7.21 Results'!B:B, 1, FALSE)</f>
        <v>30545359</v>
      </c>
      <c r="B91" s="277">
        <v>30545359</v>
      </c>
      <c r="C91" s="276" t="s">
        <v>12821</v>
      </c>
      <c r="D91" s="276" t="s">
        <v>12822</v>
      </c>
      <c r="E91" s="276" t="s">
        <v>12823</v>
      </c>
      <c r="F91" s="276" t="s">
        <v>7853</v>
      </c>
      <c r="G91" s="276" t="s">
        <v>12824</v>
      </c>
      <c r="H91" s="277">
        <v>2018</v>
      </c>
      <c r="I91" s="386">
        <v>43449</v>
      </c>
      <c r="J91" s="276" t="s">
        <v>7854</v>
      </c>
      <c r="K91" s="276"/>
      <c r="L91" s="385" t="s">
        <v>12825</v>
      </c>
      <c r="M91" s="276"/>
    </row>
    <row r="92" spans="1:13">
      <c r="A92" s="277">
        <f>VLOOKUP(B92, 'PubMed 10.7.21 Results'!B:B, 1, FALSE)</f>
        <v>24302466</v>
      </c>
      <c r="B92" s="277">
        <v>24302466</v>
      </c>
      <c r="C92" s="276" t="s">
        <v>10865</v>
      </c>
      <c r="D92" s="276" t="s">
        <v>10866</v>
      </c>
      <c r="E92" s="276" t="s">
        <v>10867</v>
      </c>
      <c r="F92" s="276" t="s">
        <v>6869</v>
      </c>
      <c r="G92" s="276" t="s">
        <v>8857</v>
      </c>
      <c r="H92" s="277">
        <v>2013</v>
      </c>
      <c r="I92" s="386">
        <v>41613</v>
      </c>
      <c r="J92" s="276"/>
      <c r="K92" s="276"/>
      <c r="L92" s="385" t="s">
        <v>10868</v>
      </c>
      <c r="M92" s="276"/>
    </row>
    <row r="93" spans="1:13">
      <c r="A93" s="277">
        <f>VLOOKUP(B93, 'PubMed 10.7.21 Results'!B:B, 1, FALSE)</f>
        <v>31307586</v>
      </c>
      <c r="B93" s="277">
        <v>31307586</v>
      </c>
      <c r="C93" s="276" t="s">
        <v>12857</v>
      </c>
      <c r="D93" s="276" t="s">
        <v>12858</v>
      </c>
      <c r="E93" s="276" t="s">
        <v>12859</v>
      </c>
      <c r="F93" s="276" t="s">
        <v>8050</v>
      </c>
      <c r="G93" s="276" t="s">
        <v>12860</v>
      </c>
      <c r="H93" s="277">
        <v>2019</v>
      </c>
      <c r="I93" s="386">
        <v>43663</v>
      </c>
      <c r="J93" s="276"/>
      <c r="K93" s="276"/>
      <c r="L93" s="385" t="s">
        <v>12861</v>
      </c>
      <c r="M93" s="276"/>
    </row>
    <row r="94" spans="1:13">
      <c r="A94" s="277">
        <f>VLOOKUP(B94, 'PubMed 10.7.21 Results'!B:B, 1, FALSE)</f>
        <v>20831302</v>
      </c>
      <c r="B94" s="277">
        <v>20831302</v>
      </c>
      <c r="C94" s="276" t="s">
        <v>9950</v>
      </c>
      <c r="D94" s="276" t="s">
        <v>9951</v>
      </c>
      <c r="E94" s="276" t="s">
        <v>9952</v>
      </c>
      <c r="F94" s="276" t="s">
        <v>7815</v>
      </c>
      <c r="G94" s="276" t="s">
        <v>9049</v>
      </c>
      <c r="H94" s="277">
        <v>2010</v>
      </c>
      <c r="I94" s="386">
        <v>40435</v>
      </c>
      <c r="J94" s="276"/>
      <c r="K94" s="276"/>
      <c r="L94" s="385" t="s">
        <v>9953</v>
      </c>
      <c r="M94" s="276"/>
    </row>
    <row r="95" spans="1:13">
      <c r="A95" s="277">
        <f>VLOOKUP(B95, 'PubMed 10.7.21 Results'!B:B, 1, FALSE)</f>
        <v>33225960</v>
      </c>
      <c r="B95" s="277">
        <v>33225960</v>
      </c>
      <c r="C95" s="276" t="s">
        <v>13861</v>
      </c>
      <c r="D95" s="276" t="s">
        <v>13862</v>
      </c>
      <c r="E95" s="276" t="s">
        <v>13863</v>
      </c>
      <c r="F95" s="276" t="s">
        <v>6555</v>
      </c>
      <c r="G95" s="276" t="s">
        <v>9906</v>
      </c>
      <c r="H95" s="277">
        <v>2020</v>
      </c>
      <c r="I95" s="386">
        <v>44158</v>
      </c>
      <c r="J95" s="276" t="s">
        <v>6556</v>
      </c>
      <c r="K95" s="276"/>
      <c r="L95" s="385" t="s">
        <v>13864</v>
      </c>
      <c r="M95" s="276"/>
    </row>
    <row r="96" spans="1:13">
      <c r="A96" s="277">
        <f>VLOOKUP(B96, 'PubMed 10.7.21 Results'!B:B, 1, FALSE)</f>
        <v>29590182</v>
      </c>
      <c r="B96" s="277">
        <v>29590182</v>
      </c>
      <c r="C96" s="276" t="s">
        <v>12470</v>
      </c>
      <c r="D96" s="276" t="s">
        <v>12471</v>
      </c>
      <c r="E96" s="276" t="s">
        <v>12472</v>
      </c>
      <c r="F96" s="276" t="s">
        <v>4053</v>
      </c>
      <c r="G96" s="276" t="s">
        <v>10379</v>
      </c>
      <c r="H96" s="277">
        <v>2018</v>
      </c>
      <c r="I96" s="386">
        <v>43188</v>
      </c>
      <c r="J96" s="276" t="s">
        <v>7629</v>
      </c>
      <c r="K96" s="276"/>
      <c r="L96" s="385" t="s">
        <v>12473</v>
      </c>
      <c r="M96" s="276"/>
    </row>
    <row r="97" spans="1:13">
      <c r="A97" s="277">
        <f>VLOOKUP(B97, 'PubMed 10.7.21 Results'!B:B, 1, FALSE)</f>
        <v>23213075</v>
      </c>
      <c r="B97" s="277">
        <v>23213075</v>
      </c>
      <c r="C97" s="276" t="s">
        <v>10692</v>
      </c>
      <c r="D97" s="276" t="s">
        <v>10693</v>
      </c>
      <c r="E97" s="276" t="s">
        <v>10694</v>
      </c>
      <c r="F97" s="276" t="s">
        <v>6483</v>
      </c>
      <c r="G97" s="276" t="s">
        <v>8480</v>
      </c>
      <c r="H97" s="277">
        <v>2013</v>
      </c>
      <c r="I97" s="386">
        <v>41249</v>
      </c>
      <c r="J97" s="276"/>
      <c r="K97" s="276"/>
      <c r="L97" s="385" t="s">
        <v>10695</v>
      </c>
      <c r="M97" s="276"/>
    </row>
    <row r="98" spans="1:13">
      <c r="A98" s="277">
        <f>VLOOKUP(B98, 'PubMed 10.7.21 Results'!B:B, 1, FALSE)</f>
        <v>32926834</v>
      </c>
      <c r="B98" s="277">
        <v>32926834</v>
      </c>
      <c r="C98" s="276" t="s">
        <v>14034</v>
      </c>
      <c r="D98" s="276" t="s">
        <v>14035</v>
      </c>
      <c r="E98" s="276" t="s">
        <v>14036</v>
      </c>
      <c r="F98" s="276" t="s">
        <v>6404</v>
      </c>
      <c r="G98" s="276" t="s">
        <v>10976</v>
      </c>
      <c r="H98" s="277">
        <v>2021</v>
      </c>
      <c r="I98" s="386">
        <v>44088</v>
      </c>
      <c r="J98" s="276"/>
      <c r="K98" s="276"/>
      <c r="L98" s="385" t="s">
        <v>14037</v>
      </c>
      <c r="M98" s="276"/>
    </row>
    <row r="99" spans="1:13">
      <c r="A99" s="277">
        <f>VLOOKUP(B99, 'PubMed 10.7.21 Results'!B:B, 1, FALSE)</f>
        <v>31712214</v>
      </c>
      <c r="B99" s="277">
        <v>31712214</v>
      </c>
      <c r="C99" s="276" t="s">
        <v>13378</v>
      </c>
      <c r="D99" s="276" t="s">
        <v>13379</v>
      </c>
      <c r="E99" s="276" t="s">
        <v>13380</v>
      </c>
      <c r="F99" s="276" t="s">
        <v>704</v>
      </c>
      <c r="G99" s="276" t="s">
        <v>8675</v>
      </c>
      <c r="H99" s="277">
        <v>2020</v>
      </c>
      <c r="I99" s="386">
        <v>43782</v>
      </c>
      <c r="J99" s="276" t="s">
        <v>4104</v>
      </c>
      <c r="K99" s="276"/>
      <c r="L99" s="385" t="s">
        <v>13381</v>
      </c>
      <c r="M99" s="276"/>
    </row>
    <row r="100" spans="1:13">
      <c r="A100" s="277">
        <f>VLOOKUP(B100, 'PubMed 10.7.21 Results'!B:B, 1, FALSE)</f>
        <v>25692326</v>
      </c>
      <c r="B100" s="277">
        <v>25692326</v>
      </c>
      <c r="C100" s="276" t="s">
        <v>11297</v>
      </c>
      <c r="D100" s="276" t="s">
        <v>11298</v>
      </c>
      <c r="E100" s="276" t="s">
        <v>11299</v>
      </c>
      <c r="F100" s="276" t="s">
        <v>7176</v>
      </c>
      <c r="G100" s="276" t="s">
        <v>8857</v>
      </c>
      <c r="H100" s="277">
        <v>2015</v>
      </c>
      <c r="I100" s="386">
        <v>42054</v>
      </c>
      <c r="J100" s="276" t="s">
        <v>7177</v>
      </c>
      <c r="K100" s="276"/>
      <c r="L100" s="385" t="s">
        <v>11300</v>
      </c>
      <c r="M100" s="276"/>
    </row>
    <row r="101" spans="1:13">
      <c r="A101" s="277">
        <f>VLOOKUP(B101, 'PubMed 10.7.21 Results'!B:B, 1, FALSE)</f>
        <v>31640300</v>
      </c>
      <c r="B101" s="277">
        <v>31640300</v>
      </c>
      <c r="C101" s="276" t="s">
        <v>13231</v>
      </c>
      <c r="D101" s="276" t="s">
        <v>13232</v>
      </c>
      <c r="E101" s="276" t="s">
        <v>13233</v>
      </c>
      <c r="F101" s="276" t="s">
        <v>6390</v>
      </c>
      <c r="G101" s="276" t="s">
        <v>13234</v>
      </c>
      <c r="H101" s="277">
        <v>2019</v>
      </c>
      <c r="I101" s="386">
        <v>43762</v>
      </c>
      <c r="J101" s="276" t="s">
        <v>6391</v>
      </c>
      <c r="K101" s="276"/>
      <c r="L101" s="385" t="s">
        <v>13235</v>
      </c>
      <c r="M101" s="276"/>
    </row>
    <row r="102" spans="1:13">
      <c r="A102" s="277">
        <f>VLOOKUP(B102, 'PubMed 10.7.21 Results'!B:B, 1, FALSE)</f>
        <v>30759101</v>
      </c>
      <c r="B102" s="277">
        <v>30759101</v>
      </c>
      <c r="C102" s="276" t="s">
        <v>12913</v>
      </c>
      <c r="D102" s="276" t="s">
        <v>12914</v>
      </c>
      <c r="E102" s="276" t="s">
        <v>12915</v>
      </c>
      <c r="F102" s="276" t="s">
        <v>7981</v>
      </c>
      <c r="G102" s="276" t="s">
        <v>10379</v>
      </c>
      <c r="H102" s="277">
        <v>2019</v>
      </c>
      <c r="I102" s="386">
        <v>43510</v>
      </c>
      <c r="J102" s="276" t="s">
        <v>7982</v>
      </c>
      <c r="K102" s="276"/>
      <c r="L102" s="385" t="s">
        <v>12916</v>
      </c>
      <c r="M102" s="276"/>
    </row>
    <row r="103" spans="1:13">
      <c r="A103" s="277">
        <f>VLOOKUP(B103, 'PubMed 10.7.21 Results'!B:B, 1, FALSE)</f>
        <v>26318715</v>
      </c>
      <c r="B103" s="277">
        <v>26318715</v>
      </c>
      <c r="C103" s="276" t="s">
        <v>11556</v>
      </c>
      <c r="D103" s="276" t="s">
        <v>11557</v>
      </c>
      <c r="E103" s="276" t="s">
        <v>11558</v>
      </c>
      <c r="F103" s="276" t="s">
        <v>6533</v>
      </c>
      <c r="G103" s="276" t="s">
        <v>10976</v>
      </c>
      <c r="H103" s="277">
        <v>2015</v>
      </c>
      <c r="I103" s="386">
        <v>42247</v>
      </c>
      <c r="J103" s="276"/>
      <c r="K103" s="276"/>
      <c r="L103" s="385" t="s">
        <v>11559</v>
      </c>
      <c r="M103" s="276"/>
    </row>
    <row r="104" spans="1:13">
      <c r="A104" s="277">
        <f>VLOOKUP(B104, 'PubMed 10.7.21 Results'!B:B, 1, FALSE)</f>
        <v>30008076</v>
      </c>
      <c r="B104" s="277">
        <v>30008076</v>
      </c>
      <c r="C104" s="276" t="s">
        <v>12740</v>
      </c>
      <c r="D104" s="276" t="s">
        <v>12741</v>
      </c>
      <c r="E104" s="276" t="s">
        <v>12742</v>
      </c>
      <c r="F104" s="276" t="s">
        <v>8103</v>
      </c>
      <c r="G104" s="276" t="s">
        <v>12743</v>
      </c>
      <c r="H104" s="277">
        <v>2018</v>
      </c>
      <c r="I104" s="386">
        <v>43297</v>
      </c>
      <c r="J104" s="276"/>
      <c r="K104" s="276"/>
      <c r="L104" s="385" t="s">
        <v>12744</v>
      </c>
      <c r="M104" s="276"/>
    </row>
    <row r="105" spans="1:13">
      <c r="A105" s="277">
        <f>VLOOKUP(B105, 'PubMed 10.7.21 Results'!B:B, 1, FALSE)</f>
        <v>32750273</v>
      </c>
      <c r="B105" s="277">
        <v>32750273</v>
      </c>
      <c r="C105" s="276" t="s">
        <v>14030</v>
      </c>
      <c r="D105" s="276" t="s">
        <v>14031</v>
      </c>
      <c r="E105" s="276" t="s">
        <v>14032</v>
      </c>
      <c r="F105" s="276" t="s">
        <v>7738</v>
      </c>
      <c r="G105" s="276" t="s">
        <v>11713</v>
      </c>
      <c r="H105" s="277">
        <v>2021</v>
      </c>
      <c r="I105" s="386">
        <v>44048</v>
      </c>
      <c r="J105" s="276" t="s">
        <v>7739</v>
      </c>
      <c r="K105" s="276"/>
      <c r="L105" s="385" t="s">
        <v>14033</v>
      </c>
      <c r="M105" s="276"/>
    </row>
    <row r="106" spans="1:13">
      <c r="A106" s="277">
        <f>VLOOKUP(B106, 'PubMed 10.7.21 Results'!B:B, 1, FALSE)</f>
        <v>28464026</v>
      </c>
      <c r="B106" s="277">
        <v>28464026</v>
      </c>
      <c r="C106" s="276" t="s">
        <v>12096</v>
      </c>
      <c r="D106" s="276" t="s">
        <v>12097</v>
      </c>
      <c r="E106" s="276" t="s">
        <v>12098</v>
      </c>
      <c r="F106" s="276" t="s">
        <v>4014</v>
      </c>
      <c r="G106" s="276" t="s">
        <v>11097</v>
      </c>
      <c r="H106" s="277">
        <v>2017</v>
      </c>
      <c r="I106" s="386">
        <v>42858</v>
      </c>
      <c r="J106" s="276" t="s">
        <v>6769</v>
      </c>
      <c r="K106" s="276"/>
      <c r="L106" s="385" t="s">
        <v>12099</v>
      </c>
      <c r="M106" s="276"/>
    </row>
    <row r="107" spans="1:13">
      <c r="A107" s="277">
        <f>VLOOKUP(B107, 'PubMed 10.7.21 Results'!B:B, 1, FALSE)</f>
        <v>31470092</v>
      </c>
      <c r="B107" s="277">
        <v>31470092</v>
      </c>
      <c r="C107" s="276" t="s">
        <v>13286</v>
      </c>
      <c r="D107" s="276" t="s">
        <v>13287</v>
      </c>
      <c r="E107" s="276" t="s">
        <v>13288</v>
      </c>
      <c r="F107" s="276" t="s">
        <v>8008</v>
      </c>
      <c r="G107" s="276" t="s">
        <v>11428</v>
      </c>
      <c r="H107" s="277">
        <v>2019</v>
      </c>
      <c r="I107" s="386">
        <v>43708</v>
      </c>
      <c r="J107" s="276"/>
      <c r="K107" s="276"/>
      <c r="L107" s="385" t="s">
        <v>13289</v>
      </c>
      <c r="M107" s="276"/>
    </row>
    <row r="108" spans="1:13">
      <c r="A108" s="277">
        <f>VLOOKUP(B108, 'PubMed 10.7.21 Results'!B:B, 1, FALSE)</f>
        <v>32565483</v>
      </c>
      <c r="B108" s="277">
        <v>32565483</v>
      </c>
      <c r="C108" s="276" t="s">
        <v>13599</v>
      </c>
      <c r="D108" s="276" t="s">
        <v>13600</v>
      </c>
      <c r="E108" s="276" t="s">
        <v>13601</v>
      </c>
      <c r="F108" s="276" t="s">
        <v>7831</v>
      </c>
      <c r="G108" s="276" t="s">
        <v>11650</v>
      </c>
      <c r="H108" s="277">
        <v>2020</v>
      </c>
      <c r="I108" s="386">
        <v>44005</v>
      </c>
      <c r="J108" s="276" t="s">
        <v>7832</v>
      </c>
      <c r="K108" s="276"/>
      <c r="L108" s="385" t="s">
        <v>13602</v>
      </c>
      <c r="M108" s="276"/>
    </row>
    <row r="109" spans="1:13">
      <c r="A109" s="277">
        <f>VLOOKUP(B109, 'PubMed 10.7.21 Results'!B:B, 1, FALSE)</f>
        <v>32986537</v>
      </c>
      <c r="B109" s="277">
        <v>32986537</v>
      </c>
      <c r="C109" s="276" t="s">
        <v>13822</v>
      </c>
      <c r="D109" s="276" t="s">
        <v>13823</v>
      </c>
      <c r="E109" s="276" t="s">
        <v>13824</v>
      </c>
      <c r="F109" s="276" t="s">
        <v>6613</v>
      </c>
      <c r="G109" s="276" t="s">
        <v>13825</v>
      </c>
      <c r="H109" s="277">
        <v>2020</v>
      </c>
      <c r="I109" s="386">
        <v>44102</v>
      </c>
      <c r="J109" s="276"/>
      <c r="K109" s="276"/>
      <c r="L109" s="385" t="s">
        <v>13826</v>
      </c>
      <c r="M109" s="276"/>
    </row>
    <row r="110" spans="1:13">
      <c r="A110" s="277">
        <f>VLOOKUP(B110, 'PubMed 10.7.21 Results'!B:B, 1, FALSE)</f>
        <v>30509294</v>
      </c>
      <c r="B110" s="277">
        <v>30509294</v>
      </c>
      <c r="C110" s="276" t="s">
        <v>12809</v>
      </c>
      <c r="D110" s="276" t="s">
        <v>12810</v>
      </c>
      <c r="E110" s="276" t="s">
        <v>12811</v>
      </c>
      <c r="F110" s="276" t="s">
        <v>7157</v>
      </c>
      <c r="G110" s="276" t="s">
        <v>10912</v>
      </c>
      <c r="H110" s="277">
        <v>2018</v>
      </c>
      <c r="I110" s="386">
        <v>43439</v>
      </c>
      <c r="J110" s="276" t="s">
        <v>7158</v>
      </c>
      <c r="K110" s="276"/>
      <c r="L110" s="385" t="s">
        <v>12812</v>
      </c>
      <c r="M110" s="276"/>
    </row>
    <row r="111" spans="1:13">
      <c r="A111" s="277">
        <f>VLOOKUP(B111, 'PubMed 10.7.21 Results'!B:B, 1, FALSE)</f>
        <v>32822347</v>
      </c>
      <c r="B111" s="277">
        <v>32822347</v>
      </c>
      <c r="C111" s="276" t="s">
        <v>13702</v>
      </c>
      <c r="D111" s="276" t="s">
        <v>13703</v>
      </c>
      <c r="E111" s="276" t="s">
        <v>13704</v>
      </c>
      <c r="F111" s="276" t="s">
        <v>1404</v>
      </c>
      <c r="G111" s="276" t="s">
        <v>10148</v>
      </c>
      <c r="H111" s="277">
        <v>2020</v>
      </c>
      <c r="I111" s="386">
        <v>44065</v>
      </c>
      <c r="J111" s="276" t="s">
        <v>4253</v>
      </c>
      <c r="K111" s="276"/>
      <c r="L111" s="385" t="s">
        <v>13705</v>
      </c>
      <c r="M111" s="276"/>
    </row>
    <row r="112" spans="1:13">
      <c r="A112" s="277">
        <f>VLOOKUP(B112, 'PubMed 10.7.21 Results'!B:B, 1, FALSE)</f>
        <v>16899204</v>
      </c>
      <c r="B112" s="277">
        <v>16899204</v>
      </c>
      <c r="C112" s="276" t="s">
        <v>9331</v>
      </c>
      <c r="D112" s="276" t="s">
        <v>9332</v>
      </c>
      <c r="E112" s="276" t="s">
        <v>9333</v>
      </c>
      <c r="F112" s="276" t="s">
        <v>6853</v>
      </c>
      <c r="G112" s="276" t="s">
        <v>9334</v>
      </c>
      <c r="H112" s="277">
        <v>2006</v>
      </c>
      <c r="I112" s="386">
        <v>38940</v>
      </c>
      <c r="J112" s="276"/>
      <c r="K112" s="276"/>
      <c r="L112" s="385" t="s">
        <v>9335</v>
      </c>
      <c r="M112" s="276"/>
    </row>
    <row r="113" spans="1:13">
      <c r="A113" s="277">
        <f>VLOOKUP(B113, 'PubMed 10.7.21 Results'!B:B, 1, FALSE)</f>
        <v>31631355</v>
      </c>
      <c r="B113" s="277">
        <v>31631355</v>
      </c>
      <c r="C113" s="276" t="s">
        <v>13312</v>
      </c>
      <c r="D113" s="276" t="s">
        <v>13313</v>
      </c>
      <c r="E113" s="276" t="s">
        <v>13314</v>
      </c>
      <c r="F113" s="276" t="s">
        <v>7280</v>
      </c>
      <c r="G113" s="276" t="s">
        <v>8847</v>
      </c>
      <c r="H113" s="277">
        <v>2019</v>
      </c>
      <c r="I113" s="386">
        <v>43760</v>
      </c>
      <c r="J113" s="276"/>
      <c r="K113" s="276"/>
      <c r="L113" s="385" t="s">
        <v>13315</v>
      </c>
      <c r="M113" s="276"/>
    </row>
    <row r="114" spans="1:13">
      <c r="A114" s="277">
        <f>VLOOKUP(B114, 'PubMed 10.7.21 Results'!B:B, 1, FALSE)</f>
        <v>29171774</v>
      </c>
      <c r="B114" s="277">
        <v>29171774</v>
      </c>
      <c r="C114" s="276" t="s">
        <v>12355</v>
      </c>
      <c r="D114" s="276" t="s">
        <v>12356</v>
      </c>
      <c r="E114" s="276" t="s">
        <v>12357</v>
      </c>
      <c r="F114" s="276" t="s">
        <v>6673</v>
      </c>
      <c r="G114" s="276" t="s">
        <v>9785</v>
      </c>
      <c r="H114" s="277">
        <v>2017</v>
      </c>
      <c r="I114" s="386">
        <v>43064</v>
      </c>
      <c r="J114" s="276"/>
      <c r="K114" s="276"/>
      <c r="L114" s="385" t="s">
        <v>12358</v>
      </c>
      <c r="M114" s="276"/>
    </row>
    <row r="115" spans="1:13">
      <c r="A115" s="277">
        <f>VLOOKUP(B115, 'PubMed 10.7.21 Results'!B:B, 1, FALSE)</f>
        <v>31982148</v>
      </c>
      <c r="B115" s="277">
        <v>31982148</v>
      </c>
      <c r="C115" s="276" t="s">
        <v>13357</v>
      </c>
      <c r="D115" s="276" t="s">
        <v>13358</v>
      </c>
      <c r="E115" s="276" t="s">
        <v>13359</v>
      </c>
      <c r="F115" s="276" t="s">
        <v>6403</v>
      </c>
      <c r="G115" s="276" t="s">
        <v>8640</v>
      </c>
      <c r="H115" s="277">
        <v>2020</v>
      </c>
      <c r="I115" s="386">
        <v>43857</v>
      </c>
      <c r="J115" s="276"/>
      <c r="K115" s="276"/>
      <c r="L115" s="385" t="s">
        <v>13360</v>
      </c>
      <c r="M115" s="276"/>
    </row>
    <row r="116" spans="1:13">
      <c r="A116" s="277">
        <f>VLOOKUP(B116, 'PubMed 10.7.21 Results'!B:B, 1, FALSE)</f>
        <v>31668021</v>
      </c>
      <c r="B116" s="277">
        <v>31668021</v>
      </c>
      <c r="C116" s="276" t="s">
        <v>13307</v>
      </c>
      <c r="D116" s="276" t="s">
        <v>13308</v>
      </c>
      <c r="E116" s="276" t="s">
        <v>13309</v>
      </c>
      <c r="F116" s="276" t="s">
        <v>6397</v>
      </c>
      <c r="G116" s="276" t="s">
        <v>13310</v>
      </c>
      <c r="H116" s="277">
        <v>2019</v>
      </c>
      <c r="I116" s="386">
        <v>43770</v>
      </c>
      <c r="J116" s="276" t="s">
        <v>6398</v>
      </c>
      <c r="K116" s="276"/>
      <c r="L116" s="385" t="s">
        <v>13311</v>
      </c>
      <c r="M116" s="276"/>
    </row>
    <row r="117" spans="1:13">
      <c r="A117" s="277">
        <f>VLOOKUP(B117, 'PubMed 10.7.21 Results'!B:B, 1, FALSE)</f>
        <v>32569275</v>
      </c>
      <c r="B117" s="277">
        <v>32569275</v>
      </c>
      <c r="C117" s="276" t="s">
        <v>13603</v>
      </c>
      <c r="D117" s="276" t="s">
        <v>13604</v>
      </c>
      <c r="E117" s="276" t="s">
        <v>13605</v>
      </c>
      <c r="F117" s="276" t="s">
        <v>7564</v>
      </c>
      <c r="G117" s="276" t="s">
        <v>11097</v>
      </c>
      <c r="H117" s="277">
        <v>2020</v>
      </c>
      <c r="I117" s="386">
        <v>44005</v>
      </c>
      <c r="J117" s="276" t="s">
        <v>7565</v>
      </c>
      <c r="K117" s="276"/>
      <c r="L117" s="385" t="s">
        <v>13606</v>
      </c>
      <c r="M117" s="276"/>
    </row>
    <row r="118" spans="1:13">
      <c r="A118" s="277">
        <f>VLOOKUP(B118, 'PubMed 10.7.21 Results'!B:B, 1, FALSE)</f>
        <v>30950194</v>
      </c>
      <c r="B118" s="277">
        <v>30950194</v>
      </c>
      <c r="C118" s="276" t="s">
        <v>18878</v>
      </c>
      <c r="D118" s="276" t="s">
        <v>13040</v>
      </c>
      <c r="E118" s="276" t="s">
        <v>13041</v>
      </c>
      <c r="F118" s="276" t="s">
        <v>7091</v>
      </c>
      <c r="G118" s="276" t="s">
        <v>11378</v>
      </c>
      <c r="H118" s="277">
        <v>2019</v>
      </c>
      <c r="I118" s="386">
        <v>43561</v>
      </c>
      <c r="J118" s="276" t="s">
        <v>7092</v>
      </c>
      <c r="K118" s="276"/>
      <c r="L118" s="385" t="s">
        <v>13042</v>
      </c>
      <c r="M118" s="276"/>
    </row>
    <row r="119" spans="1:13">
      <c r="A119" s="277">
        <f>VLOOKUP(B119, 'PubMed 10.7.21 Results'!B:B, 1, FALSE)</f>
        <v>31821904</v>
      </c>
      <c r="B119" s="277">
        <v>31821904</v>
      </c>
      <c r="C119" s="276" t="s">
        <v>13419</v>
      </c>
      <c r="D119" s="276" t="s">
        <v>13420</v>
      </c>
      <c r="E119" s="276" t="s">
        <v>13421</v>
      </c>
      <c r="F119" s="276" t="s">
        <v>8094</v>
      </c>
      <c r="G119" s="276" t="s">
        <v>8665</v>
      </c>
      <c r="H119" s="277">
        <v>2020</v>
      </c>
      <c r="I119" s="386">
        <v>43810</v>
      </c>
      <c r="J119" s="276" t="s">
        <v>8095</v>
      </c>
      <c r="K119" s="276" t="s">
        <v>13422</v>
      </c>
      <c r="L119" s="385" t="s">
        <v>13423</v>
      </c>
      <c r="M119" s="276"/>
    </row>
    <row r="120" spans="1:13">
      <c r="A120" s="277">
        <f>VLOOKUP(B120, 'PubMed 10.7.21 Results'!B:B, 1, FALSE)</f>
        <v>30921546</v>
      </c>
      <c r="B120" s="277">
        <v>30921546</v>
      </c>
      <c r="C120" s="276" t="s">
        <v>13030</v>
      </c>
      <c r="D120" s="276" t="s">
        <v>13031</v>
      </c>
      <c r="E120" s="276" t="s">
        <v>13032</v>
      </c>
      <c r="F120" s="276" t="s">
        <v>7133</v>
      </c>
      <c r="G120" s="276" t="s">
        <v>13033</v>
      </c>
      <c r="H120" s="277">
        <v>2019</v>
      </c>
      <c r="I120" s="386">
        <v>43553</v>
      </c>
      <c r="J120" s="276"/>
      <c r="K120" s="276"/>
      <c r="L120" s="385" t="s">
        <v>13034</v>
      </c>
      <c r="M120" s="276"/>
    </row>
    <row r="121" spans="1:13">
      <c r="A121" s="277">
        <f>VLOOKUP(B121, 'PubMed 10.7.21 Results'!B:B, 1, FALSE)</f>
        <v>26350571</v>
      </c>
      <c r="B121" s="277">
        <v>26350571</v>
      </c>
      <c r="C121" s="276" t="s">
        <v>11684</v>
      </c>
      <c r="D121" s="276" t="s">
        <v>11685</v>
      </c>
      <c r="E121" s="276" t="s">
        <v>11686</v>
      </c>
      <c r="F121" s="276" t="s">
        <v>7135</v>
      </c>
      <c r="G121" s="276" t="s">
        <v>10970</v>
      </c>
      <c r="H121" s="277">
        <v>2016</v>
      </c>
      <c r="I121" s="386">
        <v>42257</v>
      </c>
      <c r="J121" s="276" t="s">
        <v>7136</v>
      </c>
      <c r="K121" s="276" t="s">
        <v>11687</v>
      </c>
      <c r="L121" s="385" t="s">
        <v>11688</v>
      </c>
      <c r="M121" s="276"/>
    </row>
    <row r="122" spans="1:13">
      <c r="A122" s="277">
        <f>VLOOKUP(B122, 'PubMed 10.7.21 Results'!B:B, 1, FALSE)</f>
        <v>26809103</v>
      </c>
      <c r="B122" s="277">
        <v>26809103</v>
      </c>
      <c r="C122" s="276" t="s">
        <v>11601</v>
      </c>
      <c r="D122" s="276" t="s">
        <v>11602</v>
      </c>
      <c r="E122" s="276" t="s">
        <v>11603</v>
      </c>
      <c r="F122" s="276" t="s">
        <v>7318</v>
      </c>
      <c r="G122" s="276" t="s">
        <v>9976</v>
      </c>
      <c r="H122" s="277">
        <v>2016</v>
      </c>
      <c r="I122" s="386">
        <v>42395</v>
      </c>
      <c r="J122" s="276"/>
      <c r="K122" s="276"/>
      <c r="L122" s="385" t="s">
        <v>11604</v>
      </c>
      <c r="M122" s="276"/>
    </row>
    <row r="123" spans="1:13">
      <c r="A123" s="277">
        <f>VLOOKUP(B123, 'PubMed 10.7.21 Results'!B:B, 1, FALSE)</f>
        <v>32961361</v>
      </c>
      <c r="B123" s="277">
        <v>32961361</v>
      </c>
      <c r="C123" s="276" t="s">
        <v>13817</v>
      </c>
      <c r="D123" s="276" t="s">
        <v>13818</v>
      </c>
      <c r="E123" s="276" t="s">
        <v>13819</v>
      </c>
      <c r="F123" s="276" t="s">
        <v>7486</v>
      </c>
      <c r="G123" s="276" t="s">
        <v>13820</v>
      </c>
      <c r="H123" s="277">
        <v>2020</v>
      </c>
      <c r="I123" s="386">
        <v>44096</v>
      </c>
      <c r="J123" s="276" t="s">
        <v>7487</v>
      </c>
      <c r="K123" s="276"/>
      <c r="L123" s="385" t="s">
        <v>13821</v>
      </c>
      <c r="M123" s="276"/>
    </row>
    <row r="124" spans="1:13">
      <c r="A124" s="277">
        <f>VLOOKUP(B124, 'PubMed 10.7.21 Results'!B:B, 1, FALSE)</f>
        <v>32350571</v>
      </c>
      <c r="B124" s="277">
        <v>32350571</v>
      </c>
      <c r="C124" s="276" t="s">
        <v>13630</v>
      </c>
      <c r="D124" s="276" t="s">
        <v>13631</v>
      </c>
      <c r="E124" s="276" t="s">
        <v>13632</v>
      </c>
      <c r="F124" s="276" t="s">
        <v>7556</v>
      </c>
      <c r="G124" s="276" t="s">
        <v>13633</v>
      </c>
      <c r="H124" s="277">
        <v>2020</v>
      </c>
      <c r="I124" s="386">
        <v>43952</v>
      </c>
      <c r="J124" s="276" t="s">
        <v>7557</v>
      </c>
      <c r="K124" s="276"/>
      <c r="L124" s="385" t="s">
        <v>13634</v>
      </c>
      <c r="M124" s="276"/>
    </row>
    <row r="125" spans="1:13">
      <c r="A125" s="277">
        <f>VLOOKUP(B125, 'PubMed 10.7.21 Results'!B:B, 1, FALSE)</f>
        <v>31499732</v>
      </c>
      <c r="B125" s="277">
        <v>31499732</v>
      </c>
      <c r="C125" s="276" t="s">
        <v>13091</v>
      </c>
      <c r="D125" s="276" t="s">
        <v>13092</v>
      </c>
      <c r="E125" s="276" t="s">
        <v>13093</v>
      </c>
      <c r="F125" s="276" t="s">
        <v>7270</v>
      </c>
      <c r="G125" s="276" t="s">
        <v>13094</v>
      </c>
      <c r="H125" s="277">
        <v>2019</v>
      </c>
      <c r="I125" s="386">
        <v>43719</v>
      </c>
      <c r="J125" s="276"/>
      <c r="K125" s="276"/>
      <c r="L125" s="385" t="s">
        <v>13095</v>
      </c>
      <c r="M125" s="276"/>
    </row>
    <row r="126" spans="1:13">
      <c r="A126" s="277">
        <f>VLOOKUP(B126, 'PubMed 10.7.21 Results'!B:B, 1, FALSE)</f>
        <v>32071183</v>
      </c>
      <c r="B126" s="277">
        <v>32071183</v>
      </c>
      <c r="C126" s="276" t="s">
        <v>13442</v>
      </c>
      <c r="D126" s="276" t="s">
        <v>13443</v>
      </c>
      <c r="E126" s="276" t="s">
        <v>13444</v>
      </c>
      <c r="F126" s="276" t="s">
        <v>6615</v>
      </c>
      <c r="G126" s="276" t="s">
        <v>11650</v>
      </c>
      <c r="H126" s="277">
        <v>2020</v>
      </c>
      <c r="I126" s="386">
        <v>43881</v>
      </c>
      <c r="J126" s="276" t="s">
        <v>6616</v>
      </c>
      <c r="K126" s="276"/>
      <c r="L126" s="385" t="s">
        <v>13445</v>
      </c>
      <c r="M126" s="276"/>
    </row>
    <row r="127" spans="1:13">
      <c r="A127" s="277">
        <f>VLOOKUP(B127, 'PubMed 10.7.21 Results'!B:B, 1, FALSE)</f>
        <v>28182700</v>
      </c>
      <c r="B127" s="277">
        <v>28182700</v>
      </c>
      <c r="C127" s="276" t="s">
        <v>11997</v>
      </c>
      <c r="D127" s="276" t="s">
        <v>11998</v>
      </c>
      <c r="E127" s="276" t="s">
        <v>11999</v>
      </c>
      <c r="F127" s="276" t="s">
        <v>7446</v>
      </c>
      <c r="G127" s="276" t="s">
        <v>10379</v>
      </c>
      <c r="H127" s="277">
        <v>2017</v>
      </c>
      <c r="I127" s="386">
        <v>42776</v>
      </c>
      <c r="J127" s="276" t="s">
        <v>7447</v>
      </c>
      <c r="K127" s="276"/>
      <c r="L127" s="385" t="s">
        <v>12000</v>
      </c>
      <c r="M127" s="276"/>
    </row>
    <row r="128" spans="1:13">
      <c r="A128" s="277">
        <f>VLOOKUP(B128, 'PubMed 10.7.21 Results'!B:B, 1, FALSE)</f>
        <v>31272493</v>
      </c>
      <c r="B128" s="277">
        <v>31272493</v>
      </c>
      <c r="C128" s="276" t="s">
        <v>13138</v>
      </c>
      <c r="D128" s="276" t="s">
        <v>13139</v>
      </c>
      <c r="E128" s="276" t="s">
        <v>13140</v>
      </c>
      <c r="F128" s="276" t="s">
        <v>7041</v>
      </c>
      <c r="G128" s="276" t="s">
        <v>9906</v>
      </c>
      <c r="H128" s="277">
        <v>2019</v>
      </c>
      <c r="I128" s="386">
        <v>43652</v>
      </c>
      <c r="J128" s="276" t="s">
        <v>7042</v>
      </c>
      <c r="K128" s="276"/>
      <c r="L128" s="385" t="s">
        <v>13141</v>
      </c>
      <c r="M128" s="276"/>
    </row>
    <row r="129" spans="1:13">
      <c r="A129" s="277">
        <f>VLOOKUP(B129, 'PubMed 10.7.21 Results'!B:B, 1, FALSE)</f>
        <v>30850411</v>
      </c>
      <c r="B129" s="277">
        <v>30850411</v>
      </c>
      <c r="C129" s="276" t="s">
        <v>12974</v>
      </c>
      <c r="D129" s="276" t="s">
        <v>12975</v>
      </c>
      <c r="E129" s="276" t="s">
        <v>12976</v>
      </c>
      <c r="F129" s="276" t="s">
        <v>8046</v>
      </c>
      <c r="G129" s="276" t="s">
        <v>11650</v>
      </c>
      <c r="H129" s="277">
        <v>2019</v>
      </c>
      <c r="I129" s="386">
        <v>43534</v>
      </c>
      <c r="J129" s="276" t="s">
        <v>8047</v>
      </c>
      <c r="K129" s="276"/>
      <c r="L129" s="385" t="s">
        <v>12977</v>
      </c>
      <c r="M129" s="276"/>
    </row>
    <row r="130" spans="1:13">
      <c r="A130" s="277">
        <f>VLOOKUP(B130, 'PubMed 10.7.21 Results'!B:B, 1, FALSE)</f>
        <v>18989104</v>
      </c>
      <c r="B130" s="277">
        <v>18989104</v>
      </c>
      <c r="C130" s="276" t="s">
        <v>9661</v>
      </c>
      <c r="D130" s="276" t="s">
        <v>9662</v>
      </c>
      <c r="E130" s="276" t="s">
        <v>9663</v>
      </c>
      <c r="F130" s="276" t="s">
        <v>6535</v>
      </c>
      <c r="G130" s="276" t="s">
        <v>9664</v>
      </c>
      <c r="H130" s="277">
        <v>2008</v>
      </c>
      <c r="I130" s="386">
        <v>39760</v>
      </c>
      <c r="J130" s="276"/>
      <c r="K130" s="276"/>
      <c r="L130" s="385" t="s">
        <v>9665</v>
      </c>
      <c r="M130" s="276"/>
    </row>
    <row r="131" spans="1:13">
      <c r="A131" s="277">
        <f>VLOOKUP(B131, 'PubMed 10.7.21 Results'!B:B, 1, FALSE)</f>
        <v>29900829</v>
      </c>
      <c r="B131" s="277">
        <v>29900829</v>
      </c>
      <c r="C131" s="276" t="s">
        <v>12577</v>
      </c>
      <c r="D131" s="276" t="s">
        <v>12578</v>
      </c>
      <c r="E131" s="276" t="s">
        <v>12579</v>
      </c>
      <c r="F131" s="276" t="s">
        <v>6581</v>
      </c>
      <c r="G131" s="276" t="s">
        <v>9359</v>
      </c>
      <c r="H131" s="277">
        <v>2018</v>
      </c>
      <c r="I131" s="386">
        <v>43266</v>
      </c>
      <c r="J131" s="276" t="s">
        <v>6582</v>
      </c>
      <c r="K131" s="276"/>
      <c r="L131" s="385" t="s">
        <v>12580</v>
      </c>
      <c r="M131" s="276"/>
    </row>
    <row r="132" spans="1:13">
      <c r="A132" s="277">
        <f>VLOOKUP(B132, 'PubMed 10.7.21 Results'!B:B, 1, FALSE)</f>
        <v>21820469</v>
      </c>
      <c r="B132" s="277">
        <v>21820469</v>
      </c>
      <c r="C132" s="276" t="s">
        <v>10311</v>
      </c>
      <c r="D132" s="276" t="s">
        <v>10312</v>
      </c>
      <c r="E132" s="276" t="s">
        <v>10313</v>
      </c>
      <c r="F132" s="276" t="s">
        <v>8119</v>
      </c>
      <c r="G132" s="276" t="s">
        <v>10314</v>
      </c>
      <c r="H132" s="277">
        <v>2011</v>
      </c>
      <c r="I132" s="386">
        <v>40764</v>
      </c>
      <c r="J132" s="276" t="s">
        <v>8120</v>
      </c>
      <c r="K132" s="276" t="s">
        <v>10315</v>
      </c>
      <c r="L132" s="385" t="s">
        <v>10316</v>
      </c>
      <c r="M132" s="276"/>
    </row>
    <row r="133" spans="1:13">
      <c r="A133" s="277">
        <f>VLOOKUP(B133, 'PubMed 10.7.21 Results'!B:B, 1, FALSE)</f>
        <v>33283264</v>
      </c>
      <c r="B133" s="277">
        <v>33283264</v>
      </c>
      <c r="C133" s="276" t="s">
        <v>13932</v>
      </c>
      <c r="D133" s="276" t="s">
        <v>13933</v>
      </c>
      <c r="E133" s="276" t="s">
        <v>18879</v>
      </c>
      <c r="F133" s="276" t="s">
        <v>7067</v>
      </c>
      <c r="G133" s="276" t="s">
        <v>8857</v>
      </c>
      <c r="H133" s="277">
        <v>2020</v>
      </c>
      <c r="I133" s="386">
        <v>44172</v>
      </c>
      <c r="J133" s="276"/>
      <c r="K133" s="276"/>
      <c r="L133" s="385" t="s">
        <v>13936</v>
      </c>
      <c r="M133" s="276"/>
    </row>
    <row r="134" spans="1:13">
      <c r="A134" s="277">
        <f>VLOOKUP(B134, 'PubMed 10.7.21 Results'!B:B, 1, FALSE)</f>
        <v>23235609</v>
      </c>
      <c r="B134" s="277">
        <v>23235609</v>
      </c>
      <c r="C134" s="276" t="s">
        <v>10605</v>
      </c>
      <c r="D134" s="276" t="s">
        <v>10606</v>
      </c>
      <c r="E134" s="276" t="s">
        <v>10607</v>
      </c>
      <c r="F134" s="276" t="s">
        <v>7360</v>
      </c>
      <c r="G134" s="276" t="s">
        <v>8857</v>
      </c>
      <c r="H134" s="277">
        <v>2012</v>
      </c>
      <c r="I134" s="386">
        <v>41257</v>
      </c>
      <c r="J134" s="276" t="s">
        <v>7361</v>
      </c>
      <c r="K134" s="276"/>
      <c r="L134" s="385" t="s">
        <v>10608</v>
      </c>
      <c r="M134" s="276"/>
    </row>
    <row r="135" spans="1:13">
      <c r="A135" s="277">
        <f>VLOOKUP(B135, 'PubMed 10.7.21 Results'!B:B, 1, FALSE)</f>
        <v>30617677</v>
      </c>
      <c r="B135" s="277">
        <v>30617677</v>
      </c>
      <c r="C135" s="276" t="s">
        <v>13026</v>
      </c>
      <c r="D135" s="276" t="s">
        <v>13022</v>
      </c>
      <c r="E135" s="276" t="s">
        <v>13027</v>
      </c>
      <c r="F135" s="276" t="s">
        <v>7214</v>
      </c>
      <c r="G135" s="276" t="s">
        <v>13028</v>
      </c>
      <c r="H135" s="277">
        <v>2019</v>
      </c>
      <c r="I135" s="386">
        <v>43474</v>
      </c>
      <c r="J135" s="276"/>
      <c r="K135" s="276"/>
      <c r="L135" s="385" t="s">
        <v>13029</v>
      </c>
      <c r="M135" s="276"/>
    </row>
    <row r="136" spans="1:13">
      <c r="A136" s="277">
        <f>VLOOKUP(B136, 'PubMed 10.7.21 Results'!B:B, 1, FALSE)</f>
        <v>29714519</v>
      </c>
      <c r="B136" s="277">
        <v>29714519</v>
      </c>
      <c r="C136" s="276" t="s">
        <v>12456</v>
      </c>
      <c r="D136" s="276" t="s">
        <v>12457</v>
      </c>
      <c r="E136" s="276" t="s">
        <v>12458</v>
      </c>
      <c r="F136" s="276" t="s">
        <v>8147</v>
      </c>
      <c r="G136" s="276" t="s">
        <v>12459</v>
      </c>
      <c r="H136" s="277">
        <v>2018</v>
      </c>
      <c r="I136" s="386">
        <v>43222</v>
      </c>
      <c r="J136" s="276"/>
      <c r="K136" s="276"/>
      <c r="L136" s="385" t="s">
        <v>12460</v>
      </c>
      <c r="M136" s="276"/>
    </row>
    <row r="137" spans="1:13">
      <c r="A137" s="277">
        <f>VLOOKUP(B137, 'PubMed 10.7.21 Results'!B:B, 1, FALSE)</f>
        <v>33002611</v>
      </c>
      <c r="B137" s="277">
        <v>33002611</v>
      </c>
      <c r="C137" s="276" t="s">
        <v>13962</v>
      </c>
      <c r="D137" s="276" t="s">
        <v>13963</v>
      </c>
      <c r="E137" s="276" t="s">
        <v>13964</v>
      </c>
      <c r="F137" s="276" t="s">
        <v>7785</v>
      </c>
      <c r="G137" s="276" t="s">
        <v>9465</v>
      </c>
      <c r="H137" s="277">
        <v>2021</v>
      </c>
      <c r="I137" s="386">
        <v>44105</v>
      </c>
      <c r="J137" s="276" t="s">
        <v>7786</v>
      </c>
      <c r="K137" s="276"/>
      <c r="L137" s="385" t="s">
        <v>13965</v>
      </c>
      <c r="M137" s="276"/>
    </row>
    <row r="138" spans="1:13">
      <c r="A138" s="277">
        <f>VLOOKUP(B138, 'PubMed 10.7.21 Results'!B:B, 1, FALSE)</f>
        <v>30021496</v>
      </c>
      <c r="B138" s="277">
        <v>30021496</v>
      </c>
      <c r="C138" s="276" t="s">
        <v>12662</v>
      </c>
      <c r="D138" s="276" t="s">
        <v>12663</v>
      </c>
      <c r="E138" s="276" t="s">
        <v>12664</v>
      </c>
      <c r="F138" s="276" t="s">
        <v>7794</v>
      </c>
      <c r="G138" s="276" t="s">
        <v>10970</v>
      </c>
      <c r="H138" s="277">
        <v>2018</v>
      </c>
      <c r="I138" s="386">
        <v>43301</v>
      </c>
      <c r="J138" s="276"/>
      <c r="K138" s="276"/>
      <c r="L138" s="385" t="s">
        <v>12665</v>
      </c>
      <c r="M138" s="276"/>
    </row>
    <row r="139" spans="1:13">
      <c r="A139" s="277">
        <f>VLOOKUP(B139, 'PubMed 10.7.21 Results'!B:B, 1, FALSE)</f>
        <v>25805741</v>
      </c>
      <c r="B139" s="277">
        <v>25805741</v>
      </c>
      <c r="C139" s="276" t="s">
        <v>11415</v>
      </c>
      <c r="D139" s="276" t="s">
        <v>11416</v>
      </c>
      <c r="E139" s="276" t="s">
        <v>11417</v>
      </c>
      <c r="F139" s="276" t="s">
        <v>6818</v>
      </c>
      <c r="G139" s="276" t="s">
        <v>11418</v>
      </c>
      <c r="H139" s="277">
        <v>2015</v>
      </c>
      <c r="I139" s="386">
        <v>42089</v>
      </c>
      <c r="J139" s="276"/>
      <c r="K139" s="276"/>
      <c r="L139" s="385" t="s">
        <v>11419</v>
      </c>
      <c r="M139" s="276"/>
    </row>
    <row r="140" spans="1:13">
      <c r="A140" s="277">
        <f>VLOOKUP(B140, 'PubMed 10.7.21 Results'!B:B, 1, FALSE)</f>
        <v>28424287</v>
      </c>
      <c r="B140" s="277">
        <v>28424287</v>
      </c>
      <c r="C140" s="276" t="s">
        <v>12167</v>
      </c>
      <c r="D140" s="276" t="s">
        <v>12168</v>
      </c>
      <c r="E140" s="276" t="s">
        <v>12169</v>
      </c>
      <c r="F140" s="276" t="s">
        <v>5230</v>
      </c>
      <c r="G140" s="276" t="s">
        <v>9821</v>
      </c>
      <c r="H140" s="277">
        <v>2017</v>
      </c>
      <c r="I140" s="386">
        <v>42846</v>
      </c>
      <c r="J140" s="276" t="s">
        <v>8135</v>
      </c>
      <c r="K140" s="276"/>
      <c r="L140" s="385" t="s">
        <v>12170</v>
      </c>
      <c r="M140" s="276"/>
    </row>
    <row r="141" spans="1:13">
      <c r="A141" s="277">
        <f>VLOOKUP(B141, 'PubMed 10.7.21 Results'!B:B, 1, FALSE)</f>
        <v>24328444</v>
      </c>
      <c r="B141" s="277">
        <v>24328444</v>
      </c>
      <c r="C141" s="276" t="s">
        <v>10879</v>
      </c>
      <c r="D141" s="276" t="s">
        <v>10880</v>
      </c>
      <c r="E141" s="276" t="s">
        <v>10881</v>
      </c>
      <c r="F141" s="276" t="s">
        <v>7115</v>
      </c>
      <c r="G141" s="276" t="s">
        <v>8514</v>
      </c>
      <c r="H141" s="277">
        <v>2013</v>
      </c>
      <c r="I141" s="386">
        <v>41625</v>
      </c>
      <c r="J141" s="276"/>
      <c r="K141" s="276"/>
      <c r="L141" s="385" t="s">
        <v>10882</v>
      </c>
      <c r="M141" s="276"/>
    </row>
    <row r="142" spans="1:13">
      <c r="A142" s="277">
        <f>VLOOKUP(B142, 'PubMed 10.7.21 Results'!B:B, 1, FALSE)</f>
        <v>29482720</v>
      </c>
      <c r="B142" s="277">
        <v>29482720</v>
      </c>
      <c r="C142" s="276" t="s">
        <v>12425</v>
      </c>
      <c r="D142" s="276" t="s">
        <v>12426</v>
      </c>
      <c r="E142" s="276" t="s">
        <v>12427</v>
      </c>
      <c r="F142" s="276" t="s">
        <v>1255</v>
      </c>
      <c r="G142" s="276" t="s">
        <v>12428</v>
      </c>
      <c r="H142" s="277">
        <v>2018</v>
      </c>
      <c r="I142" s="386">
        <v>43159</v>
      </c>
      <c r="J142" s="276" t="s">
        <v>4215</v>
      </c>
      <c r="K142" s="276"/>
      <c r="L142" s="385" t="s">
        <v>12429</v>
      </c>
      <c r="M142" s="276"/>
    </row>
    <row r="143" spans="1:13">
      <c r="A143" s="277">
        <f>VLOOKUP(B143, 'PubMed 10.7.21 Results'!B:B, 1, FALSE)</f>
        <v>27780629</v>
      </c>
      <c r="B143" s="277">
        <v>27780629</v>
      </c>
      <c r="C143" s="276" t="s">
        <v>11888</v>
      </c>
      <c r="D143" s="276" t="s">
        <v>11889</v>
      </c>
      <c r="E143" s="276" t="s">
        <v>11890</v>
      </c>
      <c r="F143" s="276" t="s">
        <v>7711</v>
      </c>
      <c r="G143" s="276" t="s">
        <v>21</v>
      </c>
      <c r="H143" s="277">
        <v>2016</v>
      </c>
      <c r="I143" s="386">
        <v>42670</v>
      </c>
      <c r="J143" s="276"/>
      <c r="K143" s="276"/>
      <c r="L143" s="385" t="s">
        <v>11891</v>
      </c>
      <c r="M143" s="276"/>
    </row>
    <row r="144" spans="1:13">
      <c r="A144" s="277">
        <f>VLOOKUP(B144, 'PubMed 10.7.21 Results'!B:B, 1, FALSE)</f>
        <v>33017195</v>
      </c>
      <c r="B144" s="277">
        <v>33017195</v>
      </c>
      <c r="C144" s="276" t="s">
        <v>13906</v>
      </c>
      <c r="D144" s="276" t="s">
        <v>13907</v>
      </c>
      <c r="E144" s="276" t="s">
        <v>13908</v>
      </c>
      <c r="F144" s="276" t="s">
        <v>7081</v>
      </c>
      <c r="G144" s="276" t="s">
        <v>13909</v>
      </c>
      <c r="H144" s="277">
        <v>2020</v>
      </c>
      <c r="I144" s="386">
        <v>44109</v>
      </c>
      <c r="J144" s="276"/>
      <c r="K144" s="276"/>
      <c r="L144" s="385" t="s">
        <v>13910</v>
      </c>
      <c r="M144" s="276"/>
    </row>
    <row r="145" spans="1:13">
      <c r="A145" s="277">
        <f>VLOOKUP(B145, 'PubMed 10.7.21 Results'!B:B, 1, FALSE)</f>
        <v>31582360</v>
      </c>
      <c r="B145" s="277">
        <v>31582360</v>
      </c>
      <c r="C145" s="276" t="s">
        <v>13259</v>
      </c>
      <c r="D145" s="276" t="s">
        <v>13260</v>
      </c>
      <c r="E145" s="276" t="s">
        <v>13261</v>
      </c>
      <c r="F145" s="276" t="s">
        <v>6507</v>
      </c>
      <c r="G145" s="276" t="s">
        <v>10851</v>
      </c>
      <c r="H145" s="277">
        <v>2019</v>
      </c>
      <c r="I145" s="386">
        <v>43743</v>
      </c>
      <c r="J145" s="276" t="s">
        <v>6226</v>
      </c>
      <c r="K145" s="276" t="s">
        <v>13262</v>
      </c>
      <c r="L145" s="385" t="s">
        <v>13263</v>
      </c>
      <c r="M145" s="276"/>
    </row>
    <row r="146" spans="1:13">
      <c r="A146" s="277">
        <f>VLOOKUP(B146, 'PubMed 10.7.21 Results'!B:B, 1, FALSE)</f>
        <v>9658250</v>
      </c>
      <c r="B146" s="277">
        <v>9658250</v>
      </c>
      <c r="C146" s="276" t="s">
        <v>8619</v>
      </c>
      <c r="D146" s="276" t="s">
        <v>8620</v>
      </c>
      <c r="E146" s="276" t="s">
        <v>8621</v>
      </c>
      <c r="F146" s="276" t="s">
        <v>7425</v>
      </c>
      <c r="G146" s="276" t="s">
        <v>8622</v>
      </c>
      <c r="H146" s="277">
        <v>1998</v>
      </c>
      <c r="I146" s="386">
        <v>35987</v>
      </c>
      <c r="J146" s="276"/>
      <c r="K146" s="276"/>
      <c r="L146" s="385" t="s">
        <v>8623</v>
      </c>
      <c r="M146" s="276"/>
    </row>
    <row r="147" spans="1:13">
      <c r="A147" s="277">
        <f>VLOOKUP(B147, 'PubMed 10.7.21 Results'!B:B, 1, FALSE)</f>
        <v>22513930</v>
      </c>
      <c r="B147" s="277">
        <v>22513930</v>
      </c>
      <c r="C147" s="276" t="s">
        <v>9307</v>
      </c>
      <c r="D147" s="276" t="s">
        <v>9308</v>
      </c>
      <c r="E147" s="276" t="s">
        <v>10455</v>
      </c>
      <c r="F147" s="276" t="s">
        <v>7218</v>
      </c>
      <c r="G147" s="276" t="s">
        <v>8857</v>
      </c>
      <c r="H147" s="277">
        <v>2012</v>
      </c>
      <c r="I147" s="386">
        <v>41019</v>
      </c>
      <c r="J147" s="276" t="s">
        <v>7219</v>
      </c>
      <c r="K147" s="276"/>
      <c r="L147" s="385" t="s">
        <v>10456</v>
      </c>
      <c r="M147" s="276"/>
    </row>
    <row r="148" spans="1:13">
      <c r="A148" s="277">
        <f>VLOOKUP(B148, 'PubMed 10.7.21 Results'!B:B, 1, FALSE)</f>
        <v>31074674</v>
      </c>
      <c r="B148" s="277">
        <v>31074674</v>
      </c>
      <c r="C148" s="276" t="s">
        <v>13218</v>
      </c>
      <c r="D148" s="276" t="s">
        <v>13219</v>
      </c>
      <c r="E148" s="276" t="s">
        <v>13220</v>
      </c>
      <c r="F148" s="276" t="s">
        <v>7065</v>
      </c>
      <c r="G148" s="276" t="s">
        <v>8762</v>
      </c>
      <c r="H148" s="277">
        <v>2019</v>
      </c>
      <c r="I148" s="386">
        <v>43596</v>
      </c>
      <c r="J148" s="276"/>
      <c r="K148" s="276"/>
      <c r="L148" s="385" t="s">
        <v>13221</v>
      </c>
      <c r="M148" s="276"/>
    </row>
    <row r="149" spans="1:13">
      <c r="A149" s="277">
        <f>VLOOKUP(B149, 'PubMed 10.7.21 Results'!B:B, 1, FALSE)</f>
        <v>28606813</v>
      </c>
      <c r="B149" s="277">
        <v>28606813</v>
      </c>
      <c r="C149" s="276" t="s">
        <v>12185</v>
      </c>
      <c r="D149" s="276" t="s">
        <v>12186</v>
      </c>
      <c r="E149" s="276" t="s">
        <v>12187</v>
      </c>
      <c r="F149" s="276" t="s">
        <v>7612</v>
      </c>
      <c r="G149" s="276" t="s">
        <v>21</v>
      </c>
      <c r="H149" s="277">
        <v>2017</v>
      </c>
      <c r="I149" s="386">
        <v>42900</v>
      </c>
      <c r="J149" s="276"/>
      <c r="K149" s="276"/>
      <c r="L149" s="385" t="s">
        <v>12188</v>
      </c>
      <c r="M149" s="276"/>
    </row>
    <row r="150" spans="1:13">
      <c r="A150" s="277">
        <f>VLOOKUP(B150, 'PubMed 10.7.21 Results'!B:B, 1, FALSE)</f>
        <v>23728658</v>
      </c>
      <c r="B150" s="277">
        <v>23728658</v>
      </c>
      <c r="C150" s="276" t="s">
        <v>10746</v>
      </c>
      <c r="D150" s="276" t="s">
        <v>10747</v>
      </c>
      <c r="E150" s="276" t="s">
        <v>10748</v>
      </c>
      <c r="F150" s="276" t="s">
        <v>6955</v>
      </c>
      <c r="G150" s="276" t="s">
        <v>8857</v>
      </c>
      <c r="H150" s="277">
        <v>2013</v>
      </c>
      <c r="I150" s="386">
        <v>41429</v>
      </c>
      <c r="J150" s="276"/>
      <c r="K150" s="276"/>
      <c r="L150" s="385" t="s">
        <v>10749</v>
      </c>
      <c r="M150" s="276"/>
    </row>
    <row r="151" spans="1:13">
      <c r="A151" s="277">
        <f>VLOOKUP(B151, 'PubMed 10.7.21 Results'!B:B, 1, FALSE)</f>
        <v>28086819</v>
      </c>
      <c r="B151" s="277">
        <v>28086819</v>
      </c>
      <c r="C151" s="276" t="s">
        <v>11950</v>
      </c>
      <c r="D151" s="276" t="s">
        <v>11951</v>
      </c>
      <c r="E151" s="276" t="s">
        <v>11952</v>
      </c>
      <c r="F151" s="276" t="s">
        <v>7992</v>
      </c>
      <c r="G151" s="276" t="s">
        <v>10004</v>
      </c>
      <c r="H151" s="277">
        <v>2017</v>
      </c>
      <c r="I151" s="386">
        <v>42750</v>
      </c>
      <c r="J151" s="276" t="s">
        <v>7993</v>
      </c>
      <c r="K151" s="276"/>
      <c r="L151" s="385" t="s">
        <v>11953</v>
      </c>
      <c r="M151" s="276"/>
    </row>
    <row r="152" spans="1:13">
      <c r="A152" s="277">
        <f>VLOOKUP(B152, 'PubMed 10.7.21 Results'!B:B, 1, FALSE)</f>
        <v>31952923</v>
      </c>
      <c r="B152" s="277">
        <v>31952923</v>
      </c>
      <c r="C152" s="276" t="s">
        <v>13482</v>
      </c>
      <c r="D152" s="276" t="s">
        <v>13483</v>
      </c>
      <c r="E152" s="276" t="s">
        <v>13484</v>
      </c>
      <c r="F152" s="276" t="s">
        <v>6668</v>
      </c>
      <c r="G152" s="276" t="s">
        <v>10976</v>
      </c>
      <c r="H152" s="277">
        <v>2020</v>
      </c>
      <c r="I152" s="386">
        <v>43849</v>
      </c>
      <c r="J152" s="276"/>
      <c r="K152" s="276"/>
      <c r="L152" s="385" t="s">
        <v>13485</v>
      </c>
      <c r="M152" s="276"/>
    </row>
    <row r="153" spans="1:13">
      <c r="A153" s="277">
        <f>VLOOKUP(B153, 'PubMed 10.7.21 Results'!B:B, 1, FALSE)</f>
        <v>33406138</v>
      </c>
      <c r="B153" s="277">
        <v>33406138</v>
      </c>
      <c r="C153" s="276" t="s">
        <v>13988</v>
      </c>
      <c r="D153" s="276" t="s">
        <v>13989</v>
      </c>
      <c r="E153" s="276" t="s">
        <v>13990</v>
      </c>
      <c r="F153" s="276" t="s">
        <v>7264</v>
      </c>
      <c r="G153" s="276" t="s">
        <v>10379</v>
      </c>
      <c r="H153" s="277">
        <v>2021</v>
      </c>
      <c r="I153" s="386">
        <v>44202</v>
      </c>
      <c r="J153" s="276" t="s">
        <v>7265</v>
      </c>
      <c r="K153" s="276"/>
      <c r="L153" s="385" t="s">
        <v>13991</v>
      </c>
      <c r="M153" s="276"/>
    </row>
    <row r="154" spans="1:13">
      <c r="A154" s="277">
        <f>VLOOKUP(B154, 'PubMed 10.7.21 Results'!B:B, 1, FALSE)</f>
        <v>17684335</v>
      </c>
      <c r="B154" s="277">
        <v>17684335</v>
      </c>
      <c r="C154" s="276" t="s">
        <v>9380</v>
      </c>
      <c r="D154" s="276" t="s">
        <v>9381</v>
      </c>
      <c r="E154" s="276" t="s">
        <v>9382</v>
      </c>
      <c r="F154" s="276" t="s">
        <v>6690</v>
      </c>
      <c r="G154" s="276" t="s">
        <v>9383</v>
      </c>
      <c r="H154" s="277">
        <v>2007</v>
      </c>
      <c r="I154" s="386">
        <v>39303</v>
      </c>
      <c r="J154" s="276"/>
      <c r="K154" s="276"/>
      <c r="L154" s="385" t="s">
        <v>9384</v>
      </c>
      <c r="M154" s="276"/>
    </row>
    <row r="155" spans="1:13">
      <c r="A155" s="277">
        <f>VLOOKUP(B155, 'PubMed 10.7.21 Results'!B:B, 1, FALSE)</f>
        <v>31119554</v>
      </c>
      <c r="B155" s="277">
        <v>31119554</v>
      </c>
      <c r="C155" s="276" t="s">
        <v>13173</v>
      </c>
      <c r="D155" s="276" t="s">
        <v>13174</v>
      </c>
      <c r="E155" s="276" t="s">
        <v>13175</v>
      </c>
      <c r="F155" s="276" t="s">
        <v>7214</v>
      </c>
      <c r="G155" s="276" t="s">
        <v>13028</v>
      </c>
      <c r="H155" s="277">
        <v>2019</v>
      </c>
      <c r="I155" s="386">
        <v>43609</v>
      </c>
      <c r="J155" s="276"/>
      <c r="K155" s="276"/>
      <c r="L155" s="385" t="s">
        <v>13176</v>
      </c>
      <c r="M155" s="276"/>
    </row>
    <row r="156" spans="1:13">
      <c r="A156" s="277">
        <f>VLOOKUP(B156, 'PubMed 10.7.21 Results'!B:B, 1, FALSE)</f>
        <v>30336497</v>
      </c>
      <c r="B156" s="277">
        <v>30336497</v>
      </c>
      <c r="C156" s="276" t="s">
        <v>13062</v>
      </c>
      <c r="D156" s="276" t="s">
        <v>13063</v>
      </c>
      <c r="E156" s="276" t="s">
        <v>13064</v>
      </c>
      <c r="F156" s="276" t="s">
        <v>6484</v>
      </c>
      <c r="G156" s="276" t="s">
        <v>13065</v>
      </c>
      <c r="H156" s="277">
        <v>2019</v>
      </c>
      <c r="I156" s="386">
        <v>43392</v>
      </c>
      <c r="J156" s="276"/>
      <c r="K156" s="276"/>
      <c r="L156" s="385" t="s">
        <v>13066</v>
      </c>
      <c r="M156" s="276"/>
    </row>
    <row r="157" spans="1:13">
      <c r="A157" s="277">
        <f>VLOOKUP(B157, 'PubMed 10.7.21 Results'!B:B, 1, FALSE)</f>
        <v>31182140</v>
      </c>
      <c r="B157" s="277">
        <v>31182140</v>
      </c>
      <c r="C157" s="276" t="s">
        <v>13087</v>
      </c>
      <c r="D157" s="276" t="s">
        <v>13088</v>
      </c>
      <c r="E157" s="276" t="s">
        <v>13089</v>
      </c>
      <c r="F157" s="276" t="s">
        <v>8139</v>
      </c>
      <c r="G157" s="276" t="s">
        <v>9906</v>
      </c>
      <c r="H157" s="277">
        <v>2019</v>
      </c>
      <c r="I157" s="386">
        <v>43628</v>
      </c>
      <c r="J157" s="276" t="s">
        <v>8140</v>
      </c>
      <c r="K157" s="276"/>
      <c r="L157" s="385" t="s">
        <v>13090</v>
      </c>
      <c r="M157" s="276"/>
    </row>
    <row r="158" spans="1:13">
      <c r="A158" s="277">
        <f>VLOOKUP(B158, 'PubMed 10.7.21 Results'!B:B, 1, FALSE)</f>
        <v>28027521</v>
      </c>
      <c r="B158" s="277">
        <v>28027521</v>
      </c>
      <c r="C158" s="276" t="s">
        <v>18880</v>
      </c>
      <c r="D158" s="276" t="s">
        <v>11985</v>
      </c>
      <c r="E158" s="276" t="s">
        <v>11986</v>
      </c>
      <c r="F158" s="276" t="s">
        <v>7943</v>
      </c>
      <c r="G158" s="276" t="s">
        <v>10304</v>
      </c>
      <c r="H158" s="277">
        <v>2017</v>
      </c>
      <c r="I158" s="386">
        <v>42732</v>
      </c>
      <c r="J158" s="276"/>
      <c r="K158" s="276"/>
      <c r="L158" s="385" t="s">
        <v>11987</v>
      </c>
      <c r="M158" s="276"/>
    </row>
    <row r="159" spans="1:13">
      <c r="A159" s="277">
        <f>VLOOKUP(B159, 'PubMed 10.7.21 Results'!B:B, 1, FALSE)</f>
        <v>31178289</v>
      </c>
      <c r="B159" s="277">
        <v>31178289</v>
      </c>
      <c r="C159" s="276" t="s">
        <v>13119</v>
      </c>
      <c r="D159" s="276" t="s">
        <v>13120</v>
      </c>
      <c r="E159" s="276" t="s">
        <v>13121</v>
      </c>
      <c r="F159" s="276" t="s">
        <v>6666</v>
      </c>
      <c r="G159" s="276" t="s">
        <v>10976</v>
      </c>
      <c r="H159" s="277">
        <v>2019</v>
      </c>
      <c r="I159" s="386">
        <v>43627</v>
      </c>
      <c r="J159" s="276" t="s">
        <v>6667</v>
      </c>
      <c r="K159" s="276"/>
      <c r="L159" s="385" t="s">
        <v>13122</v>
      </c>
      <c r="M159" s="276"/>
    </row>
    <row r="160" spans="1:13">
      <c r="A160" s="277">
        <f>VLOOKUP(B160, 'PubMed 10.7.21 Results'!B:B, 1, FALSE)</f>
        <v>30951497</v>
      </c>
      <c r="B160" s="277">
        <v>30951497</v>
      </c>
      <c r="C160" s="276" t="s">
        <v>13164</v>
      </c>
      <c r="D160" s="276" t="s">
        <v>13165</v>
      </c>
      <c r="E160" s="276" t="s">
        <v>13166</v>
      </c>
      <c r="F160" s="276" t="s">
        <v>7126</v>
      </c>
      <c r="G160" s="276" t="s">
        <v>13167</v>
      </c>
      <c r="H160" s="277">
        <v>2019</v>
      </c>
      <c r="I160" s="386">
        <v>43561</v>
      </c>
      <c r="J160" s="276"/>
      <c r="K160" s="276"/>
      <c r="L160" s="385" t="s">
        <v>13168</v>
      </c>
      <c r="M160" s="276"/>
    </row>
    <row r="161" spans="1:13">
      <c r="A161" s="277">
        <f>VLOOKUP(B161, 'PubMed 10.7.21 Results'!B:B, 1, FALSE)</f>
        <v>33187978</v>
      </c>
      <c r="B161" s="277">
        <v>33187978</v>
      </c>
      <c r="C161" s="276" t="s">
        <v>13975</v>
      </c>
      <c r="D161" s="276" t="s">
        <v>13976</v>
      </c>
      <c r="E161" s="276" t="s">
        <v>13977</v>
      </c>
      <c r="F161" s="276" t="s">
        <v>7858</v>
      </c>
      <c r="G161" s="276" t="s">
        <v>13978</v>
      </c>
      <c r="H161" s="277">
        <v>2021</v>
      </c>
      <c r="I161" s="386">
        <v>44149</v>
      </c>
      <c r="J161" s="276" t="s">
        <v>7859</v>
      </c>
      <c r="K161" s="276"/>
      <c r="L161" s="385" t="s">
        <v>13979</v>
      </c>
      <c r="M161" s="276"/>
    </row>
    <row r="162" spans="1:13">
      <c r="A162" s="277">
        <f>VLOOKUP(B162, 'PubMed 10.7.21 Results'!B:B, 1, FALSE)</f>
        <v>22291468</v>
      </c>
      <c r="B162" s="277">
        <v>22291468</v>
      </c>
      <c r="C162" s="276" t="s">
        <v>10362</v>
      </c>
      <c r="D162" s="276" t="s">
        <v>10363</v>
      </c>
      <c r="E162" s="276" t="s">
        <v>10364</v>
      </c>
      <c r="F162" s="276" t="s">
        <v>7945</v>
      </c>
      <c r="G162" s="276" t="s">
        <v>10365</v>
      </c>
      <c r="H162" s="277">
        <v>2012</v>
      </c>
      <c r="I162" s="386">
        <v>40940</v>
      </c>
      <c r="J162" s="276" t="s">
        <v>7946</v>
      </c>
      <c r="K162" s="276"/>
      <c r="L162" s="385" t="s">
        <v>10366</v>
      </c>
      <c r="M162" s="276"/>
    </row>
    <row r="163" spans="1:13">
      <c r="A163" s="277">
        <f>VLOOKUP(B163, 'PubMed 10.7.21 Results'!B:B, 1, FALSE)</f>
        <v>30990961</v>
      </c>
      <c r="B163" s="277">
        <v>30990961</v>
      </c>
      <c r="C163" s="276" t="s">
        <v>13115</v>
      </c>
      <c r="D163" s="276" t="s">
        <v>13116</v>
      </c>
      <c r="E163" s="276" t="s">
        <v>13117</v>
      </c>
      <c r="F163" s="276" t="s">
        <v>7729</v>
      </c>
      <c r="G163" s="276" t="s">
        <v>8699</v>
      </c>
      <c r="H163" s="277">
        <v>2019</v>
      </c>
      <c r="I163" s="386">
        <v>43572</v>
      </c>
      <c r="J163" s="276" t="s">
        <v>7730</v>
      </c>
      <c r="K163" s="276"/>
      <c r="L163" s="385" t="s">
        <v>13118</v>
      </c>
      <c r="M163" s="276"/>
    </row>
    <row r="164" spans="1:13">
      <c r="A164" s="277">
        <f>VLOOKUP(B164, 'PubMed 10.7.21 Results'!B:B, 1, FALSE)</f>
        <v>24100694</v>
      </c>
      <c r="B164" s="277">
        <v>24100694</v>
      </c>
      <c r="C164" s="276" t="s">
        <v>10843</v>
      </c>
      <c r="D164" s="276" t="s">
        <v>10844</v>
      </c>
      <c r="E164" s="276" t="s">
        <v>10845</v>
      </c>
      <c r="F164" s="276" t="s">
        <v>6789</v>
      </c>
      <c r="G164" s="276" t="s">
        <v>10846</v>
      </c>
      <c r="H164" s="277">
        <v>2013</v>
      </c>
      <c r="I164" s="386">
        <v>41556</v>
      </c>
      <c r="J164" s="276" t="s">
        <v>6790</v>
      </c>
      <c r="K164" s="276"/>
      <c r="L164" s="385" t="s">
        <v>10847</v>
      </c>
      <c r="M164" s="276"/>
    </row>
    <row r="165" spans="1:13">
      <c r="A165" s="277">
        <f>VLOOKUP(B165, 'PubMed 10.7.21 Results'!B:B, 1, FALSE)</f>
        <v>26647887</v>
      </c>
      <c r="B165" s="277">
        <v>26647887</v>
      </c>
      <c r="C165" s="276" t="s">
        <v>11270</v>
      </c>
      <c r="D165" s="276" t="s">
        <v>11271</v>
      </c>
      <c r="E165" s="276" t="s">
        <v>11272</v>
      </c>
      <c r="F165" s="276" t="s">
        <v>6472</v>
      </c>
      <c r="G165" s="276" t="s">
        <v>11273</v>
      </c>
      <c r="H165" s="277">
        <v>2015</v>
      </c>
      <c r="I165" s="386">
        <v>42348</v>
      </c>
      <c r="J165" s="276"/>
      <c r="K165" s="276"/>
      <c r="L165" s="385" t="s">
        <v>11274</v>
      </c>
      <c r="M165" s="276"/>
    </row>
    <row r="166" spans="1:13">
      <c r="A166" s="277">
        <f>VLOOKUP(B166, 'PubMed 10.7.21 Results'!B:B, 1, FALSE)</f>
        <v>25539282</v>
      </c>
      <c r="B166" s="277">
        <v>25539282</v>
      </c>
      <c r="C166" s="276" t="s">
        <v>11305</v>
      </c>
      <c r="D166" s="276" t="s">
        <v>11306</v>
      </c>
      <c r="E166" s="276" t="s">
        <v>11307</v>
      </c>
      <c r="F166" s="276" t="s">
        <v>7814</v>
      </c>
      <c r="G166" s="276" t="s">
        <v>9785</v>
      </c>
      <c r="H166" s="277">
        <v>2015</v>
      </c>
      <c r="I166" s="386">
        <v>41998</v>
      </c>
      <c r="J166" s="276"/>
      <c r="K166" s="276"/>
      <c r="L166" s="385" t="s">
        <v>11308</v>
      </c>
      <c r="M166" s="276"/>
    </row>
    <row r="167" spans="1:13">
      <c r="A167" s="277">
        <f>VLOOKUP(B167, 'PubMed 10.7.21 Results'!B:B, 1, FALSE)</f>
        <v>30418980</v>
      </c>
      <c r="B167" s="277">
        <v>30418980</v>
      </c>
      <c r="C167" s="276" t="s">
        <v>12780</v>
      </c>
      <c r="D167" s="276" t="s">
        <v>12781</v>
      </c>
      <c r="E167" s="276" t="s">
        <v>12782</v>
      </c>
      <c r="F167" s="276" t="s">
        <v>7407</v>
      </c>
      <c r="G167" s="276" t="s">
        <v>10379</v>
      </c>
      <c r="H167" s="277">
        <v>2018</v>
      </c>
      <c r="I167" s="386">
        <v>43417</v>
      </c>
      <c r="J167" s="276" t="s">
        <v>7408</v>
      </c>
      <c r="K167" s="276"/>
      <c r="L167" s="385" t="s">
        <v>12783</v>
      </c>
      <c r="M167" s="276"/>
    </row>
    <row r="168" spans="1:13">
      <c r="A168" s="277">
        <f>VLOOKUP(B168, 'PubMed 10.7.21 Results'!B:B, 1, FALSE)</f>
        <v>29372930</v>
      </c>
      <c r="B168" s="277">
        <v>29372930</v>
      </c>
      <c r="C168" s="276" t="s">
        <v>12394</v>
      </c>
      <c r="D168" s="276" t="s">
        <v>12395</v>
      </c>
      <c r="E168" s="276" t="s">
        <v>12396</v>
      </c>
      <c r="F168" s="276" t="s">
        <v>6419</v>
      </c>
      <c r="G168" s="276" t="s">
        <v>8857</v>
      </c>
      <c r="H168" s="277">
        <v>2018</v>
      </c>
      <c r="I168" s="386">
        <v>43127</v>
      </c>
      <c r="J168" s="276" t="s">
        <v>6420</v>
      </c>
      <c r="K168" s="276"/>
      <c r="L168" s="385" t="s">
        <v>12397</v>
      </c>
      <c r="M168" s="276"/>
    </row>
    <row r="169" spans="1:13">
      <c r="A169" s="277">
        <f>VLOOKUP(B169, 'PubMed 10.7.21 Results'!B:B, 1, FALSE)</f>
        <v>17054280</v>
      </c>
      <c r="B169" s="277">
        <v>17054280</v>
      </c>
      <c r="C169" s="276" t="s">
        <v>9344</v>
      </c>
      <c r="D169" s="276" t="s">
        <v>9312</v>
      </c>
      <c r="E169" s="276" t="s">
        <v>9345</v>
      </c>
      <c r="F169" s="276" t="s">
        <v>5155</v>
      </c>
      <c r="G169" s="276" t="s">
        <v>8857</v>
      </c>
      <c r="H169" s="277">
        <v>2006</v>
      </c>
      <c r="I169" s="386">
        <v>39011</v>
      </c>
      <c r="J169" s="276" t="s">
        <v>6981</v>
      </c>
      <c r="K169" s="276"/>
      <c r="L169" s="385" t="s">
        <v>9346</v>
      </c>
      <c r="M169" s="276"/>
    </row>
    <row r="170" spans="1:13">
      <c r="A170" s="277">
        <f>VLOOKUP(B170, 'PubMed 10.7.21 Results'!B:B, 1, FALSE)</f>
        <v>25793740</v>
      </c>
      <c r="B170" s="277">
        <v>25793740</v>
      </c>
      <c r="C170" s="276" t="s">
        <v>11318</v>
      </c>
      <c r="D170" s="276" t="s">
        <v>11319</v>
      </c>
      <c r="E170" s="276" t="s">
        <v>11320</v>
      </c>
      <c r="F170" s="276" t="s">
        <v>6653</v>
      </c>
      <c r="G170" s="276" t="s">
        <v>10379</v>
      </c>
      <c r="H170" s="277">
        <v>2015</v>
      </c>
      <c r="I170" s="386">
        <v>42084</v>
      </c>
      <c r="J170" s="276" t="s">
        <v>6654</v>
      </c>
      <c r="K170" s="276"/>
      <c r="L170" s="385" t="s">
        <v>11321</v>
      </c>
      <c r="M170" s="276"/>
    </row>
    <row r="171" spans="1:13">
      <c r="A171" s="277">
        <f>VLOOKUP(B171, 'PubMed 10.7.21 Results'!B:B, 1, FALSE)</f>
        <v>15638050</v>
      </c>
      <c r="B171" s="277">
        <v>15638050</v>
      </c>
      <c r="C171" s="276" t="s">
        <v>9126</v>
      </c>
      <c r="D171" s="276" t="s">
        <v>9127</v>
      </c>
      <c r="E171" s="276" t="s">
        <v>9128</v>
      </c>
      <c r="F171" s="276" t="s">
        <v>6920</v>
      </c>
      <c r="G171" s="276" t="s">
        <v>9129</v>
      </c>
      <c r="H171" s="277">
        <v>2004</v>
      </c>
      <c r="I171" s="386">
        <v>38363</v>
      </c>
      <c r="J171" s="276"/>
      <c r="K171" s="276"/>
      <c r="L171" s="276"/>
      <c r="M171" s="276"/>
    </row>
    <row r="172" spans="1:13">
      <c r="A172" s="277">
        <f>VLOOKUP(B172, 'PubMed 10.7.21 Results'!B:B, 1, FALSE)</f>
        <v>30298065</v>
      </c>
      <c r="B172" s="277">
        <v>30298065</v>
      </c>
      <c r="C172" s="276" t="s">
        <v>12722</v>
      </c>
      <c r="D172" s="276" t="s">
        <v>12723</v>
      </c>
      <c r="E172" s="276" t="s">
        <v>12724</v>
      </c>
      <c r="F172" s="276" t="s">
        <v>7638</v>
      </c>
      <c r="G172" s="276" t="s">
        <v>12725</v>
      </c>
      <c r="H172" s="277">
        <v>2018</v>
      </c>
      <c r="I172" s="386">
        <v>43383</v>
      </c>
      <c r="J172" s="276" t="s">
        <v>7639</v>
      </c>
      <c r="K172" s="276"/>
      <c r="L172" s="385" t="s">
        <v>12726</v>
      </c>
      <c r="M172" s="276"/>
    </row>
    <row r="173" spans="1:13">
      <c r="A173" s="277">
        <f>VLOOKUP(B173, 'PubMed 10.7.21 Results'!B:B, 1, FALSE)</f>
        <v>31924539</v>
      </c>
      <c r="B173" s="277">
        <v>31924539</v>
      </c>
      <c r="C173" s="276" t="s">
        <v>13429</v>
      </c>
      <c r="D173" s="276" t="s">
        <v>13430</v>
      </c>
      <c r="E173" s="276" t="s">
        <v>13431</v>
      </c>
      <c r="F173" s="276" t="s">
        <v>7378</v>
      </c>
      <c r="G173" s="276" t="s">
        <v>13432</v>
      </c>
      <c r="H173" s="277">
        <v>2020</v>
      </c>
      <c r="I173" s="386">
        <v>43842</v>
      </c>
      <c r="J173" s="276"/>
      <c r="K173" s="276"/>
      <c r="L173" s="385" t="s">
        <v>13433</v>
      </c>
      <c r="M173" s="276"/>
    </row>
    <row r="174" spans="1:13">
      <c r="A174" s="277">
        <f>VLOOKUP(B174, 'PubMed 10.7.21 Results'!B:B, 1, FALSE)</f>
        <v>31179779</v>
      </c>
      <c r="B174" s="277">
        <v>31179779</v>
      </c>
      <c r="C174" s="276" t="s">
        <v>13281</v>
      </c>
      <c r="D174" s="276" t="s">
        <v>13282</v>
      </c>
      <c r="E174" s="276" t="s">
        <v>13283</v>
      </c>
      <c r="F174" s="276" t="s">
        <v>6781</v>
      </c>
      <c r="G174" s="276" t="s">
        <v>13284</v>
      </c>
      <c r="H174" s="277">
        <v>2019</v>
      </c>
      <c r="I174" s="386">
        <v>43627</v>
      </c>
      <c r="J174" s="276"/>
      <c r="K174" s="276"/>
      <c r="L174" s="385" t="s">
        <v>13285</v>
      </c>
      <c r="M174" s="276"/>
    </row>
    <row r="175" spans="1:13">
      <c r="A175" s="277">
        <f>VLOOKUP(B175, 'PubMed 10.7.21 Results'!B:B, 1, FALSE)</f>
        <v>24393593</v>
      </c>
      <c r="B175" s="277">
        <v>24393593</v>
      </c>
      <c r="C175" s="276" t="s">
        <v>10887</v>
      </c>
      <c r="D175" s="276" t="s">
        <v>10888</v>
      </c>
      <c r="E175" s="276" t="s">
        <v>10889</v>
      </c>
      <c r="F175" s="276" t="s">
        <v>7006</v>
      </c>
      <c r="G175" s="276" t="s">
        <v>10890</v>
      </c>
      <c r="H175" s="277">
        <v>2014</v>
      </c>
      <c r="I175" s="386">
        <v>41647</v>
      </c>
      <c r="J175" s="276"/>
      <c r="K175" s="276"/>
      <c r="L175" s="276"/>
      <c r="M175" s="276"/>
    </row>
    <row r="176" spans="1:13">
      <c r="A176" s="277">
        <f>VLOOKUP(B176, 'PubMed 10.7.21 Results'!B:B, 1, FALSE)</f>
        <v>30379749</v>
      </c>
      <c r="B176" s="277">
        <v>30379749</v>
      </c>
      <c r="C176" s="276" t="s">
        <v>13208</v>
      </c>
      <c r="D176" s="276" t="s">
        <v>13209</v>
      </c>
      <c r="E176" s="276" t="s">
        <v>13210</v>
      </c>
      <c r="F176" s="276" t="s">
        <v>7967</v>
      </c>
      <c r="G176" s="276" t="s">
        <v>13211</v>
      </c>
      <c r="H176" s="277">
        <v>2019</v>
      </c>
      <c r="I176" s="386">
        <v>43405</v>
      </c>
      <c r="J176" s="276"/>
      <c r="K176" s="276"/>
      <c r="L176" s="385" t="s">
        <v>13212</v>
      </c>
      <c r="M176" s="276"/>
    </row>
    <row r="177" spans="1:13">
      <c r="A177" s="277">
        <f>VLOOKUP(B177, 'PubMed 10.7.21 Results'!B:B, 1, FALSE)</f>
        <v>29673395</v>
      </c>
      <c r="B177" s="277">
        <v>29673395</v>
      </c>
      <c r="C177" s="276" t="s">
        <v>12508</v>
      </c>
      <c r="D177" s="276" t="s">
        <v>12509</v>
      </c>
      <c r="E177" s="276" t="s">
        <v>12510</v>
      </c>
      <c r="F177" s="276" t="s">
        <v>6634</v>
      </c>
      <c r="G177" s="276" t="s">
        <v>9906</v>
      </c>
      <c r="H177" s="277">
        <v>2018</v>
      </c>
      <c r="I177" s="386">
        <v>43211</v>
      </c>
      <c r="J177" s="276" t="s">
        <v>6635</v>
      </c>
      <c r="K177" s="276"/>
      <c r="L177" s="385" t="s">
        <v>12511</v>
      </c>
      <c r="M177" s="276"/>
    </row>
    <row r="178" spans="1:13">
      <c r="A178" s="277">
        <f>VLOOKUP(B178, 'PubMed 10.7.21 Results'!B:B, 1, FALSE)</f>
        <v>30205844</v>
      </c>
      <c r="B178" s="277">
        <v>30205844</v>
      </c>
      <c r="C178" s="276" t="s">
        <v>12717</v>
      </c>
      <c r="D178" s="276" t="s">
        <v>12718</v>
      </c>
      <c r="E178" s="276" t="s">
        <v>12719</v>
      </c>
      <c r="F178" s="276" t="s">
        <v>6487</v>
      </c>
      <c r="G178" s="276" t="s">
        <v>12720</v>
      </c>
      <c r="H178" s="277">
        <v>2018</v>
      </c>
      <c r="I178" s="386">
        <v>43356</v>
      </c>
      <c r="J178" s="276" t="s">
        <v>6488</v>
      </c>
      <c r="K178" s="276"/>
      <c r="L178" s="385" t="s">
        <v>12721</v>
      </c>
      <c r="M178" s="276"/>
    </row>
    <row r="179" spans="1:13">
      <c r="A179" s="277">
        <f>VLOOKUP(B179, 'PubMed 10.7.21 Results'!B:B, 1, FALSE)</f>
        <v>18769636</v>
      </c>
      <c r="B179" s="277">
        <v>18769636</v>
      </c>
      <c r="C179" s="276" t="s">
        <v>9651</v>
      </c>
      <c r="D179" s="276" t="s">
        <v>9652</v>
      </c>
      <c r="E179" s="276" t="s">
        <v>9653</v>
      </c>
      <c r="F179" s="276" t="s">
        <v>6500</v>
      </c>
      <c r="G179" s="276" t="s">
        <v>9654</v>
      </c>
      <c r="H179" s="277">
        <v>2008</v>
      </c>
      <c r="I179" s="386">
        <v>39696</v>
      </c>
      <c r="J179" s="276" t="s">
        <v>6501</v>
      </c>
      <c r="K179" s="276"/>
      <c r="L179" s="385" t="s">
        <v>9655</v>
      </c>
      <c r="M179" s="276"/>
    </row>
    <row r="180" spans="1:13">
      <c r="A180" s="277">
        <f>VLOOKUP(B180, 'PubMed 10.7.21 Results'!B:B, 1, FALSE)</f>
        <v>26100123</v>
      </c>
      <c r="B180" s="277">
        <v>26100123</v>
      </c>
      <c r="C180" s="276" t="s">
        <v>11430</v>
      </c>
      <c r="D180" s="276" t="s">
        <v>11431</v>
      </c>
      <c r="E180" s="276" t="s">
        <v>11432</v>
      </c>
      <c r="F180" s="276" t="s">
        <v>8010</v>
      </c>
      <c r="G180" s="276" t="s">
        <v>8617</v>
      </c>
      <c r="H180" s="277">
        <v>2015</v>
      </c>
      <c r="I180" s="386">
        <v>42179</v>
      </c>
      <c r="J180" s="276" t="s">
        <v>8011</v>
      </c>
      <c r="K180" s="276"/>
      <c r="L180" s="385" t="s">
        <v>11433</v>
      </c>
      <c r="M180" s="276"/>
    </row>
    <row r="181" spans="1:13">
      <c r="A181" s="277">
        <f>VLOOKUP(B181, 'PubMed 10.7.21 Results'!B:B, 1, FALSE)</f>
        <v>23900970</v>
      </c>
      <c r="B181" s="277">
        <v>23900970</v>
      </c>
      <c r="C181" s="276" t="s">
        <v>10789</v>
      </c>
      <c r="D181" s="276" t="s">
        <v>10790</v>
      </c>
      <c r="E181" s="276" t="s">
        <v>10791</v>
      </c>
      <c r="F181" s="276" t="s">
        <v>8130</v>
      </c>
      <c r="G181" s="276" t="s">
        <v>8857</v>
      </c>
      <c r="H181" s="277">
        <v>2013</v>
      </c>
      <c r="I181" s="386">
        <v>41487</v>
      </c>
      <c r="J181" s="276"/>
      <c r="K181" s="276"/>
      <c r="L181" s="385" t="s">
        <v>10792</v>
      </c>
      <c r="M181" s="276"/>
    </row>
    <row r="182" spans="1:13">
      <c r="A182" s="277">
        <f>VLOOKUP(B182, 'PubMed 10.7.21 Results'!B:B, 1, FALSE)</f>
        <v>26558953</v>
      </c>
      <c r="B182" s="277">
        <v>26558953</v>
      </c>
      <c r="C182" s="276" t="s">
        <v>11533</v>
      </c>
      <c r="D182" s="276" t="s">
        <v>11534</v>
      </c>
      <c r="E182" s="276" t="s">
        <v>11535</v>
      </c>
      <c r="F182" s="276" t="s">
        <v>8106</v>
      </c>
      <c r="G182" s="276" t="s">
        <v>8857</v>
      </c>
      <c r="H182" s="277">
        <v>2015</v>
      </c>
      <c r="I182" s="386">
        <v>42321</v>
      </c>
      <c r="J182" s="276" t="s">
        <v>8107</v>
      </c>
      <c r="K182" s="276"/>
      <c r="L182" s="385" t="s">
        <v>11536</v>
      </c>
      <c r="M182" s="276"/>
    </row>
    <row r="183" spans="1:13">
      <c r="A183" s="277">
        <f>VLOOKUP(B183, 'PubMed 10.7.21 Results'!B:B, 1, FALSE)</f>
        <v>29077527</v>
      </c>
      <c r="B183" s="277">
        <v>29077527</v>
      </c>
      <c r="C183" s="276" t="s">
        <v>12543</v>
      </c>
      <c r="D183" s="276" t="s">
        <v>12544</v>
      </c>
      <c r="E183" s="276" t="s">
        <v>12545</v>
      </c>
      <c r="F183" s="276" t="s">
        <v>6766</v>
      </c>
      <c r="G183" s="276" t="s">
        <v>12546</v>
      </c>
      <c r="H183" s="277">
        <v>2018</v>
      </c>
      <c r="I183" s="386">
        <v>43036</v>
      </c>
      <c r="J183" s="276" t="s">
        <v>6767</v>
      </c>
      <c r="K183" s="276"/>
      <c r="L183" s="385" t="s">
        <v>12547</v>
      </c>
      <c r="M183" s="276"/>
    </row>
    <row r="184" spans="1:13">
      <c r="A184" s="277">
        <f>VLOOKUP(B184, 'PubMed 10.7.21 Results'!B:B, 1, FALSE)</f>
        <v>21158706</v>
      </c>
      <c r="B184" s="277">
        <v>21158706</v>
      </c>
      <c r="C184" s="276" t="s">
        <v>10327</v>
      </c>
      <c r="D184" s="276" t="s">
        <v>10328</v>
      </c>
      <c r="E184" s="276" t="s">
        <v>10329</v>
      </c>
      <c r="F184" s="276" t="s">
        <v>7299</v>
      </c>
      <c r="G184" s="276" t="s">
        <v>10330</v>
      </c>
      <c r="H184" s="277">
        <v>2011</v>
      </c>
      <c r="I184" s="386">
        <v>40529</v>
      </c>
      <c r="J184" s="276"/>
      <c r="K184" s="276"/>
      <c r="L184" s="385" t="s">
        <v>10331</v>
      </c>
      <c r="M184" s="276"/>
    </row>
    <row r="185" spans="1:13">
      <c r="A185" s="277">
        <f>VLOOKUP(B185, 'PubMed 10.7.21 Results'!B:B, 1, FALSE)</f>
        <v>16235340</v>
      </c>
      <c r="B185" s="277">
        <v>16235340</v>
      </c>
      <c r="C185" s="276" t="s">
        <v>9211</v>
      </c>
      <c r="D185" s="276" t="s">
        <v>9212</v>
      </c>
      <c r="E185" s="276" t="s">
        <v>9213</v>
      </c>
      <c r="F185" s="276" t="s">
        <v>7414</v>
      </c>
      <c r="G185" s="276" t="s">
        <v>8857</v>
      </c>
      <c r="H185" s="277">
        <v>2005</v>
      </c>
      <c r="I185" s="386">
        <v>38645</v>
      </c>
      <c r="J185" s="276"/>
      <c r="K185" s="276"/>
      <c r="L185" s="385" t="s">
        <v>9214</v>
      </c>
      <c r="M185" s="276"/>
    </row>
    <row r="186" spans="1:13">
      <c r="A186" s="277">
        <f>VLOOKUP(B186, 'PubMed 10.7.21 Results'!B:B, 1, FALSE)</f>
        <v>32645714</v>
      </c>
      <c r="B186" s="277">
        <v>32645714</v>
      </c>
      <c r="C186" s="276" t="s">
        <v>14096</v>
      </c>
      <c r="D186" s="276" t="s">
        <v>14097</v>
      </c>
      <c r="E186" s="276" t="s">
        <v>14098</v>
      </c>
      <c r="F186" s="276" t="s">
        <v>408</v>
      </c>
      <c r="G186" s="276" t="s">
        <v>9497</v>
      </c>
      <c r="H186" s="277">
        <v>2021</v>
      </c>
      <c r="I186" s="386">
        <v>44022</v>
      </c>
      <c r="J186" s="276"/>
      <c r="K186" s="276"/>
      <c r="L186" s="385" t="s">
        <v>14099</v>
      </c>
      <c r="M186" s="276"/>
    </row>
    <row r="187" spans="1:13">
      <c r="A187" s="277">
        <f>VLOOKUP(B187, 'PubMed 10.7.21 Results'!B:B, 1, FALSE)</f>
        <v>23795817</v>
      </c>
      <c r="B187" s="277">
        <v>23795817</v>
      </c>
      <c r="C187" s="276" t="s">
        <v>10815</v>
      </c>
      <c r="D187" s="276" t="s">
        <v>10816</v>
      </c>
      <c r="E187" s="276" t="s">
        <v>10817</v>
      </c>
      <c r="F187" s="276" t="s">
        <v>7228</v>
      </c>
      <c r="G187" s="276" t="s">
        <v>10818</v>
      </c>
      <c r="H187" s="277">
        <v>2013</v>
      </c>
      <c r="I187" s="386">
        <v>41451</v>
      </c>
      <c r="J187" s="276"/>
      <c r="K187" s="276"/>
      <c r="L187" s="385" t="s">
        <v>10819</v>
      </c>
      <c r="M187" s="276"/>
    </row>
    <row r="188" spans="1:13">
      <c r="A188" s="277">
        <f>VLOOKUP(B188, 'PubMed 10.7.21 Results'!B:B, 1, FALSE)</f>
        <v>26597174</v>
      </c>
      <c r="B188" s="277">
        <v>26597174</v>
      </c>
      <c r="C188" s="276" t="s">
        <v>11541</v>
      </c>
      <c r="D188" s="276" t="s">
        <v>11542</v>
      </c>
      <c r="E188" s="276" t="s">
        <v>11543</v>
      </c>
      <c r="F188" s="276" t="s">
        <v>7329</v>
      </c>
      <c r="G188" s="276" t="s">
        <v>11544</v>
      </c>
      <c r="H188" s="277">
        <v>2015</v>
      </c>
      <c r="I188" s="386">
        <v>42333</v>
      </c>
      <c r="J188" s="276" t="s">
        <v>7330</v>
      </c>
      <c r="K188" s="276"/>
      <c r="L188" s="385" t="s">
        <v>11545</v>
      </c>
      <c r="M188" s="276"/>
    </row>
    <row r="189" spans="1:13">
      <c r="A189" s="277">
        <f>VLOOKUP(B189, 'PubMed 10.7.21 Results'!B:B, 1, FALSE)</f>
        <v>18951937</v>
      </c>
      <c r="B189" s="277">
        <v>18951937</v>
      </c>
      <c r="C189" s="276" t="s">
        <v>9666</v>
      </c>
      <c r="D189" s="276" t="s">
        <v>9667</v>
      </c>
      <c r="E189" s="276" t="s">
        <v>9668</v>
      </c>
      <c r="F189" s="276" t="s">
        <v>7130</v>
      </c>
      <c r="G189" s="276" t="s">
        <v>21</v>
      </c>
      <c r="H189" s="277">
        <v>2008</v>
      </c>
      <c r="I189" s="386">
        <v>39749</v>
      </c>
      <c r="J189" s="276"/>
      <c r="K189" s="276"/>
      <c r="L189" s="385" t="s">
        <v>9669</v>
      </c>
      <c r="M189" s="276"/>
    </row>
    <row r="190" spans="1:13">
      <c r="A190" s="277">
        <f>VLOOKUP(B190, 'PubMed 10.7.21 Results'!B:B, 1, FALSE)</f>
        <v>28321877</v>
      </c>
      <c r="B190" s="277">
        <v>28321877</v>
      </c>
      <c r="C190" s="276" t="s">
        <v>12040</v>
      </c>
      <c r="D190" s="276" t="s">
        <v>12041</v>
      </c>
      <c r="E190" s="276" t="s">
        <v>12042</v>
      </c>
      <c r="F190" s="276" t="s">
        <v>7348</v>
      </c>
      <c r="G190" s="276" t="s">
        <v>8857</v>
      </c>
      <c r="H190" s="277">
        <v>2017</v>
      </c>
      <c r="I190" s="386">
        <v>42816</v>
      </c>
      <c r="J190" s="276" t="s">
        <v>7349</v>
      </c>
      <c r="K190" s="276"/>
      <c r="L190" s="385" t="s">
        <v>12043</v>
      </c>
      <c r="M190" s="276"/>
    </row>
    <row r="191" spans="1:13">
      <c r="A191" s="277">
        <f>VLOOKUP(B191, 'PubMed 10.7.21 Results'!B:B, 1, FALSE)</f>
        <v>18254003</v>
      </c>
      <c r="B191" s="277">
        <v>18254003</v>
      </c>
      <c r="C191" s="276" t="s">
        <v>9548</v>
      </c>
      <c r="D191" s="276" t="s">
        <v>9549</v>
      </c>
      <c r="E191" s="276" t="s">
        <v>9550</v>
      </c>
      <c r="F191" s="276" t="s">
        <v>7634</v>
      </c>
      <c r="G191" s="276" t="s">
        <v>8857</v>
      </c>
      <c r="H191" s="277">
        <v>2008</v>
      </c>
      <c r="I191" s="386">
        <v>39485</v>
      </c>
      <c r="J191" s="276"/>
      <c r="K191" s="276"/>
      <c r="L191" s="385" t="s">
        <v>9551</v>
      </c>
      <c r="M191" s="276"/>
    </row>
    <row r="192" spans="1:13">
      <c r="A192" s="277">
        <f>VLOOKUP(B192, 'PubMed 10.7.21 Results'!B:B, 1, FALSE)</f>
        <v>17283610</v>
      </c>
      <c r="B192" s="277">
        <v>17283610</v>
      </c>
      <c r="C192" s="276" t="s">
        <v>9361</v>
      </c>
      <c r="D192" s="276" t="s">
        <v>9362</v>
      </c>
      <c r="E192" s="276" t="s">
        <v>9363</v>
      </c>
      <c r="F192" s="276" t="s">
        <v>6683</v>
      </c>
      <c r="G192" s="276" t="s">
        <v>9364</v>
      </c>
      <c r="H192" s="277">
        <v>2006</v>
      </c>
      <c r="I192" s="386">
        <v>39121</v>
      </c>
      <c r="J192" s="276" t="s">
        <v>6684</v>
      </c>
      <c r="K192" s="276"/>
      <c r="L192" s="385" t="s">
        <v>9365</v>
      </c>
      <c r="M192" s="276"/>
    </row>
    <row r="193" spans="1:13">
      <c r="A193" s="277">
        <f>VLOOKUP(B193, 'PubMed 10.7.21 Results'!B:B, 1, FALSE)</f>
        <v>30755164</v>
      </c>
      <c r="B193" s="277">
        <v>30755164</v>
      </c>
      <c r="C193" s="276" t="s">
        <v>12908</v>
      </c>
      <c r="D193" s="276" t="s">
        <v>12909</v>
      </c>
      <c r="E193" s="276" t="s">
        <v>12910</v>
      </c>
      <c r="F193" s="276" t="s">
        <v>7757</v>
      </c>
      <c r="G193" s="276" t="s">
        <v>12911</v>
      </c>
      <c r="H193" s="277">
        <v>2019</v>
      </c>
      <c r="I193" s="386">
        <v>43510</v>
      </c>
      <c r="J193" s="276" t="s">
        <v>7758</v>
      </c>
      <c r="K193" s="276"/>
      <c r="L193" s="385" t="s">
        <v>12912</v>
      </c>
      <c r="M193" s="276"/>
    </row>
    <row r="194" spans="1:13">
      <c r="A194" s="277">
        <f>VLOOKUP(B194, 'PubMed 10.7.21 Results'!B:B, 1, FALSE)</f>
        <v>32034026</v>
      </c>
      <c r="B194" s="277">
        <v>32034026</v>
      </c>
      <c r="C194" s="276" t="s">
        <v>13438</v>
      </c>
      <c r="D194" s="276" t="s">
        <v>13439</v>
      </c>
      <c r="E194" s="276" t="s">
        <v>13440</v>
      </c>
      <c r="F194" s="276" t="s">
        <v>6461</v>
      </c>
      <c r="G194" s="276" t="s">
        <v>11650</v>
      </c>
      <c r="H194" s="277">
        <v>2020</v>
      </c>
      <c r="I194" s="386">
        <v>43870</v>
      </c>
      <c r="J194" s="276" t="s">
        <v>6462</v>
      </c>
      <c r="K194" s="276"/>
      <c r="L194" s="385" t="s">
        <v>13441</v>
      </c>
      <c r="M194" s="276"/>
    </row>
    <row r="195" spans="1:13">
      <c r="A195" s="277">
        <f>VLOOKUP(B195, 'PubMed 10.7.21 Results'!B:B, 1, FALSE)</f>
        <v>29514306</v>
      </c>
      <c r="B195" s="277">
        <v>29514306</v>
      </c>
      <c r="C195" s="276" t="s">
        <v>12461</v>
      </c>
      <c r="D195" s="276" t="s">
        <v>12462</v>
      </c>
      <c r="E195" s="276" t="s">
        <v>12463</v>
      </c>
      <c r="F195" s="276" t="s">
        <v>7691</v>
      </c>
      <c r="G195" s="276" t="s">
        <v>9497</v>
      </c>
      <c r="H195" s="277">
        <v>2018</v>
      </c>
      <c r="I195" s="386">
        <v>43167</v>
      </c>
      <c r="J195" s="276" t="s">
        <v>7692</v>
      </c>
      <c r="K195" s="276"/>
      <c r="L195" s="385" t="s">
        <v>12464</v>
      </c>
      <c r="M195" s="276"/>
    </row>
    <row r="196" spans="1:13">
      <c r="A196" s="277">
        <f>VLOOKUP(B196, 'PubMed 10.7.21 Results'!B:B, 1, FALSE)</f>
        <v>30209862</v>
      </c>
      <c r="B196" s="277">
        <v>30209862</v>
      </c>
      <c r="C196" s="276" t="s">
        <v>12771</v>
      </c>
      <c r="D196" s="276" t="s">
        <v>12772</v>
      </c>
      <c r="E196" s="276" t="s">
        <v>12773</v>
      </c>
      <c r="F196" s="276" t="s">
        <v>7139</v>
      </c>
      <c r="G196" s="276" t="s">
        <v>10360</v>
      </c>
      <c r="H196" s="277">
        <v>2018</v>
      </c>
      <c r="I196" s="386">
        <v>43357</v>
      </c>
      <c r="J196" s="276"/>
      <c r="K196" s="276"/>
      <c r="L196" s="385" t="s">
        <v>12774</v>
      </c>
      <c r="M196" s="276"/>
    </row>
    <row r="197" spans="1:13">
      <c r="A197" s="277">
        <f>VLOOKUP(B197, 'PubMed 10.7.21 Results'!B:B, 1, FALSE)</f>
        <v>20171407</v>
      </c>
      <c r="B197" s="277">
        <v>20171407</v>
      </c>
      <c r="C197" s="276" t="s">
        <v>9941</v>
      </c>
      <c r="D197" s="276" t="s">
        <v>9942</v>
      </c>
      <c r="E197" s="276" t="s">
        <v>9943</v>
      </c>
      <c r="F197" s="276" t="s">
        <v>7521</v>
      </c>
      <c r="G197" s="276" t="s">
        <v>8640</v>
      </c>
      <c r="H197" s="277">
        <v>2010</v>
      </c>
      <c r="I197" s="386">
        <v>40232</v>
      </c>
      <c r="J197" s="276"/>
      <c r="K197" s="276"/>
      <c r="L197" s="385" t="s">
        <v>9944</v>
      </c>
      <c r="M197" s="276"/>
    </row>
    <row r="198" spans="1:13">
      <c r="A198" s="277">
        <f>VLOOKUP(B198, 'PubMed 10.7.21 Results'!B:B, 1, FALSE)</f>
        <v>19249449</v>
      </c>
      <c r="B198" s="277">
        <v>19249449</v>
      </c>
      <c r="C198" s="276" t="s">
        <v>9721</v>
      </c>
      <c r="D198" s="276" t="s">
        <v>9722</v>
      </c>
      <c r="E198" s="276" t="s">
        <v>9723</v>
      </c>
      <c r="F198" s="276" t="s">
        <v>7575</v>
      </c>
      <c r="G198" s="276" t="s">
        <v>8632</v>
      </c>
      <c r="H198" s="277">
        <v>2009</v>
      </c>
      <c r="I198" s="386">
        <v>39875</v>
      </c>
      <c r="J198" s="276"/>
      <c r="K198" s="276"/>
      <c r="L198" s="385" t="s">
        <v>9724</v>
      </c>
      <c r="M198" s="276"/>
    </row>
    <row r="199" spans="1:13">
      <c r="A199" s="277">
        <f>VLOOKUP(B199, 'PubMed 10.7.21 Results'!B:B, 1, FALSE)</f>
        <v>18425893</v>
      </c>
      <c r="B199" s="277">
        <v>18425893</v>
      </c>
      <c r="C199" s="276" t="s">
        <v>9211</v>
      </c>
      <c r="D199" s="276" t="s">
        <v>9575</v>
      </c>
      <c r="E199" s="276" t="s">
        <v>9576</v>
      </c>
      <c r="F199" s="276" t="s">
        <v>7414</v>
      </c>
      <c r="G199" s="276" t="s">
        <v>8857</v>
      </c>
      <c r="H199" s="277">
        <v>2008</v>
      </c>
      <c r="I199" s="386">
        <v>39560</v>
      </c>
      <c r="J199" s="276"/>
      <c r="K199" s="276"/>
      <c r="L199" s="385" t="s">
        <v>9577</v>
      </c>
      <c r="M199" s="276"/>
    </row>
    <row r="200" spans="1:13">
      <c r="A200" s="277">
        <f>VLOOKUP(B200, 'PubMed 10.7.21 Results'!B:B, 1, FALSE)</f>
        <v>16235370</v>
      </c>
      <c r="B200" s="277">
        <v>16235370</v>
      </c>
      <c r="C200" s="276" t="s">
        <v>9215</v>
      </c>
      <c r="D200" s="276" t="s">
        <v>9216</v>
      </c>
      <c r="E200" s="276" t="s">
        <v>9217</v>
      </c>
      <c r="F200" s="276" t="s">
        <v>7323</v>
      </c>
      <c r="G200" s="276" t="s">
        <v>8857</v>
      </c>
      <c r="H200" s="277">
        <v>2005</v>
      </c>
      <c r="I200" s="386">
        <v>38645</v>
      </c>
      <c r="J200" s="276" t="s">
        <v>7324</v>
      </c>
      <c r="K200" s="276"/>
      <c r="L200" s="385" t="s">
        <v>9218</v>
      </c>
      <c r="M200" s="276"/>
    </row>
    <row r="201" spans="1:13">
      <c r="A201" s="277">
        <f>VLOOKUP(B201, 'PubMed 10.7.21 Results'!B:B, 1, FALSE)</f>
        <v>22508161</v>
      </c>
      <c r="B201" s="277">
        <v>22508161</v>
      </c>
      <c r="C201" s="276" t="s">
        <v>10450</v>
      </c>
      <c r="D201" s="276" t="s">
        <v>10451</v>
      </c>
      <c r="E201" s="276" t="s">
        <v>10452</v>
      </c>
      <c r="F201" s="276" t="s">
        <v>7578</v>
      </c>
      <c r="G201" s="276" t="s">
        <v>10453</v>
      </c>
      <c r="H201" s="277">
        <v>2012</v>
      </c>
      <c r="I201" s="386">
        <v>41017</v>
      </c>
      <c r="J201" s="276" t="s">
        <v>7579</v>
      </c>
      <c r="K201" s="276"/>
      <c r="L201" s="385" t="s">
        <v>10454</v>
      </c>
      <c r="M201" s="276"/>
    </row>
    <row r="202" spans="1:13">
      <c r="A202" s="277">
        <f>VLOOKUP(B202, 'PubMed 10.7.21 Results'!B:B, 1, FALSE)</f>
        <v>15687880</v>
      </c>
      <c r="B202" s="277">
        <v>15687880</v>
      </c>
      <c r="C202" s="276" t="s">
        <v>9140</v>
      </c>
      <c r="D202" s="276" t="s">
        <v>9141</v>
      </c>
      <c r="E202" s="276" t="s">
        <v>9142</v>
      </c>
      <c r="F202" s="276" t="s">
        <v>6533</v>
      </c>
      <c r="G202" s="276" t="s">
        <v>9143</v>
      </c>
      <c r="H202" s="277">
        <v>2005</v>
      </c>
      <c r="I202" s="386">
        <v>38386</v>
      </c>
      <c r="J202" s="276"/>
      <c r="K202" s="276"/>
      <c r="L202" s="276"/>
      <c r="M202" s="276"/>
    </row>
    <row r="203" spans="1:13">
      <c r="A203" s="277">
        <f>VLOOKUP(B203, 'PubMed 10.7.21 Results'!B:B, 1, FALSE)</f>
        <v>32641148</v>
      </c>
      <c r="B203" s="277">
        <v>32641148</v>
      </c>
      <c r="C203" s="276" t="s">
        <v>13667</v>
      </c>
      <c r="D203" s="276" t="s">
        <v>13668</v>
      </c>
      <c r="E203" s="276" t="s">
        <v>13669</v>
      </c>
      <c r="F203" s="276" t="s">
        <v>7469</v>
      </c>
      <c r="G203" s="276" t="s">
        <v>11166</v>
      </c>
      <c r="H203" s="277">
        <v>2020</v>
      </c>
      <c r="I203" s="386">
        <v>44022</v>
      </c>
      <c r="J203" s="276" t="s">
        <v>7470</v>
      </c>
      <c r="K203" s="276"/>
      <c r="L203" s="385" t="s">
        <v>13670</v>
      </c>
      <c r="M203" s="276"/>
    </row>
    <row r="204" spans="1:13">
      <c r="A204" s="277">
        <f>VLOOKUP(B204, 'PubMed 10.7.21 Results'!B:B, 1, FALSE)</f>
        <v>30037523</v>
      </c>
      <c r="B204" s="277">
        <v>30037523</v>
      </c>
      <c r="C204" s="276" t="s">
        <v>12670</v>
      </c>
      <c r="D204" s="276" t="s">
        <v>12671</v>
      </c>
      <c r="E204" s="276" t="s">
        <v>12672</v>
      </c>
      <c r="F204" s="276" t="s">
        <v>7687</v>
      </c>
      <c r="G204" s="276" t="s">
        <v>12673</v>
      </c>
      <c r="H204" s="277">
        <v>2018</v>
      </c>
      <c r="I204" s="386">
        <v>43306</v>
      </c>
      <c r="J204" s="276"/>
      <c r="K204" s="276"/>
      <c r="L204" s="385" t="s">
        <v>12674</v>
      </c>
      <c r="M204" s="276"/>
    </row>
    <row r="205" spans="1:13">
      <c r="A205" s="277">
        <f>VLOOKUP(B205, 'PubMed 10.7.21 Results'!B:B, 1, FALSE)</f>
        <v>25430686</v>
      </c>
      <c r="B205" s="277">
        <v>25430686</v>
      </c>
      <c r="C205" s="276" t="s">
        <v>11249</v>
      </c>
      <c r="D205" s="276" t="s">
        <v>11250</v>
      </c>
      <c r="E205" s="276" t="s">
        <v>11251</v>
      </c>
      <c r="F205" s="276" t="s">
        <v>7572</v>
      </c>
      <c r="G205" s="276" t="s">
        <v>11252</v>
      </c>
      <c r="H205" s="277">
        <v>2015</v>
      </c>
      <c r="I205" s="386">
        <v>41972</v>
      </c>
      <c r="J205" s="276"/>
      <c r="K205" s="276"/>
      <c r="L205" s="385" t="s">
        <v>11253</v>
      </c>
      <c r="M205" s="276"/>
    </row>
    <row r="206" spans="1:13">
      <c r="A206" s="277">
        <f>VLOOKUP(B206, 'PubMed 10.7.21 Results'!B:B, 1, FALSE)</f>
        <v>19515590</v>
      </c>
      <c r="B206" s="277">
        <v>19515590</v>
      </c>
      <c r="C206" s="276" t="s">
        <v>9852</v>
      </c>
      <c r="D206" s="276" t="s">
        <v>9853</v>
      </c>
      <c r="E206" s="276" t="s">
        <v>9854</v>
      </c>
      <c r="F206" s="276" t="s">
        <v>6791</v>
      </c>
      <c r="G206" s="276" t="s">
        <v>9855</v>
      </c>
      <c r="H206" s="277">
        <v>2009</v>
      </c>
      <c r="I206" s="386">
        <v>39976</v>
      </c>
      <c r="J206" s="276"/>
      <c r="K206" s="276"/>
      <c r="L206" s="385" t="s">
        <v>9856</v>
      </c>
      <c r="M206" s="276"/>
    </row>
    <row r="207" spans="1:13">
      <c r="A207" s="277">
        <f>VLOOKUP(B207, 'PubMed 10.7.21 Results'!B:B, 1, FALSE)</f>
        <v>30391446</v>
      </c>
      <c r="B207" s="277">
        <v>30391446</v>
      </c>
      <c r="C207" s="276" t="s">
        <v>13021</v>
      </c>
      <c r="D207" s="276" t="s">
        <v>13022</v>
      </c>
      <c r="E207" s="276" t="s">
        <v>13023</v>
      </c>
      <c r="F207" s="276" t="s">
        <v>7214</v>
      </c>
      <c r="G207" s="276" t="s">
        <v>13024</v>
      </c>
      <c r="H207" s="277">
        <v>2019</v>
      </c>
      <c r="I207" s="386">
        <v>43409</v>
      </c>
      <c r="J207" s="276"/>
      <c r="K207" s="276"/>
      <c r="L207" s="385" t="s">
        <v>13025</v>
      </c>
      <c r="M207" s="276"/>
    </row>
    <row r="208" spans="1:13">
      <c r="A208" s="277">
        <f>VLOOKUP(B208, 'PubMed 10.7.21 Results'!B:B, 1, FALSE)</f>
        <v>24456625</v>
      </c>
      <c r="B208" s="277">
        <v>24456625</v>
      </c>
      <c r="C208" s="276" t="s">
        <v>10954</v>
      </c>
      <c r="D208" s="276" t="s">
        <v>10955</v>
      </c>
      <c r="E208" s="276" t="s">
        <v>10956</v>
      </c>
      <c r="F208" s="276" t="s">
        <v>6539</v>
      </c>
      <c r="G208" s="276" t="s">
        <v>21</v>
      </c>
      <c r="H208" s="277">
        <v>2014</v>
      </c>
      <c r="I208" s="386">
        <v>41664</v>
      </c>
      <c r="J208" s="276"/>
      <c r="K208" s="276"/>
      <c r="L208" s="385" t="s">
        <v>10957</v>
      </c>
      <c r="M208" s="276"/>
    </row>
    <row r="209" spans="1:13">
      <c r="A209" s="277">
        <f>VLOOKUP(B209, 'PubMed 10.7.21 Results'!B:B, 1, FALSE)</f>
        <v>23188213</v>
      </c>
      <c r="B209" s="277">
        <v>23188213</v>
      </c>
      <c r="C209" s="276" t="s">
        <v>10660</v>
      </c>
      <c r="D209" s="276" t="s">
        <v>10661</v>
      </c>
      <c r="E209" s="276" t="s">
        <v>10662</v>
      </c>
      <c r="F209" s="276" t="s">
        <v>7494</v>
      </c>
      <c r="G209" s="276" t="s">
        <v>10663</v>
      </c>
      <c r="H209" s="277">
        <v>2013</v>
      </c>
      <c r="I209" s="386">
        <v>41242</v>
      </c>
      <c r="J209" s="276" t="s">
        <v>7495</v>
      </c>
      <c r="K209" s="276" t="s">
        <v>10664</v>
      </c>
      <c r="L209" s="385" t="s">
        <v>10665</v>
      </c>
      <c r="M209" s="276"/>
    </row>
    <row r="210" spans="1:13">
      <c r="A210" s="277">
        <f>VLOOKUP(B210, 'PubMed 10.7.21 Results'!B:B, 1, FALSE)</f>
        <v>19894368</v>
      </c>
      <c r="B210" s="277">
        <v>19894368</v>
      </c>
      <c r="C210" s="276" t="s">
        <v>9890</v>
      </c>
      <c r="D210" s="276" t="s">
        <v>9891</v>
      </c>
      <c r="E210" s="276" t="s">
        <v>9892</v>
      </c>
      <c r="F210" s="276" t="s">
        <v>7680</v>
      </c>
      <c r="G210" s="276" t="s">
        <v>9604</v>
      </c>
      <c r="H210" s="277">
        <v>2009</v>
      </c>
      <c r="I210" s="386">
        <v>40127</v>
      </c>
      <c r="J210" s="276"/>
      <c r="K210" s="276"/>
      <c r="L210" s="276"/>
      <c r="M210" s="276"/>
    </row>
    <row r="211" spans="1:13">
      <c r="A211" s="277">
        <f>VLOOKUP(B211, 'PubMed 10.7.21 Results'!B:B, 1, FALSE)</f>
        <v>32605578</v>
      </c>
      <c r="B211" s="277">
        <v>32605578</v>
      </c>
      <c r="C211" s="276" t="s">
        <v>13611</v>
      </c>
      <c r="D211" s="276" t="s">
        <v>13612</v>
      </c>
      <c r="E211" s="276" t="s">
        <v>13613</v>
      </c>
      <c r="F211" s="276" t="s">
        <v>6467</v>
      </c>
      <c r="G211" s="276" t="s">
        <v>9906</v>
      </c>
      <c r="H211" s="277">
        <v>2020</v>
      </c>
      <c r="I211" s="386">
        <v>44014</v>
      </c>
      <c r="J211" s="276" t="s">
        <v>6468</v>
      </c>
      <c r="K211" s="276"/>
      <c r="L211" s="385" t="s">
        <v>13614</v>
      </c>
      <c r="M211" s="276"/>
    </row>
    <row r="212" spans="1:13">
      <c r="A212" s="277">
        <f>VLOOKUP(B212, 'PubMed 10.7.21 Results'!B:B, 1, FALSE)</f>
        <v>28592581</v>
      </c>
      <c r="B212" s="277">
        <v>28592581</v>
      </c>
      <c r="C212" s="276" t="s">
        <v>12136</v>
      </c>
      <c r="D212" s="276" t="s">
        <v>12137</v>
      </c>
      <c r="E212" s="276" t="s">
        <v>12138</v>
      </c>
      <c r="F212" s="276" t="s">
        <v>7292</v>
      </c>
      <c r="G212" s="276" t="s">
        <v>11650</v>
      </c>
      <c r="H212" s="277">
        <v>2017</v>
      </c>
      <c r="I212" s="386">
        <v>42895</v>
      </c>
      <c r="J212" s="276" t="s">
        <v>7293</v>
      </c>
      <c r="K212" s="276"/>
      <c r="L212" s="385" t="s">
        <v>12139</v>
      </c>
      <c r="M212" s="276"/>
    </row>
    <row r="213" spans="1:13">
      <c r="A213" s="277">
        <f>VLOOKUP(B213, 'PubMed 10.7.21 Results'!B:B, 1, FALSE)</f>
        <v>26544615</v>
      </c>
      <c r="B213" s="277">
        <v>26544615</v>
      </c>
      <c r="C213" s="276" t="s">
        <v>11610</v>
      </c>
      <c r="D213" s="276" t="s">
        <v>11611</v>
      </c>
      <c r="E213" s="276" t="s">
        <v>11612</v>
      </c>
      <c r="F213" s="276" t="s">
        <v>7551</v>
      </c>
      <c r="G213" s="276" t="s">
        <v>8811</v>
      </c>
      <c r="H213" s="277">
        <v>2016</v>
      </c>
      <c r="I213" s="386">
        <v>42315</v>
      </c>
      <c r="J213" s="276" t="s">
        <v>7552</v>
      </c>
      <c r="K213" s="276" t="s">
        <v>11613</v>
      </c>
      <c r="L213" s="385" t="s">
        <v>11614</v>
      </c>
      <c r="M213" s="276"/>
    </row>
    <row r="214" spans="1:13">
      <c r="A214" s="277">
        <f>VLOOKUP(B214, 'PubMed 10.7.21 Results'!B:B, 1, FALSE)</f>
        <v>19370624</v>
      </c>
      <c r="B214" s="277">
        <v>19370624</v>
      </c>
      <c r="C214" s="276" t="s">
        <v>9756</v>
      </c>
      <c r="D214" s="276" t="s">
        <v>9757</v>
      </c>
      <c r="E214" s="276" t="s">
        <v>9758</v>
      </c>
      <c r="F214" s="276" t="s">
        <v>6966</v>
      </c>
      <c r="G214" s="276" t="s">
        <v>8857</v>
      </c>
      <c r="H214" s="277">
        <v>2009</v>
      </c>
      <c r="I214" s="386">
        <v>39920</v>
      </c>
      <c r="J214" s="276"/>
      <c r="K214" s="276"/>
      <c r="L214" s="385" t="s">
        <v>9759</v>
      </c>
      <c r="M214" s="276"/>
    </row>
    <row r="215" spans="1:13">
      <c r="A215" s="277">
        <f>VLOOKUP(B215, 'PubMed 10.7.21 Results'!B:B, 1, FALSE)</f>
        <v>27296693</v>
      </c>
      <c r="B215" s="277">
        <v>27296693</v>
      </c>
      <c r="C215" s="276" t="s">
        <v>11845</v>
      </c>
      <c r="D215" s="276" t="s">
        <v>11846</v>
      </c>
      <c r="E215" s="276" t="s">
        <v>11847</v>
      </c>
      <c r="F215" s="276" t="s">
        <v>7769</v>
      </c>
      <c r="G215" s="276" t="s">
        <v>10976</v>
      </c>
      <c r="H215" s="277">
        <v>2016</v>
      </c>
      <c r="I215" s="386">
        <v>42536</v>
      </c>
      <c r="J215" s="276"/>
      <c r="K215" s="276"/>
      <c r="L215" s="385" t="s">
        <v>11848</v>
      </c>
      <c r="M215" s="276"/>
    </row>
    <row r="216" spans="1:13">
      <c r="A216" s="277">
        <f>VLOOKUP(B216, 'PubMed 10.7.21 Results'!B:B, 1, FALSE)</f>
        <v>30191830</v>
      </c>
      <c r="B216" s="277">
        <v>30191830</v>
      </c>
      <c r="C216" s="276" t="s">
        <v>12708</v>
      </c>
      <c r="D216" s="276" t="s">
        <v>12709</v>
      </c>
      <c r="E216" s="276" t="s">
        <v>12710</v>
      </c>
      <c r="F216" s="276" t="s">
        <v>7428</v>
      </c>
      <c r="G216" s="276" t="s">
        <v>9420</v>
      </c>
      <c r="H216" s="277">
        <v>2018</v>
      </c>
      <c r="I216" s="386">
        <v>43351</v>
      </c>
      <c r="J216" s="276" t="s">
        <v>7429</v>
      </c>
      <c r="K216" s="276" t="s">
        <v>12711</v>
      </c>
      <c r="L216" s="385" t="s">
        <v>12712</v>
      </c>
      <c r="M216" s="276"/>
    </row>
    <row r="217" spans="1:13">
      <c r="A217" s="277">
        <f>VLOOKUP(B217, 'PubMed 10.7.21 Results'!B:B, 1, FALSE)</f>
        <v>12635507</v>
      </c>
      <c r="B217" s="277">
        <v>12635507</v>
      </c>
      <c r="C217" s="276" t="s">
        <v>8955</v>
      </c>
      <c r="D217" s="276" t="s">
        <v>8956</v>
      </c>
      <c r="E217" s="276" t="s">
        <v>8957</v>
      </c>
      <c r="F217" s="276" t="s">
        <v>6570</v>
      </c>
      <c r="G217" s="276" t="s">
        <v>8958</v>
      </c>
      <c r="H217" s="277">
        <v>2003</v>
      </c>
      <c r="I217" s="386">
        <v>37695</v>
      </c>
      <c r="J217" s="276"/>
      <c r="K217" s="276"/>
      <c r="L217" s="385" t="s">
        <v>8959</v>
      </c>
      <c r="M217" s="276"/>
    </row>
    <row r="218" spans="1:13">
      <c r="A218" s="277">
        <f>VLOOKUP(B218, 'PubMed 10.7.21 Results'!B:B, 1, FALSE)</f>
        <v>21316545</v>
      </c>
      <c r="B218" s="277">
        <v>21316545</v>
      </c>
      <c r="C218" s="276" t="s">
        <v>10045</v>
      </c>
      <c r="D218" s="276" t="s">
        <v>10046</v>
      </c>
      <c r="E218" s="276" t="s">
        <v>10047</v>
      </c>
      <c r="F218" s="276" t="s">
        <v>7732</v>
      </c>
      <c r="G218" s="276" t="s">
        <v>10048</v>
      </c>
      <c r="H218" s="277">
        <v>2010</v>
      </c>
      <c r="I218" s="386">
        <v>40589</v>
      </c>
      <c r="J218" s="276"/>
      <c r="K218" s="276"/>
      <c r="L218" s="385" t="s">
        <v>10049</v>
      </c>
      <c r="M218" s="276"/>
    </row>
    <row r="219" spans="1:13">
      <c r="A219" s="277">
        <f>VLOOKUP(B219, 'PubMed 10.7.21 Results'!B:B, 1, FALSE)</f>
        <v>28752410</v>
      </c>
      <c r="B219" s="277">
        <v>28752410</v>
      </c>
      <c r="C219" s="276" t="s">
        <v>18881</v>
      </c>
      <c r="D219" s="276" t="s">
        <v>12330</v>
      </c>
      <c r="E219" s="276" t="s">
        <v>12331</v>
      </c>
      <c r="F219" s="276" t="s">
        <v>7243</v>
      </c>
      <c r="G219" s="276" t="s">
        <v>12205</v>
      </c>
      <c r="H219" s="277">
        <v>2017</v>
      </c>
      <c r="I219" s="386">
        <v>42945</v>
      </c>
      <c r="J219" s="276" t="s">
        <v>7244</v>
      </c>
      <c r="K219" s="276" t="s">
        <v>12332</v>
      </c>
      <c r="L219" s="385" t="s">
        <v>12333</v>
      </c>
      <c r="M219" s="276"/>
    </row>
    <row r="220" spans="1:13">
      <c r="A220" s="277">
        <f>VLOOKUP(B220, 'PubMed 10.7.21 Results'!B:B, 1, FALSE)</f>
        <v>32788015</v>
      </c>
      <c r="B220" s="277">
        <v>32788015</v>
      </c>
      <c r="C220" s="276" t="s">
        <v>13654</v>
      </c>
      <c r="D220" s="276" t="s">
        <v>13655</v>
      </c>
      <c r="E220" s="276" t="s">
        <v>13656</v>
      </c>
      <c r="F220" s="276" t="s">
        <v>6847</v>
      </c>
      <c r="G220" s="276" t="s">
        <v>13657</v>
      </c>
      <c r="H220" s="277">
        <v>2020</v>
      </c>
      <c r="I220" s="386">
        <v>44057</v>
      </c>
      <c r="J220" s="276"/>
      <c r="K220" s="276"/>
      <c r="L220" s="385" t="s">
        <v>13658</v>
      </c>
      <c r="M220" s="276"/>
    </row>
    <row r="221" spans="1:13">
      <c r="A221" s="277">
        <f>VLOOKUP(B221, 'PubMed 10.7.21 Results'!B:B, 1, FALSE)</f>
        <v>26837471</v>
      </c>
      <c r="B221" s="277">
        <v>26837471</v>
      </c>
      <c r="C221" s="276" t="s">
        <v>11710</v>
      </c>
      <c r="D221" s="276" t="s">
        <v>11711</v>
      </c>
      <c r="E221" s="276" t="s">
        <v>11712</v>
      </c>
      <c r="F221" s="276" t="s">
        <v>8133</v>
      </c>
      <c r="G221" s="276" t="s">
        <v>11713</v>
      </c>
      <c r="H221" s="277">
        <v>2016</v>
      </c>
      <c r="I221" s="386">
        <v>42404</v>
      </c>
      <c r="J221" s="276" t="s">
        <v>8134</v>
      </c>
      <c r="K221" s="276"/>
      <c r="L221" s="385" t="s">
        <v>11714</v>
      </c>
      <c r="M221" s="276"/>
    </row>
    <row r="222" spans="1:13">
      <c r="A222" s="277">
        <f>VLOOKUP(B222, 'PubMed 10.7.21 Results'!B:B, 1, FALSE)</f>
        <v>29301585</v>
      </c>
      <c r="B222" s="277">
        <v>29301585</v>
      </c>
      <c r="C222" s="276" t="s">
        <v>12385</v>
      </c>
      <c r="D222" s="276" t="s">
        <v>12386</v>
      </c>
      <c r="E222" s="276" t="s">
        <v>12387</v>
      </c>
      <c r="F222" s="276" t="s">
        <v>7026</v>
      </c>
      <c r="G222" s="276" t="s">
        <v>9906</v>
      </c>
      <c r="H222" s="277">
        <v>2018</v>
      </c>
      <c r="I222" s="386">
        <v>43106</v>
      </c>
      <c r="J222" s="276" t="s">
        <v>7027</v>
      </c>
      <c r="K222" s="276"/>
      <c r="L222" s="385" t="s">
        <v>12388</v>
      </c>
      <c r="M222" s="276"/>
    </row>
    <row r="223" spans="1:13">
      <c r="A223" s="277">
        <f>VLOOKUP(B223, 'PubMed 10.7.21 Results'!B:B, 1, FALSE)</f>
        <v>25318353</v>
      </c>
      <c r="B223" s="277">
        <v>25318353</v>
      </c>
      <c r="C223" s="276" t="s">
        <v>11163</v>
      </c>
      <c r="D223" s="276" t="s">
        <v>11164</v>
      </c>
      <c r="E223" s="276" t="s">
        <v>11165</v>
      </c>
      <c r="F223" s="276" t="s">
        <v>8030</v>
      </c>
      <c r="G223" s="276" t="s">
        <v>11166</v>
      </c>
      <c r="H223" s="277">
        <v>2014</v>
      </c>
      <c r="I223" s="386">
        <v>41929</v>
      </c>
      <c r="J223" s="276" t="s">
        <v>8031</v>
      </c>
      <c r="K223" s="276"/>
      <c r="L223" s="385" t="s">
        <v>11167</v>
      </c>
      <c r="M223" s="276"/>
    </row>
    <row r="224" spans="1:13">
      <c r="A224" s="277">
        <f>VLOOKUP(B224, 'PubMed 10.7.21 Results'!B:B, 1, FALSE)</f>
        <v>24330348</v>
      </c>
      <c r="B224" s="277">
        <v>24330348</v>
      </c>
      <c r="C224" s="276" t="s">
        <v>10883</v>
      </c>
      <c r="D224" s="276" t="s">
        <v>10884</v>
      </c>
      <c r="E224" s="276" t="s">
        <v>10885</v>
      </c>
      <c r="F224" s="276" t="s">
        <v>7972</v>
      </c>
      <c r="G224" s="276" t="s">
        <v>8699</v>
      </c>
      <c r="H224" s="277">
        <v>2014</v>
      </c>
      <c r="I224" s="386">
        <v>41625</v>
      </c>
      <c r="J224" s="276"/>
      <c r="K224" s="276"/>
      <c r="L224" s="385" t="s">
        <v>10886</v>
      </c>
      <c r="M224" s="276"/>
    </row>
    <row r="225" spans="1:13">
      <c r="A225" s="277">
        <f>VLOOKUP(B225, 'PubMed 10.7.21 Results'!B:B, 1, FALSE)</f>
        <v>20078249</v>
      </c>
      <c r="B225" s="277">
        <v>20078249</v>
      </c>
      <c r="C225" s="276" t="s">
        <v>9973</v>
      </c>
      <c r="D225" s="276" t="s">
        <v>9974</v>
      </c>
      <c r="E225" s="276" t="s">
        <v>9975</v>
      </c>
      <c r="F225" s="276" t="s">
        <v>6542</v>
      </c>
      <c r="G225" s="276" t="s">
        <v>9976</v>
      </c>
      <c r="H225" s="277">
        <v>2010</v>
      </c>
      <c r="I225" s="386">
        <v>40197</v>
      </c>
      <c r="J225" s="276"/>
      <c r="K225" s="276"/>
      <c r="L225" s="385" t="s">
        <v>9977</v>
      </c>
      <c r="M225" s="276"/>
    </row>
    <row r="226" spans="1:13">
      <c r="A226" s="277">
        <f>VLOOKUP(B226, 'PubMed 10.7.21 Results'!B:B, 1, FALSE)</f>
        <v>20156911</v>
      </c>
      <c r="B226" s="277">
        <v>20156911</v>
      </c>
      <c r="C226" s="276" t="s">
        <v>9969</v>
      </c>
      <c r="D226" s="276" t="s">
        <v>9970</v>
      </c>
      <c r="E226" s="276" t="s">
        <v>9971</v>
      </c>
      <c r="F226" s="276" t="s">
        <v>6452</v>
      </c>
      <c r="G226" s="276" t="s">
        <v>8977</v>
      </c>
      <c r="H226" s="277">
        <v>2010</v>
      </c>
      <c r="I226" s="386">
        <v>40226</v>
      </c>
      <c r="J226" s="276" t="s">
        <v>6453</v>
      </c>
      <c r="K226" s="276"/>
      <c r="L226" s="385" t="s">
        <v>9972</v>
      </c>
      <c r="M226" s="276"/>
    </row>
    <row r="227" spans="1:13">
      <c r="A227" s="277">
        <f>VLOOKUP(B227, 'PubMed 10.7.21 Results'!B:B, 1, FALSE)</f>
        <v>30311743</v>
      </c>
      <c r="B227" s="277">
        <v>30311743</v>
      </c>
      <c r="C227" s="276" t="s">
        <v>12887</v>
      </c>
      <c r="D227" s="276" t="s">
        <v>12888</v>
      </c>
      <c r="E227" s="276" t="s">
        <v>12889</v>
      </c>
      <c r="F227" s="276" t="s">
        <v>6448</v>
      </c>
      <c r="G227" s="276" t="s">
        <v>10096</v>
      </c>
      <c r="H227" s="277">
        <v>2019</v>
      </c>
      <c r="I227" s="386">
        <v>43386</v>
      </c>
      <c r="J227" s="276" t="s">
        <v>6449</v>
      </c>
      <c r="K227" s="276"/>
      <c r="L227" s="385" t="s">
        <v>12890</v>
      </c>
      <c r="M227" s="276"/>
    </row>
    <row r="228" spans="1:13">
      <c r="A228" s="277">
        <f>VLOOKUP(B228, 'PubMed 10.7.21 Results'!B:B, 1, FALSE)</f>
        <v>29567461</v>
      </c>
      <c r="B228" s="277">
        <v>29567461</v>
      </c>
      <c r="C228" s="276" t="s">
        <v>12530</v>
      </c>
      <c r="D228" s="276" t="s">
        <v>12531</v>
      </c>
      <c r="E228" s="276" t="s">
        <v>12532</v>
      </c>
      <c r="F228" s="276" t="s">
        <v>440</v>
      </c>
      <c r="G228" s="276" t="s">
        <v>10314</v>
      </c>
      <c r="H228" s="277">
        <v>2018</v>
      </c>
      <c r="I228" s="386">
        <v>43183</v>
      </c>
      <c r="J228" s="276" t="s">
        <v>7341</v>
      </c>
      <c r="K228" s="276"/>
      <c r="L228" s="385" t="s">
        <v>12533</v>
      </c>
      <c r="M228" s="276"/>
    </row>
    <row r="229" spans="1:13">
      <c r="A229" s="277">
        <f>VLOOKUP(B229, 'PubMed 10.7.21 Results'!B:B, 1, FALSE)</f>
        <v>9566483</v>
      </c>
      <c r="B229" s="277">
        <v>9566483</v>
      </c>
      <c r="C229" s="276" t="s">
        <v>8604</v>
      </c>
      <c r="D229" s="276" t="s">
        <v>8605</v>
      </c>
      <c r="E229" s="276" t="s">
        <v>8606</v>
      </c>
      <c r="F229" s="276" t="s">
        <v>8072</v>
      </c>
      <c r="G229" s="276" t="s">
        <v>8607</v>
      </c>
      <c r="H229" s="277">
        <v>1998</v>
      </c>
      <c r="I229" s="386">
        <v>35920</v>
      </c>
      <c r="J229" s="276"/>
      <c r="K229" s="276"/>
      <c r="L229" s="385" t="s">
        <v>8608</v>
      </c>
      <c r="M229" s="276"/>
    </row>
    <row r="230" spans="1:13">
      <c r="A230" s="277">
        <f>VLOOKUP(B230, 'PubMed 10.7.21 Results'!B:B, 1, FALSE)</f>
        <v>26945846</v>
      </c>
      <c r="B230" s="277">
        <v>26945846</v>
      </c>
      <c r="C230" s="276" t="s">
        <v>11767</v>
      </c>
      <c r="D230" s="276" t="s">
        <v>11768</v>
      </c>
      <c r="E230" s="276" t="s">
        <v>11769</v>
      </c>
      <c r="F230" s="276" t="s">
        <v>7141</v>
      </c>
      <c r="G230" s="276" t="s">
        <v>9028</v>
      </c>
      <c r="H230" s="277">
        <v>2016</v>
      </c>
      <c r="I230" s="386">
        <v>42436</v>
      </c>
      <c r="J230" s="276"/>
      <c r="K230" s="276"/>
      <c r="L230" s="385" t="s">
        <v>11770</v>
      </c>
      <c r="M230" s="276"/>
    </row>
    <row r="231" spans="1:13">
      <c r="A231" s="277">
        <f>VLOOKUP(B231, 'PubMed 10.7.21 Results'!B:B, 1, FALSE)</f>
        <v>26413879</v>
      </c>
      <c r="B231" s="277">
        <v>26413879</v>
      </c>
      <c r="C231" s="276" t="s">
        <v>11546</v>
      </c>
      <c r="D231" s="276" t="s">
        <v>11547</v>
      </c>
      <c r="E231" s="276" t="s">
        <v>11548</v>
      </c>
      <c r="F231" s="276" t="s">
        <v>6895</v>
      </c>
      <c r="G231" s="276" t="s">
        <v>21</v>
      </c>
      <c r="H231" s="277">
        <v>2015</v>
      </c>
      <c r="I231" s="386">
        <v>42276</v>
      </c>
      <c r="J231" s="276"/>
      <c r="K231" s="276"/>
      <c r="L231" s="385" t="s">
        <v>11551</v>
      </c>
      <c r="M231" s="276"/>
    </row>
    <row r="232" spans="1:13">
      <c r="A232" s="277">
        <f>VLOOKUP(B232, 'PubMed 10.7.21 Results'!B:B, 1, FALSE)</f>
        <v>19738121</v>
      </c>
      <c r="B232" s="277">
        <v>19738121</v>
      </c>
      <c r="C232" s="276" t="s">
        <v>9879</v>
      </c>
      <c r="D232" s="276" t="s">
        <v>9880</v>
      </c>
      <c r="E232" s="276" t="s">
        <v>9881</v>
      </c>
      <c r="F232" s="276" t="s">
        <v>7251</v>
      </c>
      <c r="G232" s="276" t="s">
        <v>8547</v>
      </c>
      <c r="H232" s="277">
        <v>2009</v>
      </c>
      <c r="I232" s="386">
        <v>40066</v>
      </c>
      <c r="J232" s="276"/>
      <c r="K232" s="276"/>
      <c r="L232" s="385" t="s">
        <v>9882</v>
      </c>
      <c r="M232" s="276"/>
    </row>
    <row r="233" spans="1:13">
      <c r="A233" s="277">
        <f>VLOOKUP(B233, 'PubMed 10.7.21 Results'!B:B, 1, FALSE)</f>
        <v>9130921</v>
      </c>
      <c r="B233" s="277">
        <v>9130921</v>
      </c>
      <c r="C233" s="276" t="s">
        <v>8567</v>
      </c>
      <c r="D233" s="276" t="s">
        <v>8568</v>
      </c>
      <c r="E233" s="276" t="s">
        <v>8569</v>
      </c>
      <c r="F233" s="276" t="s">
        <v>7894</v>
      </c>
      <c r="G233" s="276" t="s">
        <v>8570</v>
      </c>
      <c r="H233" s="277">
        <v>1997</v>
      </c>
      <c r="I233" s="386">
        <v>35521</v>
      </c>
      <c r="J233" s="276"/>
      <c r="K233" s="276"/>
      <c r="L233" s="385" t="s">
        <v>8571</v>
      </c>
      <c r="M233" s="276"/>
    </row>
    <row r="234" spans="1:13">
      <c r="A234" s="277">
        <f>VLOOKUP(B234, 'PubMed 10.7.21 Results'!B:B, 1, FALSE)</f>
        <v>23418281</v>
      </c>
      <c r="B234" s="277">
        <v>23418281</v>
      </c>
      <c r="C234" s="276" t="s">
        <v>10678</v>
      </c>
      <c r="D234" s="276" t="s">
        <v>10679</v>
      </c>
      <c r="E234" s="276" t="s">
        <v>10680</v>
      </c>
      <c r="F234" s="276" t="s">
        <v>7004</v>
      </c>
      <c r="G234" s="276" t="s">
        <v>8977</v>
      </c>
      <c r="H234" s="277">
        <v>2013</v>
      </c>
      <c r="I234" s="386">
        <v>41324</v>
      </c>
      <c r="J234" s="276" t="s">
        <v>7005</v>
      </c>
      <c r="K234" s="276"/>
      <c r="L234" s="385" t="s">
        <v>10681</v>
      </c>
      <c r="M234" s="276"/>
    </row>
    <row r="235" spans="1:13">
      <c r="A235" s="277">
        <f>VLOOKUP(B235, 'PubMed 10.7.21 Results'!B:B, 1, FALSE)</f>
        <v>16625647</v>
      </c>
      <c r="B235" s="277">
        <v>16625647</v>
      </c>
      <c r="C235" s="276" t="s">
        <v>9311</v>
      </c>
      <c r="D235" s="276" t="s">
        <v>9312</v>
      </c>
      <c r="E235" s="276" t="s">
        <v>9313</v>
      </c>
      <c r="F235" s="276" t="s">
        <v>5155</v>
      </c>
      <c r="G235" s="276" t="s">
        <v>8857</v>
      </c>
      <c r="H235" s="277">
        <v>2006</v>
      </c>
      <c r="I235" s="386">
        <v>38828</v>
      </c>
      <c r="J235" s="276" t="s">
        <v>6982</v>
      </c>
      <c r="K235" s="276"/>
      <c r="L235" s="385" t="s">
        <v>9314</v>
      </c>
      <c r="M235" s="276"/>
    </row>
    <row r="236" spans="1:13">
      <c r="A236" s="277">
        <f>VLOOKUP(B236, 'PubMed 10.7.21 Results'!B:B, 1, FALSE)</f>
        <v>19440988</v>
      </c>
      <c r="B236" s="277">
        <v>19440988</v>
      </c>
      <c r="C236" s="276" t="s">
        <v>9725</v>
      </c>
      <c r="D236" s="276" t="s">
        <v>9726</v>
      </c>
      <c r="E236" s="276" t="s">
        <v>9727</v>
      </c>
      <c r="F236" s="276" t="s">
        <v>6832</v>
      </c>
      <c r="G236" s="276" t="s">
        <v>9182</v>
      </c>
      <c r="H236" s="277">
        <v>2009</v>
      </c>
      <c r="I236" s="386">
        <v>39948</v>
      </c>
      <c r="J236" s="276"/>
      <c r="K236" s="276"/>
      <c r="L236" s="276"/>
      <c r="M236" s="276"/>
    </row>
    <row r="237" spans="1:13">
      <c r="A237" s="277">
        <f>VLOOKUP(B237, 'PubMed 10.7.21 Results'!B:B, 1, FALSE)</f>
        <v>28333405</v>
      </c>
      <c r="B237" s="277">
        <v>28333405</v>
      </c>
      <c r="C237" s="276" t="s">
        <v>12109</v>
      </c>
      <c r="D237" s="276" t="s">
        <v>12110</v>
      </c>
      <c r="E237" s="276" t="s">
        <v>12111</v>
      </c>
      <c r="F237" s="276" t="s">
        <v>6950</v>
      </c>
      <c r="G237" s="276" t="s">
        <v>11215</v>
      </c>
      <c r="H237" s="277">
        <v>2017</v>
      </c>
      <c r="I237" s="386">
        <v>42818</v>
      </c>
      <c r="J237" s="276"/>
      <c r="K237" s="276"/>
      <c r="L237" s="385" t="s">
        <v>12112</v>
      </c>
      <c r="M237" s="276"/>
    </row>
    <row r="238" spans="1:13">
      <c r="A238" s="277">
        <f>VLOOKUP(B238, 'PubMed 10.7.21 Results'!B:B, 1, FALSE)</f>
        <v>24244339</v>
      </c>
      <c r="B238" s="277">
        <v>24244339</v>
      </c>
      <c r="C238" s="276" t="s">
        <v>10857</v>
      </c>
      <c r="D238" s="276" t="s">
        <v>10858</v>
      </c>
      <c r="E238" s="276" t="s">
        <v>10859</v>
      </c>
      <c r="F238" s="276" t="s">
        <v>7571</v>
      </c>
      <c r="G238" s="276" t="s">
        <v>10379</v>
      </c>
      <c r="H238" s="277">
        <v>2013</v>
      </c>
      <c r="I238" s="386">
        <v>41597</v>
      </c>
      <c r="J238" s="276" t="s">
        <v>5880</v>
      </c>
      <c r="K238" s="276"/>
      <c r="L238" s="385" t="s">
        <v>10860</v>
      </c>
      <c r="M238" s="276"/>
    </row>
    <row r="239" spans="1:13">
      <c r="A239" s="277">
        <f>VLOOKUP(B239, 'PubMed 10.7.21 Results'!B:B, 1, FALSE)</f>
        <v>27824918</v>
      </c>
      <c r="B239" s="277">
        <v>27824918</v>
      </c>
      <c r="C239" s="276" t="s">
        <v>11884</v>
      </c>
      <c r="D239" s="276" t="s">
        <v>11885</v>
      </c>
      <c r="E239" s="276" t="s">
        <v>11886</v>
      </c>
      <c r="F239" s="276" t="s">
        <v>8041</v>
      </c>
      <c r="G239" s="276" t="s">
        <v>10379</v>
      </c>
      <c r="H239" s="277">
        <v>2016</v>
      </c>
      <c r="I239" s="386">
        <v>42683</v>
      </c>
      <c r="J239" s="276" t="s">
        <v>8043</v>
      </c>
      <c r="K239" s="276"/>
      <c r="L239" s="385" t="s">
        <v>11887</v>
      </c>
      <c r="M239" s="276"/>
    </row>
    <row r="240" spans="1:13">
      <c r="A240" s="277">
        <f>VLOOKUP(B240, 'PubMed 10.7.21 Results'!B:B, 1, FALSE)</f>
        <v>22490340</v>
      </c>
      <c r="B240" s="277">
        <v>22490340</v>
      </c>
      <c r="C240" s="276" t="s">
        <v>10621</v>
      </c>
      <c r="D240" s="276" t="s">
        <v>10622</v>
      </c>
      <c r="E240" s="276" t="s">
        <v>10623</v>
      </c>
      <c r="F240" s="276" t="s">
        <v>6513</v>
      </c>
      <c r="G240" s="276" t="s">
        <v>10624</v>
      </c>
      <c r="H240" s="277">
        <v>2013</v>
      </c>
      <c r="I240" s="386">
        <v>41011</v>
      </c>
      <c r="J240" s="276"/>
      <c r="K240" s="276"/>
      <c r="L240" s="385" t="s">
        <v>10625</v>
      </c>
      <c r="M240" s="276"/>
    </row>
    <row r="241" spans="1:13">
      <c r="A241" s="277">
        <f>VLOOKUP(B241, 'PubMed 10.7.21 Results'!B:B, 1, FALSE)</f>
        <v>26511959</v>
      </c>
      <c r="B241" s="277">
        <v>26511959</v>
      </c>
      <c r="C241" s="276" t="s">
        <v>11624</v>
      </c>
      <c r="D241" s="276" t="s">
        <v>11625</v>
      </c>
      <c r="E241" s="276" t="s">
        <v>11626</v>
      </c>
      <c r="F241" s="276" t="s">
        <v>7566</v>
      </c>
      <c r="G241" s="276" t="s">
        <v>10976</v>
      </c>
      <c r="H241" s="277">
        <v>2016</v>
      </c>
      <c r="I241" s="386">
        <v>42307</v>
      </c>
      <c r="J241" s="276" t="s">
        <v>7567</v>
      </c>
      <c r="K241" s="276" t="s">
        <v>11627</v>
      </c>
      <c r="L241" s="385" t="s">
        <v>11628</v>
      </c>
      <c r="M241" s="276"/>
    </row>
    <row r="242" spans="1:13">
      <c r="A242" s="277">
        <f>VLOOKUP(B242, 'PubMed 10.7.21 Results'!B:B, 1, FALSE)</f>
        <v>19135496</v>
      </c>
      <c r="B242" s="277">
        <v>19135496</v>
      </c>
      <c r="C242" s="276" t="s">
        <v>9712</v>
      </c>
      <c r="D242" s="276" t="s">
        <v>9713</v>
      </c>
      <c r="E242" s="276" t="s">
        <v>9714</v>
      </c>
      <c r="F242" s="276" t="s">
        <v>7235</v>
      </c>
      <c r="G242" s="276" t="s">
        <v>21</v>
      </c>
      <c r="H242" s="277">
        <v>2009</v>
      </c>
      <c r="I242" s="386">
        <v>39826</v>
      </c>
      <c r="J242" s="276"/>
      <c r="K242" s="276"/>
      <c r="L242" s="385" t="s">
        <v>9715</v>
      </c>
      <c r="M242" s="276"/>
    </row>
    <row r="243" spans="1:13">
      <c r="A243" s="277">
        <f>VLOOKUP(B243, 'PubMed 10.7.21 Results'!B:B, 1, FALSE)</f>
        <v>16437501</v>
      </c>
      <c r="B243" s="277">
        <v>16437501</v>
      </c>
      <c r="C243" s="276" t="s">
        <v>9267</v>
      </c>
      <c r="D243" s="276" t="s">
        <v>9268</v>
      </c>
      <c r="E243" s="276" t="s">
        <v>9269</v>
      </c>
      <c r="F243" s="276" t="s">
        <v>7286</v>
      </c>
      <c r="G243" s="276" t="s">
        <v>8857</v>
      </c>
      <c r="H243" s="277">
        <v>2006</v>
      </c>
      <c r="I243" s="386">
        <v>38744</v>
      </c>
      <c r="J243" s="276"/>
      <c r="K243" s="276"/>
      <c r="L243" s="385" t="s">
        <v>9270</v>
      </c>
      <c r="M243" s="276"/>
    </row>
    <row r="244" spans="1:13">
      <c r="A244" s="277">
        <f>VLOOKUP(B244, 'PubMed 10.7.21 Results'!B:B, 1, FALSE)</f>
        <v>15134469</v>
      </c>
      <c r="B244" s="277">
        <v>15134469</v>
      </c>
      <c r="C244" s="276" t="s">
        <v>9051</v>
      </c>
      <c r="D244" s="276" t="s">
        <v>9052</v>
      </c>
      <c r="E244" s="276" t="s">
        <v>9053</v>
      </c>
      <c r="F244" s="276" t="s">
        <v>6450</v>
      </c>
      <c r="G244" s="276" t="s">
        <v>9054</v>
      </c>
      <c r="H244" s="277">
        <v>2004</v>
      </c>
      <c r="I244" s="386">
        <v>38119</v>
      </c>
      <c r="J244" s="276"/>
      <c r="K244" s="276"/>
      <c r="L244" s="385" t="s">
        <v>9055</v>
      </c>
      <c r="M244" s="276"/>
    </row>
    <row r="245" spans="1:13">
      <c r="A245" s="277">
        <f>VLOOKUP(B245, 'PubMed 10.7.21 Results'!B:B, 1, FALSE)</f>
        <v>21036294</v>
      </c>
      <c r="B245" s="277">
        <v>21036294</v>
      </c>
      <c r="C245" s="276" t="s">
        <v>10070</v>
      </c>
      <c r="D245" s="276" t="s">
        <v>10071</v>
      </c>
      <c r="E245" s="276" t="s">
        <v>10072</v>
      </c>
      <c r="F245" s="276" t="s">
        <v>6602</v>
      </c>
      <c r="G245" s="276" t="s">
        <v>10073</v>
      </c>
      <c r="H245" s="277">
        <v>2010</v>
      </c>
      <c r="I245" s="386">
        <v>40484</v>
      </c>
      <c r="J245" s="276"/>
      <c r="K245" s="276"/>
      <c r="L245" s="385" t="s">
        <v>10074</v>
      </c>
      <c r="M245" s="276"/>
    </row>
    <row r="246" spans="1:13">
      <c r="A246" s="277">
        <f>VLOOKUP(B246, 'PubMed 10.7.21 Results'!B:B, 1, FALSE)</f>
        <v>30243964</v>
      </c>
      <c r="B246" s="277">
        <v>30243964</v>
      </c>
      <c r="C246" s="276" t="s">
        <v>13101</v>
      </c>
      <c r="D246" s="276" t="s">
        <v>13102</v>
      </c>
      <c r="E246" s="276" t="s">
        <v>13103</v>
      </c>
      <c r="F246" s="276" t="s">
        <v>7254</v>
      </c>
      <c r="G246" s="276" t="s">
        <v>11043</v>
      </c>
      <c r="H246" s="277">
        <v>2019</v>
      </c>
      <c r="I246" s="386">
        <v>43367</v>
      </c>
      <c r="J246" s="276"/>
      <c r="K246" s="276"/>
      <c r="L246" s="385" t="s">
        <v>13104</v>
      </c>
      <c r="M246" s="276"/>
    </row>
    <row r="247" spans="1:13">
      <c r="A247" s="277">
        <f>VLOOKUP(B247, 'PubMed 10.7.21 Results'!B:B, 1, FALSE)</f>
        <v>10958210</v>
      </c>
      <c r="B247" s="277">
        <v>10958210</v>
      </c>
      <c r="C247" s="276" t="s">
        <v>8741</v>
      </c>
      <c r="D247" s="276" t="s">
        <v>8742</v>
      </c>
      <c r="E247" s="276" t="s">
        <v>8743</v>
      </c>
      <c r="F247" s="276" t="s">
        <v>7580</v>
      </c>
      <c r="G247" s="276" t="s">
        <v>8744</v>
      </c>
      <c r="H247" s="277">
        <v>2000</v>
      </c>
      <c r="I247" s="386">
        <v>36763</v>
      </c>
      <c r="J247" s="276"/>
      <c r="K247" s="276"/>
      <c r="L247" s="385" t="s">
        <v>8745</v>
      </c>
      <c r="M247" s="276"/>
    </row>
    <row r="248" spans="1:13">
      <c r="A248" s="277">
        <f>VLOOKUP(B248, 'PubMed 10.7.21 Results'!B:B, 1, FALSE)</f>
        <v>27884476</v>
      </c>
      <c r="B248" s="277">
        <v>27884476</v>
      </c>
      <c r="C248" s="276" t="s">
        <v>11942</v>
      </c>
      <c r="D248" s="276" t="s">
        <v>11943</v>
      </c>
      <c r="E248" s="276" t="s">
        <v>11944</v>
      </c>
      <c r="F248" s="276" t="s">
        <v>6691</v>
      </c>
      <c r="G248" s="276" t="s">
        <v>21</v>
      </c>
      <c r="H248" s="277">
        <v>2017</v>
      </c>
      <c r="I248" s="386">
        <v>42700</v>
      </c>
      <c r="J248" s="276"/>
      <c r="K248" s="276"/>
      <c r="L248" s="385" t="s">
        <v>11945</v>
      </c>
      <c r="M248" s="276"/>
    </row>
    <row r="249" spans="1:13">
      <c r="A249" s="277">
        <f>VLOOKUP(B249, 'PubMed 10.7.21 Results'!B:B, 1, FALSE)</f>
        <v>26252852</v>
      </c>
      <c r="B249" s="277">
        <v>26252852</v>
      </c>
      <c r="C249" s="276" t="s">
        <v>11475</v>
      </c>
      <c r="D249" s="276" t="s">
        <v>11476</v>
      </c>
      <c r="E249" s="276" t="s">
        <v>11477</v>
      </c>
      <c r="F249" s="276" t="s">
        <v>7314</v>
      </c>
      <c r="G249" s="276" t="s">
        <v>9124</v>
      </c>
      <c r="H249" s="277">
        <v>2015</v>
      </c>
      <c r="I249" s="386">
        <v>42224</v>
      </c>
      <c r="J249" s="276"/>
      <c r="K249" s="276"/>
      <c r="L249" s="385" t="s">
        <v>11478</v>
      </c>
      <c r="M249" s="276"/>
    </row>
    <row r="250" spans="1:13">
      <c r="A250" s="277">
        <f>VLOOKUP(B250, 'PubMed 10.7.21 Results'!B:B, 1, FALSE)</f>
        <v>22336839</v>
      </c>
      <c r="B250" s="277">
        <v>22336839</v>
      </c>
      <c r="C250" s="276" t="s">
        <v>10402</v>
      </c>
      <c r="D250" s="276" t="s">
        <v>10403</v>
      </c>
      <c r="E250" s="276" t="s">
        <v>10404</v>
      </c>
      <c r="F250" s="276" t="s">
        <v>6571</v>
      </c>
      <c r="G250" s="276" t="s">
        <v>8857</v>
      </c>
      <c r="H250" s="277">
        <v>2012</v>
      </c>
      <c r="I250" s="386">
        <v>40956</v>
      </c>
      <c r="J250" s="276"/>
      <c r="K250" s="276"/>
      <c r="L250" s="385" t="s">
        <v>10405</v>
      </c>
      <c r="M250" s="276"/>
    </row>
    <row r="251" spans="1:13">
      <c r="A251" s="277">
        <f>VLOOKUP(B251, 'PubMed 10.7.21 Results'!B:B, 1, FALSE)</f>
        <v>28322440</v>
      </c>
      <c r="B251" s="277">
        <v>28322440</v>
      </c>
      <c r="C251" s="276" t="s">
        <v>12044</v>
      </c>
      <c r="D251" s="276" t="s">
        <v>12045</v>
      </c>
      <c r="E251" s="276" t="s">
        <v>12046</v>
      </c>
      <c r="F251" s="276" t="s">
        <v>7969</v>
      </c>
      <c r="G251" s="276" t="s">
        <v>8857</v>
      </c>
      <c r="H251" s="277">
        <v>2017</v>
      </c>
      <c r="I251" s="386">
        <v>42816</v>
      </c>
      <c r="J251" s="276" t="s">
        <v>7970</v>
      </c>
      <c r="K251" s="276"/>
      <c r="L251" s="385" t="s">
        <v>12047</v>
      </c>
      <c r="M251" s="276"/>
    </row>
    <row r="252" spans="1:13">
      <c r="A252" s="277">
        <f>VLOOKUP(B252, 'PubMed 10.7.21 Results'!B:B, 1, FALSE)</f>
        <v>24127238</v>
      </c>
      <c r="B252" s="277">
        <v>24127238</v>
      </c>
      <c r="C252" s="276" t="s">
        <v>10967</v>
      </c>
      <c r="D252" s="276" t="s">
        <v>10968</v>
      </c>
      <c r="E252" s="276" t="s">
        <v>10969</v>
      </c>
      <c r="F252" s="276" t="s">
        <v>7876</v>
      </c>
      <c r="G252" s="276" t="s">
        <v>10970</v>
      </c>
      <c r="H252" s="277">
        <v>2014</v>
      </c>
      <c r="I252" s="386">
        <v>41563</v>
      </c>
      <c r="J252" s="276" t="s">
        <v>7877</v>
      </c>
      <c r="K252" s="276" t="s">
        <v>10971</v>
      </c>
      <c r="L252" s="385" t="s">
        <v>10972</v>
      </c>
      <c r="M252" s="276"/>
    </row>
    <row r="253" spans="1:13">
      <c r="A253" s="277">
        <f>VLOOKUP(B253, 'PubMed 10.7.21 Results'!B:B, 1, FALSE)</f>
        <v>27866765</v>
      </c>
      <c r="B253" s="277">
        <v>27866765</v>
      </c>
      <c r="C253" s="276" t="s">
        <v>11946</v>
      </c>
      <c r="D253" s="276" t="s">
        <v>11947</v>
      </c>
      <c r="E253" s="276" t="s">
        <v>11948</v>
      </c>
      <c r="F253" s="276" t="s">
        <v>6707</v>
      </c>
      <c r="G253" s="276" t="s">
        <v>21</v>
      </c>
      <c r="H253" s="277">
        <v>2017</v>
      </c>
      <c r="I253" s="386">
        <v>42696</v>
      </c>
      <c r="J253" s="276"/>
      <c r="K253" s="276"/>
      <c r="L253" s="385" t="s">
        <v>11949</v>
      </c>
      <c r="M253" s="276"/>
    </row>
    <row r="254" spans="1:13">
      <c r="A254" s="277">
        <f>VLOOKUP(B254, 'PubMed 10.7.21 Results'!B:B, 1, FALSE)</f>
        <v>20028569</v>
      </c>
      <c r="B254" s="277">
        <v>20028569</v>
      </c>
      <c r="C254" s="276" t="s">
        <v>9893</v>
      </c>
      <c r="D254" s="276" t="s">
        <v>9894</v>
      </c>
      <c r="E254" s="276" t="s">
        <v>9895</v>
      </c>
      <c r="F254" s="276" t="s">
        <v>6636</v>
      </c>
      <c r="G254" s="276" t="s">
        <v>9896</v>
      </c>
      <c r="H254" s="277">
        <v>2009</v>
      </c>
      <c r="I254" s="386">
        <v>40171</v>
      </c>
      <c r="J254" s="276" t="s">
        <v>6637</v>
      </c>
      <c r="K254" s="276" t="s">
        <v>9897</v>
      </c>
      <c r="L254" s="385" t="s">
        <v>9898</v>
      </c>
      <c r="M254" s="276"/>
    </row>
    <row r="255" spans="1:13">
      <c r="A255" s="277">
        <f>VLOOKUP(B255, 'PubMed 10.7.21 Results'!B:B, 1, FALSE)</f>
        <v>27622299</v>
      </c>
      <c r="B255" s="277">
        <v>27622299</v>
      </c>
      <c r="C255" s="276" t="s">
        <v>11866</v>
      </c>
      <c r="D255" s="276" t="s">
        <v>11867</v>
      </c>
      <c r="E255" s="276" t="s">
        <v>11868</v>
      </c>
      <c r="F255" s="276" t="s">
        <v>7850</v>
      </c>
      <c r="G255" s="276" t="s">
        <v>21</v>
      </c>
      <c r="H255" s="277">
        <v>2016</v>
      </c>
      <c r="I255" s="386">
        <v>42627</v>
      </c>
      <c r="J255" s="276" t="s">
        <v>7851</v>
      </c>
      <c r="K255" s="276"/>
      <c r="L255" s="385" t="s">
        <v>11869</v>
      </c>
      <c r="M255" s="276"/>
    </row>
    <row r="256" spans="1:13">
      <c r="A256" s="277">
        <f>VLOOKUP(B256, 'PubMed 10.7.21 Results'!B:B, 1, FALSE)</f>
        <v>19341608</v>
      </c>
      <c r="B256" s="277">
        <v>19341608</v>
      </c>
      <c r="C256" s="276" t="s">
        <v>9752</v>
      </c>
      <c r="D256" s="276" t="s">
        <v>9753</v>
      </c>
      <c r="E256" s="276" t="s">
        <v>9754</v>
      </c>
      <c r="F256" s="276" t="s">
        <v>6566</v>
      </c>
      <c r="G256" s="276" t="s">
        <v>9755</v>
      </c>
      <c r="H256" s="277">
        <v>2009</v>
      </c>
      <c r="I256" s="386">
        <v>39907</v>
      </c>
      <c r="J256" s="276"/>
      <c r="K256" s="276"/>
      <c r="L256" s="276"/>
      <c r="M256" s="276"/>
    </row>
    <row r="257" spans="1:13">
      <c r="A257" s="277">
        <f>VLOOKUP(B257, 'PubMed 10.7.21 Results'!B:B, 1, FALSE)</f>
        <v>26424674</v>
      </c>
      <c r="B257" s="277">
        <v>26424674</v>
      </c>
      <c r="C257" s="276" t="s">
        <v>11348</v>
      </c>
      <c r="D257" s="276" t="s">
        <v>11349</v>
      </c>
      <c r="E257" s="276" t="s">
        <v>11350</v>
      </c>
      <c r="F257" s="276" t="s">
        <v>7881</v>
      </c>
      <c r="G257" s="276" t="s">
        <v>11351</v>
      </c>
      <c r="H257" s="277">
        <v>2015</v>
      </c>
      <c r="I257" s="386">
        <v>42279</v>
      </c>
      <c r="J257" s="276"/>
      <c r="K257" s="276"/>
      <c r="L257" s="385" t="s">
        <v>11352</v>
      </c>
      <c r="M257" s="276"/>
    </row>
    <row r="258" spans="1:13">
      <c r="A258" s="277">
        <f>VLOOKUP(B258, 'PubMed 10.7.21 Results'!B:B, 1, FALSE)</f>
        <v>19329911</v>
      </c>
      <c r="B258" s="277">
        <v>19329911</v>
      </c>
      <c r="C258" s="276" t="s">
        <v>9748</v>
      </c>
      <c r="D258" s="276" t="s">
        <v>9749</v>
      </c>
      <c r="E258" s="276" t="s">
        <v>9750</v>
      </c>
      <c r="F258" s="276" t="s">
        <v>7997</v>
      </c>
      <c r="G258" s="276" t="s">
        <v>9751</v>
      </c>
      <c r="H258" s="277">
        <v>2009</v>
      </c>
      <c r="I258" s="386">
        <v>39903</v>
      </c>
      <c r="J258" s="276"/>
      <c r="K258" s="276"/>
      <c r="L258" s="276"/>
      <c r="M258" s="276"/>
    </row>
    <row r="259" spans="1:13">
      <c r="A259" s="277">
        <f>VLOOKUP(B259, 'PubMed 10.7.21 Results'!B:B, 1, FALSE)</f>
        <v>23642326</v>
      </c>
      <c r="B259" s="277">
        <v>23642326</v>
      </c>
      <c r="C259" s="276" t="s">
        <v>10733</v>
      </c>
      <c r="D259" s="276" t="s">
        <v>10734</v>
      </c>
      <c r="E259" s="276" t="s">
        <v>10735</v>
      </c>
      <c r="F259" s="276" t="s">
        <v>7941</v>
      </c>
      <c r="G259" s="276" t="s">
        <v>10731</v>
      </c>
      <c r="H259" s="277">
        <v>2013</v>
      </c>
      <c r="I259" s="386">
        <v>41401</v>
      </c>
      <c r="J259" s="276"/>
      <c r="K259" s="276"/>
      <c r="L259" s="385" t="s">
        <v>10736</v>
      </c>
      <c r="M259" s="276"/>
    </row>
    <row r="260" spans="1:13">
      <c r="A260" s="277">
        <f>VLOOKUP(B260, 'PubMed 10.7.21 Results'!B:B, 1, FALSE)</f>
        <v>22366350</v>
      </c>
      <c r="B260" s="277">
        <v>22366350</v>
      </c>
      <c r="C260" s="276" t="s">
        <v>10432</v>
      </c>
      <c r="D260" s="276" t="s">
        <v>10433</v>
      </c>
      <c r="E260" s="276" t="s">
        <v>10434</v>
      </c>
      <c r="F260" s="276" t="s">
        <v>7924</v>
      </c>
      <c r="G260" s="276" t="s">
        <v>10314</v>
      </c>
      <c r="H260" s="277">
        <v>2012</v>
      </c>
      <c r="I260" s="386">
        <v>40967</v>
      </c>
      <c r="J260" s="276" t="s">
        <v>7925</v>
      </c>
      <c r="K260" s="276" t="s">
        <v>10435</v>
      </c>
      <c r="L260" s="385" t="s">
        <v>10436</v>
      </c>
      <c r="M260" s="276"/>
    </row>
    <row r="261" spans="1:13">
      <c r="A261" s="277">
        <f>VLOOKUP(B261, 'PubMed 10.7.21 Results'!B:B, 1, FALSE)</f>
        <v>28906284</v>
      </c>
      <c r="B261" s="277">
        <v>28906284</v>
      </c>
      <c r="C261" s="276" t="s">
        <v>12334</v>
      </c>
      <c r="D261" s="276" t="s">
        <v>12335</v>
      </c>
      <c r="E261" s="276" t="s">
        <v>12336</v>
      </c>
      <c r="F261" s="276" t="s">
        <v>6787</v>
      </c>
      <c r="G261" s="276" t="s">
        <v>8504</v>
      </c>
      <c r="H261" s="277">
        <v>2017</v>
      </c>
      <c r="I261" s="386">
        <v>42993</v>
      </c>
      <c r="J261" s="276"/>
      <c r="K261" s="276"/>
      <c r="L261" s="385" t="s">
        <v>12337</v>
      </c>
      <c r="M261" s="276"/>
    </row>
    <row r="262" spans="1:13">
      <c r="A262" s="277">
        <f>VLOOKUP(B262, 'PubMed 10.7.21 Results'!B:B, 1, FALSE)</f>
        <v>29183280</v>
      </c>
      <c r="B262" s="277">
        <v>29183280</v>
      </c>
      <c r="C262" s="276" t="s">
        <v>12325</v>
      </c>
      <c r="D262" s="276" t="s">
        <v>12326</v>
      </c>
      <c r="E262" s="276" t="s">
        <v>12327</v>
      </c>
      <c r="F262" s="276" t="s">
        <v>6400</v>
      </c>
      <c r="G262" s="276" t="s">
        <v>9595</v>
      </c>
      <c r="H262" s="277">
        <v>2017</v>
      </c>
      <c r="I262" s="386">
        <v>43069</v>
      </c>
      <c r="J262" s="276" t="s">
        <v>6401</v>
      </c>
      <c r="K262" s="276"/>
      <c r="L262" s="385" t="s">
        <v>12328</v>
      </c>
      <c r="M262" s="276"/>
    </row>
    <row r="263" spans="1:13">
      <c r="A263" s="277">
        <f>VLOOKUP(B263, 'PubMed 10.7.21 Results'!B:B, 1, FALSE)</f>
        <v>25510394</v>
      </c>
      <c r="B263" s="277">
        <v>25510394</v>
      </c>
      <c r="C263" s="276" t="s">
        <v>11331</v>
      </c>
      <c r="D263" s="276" t="s">
        <v>11332</v>
      </c>
      <c r="E263" s="276" t="s">
        <v>11333</v>
      </c>
      <c r="F263" s="276" t="s">
        <v>6805</v>
      </c>
      <c r="G263" s="276" t="s">
        <v>11334</v>
      </c>
      <c r="H263" s="277">
        <v>2015</v>
      </c>
      <c r="I263" s="386">
        <v>41990</v>
      </c>
      <c r="J263" s="276"/>
      <c r="K263" s="276"/>
      <c r="L263" s="385" t="s">
        <v>11335</v>
      </c>
      <c r="M263" s="276"/>
    </row>
    <row r="264" spans="1:13">
      <c r="A264" s="277">
        <f>VLOOKUP(B264, 'PubMed 10.7.21 Results'!B:B, 1, FALSE)</f>
        <v>16855998</v>
      </c>
      <c r="B264" s="277">
        <v>16855998</v>
      </c>
      <c r="C264" s="276" t="s">
        <v>9327</v>
      </c>
      <c r="D264" s="276" t="s">
        <v>9328</v>
      </c>
      <c r="E264" s="276" t="s">
        <v>9329</v>
      </c>
      <c r="F264" s="276" t="s">
        <v>7300</v>
      </c>
      <c r="G264" s="276" t="s">
        <v>8857</v>
      </c>
      <c r="H264" s="277">
        <v>2006</v>
      </c>
      <c r="I264" s="386">
        <v>38919</v>
      </c>
      <c r="J264" s="276"/>
      <c r="K264" s="276"/>
      <c r="L264" s="385" t="s">
        <v>9330</v>
      </c>
      <c r="M264" s="276"/>
    </row>
    <row r="265" spans="1:13">
      <c r="A265" s="277">
        <f>VLOOKUP(B265, 'PubMed 10.7.21 Results'!B:B, 1, FALSE)</f>
        <v>27384849</v>
      </c>
      <c r="B265" s="277">
        <v>27384849</v>
      </c>
      <c r="C265" s="276" t="s">
        <v>11786</v>
      </c>
      <c r="D265" s="276" t="s">
        <v>11787</v>
      </c>
      <c r="E265" s="276" t="s">
        <v>11788</v>
      </c>
      <c r="F265" s="276" t="s">
        <v>7536</v>
      </c>
      <c r="G265" s="276" t="s">
        <v>11789</v>
      </c>
      <c r="H265" s="277">
        <v>2016</v>
      </c>
      <c r="I265" s="386">
        <v>42559</v>
      </c>
      <c r="J265" s="276"/>
      <c r="K265" s="276"/>
      <c r="L265" s="385" t="s">
        <v>11790</v>
      </c>
      <c r="M265" s="276"/>
    </row>
    <row r="266" spans="1:13">
      <c r="A266" s="277">
        <f>VLOOKUP(B266, 'PubMed 10.7.21 Results'!B:B, 1, FALSE)</f>
        <v>19492655</v>
      </c>
      <c r="B266" s="277">
        <v>19492655</v>
      </c>
      <c r="C266" s="276" t="s">
        <v>9769</v>
      </c>
      <c r="D266" s="276" t="s">
        <v>9770</v>
      </c>
      <c r="E266" s="276" t="s">
        <v>9771</v>
      </c>
      <c r="F266" s="276" t="s">
        <v>7654</v>
      </c>
      <c r="G266" s="276" t="s">
        <v>8552</v>
      </c>
      <c r="H266" s="277">
        <v>2009</v>
      </c>
      <c r="I266" s="386">
        <v>39969</v>
      </c>
      <c r="J266" s="276"/>
      <c r="K266" s="276"/>
      <c r="L266" s="385" t="s">
        <v>9772</v>
      </c>
      <c r="M266" s="276"/>
    </row>
    <row r="267" spans="1:13">
      <c r="A267" s="277">
        <f>VLOOKUP(B267, 'PubMed 10.7.21 Results'!B:B, 1, FALSE)</f>
        <v>19596875</v>
      </c>
      <c r="B267" s="277">
        <v>19596875</v>
      </c>
      <c r="C267" s="276" t="s">
        <v>9862</v>
      </c>
      <c r="D267" s="276" t="s">
        <v>9863</v>
      </c>
      <c r="E267" s="276" t="s">
        <v>9864</v>
      </c>
      <c r="F267" s="276" t="s">
        <v>7884</v>
      </c>
      <c r="G267" s="276" t="s">
        <v>8675</v>
      </c>
      <c r="H267" s="277">
        <v>2009</v>
      </c>
      <c r="I267" s="386">
        <v>40009</v>
      </c>
      <c r="J267" s="276" t="s">
        <v>7885</v>
      </c>
      <c r="K267" s="276"/>
      <c r="L267" s="385" t="s">
        <v>9865</v>
      </c>
      <c r="M267" s="276"/>
    </row>
    <row r="268" spans="1:13">
      <c r="A268" s="277">
        <f>VLOOKUP(B268, 'PubMed 10.7.21 Results'!B:B, 1, FALSE)</f>
        <v>12122828</v>
      </c>
      <c r="B268" s="277">
        <v>12122828</v>
      </c>
      <c r="C268" s="276" t="s">
        <v>8902</v>
      </c>
      <c r="D268" s="276" t="s">
        <v>8903</v>
      </c>
      <c r="E268" s="276" t="s">
        <v>8904</v>
      </c>
      <c r="F268" s="276" t="s">
        <v>6688</v>
      </c>
      <c r="G268" s="276" t="s">
        <v>8905</v>
      </c>
      <c r="H268" s="277">
        <v>2002</v>
      </c>
      <c r="I268" s="386">
        <v>37456</v>
      </c>
      <c r="J268" s="276"/>
      <c r="K268" s="276"/>
      <c r="L268" s="385" t="s">
        <v>8906</v>
      </c>
      <c r="M268" s="276"/>
    </row>
    <row r="269" spans="1:13">
      <c r="A269" s="277">
        <f>VLOOKUP(B269, 'PubMed 10.7.21 Results'!B:B, 1, FALSE)</f>
        <v>19588358</v>
      </c>
      <c r="B269" s="277">
        <v>19588358</v>
      </c>
      <c r="C269" s="276" t="s">
        <v>9806</v>
      </c>
      <c r="D269" s="276" t="s">
        <v>9807</v>
      </c>
      <c r="E269" s="276" t="s">
        <v>9808</v>
      </c>
      <c r="F269" s="276" t="s">
        <v>6689</v>
      </c>
      <c r="G269" s="276" t="s">
        <v>8857</v>
      </c>
      <c r="H269" s="277">
        <v>2009</v>
      </c>
      <c r="I269" s="386">
        <v>40004</v>
      </c>
      <c r="J269" s="276"/>
      <c r="K269" s="276"/>
      <c r="L269" s="385" t="s">
        <v>9809</v>
      </c>
      <c r="M269" s="276"/>
    </row>
    <row r="270" spans="1:13">
      <c r="A270" s="277">
        <f>VLOOKUP(B270, 'PubMed 10.7.21 Results'!B:B, 1, FALSE)</f>
        <v>18778110</v>
      </c>
      <c r="B270" s="277">
        <v>18778110</v>
      </c>
      <c r="C270" s="276" t="s">
        <v>9534</v>
      </c>
      <c r="D270" s="276" t="s">
        <v>9535</v>
      </c>
      <c r="E270" s="276" t="s">
        <v>9536</v>
      </c>
      <c r="F270" s="276" t="s">
        <v>6617</v>
      </c>
      <c r="G270" s="276" t="s">
        <v>9537</v>
      </c>
      <c r="H270" s="277">
        <v>2008</v>
      </c>
      <c r="I270" s="386">
        <v>39701</v>
      </c>
      <c r="J270" s="276"/>
      <c r="K270" s="276"/>
      <c r="L270" s="385" t="s">
        <v>9538</v>
      </c>
      <c r="M270" s="276"/>
    </row>
    <row r="271" spans="1:13">
      <c r="A271" s="277">
        <f>VLOOKUP(B271, 'PubMed 10.7.21 Results'!B:B, 1, FALSE)</f>
        <v>22155136</v>
      </c>
      <c r="B271" s="277">
        <v>22155136</v>
      </c>
      <c r="C271" s="276" t="s">
        <v>10394</v>
      </c>
      <c r="D271" s="276" t="s">
        <v>10395</v>
      </c>
      <c r="E271" s="276" t="s">
        <v>10396</v>
      </c>
      <c r="F271" s="276" t="s">
        <v>7697</v>
      </c>
      <c r="G271" s="276" t="s">
        <v>21</v>
      </c>
      <c r="H271" s="277">
        <v>2012</v>
      </c>
      <c r="I271" s="386">
        <v>40891</v>
      </c>
      <c r="J271" s="276"/>
      <c r="K271" s="276"/>
      <c r="L271" s="385" t="s">
        <v>10397</v>
      </c>
      <c r="M271" s="276"/>
    </row>
    <row r="272" spans="1:13">
      <c r="A272" s="277">
        <f>VLOOKUP(B272, 'PubMed 10.7.21 Results'!B:B, 1, FALSE)</f>
        <v>23284915</v>
      </c>
      <c r="B272" s="277">
        <v>23284915</v>
      </c>
      <c r="C272" s="276" t="s">
        <v>10390</v>
      </c>
      <c r="D272" s="276" t="s">
        <v>10391</v>
      </c>
      <c r="E272" s="276" t="s">
        <v>10392</v>
      </c>
      <c r="F272" s="276" t="s">
        <v>7200</v>
      </c>
      <c r="G272" s="276" t="s">
        <v>10379</v>
      </c>
      <c r="H272" s="277">
        <v>2012</v>
      </c>
      <c r="I272" s="386">
        <v>41278</v>
      </c>
      <c r="J272" s="276" t="s">
        <v>7201</v>
      </c>
      <c r="K272" s="276"/>
      <c r="L272" s="385" t="s">
        <v>10393</v>
      </c>
      <c r="M272" s="276"/>
    </row>
    <row r="273" spans="1:13">
      <c r="A273" s="277">
        <f>VLOOKUP(B273, 'PubMed 10.7.21 Results'!B:B, 1, FALSE)</f>
        <v>26548790</v>
      </c>
      <c r="B273" s="277">
        <v>26548790</v>
      </c>
      <c r="C273" s="276" t="s">
        <v>11497</v>
      </c>
      <c r="D273" s="276" t="s">
        <v>11498</v>
      </c>
      <c r="E273" s="276" t="s">
        <v>11499</v>
      </c>
      <c r="F273" s="276" t="s">
        <v>7898</v>
      </c>
      <c r="G273" s="276" t="s">
        <v>11500</v>
      </c>
      <c r="H273" s="277">
        <v>2015</v>
      </c>
      <c r="I273" s="386">
        <v>42318</v>
      </c>
      <c r="J273" s="276" t="s">
        <v>7899</v>
      </c>
      <c r="K273" s="276" t="s">
        <v>11501</v>
      </c>
      <c r="L273" s="385" t="s">
        <v>11502</v>
      </c>
      <c r="M273" s="276"/>
    </row>
    <row r="274" spans="1:13">
      <c r="A274" s="277">
        <f>VLOOKUP(B274, 'PubMed 10.7.21 Results'!B:B, 1, FALSE)</f>
        <v>16104945</v>
      </c>
      <c r="B274" s="277">
        <v>16104945</v>
      </c>
      <c r="C274" s="276" t="s">
        <v>9184</v>
      </c>
      <c r="D274" s="276" t="s">
        <v>9185</v>
      </c>
      <c r="E274" s="276" t="s">
        <v>9186</v>
      </c>
      <c r="F274" s="276" t="s">
        <v>7377</v>
      </c>
      <c r="G274" s="276" t="s">
        <v>9187</v>
      </c>
      <c r="H274" s="277">
        <v>2005</v>
      </c>
      <c r="I274" s="386">
        <v>38582</v>
      </c>
      <c r="J274" s="276"/>
      <c r="K274" s="276"/>
      <c r="L274" s="385" t="s">
        <v>9188</v>
      </c>
      <c r="M274" s="276"/>
    </row>
    <row r="275" spans="1:13">
      <c r="A275" s="277">
        <f>VLOOKUP(B275, 'PubMed 10.7.21 Results'!B:B, 1, FALSE)</f>
        <v>10394023</v>
      </c>
      <c r="B275" s="277">
        <v>10394023</v>
      </c>
      <c r="C275" s="276" t="s">
        <v>8687</v>
      </c>
      <c r="D275" s="276" t="s">
        <v>8688</v>
      </c>
      <c r="E275" s="276" t="s">
        <v>8689</v>
      </c>
      <c r="F275" s="276" t="s">
        <v>7066</v>
      </c>
      <c r="G275" s="276" t="s">
        <v>8690</v>
      </c>
      <c r="H275" s="277">
        <v>1999</v>
      </c>
      <c r="I275" s="386">
        <v>36349</v>
      </c>
      <c r="J275" s="276"/>
      <c r="K275" s="276"/>
      <c r="L275" s="385" t="s">
        <v>8691</v>
      </c>
      <c r="M275" s="276"/>
    </row>
    <row r="276" spans="1:13">
      <c r="A276" s="277">
        <f>VLOOKUP(B276, 'PubMed 10.7.21 Results'!B:B, 1, FALSE)</f>
        <v>22682133</v>
      </c>
      <c r="B276" s="277">
        <v>22682133</v>
      </c>
      <c r="C276" s="276" t="s">
        <v>10446</v>
      </c>
      <c r="D276" s="276" t="s">
        <v>10447</v>
      </c>
      <c r="E276" s="276" t="s">
        <v>10448</v>
      </c>
      <c r="F276" s="276" t="s">
        <v>6812</v>
      </c>
      <c r="G276" s="276" t="s">
        <v>8777</v>
      </c>
      <c r="H276" s="277">
        <v>2012</v>
      </c>
      <c r="I276" s="386">
        <v>41072</v>
      </c>
      <c r="J276" s="276"/>
      <c r="K276" s="276"/>
      <c r="L276" s="385" t="s">
        <v>10449</v>
      </c>
      <c r="M276" s="276"/>
    </row>
    <row r="277" spans="1:13">
      <c r="A277" s="277">
        <f>VLOOKUP(B277, 'PubMed 10.7.21 Results'!B:B, 1, FALSE)</f>
        <v>11878792</v>
      </c>
      <c r="B277" s="277">
        <v>11878792</v>
      </c>
      <c r="C277" s="276" t="s">
        <v>8839</v>
      </c>
      <c r="D277" s="276" t="s">
        <v>8840</v>
      </c>
      <c r="E277" s="276" t="s">
        <v>8841</v>
      </c>
      <c r="F277" s="276" t="s">
        <v>6978</v>
      </c>
      <c r="G277" s="276" t="s">
        <v>8842</v>
      </c>
      <c r="H277" s="277">
        <v>2001</v>
      </c>
      <c r="I277" s="386">
        <v>37322</v>
      </c>
      <c r="J277" s="276" t="s">
        <v>6979</v>
      </c>
      <c r="K277" s="276"/>
      <c r="L277" s="385" t="s">
        <v>8843</v>
      </c>
      <c r="M277" s="276"/>
    </row>
    <row r="278" spans="1:13">
      <c r="A278" s="277">
        <f>VLOOKUP(B278, 'PubMed 10.7.21 Results'!B:B, 1, FALSE)</f>
        <v>33477334</v>
      </c>
      <c r="B278" s="277">
        <v>33477334</v>
      </c>
      <c r="C278" s="276" t="s">
        <v>14013</v>
      </c>
      <c r="D278" s="276" t="s">
        <v>14014</v>
      </c>
      <c r="E278" s="276" t="s">
        <v>14015</v>
      </c>
      <c r="F278" s="276" t="s">
        <v>7351</v>
      </c>
      <c r="G278" s="276" t="s">
        <v>14016</v>
      </c>
      <c r="H278" s="277">
        <v>2021</v>
      </c>
      <c r="I278" s="386">
        <v>44218</v>
      </c>
      <c r="J278" s="276" t="s">
        <v>7352</v>
      </c>
      <c r="K278" s="276"/>
      <c r="L278" s="385" t="s">
        <v>14017</v>
      </c>
      <c r="M278" s="276"/>
    </row>
    <row r="279" spans="1:13">
      <c r="A279" s="277">
        <f>VLOOKUP(B279, 'PubMed 10.7.21 Results'!B:B, 1, FALSE)</f>
        <v>26718001</v>
      </c>
      <c r="B279" s="277">
        <v>26718001</v>
      </c>
      <c r="C279" s="276" t="s">
        <v>11692</v>
      </c>
      <c r="D279" s="276" t="s">
        <v>11693</v>
      </c>
      <c r="E279" s="276" t="s">
        <v>11694</v>
      </c>
      <c r="F279" s="276" t="s">
        <v>8099</v>
      </c>
      <c r="G279" s="276" t="s">
        <v>11695</v>
      </c>
      <c r="H279" s="277">
        <v>2016</v>
      </c>
      <c r="I279" s="386">
        <v>42370</v>
      </c>
      <c r="J279" s="276"/>
      <c r="K279" s="276"/>
      <c r="L279" s="385" t="s">
        <v>11696</v>
      </c>
      <c r="M279" s="276"/>
    </row>
    <row r="280" spans="1:13">
      <c r="A280" s="277">
        <f>VLOOKUP(B280, 'PubMed 10.7.21 Results'!B:B, 1, FALSE)</f>
        <v>11869630</v>
      </c>
      <c r="B280" s="277">
        <v>11869630</v>
      </c>
      <c r="C280" s="276" t="s">
        <v>8854</v>
      </c>
      <c r="D280" s="276" t="s">
        <v>8855</v>
      </c>
      <c r="E280" s="276" t="s">
        <v>8856</v>
      </c>
      <c r="F280" s="276" t="s">
        <v>6940</v>
      </c>
      <c r="G280" s="276" t="s">
        <v>8857</v>
      </c>
      <c r="H280" s="277">
        <v>2002</v>
      </c>
      <c r="I280" s="386">
        <v>37316</v>
      </c>
      <c r="J280" s="276"/>
      <c r="K280" s="276"/>
      <c r="L280" s="385" t="s">
        <v>8858</v>
      </c>
      <c r="M280" s="276"/>
    </row>
    <row r="281" spans="1:13">
      <c r="A281" s="277">
        <f>VLOOKUP(B281, 'PubMed 10.7.21 Results'!B:B, 1, FALSE)</f>
        <v>25319385</v>
      </c>
      <c r="B281" s="277">
        <v>25319385</v>
      </c>
      <c r="C281" s="276" t="s">
        <v>11240</v>
      </c>
      <c r="D281" s="276" t="s">
        <v>11241</v>
      </c>
      <c r="E281" s="276" t="s">
        <v>11242</v>
      </c>
      <c r="F281" s="276" t="s">
        <v>7373</v>
      </c>
      <c r="G281" s="276" t="s">
        <v>8617</v>
      </c>
      <c r="H281" s="277">
        <v>2015</v>
      </c>
      <c r="I281" s="386">
        <v>41929</v>
      </c>
      <c r="J281" s="276"/>
      <c r="K281" s="276"/>
      <c r="L281" s="385" t="s">
        <v>11243</v>
      </c>
      <c r="M281" s="276"/>
    </row>
    <row r="282" spans="1:13">
      <c r="A282" s="277">
        <f>VLOOKUP(B282, 'PubMed 10.7.21 Results'!B:B, 1, FALSE)</f>
        <v>21792180</v>
      </c>
      <c r="B282" s="277">
        <v>21792180</v>
      </c>
      <c r="C282" s="276" t="s">
        <v>10274</v>
      </c>
      <c r="D282" s="276" t="s">
        <v>10275</v>
      </c>
      <c r="E282" s="276" t="s">
        <v>10276</v>
      </c>
      <c r="F282" s="276" t="s">
        <v>7573</v>
      </c>
      <c r="G282" s="276" t="s">
        <v>10277</v>
      </c>
      <c r="H282" s="277">
        <v>2011</v>
      </c>
      <c r="I282" s="386">
        <v>40752</v>
      </c>
      <c r="J282" s="276" t="s">
        <v>7574</v>
      </c>
      <c r="K282" s="276"/>
      <c r="L282" s="385" t="s">
        <v>10278</v>
      </c>
      <c r="M282" s="276"/>
    </row>
    <row r="283" spans="1:13">
      <c r="A283" s="277">
        <f>VLOOKUP(B283, 'PubMed 10.7.21 Results'!B:B, 1, FALSE)</f>
        <v>28929521</v>
      </c>
      <c r="B283" s="277">
        <v>28929521</v>
      </c>
      <c r="C283" s="276" t="s">
        <v>12376</v>
      </c>
      <c r="D283" s="276" t="s">
        <v>12377</v>
      </c>
      <c r="E283" s="276" t="s">
        <v>12378</v>
      </c>
      <c r="F283" s="276" t="s">
        <v>6507</v>
      </c>
      <c r="G283" s="276" t="s">
        <v>9569</v>
      </c>
      <c r="H283" s="277">
        <v>2018</v>
      </c>
      <c r="I283" s="386">
        <v>42999</v>
      </c>
      <c r="J283" s="276" t="s">
        <v>6508</v>
      </c>
      <c r="K283" s="276"/>
      <c r="L283" s="385" t="s">
        <v>12379</v>
      </c>
      <c r="M283" s="276"/>
    </row>
    <row r="284" spans="1:13">
      <c r="A284" s="277">
        <f>VLOOKUP(B284, 'PubMed 10.7.21 Results'!B:B, 1, FALSE)</f>
        <v>16988008</v>
      </c>
      <c r="B284" s="277">
        <v>16988008</v>
      </c>
      <c r="C284" s="276" t="s">
        <v>9347</v>
      </c>
      <c r="D284" s="276" t="s">
        <v>9348</v>
      </c>
      <c r="E284" s="276" t="s">
        <v>9349</v>
      </c>
      <c r="F284" s="276" t="s">
        <v>7362</v>
      </c>
      <c r="G284" s="276" t="s">
        <v>9350</v>
      </c>
      <c r="H284" s="277">
        <v>2006</v>
      </c>
      <c r="I284" s="386">
        <v>38982</v>
      </c>
      <c r="J284" s="276" t="s">
        <v>7363</v>
      </c>
      <c r="K284" s="276"/>
      <c r="L284" s="385" t="s">
        <v>9351</v>
      </c>
      <c r="M284" s="276"/>
    </row>
    <row r="285" spans="1:13">
      <c r="A285" s="277">
        <f>VLOOKUP(B285, 'PubMed 10.7.21 Results'!B:B, 1, FALSE)</f>
        <v>26380384</v>
      </c>
      <c r="B285" s="277">
        <v>26380384</v>
      </c>
      <c r="C285" s="276" t="s">
        <v>11453</v>
      </c>
      <c r="D285" s="276" t="s">
        <v>11454</v>
      </c>
      <c r="E285" s="276" t="s">
        <v>11455</v>
      </c>
      <c r="F285" s="276" t="s">
        <v>6430</v>
      </c>
      <c r="G285" s="276" t="s">
        <v>11456</v>
      </c>
      <c r="H285" s="277">
        <v>2015</v>
      </c>
      <c r="I285" s="386">
        <v>42265</v>
      </c>
      <c r="J285" s="276"/>
      <c r="K285" s="276"/>
      <c r="L285" s="385" t="s">
        <v>11457</v>
      </c>
      <c r="M285" s="276"/>
    </row>
    <row r="286" spans="1:13">
      <c r="A286" s="277">
        <f>VLOOKUP(B286, 'PubMed 10.7.21 Results'!B:B, 1, FALSE)</f>
        <v>15969878</v>
      </c>
      <c r="B286" s="277">
        <v>15969878</v>
      </c>
      <c r="C286" s="276" t="s">
        <v>9167</v>
      </c>
      <c r="D286" s="276" t="s">
        <v>9168</v>
      </c>
      <c r="E286" s="276" t="s">
        <v>9169</v>
      </c>
      <c r="F286" s="276" t="s">
        <v>6804</v>
      </c>
      <c r="G286" s="276" t="s">
        <v>8762</v>
      </c>
      <c r="H286" s="277">
        <v>2005</v>
      </c>
      <c r="I286" s="386">
        <v>38526</v>
      </c>
      <c r="J286" s="276"/>
      <c r="K286" s="276"/>
      <c r="L286" s="385" t="s">
        <v>9170</v>
      </c>
      <c r="M286" s="276"/>
    </row>
    <row r="287" spans="1:13">
      <c r="A287" s="277">
        <f>VLOOKUP(B287, 'PubMed 10.7.21 Results'!B:B, 1, FALSE)</f>
        <v>21346038</v>
      </c>
      <c r="B287" s="277">
        <v>21346038</v>
      </c>
      <c r="C287" s="276" t="s">
        <v>10113</v>
      </c>
      <c r="D287" s="276" t="s">
        <v>10114</v>
      </c>
      <c r="E287" s="276" t="s">
        <v>10115</v>
      </c>
      <c r="F287" s="276" t="s">
        <v>7655</v>
      </c>
      <c r="G287" s="276" t="s">
        <v>10116</v>
      </c>
      <c r="H287" s="277">
        <v>2011</v>
      </c>
      <c r="I287" s="386">
        <v>40599</v>
      </c>
      <c r="J287" s="276" t="s">
        <v>7656</v>
      </c>
      <c r="K287" s="276"/>
      <c r="L287" s="385" t="s">
        <v>10117</v>
      </c>
      <c r="M287" s="276"/>
    </row>
    <row r="288" spans="1:13">
      <c r="A288" s="277">
        <f>VLOOKUP(B288, 'PubMed 10.7.21 Results'!B:B, 1, FALSE)</f>
        <v>25053420</v>
      </c>
      <c r="B288" s="277">
        <v>25053420</v>
      </c>
      <c r="C288" s="276" t="s">
        <v>18882</v>
      </c>
      <c r="D288" s="276" t="s">
        <v>11140</v>
      </c>
      <c r="E288" s="276" t="s">
        <v>11141</v>
      </c>
      <c r="F288" s="276" t="s">
        <v>6777</v>
      </c>
      <c r="G288" s="276" t="s">
        <v>11142</v>
      </c>
      <c r="H288" s="277">
        <v>2014</v>
      </c>
      <c r="I288" s="386">
        <v>41844</v>
      </c>
      <c r="J288" s="276" t="s">
        <v>6778</v>
      </c>
      <c r="K288" s="276"/>
      <c r="L288" s="385" t="s">
        <v>11143</v>
      </c>
      <c r="M288" s="276"/>
    </row>
    <row r="289" spans="1:13">
      <c r="A289" s="277">
        <f>VLOOKUP(B289, 'PubMed 10.7.21 Results'!B:B, 1, FALSE)</f>
        <v>19275278</v>
      </c>
      <c r="B289" s="277">
        <v>19275278</v>
      </c>
      <c r="C289" s="276" t="s">
        <v>9670</v>
      </c>
      <c r="D289" s="276" t="s">
        <v>9671</v>
      </c>
      <c r="E289" s="276" t="s">
        <v>9672</v>
      </c>
      <c r="F289" s="276" t="s">
        <v>7437</v>
      </c>
      <c r="G289" s="276" t="s">
        <v>8509</v>
      </c>
      <c r="H289" s="277">
        <v>2009</v>
      </c>
      <c r="I289" s="386">
        <v>39884</v>
      </c>
      <c r="J289" s="276"/>
      <c r="K289" s="276"/>
      <c r="L289" s="385" t="s">
        <v>9673</v>
      </c>
      <c r="M289" s="276"/>
    </row>
    <row r="290" spans="1:13">
      <c r="A290" s="277">
        <f>VLOOKUP(B290, 'PubMed 10.7.21 Results'!B:B, 1, FALSE)</f>
        <v>16625638</v>
      </c>
      <c r="B290" s="277">
        <v>16625638</v>
      </c>
      <c r="C290" s="276" t="s">
        <v>9307</v>
      </c>
      <c r="D290" s="276" t="s">
        <v>9308</v>
      </c>
      <c r="E290" s="276" t="s">
        <v>9309</v>
      </c>
      <c r="F290" s="276" t="s">
        <v>7218</v>
      </c>
      <c r="G290" s="276" t="s">
        <v>8857</v>
      </c>
      <c r="H290" s="277">
        <v>2006</v>
      </c>
      <c r="I290" s="386">
        <v>38828</v>
      </c>
      <c r="J290" s="276"/>
      <c r="K290" s="276"/>
      <c r="L290" s="385" t="s">
        <v>9310</v>
      </c>
      <c r="M290" s="276"/>
    </row>
    <row r="291" spans="1:13">
      <c r="A291" s="277">
        <f>VLOOKUP(B291, 'PubMed 10.7.21 Results'!B:B, 1, FALSE)</f>
        <v>20655330</v>
      </c>
      <c r="B291" s="277">
        <v>20655330</v>
      </c>
      <c r="C291" s="276" t="s">
        <v>10055</v>
      </c>
      <c r="D291" s="276" t="s">
        <v>10056</v>
      </c>
      <c r="E291" s="276" t="s">
        <v>10057</v>
      </c>
      <c r="F291" s="276" t="s">
        <v>7345</v>
      </c>
      <c r="G291" s="276" t="s">
        <v>10058</v>
      </c>
      <c r="H291" s="277">
        <v>2010</v>
      </c>
      <c r="I291" s="386">
        <v>40386</v>
      </c>
      <c r="J291" s="276"/>
      <c r="K291" s="276"/>
      <c r="L291" s="385" t="s">
        <v>10059</v>
      </c>
      <c r="M291" s="276"/>
    </row>
    <row r="292" spans="1:13">
      <c r="A292" s="277">
        <f>VLOOKUP(B292, 'PubMed 10.7.21 Results'!B:B, 1, FALSE)</f>
        <v>16842449</v>
      </c>
      <c r="B292" s="277">
        <v>16842449</v>
      </c>
      <c r="C292" s="276" t="s">
        <v>9323</v>
      </c>
      <c r="D292" s="276" t="s">
        <v>9324</v>
      </c>
      <c r="E292" s="276" t="s">
        <v>9325</v>
      </c>
      <c r="F292" s="276" t="s">
        <v>7060</v>
      </c>
      <c r="G292" s="276" t="s">
        <v>8685</v>
      </c>
      <c r="H292" s="277">
        <v>2006</v>
      </c>
      <c r="I292" s="386">
        <v>38916</v>
      </c>
      <c r="J292" s="276"/>
      <c r="K292" s="276"/>
      <c r="L292" s="385" t="s">
        <v>9326</v>
      </c>
      <c r="M292" s="276"/>
    </row>
    <row r="293" spans="1:13">
      <c r="A293" s="277">
        <f>VLOOKUP(B293, 'PubMed 10.7.21 Results'!B:B, 1, FALSE)</f>
        <v>8022537</v>
      </c>
      <c r="B293" s="277">
        <v>8022537</v>
      </c>
      <c r="C293" s="276" t="s">
        <v>8526</v>
      </c>
      <c r="D293" s="276" t="s">
        <v>8527</v>
      </c>
      <c r="E293" s="276" t="s">
        <v>8528</v>
      </c>
      <c r="F293" s="276" t="s">
        <v>7652</v>
      </c>
      <c r="G293" s="276" t="s">
        <v>8529</v>
      </c>
      <c r="H293" s="277">
        <v>1994</v>
      </c>
      <c r="I293" s="386">
        <v>34486</v>
      </c>
      <c r="J293" s="276"/>
      <c r="K293" s="276"/>
      <c r="L293" s="276"/>
      <c r="M293" s="276"/>
    </row>
    <row r="294" spans="1:13">
      <c r="A294" s="277">
        <f>VLOOKUP(B294, 'PubMed 10.7.21 Results'!B:B, 1, FALSE)</f>
        <v>23102749</v>
      </c>
      <c r="B294" s="277">
        <v>23102749</v>
      </c>
      <c r="C294" s="276" t="s">
        <v>10600</v>
      </c>
      <c r="D294" s="276" t="s">
        <v>10601</v>
      </c>
      <c r="E294" s="276" t="s">
        <v>10602</v>
      </c>
      <c r="F294" s="276" t="s">
        <v>6480</v>
      </c>
      <c r="G294" s="276" t="s">
        <v>10603</v>
      </c>
      <c r="H294" s="277">
        <v>2012</v>
      </c>
      <c r="I294" s="386">
        <v>41212</v>
      </c>
      <c r="J294" s="276"/>
      <c r="K294" s="276"/>
      <c r="L294" s="385" t="s">
        <v>10604</v>
      </c>
      <c r="M294" s="276"/>
    </row>
    <row r="295" spans="1:13">
      <c r="A295" s="277">
        <f>VLOOKUP(B295, 'PubMed 10.7.21 Results'!B:B, 1, FALSE)</f>
        <v>24276956</v>
      </c>
      <c r="B295" s="277">
        <v>24276956</v>
      </c>
      <c r="C295" s="276" t="s">
        <v>10942</v>
      </c>
      <c r="D295" s="276" t="s">
        <v>10943</v>
      </c>
      <c r="E295" s="276" t="s">
        <v>10944</v>
      </c>
      <c r="F295" s="276" t="s">
        <v>8100</v>
      </c>
      <c r="G295" s="276" t="s">
        <v>9911</v>
      </c>
      <c r="H295" s="277">
        <v>2014</v>
      </c>
      <c r="I295" s="386">
        <v>41605</v>
      </c>
      <c r="J295" s="276"/>
      <c r="K295" s="276"/>
      <c r="L295" s="385" t="s">
        <v>10945</v>
      </c>
      <c r="M295" s="276"/>
    </row>
    <row r="296" spans="1:13">
      <c r="A296" s="277">
        <f>VLOOKUP(B296, 'PubMed 10.7.21 Results'!B:B, 1, FALSE)</f>
        <v>29110140</v>
      </c>
      <c r="B296" s="277">
        <v>29110140</v>
      </c>
      <c r="C296" s="276" t="s">
        <v>12351</v>
      </c>
      <c r="D296" s="276" t="s">
        <v>12352</v>
      </c>
      <c r="E296" s="276" t="s">
        <v>12353</v>
      </c>
      <c r="F296" s="276" t="s">
        <v>7496</v>
      </c>
      <c r="G296" s="276" t="s">
        <v>9049</v>
      </c>
      <c r="H296" s="277">
        <v>2017</v>
      </c>
      <c r="I296" s="386">
        <v>43047</v>
      </c>
      <c r="J296" s="276" t="s">
        <v>7497</v>
      </c>
      <c r="K296" s="276"/>
      <c r="L296" s="385" t="s">
        <v>12354</v>
      </c>
      <c r="M296" s="276"/>
    </row>
    <row r="297" spans="1:13">
      <c r="A297" s="277">
        <f>VLOOKUP(B297, 'PubMed 10.7.21 Results'!B:B, 1, FALSE)</f>
        <v>29610442</v>
      </c>
      <c r="B297" s="277">
        <v>29610442</v>
      </c>
      <c r="C297" s="276" t="s">
        <v>12491</v>
      </c>
      <c r="D297" s="276" t="s">
        <v>12492</v>
      </c>
      <c r="E297" s="276" t="s">
        <v>12493</v>
      </c>
      <c r="F297" s="276" t="s">
        <v>7254</v>
      </c>
      <c r="G297" s="276" t="s">
        <v>12494</v>
      </c>
      <c r="H297" s="277">
        <v>2018</v>
      </c>
      <c r="I297" s="386">
        <v>43194</v>
      </c>
      <c r="J297" s="276"/>
      <c r="K297" s="276"/>
      <c r="L297" s="276"/>
      <c r="M297" s="276"/>
    </row>
    <row r="298" spans="1:13">
      <c r="A298" s="277">
        <f>VLOOKUP(B298, 'PubMed 10.7.21 Results'!B:B, 1, FALSE)</f>
        <v>24236468</v>
      </c>
      <c r="B298" s="277">
        <v>24236468</v>
      </c>
      <c r="C298" s="276" t="s">
        <v>10581</v>
      </c>
      <c r="D298" s="276" t="s">
        <v>10582</v>
      </c>
      <c r="E298" s="276" t="s">
        <v>10583</v>
      </c>
      <c r="F298" s="276" t="s">
        <v>6859</v>
      </c>
      <c r="G298" s="276" t="s">
        <v>10584</v>
      </c>
      <c r="H298" s="277">
        <v>2012</v>
      </c>
      <c r="I298" s="386">
        <v>41597</v>
      </c>
      <c r="J298" s="276"/>
      <c r="K298" s="276"/>
      <c r="L298" s="385" t="s">
        <v>10585</v>
      </c>
      <c r="M298" s="276"/>
    </row>
    <row r="299" spans="1:13">
      <c r="A299" s="277">
        <f>VLOOKUP(B299, 'PubMed 10.7.21 Results'!B:B, 1, FALSE)</f>
        <v>29202209</v>
      </c>
      <c r="B299" s="277">
        <v>29202209</v>
      </c>
      <c r="C299" s="276" t="s">
        <v>12317</v>
      </c>
      <c r="D299" s="276" t="s">
        <v>12318</v>
      </c>
      <c r="E299" s="276" t="s">
        <v>12319</v>
      </c>
      <c r="F299" s="276" t="s">
        <v>6957</v>
      </c>
      <c r="G299" s="276" t="s">
        <v>8584</v>
      </c>
      <c r="H299" s="277">
        <v>2017</v>
      </c>
      <c r="I299" s="386">
        <v>43074</v>
      </c>
      <c r="J299" s="276"/>
      <c r="K299" s="276"/>
      <c r="L299" s="385" t="s">
        <v>12320</v>
      </c>
      <c r="M299" s="276"/>
    </row>
    <row r="300" spans="1:13">
      <c r="A300" s="277">
        <f>VLOOKUP(B300, 'PubMed 10.7.21 Results'!B:B, 1, FALSE)</f>
        <v>21666158</v>
      </c>
      <c r="B300" s="277">
        <v>21666158</v>
      </c>
      <c r="C300" s="276" t="s">
        <v>10221</v>
      </c>
      <c r="D300" s="276" t="s">
        <v>10222</v>
      </c>
      <c r="E300" s="276" t="s">
        <v>10223</v>
      </c>
      <c r="F300" s="276" t="s">
        <v>7771</v>
      </c>
      <c r="G300" s="276" t="s">
        <v>9497</v>
      </c>
      <c r="H300" s="277">
        <v>2011</v>
      </c>
      <c r="I300" s="386">
        <v>40708</v>
      </c>
      <c r="J300" s="276"/>
      <c r="K300" s="276"/>
      <c r="L300" s="385" t="s">
        <v>10224</v>
      </c>
      <c r="M300" s="276"/>
    </row>
    <row r="301" spans="1:13">
      <c r="A301" s="277">
        <f>VLOOKUP(B301, 'PubMed 10.7.21 Results'!B:B, 1, FALSE)</f>
        <v>25241554</v>
      </c>
      <c r="B301" s="277">
        <v>25241554</v>
      </c>
      <c r="C301" s="276" t="s">
        <v>10979</v>
      </c>
      <c r="D301" s="276" t="s">
        <v>10980</v>
      </c>
      <c r="E301" s="276" t="s">
        <v>10981</v>
      </c>
      <c r="F301" s="276" t="s">
        <v>6512</v>
      </c>
      <c r="G301" s="276" t="s">
        <v>10982</v>
      </c>
      <c r="H301" s="277">
        <v>2014</v>
      </c>
      <c r="I301" s="386">
        <v>41905</v>
      </c>
      <c r="J301" s="276"/>
      <c r="K301" s="276"/>
      <c r="L301" s="276"/>
      <c r="M301" s="276"/>
    </row>
    <row r="302" spans="1:13">
      <c r="A302" s="277">
        <f>VLOOKUP(B302, 'PubMed 10.7.21 Results'!B:B, 1, FALSE)</f>
        <v>19930566</v>
      </c>
      <c r="B302" s="277">
        <v>19930566</v>
      </c>
      <c r="C302" s="276" t="s">
        <v>9903</v>
      </c>
      <c r="D302" s="276" t="s">
        <v>9904</v>
      </c>
      <c r="E302" s="276" t="s">
        <v>9905</v>
      </c>
      <c r="F302" s="276" t="s">
        <v>7462</v>
      </c>
      <c r="G302" s="276" t="s">
        <v>9906</v>
      </c>
      <c r="H302" s="277">
        <v>2009</v>
      </c>
      <c r="I302" s="386">
        <v>40143</v>
      </c>
      <c r="J302" s="276" t="s">
        <v>7463</v>
      </c>
      <c r="K302" s="276"/>
      <c r="L302" s="385" t="s">
        <v>9907</v>
      </c>
      <c r="M302" s="276"/>
    </row>
    <row r="303" spans="1:13">
      <c r="A303" s="277">
        <f>VLOOKUP(B303, 'PubMed 10.7.21 Results'!B:B, 1, FALSE)</f>
        <v>17692427</v>
      </c>
      <c r="B303" s="277">
        <v>17692427</v>
      </c>
      <c r="C303" s="276" t="s">
        <v>9457</v>
      </c>
      <c r="D303" s="276" t="s">
        <v>9458</v>
      </c>
      <c r="E303" s="276" t="s">
        <v>9459</v>
      </c>
      <c r="F303" s="276" t="s">
        <v>7262</v>
      </c>
      <c r="G303" s="276" t="s">
        <v>9460</v>
      </c>
      <c r="H303" s="277">
        <v>2007</v>
      </c>
      <c r="I303" s="386">
        <v>39313</v>
      </c>
      <c r="J303" s="276"/>
      <c r="K303" s="276"/>
      <c r="L303" s="385" t="s">
        <v>9461</v>
      </c>
      <c r="M303" s="276"/>
    </row>
    <row r="304" spans="1:13">
      <c r="A304" s="277">
        <f>VLOOKUP(B304, 'PubMed 10.7.21 Results'!B:B, 1, FALSE)</f>
        <v>19519591</v>
      </c>
      <c r="B304" s="277">
        <v>19519591</v>
      </c>
      <c r="C304" s="276" t="s">
        <v>9787</v>
      </c>
      <c r="D304" s="276" t="s">
        <v>9788</v>
      </c>
      <c r="E304" s="276" t="s">
        <v>9789</v>
      </c>
      <c r="F304" s="276" t="s">
        <v>6945</v>
      </c>
      <c r="G304" s="276" t="s">
        <v>9790</v>
      </c>
      <c r="H304" s="277">
        <v>2009</v>
      </c>
      <c r="I304" s="386">
        <v>39977</v>
      </c>
      <c r="J304" s="276"/>
      <c r="K304" s="276"/>
      <c r="L304" s="385" t="s">
        <v>9791</v>
      </c>
      <c r="M304" s="276"/>
    </row>
    <row r="305" spans="1:13">
      <c r="A305" s="277">
        <f>VLOOKUP(B305, 'PubMed 10.7.21 Results'!B:B, 1, FALSE)</f>
        <v>25300600</v>
      </c>
      <c r="B305" s="277">
        <v>25300600</v>
      </c>
      <c r="C305" s="276" t="s">
        <v>11235</v>
      </c>
      <c r="D305" s="276" t="s">
        <v>11236</v>
      </c>
      <c r="E305" s="276" t="s">
        <v>11237</v>
      </c>
      <c r="F305" s="276" t="s">
        <v>7028</v>
      </c>
      <c r="G305" s="276" t="s">
        <v>11238</v>
      </c>
      <c r="H305" s="277">
        <v>2015</v>
      </c>
      <c r="I305" s="386">
        <v>41923</v>
      </c>
      <c r="J305" s="276"/>
      <c r="K305" s="276"/>
      <c r="L305" s="385" t="s">
        <v>11239</v>
      </c>
      <c r="M305" s="276"/>
    </row>
    <row r="306" spans="1:13">
      <c r="A306" s="277">
        <f>VLOOKUP(B306, 'PubMed 10.7.21 Results'!B:B, 1, FALSE)</f>
        <v>18698879</v>
      </c>
      <c r="B306" s="277">
        <v>18698879</v>
      </c>
      <c r="C306" s="276" t="s">
        <v>9521</v>
      </c>
      <c r="D306" s="276" t="s">
        <v>9522</v>
      </c>
      <c r="E306" s="276" t="s">
        <v>9523</v>
      </c>
      <c r="F306" s="276" t="s">
        <v>7861</v>
      </c>
      <c r="G306" s="276" t="s">
        <v>9524</v>
      </c>
      <c r="H306" s="277">
        <v>2008</v>
      </c>
      <c r="I306" s="386">
        <v>39674</v>
      </c>
      <c r="J306" s="276"/>
      <c r="K306" s="276"/>
      <c r="L306" s="385" t="s">
        <v>9525</v>
      </c>
      <c r="M306" s="276"/>
    </row>
    <row r="307" spans="1:13">
      <c r="A307" s="277">
        <f>VLOOKUP(B307, 'PubMed 10.7.21 Results'!B:B, 1, FALSE)</f>
        <v>29188358</v>
      </c>
      <c r="B307" s="277">
        <v>29188358</v>
      </c>
      <c r="C307" s="276" t="s">
        <v>12404</v>
      </c>
      <c r="D307" s="276" t="s">
        <v>12405</v>
      </c>
      <c r="E307" s="276" t="s">
        <v>12406</v>
      </c>
      <c r="F307" s="276" t="s">
        <v>6868</v>
      </c>
      <c r="G307" s="276" t="s">
        <v>9831</v>
      </c>
      <c r="H307" s="277">
        <v>2018</v>
      </c>
      <c r="I307" s="386">
        <v>43070</v>
      </c>
      <c r="J307" s="276"/>
      <c r="K307" s="276"/>
      <c r="L307" s="385" t="s">
        <v>12407</v>
      </c>
      <c r="M307" s="276"/>
    </row>
    <row r="308" spans="1:13">
      <c r="A308" s="277">
        <f>VLOOKUP(B308, 'PubMed 10.7.21 Results'!B:B, 1, FALSE)</f>
        <v>25454683</v>
      </c>
      <c r="B308" s="277">
        <v>25454683</v>
      </c>
      <c r="C308" s="276" t="s">
        <v>11326</v>
      </c>
      <c r="D308" s="276" t="s">
        <v>11327</v>
      </c>
      <c r="E308" s="276" t="s">
        <v>11328</v>
      </c>
      <c r="F308" s="276" t="s">
        <v>7335</v>
      </c>
      <c r="G308" s="276" t="s">
        <v>11329</v>
      </c>
      <c r="H308" s="277">
        <v>2015</v>
      </c>
      <c r="I308" s="386">
        <v>41976</v>
      </c>
      <c r="J308" s="276"/>
      <c r="K308" s="276"/>
      <c r="L308" s="385" t="s">
        <v>11330</v>
      </c>
      <c r="M308" s="276"/>
    </row>
    <row r="309" spans="1:13">
      <c r="A309" s="277">
        <f>VLOOKUP(B309, 'PubMed 10.7.21 Results'!B:B, 1, FALSE)</f>
        <v>27889401</v>
      </c>
      <c r="B309" s="277">
        <v>27889401</v>
      </c>
      <c r="C309" s="276" t="s">
        <v>11973</v>
      </c>
      <c r="D309" s="276" t="s">
        <v>11974</v>
      </c>
      <c r="E309" s="276" t="s">
        <v>11975</v>
      </c>
      <c r="F309" s="276" t="s">
        <v>7641</v>
      </c>
      <c r="G309" s="276" t="s">
        <v>11976</v>
      </c>
      <c r="H309" s="277">
        <v>2017</v>
      </c>
      <c r="I309" s="386">
        <v>42702</v>
      </c>
      <c r="J309" s="276" t="s">
        <v>7642</v>
      </c>
      <c r="K309" s="276" t="s">
        <v>11977</v>
      </c>
      <c r="L309" s="385" t="s">
        <v>11978</v>
      </c>
      <c r="M309" s="276"/>
    </row>
    <row r="310" spans="1:13">
      <c r="A310" s="277">
        <f>VLOOKUP(B310, 'PubMed 10.7.21 Results'!B:B, 1, FALSE)</f>
        <v>19505217</v>
      </c>
      <c r="B310" s="277">
        <v>19505217</v>
      </c>
      <c r="C310" s="276" t="s">
        <v>9782</v>
      </c>
      <c r="D310" s="276" t="s">
        <v>9783</v>
      </c>
      <c r="E310" s="276" t="s">
        <v>9784</v>
      </c>
      <c r="F310" s="276" t="s">
        <v>7080</v>
      </c>
      <c r="G310" s="276" t="s">
        <v>9785</v>
      </c>
      <c r="H310" s="277">
        <v>2009</v>
      </c>
      <c r="I310" s="386">
        <v>39974</v>
      </c>
      <c r="J310" s="276"/>
      <c r="K310" s="276"/>
      <c r="L310" s="385" t="s">
        <v>9786</v>
      </c>
      <c r="M310" s="276"/>
    </row>
    <row r="311" spans="1:13">
      <c r="A311" s="277">
        <f>VLOOKUP(B311, 'PubMed 10.7.21 Results'!B:B, 1, FALSE)</f>
        <v>29938790</v>
      </c>
      <c r="B311" s="277">
        <v>29938790</v>
      </c>
      <c r="C311" s="276" t="s">
        <v>12581</v>
      </c>
      <c r="D311" s="276" t="s">
        <v>12582</v>
      </c>
      <c r="E311" s="276" t="s">
        <v>12583</v>
      </c>
      <c r="F311" s="276" t="s">
        <v>8048</v>
      </c>
      <c r="G311" s="276" t="s">
        <v>8857</v>
      </c>
      <c r="H311" s="277">
        <v>2018</v>
      </c>
      <c r="I311" s="386">
        <v>43277</v>
      </c>
      <c r="J311" s="276" t="s">
        <v>8049</v>
      </c>
      <c r="K311" s="276"/>
      <c r="L311" s="385" t="s">
        <v>12584</v>
      </c>
      <c r="M311" s="276"/>
    </row>
    <row r="312" spans="1:13">
      <c r="A312" s="277">
        <f>VLOOKUP(B312, 'PubMed 10.7.21 Results'!B:B, 1, FALSE)</f>
        <v>23633366</v>
      </c>
      <c r="B312" s="277">
        <v>23633366</v>
      </c>
      <c r="C312" s="276" t="s">
        <v>10724</v>
      </c>
      <c r="D312" s="276" t="s">
        <v>10725</v>
      </c>
      <c r="E312" s="276" t="s">
        <v>10726</v>
      </c>
      <c r="F312" s="276" t="s">
        <v>7653</v>
      </c>
      <c r="G312" s="276" t="s">
        <v>8857</v>
      </c>
      <c r="H312" s="277">
        <v>2013</v>
      </c>
      <c r="I312" s="386">
        <v>41396</v>
      </c>
      <c r="J312" s="276"/>
      <c r="K312" s="276"/>
      <c r="L312" s="385" t="s">
        <v>10727</v>
      </c>
      <c r="M312" s="276"/>
    </row>
    <row r="313" spans="1:13">
      <c r="A313" s="277">
        <f>VLOOKUP(B313, 'PubMed 10.7.21 Results'!B:B, 1, FALSE)</f>
        <v>17257877</v>
      </c>
      <c r="B313" s="277">
        <v>17257877</v>
      </c>
      <c r="C313" s="276" t="s">
        <v>9462</v>
      </c>
      <c r="D313" s="276" t="s">
        <v>9463</v>
      </c>
      <c r="E313" s="276" t="s">
        <v>9464</v>
      </c>
      <c r="F313" s="276" t="s">
        <v>6521</v>
      </c>
      <c r="G313" s="276" t="s">
        <v>9465</v>
      </c>
      <c r="H313" s="277">
        <v>2007</v>
      </c>
      <c r="I313" s="386">
        <v>39112</v>
      </c>
      <c r="J313" s="276"/>
      <c r="K313" s="276"/>
      <c r="L313" s="385" t="s">
        <v>9466</v>
      </c>
      <c r="M313" s="276"/>
    </row>
    <row r="314" spans="1:13">
      <c r="A314" s="277">
        <f>VLOOKUP(B314, 'PubMed 10.7.21 Results'!B:B, 1, FALSE)</f>
        <v>21715512</v>
      </c>
      <c r="B314" s="277">
        <v>21715512</v>
      </c>
      <c r="C314" s="276" t="s">
        <v>10246</v>
      </c>
      <c r="D314" s="276" t="s">
        <v>10247</v>
      </c>
      <c r="E314" s="276" t="s">
        <v>10248</v>
      </c>
      <c r="F314" s="276" t="s">
        <v>7259</v>
      </c>
      <c r="G314" s="276" t="s">
        <v>8935</v>
      </c>
      <c r="H314" s="277">
        <v>2011</v>
      </c>
      <c r="I314" s="386">
        <v>40725</v>
      </c>
      <c r="J314" s="276"/>
      <c r="K314" s="276"/>
      <c r="L314" s="385" t="s">
        <v>10249</v>
      </c>
      <c r="M314" s="276"/>
    </row>
    <row r="315" spans="1:13">
      <c r="A315" s="277">
        <f>VLOOKUP(B315, 'PubMed 10.7.21 Results'!B:B, 1, FALSE)</f>
        <v>18266994</v>
      </c>
      <c r="B315" s="277">
        <v>18266994</v>
      </c>
      <c r="C315" s="276" t="s">
        <v>9578</v>
      </c>
      <c r="D315" s="276" t="s">
        <v>9579</v>
      </c>
      <c r="E315" s="276" t="s">
        <v>9580</v>
      </c>
      <c r="F315" s="276" t="s">
        <v>6836</v>
      </c>
      <c r="G315" s="276" t="s">
        <v>8685</v>
      </c>
      <c r="H315" s="277">
        <v>2008</v>
      </c>
      <c r="I315" s="386">
        <v>39491</v>
      </c>
      <c r="J315" s="276"/>
      <c r="K315" s="276"/>
      <c r="L315" s="385" t="s">
        <v>9581</v>
      </c>
      <c r="M315" s="276"/>
    </row>
    <row r="316" spans="1:13">
      <c r="A316" s="277">
        <f>VLOOKUP(B316, 'PubMed 10.7.21 Results'!B:B, 1, FALSE)</f>
        <v>17350452</v>
      </c>
      <c r="B316" s="277">
        <v>17350452</v>
      </c>
      <c r="C316" s="276" t="s">
        <v>9417</v>
      </c>
      <c r="D316" s="276" t="s">
        <v>9418</v>
      </c>
      <c r="E316" s="276" t="s">
        <v>9419</v>
      </c>
      <c r="F316" s="276" t="s">
        <v>7491</v>
      </c>
      <c r="G316" s="276" t="s">
        <v>9420</v>
      </c>
      <c r="H316" s="277">
        <v>2007</v>
      </c>
      <c r="I316" s="386">
        <v>39155</v>
      </c>
      <c r="J316" s="276"/>
      <c r="K316" s="276"/>
      <c r="L316" s="385" t="s">
        <v>9421</v>
      </c>
      <c r="M316" s="276"/>
    </row>
    <row r="317" spans="1:13">
      <c r="A317" s="277">
        <f>VLOOKUP(B317, 'PubMed 10.7.21 Results'!B:B, 1, FALSE)</f>
        <v>14996516</v>
      </c>
      <c r="B317" s="277">
        <v>14996516</v>
      </c>
      <c r="C317" s="276" t="s">
        <v>9038</v>
      </c>
      <c r="D317" s="276" t="s">
        <v>9039</v>
      </c>
      <c r="E317" s="276" t="s">
        <v>9040</v>
      </c>
      <c r="F317" s="276" t="s">
        <v>4000</v>
      </c>
      <c r="G317" s="276" t="s">
        <v>8640</v>
      </c>
      <c r="H317" s="277">
        <v>2004</v>
      </c>
      <c r="I317" s="386">
        <v>38051</v>
      </c>
      <c r="J317" s="276"/>
      <c r="K317" s="276"/>
      <c r="L317" s="385" t="s">
        <v>9041</v>
      </c>
      <c r="M317" s="276"/>
    </row>
    <row r="318" spans="1:13">
      <c r="A318" s="277">
        <f>VLOOKUP(B318, 'PubMed 10.7.21 Results'!B:B, 1, FALSE)</f>
        <v>29580220</v>
      </c>
      <c r="B318" s="277">
        <v>29580220</v>
      </c>
      <c r="C318" s="276" t="s">
        <v>12465</v>
      </c>
      <c r="D318" s="276" t="s">
        <v>12466</v>
      </c>
      <c r="E318" s="276" t="s">
        <v>12467</v>
      </c>
      <c r="F318" s="276" t="s">
        <v>7537</v>
      </c>
      <c r="G318" s="276" t="s">
        <v>12468</v>
      </c>
      <c r="H318" s="277">
        <v>2018</v>
      </c>
      <c r="I318" s="386">
        <v>43187</v>
      </c>
      <c r="J318" s="276" t="s">
        <v>7538</v>
      </c>
      <c r="K318" s="276"/>
      <c r="L318" s="385" t="s">
        <v>12469</v>
      </c>
      <c r="M318" s="276"/>
    </row>
    <row r="319" spans="1:13">
      <c r="A319" s="277">
        <f>VLOOKUP(B319, 'PubMed 10.7.21 Results'!B:B, 1, FALSE)</f>
        <v>22715866</v>
      </c>
      <c r="B319" s="277">
        <v>22715866</v>
      </c>
      <c r="C319" s="276" t="s">
        <v>10493</v>
      </c>
      <c r="D319" s="276" t="s">
        <v>10494</v>
      </c>
      <c r="E319" s="276" t="s">
        <v>10495</v>
      </c>
      <c r="F319" s="276" t="s">
        <v>7952</v>
      </c>
      <c r="G319" s="276" t="s">
        <v>10496</v>
      </c>
      <c r="H319" s="277">
        <v>2012</v>
      </c>
      <c r="I319" s="386">
        <v>41082</v>
      </c>
      <c r="J319" s="276" t="s">
        <v>7953</v>
      </c>
      <c r="K319" s="276"/>
      <c r="L319" s="385" t="s">
        <v>10497</v>
      </c>
      <c r="M319" s="276"/>
    </row>
    <row r="320" spans="1:13">
      <c r="A320" s="277">
        <f>VLOOKUP(B320, 'PubMed 10.7.21 Results'!B:B, 1, FALSE)</f>
        <v>19486315</v>
      </c>
      <c r="B320" s="277">
        <v>19486315</v>
      </c>
      <c r="C320" s="276" t="s">
        <v>9823</v>
      </c>
      <c r="D320" s="276" t="s">
        <v>9824</v>
      </c>
      <c r="E320" s="276" t="s">
        <v>9825</v>
      </c>
      <c r="F320" s="276" t="s">
        <v>7144</v>
      </c>
      <c r="G320" s="276" t="s">
        <v>9826</v>
      </c>
      <c r="H320" s="277">
        <v>2009</v>
      </c>
      <c r="I320" s="386">
        <v>39967</v>
      </c>
      <c r="J320" s="276"/>
      <c r="K320" s="276"/>
      <c r="L320" s="385" t="s">
        <v>9827</v>
      </c>
      <c r="M320" s="276"/>
    </row>
    <row r="321" spans="1:13">
      <c r="A321" s="277">
        <f>VLOOKUP(B321, 'PubMed 10.7.21 Results'!B:B, 1, FALSE)</f>
        <v>27590399</v>
      </c>
      <c r="B321" s="277">
        <v>27590399</v>
      </c>
      <c r="C321" s="276" t="s">
        <v>11919</v>
      </c>
      <c r="D321" s="276" t="s">
        <v>11920</v>
      </c>
      <c r="E321" s="276" t="s">
        <v>11921</v>
      </c>
      <c r="F321" s="276" t="s">
        <v>7939</v>
      </c>
      <c r="G321" s="276" t="s">
        <v>8762</v>
      </c>
      <c r="H321" s="277">
        <v>2017</v>
      </c>
      <c r="I321" s="386">
        <v>42617</v>
      </c>
      <c r="J321" s="276"/>
      <c r="K321" s="276"/>
      <c r="L321" s="385" t="s">
        <v>11922</v>
      </c>
      <c r="M321" s="276"/>
    </row>
    <row r="322" spans="1:13">
      <c r="A322" s="277">
        <f>VLOOKUP(B322, 'PubMed 10.7.21 Results'!B:B, 1, FALSE)</f>
        <v>26772902</v>
      </c>
      <c r="B322" s="277">
        <v>26772902</v>
      </c>
      <c r="C322" s="276" t="s">
        <v>11615</v>
      </c>
      <c r="D322" s="276" t="s">
        <v>11616</v>
      </c>
      <c r="E322" s="276" t="s">
        <v>11617</v>
      </c>
      <c r="F322" s="276" t="s">
        <v>6696</v>
      </c>
      <c r="G322" s="276" t="s">
        <v>8857</v>
      </c>
      <c r="H322" s="277">
        <v>2016</v>
      </c>
      <c r="I322" s="386">
        <v>42386</v>
      </c>
      <c r="J322" s="276" t="s">
        <v>6697</v>
      </c>
      <c r="K322" s="276"/>
      <c r="L322" s="385" t="s">
        <v>11618</v>
      </c>
      <c r="M322" s="276"/>
    </row>
    <row r="323" spans="1:13">
      <c r="A323" s="277">
        <f>VLOOKUP(B323, 'PubMed 10.7.21 Results'!B:B, 1, FALSE)</f>
        <v>23395587</v>
      </c>
      <c r="B323" s="277">
        <v>23395587</v>
      </c>
      <c r="C323" s="276" t="s">
        <v>10716</v>
      </c>
      <c r="D323" s="276" t="s">
        <v>10717</v>
      </c>
      <c r="E323" s="276" t="s">
        <v>10718</v>
      </c>
      <c r="F323" s="276" t="s">
        <v>6572</v>
      </c>
      <c r="G323" s="276" t="s">
        <v>21</v>
      </c>
      <c r="H323" s="277">
        <v>2013</v>
      </c>
      <c r="I323" s="386">
        <v>41317</v>
      </c>
      <c r="J323" s="276"/>
      <c r="K323" s="276"/>
      <c r="L323" s="385" t="s">
        <v>10719</v>
      </c>
      <c r="M323" s="276"/>
    </row>
    <row r="324" spans="1:13">
      <c r="A324" s="277">
        <f>VLOOKUP(B324, 'PubMed 10.7.21 Results'!B:B, 1, FALSE)</f>
        <v>16292292</v>
      </c>
      <c r="B324" s="277">
        <v>16292292</v>
      </c>
      <c r="C324" s="276" t="s">
        <v>9219</v>
      </c>
      <c r="D324" s="276" t="s">
        <v>9220</v>
      </c>
      <c r="E324" s="276" t="s">
        <v>9221</v>
      </c>
      <c r="F324" s="276" t="s">
        <v>6899</v>
      </c>
      <c r="G324" s="276" t="s">
        <v>9222</v>
      </c>
      <c r="H324" s="277">
        <v>2005</v>
      </c>
      <c r="I324" s="386">
        <v>38674</v>
      </c>
      <c r="J324" s="276" t="s">
        <v>6900</v>
      </c>
      <c r="K324" s="276"/>
      <c r="L324" s="385" t="s">
        <v>9223</v>
      </c>
      <c r="M324" s="276"/>
    </row>
    <row r="325" spans="1:13">
      <c r="A325" s="277">
        <f>VLOOKUP(B325, 'PubMed 10.7.21 Results'!B:B, 1, FALSE)</f>
        <v>25369798</v>
      </c>
      <c r="B325" s="277">
        <v>25369798</v>
      </c>
      <c r="C325" s="276" t="s">
        <v>11200</v>
      </c>
      <c r="D325" s="276" t="s">
        <v>11201</v>
      </c>
      <c r="E325" s="276" t="s">
        <v>11202</v>
      </c>
      <c r="F325" s="276" t="s">
        <v>7644</v>
      </c>
      <c r="G325" s="276" t="s">
        <v>10685</v>
      </c>
      <c r="H325" s="277">
        <v>2014</v>
      </c>
      <c r="I325" s="386">
        <v>41949</v>
      </c>
      <c r="J325" s="276" t="s">
        <v>7645</v>
      </c>
      <c r="K325" s="276"/>
      <c r="L325" s="385" t="s">
        <v>11203</v>
      </c>
      <c r="M325" s="276"/>
    </row>
    <row r="326" spans="1:13">
      <c r="A326" s="277">
        <f>VLOOKUP(B326, 'PubMed 10.7.21 Results'!B:B, 1, FALSE)</f>
        <v>22622405</v>
      </c>
      <c r="B326" s="277">
        <v>22622405</v>
      </c>
      <c r="C326" s="276" t="s">
        <v>10523</v>
      </c>
      <c r="D326" s="276" t="s">
        <v>10524</v>
      </c>
      <c r="E326" s="276" t="s">
        <v>10525</v>
      </c>
      <c r="F326" s="276" t="s">
        <v>6880</v>
      </c>
      <c r="G326" s="276" t="s">
        <v>8504</v>
      </c>
      <c r="H326" s="277">
        <v>2012</v>
      </c>
      <c r="I326" s="386">
        <v>41054</v>
      </c>
      <c r="J326" s="276"/>
      <c r="K326" s="276"/>
      <c r="L326" s="385" t="s">
        <v>10526</v>
      </c>
      <c r="M326" s="276"/>
    </row>
    <row r="327" spans="1:13">
      <c r="A327" s="277">
        <f>VLOOKUP(B327, 'PubMed 10.7.21 Results'!B:B, 1, FALSE)</f>
        <v>27545697</v>
      </c>
      <c r="B327" s="277">
        <v>27545697</v>
      </c>
      <c r="C327" s="276" t="s">
        <v>18883</v>
      </c>
      <c r="D327" s="276" t="s">
        <v>11893</v>
      </c>
      <c r="E327" s="276" t="s">
        <v>11894</v>
      </c>
      <c r="F327" s="276" t="s">
        <v>6793</v>
      </c>
      <c r="G327" s="276" t="s">
        <v>11895</v>
      </c>
      <c r="H327" s="277">
        <v>2016</v>
      </c>
      <c r="I327" s="386">
        <v>42605</v>
      </c>
      <c r="J327" s="276"/>
      <c r="K327" s="276"/>
      <c r="L327" s="385" t="s">
        <v>11896</v>
      </c>
      <c r="M327" s="276"/>
    </row>
    <row r="328" spans="1:13">
      <c r="A328" s="277">
        <f>VLOOKUP(B328, 'PubMed 10.7.21 Results'!B:B, 1, FALSE)</f>
        <v>26865723</v>
      </c>
      <c r="B328" s="277">
        <v>26865723</v>
      </c>
      <c r="C328" s="276" t="s">
        <v>11706</v>
      </c>
      <c r="D328" s="276" t="s">
        <v>11707</v>
      </c>
      <c r="E328" s="276" t="s">
        <v>11708</v>
      </c>
      <c r="F328" s="276" t="s">
        <v>7911</v>
      </c>
      <c r="G328" s="276" t="s">
        <v>9821</v>
      </c>
      <c r="H328" s="277">
        <v>2016</v>
      </c>
      <c r="I328" s="386">
        <v>42412</v>
      </c>
      <c r="J328" s="276" t="s">
        <v>7912</v>
      </c>
      <c r="K328" s="276"/>
      <c r="L328" s="385" t="s">
        <v>11709</v>
      </c>
      <c r="M328" s="276"/>
    </row>
    <row r="329" spans="1:13">
      <c r="A329" s="277">
        <f>VLOOKUP(B329, 'PubMed 10.7.21 Results'!B:B, 1, FALSE)</f>
        <v>10100087</v>
      </c>
      <c r="B329" s="277">
        <v>10100087</v>
      </c>
      <c r="C329" s="276" t="s">
        <v>8647</v>
      </c>
      <c r="D329" s="276" t="s">
        <v>8648</v>
      </c>
      <c r="E329" s="276" t="s">
        <v>8649</v>
      </c>
      <c r="F329" s="276" t="s">
        <v>8051</v>
      </c>
      <c r="G329" s="276" t="s">
        <v>8650</v>
      </c>
      <c r="H329" s="277">
        <v>1999</v>
      </c>
      <c r="I329" s="386">
        <v>36251</v>
      </c>
      <c r="J329" s="276"/>
      <c r="K329" s="276"/>
      <c r="L329" s="385" t="s">
        <v>8651</v>
      </c>
      <c r="M329" s="276"/>
    </row>
    <row r="330" spans="1:13">
      <c r="A330" s="277">
        <f>VLOOKUP(B330, 'PubMed 10.7.21 Results'!B:B, 1, FALSE)</f>
        <v>24713880</v>
      </c>
      <c r="B330" s="277">
        <v>24713880</v>
      </c>
      <c r="C330" s="276" t="s">
        <v>10992</v>
      </c>
      <c r="D330" s="276" t="s">
        <v>10993</v>
      </c>
      <c r="E330" s="276" t="s">
        <v>10994</v>
      </c>
      <c r="F330" s="276" t="s">
        <v>6578</v>
      </c>
      <c r="G330" s="276" t="s">
        <v>10995</v>
      </c>
      <c r="H330" s="277">
        <v>2014</v>
      </c>
      <c r="I330" s="386">
        <v>41739</v>
      </c>
      <c r="J330" s="276" t="s">
        <v>6579</v>
      </c>
      <c r="K330" s="276" t="s">
        <v>10996</v>
      </c>
      <c r="L330" s="385" t="s">
        <v>10997</v>
      </c>
      <c r="M330" s="276"/>
    </row>
    <row r="331" spans="1:13">
      <c r="A331" s="277">
        <f>VLOOKUP(B331, 'PubMed 10.7.21 Results'!B:B, 1, FALSE)</f>
        <v>27120555</v>
      </c>
      <c r="B331" s="277">
        <v>27120555</v>
      </c>
      <c r="C331" s="276" t="s">
        <v>11732</v>
      </c>
      <c r="D331" s="276" t="s">
        <v>11733</v>
      </c>
      <c r="E331" s="276" t="s">
        <v>11734</v>
      </c>
      <c r="F331" s="276" t="s">
        <v>7383</v>
      </c>
      <c r="G331" s="276" t="s">
        <v>8857</v>
      </c>
      <c r="H331" s="277">
        <v>2016</v>
      </c>
      <c r="I331" s="386">
        <v>42488</v>
      </c>
      <c r="J331" s="276"/>
      <c r="K331" s="276"/>
      <c r="L331" s="385" t="s">
        <v>11735</v>
      </c>
      <c r="M331" s="276"/>
    </row>
    <row r="332" spans="1:13">
      <c r="A332" s="277">
        <f>VLOOKUP(B332, 'PubMed 10.7.21 Results'!B:B, 1, FALSE)</f>
        <v>22932397</v>
      </c>
      <c r="B332" s="277">
        <v>22932397</v>
      </c>
      <c r="C332" s="276" t="s">
        <v>10573</v>
      </c>
      <c r="D332" s="276" t="s">
        <v>10574</v>
      </c>
      <c r="E332" s="276" t="s">
        <v>10575</v>
      </c>
      <c r="F332" s="276" t="s">
        <v>7685</v>
      </c>
      <c r="G332" s="276" t="s">
        <v>8504</v>
      </c>
      <c r="H332" s="277">
        <v>2012</v>
      </c>
      <c r="I332" s="386">
        <v>41152</v>
      </c>
      <c r="J332" s="276"/>
      <c r="K332" s="276"/>
      <c r="L332" s="385" t="s">
        <v>10576</v>
      </c>
      <c r="M332" s="276"/>
    </row>
    <row r="333" spans="1:13">
      <c r="A333" s="277">
        <f>VLOOKUP(B333, 'PubMed 10.7.21 Results'!B:B, 1, FALSE)</f>
        <v>17319161</v>
      </c>
      <c r="B333" s="277">
        <v>17319161</v>
      </c>
      <c r="C333" s="276" t="s">
        <v>9264</v>
      </c>
      <c r="D333" s="276" t="s">
        <v>9265</v>
      </c>
      <c r="E333" s="276" t="s">
        <v>9266</v>
      </c>
      <c r="F333" s="276" t="s">
        <v>7772</v>
      </c>
      <c r="G333" s="276" t="s">
        <v>9259</v>
      </c>
      <c r="H333" s="277">
        <v>2006</v>
      </c>
      <c r="I333" s="386">
        <v>39140</v>
      </c>
      <c r="J333" s="276"/>
      <c r="K333" s="276"/>
      <c r="L333" s="276"/>
      <c r="M333" s="276"/>
    </row>
    <row r="334" spans="1:13">
      <c r="A334" s="277">
        <f>VLOOKUP(B334, 'PubMed 10.7.21 Results'!B:B, 1, FALSE)</f>
        <v>14768404</v>
      </c>
      <c r="B334" s="277">
        <v>14768404</v>
      </c>
      <c r="C334" s="276" t="s">
        <v>9021</v>
      </c>
      <c r="D334" s="276" t="s">
        <v>9022</v>
      </c>
      <c r="E334" s="276" t="s">
        <v>9023</v>
      </c>
      <c r="F334" s="276" t="s">
        <v>8144</v>
      </c>
      <c r="G334" s="276" t="s">
        <v>9024</v>
      </c>
      <c r="H334" s="277">
        <v>2003</v>
      </c>
      <c r="I334" s="386">
        <v>38028</v>
      </c>
      <c r="J334" s="276"/>
      <c r="K334" s="276"/>
      <c r="L334" s="276"/>
      <c r="M334" s="276"/>
    </row>
    <row r="335" spans="1:13">
      <c r="A335" s="277">
        <f>VLOOKUP(B335, 'PubMed 10.7.21 Results'!B:B, 1, FALSE)</f>
        <v>22838300</v>
      </c>
      <c r="B335" s="277">
        <v>22838300</v>
      </c>
      <c r="C335" s="276" t="s">
        <v>10470</v>
      </c>
      <c r="D335" s="276" t="s">
        <v>10471</v>
      </c>
      <c r="E335" s="276" t="s">
        <v>10472</v>
      </c>
      <c r="F335" s="276" t="s">
        <v>7370</v>
      </c>
      <c r="G335" s="276" t="s">
        <v>10473</v>
      </c>
      <c r="H335" s="277">
        <v>2012</v>
      </c>
      <c r="I335" s="386">
        <v>41121</v>
      </c>
      <c r="J335" s="276"/>
      <c r="K335" s="276"/>
      <c r="L335" s="276"/>
      <c r="M335" s="276"/>
    </row>
    <row r="336" spans="1:13">
      <c r="A336" s="277">
        <f>VLOOKUP(B336, 'PubMed 10.7.21 Results'!B:B, 1, FALSE)</f>
        <v>16443000</v>
      </c>
      <c r="B336" s="277">
        <v>16443000</v>
      </c>
      <c r="C336" s="276" t="s">
        <v>9247</v>
      </c>
      <c r="D336" s="276" t="s">
        <v>9248</v>
      </c>
      <c r="E336" s="276" t="s">
        <v>9249</v>
      </c>
      <c r="F336" s="276" t="s">
        <v>7535</v>
      </c>
      <c r="G336" s="276" t="s">
        <v>9250</v>
      </c>
      <c r="H336" s="277">
        <v>2006</v>
      </c>
      <c r="I336" s="386">
        <v>38748</v>
      </c>
      <c r="J336" s="276"/>
      <c r="K336" s="276"/>
      <c r="L336" s="385" t="s">
        <v>9251</v>
      </c>
      <c r="M336" s="276"/>
    </row>
    <row r="337" spans="1:13">
      <c r="A337" s="277">
        <f>VLOOKUP(B337, 'PubMed 10.7.21 Results'!B:B, 1, FALSE)</f>
        <v>21420657</v>
      </c>
      <c r="B337" s="277">
        <v>21420657</v>
      </c>
      <c r="C337" s="276" t="s">
        <v>10163</v>
      </c>
      <c r="D337" s="276" t="s">
        <v>10164</v>
      </c>
      <c r="E337" s="276" t="s">
        <v>10165</v>
      </c>
      <c r="F337" s="276" t="s">
        <v>6947</v>
      </c>
      <c r="G337" s="276" t="s">
        <v>10166</v>
      </c>
      <c r="H337" s="277">
        <v>2011</v>
      </c>
      <c r="I337" s="386">
        <v>40625</v>
      </c>
      <c r="J337" s="276" t="s">
        <v>6948</v>
      </c>
      <c r="K337" s="276"/>
      <c r="L337" s="385" t="s">
        <v>10167</v>
      </c>
      <c r="M337" s="276"/>
    </row>
    <row r="338" spans="1:13">
      <c r="A338" s="277">
        <f>VLOOKUP(B338, 'PubMed 10.7.21 Results'!B:B, 1, FALSE)</f>
        <v>25801552</v>
      </c>
      <c r="B338" s="277">
        <v>25801552</v>
      </c>
      <c r="C338" s="276" t="s">
        <v>11254</v>
      </c>
      <c r="D338" s="276" t="s">
        <v>11255</v>
      </c>
      <c r="E338" s="276" t="s">
        <v>11256</v>
      </c>
      <c r="F338" s="276" t="s">
        <v>7721</v>
      </c>
      <c r="G338" s="276" t="s">
        <v>8675</v>
      </c>
      <c r="H338" s="277">
        <v>2015</v>
      </c>
      <c r="I338" s="386">
        <v>42088</v>
      </c>
      <c r="J338" s="276" t="s">
        <v>7722</v>
      </c>
      <c r="K338" s="276"/>
      <c r="L338" s="385" t="s">
        <v>11257</v>
      </c>
      <c r="M338" s="276"/>
    </row>
    <row r="339" spans="1:13">
      <c r="A339" s="277">
        <f>VLOOKUP(B339, 'PubMed 10.7.21 Results'!B:B, 1, FALSE)</f>
        <v>21459680</v>
      </c>
      <c r="B339" s="277">
        <v>21459680</v>
      </c>
      <c r="C339" s="276" t="s">
        <v>10216</v>
      </c>
      <c r="D339" s="276" t="s">
        <v>10217</v>
      </c>
      <c r="E339" s="276" t="s">
        <v>10218</v>
      </c>
      <c r="F339" s="276" t="s">
        <v>7746</v>
      </c>
      <c r="G339" s="276" t="s">
        <v>10219</v>
      </c>
      <c r="H339" s="277">
        <v>2011</v>
      </c>
      <c r="I339" s="386">
        <v>40638</v>
      </c>
      <c r="J339" s="276"/>
      <c r="K339" s="276"/>
      <c r="L339" s="385" t="s">
        <v>10220</v>
      </c>
      <c r="M339" s="276"/>
    </row>
    <row r="340" spans="1:13">
      <c r="A340" s="277">
        <f>VLOOKUP(B340, 'PubMed 10.7.21 Results'!B:B, 1, FALSE)</f>
        <v>16789795</v>
      </c>
      <c r="B340" s="277">
        <v>16789795</v>
      </c>
      <c r="C340" s="276" t="s">
        <v>9252</v>
      </c>
      <c r="D340" s="276" t="s">
        <v>9253</v>
      </c>
      <c r="E340" s="276" t="s">
        <v>9254</v>
      </c>
      <c r="F340" s="276" t="s">
        <v>8116</v>
      </c>
      <c r="G340" s="276" t="s">
        <v>8509</v>
      </c>
      <c r="H340" s="277">
        <v>2006</v>
      </c>
      <c r="I340" s="386">
        <v>38891</v>
      </c>
      <c r="J340" s="276"/>
      <c r="K340" s="276"/>
      <c r="L340" s="385" t="s">
        <v>9255</v>
      </c>
      <c r="M340" s="276"/>
    </row>
    <row r="341" spans="1:13">
      <c r="A341" s="277">
        <f>VLOOKUP(B341, 'PubMed 10.7.21 Results'!B:B, 1, FALSE)</f>
        <v>18729535</v>
      </c>
      <c r="B341" s="277">
        <v>18729535</v>
      </c>
      <c r="C341" s="276" t="s">
        <v>9526</v>
      </c>
      <c r="D341" s="276" t="s">
        <v>9527</v>
      </c>
      <c r="E341" s="276" t="s">
        <v>9528</v>
      </c>
      <c r="F341" s="276" t="s">
        <v>6771</v>
      </c>
      <c r="G341" s="276" t="s">
        <v>8509</v>
      </c>
      <c r="H341" s="277">
        <v>2008</v>
      </c>
      <c r="I341" s="386">
        <v>39690</v>
      </c>
      <c r="J341" s="276"/>
      <c r="K341" s="276"/>
      <c r="L341" s="385" t="s">
        <v>9529</v>
      </c>
      <c r="M341" s="276"/>
    </row>
    <row r="342" spans="1:13">
      <c r="A342" s="277">
        <f>VLOOKUP(B342, 'PubMed 10.7.21 Results'!B:B, 1, FALSE)</f>
        <v>11445748</v>
      </c>
      <c r="B342" s="277">
        <v>11445748</v>
      </c>
      <c r="C342" s="276" t="s">
        <v>8794</v>
      </c>
      <c r="D342" s="276" t="s">
        <v>8795</v>
      </c>
      <c r="E342" s="276" t="s">
        <v>8796</v>
      </c>
      <c r="F342" s="276" t="s">
        <v>5170</v>
      </c>
      <c r="G342" s="276" t="s">
        <v>8504</v>
      </c>
      <c r="H342" s="277">
        <v>2001</v>
      </c>
      <c r="I342" s="386">
        <v>37083</v>
      </c>
      <c r="J342" s="276"/>
      <c r="K342" s="276"/>
      <c r="L342" s="385" t="s">
        <v>8797</v>
      </c>
      <c r="M342" s="276"/>
    </row>
    <row r="343" spans="1:13">
      <c r="A343" s="277">
        <f>VLOOKUP(B343, 'PubMed 10.7.21 Results'!B:B, 1, FALSE)</f>
        <v>18492259</v>
      </c>
      <c r="B343" s="277">
        <v>18492259</v>
      </c>
      <c r="C343" s="276" t="s">
        <v>9592</v>
      </c>
      <c r="D343" s="276" t="s">
        <v>9593</v>
      </c>
      <c r="E343" s="276" t="s">
        <v>9594</v>
      </c>
      <c r="F343" s="276" t="s">
        <v>7030</v>
      </c>
      <c r="G343" s="276" t="s">
        <v>9595</v>
      </c>
      <c r="H343" s="277">
        <v>2008</v>
      </c>
      <c r="I343" s="386">
        <v>39590</v>
      </c>
      <c r="J343" s="276" t="s">
        <v>7031</v>
      </c>
      <c r="K343" s="276"/>
      <c r="L343" s="385" t="s">
        <v>9596</v>
      </c>
      <c r="M343" s="276"/>
    </row>
    <row r="344" spans="1:13">
      <c r="A344" s="277">
        <f>VLOOKUP(B344, 'PubMed 10.7.21 Results'!B:B, 1, FALSE)</f>
        <v>24602844</v>
      </c>
      <c r="B344" s="277">
        <v>24602844</v>
      </c>
      <c r="C344" s="276" t="s">
        <v>10973</v>
      </c>
      <c r="D344" s="276" t="s">
        <v>10974</v>
      </c>
      <c r="E344" s="276" t="s">
        <v>10975</v>
      </c>
      <c r="F344" s="276" t="s">
        <v>6989</v>
      </c>
      <c r="G344" s="276" t="s">
        <v>10976</v>
      </c>
      <c r="H344" s="277">
        <v>2014</v>
      </c>
      <c r="I344" s="386">
        <v>41706</v>
      </c>
      <c r="J344" s="276" t="s">
        <v>6990</v>
      </c>
      <c r="K344" s="276" t="s">
        <v>10977</v>
      </c>
      <c r="L344" s="385" t="s">
        <v>10978</v>
      </c>
      <c r="M344" s="276"/>
    </row>
    <row r="345" spans="1:13">
      <c r="A345" s="277">
        <f>VLOOKUP(B345, 'PubMed 10.7.21 Results'!B:B, 1, FALSE)</f>
        <v>20350952</v>
      </c>
      <c r="B345" s="277">
        <v>20350952</v>
      </c>
      <c r="C345" s="276" t="s">
        <v>10088</v>
      </c>
      <c r="D345" s="276" t="s">
        <v>10089</v>
      </c>
      <c r="E345" s="276" t="s">
        <v>10090</v>
      </c>
      <c r="F345" s="276" t="s">
        <v>7746</v>
      </c>
      <c r="G345" s="276" t="s">
        <v>10091</v>
      </c>
      <c r="H345" s="277">
        <v>2010</v>
      </c>
      <c r="I345" s="386">
        <v>40268</v>
      </c>
      <c r="J345" s="276"/>
      <c r="K345" s="276"/>
      <c r="L345" s="385" t="s">
        <v>10092</v>
      </c>
      <c r="M345" s="276"/>
    </row>
    <row r="346" spans="1:13">
      <c r="A346" s="277">
        <f>VLOOKUP(B346, 'PubMed 10.7.21 Results'!B:B, 1, FALSE)</f>
        <v>27001804</v>
      </c>
      <c r="B346" s="277">
        <v>27001804</v>
      </c>
      <c r="C346" s="276" t="s">
        <v>11771</v>
      </c>
      <c r="D346" s="276" t="s">
        <v>11772</v>
      </c>
      <c r="E346" s="276" t="s">
        <v>11773</v>
      </c>
      <c r="F346" s="276" t="s">
        <v>296</v>
      </c>
      <c r="G346" s="276" t="s">
        <v>9152</v>
      </c>
      <c r="H346" s="277">
        <v>2016</v>
      </c>
      <c r="I346" s="386">
        <v>42452</v>
      </c>
      <c r="J346" s="276" t="s">
        <v>6651</v>
      </c>
      <c r="K346" s="276"/>
      <c r="L346" s="385" t="s">
        <v>11774</v>
      </c>
      <c r="M346" s="276"/>
    </row>
    <row r="347" spans="1:13">
      <c r="A347" s="277">
        <f>VLOOKUP(B347, 'PubMed 10.7.21 Results'!B:B, 1, FALSE)</f>
        <v>9660258</v>
      </c>
      <c r="B347" s="277">
        <v>9660258</v>
      </c>
      <c r="C347" s="276" t="s">
        <v>8614</v>
      </c>
      <c r="D347" s="276" t="s">
        <v>8615</v>
      </c>
      <c r="E347" s="276" t="s">
        <v>8616</v>
      </c>
      <c r="F347" s="276" t="s">
        <v>7312</v>
      </c>
      <c r="G347" s="276" t="s">
        <v>8617</v>
      </c>
      <c r="H347" s="277">
        <v>1998</v>
      </c>
      <c r="I347" s="386">
        <v>35987</v>
      </c>
      <c r="J347" s="276"/>
      <c r="K347" s="276"/>
      <c r="L347" s="385" t="s">
        <v>8618</v>
      </c>
      <c r="M347" s="276"/>
    </row>
    <row r="348" spans="1:13">
      <c r="A348" s="277">
        <f>VLOOKUP(B348, 'PubMed 10.7.21 Results'!B:B, 1, FALSE)</f>
        <v>21333346</v>
      </c>
      <c r="B348" s="277">
        <v>21333346</v>
      </c>
      <c r="C348" s="276" t="s">
        <v>10177</v>
      </c>
      <c r="D348" s="276" t="s">
        <v>10178</v>
      </c>
      <c r="E348" s="276" t="s">
        <v>10179</v>
      </c>
      <c r="F348" s="276" t="s">
        <v>6594</v>
      </c>
      <c r="G348" s="276" t="s">
        <v>9004</v>
      </c>
      <c r="H348" s="277">
        <v>2011</v>
      </c>
      <c r="I348" s="386">
        <v>40596</v>
      </c>
      <c r="J348" s="276"/>
      <c r="K348" s="276"/>
      <c r="L348" s="385" t="s">
        <v>10180</v>
      </c>
      <c r="M348" s="276"/>
    </row>
    <row r="349" spans="1:13">
      <c r="A349" s="277">
        <f>VLOOKUP(B349, 'PubMed 10.7.21 Results'!B:B, 1, FALSE)</f>
        <v>27347292</v>
      </c>
      <c r="B349" s="277">
        <v>27347292</v>
      </c>
      <c r="C349" s="276" t="s">
        <v>11723</v>
      </c>
      <c r="D349" s="276" t="s">
        <v>11724</v>
      </c>
      <c r="E349" s="276" t="s">
        <v>11725</v>
      </c>
      <c r="F349" s="276" t="s">
        <v>7472</v>
      </c>
      <c r="G349" s="276" t="s">
        <v>11726</v>
      </c>
      <c r="H349" s="277">
        <v>2016</v>
      </c>
      <c r="I349" s="386">
        <v>42549</v>
      </c>
      <c r="J349" s="276" t="s">
        <v>7473</v>
      </c>
      <c r="K349" s="276"/>
      <c r="L349" s="385" t="s">
        <v>11727</v>
      </c>
      <c r="M349" s="276"/>
    </row>
    <row r="350" spans="1:13">
      <c r="A350" s="277">
        <f>VLOOKUP(B350, 'PubMed 10.7.21 Results'!B:B, 1, FALSE)</f>
        <v>9153367</v>
      </c>
      <c r="B350" s="277">
        <v>9153367</v>
      </c>
      <c r="C350" s="276" t="s">
        <v>8577</v>
      </c>
      <c r="D350" s="276" t="s">
        <v>8578</v>
      </c>
      <c r="E350" s="276" t="s">
        <v>8579</v>
      </c>
      <c r="F350" s="276" t="s">
        <v>4737</v>
      </c>
      <c r="G350" s="276" t="s">
        <v>8580</v>
      </c>
      <c r="H350" s="277">
        <v>1997</v>
      </c>
      <c r="I350" s="386">
        <v>35571</v>
      </c>
      <c r="J350" s="276"/>
      <c r="K350" s="276"/>
      <c r="L350" s="276"/>
      <c r="M350" s="276"/>
    </row>
    <row r="351" spans="1:13">
      <c r="A351" s="277">
        <f>VLOOKUP(B351, 'PubMed 10.7.21 Results'!B:B, 1, FALSE)</f>
        <v>19436693</v>
      </c>
      <c r="B351" s="277">
        <v>19436693</v>
      </c>
      <c r="C351" s="276" t="s">
        <v>9674</v>
      </c>
      <c r="D351" s="276" t="s">
        <v>9675</v>
      </c>
      <c r="E351" s="276" t="s">
        <v>9676</v>
      </c>
      <c r="F351" s="276" t="s">
        <v>6504</v>
      </c>
      <c r="G351" s="276" t="s">
        <v>9677</v>
      </c>
      <c r="H351" s="277">
        <v>2009</v>
      </c>
      <c r="I351" s="386">
        <v>39947</v>
      </c>
      <c r="J351" s="276" t="s">
        <v>6505</v>
      </c>
      <c r="K351" s="276"/>
      <c r="L351" s="276"/>
      <c r="M351" s="276"/>
    </row>
    <row r="352" spans="1:13">
      <c r="A352" s="277">
        <f>VLOOKUP(B352, 'PubMed 10.7.21 Results'!B:B, 1, FALSE)</f>
        <v>21397770</v>
      </c>
      <c r="B352" s="277">
        <v>21397770</v>
      </c>
      <c r="C352" s="276" t="s">
        <v>10118</v>
      </c>
      <c r="D352" s="276" t="s">
        <v>10119</v>
      </c>
      <c r="E352" s="276" t="s">
        <v>10120</v>
      </c>
      <c r="F352" s="276" t="s">
        <v>7828</v>
      </c>
      <c r="G352" s="276" t="s">
        <v>8640</v>
      </c>
      <c r="H352" s="277">
        <v>2011</v>
      </c>
      <c r="I352" s="386">
        <v>40617</v>
      </c>
      <c r="J352" s="276"/>
      <c r="K352" s="276"/>
      <c r="L352" s="385" t="s">
        <v>10121</v>
      </c>
      <c r="M352" s="276"/>
    </row>
    <row r="353" spans="1:13">
      <c r="A353" s="277">
        <f>VLOOKUP(B353, 'PubMed 10.7.21 Results'!B:B, 1, FALSE)</f>
        <v>26545294</v>
      </c>
      <c r="B353" s="277">
        <v>26545294</v>
      </c>
      <c r="C353" s="276" t="s">
        <v>11529</v>
      </c>
      <c r="D353" s="276" t="s">
        <v>11530</v>
      </c>
      <c r="E353" s="276" t="s">
        <v>11531</v>
      </c>
      <c r="F353" s="276" t="s">
        <v>7879</v>
      </c>
      <c r="G353" s="276" t="s">
        <v>8857</v>
      </c>
      <c r="H353" s="277">
        <v>2015</v>
      </c>
      <c r="I353" s="386">
        <v>42315</v>
      </c>
      <c r="J353" s="276"/>
      <c r="K353" s="276"/>
      <c r="L353" s="385" t="s">
        <v>11532</v>
      </c>
      <c r="M353" s="276"/>
    </row>
    <row r="354" spans="1:13">
      <c r="A354" s="277">
        <f>VLOOKUP(B354, 'PubMed 10.7.21 Results'!B:B, 1, FALSE)</f>
        <v>29280783</v>
      </c>
      <c r="B354" s="277">
        <v>29280783</v>
      </c>
      <c r="C354" s="276" t="s">
        <v>12635</v>
      </c>
      <c r="D354" s="276" t="s">
        <v>12636</v>
      </c>
      <c r="E354" s="276" t="s">
        <v>12637</v>
      </c>
      <c r="F354" s="276" t="s">
        <v>6646</v>
      </c>
      <c r="G354" s="276" t="s">
        <v>12638</v>
      </c>
      <c r="H354" s="277">
        <v>2018</v>
      </c>
      <c r="I354" s="386">
        <v>43097</v>
      </c>
      <c r="J354" s="276" t="s">
        <v>6647</v>
      </c>
      <c r="K354" s="276" t="s">
        <v>12639</v>
      </c>
      <c r="L354" s="385" t="s">
        <v>12640</v>
      </c>
      <c r="M354" s="276"/>
    </row>
    <row r="355" spans="1:13">
      <c r="A355" s="277">
        <f>VLOOKUP(B355, 'PubMed 10.7.21 Results'!B:B, 1, FALSE)</f>
        <v>15190957</v>
      </c>
      <c r="B355" s="277">
        <v>15190957</v>
      </c>
      <c r="C355" s="276" t="s">
        <v>9090</v>
      </c>
      <c r="D355" s="276" t="s">
        <v>9091</v>
      </c>
      <c r="E355" s="276" t="s">
        <v>9092</v>
      </c>
      <c r="F355" s="276" t="s">
        <v>7667</v>
      </c>
      <c r="G355" s="276" t="s">
        <v>8504</v>
      </c>
      <c r="H355" s="277">
        <v>2004</v>
      </c>
      <c r="I355" s="386">
        <v>38150</v>
      </c>
      <c r="J355" s="276"/>
      <c r="K355" s="276"/>
      <c r="L355" s="385" t="s">
        <v>9093</v>
      </c>
      <c r="M355" s="276"/>
    </row>
    <row r="356" spans="1:13">
      <c r="A356" s="277">
        <f>VLOOKUP(B356, 'PubMed 10.7.21 Results'!B:B, 1, FALSE)</f>
        <v>16449273</v>
      </c>
      <c r="B356" s="277">
        <v>16449273</v>
      </c>
      <c r="C356" s="276" t="s">
        <v>9298</v>
      </c>
      <c r="D356" s="276" t="s">
        <v>9299</v>
      </c>
      <c r="E356" s="276" t="s">
        <v>9300</v>
      </c>
      <c r="F356" s="276" t="s">
        <v>8070</v>
      </c>
      <c r="G356" s="276" t="s">
        <v>8575</v>
      </c>
      <c r="H356" s="277">
        <v>2006</v>
      </c>
      <c r="I356" s="386">
        <v>38750</v>
      </c>
      <c r="J356" s="276" t="s">
        <v>8071</v>
      </c>
      <c r="K356" s="276"/>
      <c r="L356" s="385" t="s">
        <v>9301</v>
      </c>
      <c r="M356" s="276"/>
    </row>
    <row r="357" spans="1:13">
      <c r="A357" s="277">
        <f>VLOOKUP(B357, 'PubMed 10.7.21 Results'!B:B, 1, FALSE)</f>
        <v>17483254</v>
      </c>
      <c r="B357" s="277">
        <v>17483254</v>
      </c>
      <c r="C357" s="276" t="s">
        <v>9448</v>
      </c>
      <c r="D357" s="276" t="s">
        <v>9449</v>
      </c>
      <c r="E357" s="276" t="s">
        <v>9450</v>
      </c>
      <c r="F357" s="276" t="s">
        <v>6819</v>
      </c>
      <c r="G357" s="276" t="s">
        <v>9451</v>
      </c>
      <c r="H357" s="277">
        <v>2007</v>
      </c>
      <c r="I357" s="386">
        <v>39210</v>
      </c>
      <c r="J357" s="276" t="s">
        <v>6820</v>
      </c>
      <c r="K357" s="276"/>
      <c r="L357" s="385" t="s">
        <v>9452</v>
      </c>
      <c r="M357" s="276"/>
    </row>
    <row r="358" spans="1:13">
      <c r="A358" s="277">
        <f>VLOOKUP(B358, 'PubMed 10.7.21 Results'!B:B, 1, FALSE)</f>
        <v>9237318</v>
      </c>
      <c r="B358" s="277">
        <v>9237318</v>
      </c>
      <c r="C358" s="276" t="s">
        <v>8599</v>
      </c>
      <c r="D358" s="276" t="s">
        <v>8600</v>
      </c>
      <c r="E358" s="276" t="s">
        <v>8601</v>
      </c>
      <c r="F358" s="276" t="s">
        <v>7677</v>
      </c>
      <c r="G358" s="276" t="s">
        <v>8602</v>
      </c>
      <c r="H358" s="277">
        <v>1997</v>
      </c>
      <c r="I358" s="386">
        <v>35704</v>
      </c>
      <c r="J358" s="276"/>
      <c r="K358" s="276"/>
      <c r="L358" s="385" t="s">
        <v>8603</v>
      </c>
      <c r="M358" s="276"/>
    </row>
    <row r="359" spans="1:13">
      <c r="A359" s="277">
        <f>VLOOKUP(B359, 'PubMed 10.7.21 Results'!B:B, 1, FALSE)</f>
        <v>12794395</v>
      </c>
      <c r="B359" s="277">
        <v>12794395</v>
      </c>
      <c r="C359" s="276" t="s">
        <v>8988</v>
      </c>
      <c r="D359" s="276" t="s">
        <v>8989</v>
      </c>
      <c r="E359" s="276" t="s">
        <v>8990</v>
      </c>
      <c r="F359" s="276" t="s">
        <v>7768</v>
      </c>
      <c r="G359" s="276" t="s">
        <v>8504</v>
      </c>
      <c r="H359" s="277">
        <v>2003</v>
      </c>
      <c r="I359" s="386">
        <v>37782</v>
      </c>
      <c r="J359" s="276"/>
      <c r="K359" s="276"/>
      <c r="L359" s="385" t="s">
        <v>8991</v>
      </c>
      <c r="M359" s="276"/>
    </row>
    <row r="360" spans="1:13">
      <c r="A360" s="277">
        <f>VLOOKUP(B360, 'PubMed 10.7.21 Results'!B:B, 1, FALSE)</f>
        <v>26068490</v>
      </c>
      <c r="B360" s="277">
        <v>26068490</v>
      </c>
      <c r="C360" s="276" t="s">
        <v>11425</v>
      </c>
      <c r="D360" s="276" t="s">
        <v>11426</v>
      </c>
      <c r="E360" s="276" t="s">
        <v>11427</v>
      </c>
      <c r="F360" s="276" t="s">
        <v>6939</v>
      </c>
      <c r="G360" s="276" t="s">
        <v>11428</v>
      </c>
      <c r="H360" s="277">
        <v>2015</v>
      </c>
      <c r="I360" s="386">
        <v>42168</v>
      </c>
      <c r="J360" s="276"/>
      <c r="K360" s="276"/>
      <c r="L360" s="385" t="s">
        <v>11429</v>
      </c>
      <c r="M360" s="276"/>
    </row>
    <row r="361" spans="1:13">
      <c r="A361" s="277">
        <f>VLOOKUP(B361, 'PubMed 10.7.21 Results'!B:B, 1, FALSE)</f>
        <v>25033291</v>
      </c>
      <c r="B361" s="277">
        <v>25033291</v>
      </c>
      <c r="C361" s="276" t="s">
        <v>11094</v>
      </c>
      <c r="D361" s="276" t="s">
        <v>11095</v>
      </c>
      <c r="E361" s="276" t="s">
        <v>11096</v>
      </c>
      <c r="F361" s="276" t="s">
        <v>5361</v>
      </c>
      <c r="G361" s="276" t="s">
        <v>11097</v>
      </c>
      <c r="H361" s="277">
        <v>2014</v>
      </c>
      <c r="I361" s="386">
        <v>41838</v>
      </c>
      <c r="J361" s="276" t="s">
        <v>7168</v>
      </c>
      <c r="K361" s="276"/>
      <c r="L361" s="385" t="s">
        <v>11098</v>
      </c>
      <c r="M361" s="276"/>
    </row>
    <row r="362" spans="1:13">
      <c r="A362" s="277">
        <f>VLOOKUP(B362, 'PubMed 10.7.21 Results'!B:B, 1, FALSE)</f>
        <v>11022799</v>
      </c>
      <c r="B362" s="277">
        <v>11022799</v>
      </c>
      <c r="C362" s="276" t="s">
        <v>8746</v>
      </c>
      <c r="D362" s="276" t="s">
        <v>8747</v>
      </c>
      <c r="E362" s="276" t="s">
        <v>8748</v>
      </c>
      <c r="F362" s="276" t="s">
        <v>6485</v>
      </c>
      <c r="G362" s="276" t="s">
        <v>8749</v>
      </c>
      <c r="H362" s="277">
        <v>2000</v>
      </c>
      <c r="I362" s="386">
        <v>36806</v>
      </c>
      <c r="J362" s="276"/>
      <c r="K362" s="276"/>
      <c r="L362" s="385" t="s">
        <v>8750</v>
      </c>
      <c r="M362" s="276"/>
    </row>
    <row r="363" spans="1:13">
      <c r="A363" s="277">
        <f>VLOOKUP(B363, 'PubMed 10.7.21 Results'!B:B, 1, FALSE)</f>
        <v>25922858</v>
      </c>
      <c r="B363" s="277">
        <v>25922858</v>
      </c>
      <c r="C363" s="276" t="s">
        <v>11293</v>
      </c>
      <c r="D363" s="276" t="s">
        <v>11294</v>
      </c>
      <c r="E363" s="276" t="s">
        <v>11295</v>
      </c>
      <c r="F363" s="276" t="s">
        <v>6695</v>
      </c>
      <c r="G363" s="276" t="s">
        <v>8857</v>
      </c>
      <c r="H363" s="277">
        <v>2015</v>
      </c>
      <c r="I363" s="386">
        <v>42124</v>
      </c>
      <c r="J363" s="276"/>
      <c r="K363" s="276"/>
      <c r="L363" s="385" t="s">
        <v>11296</v>
      </c>
      <c r="M363" s="276"/>
    </row>
    <row r="364" spans="1:13">
      <c r="A364" s="277">
        <f>VLOOKUP(B364, 'PubMed 10.7.21 Results'!B:B, 1, FALSE)</f>
        <v>23440791</v>
      </c>
      <c r="B364" s="277">
        <v>23440791</v>
      </c>
      <c r="C364" s="276" t="s">
        <v>10652</v>
      </c>
      <c r="D364" s="276" t="s">
        <v>10653</v>
      </c>
      <c r="E364" s="276" t="s">
        <v>10654</v>
      </c>
      <c r="F364" s="276" t="s">
        <v>7203</v>
      </c>
      <c r="G364" s="276" t="s">
        <v>8857</v>
      </c>
      <c r="H364" s="277">
        <v>2013</v>
      </c>
      <c r="I364" s="386">
        <v>41332</v>
      </c>
      <c r="J364" s="276" t="s">
        <v>7204</v>
      </c>
      <c r="K364" s="276"/>
      <c r="L364" s="385" t="s">
        <v>10655</v>
      </c>
      <c r="M364" s="276"/>
    </row>
    <row r="365" spans="1:13">
      <c r="A365" s="277">
        <f>VLOOKUP(B365, 'PubMed 10.7.21 Results'!B:B, 1, FALSE)</f>
        <v>19160254</v>
      </c>
      <c r="B365" s="277">
        <v>19160254</v>
      </c>
      <c r="C365" s="276" t="s">
        <v>9691</v>
      </c>
      <c r="D365" s="276" t="s">
        <v>9692</v>
      </c>
      <c r="E365" s="276" t="s">
        <v>9693</v>
      </c>
      <c r="F365" s="276" t="s">
        <v>7372</v>
      </c>
      <c r="G365" s="276" t="s">
        <v>8857</v>
      </c>
      <c r="H365" s="277">
        <v>2009</v>
      </c>
      <c r="I365" s="386">
        <v>39836</v>
      </c>
      <c r="J365" s="276"/>
      <c r="K365" s="276"/>
      <c r="L365" s="385" t="s">
        <v>9694</v>
      </c>
      <c r="M365" s="276"/>
    </row>
    <row r="366" spans="1:13">
      <c r="A366" s="277">
        <f>VLOOKUP(B366, 'PubMed 10.7.21 Results'!B:B, 1, FALSE)</f>
        <v>16210717</v>
      </c>
      <c r="B366" s="277">
        <v>16210717</v>
      </c>
      <c r="C366" s="276" t="s">
        <v>9198</v>
      </c>
      <c r="D366" s="276" t="s">
        <v>9199</v>
      </c>
      <c r="E366" s="276" t="s">
        <v>9200</v>
      </c>
      <c r="F366" s="276" t="s">
        <v>8001</v>
      </c>
      <c r="G366" s="276" t="s">
        <v>8935</v>
      </c>
      <c r="H366" s="277">
        <v>2005</v>
      </c>
      <c r="I366" s="386">
        <v>38633</v>
      </c>
      <c r="J366" s="276"/>
      <c r="K366" s="276"/>
      <c r="L366" s="385" t="s">
        <v>9201</v>
      </c>
      <c r="M366" s="276"/>
    </row>
    <row r="367" spans="1:13">
      <c r="A367" s="277">
        <f>VLOOKUP(B367, 'PubMed 10.7.21 Results'!B:B, 1, FALSE)</f>
        <v>11060682</v>
      </c>
      <c r="B367" s="277">
        <v>11060682</v>
      </c>
      <c r="C367" s="276" t="s">
        <v>8731</v>
      </c>
      <c r="D367" s="276" t="s">
        <v>8732</v>
      </c>
      <c r="E367" s="276" t="s">
        <v>8733</v>
      </c>
      <c r="F367" s="276" t="s">
        <v>6503</v>
      </c>
      <c r="G367" s="276" t="s">
        <v>8734</v>
      </c>
      <c r="H367" s="277">
        <v>2000</v>
      </c>
      <c r="I367" s="386">
        <v>36834</v>
      </c>
      <c r="J367" s="276"/>
      <c r="K367" s="276"/>
      <c r="L367" s="385" t="s">
        <v>8735</v>
      </c>
      <c r="M367" s="276"/>
    </row>
    <row r="368" spans="1:13">
      <c r="A368" s="277">
        <f>VLOOKUP(B368, 'PubMed 10.7.21 Results'!B:B, 1, FALSE)</f>
        <v>19588374</v>
      </c>
      <c r="B368" s="277">
        <v>19588374</v>
      </c>
      <c r="C368" s="276" t="s">
        <v>9810</v>
      </c>
      <c r="D368" s="276" t="s">
        <v>9811</v>
      </c>
      <c r="E368" s="276" t="s">
        <v>9812</v>
      </c>
      <c r="F368" s="276" t="s">
        <v>7804</v>
      </c>
      <c r="G368" s="276" t="s">
        <v>8857</v>
      </c>
      <c r="H368" s="277">
        <v>2009</v>
      </c>
      <c r="I368" s="386">
        <v>40004</v>
      </c>
      <c r="J368" s="276"/>
      <c r="K368" s="276"/>
      <c r="L368" s="385" t="s">
        <v>9813</v>
      </c>
      <c r="M368" s="276"/>
    </row>
    <row r="369" spans="1:13">
      <c r="A369" s="277">
        <f>VLOOKUP(B369, 'PubMed 10.7.21 Results'!B:B, 1, FALSE)</f>
        <v>20493274</v>
      </c>
      <c r="B369" s="277">
        <v>20493274</v>
      </c>
      <c r="C369" s="276" t="s">
        <v>10023</v>
      </c>
      <c r="D369" s="276" t="s">
        <v>10024</v>
      </c>
      <c r="E369" s="276" t="s">
        <v>10025</v>
      </c>
      <c r="F369" s="276" t="s">
        <v>7079</v>
      </c>
      <c r="G369" s="276" t="s">
        <v>10026</v>
      </c>
      <c r="H369" s="277">
        <v>2010</v>
      </c>
      <c r="I369" s="386">
        <v>40323</v>
      </c>
      <c r="J369" s="276"/>
      <c r="K369" s="276"/>
      <c r="L369" s="385" t="s">
        <v>10027</v>
      </c>
      <c r="M369" s="276"/>
    </row>
    <row r="370" spans="1:13">
      <c r="A370" s="277">
        <f>VLOOKUP(B370, 'PubMed 10.7.21 Results'!B:B, 1, FALSE)</f>
        <v>24569099</v>
      </c>
      <c r="B370" s="277">
        <v>24569099</v>
      </c>
      <c r="C370" s="276" t="s">
        <v>10983</v>
      </c>
      <c r="D370" s="276" t="s">
        <v>10984</v>
      </c>
      <c r="E370" s="276" t="s">
        <v>10985</v>
      </c>
      <c r="F370" s="276" t="s">
        <v>7892</v>
      </c>
      <c r="G370" s="276" t="s">
        <v>8852</v>
      </c>
      <c r="H370" s="277">
        <v>2014</v>
      </c>
      <c r="I370" s="386">
        <v>41697</v>
      </c>
      <c r="J370" s="276"/>
      <c r="K370" s="276"/>
      <c r="L370" s="385" t="s">
        <v>10986</v>
      </c>
      <c r="M370" s="276"/>
    </row>
    <row r="371" spans="1:13">
      <c r="A371" s="277">
        <f>VLOOKUP(B371, 'PubMed 10.7.21 Results'!B:B, 1, FALSE)</f>
        <v>25386945</v>
      </c>
      <c r="B371" s="277">
        <v>25386945</v>
      </c>
      <c r="C371" s="276" t="s">
        <v>11204</v>
      </c>
      <c r="D371" s="276" t="s">
        <v>11205</v>
      </c>
      <c r="E371" s="276" t="s">
        <v>11206</v>
      </c>
      <c r="F371" s="276" t="s">
        <v>6548</v>
      </c>
      <c r="G371" s="276" t="s">
        <v>10148</v>
      </c>
      <c r="H371" s="277">
        <v>2014</v>
      </c>
      <c r="I371" s="386">
        <v>41955</v>
      </c>
      <c r="J371" s="276" t="s">
        <v>6549</v>
      </c>
      <c r="K371" s="276"/>
      <c r="L371" s="385" t="s">
        <v>11207</v>
      </c>
      <c r="M371" s="276"/>
    </row>
    <row r="372" spans="1:13">
      <c r="A372" s="277">
        <f>VLOOKUP(B372, 'PubMed 10.7.21 Results'!B:B, 1, FALSE)</f>
        <v>16184030</v>
      </c>
      <c r="B372" s="277">
        <v>16184030</v>
      </c>
      <c r="C372" s="276" t="s">
        <v>9207</v>
      </c>
      <c r="D372" s="276" t="s">
        <v>9208</v>
      </c>
      <c r="E372" s="276" t="s">
        <v>9209</v>
      </c>
      <c r="F372" s="276" t="s">
        <v>7931</v>
      </c>
      <c r="G372" s="276" t="s">
        <v>8915</v>
      </c>
      <c r="H372" s="277">
        <v>2005</v>
      </c>
      <c r="I372" s="386">
        <v>38622</v>
      </c>
      <c r="J372" s="276"/>
      <c r="K372" s="276"/>
      <c r="L372" s="385" t="s">
        <v>9210</v>
      </c>
      <c r="M372" s="276"/>
    </row>
    <row r="373" spans="1:13">
      <c r="A373" s="277">
        <f>VLOOKUP(B373, 'PubMed 10.7.21 Results'!B:B, 1, FALSE)</f>
        <v>28167545</v>
      </c>
      <c r="B373" s="277">
        <v>28167545</v>
      </c>
      <c r="C373" s="276" t="s">
        <v>12067</v>
      </c>
      <c r="D373" s="276" t="s">
        <v>12068</v>
      </c>
      <c r="E373" s="276" t="s">
        <v>12069</v>
      </c>
      <c r="F373" s="276" t="s">
        <v>6798</v>
      </c>
      <c r="G373" s="276" t="s">
        <v>8675</v>
      </c>
      <c r="H373" s="277">
        <v>2017</v>
      </c>
      <c r="I373" s="386">
        <v>42774</v>
      </c>
      <c r="J373" s="276" t="s">
        <v>6799</v>
      </c>
      <c r="K373" s="276"/>
      <c r="L373" s="385" t="s">
        <v>12070</v>
      </c>
      <c r="M373" s="276"/>
    </row>
    <row r="374" spans="1:13">
      <c r="A374" s="277">
        <f>VLOOKUP(B374, 'PubMed 10.7.21 Results'!B:B, 1, FALSE)</f>
        <v>9715823</v>
      </c>
      <c r="B374" s="277">
        <v>9715823</v>
      </c>
      <c r="C374" s="276" t="s">
        <v>8629</v>
      </c>
      <c r="D374" s="276" t="s">
        <v>8630</v>
      </c>
      <c r="E374" s="276" t="s">
        <v>8631</v>
      </c>
      <c r="F374" s="276" t="s">
        <v>7712</v>
      </c>
      <c r="G374" s="276" t="s">
        <v>8632</v>
      </c>
      <c r="H374" s="277">
        <v>1998</v>
      </c>
      <c r="I374" s="386">
        <v>36033</v>
      </c>
      <c r="J374" s="276"/>
      <c r="K374" s="276"/>
      <c r="L374" s="385" t="s">
        <v>8633</v>
      </c>
      <c r="M374" s="276"/>
    </row>
    <row r="375" spans="1:13">
      <c r="A375" s="277">
        <f>VLOOKUP(B375, 'PubMed 10.7.21 Results'!B:B, 1, FALSE)</f>
        <v>26606533</v>
      </c>
      <c r="B375" s="277">
        <v>26606533</v>
      </c>
      <c r="C375" s="276" t="s">
        <v>11552</v>
      </c>
      <c r="D375" s="276" t="s">
        <v>11553</v>
      </c>
      <c r="E375" s="276" t="s">
        <v>11554</v>
      </c>
      <c r="F375" s="276" t="s">
        <v>7291</v>
      </c>
      <c r="G375" s="276" t="s">
        <v>8857</v>
      </c>
      <c r="H375" s="277">
        <v>2015</v>
      </c>
      <c r="I375" s="386">
        <v>42334</v>
      </c>
      <c r="J375" s="276"/>
      <c r="K375" s="276"/>
      <c r="L375" s="385" t="s">
        <v>11555</v>
      </c>
      <c r="M375" s="276"/>
    </row>
    <row r="376" spans="1:13">
      <c r="A376" s="277">
        <f>VLOOKUP(B376, 'PubMed 10.7.21 Results'!B:B, 1, FALSE)</f>
        <v>22520143</v>
      </c>
      <c r="B376" s="277">
        <v>22520143</v>
      </c>
      <c r="C376" s="276" t="s">
        <v>10457</v>
      </c>
      <c r="D376" s="276" t="s">
        <v>10458</v>
      </c>
      <c r="E376" s="276" t="s">
        <v>10459</v>
      </c>
      <c r="F376" s="276" t="s">
        <v>8115</v>
      </c>
      <c r="G376" s="276" t="s">
        <v>21</v>
      </c>
      <c r="H376" s="277">
        <v>2012</v>
      </c>
      <c r="I376" s="386">
        <v>41023</v>
      </c>
      <c r="J376" s="276"/>
      <c r="K376" s="276"/>
      <c r="L376" s="385" t="s">
        <v>10460</v>
      </c>
      <c r="M376" s="276"/>
    </row>
    <row r="377" spans="1:13">
      <c r="A377" s="277">
        <f>VLOOKUP(B377, 'PubMed 10.7.21 Results'!B:B, 1, FALSE)</f>
        <v>33612824</v>
      </c>
      <c r="B377" s="277">
        <v>33612824</v>
      </c>
      <c r="C377" s="276" t="s">
        <v>14070</v>
      </c>
      <c r="D377" s="276" t="s">
        <v>14071</v>
      </c>
      <c r="E377" s="276" t="s">
        <v>14072</v>
      </c>
      <c r="F377" s="276" t="s">
        <v>7319</v>
      </c>
      <c r="G377" s="276" t="s">
        <v>14059</v>
      </c>
      <c r="H377" s="277">
        <v>2021</v>
      </c>
      <c r="I377" s="386">
        <v>44249</v>
      </c>
      <c r="J377" s="276" t="s">
        <v>7320</v>
      </c>
      <c r="K377" s="276"/>
      <c r="L377" s="385" t="s">
        <v>14073</v>
      </c>
      <c r="M377" s="276"/>
    </row>
    <row r="378" spans="1:13">
      <c r="A378" s="277">
        <f>VLOOKUP(B378, 'PubMed 10.7.21 Results'!B:B, 1, FALSE)</f>
        <v>25749417</v>
      </c>
      <c r="B378" s="277">
        <v>25749417</v>
      </c>
      <c r="C378" s="276" t="s">
        <v>11389</v>
      </c>
      <c r="D378" s="276" t="s">
        <v>11201</v>
      </c>
      <c r="E378" s="276" t="s">
        <v>11390</v>
      </c>
      <c r="F378" s="276" t="s">
        <v>7644</v>
      </c>
      <c r="G378" s="276" t="s">
        <v>11391</v>
      </c>
      <c r="H378" s="277">
        <v>2015</v>
      </c>
      <c r="I378" s="386">
        <v>42073</v>
      </c>
      <c r="J378" s="276"/>
      <c r="K378" s="276"/>
      <c r="L378" s="385" t="s">
        <v>11392</v>
      </c>
      <c r="M378" s="276"/>
    </row>
    <row r="379" spans="1:13">
      <c r="A379" s="277">
        <f>VLOOKUP(B379, 'PubMed 10.7.21 Results'!B:B, 1, FALSE)</f>
        <v>24934254</v>
      </c>
      <c r="B379" s="277">
        <v>24934254</v>
      </c>
      <c r="C379" s="276" t="s">
        <v>11064</v>
      </c>
      <c r="D379" s="276" t="s">
        <v>11065</v>
      </c>
      <c r="E379" s="276" t="s">
        <v>18884</v>
      </c>
      <c r="F379" s="276" t="s">
        <v>7164</v>
      </c>
      <c r="G379" s="276" t="s">
        <v>8857</v>
      </c>
      <c r="H379" s="277">
        <v>2014</v>
      </c>
      <c r="I379" s="386">
        <v>41808</v>
      </c>
      <c r="J379" s="276"/>
      <c r="K379" s="276"/>
      <c r="L379" s="385" t="s">
        <v>11068</v>
      </c>
      <c r="M379" s="276"/>
    </row>
    <row r="380" spans="1:13">
      <c r="A380" s="277">
        <f>VLOOKUP(B380, 'PubMed 10.7.21 Results'!B:B, 1, FALSE)</f>
        <v>21492926</v>
      </c>
      <c r="B380" s="277">
        <v>21492926</v>
      </c>
      <c r="C380" s="276" t="s">
        <v>10199</v>
      </c>
      <c r="D380" s="276" t="s">
        <v>10200</v>
      </c>
      <c r="E380" s="276" t="s">
        <v>10201</v>
      </c>
      <c r="F380" s="276" t="s">
        <v>7724</v>
      </c>
      <c r="G380" s="276" t="s">
        <v>9420</v>
      </c>
      <c r="H380" s="277">
        <v>2011</v>
      </c>
      <c r="I380" s="386">
        <v>40649</v>
      </c>
      <c r="J380" s="276"/>
      <c r="K380" s="276"/>
      <c r="L380" s="385" t="s">
        <v>10202</v>
      </c>
      <c r="M380" s="276"/>
    </row>
    <row r="381" spans="1:13">
      <c r="A381" s="277">
        <f>VLOOKUP(B381, 'PubMed 10.7.21 Results'!B:B, 1, FALSE)</f>
        <v>7652502</v>
      </c>
      <c r="B381" s="277">
        <v>7652502</v>
      </c>
      <c r="C381" s="276" t="s">
        <v>8533</v>
      </c>
      <c r="D381" s="276" t="s">
        <v>8534</v>
      </c>
      <c r="E381" s="276" t="s">
        <v>8535</v>
      </c>
      <c r="F381" s="276" t="s">
        <v>6544</v>
      </c>
      <c r="G381" s="276" t="s">
        <v>8536</v>
      </c>
      <c r="H381" s="277">
        <v>1995</v>
      </c>
      <c r="I381" s="386">
        <v>34700</v>
      </c>
      <c r="J381" s="276"/>
      <c r="K381" s="276"/>
      <c r="L381" s="276"/>
      <c r="M381" s="276"/>
    </row>
    <row r="382" spans="1:13">
      <c r="A382" s="277">
        <f>VLOOKUP(B382, 'PubMed 10.7.21 Results'!B:B, 1, FALSE)</f>
        <v>11953468</v>
      </c>
      <c r="B382" s="277">
        <v>11953468</v>
      </c>
      <c r="C382" s="276" t="s">
        <v>8912</v>
      </c>
      <c r="D382" s="276" t="s">
        <v>8913</v>
      </c>
      <c r="E382" s="276" t="s">
        <v>8914</v>
      </c>
      <c r="F382" s="276" t="s">
        <v>7231</v>
      </c>
      <c r="G382" s="276" t="s">
        <v>8915</v>
      </c>
      <c r="H382" s="277">
        <v>2002</v>
      </c>
      <c r="I382" s="386">
        <v>37362</v>
      </c>
      <c r="J382" s="276" t="s">
        <v>7232</v>
      </c>
      <c r="K382" s="276" t="s">
        <v>8916</v>
      </c>
      <c r="L382" s="385" t="s">
        <v>8917</v>
      </c>
      <c r="M382" s="276"/>
    </row>
    <row r="383" spans="1:13">
      <c r="A383" s="277">
        <f>VLOOKUP(B383, 'PubMed 10.7.21 Results'!B:B, 1, FALSE)</f>
        <v>25379846</v>
      </c>
      <c r="B383" s="277">
        <v>25379846</v>
      </c>
      <c r="C383" s="276" t="s">
        <v>11196</v>
      </c>
      <c r="D383" s="276" t="s">
        <v>11197</v>
      </c>
      <c r="E383" s="276" t="s">
        <v>11198</v>
      </c>
      <c r="F383" s="276" t="s">
        <v>7837</v>
      </c>
      <c r="G383" s="276" t="s">
        <v>10335</v>
      </c>
      <c r="H383" s="277">
        <v>2014</v>
      </c>
      <c r="I383" s="386">
        <v>41951</v>
      </c>
      <c r="J383" s="276"/>
      <c r="K383" s="276"/>
      <c r="L383" s="385" t="s">
        <v>11199</v>
      </c>
      <c r="M383" s="276"/>
    </row>
    <row r="384" spans="1:13">
      <c r="A384" s="277">
        <f>VLOOKUP(B384, 'PubMed 10.7.21 Results'!B:B, 1, FALSE)</f>
        <v>26847922</v>
      </c>
      <c r="B384" s="277">
        <v>26847922</v>
      </c>
      <c r="C384" s="276" t="s">
        <v>11633</v>
      </c>
      <c r="D384" s="276" t="s">
        <v>11634</v>
      </c>
      <c r="E384" s="276" t="s">
        <v>11635</v>
      </c>
      <c r="F384" s="276" t="s">
        <v>6855</v>
      </c>
      <c r="G384" s="276" t="s">
        <v>11636</v>
      </c>
      <c r="H384" s="277">
        <v>2016</v>
      </c>
      <c r="I384" s="386">
        <v>42406</v>
      </c>
      <c r="J384" s="276" t="s">
        <v>6856</v>
      </c>
      <c r="K384" s="276"/>
      <c r="L384" s="385" t="s">
        <v>11637</v>
      </c>
      <c r="M384" s="276"/>
    </row>
    <row r="385" spans="1:13">
      <c r="A385" s="277">
        <f>VLOOKUP(B385, 'PubMed 10.7.21 Results'!B:B, 1, FALSE)</f>
        <v>12957419</v>
      </c>
      <c r="B385" s="277">
        <v>12957419</v>
      </c>
      <c r="C385" s="276" t="s">
        <v>9011</v>
      </c>
      <c r="D385" s="276" t="s">
        <v>9012</v>
      </c>
      <c r="E385" s="276" t="s">
        <v>9013</v>
      </c>
      <c r="F385" s="276" t="s">
        <v>6640</v>
      </c>
      <c r="G385" s="276" t="s">
        <v>9014</v>
      </c>
      <c r="H385" s="277">
        <v>2003</v>
      </c>
      <c r="I385" s="386">
        <v>37870</v>
      </c>
      <c r="J385" s="276"/>
      <c r="K385" s="276"/>
      <c r="L385" s="385" t="s">
        <v>9015</v>
      </c>
      <c r="M385" s="276"/>
    </row>
    <row r="386" spans="1:13">
      <c r="A386" s="277">
        <f>VLOOKUP(B386, 'PubMed 10.7.21 Results'!B:B, 1, FALSE)</f>
        <v>21901692</v>
      </c>
      <c r="B386" s="277">
        <v>21901692</v>
      </c>
      <c r="C386" s="276" t="s">
        <v>10293</v>
      </c>
      <c r="D386" s="276" t="s">
        <v>10294</v>
      </c>
      <c r="E386" s="276" t="s">
        <v>10295</v>
      </c>
      <c r="F386" s="276" t="s">
        <v>7514</v>
      </c>
      <c r="G386" s="276" t="s">
        <v>8857</v>
      </c>
      <c r="H386" s="277">
        <v>2011</v>
      </c>
      <c r="I386" s="386">
        <v>40795</v>
      </c>
      <c r="J386" s="276"/>
      <c r="K386" s="276"/>
      <c r="L386" s="385" t="s">
        <v>10296</v>
      </c>
      <c r="M386" s="276"/>
    </row>
    <row r="387" spans="1:13">
      <c r="A387" s="277">
        <f>VLOOKUP(B387, 'PubMed 10.7.21 Results'!B:B, 1, FALSE)</f>
        <v>25128688</v>
      </c>
      <c r="B387" s="277">
        <v>25128688</v>
      </c>
      <c r="C387" s="276" t="s">
        <v>11183</v>
      </c>
      <c r="D387" s="276" t="s">
        <v>11184</v>
      </c>
      <c r="E387" s="276" t="s">
        <v>11185</v>
      </c>
      <c r="F387" s="276" t="s">
        <v>7588</v>
      </c>
      <c r="G387" s="276" t="s">
        <v>10314</v>
      </c>
      <c r="H387" s="277">
        <v>2014</v>
      </c>
      <c r="I387" s="386">
        <v>41868</v>
      </c>
      <c r="J387" s="276"/>
      <c r="K387" s="276"/>
      <c r="L387" s="385" t="s">
        <v>11186</v>
      </c>
      <c r="M387" s="276"/>
    </row>
    <row r="388" spans="1:13">
      <c r="A388" s="277">
        <f>VLOOKUP(B388, 'PubMed 10.7.21 Results'!B:B, 1, FALSE)</f>
        <v>19154447</v>
      </c>
      <c r="B388" s="277">
        <v>19154447</v>
      </c>
      <c r="C388" s="276" t="s">
        <v>9708</v>
      </c>
      <c r="D388" s="276" t="s">
        <v>9709</v>
      </c>
      <c r="E388" s="276" t="s">
        <v>9710</v>
      </c>
      <c r="F388" s="276" t="s">
        <v>6836</v>
      </c>
      <c r="G388" s="276" t="s">
        <v>9569</v>
      </c>
      <c r="H388" s="277">
        <v>2009</v>
      </c>
      <c r="I388" s="386">
        <v>39835</v>
      </c>
      <c r="J388" s="276" t="s">
        <v>6837</v>
      </c>
      <c r="K388" s="276"/>
      <c r="L388" s="385" t="s">
        <v>9711</v>
      </c>
      <c r="M388" s="276"/>
    </row>
    <row r="389" spans="1:13">
      <c r="A389" s="277">
        <f>VLOOKUP(B389, 'PubMed 10.7.21 Results'!B:B, 1, FALSE)</f>
        <v>24154977</v>
      </c>
      <c r="B389" s="277">
        <v>24154977</v>
      </c>
      <c r="C389" s="276" t="s">
        <v>10834</v>
      </c>
      <c r="D389" s="276" t="s">
        <v>10835</v>
      </c>
      <c r="E389" s="276" t="s">
        <v>10836</v>
      </c>
      <c r="F389" s="276" t="s">
        <v>7423</v>
      </c>
      <c r="G389" s="276" t="s">
        <v>8857</v>
      </c>
      <c r="H389" s="277">
        <v>2013</v>
      </c>
      <c r="I389" s="386">
        <v>41572</v>
      </c>
      <c r="J389" s="276" t="s">
        <v>7424</v>
      </c>
      <c r="K389" s="276"/>
      <c r="L389" s="385" t="s">
        <v>10837</v>
      </c>
      <c r="M389" s="276"/>
    </row>
    <row r="390" spans="1:13">
      <c r="A390" s="277">
        <f>VLOOKUP(B390, 'PubMed 10.7.21 Results'!B:B, 1, FALSE)</f>
        <v>25491459</v>
      </c>
      <c r="B390" s="277">
        <v>25491459</v>
      </c>
      <c r="C390" s="276" t="s">
        <v>11158</v>
      </c>
      <c r="D390" s="276" t="s">
        <v>11159</v>
      </c>
      <c r="E390" s="276" t="s">
        <v>11160</v>
      </c>
      <c r="F390" s="276" t="s">
        <v>6838</v>
      </c>
      <c r="G390" s="276" t="s">
        <v>11161</v>
      </c>
      <c r="H390" s="277">
        <v>2014</v>
      </c>
      <c r="I390" s="386">
        <v>41984</v>
      </c>
      <c r="J390" s="276"/>
      <c r="K390" s="276"/>
      <c r="L390" s="385" t="s">
        <v>11162</v>
      </c>
      <c r="M390" s="276"/>
    </row>
    <row r="391" spans="1:13">
      <c r="A391" s="277">
        <f>VLOOKUP(B391, 'PubMed 10.7.21 Results'!B:B, 1, FALSE)</f>
        <v>10411194</v>
      </c>
      <c r="B391" s="277">
        <v>10411194</v>
      </c>
      <c r="C391" s="276" t="s">
        <v>8701</v>
      </c>
      <c r="D391" s="276" t="s">
        <v>8702</v>
      </c>
      <c r="E391" s="276" t="s">
        <v>8703</v>
      </c>
      <c r="F391" s="276" t="s">
        <v>4050</v>
      </c>
      <c r="G391" s="276" t="s">
        <v>8580</v>
      </c>
      <c r="H391" s="277">
        <v>1999</v>
      </c>
      <c r="I391" s="386">
        <v>36361</v>
      </c>
      <c r="J391" s="276"/>
      <c r="K391" s="276"/>
      <c r="L391" s="385" t="s">
        <v>8704</v>
      </c>
      <c r="M391" s="276"/>
    </row>
    <row r="392" spans="1:13">
      <c r="A392" s="277">
        <f>VLOOKUP(B392, 'PubMed 10.7.21 Results'!B:B, 1, FALSE)</f>
        <v>19731330</v>
      </c>
      <c r="B392" s="277">
        <v>19731330</v>
      </c>
      <c r="C392" s="276" t="s">
        <v>9963</v>
      </c>
      <c r="D392" s="276" t="s">
        <v>9964</v>
      </c>
      <c r="E392" s="276" t="s">
        <v>9965</v>
      </c>
      <c r="F392" s="276" t="s">
        <v>7928</v>
      </c>
      <c r="G392" s="276" t="s">
        <v>9966</v>
      </c>
      <c r="H392" s="277">
        <v>2010</v>
      </c>
      <c r="I392" s="386">
        <v>40061</v>
      </c>
      <c r="J392" s="276" t="s">
        <v>7929</v>
      </c>
      <c r="K392" s="276" t="s">
        <v>9967</v>
      </c>
      <c r="L392" s="385" t="s">
        <v>9968</v>
      </c>
      <c r="M392" s="276"/>
    </row>
    <row r="393" spans="1:13">
      <c r="A393" s="277">
        <f>VLOOKUP(B393, 'PubMed 10.7.21 Results'!B:B, 1, FALSE)</f>
        <v>16377473</v>
      </c>
      <c r="B393" s="277">
        <v>16377473</v>
      </c>
      <c r="C393" s="276" t="s">
        <v>9271</v>
      </c>
      <c r="D393" s="276" t="s">
        <v>9272</v>
      </c>
      <c r="E393" s="276" t="s">
        <v>9273</v>
      </c>
      <c r="F393" s="276" t="s">
        <v>7842</v>
      </c>
      <c r="G393" s="276" t="s">
        <v>9274</v>
      </c>
      <c r="H393" s="277">
        <v>2006</v>
      </c>
      <c r="I393" s="386">
        <v>38713</v>
      </c>
      <c r="J393" s="276"/>
      <c r="K393" s="276"/>
      <c r="L393" s="385" t="s">
        <v>9275</v>
      </c>
      <c r="M393" s="276"/>
    </row>
    <row r="394" spans="1:13">
      <c r="A394" s="277">
        <f>VLOOKUP(B394, 'PubMed 10.7.21 Results'!B:B, 1, FALSE)</f>
        <v>22230592</v>
      </c>
      <c r="B394" s="277">
        <v>22230592</v>
      </c>
      <c r="C394" s="276" t="s">
        <v>10410</v>
      </c>
      <c r="D394" s="276" t="s">
        <v>10411</v>
      </c>
      <c r="E394" s="276" t="s">
        <v>10412</v>
      </c>
      <c r="F394" s="276" t="s">
        <v>7074</v>
      </c>
      <c r="G394" s="276" t="s">
        <v>21</v>
      </c>
      <c r="H394" s="277">
        <v>2012</v>
      </c>
      <c r="I394" s="386">
        <v>40919</v>
      </c>
      <c r="J394" s="276" t="s">
        <v>7075</v>
      </c>
      <c r="K394" s="276"/>
      <c r="L394" s="385" t="s">
        <v>10413</v>
      </c>
      <c r="M394" s="276"/>
    </row>
    <row r="395" spans="1:13">
      <c r="A395" s="277">
        <f>VLOOKUP(B395, 'PubMed 10.7.21 Results'!B:B, 1, FALSE)</f>
        <v>25923779</v>
      </c>
      <c r="B395" s="277">
        <v>25923779</v>
      </c>
      <c r="C395" s="276" t="s">
        <v>11358</v>
      </c>
      <c r="D395" s="276" t="s">
        <v>11359</v>
      </c>
      <c r="E395" s="276" t="s">
        <v>11360</v>
      </c>
      <c r="F395" s="276" t="s">
        <v>8087</v>
      </c>
      <c r="G395" s="276" t="s">
        <v>10379</v>
      </c>
      <c r="H395" s="277">
        <v>2015</v>
      </c>
      <c r="I395" s="386">
        <v>42124</v>
      </c>
      <c r="J395" s="276" t="s">
        <v>8088</v>
      </c>
      <c r="K395" s="276"/>
      <c r="L395" s="385" t="s">
        <v>11361</v>
      </c>
      <c r="M395" s="276"/>
    </row>
    <row r="396" spans="1:13">
      <c r="A396" s="277">
        <f>VLOOKUP(B396, 'PubMed 10.7.21 Results'!B:B, 1, FALSE)</f>
        <v>11577362</v>
      </c>
      <c r="B396" s="277">
        <v>11577362</v>
      </c>
      <c r="C396" s="276" t="s">
        <v>8821</v>
      </c>
      <c r="D396" s="276" t="s">
        <v>8822</v>
      </c>
      <c r="E396" s="276" t="s">
        <v>8823</v>
      </c>
      <c r="F396" s="276" t="s">
        <v>7830</v>
      </c>
      <c r="G396" s="276" t="s">
        <v>8824</v>
      </c>
      <c r="H396" s="277">
        <v>2001</v>
      </c>
      <c r="I396" s="386">
        <v>37163</v>
      </c>
      <c r="J396" s="276"/>
      <c r="K396" s="276"/>
      <c r="L396" s="385" t="s">
        <v>8825</v>
      </c>
      <c r="M396" s="276"/>
    </row>
    <row r="397" spans="1:13">
      <c r="A397" s="277">
        <f>VLOOKUP(B397, 'PubMed 10.7.21 Results'!B:B, 1, FALSE)</f>
        <v>28466147</v>
      </c>
      <c r="B397" s="277">
        <v>28466147</v>
      </c>
      <c r="C397" s="276" t="s">
        <v>12171</v>
      </c>
      <c r="D397" s="276" t="s">
        <v>12172</v>
      </c>
      <c r="E397" s="276" t="s">
        <v>12173</v>
      </c>
      <c r="F397" s="276" t="s">
        <v>7935</v>
      </c>
      <c r="G397" s="276" t="s">
        <v>8617</v>
      </c>
      <c r="H397" s="277">
        <v>2017</v>
      </c>
      <c r="I397" s="386">
        <v>42859</v>
      </c>
      <c r="J397" s="276" t="s">
        <v>7936</v>
      </c>
      <c r="K397" s="276"/>
      <c r="L397" s="385" t="s">
        <v>12174</v>
      </c>
      <c r="M397" s="276"/>
    </row>
    <row r="398" spans="1:13">
      <c r="A398" s="277">
        <f>VLOOKUP(B398, 'PubMed 10.7.21 Results'!B:B, 1, FALSE)</f>
        <v>12053708</v>
      </c>
      <c r="B398" s="277">
        <v>12053708</v>
      </c>
      <c r="C398" s="276" t="s">
        <v>8866</v>
      </c>
      <c r="D398" s="276" t="s">
        <v>8867</v>
      </c>
      <c r="E398" s="276" t="s">
        <v>8868</v>
      </c>
      <c r="F398" s="276" t="s">
        <v>7229</v>
      </c>
      <c r="G398" s="276" t="s">
        <v>8869</v>
      </c>
      <c r="H398" s="277">
        <v>2002</v>
      </c>
      <c r="I398" s="386">
        <v>37418</v>
      </c>
      <c r="J398" s="276" t="s">
        <v>7230</v>
      </c>
      <c r="K398" s="276"/>
      <c r="L398" s="276"/>
      <c r="M398" s="276"/>
    </row>
    <row r="399" spans="1:13">
      <c r="A399" s="277">
        <f>VLOOKUP(B399, 'PubMed 10.7.21 Results'!B:B, 1, FALSE)</f>
        <v>20021340</v>
      </c>
      <c r="B399" s="277">
        <v>20021340</v>
      </c>
      <c r="C399" s="276" t="s">
        <v>9728</v>
      </c>
      <c r="D399" s="276" t="s">
        <v>9729</v>
      </c>
      <c r="E399" s="276" t="s">
        <v>9730</v>
      </c>
      <c r="F399" s="276" t="s">
        <v>8018</v>
      </c>
      <c r="G399" s="276" t="s">
        <v>9731</v>
      </c>
      <c r="H399" s="277">
        <v>2009</v>
      </c>
      <c r="I399" s="386">
        <v>40169</v>
      </c>
      <c r="J399" s="276"/>
      <c r="K399" s="276"/>
      <c r="L399" s="385" t="s">
        <v>9732</v>
      </c>
      <c r="M399" s="276"/>
    </row>
    <row r="400" spans="1:13">
      <c r="A400" s="277">
        <f>VLOOKUP(B400, 'PubMed 10.7.21 Results'!B:B, 1, FALSE)</f>
        <v>17517850</v>
      </c>
      <c r="B400" s="277">
        <v>17517850</v>
      </c>
      <c r="C400" s="276" t="s">
        <v>9453</v>
      </c>
      <c r="D400" s="276" t="s">
        <v>9454</v>
      </c>
      <c r="E400" s="276" t="s">
        <v>9455</v>
      </c>
      <c r="F400" s="276" t="s">
        <v>6648</v>
      </c>
      <c r="G400" s="276" t="s">
        <v>8675</v>
      </c>
      <c r="H400" s="277">
        <v>2007</v>
      </c>
      <c r="I400" s="386">
        <v>39225</v>
      </c>
      <c r="J400" s="276" t="s">
        <v>6649</v>
      </c>
      <c r="K400" s="276"/>
      <c r="L400" s="385" t="s">
        <v>9456</v>
      </c>
      <c r="M400" s="276"/>
    </row>
    <row r="401" spans="1:13">
      <c r="A401" s="277">
        <f>VLOOKUP(B401, 'PubMed 10.7.21 Results'!B:B, 1, FALSE)</f>
        <v>23835762</v>
      </c>
      <c r="B401" s="277">
        <v>23835762</v>
      </c>
      <c r="C401" s="276" t="s">
        <v>10781</v>
      </c>
      <c r="D401" s="276" t="s">
        <v>10782</v>
      </c>
      <c r="E401" s="276" t="s">
        <v>10783</v>
      </c>
      <c r="F401" s="276" t="s">
        <v>7239</v>
      </c>
      <c r="G401" s="276" t="s">
        <v>8857</v>
      </c>
      <c r="H401" s="277">
        <v>2013</v>
      </c>
      <c r="I401" s="386">
        <v>41465</v>
      </c>
      <c r="J401" s="276" t="s">
        <v>7240</v>
      </c>
      <c r="K401" s="276"/>
      <c r="L401" s="385" t="s">
        <v>10784</v>
      </c>
      <c r="M401" s="276"/>
    </row>
    <row r="402" spans="1:13">
      <c r="A402" s="277">
        <f>VLOOKUP(B402, 'PubMed 10.7.21 Results'!B:B, 1, FALSE)</f>
        <v>27074283</v>
      </c>
      <c r="B402" s="277">
        <v>27074283</v>
      </c>
      <c r="C402" s="276" t="s">
        <v>11719</v>
      </c>
      <c r="D402" s="276" t="s">
        <v>11720</v>
      </c>
      <c r="E402" s="276" t="s">
        <v>11721</v>
      </c>
      <c r="F402" s="276" t="s">
        <v>6849</v>
      </c>
      <c r="G402" s="276" t="s">
        <v>8857</v>
      </c>
      <c r="H402" s="277">
        <v>2016</v>
      </c>
      <c r="I402" s="386">
        <v>42474</v>
      </c>
      <c r="J402" s="276" t="s">
        <v>6850</v>
      </c>
      <c r="K402" s="276"/>
      <c r="L402" s="385" t="s">
        <v>11722</v>
      </c>
      <c r="M402" s="276"/>
    </row>
    <row r="403" spans="1:13">
      <c r="A403" s="277">
        <f>VLOOKUP(B403, 'PubMed 10.7.21 Results'!B:B, 1, FALSE)</f>
        <v>26811108</v>
      </c>
      <c r="B403" s="277">
        <v>26811108</v>
      </c>
      <c r="C403" s="276" t="s">
        <v>11670</v>
      </c>
      <c r="D403" s="276" t="s">
        <v>11671</v>
      </c>
      <c r="E403" s="276" t="s">
        <v>11672</v>
      </c>
      <c r="F403" s="276" t="s">
        <v>7934</v>
      </c>
      <c r="G403" s="276" t="s">
        <v>11673</v>
      </c>
      <c r="H403" s="277">
        <v>2016</v>
      </c>
      <c r="I403" s="386">
        <v>42396</v>
      </c>
      <c r="J403" s="276"/>
      <c r="K403" s="276"/>
      <c r="L403" s="385" t="s">
        <v>11674</v>
      </c>
      <c r="M403" s="276"/>
    </row>
    <row r="404" spans="1:13">
      <c r="A404" s="277">
        <f>VLOOKUP(B404, 'PubMed 10.7.21 Results'!B:B, 1, FALSE)</f>
        <v>14674941</v>
      </c>
      <c r="B404" s="277">
        <v>14674941</v>
      </c>
      <c r="C404" s="276" t="s">
        <v>9030</v>
      </c>
      <c r="D404" s="276" t="s">
        <v>9031</v>
      </c>
      <c r="E404" s="276" t="s">
        <v>9032</v>
      </c>
      <c r="F404" s="276" t="s">
        <v>6603</v>
      </c>
      <c r="G404" s="276" t="s">
        <v>8485</v>
      </c>
      <c r="H404" s="277">
        <v>2004</v>
      </c>
      <c r="I404" s="386">
        <v>37972</v>
      </c>
      <c r="J404" s="276"/>
      <c r="K404" s="276"/>
      <c r="L404" s="385" t="s">
        <v>9033</v>
      </c>
      <c r="M404" s="276"/>
    </row>
    <row r="405" spans="1:13">
      <c r="A405" s="277">
        <f>VLOOKUP(B405, 'PubMed 10.7.21 Results'!B:B, 1, FALSE)</f>
        <v>26886513</v>
      </c>
      <c r="B405" s="277">
        <v>26886513</v>
      </c>
      <c r="C405" s="276" t="s">
        <v>11638</v>
      </c>
      <c r="D405" s="276" t="s">
        <v>11639</v>
      </c>
      <c r="E405" s="276" t="s">
        <v>11640</v>
      </c>
      <c r="F405" s="276" t="s">
        <v>6489</v>
      </c>
      <c r="G405" s="276" t="s">
        <v>11097</v>
      </c>
      <c r="H405" s="277">
        <v>2016</v>
      </c>
      <c r="I405" s="386">
        <v>42418</v>
      </c>
      <c r="J405" s="276" t="s">
        <v>6490</v>
      </c>
      <c r="K405" s="276"/>
      <c r="L405" s="385" t="s">
        <v>11641</v>
      </c>
      <c r="M405" s="276"/>
    </row>
    <row r="406" spans="1:13">
      <c r="A406" s="277">
        <f>VLOOKUP(B406, 'PubMed 10.7.21 Results'!B:B, 1, FALSE)</f>
        <v>23796195</v>
      </c>
      <c r="B406" s="277">
        <v>23796195</v>
      </c>
      <c r="C406" s="276" t="s">
        <v>10914</v>
      </c>
      <c r="D406" s="276" t="s">
        <v>10915</v>
      </c>
      <c r="E406" s="276" t="s">
        <v>10916</v>
      </c>
      <c r="F406" s="276" t="s">
        <v>6813</v>
      </c>
      <c r="G406" s="276" t="s">
        <v>10917</v>
      </c>
      <c r="H406" s="277">
        <v>2014</v>
      </c>
      <c r="I406" s="386">
        <v>41451</v>
      </c>
      <c r="J406" s="276"/>
      <c r="K406" s="276"/>
      <c r="L406" s="385" t="s">
        <v>10918</v>
      </c>
      <c r="M406" s="276"/>
    </row>
    <row r="407" spans="1:13">
      <c r="A407" s="277">
        <f>VLOOKUP(B407, 'PubMed 10.7.21 Results'!B:B, 1, FALSE)</f>
        <v>18494750</v>
      </c>
      <c r="B407" s="277">
        <v>18494750</v>
      </c>
      <c r="C407" s="276" t="s">
        <v>9656</v>
      </c>
      <c r="D407" s="276" t="s">
        <v>9657</v>
      </c>
      <c r="E407" s="276" t="s">
        <v>9658</v>
      </c>
      <c r="F407" s="276" t="s">
        <v>7162</v>
      </c>
      <c r="G407" s="276" t="s">
        <v>9659</v>
      </c>
      <c r="H407" s="277">
        <v>2008</v>
      </c>
      <c r="I407" s="386">
        <v>39591</v>
      </c>
      <c r="J407" s="276"/>
      <c r="K407" s="276"/>
      <c r="L407" s="385" t="s">
        <v>9660</v>
      </c>
      <c r="M407" s="276"/>
    </row>
    <row r="408" spans="1:13">
      <c r="A408" s="277">
        <f>VLOOKUP(B408, 'PubMed 10.7.21 Results'!B:B, 1, FALSE)</f>
        <v>27311495</v>
      </c>
      <c r="B408" s="277">
        <v>27311495</v>
      </c>
      <c r="C408" s="276" t="s">
        <v>11849</v>
      </c>
      <c r="D408" s="276" t="s">
        <v>11850</v>
      </c>
      <c r="E408" s="276" t="s">
        <v>11851</v>
      </c>
      <c r="F408" s="276" t="s">
        <v>7834</v>
      </c>
      <c r="G408" s="276" t="s">
        <v>8721</v>
      </c>
      <c r="H408" s="277">
        <v>2016</v>
      </c>
      <c r="I408" s="386">
        <v>42539</v>
      </c>
      <c r="J408" s="276"/>
      <c r="K408" s="276"/>
      <c r="L408" s="385" t="s">
        <v>11852</v>
      </c>
      <c r="M408" s="276"/>
    </row>
    <row r="409" spans="1:13">
      <c r="A409" s="277">
        <f>VLOOKUP(B409, 'PubMed 10.7.21 Results'!B:B, 1, FALSE)</f>
        <v>14996699</v>
      </c>
      <c r="B409" s="277">
        <v>14996699</v>
      </c>
      <c r="C409" s="276" t="s">
        <v>9077</v>
      </c>
      <c r="D409" s="276" t="s">
        <v>9078</v>
      </c>
      <c r="E409" s="276" t="s">
        <v>9079</v>
      </c>
      <c r="F409" s="276" t="s">
        <v>7598</v>
      </c>
      <c r="G409" s="276" t="s">
        <v>8977</v>
      </c>
      <c r="H409" s="277">
        <v>2004</v>
      </c>
      <c r="I409" s="386">
        <v>38051</v>
      </c>
      <c r="J409" s="276" t="s">
        <v>7599</v>
      </c>
      <c r="K409" s="276"/>
      <c r="L409" s="385" t="s">
        <v>9080</v>
      </c>
      <c r="M409" s="276"/>
    </row>
    <row r="410" spans="1:13">
      <c r="A410" s="277">
        <f>VLOOKUP(B410, 'PubMed 10.7.21 Results'!B:B, 1, FALSE)</f>
        <v>9296243</v>
      </c>
      <c r="B410" s="277">
        <v>9296243</v>
      </c>
      <c r="C410" s="276" t="s">
        <v>8589</v>
      </c>
      <c r="D410" s="276" t="s">
        <v>8590</v>
      </c>
      <c r="E410" s="276" t="s">
        <v>8591</v>
      </c>
      <c r="F410" s="276" t="s">
        <v>7169</v>
      </c>
      <c r="G410" s="276" t="s">
        <v>8592</v>
      </c>
      <c r="H410" s="277">
        <v>1997</v>
      </c>
      <c r="I410" s="386">
        <v>35693</v>
      </c>
      <c r="J410" s="276"/>
      <c r="K410" s="276"/>
      <c r="L410" s="385" t="s">
        <v>8593</v>
      </c>
      <c r="M410" s="276"/>
    </row>
    <row r="411" spans="1:13">
      <c r="A411" s="277">
        <f>VLOOKUP(B411, 'PubMed 10.7.21 Results'!B:B, 1, FALSE)</f>
        <v>22494019</v>
      </c>
      <c r="B411" s="277">
        <v>22494019</v>
      </c>
      <c r="C411" s="276" t="s">
        <v>10461</v>
      </c>
      <c r="D411" s="276" t="s">
        <v>10462</v>
      </c>
      <c r="E411" s="276" t="s">
        <v>10463</v>
      </c>
      <c r="F411" s="276" t="s">
        <v>8057</v>
      </c>
      <c r="G411" s="276" t="s">
        <v>8762</v>
      </c>
      <c r="H411" s="277">
        <v>2012</v>
      </c>
      <c r="I411" s="386">
        <v>41012</v>
      </c>
      <c r="J411" s="276"/>
      <c r="K411" s="276"/>
      <c r="L411" s="385" t="s">
        <v>10464</v>
      </c>
      <c r="M411" s="276"/>
    </row>
    <row r="412" spans="1:13">
      <c r="A412" s="277">
        <f>VLOOKUP(B412, 'PubMed 10.7.21 Results'!B:B, 1, FALSE)</f>
        <v>23121200</v>
      </c>
      <c r="B412" s="277">
        <v>23121200</v>
      </c>
      <c r="C412" s="276" t="s">
        <v>10626</v>
      </c>
      <c r="D412" s="276" t="s">
        <v>10627</v>
      </c>
      <c r="E412" s="276" t="s">
        <v>10628</v>
      </c>
      <c r="F412" s="276" t="s">
        <v>7756</v>
      </c>
      <c r="G412" s="276" t="s">
        <v>8685</v>
      </c>
      <c r="H412" s="277">
        <v>2013</v>
      </c>
      <c r="I412" s="386">
        <v>41219</v>
      </c>
      <c r="J412" s="276"/>
      <c r="K412" s="276"/>
      <c r="L412" s="385" t="s">
        <v>10629</v>
      </c>
      <c r="M412" s="276"/>
    </row>
    <row r="413" spans="1:13">
      <c r="A413" s="277">
        <f>VLOOKUP(B413, 'PubMed 10.7.21 Results'!B:B, 1, FALSE)</f>
        <v>21873194</v>
      </c>
      <c r="B413" s="277">
        <v>21873194</v>
      </c>
      <c r="C413" s="276" t="s">
        <v>10288</v>
      </c>
      <c r="D413" s="276" t="s">
        <v>10289</v>
      </c>
      <c r="E413" s="276" t="s">
        <v>10290</v>
      </c>
      <c r="F413" s="276" t="s">
        <v>7582</v>
      </c>
      <c r="G413" s="276" t="s">
        <v>10291</v>
      </c>
      <c r="H413" s="277">
        <v>2011</v>
      </c>
      <c r="I413" s="386">
        <v>40785</v>
      </c>
      <c r="J413" s="276" t="s">
        <v>7583</v>
      </c>
      <c r="K413" s="276"/>
      <c r="L413" s="385" t="s">
        <v>10292</v>
      </c>
      <c r="M413" s="276"/>
    </row>
    <row r="414" spans="1:13">
      <c r="A414" s="277">
        <f>VLOOKUP(B414, 'PubMed 10.7.21 Results'!B:B, 1, FALSE)</f>
        <v>25577042</v>
      </c>
      <c r="B414" s="277">
        <v>25577042</v>
      </c>
      <c r="C414" s="276" t="s">
        <v>11340</v>
      </c>
      <c r="D414" s="276" t="s">
        <v>11341</v>
      </c>
      <c r="E414" s="276" t="s">
        <v>11342</v>
      </c>
      <c r="F414" s="276" t="s">
        <v>6410</v>
      </c>
      <c r="G414" s="276" t="s">
        <v>9049</v>
      </c>
      <c r="H414" s="277">
        <v>2015</v>
      </c>
      <c r="I414" s="386">
        <v>42016</v>
      </c>
      <c r="J414" s="276" t="s">
        <v>6411</v>
      </c>
      <c r="K414" s="276"/>
      <c r="L414" s="385" t="s">
        <v>11343</v>
      </c>
      <c r="M414" s="276"/>
    </row>
    <row r="415" spans="1:13">
      <c r="A415" s="277">
        <f>VLOOKUP(B415, 'PubMed 10.7.21 Results'!B:B, 1, FALSE)</f>
        <v>22972130</v>
      </c>
      <c r="B415" s="277">
        <v>22972130</v>
      </c>
      <c r="C415" s="276" t="s">
        <v>10532</v>
      </c>
      <c r="D415" s="276" t="s">
        <v>10533</v>
      </c>
      <c r="E415" s="276" t="s">
        <v>10534</v>
      </c>
      <c r="F415" s="276" t="s">
        <v>7545</v>
      </c>
      <c r="G415" s="276" t="s">
        <v>8857</v>
      </c>
      <c r="H415" s="277">
        <v>2012</v>
      </c>
      <c r="I415" s="386">
        <v>41166</v>
      </c>
      <c r="J415" s="276"/>
      <c r="K415" s="276"/>
      <c r="L415" s="385" t="s">
        <v>10535</v>
      </c>
      <c r="M415" s="276"/>
    </row>
    <row r="416" spans="1:13">
      <c r="A416" s="277">
        <f>VLOOKUP(B416, 'PubMed 10.7.21 Results'!B:B, 1, FALSE)</f>
        <v>11176767</v>
      </c>
      <c r="B416" s="277">
        <v>11176767</v>
      </c>
      <c r="C416" s="276" t="s">
        <v>8764</v>
      </c>
      <c r="D416" s="276" t="s">
        <v>8765</v>
      </c>
      <c r="E416" s="276" t="s">
        <v>8766</v>
      </c>
      <c r="F416" s="276" t="s">
        <v>6567</v>
      </c>
      <c r="G416" s="276" t="s">
        <v>8767</v>
      </c>
      <c r="H416" s="277">
        <v>2001</v>
      </c>
      <c r="I416" s="386">
        <v>36937</v>
      </c>
      <c r="J416" s="276"/>
      <c r="K416" s="276"/>
      <c r="L416" s="385" t="s">
        <v>8768</v>
      </c>
      <c r="M416" s="276"/>
    </row>
    <row r="417" spans="1:13">
      <c r="A417" s="277">
        <f>VLOOKUP(B417, 'PubMed 10.7.21 Results'!B:B, 1, FALSE)</f>
        <v>25066668</v>
      </c>
      <c r="B417" s="277">
        <v>25066668</v>
      </c>
      <c r="C417" s="276" t="s">
        <v>11120</v>
      </c>
      <c r="D417" s="276" t="s">
        <v>11121</v>
      </c>
      <c r="E417" s="276" t="s">
        <v>11122</v>
      </c>
      <c r="F417" s="276" t="s">
        <v>7528</v>
      </c>
      <c r="G417" s="276" t="s">
        <v>8640</v>
      </c>
      <c r="H417" s="277">
        <v>2014</v>
      </c>
      <c r="I417" s="386">
        <v>41849</v>
      </c>
      <c r="J417" s="276"/>
      <c r="K417" s="276"/>
      <c r="L417" s="385" t="s">
        <v>11123</v>
      </c>
      <c r="M417" s="276"/>
    </row>
    <row r="418" spans="1:13">
      <c r="A418" s="277">
        <f>VLOOKUP(B418, 'PubMed 10.7.21 Results'!B:B, 1, FALSE)</f>
        <v>19457991</v>
      </c>
      <c r="B418" s="277">
        <v>19457991</v>
      </c>
      <c r="C418" s="276" t="s">
        <v>9818</v>
      </c>
      <c r="D418" s="276" t="s">
        <v>9819</v>
      </c>
      <c r="E418" s="276" t="s">
        <v>9820</v>
      </c>
      <c r="F418" s="276" t="s">
        <v>7419</v>
      </c>
      <c r="G418" s="276" t="s">
        <v>9821</v>
      </c>
      <c r="H418" s="277">
        <v>2009</v>
      </c>
      <c r="I418" s="386">
        <v>39955</v>
      </c>
      <c r="J418" s="276" t="s">
        <v>7420</v>
      </c>
      <c r="K418" s="276"/>
      <c r="L418" s="385" t="s">
        <v>9822</v>
      </c>
      <c r="M418" s="276"/>
    </row>
    <row r="419" spans="1:13">
      <c r="A419" s="277">
        <f>VLOOKUP(B419, 'PubMed 10.7.21 Results'!B:B, 1, FALSE)</f>
        <v>24867876</v>
      </c>
      <c r="B419" s="277">
        <v>24867876</v>
      </c>
      <c r="C419" s="276" t="s">
        <v>11023</v>
      </c>
      <c r="D419" s="276" t="s">
        <v>11024</v>
      </c>
      <c r="E419" s="276" t="s">
        <v>11025</v>
      </c>
      <c r="F419" s="276" t="s">
        <v>8002</v>
      </c>
      <c r="G419" s="276" t="s">
        <v>8857</v>
      </c>
      <c r="H419" s="277">
        <v>2014</v>
      </c>
      <c r="I419" s="386">
        <v>41788</v>
      </c>
      <c r="J419" s="276" t="s">
        <v>8003</v>
      </c>
      <c r="K419" s="276"/>
      <c r="L419" s="385" t="s">
        <v>11026</v>
      </c>
      <c r="M419" s="276"/>
    </row>
    <row r="420" spans="1:13">
      <c r="A420" s="277">
        <f>VLOOKUP(B420, 'PubMed 10.7.21 Results'!B:B, 1, FALSE)</f>
        <v>22161394</v>
      </c>
      <c r="B420" s="277">
        <v>22161394</v>
      </c>
      <c r="C420" s="276" t="s">
        <v>10342</v>
      </c>
      <c r="D420" s="276" t="s">
        <v>10343</v>
      </c>
      <c r="E420" s="276" t="s">
        <v>10344</v>
      </c>
      <c r="F420" s="276" t="s">
        <v>6393</v>
      </c>
      <c r="G420" s="276" t="s">
        <v>8857</v>
      </c>
      <c r="H420" s="277">
        <v>2011</v>
      </c>
      <c r="I420" s="386">
        <v>40891</v>
      </c>
      <c r="J420" s="276" t="s">
        <v>6394</v>
      </c>
      <c r="K420" s="276"/>
      <c r="L420" s="385" t="s">
        <v>10345</v>
      </c>
      <c r="M420" s="276"/>
    </row>
    <row r="421" spans="1:13">
      <c r="A421" s="277">
        <f>VLOOKUP(B421, 'PubMed 10.7.21 Results'!B:B, 1, FALSE)</f>
        <v>19919295</v>
      </c>
      <c r="B421" s="277">
        <v>19919295</v>
      </c>
      <c r="C421" s="276" t="s">
        <v>9937</v>
      </c>
      <c r="D421" s="276" t="s">
        <v>9938</v>
      </c>
      <c r="E421" s="276" t="s">
        <v>9939</v>
      </c>
      <c r="F421" s="276" t="s">
        <v>7657</v>
      </c>
      <c r="G421" s="276" t="s">
        <v>8762</v>
      </c>
      <c r="H421" s="277">
        <v>2010</v>
      </c>
      <c r="I421" s="386">
        <v>40136</v>
      </c>
      <c r="J421" s="276"/>
      <c r="K421" s="276"/>
      <c r="L421" s="385" t="s">
        <v>9940</v>
      </c>
      <c r="M421" s="276"/>
    </row>
    <row r="422" spans="1:13">
      <c r="A422" s="277">
        <f>VLOOKUP(B422, 'PubMed 10.7.21 Results'!B:B, 1, FALSE)</f>
        <v>28844541</v>
      </c>
      <c r="B422" s="277">
        <v>28844541</v>
      </c>
      <c r="C422" s="276" t="s">
        <v>12302</v>
      </c>
      <c r="D422" s="276" t="s">
        <v>12303</v>
      </c>
      <c r="E422" s="276" t="s">
        <v>12304</v>
      </c>
      <c r="F422" s="276" t="s">
        <v>7342</v>
      </c>
      <c r="G422" s="276" t="s">
        <v>12305</v>
      </c>
      <c r="H422" s="277">
        <v>2017</v>
      </c>
      <c r="I422" s="386">
        <v>42976</v>
      </c>
      <c r="J422" s="276"/>
      <c r="K422" s="276"/>
      <c r="L422" s="385" t="s">
        <v>12306</v>
      </c>
      <c r="M422" s="276"/>
    </row>
    <row r="423" spans="1:13">
      <c r="A423" s="277">
        <f>VLOOKUP(B423, 'PubMed 10.7.21 Results'!B:B, 1, FALSE)</f>
        <v>20573187</v>
      </c>
      <c r="B423" s="277">
        <v>20573187</v>
      </c>
      <c r="C423" s="276" t="s">
        <v>10010</v>
      </c>
      <c r="D423" s="276" t="s">
        <v>10011</v>
      </c>
      <c r="E423" s="276" t="s">
        <v>10012</v>
      </c>
      <c r="F423" s="276" t="s">
        <v>7802</v>
      </c>
      <c r="G423" s="276" t="s">
        <v>10013</v>
      </c>
      <c r="H423" s="277">
        <v>2010</v>
      </c>
      <c r="I423" s="386">
        <v>40354</v>
      </c>
      <c r="J423" s="276" t="s">
        <v>7803</v>
      </c>
      <c r="K423" s="276"/>
      <c r="L423" s="385" t="s">
        <v>10014</v>
      </c>
      <c r="M423" s="276"/>
    </row>
    <row r="424" spans="1:13">
      <c r="A424" s="277">
        <f>VLOOKUP(B424, 'PubMed 10.7.21 Results'!B:B, 1, FALSE)</f>
        <v>11555564</v>
      </c>
      <c r="B424" s="277">
        <v>11555564</v>
      </c>
      <c r="C424" s="276" t="s">
        <v>8817</v>
      </c>
      <c r="D424" s="276" t="s">
        <v>8818</v>
      </c>
      <c r="E424" s="276" t="s">
        <v>8819</v>
      </c>
      <c r="F424" s="276" t="s">
        <v>7471</v>
      </c>
      <c r="G424" s="276" t="s">
        <v>8597</v>
      </c>
      <c r="H424" s="277">
        <v>2001</v>
      </c>
      <c r="I424" s="386">
        <v>37148</v>
      </c>
      <c r="J424" s="276"/>
      <c r="K424" s="276"/>
      <c r="L424" s="385" t="s">
        <v>8820</v>
      </c>
      <c r="M424" s="276"/>
    </row>
    <row r="425" spans="1:13">
      <c r="A425" s="277">
        <f>VLOOKUP(B425, 'PubMed 10.7.21 Results'!B:B, 1, FALSE)</f>
        <v>24696467</v>
      </c>
      <c r="B425" s="277">
        <v>24696467</v>
      </c>
      <c r="C425" s="276" t="s">
        <v>11036</v>
      </c>
      <c r="D425" s="276" t="s">
        <v>11037</v>
      </c>
      <c r="E425" s="276" t="s">
        <v>11038</v>
      </c>
      <c r="F425" s="276" t="s">
        <v>6574</v>
      </c>
      <c r="G425" s="276" t="s">
        <v>9821</v>
      </c>
      <c r="H425" s="277">
        <v>2014</v>
      </c>
      <c r="I425" s="386">
        <v>41733</v>
      </c>
      <c r="J425" s="276" t="s">
        <v>6029</v>
      </c>
      <c r="K425" s="276"/>
      <c r="L425" s="385" t="s">
        <v>11039</v>
      </c>
      <c r="M425" s="276"/>
    </row>
    <row r="426" spans="1:13">
      <c r="A426" s="277">
        <f>VLOOKUP(B426, 'PubMed 10.7.21 Results'!B:B, 1, FALSE)</f>
        <v>15899734</v>
      </c>
      <c r="B426" s="277">
        <v>15899734</v>
      </c>
      <c r="C426" s="276" t="s">
        <v>9163</v>
      </c>
      <c r="D426" s="276" t="s">
        <v>9164</v>
      </c>
      <c r="E426" s="276" t="s">
        <v>9165</v>
      </c>
      <c r="F426" s="276" t="s">
        <v>6526</v>
      </c>
      <c r="G426" s="276" t="s">
        <v>8670</v>
      </c>
      <c r="H426" s="277">
        <v>2005</v>
      </c>
      <c r="I426" s="386">
        <v>38491</v>
      </c>
      <c r="J426" s="276"/>
      <c r="K426" s="276"/>
      <c r="L426" s="385" t="s">
        <v>9166</v>
      </c>
      <c r="M426" s="276"/>
    </row>
    <row r="427" spans="1:13">
      <c r="A427" s="277">
        <f>VLOOKUP(B427, 'PubMed 10.7.21 Results'!B:B, 1, FALSE)</f>
        <v>15568608</v>
      </c>
      <c r="B427" s="277">
        <v>15568608</v>
      </c>
      <c r="C427" s="276" t="s">
        <v>9113</v>
      </c>
      <c r="D427" s="276" t="s">
        <v>9114</v>
      </c>
      <c r="E427" s="276" t="s">
        <v>9115</v>
      </c>
      <c r="F427" s="276" t="s">
        <v>7741</v>
      </c>
      <c r="G427" s="276" t="s">
        <v>8730</v>
      </c>
      <c r="H427" s="277">
        <v>2004</v>
      </c>
      <c r="I427" s="386">
        <v>38322</v>
      </c>
      <c r="J427" s="276"/>
      <c r="K427" s="276"/>
      <c r="L427" s="276"/>
      <c r="M427" s="276"/>
    </row>
    <row r="428" spans="1:13">
      <c r="A428" s="277">
        <f>VLOOKUP(B428, 'PubMed 10.7.21 Results'!B:B, 1, FALSE)</f>
        <v>12198006</v>
      </c>
      <c r="B428" s="277">
        <v>12198006</v>
      </c>
      <c r="C428" s="276" t="s">
        <v>8932</v>
      </c>
      <c r="D428" s="276" t="s">
        <v>8933</v>
      </c>
      <c r="E428" s="276" t="s">
        <v>8934</v>
      </c>
      <c r="F428" s="276" t="s">
        <v>7332</v>
      </c>
      <c r="G428" s="276" t="s">
        <v>8935</v>
      </c>
      <c r="H428" s="277">
        <v>2002</v>
      </c>
      <c r="I428" s="386">
        <v>37497</v>
      </c>
      <c r="J428" s="276"/>
      <c r="K428" s="276"/>
      <c r="L428" s="385" t="s">
        <v>8936</v>
      </c>
      <c r="M428" s="276"/>
    </row>
    <row r="429" spans="1:13">
      <c r="A429" s="277">
        <f>VLOOKUP(B429, 'PubMed 10.7.21 Results'!B:B, 1, FALSE)</f>
        <v>23543565</v>
      </c>
      <c r="B429" s="277">
        <v>23543565</v>
      </c>
      <c r="C429" s="276" t="s">
        <v>10704</v>
      </c>
      <c r="D429" s="276" t="s">
        <v>10705</v>
      </c>
      <c r="E429" s="276" t="s">
        <v>10706</v>
      </c>
      <c r="F429" s="276" t="s">
        <v>7809</v>
      </c>
      <c r="G429" s="276" t="s">
        <v>8857</v>
      </c>
      <c r="H429" s="277">
        <v>2013</v>
      </c>
      <c r="I429" s="386">
        <v>41366</v>
      </c>
      <c r="J429" s="276"/>
      <c r="K429" s="276"/>
      <c r="L429" s="385" t="s">
        <v>10707</v>
      </c>
      <c r="M429" s="276"/>
    </row>
    <row r="430" spans="1:13">
      <c r="A430" s="277">
        <f>VLOOKUP(B430, 'PubMed 10.7.21 Results'!B:B, 1, FALSE)</f>
        <v>22123685</v>
      </c>
      <c r="B430" s="277">
        <v>22123685</v>
      </c>
      <c r="C430" s="276" t="s">
        <v>10398</v>
      </c>
      <c r="D430" s="276" t="s">
        <v>10399</v>
      </c>
      <c r="E430" s="276" t="s">
        <v>10400</v>
      </c>
      <c r="F430" s="276" t="s">
        <v>7630</v>
      </c>
      <c r="G430" s="276" t="s">
        <v>8675</v>
      </c>
      <c r="H430" s="277">
        <v>2012</v>
      </c>
      <c r="I430" s="386">
        <v>40877</v>
      </c>
      <c r="J430" s="276" t="s">
        <v>7631</v>
      </c>
      <c r="K430" s="276"/>
      <c r="L430" s="385" t="s">
        <v>10401</v>
      </c>
      <c r="M430" s="276"/>
    </row>
    <row r="431" spans="1:13">
      <c r="A431" s="277">
        <f>VLOOKUP(B431, 'PubMed 10.7.21 Results'!B:B, 1, FALSE)</f>
        <v>23457473</v>
      </c>
      <c r="B431" s="277">
        <v>23457473</v>
      </c>
      <c r="C431" s="276" t="s">
        <v>10643</v>
      </c>
      <c r="D431" s="276" t="s">
        <v>10644</v>
      </c>
      <c r="E431" s="276" t="s">
        <v>10645</v>
      </c>
      <c r="F431" s="276" t="s">
        <v>338</v>
      </c>
      <c r="G431" s="276" t="s">
        <v>10379</v>
      </c>
      <c r="H431" s="277">
        <v>2013</v>
      </c>
      <c r="I431" s="386">
        <v>41338</v>
      </c>
      <c r="J431" s="276" t="s">
        <v>6661</v>
      </c>
      <c r="K431" s="276"/>
      <c r="L431" s="385" t="s">
        <v>10646</v>
      </c>
      <c r="M431" s="276"/>
    </row>
    <row r="432" spans="1:13">
      <c r="A432" s="277">
        <f>VLOOKUP(B432, 'PubMed 10.7.21 Results'!B:B, 1, FALSE)</f>
        <v>16107978</v>
      </c>
      <c r="B432" s="277">
        <v>16107978</v>
      </c>
      <c r="C432" s="276" t="s">
        <v>9194</v>
      </c>
      <c r="D432" s="276" t="s">
        <v>9195</v>
      </c>
      <c r="E432" s="276" t="s">
        <v>9196</v>
      </c>
      <c r="F432" s="276" t="s">
        <v>551</v>
      </c>
      <c r="G432" s="276" t="s">
        <v>9152</v>
      </c>
      <c r="H432" s="277">
        <v>2005</v>
      </c>
      <c r="I432" s="386">
        <v>38583</v>
      </c>
      <c r="J432" s="276"/>
      <c r="K432" s="276"/>
      <c r="L432" s="276" t="s">
        <v>9197</v>
      </c>
      <c r="M432" s="276"/>
    </row>
    <row r="433" spans="1:13">
      <c r="A433" s="277">
        <f>VLOOKUP(B433, 'PubMed 10.7.21 Results'!B:B, 1, FALSE)</f>
        <v>27077121</v>
      </c>
      <c r="B433" s="277">
        <v>27077121</v>
      </c>
      <c r="C433" s="276" t="s">
        <v>11661</v>
      </c>
      <c r="D433" s="276" t="s">
        <v>11662</v>
      </c>
      <c r="E433" s="276" t="s">
        <v>11663</v>
      </c>
      <c r="F433" s="276" t="s">
        <v>8078</v>
      </c>
      <c r="G433" s="276" t="s">
        <v>11664</v>
      </c>
      <c r="H433" s="277">
        <v>2016</v>
      </c>
      <c r="I433" s="386">
        <v>42475</v>
      </c>
      <c r="J433" s="276" t="s">
        <v>8079</v>
      </c>
      <c r="K433" s="276"/>
      <c r="L433" s="385" t="s">
        <v>11665</v>
      </c>
      <c r="M433" s="276"/>
    </row>
    <row r="434" spans="1:13">
      <c r="A434" s="277">
        <f>VLOOKUP(B434, 'PubMed 10.7.21 Results'!B:B, 1, FALSE)</f>
        <v>25007364</v>
      </c>
      <c r="B434" s="277">
        <v>25007364</v>
      </c>
      <c r="C434" s="276" t="s">
        <v>11082</v>
      </c>
      <c r="D434" s="276" t="s">
        <v>11083</v>
      </c>
      <c r="E434" s="276" t="s">
        <v>11084</v>
      </c>
      <c r="F434" s="276" t="s">
        <v>7000</v>
      </c>
      <c r="G434" s="276" t="s">
        <v>9604</v>
      </c>
      <c r="H434" s="277">
        <v>2014</v>
      </c>
      <c r="I434" s="386">
        <v>41830</v>
      </c>
      <c r="J434" s="276"/>
      <c r="K434" s="276"/>
      <c r="L434" s="276"/>
      <c r="M434" s="276"/>
    </row>
    <row r="435" spans="1:13">
      <c r="A435" s="277">
        <f>VLOOKUP(B435, 'PubMed 10.7.21 Results'!B:B, 1, FALSE)</f>
        <v>19327956</v>
      </c>
      <c r="B435" s="277">
        <v>19327956</v>
      </c>
      <c r="C435" s="276" t="s">
        <v>9777</v>
      </c>
      <c r="D435" s="276" t="s">
        <v>9778</v>
      </c>
      <c r="E435" s="276" t="s">
        <v>9779</v>
      </c>
      <c r="F435" s="276" t="s">
        <v>6693</v>
      </c>
      <c r="G435" s="276" t="s">
        <v>9780</v>
      </c>
      <c r="H435" s="277">
        <v>2009</v>
      </c>
      <c r="I435" s="386">
        <v>39903</v>
      </c>
      <c r="J435" s="276"/>
      <c r="K435" s="276"/>
      <c r="L435" s="385" t="s">
        <v>9781</v>
      </c>
      <c r="M435" s="276"/>
    </row>
    <row r="436" spans="1:13">
      <c r="A436" s="277">
        <f>VLOOKUP(B436, 'PubMed 10.7.21 Results'!B:B, 1, FALSE)</f>
        <v>22989372</v>
      </c>
      <c r="B436" s="277">
        <v>22989372</v>
      </c>
      <c r="C436" s="276" t="s">
        <v>10536</v>
      </c>
      <c r="D436" s="276" t="s">
        <v>10537</v>
      </c>
      <c r="E436" s="276" t="s">
        <v>10538</v>
      </c>
      <c r="F436" s="276" t="s">
        <v>7765</v>
      </c>
      <c r="G436" s="276" t="s">
        <v>9437</v>
      </c>
      <c r="H436" s="277">
        <v>2012</v>
      </c>
      <c r="I436" s="386">
        <v>41172</v>
      </c>
      <c r="J436" s="276" t="s">
        <v>7766</v>
      </c>
      <c r="K436" s="276"/>
      <c r="L436" s="385" t="s">
        <v>10539</v>
      </c>
      <c r="M436" s="276"/>
    </row>
    <row r="437" spans="1:13">
      <c r="A437" s="277">
        <f>VLOOKUP(B437, 'PubMed 10.7.21 Results'!B:B, 1, FALSE)</f>
        <v>7956274</v>
      </c>
      <c r="B437" s="277">
        <v>7956274</v>
      </c>
      <c r="C437" s="276" t="s">
        <v>8530</v>
      </c>
      <c r="D437" s="276" t="s">
        <v>8531</v>
      </c>
      <c r="E437" s="276" t="s">
        <v>8532</v>
      </c>
      <c r="F437" s="276" t="s">
        <v>6765</v>
      </c>
      <c r="G437" s="276" t="s">
        <v>8504</v>
      </c>
      <c r="H437" s="277">
        <v>1994</v>
      </c>
      <c r="I437" s="386">
        <v>34639</v>
      </c>
      <c r="J437" s="276"/>
      <c r="K437" s="276"/>
      <c r="L437" s="276"/>
      <c r="M437" s="276"/>
    </row>
    <row r="438" spans="1:13">
      <c r="A438" s="277">
        <f>VLOOKUP(B438, 'PubMed 10.7.21 Results'!B:B, 1, FALSE)</f>
        <v>15649831</v>
      </c>
      <c r="B438" s="277">
        <v>15649831</v>
      </c>
      <c r="C438" s="276" t="s">
        <v>9130</v>
      </c>
      <c r="D438" s="276" t="s">
        <v>9131</v>
      </c>
      <c r="E438" s="276" t="s">
        <v>9132</v>
      </c>
      <c r="F438" s="276" t="s">
        <v>7165</v>
      </c>
      <c r="G438" s="276" t="s">
        <v>9133</v>
      </c>
      <c r="H438" s="277">
        <v>2004</v>
      </c>
      <c r="I438" s="386">
        <v>38367</v>
      </c>
      <c r="J438" s="276"/>
      <c r="K438" s="276"/>
      <c r="L438" s="385" t="s">
        <v>9134</v>
      </c>
      <c r="M438" s="276"/>
    </row>
    <row r="439" spans="1:13">
      <c r="A439" s="277">
        <f>VLOOKUP(B439, 'PubMed 10.7.21 Results'!B:B, 1, FALSE)</f>
        <v>16801419</v>
      </c>
      <c r="B439" s="277">
        <v>16801419</v>
      </c>
      <c r="C439" s="276" t="s">
        <v>9319</v>
      </c>
      <c r="D439" s="276" t="s">
        <v>9320</v>
      </c>
      <c r="E439" s="276" t="s">
        <v>9321</v>
      </c>
      <c r="F439" s="276" t="s">
        <v>6760</v>
      </c>
      <c r="G439" s="276" t="s">
        <v>8675</v>
      </c>
      <c r="H439" s="277">
        <v>2006</v>
      </c>
      <c r="I439" s="386">
        <v>38896</v>
      </c>
      <c r="J439" s="276" t="s">
        <v>6761</v>
      </c>
      <c r="K439" s="276"/>
      <c r="L439" s="385" t="s">
        <v>9322</v>
      </c>
      <c r="M439" s="276"/>
    </row>
    <row r="440" spans="1:13">
      <c r="A440" s="277">
        <f>VLOOKUP(B440, 'PubMed 10.7.21 Results'!B:B, 1, FALSE)</f>
        <v>20031822</v>
      </c>
      <c r="B440" s="277">
        <v>20031822</v>
      </c>
      <c r="C440" s="276" t="s">
        <v>9733</v>
      </c>
      <c r="D440" s="276" t="s">
        <v>9734</v>
      </c>
      <c r="E440" s="276" t="s">
        <v>9735</v>
      </c>
      <c r="F440" s="276" t="s">
        <v>6621</v>
      </c>
      <c r="G440" s="276" t="s">
        <v>9736</v>
      </c>
      <c r="H440" s="277">
        <v>2009</v>
      </c>
      <c r="I440" s="386">
        <v>40172</v>
      </c>
      <c r="J440" s="276"/>
      <c r="K440" s="276"/>
      <c r="L440" s="385" t="s">
        <v>9737</v>
      </c>
      <c r="M440" s="276"/>
    </row>
    <row r="441" spans="1:13">
      <c r="A441" s="277">
        <f>VLOOKUP(B441, 'PubMed 10.7.21 Results'!B:B, 1, FALSE)</f>
        <v>17940977</v>
      </c>
      <c r="B441" s="277">
        <v>17940977</v>
      </c>
      <c r="C441" s="276" t="s">
        <v>9494</v>
      </c>
      <c r="D441" s="276" t="s">
        <v>9495</v>
      </c>
      <c r="E441" s="276" t="s">
        <v>9496</v>
      </c>
      <c r="F441" s="276" t="s">
        <v>7140</v>
      </c>
      <c r="G441" s="276" t="s">
        <v>9497</v>
      </c>
      <c r="H441" s="277">
        <v>2007</v>
      </c>
      <c r="I441" s="386">
        <v>39422</v>
      </c>
      <c r="J441" s="276"/>
      <c r="K441" s="276"/>
      <c r="L441" s="276" t="s">
        <v>9498</v>
      </c>
      <c r="M441" s="276"/>
    </row>
    <row r="442" spans="1:13">
      <c r="A442" s="277">
        <f>VLOOKUP(B442, 'PubMed 10.7.21 Results'!B:B, 1, FALSE)</f>
        <v>23437138</v>
      </c>
      <c r="B442" s="277">
        <v>23437138</v>
      </c>
      <c r="C442" s="276" t="s">
        <v>10639</v>
      </c>
      <c r="D442" s="276" t="s">
        <v>10640</v>
      </c>
      <c r="E442" s="276" t="s">
        <v>10641</v>
      </c>
      <c r="F442" s="276" t="s">
        <v>6901</v>
      </c>
      <c r="G442" s="276" t="s">
        <v>10379</v>
      </c>
      <c r="H442" s="277">
        <v>2013</v>
      </c>
      <c r="I442" s="386">
        <v>41331</v>
      </c>
      <c r="J442" s="276" t="s">
        <v>6902</v>
      </c>
      <c r="K442" s="276"/>
      <c r="L442" s="385" t="s">
        <v>10642</v>
      </c>
      <c r="M442" s="276"/>
    </row>
    <row r="443" spans="1:13">
      <c r="A443" s="277">
        <f>VLOOKUP(B443, 'PubMed 10.7.21 Results'!B:B, 1, FALSE)</f>
        <v>15937757</v>
      </c>
      <c r="B443" s="277">
        <v>15937757</v>
      </c>
      <c r="C443" s="276" t="s">
        <v>9175</v>
      </c>
      <c r="D443" s="276" t="s">
        <v>9176</v>
      </c>
      <c r="E443" s="276" t="s">
        <v>9177</v>
      </c>
      <c r="F443" s="276" t="s">
        <v>7875</v>
      </c>
      <c r="G443" s="276" t="s">
        <v>9152</v>
      </c>
      <c r="H443" s="277">
        <v>2005</v>
      </c>
      <c r="I443" s="386">
        <v>38510</v>
      </c>
      <c r="J443" s="276"/>
      <c r="K443" s="276"/>
      <c r="L443" s="276" t="s">
        <v>9178</v>
      </c>
      <c r="M443" s="276"/>
    </row>
    <row r="444" spans="1:13">
      <c r="A444" s="277">
        <f>VLOOKUP(B444, 'PubMed 10.7.21 Results'!B:B, 1, FALSE)</f>
        <v>20659185</v>
      </c>
      <c r="B444" s="277">
        <v>20659185</v>
      </c>
      <c r="C444" s="276" t="s">
        <v>10093</v>
      </c>
      <c r="D444" s="276" t="s">
        <v>10094</v>
      </c>
      <c r="E444" s="276" t="s">
        <v>10095</v>
      </c>
      <c r="F444" s="276" t="s">
        <v>7678</v>
      </c>
      <c r="G444" s="276" t="s">
        <v>10096</v>
      </c>
      <c r="H444" s="277">
        <v>2010</v>
      </c>
      <c r="I444" s="386">
        <v>40387</v>
      </c>
      <c r="J444" s="276"/>
      <c r="K444" s="276"/>
      <c r="L444" s="385" t="s">
        <v>10098</v>
      </c>
      <c r="M444" s="276"/>
    </row>
    <row r="445" spans="1:13">
      <c r="A445" s="277">
        <f>VLOOKUP(B445, 'PubMed 10.7.21 Results'!B:B, 1, FALSE)</f>
        <v>21639872</v>
      </c>
      <c r="B445" s="277">
        <v>21639872</v>
      </c>
      <c r="C445" s="276" t="s">
        <v>10207</v>
      </c>
      <c r="D445" s="276" t="s">
        <v>10208</v>
      </c>
      <c r="E445" s="276" t="s">
        <v>10209</v>
      </c>
      <c r="F445" s="276" t="s">
        <v>4073</v>
      </c>
      <c r="G445" s="276" t="s">
        <v>10210</v>
      </c>
      <c r="H445" s="277">
        <v>2011</v>
      </c>
      <c r="I445" s="386">
        <v>40701</v>
      </c>
      <c r="J445" s="276" t="s">
        <v>7698</v>
      </c>
      <c r="K445" s="276"/>
      <c r="L445" s="385" t="s">
        <v>10211</v>
      </c>
      <c r="M445" s="276"/>
    </row>
    <row r="446" spans="1:13">
      <c r="A446" s="277">
        <f>VLOOKUP(B446, 'PubMed 10.7.21 Results'!B:B, 1, FALSE)</f>
        <v>12544987</v>
      </c>
      <c r="B446" s="277">
        <v>12544987</v>
      </c>
      <c r="C446" s="276" t="s">
        <v>8941</v>
      </c>
      <c r="D446" s="276" t="s">
        <v>8942</v>
      </c>
      <c r="E446" s="276" t="s">
        <v>8943</v>
      </c>
      <c r="F446" s="276" t="s">
        <v>6816</v>
      </c>
      <c r="G446" s="276" t="s">
        <v>8504</v>
      </c>
      <c r="H446" s="277">
        <v>2003</v>
      </c>
      <c r="I446" s="386">
        <v>37646</v>
      </c>
      <c r="J446" s="276"/>
      <c r="K446" s="276"/>
      <c r="L446" s="385" t="s">
        <v>8944</v>
      </c>
      <c r="M446" s="276"/>
    </row>
    <row r="447" spans="1:13">
      <c r="A447" s="277">
        <f>VLOOKUP(B447, 'PubMed 10.7.21 Results'!B:B, 1, FALSE)</f>
        <v>22045670</v>
      </c>
      <c r="B447" s="277">
        <v>22045670</v>
      </c>
      <c r="C447" s="276" t="s">
        <v>10317</v>
      </c>
      <c r="D447" s="276" t="s">
        <v>10318</v>
      </c>
      <c r="E447" s="276" t="s">
        <v>10319</v>
      </c>
      <c r="F447" s="276" t="s">
        <v>6934</v>
      </c>
      <c r="G447" s="276" t="s">
        <v>8480</v>
      </c>
      <c r="H447" s="277">
        <v>2011</v>
      </c>
      <c r="I447" s="386">
        <v>40850</v>
      </c>
      <c r="J447" s="276" t="s">
        <v>6935</v>
      </c>
      <c r="K447" s="276" t="s">
        <v>10320</v>
      </c>
      <c r="L447" s="385" t="s">
        <v>10321</v>
      </c>
      <c r="M447" s="276"/>
    </row>
    <row r="448" spans="1:13">
      <c r="A448" s="277">
        <f>VLOOKUP(B448, 'PubMed 10.7.21 Results'!B:B, 1, FALSE)</f>
        <v>19840663</v>
      </c>
      <c r="B448" s="277">
        <v>19840663</v>
      </c>
      <c r="C448" s="276" t="s">
        <v>9883</v>
      </c>
      <c r="D448" s="276" t="s">
        <v>9700</v>
      </c>
      <c r="E448" s="276" t="s">
        <v>9884</v>
      </c>
      <c r="F448" s="276" t="s">
        <v>7205</v>
      </c>
      <c r="G448" s="276" t="s">
        <v>21</v>
      </c>
      <c r="H448" s="277">
        <v>2009</v>
      </c>
      <c r="I448" s="386">
        <v>40107</v>
      </c>
      <c r="J448" s="276"/>
      <c r="K448" s="276"/>
      <c r="L448" s="385" t="s">
        <v>9885</v>
      </c>
      <c r="M448" s="276"/>
    </row>
    <row r="449" spans="1:13">
      <c r="A449" s="277">
        <f>VLOOKUP(B449, 'PubMed 10.7.21 Results'!B:B, 1, FALSE)</f>
        <v>21304925</v>
      </c>
      <c r="B449" s="277">
        <v>21304925</v>
      </c>
      <c r="C449" s="276" t="s">
        <v>10145</v>
      </c>
      <c r="D449" s="276" t="s">
        <v>10146</v>
      </c>
      <c r="E449" s="276" t="s">
        <v>10147</v>
      </c>
      <c r="F449" s="276" t="s">
        <v>7198</v>
      </c>
      <c r="G449" s="276" t="s">
        <v>10148</v>
      </c>
      <c r="H449" s="277">
        <v>2011</v>
      </c>
      <c r="I449" s="386">
        <v>40584</v>
      </c>
      <c r="J449" s="276" t="s">
        <v>7199</v>
      </c>
      <c r="K449" s="276"/>
      <c r="L449" s="385" t="s">
        <v>10149</v>
      </c>
      <c r="M449" s="276"/>
    </row>
    <row r="450" spans="1:13">
      <c r="A450" s="277">
        <f>VLOOKUP(B450, 'PubMed 10.7.21 Results'!B:B, 1, FALSE)</f>
        <v>23829867</v>
      </c>
      <c r="B450" s="277">
        <v>23829867</v>
      </c>
      <c r="C450" s="276" t="s">
        <v>10820</v>
      </c>
      <c r="D450" s="276" t="s">
        <v>10821</v>
      </c>
      <c r="E450" s="276" t="s">
        <v>10822</v>
      </c>
      <c r="F450" s="276" t="s">
        <v>7889</v>
      </c>
      <c r="G450" s="276" t="s">
        <v>10823</v>
      </c>
      <c r="H450" s="277">
        <v>2013</v>
      </c>
      <c r="I450" s="386">
        <v>41464</v>
      </c>
      <c r="J450" s="276" t="s">
        <v>7890</v>
      </c>
      <c r="K450" s="276"/>
      <c r="L450" s="385" t="s">
        <v>10824</v>
      </c>
      <c r="M450" s="276"/>
    </row>
    <row r="451" spans="1:13">
      <c r="A451" s="277">
        <f>VLOOKUP(B451, 'PubMed 10.7.21 Results'!B:B, 1, FALSE)</f>
        <v>24988909</v>
      </c>
      <c r="B451" s="277">
        <v>24988909</v>
      </c>
      <c r="C451" s="276" t="s">
        <v>11090</v>
      </c>
      <c r="D451" s="276" t="s">
        <v>11091</v>
      </c>
      <c r="E451" s="276" t="s">
        <v>11092</v>
      </c>
      <c r="F451" s="276" t="s">
        <v>7744</v>
      </c>
      <c r="G451" s="276" t="s">
        <v>9906</v>
      </c>
      <c r="H451" s="277">
        <v>2014</v>
      </c>
      <c r="I451" s="386">
        <v>41824</v>
      </c>
      <c r="J451" s="276" t="s">
        <v>7745</v>
      </c>
      <c r="K451" s="276"/>
      <c r="L451" s="385" t="s">
        <v>11093</v>
      </c>
      <c r="M451" s="276"/>
    </row>
    <row r="452" spans="1:13">
      <c r="A452" s="277">
        <f>VLOOKUP(B452, 'PubMed 10.7.21 Results'!B:B, 1, FALSE)</f>
        <v>11275039</v>
      </c>
      <c r="B452" s="277">
        <v>11275039</v>
      </c>
      <c r="C452" s="276" t="s">
        <v>8779</v>
      </c>
      <c r="D452" s="276" t="s">
        <v>8780</v>
      </c>
      <c r="E452" s="276" t="s">
        <v>8781</v>
      </c>
      <c r="F452" s="276" t="s">
        <v>6970</v>
      </c>
      <c r="G452" s="276" t="s">
        <v>8782</v>
      </c>
      <c r="H452" s="277">
        <v>2001</v>
      </c>
      <c r="I452" s="386">
        <v>36979</v>
      </c>
      <c r="J452" s="276"/>
      <c r="K452" s="276"/>
      <c r="L452" s="385" t="s">
        <v>8783</v>
      </c>
      <c r="M452" s="276"/>
    </row>
    <row r="453" spans="1:13">
      <c r="A453" s="277">
        <f>VLOOKUP(B453, 'PubMed 10.7.21 Results'!B:B, 1, FALSE)</f>
        <v>19854728</v>
      </c>
      <c r="B453" s="277">
        <v>19854728</v>
      </c>
      <c r="C453" s="276" t="s">
        <v>9932</v>
      </c>
      <c r="D453" s="276" t="s">
        <v>9933</v>
      </c>
      <c r="E453" s="276" t="s">
        <v>9934</v>
      </c>
      <c r="F453" s="276" t="s">
        <v>7776</v>
      </c>
      <c r="G453" s="276" t="s">
        <v>9935</v>
      </c>
      <c r="H453" s="277">
        <v>2010</v>
      </c>
      <c r="I453" s="386">
        <v>40113</v>
      </c>
      <c r="J453" s="276"/>
      <c r="K453" s="276"/>
      <c r="L453" s="385" t="s">
        <v>9936</v>
      </c>
      <c r="M453" s="276"/>
    </row>
    <row r="454" spans="1:13">
      <c r="A454" s="277">
        <f>VLOOKUP(B454, 'PubMed 10.7.21 Results'!B:B, 1, FALSE)</f>
        <v>10223933</v>
      </c>
      <c r="B454" s="277">
        <v>10223933</v>
      </c>
      <c r="C454" s="276" t="s">
        <v>8672</v>
      </c>
      <c r="D454" s="276" t="s">
        <v>8673</v>
      </c>
      <c r="E454" s="276" t="s">
        <v>8674</v>
      </c>
      <c r="F454" s="276" t="s">
        <v>7405</v>
      </c>
      <c r="G454" s="276" t="s">
        <v>8675</v>
      </c>
      <c r="H454" s="277">
        <v>1999</v>
      </c>
      <c r="I454" s="386">
        <v>36281</v>
      </c>
      <c r="J454" s="276" t="s">
        <v>7406</v>
      </c>
      <c r="K454" s="276"/>
      <c r="L454" s="385" t="s">
        <v>8676</v>
      </c>
      <c r="M454" s="276"/>
    </row>
    <row r="455" spans="1:13">
      <c r="A455" s="277">
        <f>VLOOKUP(B455, 'PubMed 10.7.21 Results'!B:B, 1, FALSE)</f>
        <v>7849309</v>
      </c>
      <c r="B455" s="277">
        <v>7849309</v>
      </c>
      <c r="C455" s="276" t="s">
        <v>8537</v>
      </c>
      <c r="D455" s="276" t="s">
        <v>8538</v>
      </c>
      <c r="E455" s="276" t="s">
        <v>8539</v>
      </c>
      <c r="F455" s="276" t="s">
        <v>7965</v>
      </c>
      <c r="G455" s="276" t="s">
        <v>8540</v>
      </c>
      <c r="H455" s="277">
        <v>1995</v>
      </c>
      <c r="I455" s="386">
        <v>34745</v>
      </c>
      <c r="J455" s="276"/>
      <c r="K455" s="276"/>
      <c r="L455" s="276"/>
      <c r="M455" s="276"/>
    </row>
    <row r="456" spans="1:13">
      <c r="A456" s="277">
        <f>VLOOKUP(B456, 'PubMed 10.7.21 Results'!B:B, 1, FALSE)</f>
        <v>24895310</v>
      </c>
      <c r="B456" s="277">
        <v>24895310</v>
      </c>
      <c r="C456" s="276" t="s">
        <v>11054</v>
      </c>
      <c r="D456" s="276" t="s">
        <v>11055</v>
      </c>
      <c r="E456" s="276" t="s">
        <v>11056</v>
      </c>
      <c r="F456" s="276" t="s">
        <v>6924</v>
      </c>
      <c r="G456" s="276" t="s">
        <v>11057</v>
      </c>
      <c r="H456" s="277">
        <v>2014</v>
      </c>
      <c r="I456" s="386">
        <v>41795</v>
      </c>
      <c r="J456" s="276" t="s">
        <v>6925</v>
      </c>
      <c r="K456" s="276"/>
      <c r="L456" s="385" t="s">
        <v>11058</v>
      </c>
      <c r="M456" s="276"/>
    </row>
    <row r="457" spans="1:13">
      <c r="A457" s="277">
        <f>VLOOKUP(B457, 'PubMed 10.7.21 Results'!B:B, 1, FALSE)</f>
        <v>11700399</v>
      </c>
      <c r="B457" s="277">
        <v>11700399</v>
      </c>
      <c r="C457" s="276" t="s">
        <v>8826</v>
      </c>
      <c r="D457" s="276" t="s">
        <v>8827</v>
      </c>
      <c r="E457" s="276" t="s">
        <v>8828</v>
      </c>
      <c r="F457" s="276" t="s">
        <v>4737</v>
      </c>
      <c r="G457" s="276" t="s">
        <v>8504</v>
      </c>
      <c r="H457" s="277">
        <v>2001</v>
      </c>
      <c r="I457" s="386">
        <v>37204</v>
      </c>
      <c r="J457" s="276"/>
      <c r="K457" s="276"/>
      <c r="L457" s="385" t="s">
        <v>8829</v>
      </c>
      <c r="M457" s="276"/>
    </row>
    <row r="458" spans="1:13">
      <c r="A458" s="277">
        <f>VLOOKUP(B458, 'PubMed 10.7.21 Results'!B:B, 1, FALSE)</f>
        <v>19137906</v>
      </c>
      <c r="B458" s="277">
        <v>19137906</v>
      </c>
      <c r="C458" s="276" t="s">
        <v>9543</v>
      </c>
      <c r="D458" s="276" t="s">
        <v>9544</v>
      </c>
      <c r="E458" s="276" t="s">
        <v>9545</v>
      </c>
      <c r="F458" s="276" t="s">
        <v>6745</v>
      </c>
      <c r="G458" s="276" t="s">
        <v>9546</v>
      </c>
      <c r="H458" s="277">
        <v>2008</v>
      </c>
      <c r="I458" s="386">
        <v>39827</v>
      </c>
      <c r="J458" s="276"/>
      <c r="K458" s="276"/>
      <c r="L458" s="385" t="s">
        <v>9547</v>
      </c>
      <c r="M458" s="276"/>
    </row>
    <row r="459" spans="1:13">
      <c r="A459" s="277">
        <f>VLOOKUP(B459, 'PubMed 10.7.21 Results'!B:B, 1, FALSE)</f>
        <v>10524601</v>
      </c>
      <c r="B459" s="277">
        <v>10524601</v>
      </c>
      <c r="C459" s="276" t="s">
        <v>8652</v>
      </c>
      <c r="D459" s="276" t="s">
        <v>8653</v>
      </c>
      <c r="E459" s="276" t="s">
        <v>8654</v>
      </c>
      <c r="F459" s="276" t="s">
        <v>6719</v>
      </c>
      <c r="G459" s="276" t="s">
        <v>8655</v>
      </c>
      <c r="H459" s="277">
        <v>1999</v>
      </c>
      <c r="I459" s="386">
        <v>36452</v>
      </c>
      <c r="J459" s="276" t="s">
        <v>6720</v>
      </c>
      <c r="K459" s="276"/>
      <c r="L459" s="385" t="s">
        <v>8656</v>
      </c>
      <c r="M459" s="276"/>
    </row>
    <row r="460" spans="1:13">
      <c r="A460" s="277">
        <f>VLOOKUP(B460, 'PubMed 10.7.21 Results'!B:B, 1, FALSE)</f>
        <v>2952125</v>
      </c>
      <c r="B460" s="277">
        <v>2952125</v>
      </c>
      <c r="C460" s="276" t="s">
        <v>8462</v>
      </c>
      <c r="D460" s="276" t="s">
        <v>8463</v>
      </c>
      <c r="E460" s="276" t="s">
        <v>8464</v>
      </c>
      <c r="F460" s="276" t="s">
        <v>8066</v>
      </c>
      <c r="G460" s="276" t="s">
        <v>8465</v>
      </c>
      <c r="H460" s="277">
        <v>1987</v>
      </c>
      <c r="I460" s="386">
        <v>31837</v>
      </c>
      <c r="J460" s="276"/>
      <c r="K460" s="276"/>
      <c r="L460" s="385" t="s">
        <v>8466</v>
      </c>
      <c r="M460" s="276"/>
    </row>
    <row r="461" spans="1:13">
      <c r="A461" s="277">
        <f>VLOOKUP(B461, 'PubMed 10.7.21 Results'!B:B, 1, FALSE)</f>
        <v>17509128</v>
      </c>
      <c r="B461" s="277">
        <v>17509128</v>
      </c>
      <c r="C461" s="276" t="s">
        <v>9434</v>
      </c>
      <c r="D461" s="276" t="s">
        <v>9435</v>
      </c>
      <c r="E461" s="276" t="s">
        <v>9436</v>
      </c>
      <c r="F461" s="276" t="s">
        <v>7673</v>
      </c>
      <c r="G461" s="276" t="s">
        <v>9437</v>
      </c>
      <c r="H461" s="277">
        <v>2007</v>
      </c>
      <c r="I461" s="386">
        <v>39221</v>
      </c>
      <c r="J461" s="276" t="s">
        <v>7674</v>
      </c>
      <c r="K461" s="276"/>
      <c r="L461" s="385" t="s">
        <v>9438</v>
      </c>
      <c r="M461" s="276"/>
    </row>
    <row r="462" spans="1:13">
      <c r="A462" s="277">
        <f>VLOOKUP(B462, 'PubMed 10.7.21 Results'!B:B, 1, FALSE)</f>
        <v>21597465</v>
      </c>
      <c r="B462" s="277">
        <v>21597465</v>
      </c>
      <c r="C462" s="276" t="s">
        <v>10265</v>
      </c>
      <c r="D462" s="276" t="s">
        <v>10266</v>
      </c>
      <c r="E462" s="276" t="s">
        <v>10267</v>
      </c>
      <c r="F462" s="276" t="s">
        <v>7610</v>
      </c>
      <c r="G462" s="276" t="s">
        <v>9986</v>
      </c>
      <c r="H462" s="277">
        <v>2011</v>
      </c>
      <c r="I462" s="386">
        <v>40684</v>
      </c>
      <c r="J462" s="276"/>
      <c r="K462" s="276"/>
      <c r="L462" s="385" t="s">
        <v>10268</v>
      </c>
      <c r="M462" s="276"/>
    </row>
    <row r="463" spans="1:13">
      <c r="A463" s="277">
        <f>VLOOKUP(B463, 'PubMed 10.7.21 Results'!B:B, 1, FALSE)</f>
        <v>23257948</v>
      </c>
      <c r="B463" s="277">
        <v>23257948</v>
      </c>
      <c r="C463" s="276" t="s">
        <v>10696</v>
      </c>
      <c r="D463" s="276" t="s">
        <v>10697</v>
      </c>
      <c r="E463" s="276" t="s">
        <v>10698</v>
      </c>
      <c r="F463" s="276" t="s">
        <v>6473</v>
      </c>
      <c r="G463" s="276" t="s">
        <v>9935</v>
      </c>
      <c r="H463" s="277">
        <v>2013</v>
      </c>
      <c r="I463" s="386">
        <v>41265</v>
      </c>
      <c r="J463" s="276"/>
      <c r="K463" s="276"/>
      <c r="L463" s="385" t="s">
        <v>10699</v>
      </c>
      <c r="M463" s="276"/>
    </row>
    <row r="464" spans="1:13">
      <c r="A464" s="277">
        <f>VLOOKUP(B464, 'PubMed 10.7.21 Results'!B:B, 1, FALSE)</f>
        <v>16750680</v>
      </c>
      <c r="B464" s="277">
        <v>16750680</v>
      </c>
      <c r="C464" s="276" t="s">
        <v>9315</v>
      </c>
      <c r="D464" s="276" t="s">
        <v>9316</v>
      </c>
      <c r="E464" s="276" t="s">
        <v>9317</v>
      </c>
      <c r="F464" s="276" t="s">
        <v>7467</v>
      </c>
      <c r="G464" s="276" t="s">
        <v>9014</v>
      </c>
      <c r="H464" s="277">
        <v>2006</v>
      </c>
      <c r="I464" s="386">
        <v>38874</v>
      </c>
      <c r="J464" s="276"/>
      <c r="K464" s="276"/>
      <c r="L464" s="385" t="s">
        <v>9318</v>
      </c>
      <c r="M464" s="276"/>
    </row>
    <row r="465" spans="1:13">
      <c r="A465" s="277">
        <f>VLOOKUP(B465, 'PubMed 10.7.21 Results'!B:B, 1, FALSE)</f>
        <v>18501566</v>
      </c>
      <c r="B465" s="277">
        <v>18501566</v>
      </c>
      <c r="C465" s="276" t="s">
        <v>9610</v>
      </c>
      <c r="D465" s="276" t="s">
        <v>9611</v>
      </c>
      <c r="E465" s="276" t="s">
        <v>9612</v>
      </c>
      <c r="F465" s="276" t="s">
        <v>6973</v>
      </c>
      <c r="G465" s="276" t="s">
        <v>9613</v>
      </c>
      <c r="H465" s="277">
        <v>2008</v>
      </c>
      <c r="I465" s="386">
        <v>39595</v>
      </c>
      <c r="J465" s="276"/>
      <c r="K465" s="276"/>
      <c r="L465" s="385" t="s">
        <v>9614</v>
      </c>
      <c r="M465" s="276"/>
    </row>
    <row r="466" spans="1:13">
      <c r="A466" s="277">
        <f>VLOOKUP(B466, 'PubMed 10.7.21 Results'!B:B, 1, FALSE)</f>
        <v>16061267</v>
      </c>
      <c r="B466" s="277">
        <v>16061267</v>
      </c>
      <c r="C466" s="276" t="s">
        <v>9202</v>
      </c>
      <c r="D466" s="276" t="s">
        <v>9203</v>
      </c>
      <c r="E466" s="276" t="s">
        <v>9204</v>
      </c>
      <c r="F466" s="276" t="s">
        <v>6698</v>
      </c>
      <c r="G466" s="276" t="s">
        <v>9205</v>
      </c>
      <c r="H466" s="277">
        <v>2005</v>
      </c>
      <c r="I466" s="386">
        <v>38567</v>
      </c>
      <c r="J466" s="276"/>
      <c r="K466" s="276"/>
      <c r="L466" s="385" t="s">
        <v>9206</v>
      </c>
      <c r="M466" s="276"/>
    </row>
    <row r="467" spans="1:13">
      <c r="A467" s="277">
        <f>VLOOKUP(B467, 'PubMed 10.7.21 Results'!B:B, 1, FALSE)</f>
        <v>25552038</v>
      </c>
      <c r="B467" s="277">
        <v>25552038</v>
      </c>
      <c r="C467" s="276" t="s">
        <v>10900</v>
      </c>
      <c r="D467" s="276" t="s">
        <v>10901</v>
      </c>
      <c r="E467" s="276" t="s">
        <v>10902</v>
      </c>
      <c r="F467" s="276" t="s">
        <v>6930</v>
      </c>
      <c r="G467" s="276" t="s">
        <v>10903</v>
      </c>
      <c r="H467" s="277">
        <v>2014</v>
      </c>
      <c r="I467" s="386">
        <v>42006</v>
      </c>
      <c r="J467" s="276"/>
      <c r="K467" s="276"/>
      <c r="L467" s="276"/>
      <c r="M467" s="276"/>
    </row>
    <row r="468" spans="1:13">
      <c r="A468" s="277">
        <f>VLOOKUP(B468, 'PubMed 10.7.21 Results'!B:B, 1, FALSE)</f>
        <v>21329776</v>
      </c>
      <c r="B468" s="277">
        <v>21329776</v>
      </c>
      <c r="C468" s="276" t="s">
        <v>10186</v>
      </c>
      <c r="D468" s="276" t="s">
        <v>10187</v>
      </c>
      <c r="E468" s="276" t="s">
        <v>10188</v>
      </c>
      <c r="F468" s="276" t="s">
        <v>6587</v>
      </c>
      <c r="G468" s="276" t="s">
        <v>21</v>
      </c>
      <c r="H468" s="277">
        <v>2011</v>
      </c>
      <c r="I468" s="386">
        <v>40593</v>
      </c>
      <c r="J468" s="276"/>
      <c r="K468" s="276"/>
      <c r="L468" s="385" t="s">
        <v>10189</v>
      </c>
      <c r="M468" s="276"/>
    </row>
    <row r="469" spans="1:13">
      <c r="A469" s="277">
        <f>VLOOKUP(B469, 'PubMed 10.7.21 Results'!B:B, 1, FALSE)</f>
        <v>22262594</v>
      </c>
      <c r="B469" s="277">
        <v>22262594</v>
      </c>
      <c r="C469" s="276" t="s">
        <v>10357</v>
      </c>
      <c r="D469" s="276" t="s">
        <v>10358</v>
      </c>
      <c r="E469" s="276" t="s">
        <v>10359</v>
      </c>
      <c r="F469" s="276" t="s">
        <v>7512</v>
      </c>
      <c r="G469" s="276" t="s">
        <v>10360</v>
      </c>
      <c r="H469" s="277">
        <v>2012</v>
      </c>
      <c r="I469" s="386">
        <v>40929</v>
      </c>
      <c r="J469" s="276"/>
      <c r="K469" s="276"/>
      <c r="L469" s="385" t="s">
        <v>10361</v>
      </c>
      <c r="M469" s="276"/>
    </row>
    <row r="470" spans="1:13">
      <c r="A470" s="277">
        <f>VLOOKUP(B470, 'PubMed 10.7.21 Results'!B:B, 1, FALSE)</f>
        <v>17069098</v>
      </c>
      <c r="B470" s="277">
        <v>17069098</v>
      </c>
      <c r="C470" s="276" t="s">
        <v>9340</v>
      </c>
      <c r="D470" s="276" t="s">
        <v>9341</v>
      </c>
      <c r="E470" s="276" t="s">
        <v>9342</v>
      </c>
      <c r="F470" s="276" t="s">
        <v>6618</v>
      </c>
      <c r="G470" s="276" t="s">
        <v>8552</v>
      </c>
      <c r="H470" s="277">
        <v>2006</v>
      </c>
      <c r="I470" s="386">
        <v>39021</v>
      </c>
      <c r="J470" s="276"/>
      <c r="K470" s="276"/>
      <c r="L470" s="385" t="s">
        <v>9343</v>
      </c>
      <c r="M470" s="276"/>
    </row>
    <row r="471" spans="1:13">
      <c r="A471" s="277">
        <f>VLOOKUP(B471, 'PubMed 10.7.21 Results'!B:B, 1, FALSE)</f>
        <v>23818263</v>
      </c>
      <c r="B471" s="277">
        <v>23818263</v>
      </c>
      <c r="C471" s="276" t="s">
        <v>10773</v>
      </c>
      <c r="D471" s="276" t="s">
        <v>10774</v>
      </c>
      <c r="E471" s="276" t="s">
        <v>10775</v>
      </c>
      <c r="F471" s="276" t="s">
        <v>6608</v>
      </c>
      <c r="G471" s="276" t="s">
        <v>10776</v>
      </c>
      <c r="H471" s="277">
        <v>2013</v>
      </c>
      <c r="I471" s="386">
        <v>41458</v>
      </c>
      <c r="J471" s="276"/>
      <c r="K471" s="276"/>
      <c r="L471" s="385" t="s">
        <v>10777</v>
      </c>
      <c r="M471" s="276"/>
    </row>
    <row r="472" spans="1:13">
      <c r="A472" s="277">
        <f>VLOOKUP(B472, 'PubMed 10.7.21 Results'!B:B, 1, FALSE)</f>
        <v>25236917</v>
      </c>
      <c r="B472" s="277">
        <v>25236917</v>
      </c>
      <c r="C472" s="276" t="s">
        <v>11187</v>
      </c>
      <c r="D472" s="276" t="s">
        <v>11188</v>
      </c>
      <c r="E472" s="276" t="s">
        <v>11189</v>
      </c>
      <c r="F472" s="276" t="s">
        <v>7226</v>
      </c>
      <c r="G472" s="276" t="s">
        <v>8640</v>
      </c>
      <c r="H472" s="277">
        <v>2014</v>
      </c>
      <c r="I472" s="386">
        <v>41902</v>
      </c>
      <c r="J472" s="276"/>
      <c r="K472" s="276"/>
      <c r="L472" s="385" t="s">
        <v>11190</v>
      </c>
      <c r="M472" s="276"/>
    </row>
    <row r="473" spans="1:13">
      <c r="A473" s="277">
        <f>VLOOKUP(B473, 'PubMed 10.7.21 Results'!B:B, 1, FALSE)</f>
        <v>12712239</v>
      </c>
      <c r="B473" s="277">
        <v>12712239</v>
      </c>
      <c r="C473" s="276" t="s">
        <v>8979</v>
      </c>
      <c r="D473" s="276" t="s">
        <v>8980</v>
      </c>
      <c r="E473" s="276" t="s">
        <v>8981</v>
      </c>
      <c r="F473" s="276" t="s">
        <v>6765</v>
      </c>
      <c r="G473" s="276" t="s">
        <v>8617</v>
      </c>
      <c r="H473" s="277">
        <v>2003</v>
      </c>
      <c r="I473" s="386">
        <v>37736</v>
      </c>
      <c r="J473" s="276"/>
      <c r="K473" s="276"/>
      <c r="L473" s="385" t="s">
        <v>8982</v>
      </c>
      <c r="M473" s="276"/>
    </row>
    <row r="474" spans="1:13">
      <c r="A474" s="277">
        <f>VLOOKUP(B474, 'PubMed 10.7.21 Results'!B:B, 1, FALSE)</f>
        <v>23533318</v>
      </c>
      <c r="B474" s="277">
        <v>23533318</v>
      </c>
      <c r="C474" s="276" t="s">
        <v>10647</v>
      </c>
      <c r="D474" s="276" t="s">
        <v>10648</v>
      </c>
      <c r="E474" s="276" t="s">
        <v>10649</v>
      </c>
      <c r="F474" s="276" t="s">
        <v>7914</v>
      </c>
      <c r="G474" s="276" t="s">
        <v>10650</v>
      </c>
      <c r="H474" s="277">
        <v>2013</v>
      </c>
      <c r="I474" s="386">
        <v>41361</v>
      </c>
      <c r="J474" s="276" t="s">
        <v>7915</v>
      </c>
      <c r="K474" s="276"/>
      <c r="L474" s="385" t="s">
        <v>10651</v>
      </c>
      <c r="M474" s="276"/>
    </row>
    <row r="475" spans="1:13">
      <c r="A475" s="277">
        <f>VLOOKUP(B475, 'PubMed 10.7.21 Results'!B:B, 1, FALSE)</f>
        <v>19856067</v>
      </c>
      <c r="B475" s="277">
        <v>19856067</v>
      </c>
      <c r="C475" s="276" t="s">
        <v>9870</v>
      </c>
      <c r="D475" s="276" t="s">
        <v>9871</v>
      </c>
      <c r="E475" s="276" t="s">
        <v>9872</v>
      </c>
      <c r="F475" s="276" t="s">
        <v>8129</v>
      </c>
      <c r="G475" s="276" t="s">
        <v>9873</v>
      </c>
      <c r="H475" s="277">
        <v>2009</v>
      </c>
      <c r="I475" s="386">
        <v>40113</v>
      </c>
      <c r="J475" s="276"/>
      <c r="K475" s="276"/>
      <c r="L475" s="385" t="s">
        <v>9874</v>
      </c>
      <c r="M475" s="276"/>
    </row>
    <row r="476" spans="1:13">
      <c r="A476" s="277">
        <f>VLOOKUP(B476, 'PubMed 10.7.21 Results'!B:B, 1, FALSE)</f>
        <v>17368522</v>
      </c>
      <c r="B476" s="277">
        <v>17368522</v>
      </c>
      <c r="C476" s="276" t="s">
        <v>9439</v>
      </c>
      <c r="D476" s="276" t="s">
        <v>9440</v>
      </c>
      <c r="E476" s="276" t="s">
        <v>9441</v>
      </c>
      <c r="F476" s="276" t="s">
        <v>6896</v>
      </c>
      <c r="G476" s="276" t="s">
        <v>9442</v>
      </c>
      <c r="H476" s="277">
        <v>2007</v>
      </c>
      <c r="I476" s="386">
        <v>39162</v>
      </c>
      <c r="J476" s="276"/>
      <c r="K476" s="276"/>
      <c r="L476" s="385" t="s">
        <v>9443</v>
      </c>
      <c r="M476" s="276"/>
    </row>
    <row r="477" spans="1:13">
      <c r="A477" s="277">
        <f>VLOOKUP(B477, 'PubMed 10.7.21 Results'!B:B, 1, FALSE)</f>
        <v>16429250</v>
      </c>
      <c r="B477" s="277">
        <v>16429250</v>
      </c>
      <c r="C477" s="276" t="s">
        <v>9276</v>
      </c>
      <c r="D477" s="276" t="s">
        <v>9277</v>
      </c>
      <c r="E477" s="276" t="s">
        <v>9278</v>
      </c>
      <c r="F477" s="276" t="s">
        <v>7518</v>
      </c>
      <c r="G477" s="276" t="s">
        <v>9279</v>
      </c>
      <c r="H477" s="277">
        <v>2006</v>
      </c>
      <c r="I477" s="386">
        <v>38741</v>
      </c>
      <c r="J477" s="276" t="s">
        <v>7519</v>
      </c>
      <c r="K477" s="276"/>
      <c r="L477" s="385" t="s">
        <v>9280</v>
      </c>
      <c r="M477" s="276"/>
    </row>
    <row r="478" spans="1:13">
      <c r="A478" s="277">
        <f>VLOOKUP(B478, 'PubMed 10.7.21 Results'!B:B, 1, FALSE)</f>
        <v>21767064</v>
      </c>
      <c r="B478" s="277">
        <v>21767064</v>
      </c>
      <c r="C478" s="276" t="s">
        <v>10306</v>
      </c>
      <c r="D478" s="276" t="s">
        <v>10307</v>
      </c>
      <c r="E478" s="276" t="s">
        <v>10308</v>
      </c>
      <c r="F478" s="276" t="s">
        <v>7036</v>
      </c>
      <c r="G478" s="276" t="s">
        <v>10309</v>
      </c>
      <c r="H478" s="277">
        <v>2011</v>
      </c>
      <c r="I478" s="386">
        <v>40744</v>
      </c>
      <c r="J478" s="276"/>
      <c r="K478" s="276"/>
      <c r="L478" s="385" t="s">
        <v>10310</v>
      </c>
      <c r="M478" s="276"/>
    </row>
    <row r="479" spans="1:13">
      <c r="A479" s="277">
        <f>VLOOKUP(B479, 'PubMed 10.7.21 Results'!B:B, 1, FALSE)</f>
        <v>33624299</v>
      </c>
      <c r="B479" s="277">
        <v>33624299</v>
      </c>
      <c r="C479" s="276" t="s">
        <v>14061</v>
      </c>
      <c r="D479" s="276" t="s">
        <v>14062</v>
      </c>
      <c r="E479" s="276" t="s">
        <v>18885</v>
      </c>
      <c r="F479" s="276" t="s">
        <v>7835</v>
      </c>
      <c r="G479" s="276" t="s">
        <v>8857</v>
      </c>
      <c r="H479" s="277">
        <v>2021</v>
      </c>
      <c r="I479" s="386">
        <v>44251</v>
      </c>
      <c r="J479" s="276"/>
      <c r="K479" s="276"/>
      <c r="L479" s="385" t="s">
        <v>14065</v>
      </c>
      <c r="M479" s="276"/>
    </row>
    <row r="480" spans="1:13">
      <c r="A480" s="277">
        <f>VLOOKUP(B480, 'PubMed 10.7.21 Results'!B:B, 1, FALSE)</f>
        <v>19061928</v>
      </c>
      <c r="B480" s="277">
        <v>19061928</v>
      </c>
      <c r="C480" s="276" t="s">
        <v>9695</v>
      </c>
      <c r="D480" s="276" t="s">
        <v>9696</v>
      </c>
      <c r="E480" s="276" t="s">
        <v>9697</v>
      </c>
      <c r="F480" s="276" t="s">
        <v>4199</v>
      </c>
      <c r="G480" s="276" t="s">
        <v>21</v>
      </c>
      <c r="H480" s="277">
        <v>2009</v>
      </c>
      <c r="I480" s="386">
        <v>39791</v>
      </c>
      <c r="J480" s="276"/>
      <c r="K480" s="276"/>
      <c r="L480" s="385" t="s">
        <v>9698</v>
      </c>
      <c r="M480" s="276"/>
    </row>
    <row r="481" spans="1:13">
      <c r="A481" s="277">
        <f>VLOOKUP(B481, 'PubMed 10.7.21 Results'!B:B, 1, FALSE)</f>
        <v>22479361</v>
      </c>
      <c r="B481" s="277">
        <v>22479361</v>
      </c>
      <c r="C481" s="276" t="s">
        <v>10376</v>
      </c>
      <c r="D481" s="276" t="s">
        <v>10377</v>
      </c>
      <c r="E481" s="276" t="s">
        <v>10378</v>
      </c>
      <c r="F481" s="276" t="s">
        <v>7734</v>
      </c>
      <c r="G481" s="276" t="s">
        <v>10379</v>
      </c>
      <c r="H481" s="277">
        <v>2012</v>
      </c>
      <c r="I481" s="386">
        <v>41005</v>
      </c>
      <c r="J481" s="276" t="s">
        <v>7735</v>
      </c>
      <c r="K481" s="276"/>
      <c r="L481" s="385" t="s">
        <v>10380</v>
      </c>
      <c r="M481" s="276"/>
    </row>
    <row r="482" spans="1:13">
      <c r="A482" s="277">
        <f>VLOOKUP(B482, 'PubMed 10.7.21 Results'!B:B, 1, FALSE)</f>
        <v>18039501</v>
      </c>
      <c r="B482" s="277">
        <v>18039501</v>
      </c>
      <c r="C482" s="276" t="s">
        <v>9385</v>
      </c>
      <c r="D482" s="276" t="s">
        <v>9386</v>
      </c>
      <c r="E482" s="276" t="s">
        <v>9387</v>
      </c>
      <c r="F482" s="276" t="s">
        <v>6870</v>
      </c>
      <c r="G482" s="276" t="s">
        <v>9388</v>
      </c>
      <c r="H482" s="277">
        <v>2007</v>
      </c>
      <c r="I482" s="386">
        <v>39422</v>
      </c>
      <c r="J482" s="276"/>
      <c r="K482" s="276"/>
      <c r="L482" s="385" t="s">
        <v>9389</v>
      </c>
      <c r="M482" s="276"/>
    </row>
    <row r="483" spans="1:13">
      <c r="A483" s="277">
        <f>VLOOKUP(B483, 'PubMed 10.7.21 Results'!B:B, 1, FALSE)</f>
        <v>20220777</v>
      </c>
      <c r="B483" s="277">
        <v>20220777</v>
      </c>
      <c r="C483" s="276" t="s">
        <v>9983</v>
      </c>
      <c r="D483" s="276" t="s">
        <v>9984</v>
      </c>
      <c r="E483" s="276" t="s">
        <v>9985</v>
      </c>
      <c r="F483" s="276" t="s">
        <v>6937</v>
      </c>
      <c r="G483" s="276" t="s">
        <v>9986</v>
      </c>
      <c r="H483" s="277">
        <v>2010</v>
      </c>
      <c r="I483" s="386">
        <v>40249</v>
      </c>
      <c r="J483" s="276"/>
      <c r="K483" s="276"/>
      <c r="L483" s="385" t="s">
        <v>9987</v>
      </c>
      <c r="M483" s="276"/>
    </row>
    <row r="484" spans="1:13">
      <c r="A484" s="277">
        <f>VLOOKUP(B484, 'PubMed 10.7.21 Results'!B:B, 1, FALSE)</f>
        <v>20347483</v>
      </c>
      <c r="B484" s="277">
        <v>20347483</v>
      </c>
      <c r="C484" s="276" t="s">
        <v>9988</v>
      </c>
      <c r="D484" s="276" t="s">
        <v>9989</v>
      </c>
      <c r="E484" s="276" t="s">
        <v>9990</v>
      </c>
      <c r="F484" s="276" t="s">
        <v>8023</v>
      </c>
      <c r="G484" s="276" t="s">
        <v>9420</v>
      </c>
      <c r="H484" s="277">
        <v>2010</v>
      </c>
      <c r="I484" s="386">
        <v>40267</v>
      </c>
      <c r="J484" s="276" t="s">
        <v>8024</v>
      </c>
      <c r="K484" s="276"/>
      <c r="L484" s="385" t="s">
        <v>9991</v>
      </c>
      <c r="M484" s="276"/>
    </row>
    <row r="485" spans="1:13">
      <c r="A485" s="277">
        <f>VLOOKUP(B485, 'PubMed 10.7.21 Results'!B:B, 1, FALSE)</f>
        <v>19061423</v>
      </c>
      <c r="B485" s="277">
        <v>19061423</v>
      </c>
      <c r="C485" s="276" t="s">
        <v>9699</v>
      </c>
      <c r="D485" s="276" t="s">
        <v>9700</v>
      </c>
      <c r="E485" s="276" t="s">
        <v>9701</v>
      </c>
      <c r="F485" s="276" t="s">
        <v>7205</v>
      </c>
      <c r="G485" s="276" t="s">
        <v>9497</v>
      </c>
      <c r="H485" s="277">
        <v>2009</v>
      </c>
      <c r="I485" s="386">
        <v>39791</v>
      </c>
      <c r="J485" s="276"/>
      <c r="K485" s="276"/>
      <c r="L485" s="276" t="s">
        <v>9702</v>
      </c>
      <c r="M485" s="276"/>
    </row>
    <row r="486" spans="1:13">
      <c r="A486" s="277">
        <f>VLOOKUP(B486, 'PubMed 10.7.21 Results'!B:B, 1, FALSE)</f>
        <v>23169967</v>
      </c>
      <c r="B486" s="277">
        <v>23169967</v>
      </c>
      <c r="C486" s="276" t="s">
        <v>10617</v>
      </c>
      <c r="D486" s="276" t="s">
        <v>10618</v>
      </c>
      <c r="E486" s="276" t="s">
        <v>10619</v>
      </c>
      <c r="F486" s="276" t="s">
        <v>7421</v>
      </c>
      <c r="G486" s="276" t="s">
        <v>9497</v>
      </c>
      <c r="H486" s="277">
        <v>2012</v>
      </c>
      <c r="I486" s="386">
        <v>41235</v>
      </c>
      <c r="J486" s="276"/>
      <c r="K486" s="276"/>
      <c r="L486" s="385" t="s">
        <v>10620</v>
      </c>
      <c r="M486" s="276"/>
    </row>
    <row r="487" spans="1:13">
      <c r="A487" s="277">
        <f>VLOOKUP(B487, 'PubMed 10.7.21 Results'!B:B, 1, FALSE)</f>
        <v>23602535</v>
      </c>
      <c r="B487" s="277">
        <v>23602535</v>
      </c>
      <c r="C487" s="276" t="s">
        <v>10798</v>
      </c>
      <c r="D487" s="276" t="s">
        <v>10799</v>
      </c>
      <c r="E487" s="276" t="s">
        <v>10800</v>
      </c>
      <c r="F487" s="276" t="s">
        <v>7759</v>
      </c>
      <c r="G487" s="276" t="s">
        <v>21</v>
      </c>
      <c r="H487" s="277">
        <v>2013</v>
      </c>
      <c r="I487" s="386">
        <v>41387</v>
      </c>
      <c r="J487" s="276"/>
      <c r="K487" s="276"/>
      <c r="L487" s="385" t="s">
        <v>10801</v>
      </c>
      <c r="M487" s="276"/>
    </row>
    <row r="488" spans="1:13">
      <c r="A488" s="277">
        <f>VLOOKUP(B488, 'PubMed 10.7.21 Results'!B:B, 1, FALSE)</f>
        <v>11134441</v>
      </c>
      <c r="B488" s="277">
        <v>11134441</v>
      </c>
      <c r="C488" s="276" t="s">
        <v>8755</v>
      </c>
      <c r="D488" s="276" t="s">
        <v>8756</v>
      </c>
      <c r="E488" s="276" t="s">
        <v>8757</v>
      </c>
      <c r="F488" s="276" t="s">
        <v>6987</v>
      </c>
      <c r="G488" s="276" t="s">
        <v>8636</v>
      </c>
      <c r="H488" s="277">
        <v>2001</v>
      </c>
      <c r="I488" s="386">
        <v>36894</v>
      </c>
      <c r="J488" s="276"/>
      <c r="K488" s="276"/>
      <c r="L488" s="385" t="s">
        <v>8758</v>
      </c>
      <c r="M488" s="276"/>
    </row>
    <row r="489" spans="1:13">
      <c r="A489" s="277">
        <f>VLOOKUP(B489, 'PubMed 10.7.21 Results'!B:B, 1, FALSE)</f>
        <v>33765062</v>
      </c>
      <c r="B489" s="277">
        <v>33765062</v>
      </c>
      <c r="C489" s="276" t="s">
        <v>14116</v>
      </c>
      <c r="D489" s="276" t="s">
        <v>14117</v>
      </c>
      <c r="E489" s="276" t="s">
        <v>14118</v>
      </c>
      <c r="F489" s="276" t="s">
        <v>7215</v>
      </c>
      <c r="G489" s="276" t="s">
        <v>14119</v>
      </c>
      <c r="H489" s="277">
        <v>2021</v>
      </c>
      <c r="I489" s="386">
        <v>44280</v>
      </c>
      <c r="J489" s="276"/>
      <c r="K489" s="276"/>
      <c r="L489" s="385" t="s">
        <v>14121</v>
      </c>
      <c r="M489" s="276"/>
    </row>
    <row r="490" spans="1:13">
      <c r="A490" s="277">
        <f>VLOOKUP(B490, 'PubMed 10.7.21 Results'!B:B, 1, FALSE)</f>
        <v>10859993</v>
      </c>
      <c r="B490" s="277">
        <v>10859993</v>
      </c>
      <c r="C490" s="276" t="s">
        <v>8736</v>
      </c>
      <c r="D490" s="276" t="s">
        <v>8737</v>
      </c>
      <c r="E490" s="276" t="s">
        <v>8738</v>
      </c>
      <c r="F490" s="276" t="s">
        <v>6830</v>
      </c>
      <c r="G490" s="276" t="s">
        <v>8739</v>
      </c>
      <c r="H490" s="277">
        <v>2000</v>
      </c>
      <c r="I490" s="386">
        <v>36699</v>
      </c>
      <c r="J490" s="276"/>
      <c r="K490" s="276"/>
      <c r="L490" s="385" t="s">
        <v>8740</v>
      </c>
      <c r="M490" s="276"/>
    </row>
    <row r="491" spans="1:13">
      <c r="A491" s="277">
        <f>VLOOKUP(B491, 'PubMed 10.7.21 Results'!B:B, 1, FALSE)</f>
        <v>17042674</v>
      </c>
      <c r="B491" s="277">
        <v>17042674</v>
      </c>
      <c r="C491" s="276" t="s">
        <v>9336</v>
      </c>
      <c r="D491" s="276" t="s">
        <v>9337</v>
      </c>
      <c r="E491" s="276" t="s">
        <v>9338</v>
      </c>
      <c r="F491" s="276" t="s">
        <v>7001</v>
      </c>
      <c r="G491" s="276" t="s">
        <v>9339</v>
      </c>
      <c r="H491" s="277">
        <v>2006</v>
      </c>
      <c r="I491" s="386">
        <v>39008</v>
      </c>
      <c r="J491" s="276"/>
      <c r="K491" s="276"/>
      <c r="L491" s="276"/>
      <c r="M491" s="276"/>
    </row>
    <row r="492" spans="1:13">
      <c r="A492" s="277">
        <f>VLOOKUP(B492, 'PubMed 10.7.21 Results'!B:B, 1, FALSE)</f>
        <v>25061777</v>
      </c>
      <c r="B492" s="277">
        <v>25061777</v>
      </c>
      <c r="C492" s="276" t="s">
        <v>11099</v>
      </c>
      <c r="D492" s="276" t="s">
        <v>11100</v>
      </c>
      <c r="E492" s="276" t="s">
        <v>11101</v>
      </c>
      <c r="F492" s="276" t="s">
        <v>7180</v>
      </c>
      <c r="G492" s="276" t="s">
        <v>8857</v>
      </c>
      <c r="H492" s="277">
        <v>2014</v>
      </c>
      <c r="I492" s="386">
        <v>41846</v>
      </c>
      <c r="J492" s="276"/>
      <c r="K492" s="276"/>
      <c r="L492" s="385" t="s">
        <v>11102</v>
      </c>
      <c r="M492" s="276"/>
    </row>
    <row r="493" spans="1:13">
      <c r="A493" s="277">
        <f>VLOOKUP(B493, 'PubMed 10.7.21 Results'!B:B, 1, FALSE)</f>
        <v>10440399</v>
      </c>
      <c r="B493" s="277">
        <v>10440399</v>
      </c>
      <c r="C493" s="276" t="s">
        <v>8709</v>
      </c>
      <c r="D493" s="276" t="s">
        <v>8710</v>
      </c>
      <c r="E493" s="276" t="s">
        <v>8711</v>
      </c>
      <c r="F493" s="276" t="s">
        <v>7980</v>
      </c>
      <c r="G493" s="276" t="s">
        <v>8712</v>
      </c>
      <c r="H493" s="277">
        <v>1999</v>
      </c>
      <c r="I493" s="386">
        <v>36382</v>
      </c>
      <c r="J493" s="276"/>
      <c r="K493" s="276"/>
      <c r="L493" s="385" t="s">
        <v>8713</v>
      </c>
      <c r="M493" s="276"/>
    </row>
    <row r="494" spans="1:13">
      <c r="A494" s="277">
        <f>VLOOKUP(B494, 'PubMed 10.7.21 Results'!B:B, 1, FALSE)</f>
        <v>8413475</v>
      </c>
      <c r="B494" s="277">
        <v>8413475</v>
      </c>
      <c r="C494" s="276" t="s">
        <v>8511</v>
      </c>
      <c r="D494" s="276" t="s">
        <v>8512</v>
      </c>
      <c r="E494" s="276" t="s">
        <v>8513</v>
      </c>
      <c r="F494" s="276" t="s">
        <v>6991</v>
      </c>
      <c r="G494" s="276" t="s">
        <v>8514</v>
      </c>
      <c r="H494" s="277">
        <v>1993</v>
      </c>
      <c r="I494" s="386">
        <v>34291</v>
      </c>
      <c r="J494" s="276"/>
      <c r="K494" s="276"/>
      <c r="L494" s="385" t="s">
        <v>8515</v>
      </c>
      <c r="M494" s="276"/>
    </row>
    <row r="495" spans="1:13">
      <c r="A495" s="277">
        <f>VLOOKUP(B495, 'PubMed 10.7.21 Results'!B:B, 1, FALSE)</f>
        <v>21658525</v>
      </c>
      <c r="B495" s="277">
        <v>21658525</v>
      </c>
      <c r="C495" s="276" t="s">
        <v>10269</v>
      </c>
      <c r="D495" s="276" t="s">
        <v>10270</v>
      </c>
      <c r="E495" s="276" t="s">
        <v>10271</v>
      </c>
      <c r="F495" s="276" t="s">
        <v>7055</v>
      </c>
      <c r="G495" s="276" t="s">
        <v>10272</v>
      </c>
      <c r="H495" s="277">
        <v>2011</v>
      </c>
      <c r="I495" s="386">
        <v>40705</v>
      </c>
      <c r="J495" s="276"/>
      <c r="K495" s="276"/>
      <c r="L495" s="385" t="s">
        <v>10273</v>
      </c>
      <c r="M495" s="276"/>
    </row>
    <row r="496" spans="1:13">
      <c r="A496" s="277">
        <f>VLOOKUP(B496, 'PubMed 10.7.21 Results'!B:B, 1, FALSE)</f>
        <v>15178511</v>
      </c>
      <c r="B496" s="277">
        <v>15178511</v>
      </c>
      <c r="C496" s="276" t="s">
        <v>9099</v>
      </c>
      <c r="D496" s="276" t="s">
        <v>9100</v>
      </c>
      <c r="E496" s="276" t="s">
        <v>9101</v>
      </c>
      <c r="F496" s="276" t="s">
        <v>6735</v>
      </c>
      <c r="G496" s="276" t="s">
        <v>8470</v>
      </c>
      <c r="H496" s="277">
        <v>2004</v>
      </c>
      <c r="I496" s="386">
        <v>38143</v>
      </c>
      <c r="J496" s="276"/>
      <c r="K496" s="276"/>
      <c r="L496" s="385" t="s">
        <v>9102</v>
      </c>
      <c r="M496" s="276"/>
    </row>
    <row r="497" spans="1:13">
      <c r="A497" s="277">
        <f>VLOOKUP(B497, 'PubMed 10.7.21 Results'!B:B, 1, FALSE)</f>
        <v>21208550</v>
      </c>
      <c r="B497" s="277">
        <v>21208550</v>
      </c>
      <c r="C497" s="276" t="s">
        <v>10104</v>
      </c>
      <c r="D497" s="276" t="s">
        <v>10105</v>
      </c>
      <c r="E497" s="276" t="s">
        <v>10106</v>
      </c>
      <c r="F497" s="276" t="s">
        <v>7527</v>
      </c>
      <c r="G497" s="276" t="s">
        <v>9359</v>
      </c>
      <c r="H497" s="277">
        <v>2010</v>
      </c>
      <c r="I497" s="386">
        <v>40550</v>
      </c>
      <c r="J497" s="276"/>
      <c r="K497" s="276"/>
      <c r="L497" s="385" t="s">
        <v>10107</v>
      </c>
      <c r="M497" s="276"/>
    </row>
    <row r="498" spans="1:13">
      <c r="A498" s="277">
        <f>VLOOKUP(B498, 'PubMed 10.7.21 Results'!B:B, 1, FALSE)</f>
        <v>22170311</v>
      </c>
      <c r="B498" s="277">
        <v>22170311</v>
      </c>
      <c r="C498" s="276" t="s">
        <v>10346</v>
      </c>
      <c r="D498" s="276" t="s">
        <v>10347</v>
      </c>
      <c r="E498" s="276" t="s">
        <v>10348</v>
      </c>
      <c r="F498" s="276" t="s">
        <v>8034</v>
      </c>
      <c r="G498" s="276" t="s">
        <v>10349</v>
      </c>
      <c r="H498" s="277">
        <v>2012</v>
      </c>
      <c r="I498" s="386">
        <v>40893</v>
      </c>
      <c r="J498" s="276"/>
      <c r="K498" s="276"/>
      <c r="L498" s="385" t="s">
        <v>10350</v>
      </c>
      <c r="M498" s="276"/>
    </row>
    <row r="499" spans="1:13">
      <c r="A499" s="277">
        <f>VLOOKUP(B499, 'PubMed 10.7.21 Results'!B:B, 1, FALSE)</f>
        <v>11782035</v>
      </c>
      <c r="B499" s="277">
        <v>11782035</v>
      </c>
      <c r="C499" s="276" t="s">
        <v>8844</v>
      </c>
      <c r="D499" s="276" t="s">
        <v>8845</v>
      </c>
      <c r="E499" s="276" t="s">
        <v>8846</v>
      </c>
      <c r="F499" s="276" t="s">
        <v>7333</v>
      </c>
      <c r="G499" s="276" t="s">
        <v>8847</v>
      </c>
      <c r="H499" s="277">
        <v>2001</v>
      </c>
      <c r="I499" s="386">
        <v>37266</v>
      </c>
      <c r="J499" s="276"/>
      <c r="K499" s="276"/>
      <c r="L499" s="276" t="s">
        <v>8848</v>
      </c>
      <c r="M499" s="276"/>
    </row>
    <row r="500" spans="1:13">
      <c r="A500" s="277">
        <f>VLOOKUP(B500, 'PubMed 10.7.21 Results'!B:B, 1, FALSE)</f>
        <v>17261831</v>
      </c>
      <c r="B500" s="277">
        <v>17261831</v>
      </c>
      <c r="C500" s="276" t="s">
        <v>9395</v>
      </c>
      <c r="D500" s="276" t="s">
        <v>9396</v>
      </c>
      <c r="E500" s="276" t="s">
        <v>9397</v>
      </c>
      <c r="F500" s="276" t="s">
        <v>7810</v>
      </c>
      <c r="G500" s="276" t="s">
        <v>9398</v>
      </c>
      <c r="H500" s="277">
        <v>2007</v>
      </c>
      <c r="I500" s="386">
        <v>39113</v>
      </c>
      <c r="J500" s="276" t="s">
        <v>7811</v>
      </c>
      <c r="K500" s="276"/>
      <c r="L500" s="385" t="s">
        <v>9399</v>
      </c>
      <c r="M500" s="276"/>
    </row>
    <row r="501" spans="1:13">
      <c r="A501" s="277">
        <f>VLOOKUP(B501, 'PubMed 10.7.21 Results'!B:B, 1, FALSE)</f>
        <v>9004827</v>
      </c>
      <c r="B501" s="277">
        <v>9004827</v>
      </c>
      <c r="C501" s="276" t="s">
        <v>8558</v>
      </c>
      <c r="D501" s="276" t="s">
        <v>8559</v>
      </c>
      <c r="E501" s="276" t="s">
        <v>8560</v>
      </c>
      <c r="F501" s="276" t="s">
        <v>8116</v>
      </c>
      <c r="G501" s="276" t="s">
        <v>8561</v>
      </c>
      <c r="H501" s="277">
        <v>1996</v>
      </c>
      <c r="I501" s="386">
        <v>35339</v>
      </c>
      <c r="J501" s="276"/>
      <c r="K501" s="276"/>
      <c r="L501" s="276"/>
      <c r="M501" s="276"/>
    </row>
    <row r="502" spans="1:13">
      <c r="A502" s="277">
        <f>VLOOKUP(B502, 'PubMed 10.7.21 Results'!B:B, 1, FALSE)</f>
        <v>11931398</v>
      </c>
      <c r="B502" s="277">
        <v>11931398</v>
      </c>
      <c r="C502" s="276" t="s">
        <v>8862</v>
      </c>
      <c r="D502" s="276" t="s">
        <v>8863</v>
      </c>
      <c r="E502" s="276" t="s">
        <v>8864</v>
      </c>
      <c r="F502" s="276" t="s">
        <v>7893</v>
      </c>
      <c r="G502" s="276" t="s">
        <v>8865</v>
      </c>
      <c r="H502" s="277">
        <v>2002</v>
      </c>
      <c r="I502" s="386">
        <v>37351</v>
      </c>
      <c r="J502" s="276"/>
      <c r="K502" s="276"/>
      <c r="L502" s="276"/>
      <c r="M502" s="276"/>
    </row>
    <row r="503" spans="1:13">
      <c r="A503" s="277">
        <f>VLOOKUP(B503, 'PubMed 10.7.21 Results'!B:B, 1, FALSE)</f>
        <v>25515698</v>
      </c>
      <c r="B503" s="277">
        <v>25515698</v>
      </c>
      <c r="C503" s="276" t="s">
        <v>11225</v>
      </c>
      <c r="D503" s="276" t="s">
        <v>11226</v>
      </c>
      <c r="E503" s="276" t="s">
        <v>11227</v>
      </c>
      <c r="F503" s="276" t="s">
        <v>7560</v>
      </c>
      <c r="G503" s="276" t="s">
        <v>11228</v>
      </c>
      <c r="H503" s="277">
        <v>2014</v>
      </c>
      <c r="I503" s="386">
        <v>41991</v>
      </c>
      <c r="J503" s="276" t="s">
        <v>7561</v>
      </c>
      <c r="K503" s="276"/>
      <c r="L503" s="385" t="s">
        <v>11229</v>
      </c>
      <c r="M503" s="276"/>
    </row>
    <row r="504" spans="1:13">
      <c r="A504" s="277">
        <f>VLOOKUP(B504, 'PubMed 10.7.21 Results'!B:B, 1, FALSE)</f>
        <v>23543664</v>
      </c>
      <c r="B504" s="277">
        <v>23543664</v>
      </c>
      <c r="C504" s="276" t="s">
        <v>10754</v>
      </c>
      <c r="D504" s="276" t="s">
        <v>10755</v>
      </c>
      <c r="E504" s="276" t="s">
        <v>10756</v>
      </c>
      <c r="F504" s="276" t="s">
        <v>6749</v>
      </c>
      <c r="G504" s="276" t="s">
        <v>8787</v>
      </c>
      <c r="H504" s="277">
        <v>2013</v>
      </c>
      <c r="I504" s="386">
        <v>41366</v>
      </c>
      <c r="J504" s="276" t="s">
        <v>6750</v>
      </c>
      <c r="K504" s="276"/>
      <c r="L504" s="385" t="s">
        <v>10757</v>
      </c>
      <c r="M504" s="276"/>
    </row>
    <row r="505" spans="1:13">
      <c r="A505" s="277">
        <f>VLOOKUP(B505, 'PubMed 10.7.21 Results'!B:B, 1, FALSE)</f>
        <v>21716073</v>
      </c>
      <c r="B505" s="277">
        <v>21716073</v>
      </c>
      <c r="C505" s="276" t="s">
        <v>10297</v>
      </c>
      <c r="D505" s="276" t="s">
        <v>10298</v>
      </c>
      <c r="E505" s="276" t="s">
        <v>10299</v>
      </c>
      <c r="F505" s="276" t="s">
        <v>7432</v>
      </c>
      <c r="G505" s="276" t="s">
        <v>8915</v>
      </c>
      <c r="H505" s="277">
        <v>2011</v>
      </c>
      <c r="I505" s="386">
        <v>40725</v>
      </c>
      <c r="J505" s="276"/>
      <c r="K505" s="276"/>
      <c r="L505" s="385" t="s">
        <v>10300</v>
      </c>
      <c r="M505" s="276"/>
    </row>
    <row r="506" spans="1:13">
      <c r="A506" s="277">
        <f>VLOOKUP(B506, 'PubMed 10.7.21 Results'!B:B, 1, FALSE)</f>
        <v>12186604</v>
      </c>
      <c r="B506" s="277">
        <v>12186604</v>
      </c>
      <c r="C506" s="276" t="s">
        <v>8928</v>
      </c>
      <c r="D506" s="276" t="s">
        <v>8929</v>
      </c>
      <c r="E506" s="276" t="s">
        <v>8930</v>
      </c>
      <c r="F506" s="276" t="s">
        <v>6438</v>
      </c>
      <c r="G506" s="276" t="s">
        <v>8580</v>
      </c>
      <c r="H506" s="277">
        <v>2002</v>
      </c>
      <c r="I506" s="386">
        <v>37489</v>
      </c>
      <c r="J506" s="276"/>
      <c r="K506" s="276"/>
      <c r="L506" s="385" t="s">
        <v>8931</v>
      </c>
      <c r="M506" s="276"/>
    </row>
    <row r="507" spans="1:13">
      <c r="A507" s="277">
        <f>VLOOKUP(B507, 'PubMed 10.7.21 Results'!B:B, 1, FALSE)</f>
        <v>27337526</v>
      </c>
      <c r="B507" s="277">
        <v>27337526</v>
      </c>
      <c r="C507" s="276" t="s">
        <v>11875</v>
      </c>
      <c r="D507" s="276" t="s">
        <v>11876</v>
      </c>
      <c r="E507" s="276" t="s">
        <v>11877</v>
      </c>
      <c r="F507" s="276" t="s">
        <v>7202</v>
      </c>
      <c r="G507" s="276" t="s">
        <v>11878</v>
      </c>
      <c r="H507" s="277">
        <v>2016</v>
      </c>
      <c r="I507" s="386">
        <v>42545</v>
      </c>
      <c r="J507" s="276"/>
      <c r="K507" s="276"/>
      <c r="L507" s="385" t="s">
        <v>11879</v>
      </c>
      <c r="M507" s="276"/>
    </row>
    <row r="508" spans="1:13">
      <c r="A508" s="277">
        <f>VLOOKUP(B508, 'PubMed 10.7.21 Results'!B:B, 1, FALSE)</f>
        <v>21767103</v>
      </c>
      <c r="B508" s="277">
        <v>21767103</v>
      </c>
      <c r="C508" s="276" t="s">
        <v>10255</v>
      </c>
      <c r="D508" s="276" t="s">
        <v>10256</v>
      </c>
      <c r="E508" s="276" t="s">
        <v>10257</v>
      </c>
      <c r="F508" s="276" t="s">
        <v>6674</v>
      </c>
      <c r="G508" s="276" t="s">
        <v>8514</v>
      </c>
      <c r="H508" s="277">
        <v>2011</v>
      </c>
      <c r="I508" s="386">
        <v>40744</v>
      </c>
      <c r="J508" s="276" t="s">
        <v>6675</v>
      </c>
      <c r="K508" s="276" t="s">
        <v>10258</v>
      </c>
      <c r="L508" s="385" t="s">
        <v>10259</v>
      </c>
      <c r="M508" s="276"/>
    </row>
    <row r="509" spans="1:13">
      <c r="A509" s="277">
        <f>VLOOKUP(B509, 'PubMed 10.7.21 Results'!B:B, 1, FALSE)</f>
        <v>26295732</v>
      </c>
      <c r="B509" s="277">
        <v>26295732</v>
      </c>
      <c r="C509" s="276" t="s">
        <v>11449</v>
      </c>
      <c r="D509" s="276" t="s">
        <v>11450</v>
      </c>
      <c r="E509" s="276" t="s">
        <v>11451</v>
      </c>
      <c r="F509" s="276" t="s">
        <v>6824</v>
      </c>
      <c r="G509" s="276" t="s">
        <v>9359</v>
      </c>
      <c r="H509" s="277">
        <v>2015</v>
      </c>
      <c r="I509" s="386">
        <v>42238</v>
      </c>
      <c r="J509" s="276" t="s">
        <v>6825</v>
      </c>
      <c r="K509" s="276"/>
      <c r="L509" s="385" t="s">
        <v>11452</v>
      </c>
      <c r="M509" s="276"/>
    </row>
    <row r="510" spans="1:13">
      <c r="A510" s="277">
        <f>VLOOKUP(B510, 'PubMed 10.7.21 Results'!B:B, 1, FALSE)</f>
        <v>22595272</v>
      </c>
      <c r="B510" s="277">
        <v>22595272</v>
      </c>
      <c r="C510" s="276" t="s">
        <v>10418</v>
      </c>
      <c r="D510" s="276" t="s">
        <v>10419</v>
      </c>
      <c r="E510" s="276" t="s">
        <v>10420</v>
      </c>
      <c r="F510" s="276" t="s">
        <v>7018</v>
      </c>
      <c r="G510" s="276" t="s">
        <v>10421</v>
      </c>
      <c r="H510" s="277">
        <v>2012</v>
      </c>
      <c r="I510" s="386">
        <v>41048</v>
      </c>
      <c r="J510" s="276" t="s">
        <v>7019</v>
      </c>
      <c r="K510" s="276"/>
      <c r="L510" s="385" t="s">
        <v>10422</v>
      </c>
      <c r="M510" s="276"/>
    </row>
    <row r="511" spans="1:13">
      <c r="A511" s="277">
        <f>VLOOKUP(B511, 'PubMed 10.7.21 Results'!B:B, 1, FALSE)</f>
        <v>25272001</v>
      </c>
      <c r="B511" s="277">
        <v>25272001</v>
      </c>
      <c r="C511" s="276" t="s">
        <v>10865</v>
      </c>
      <c r="D511" s="276" t="s">
        <v>10896</v>
      </c>
      <c r="E511" s="276" t="s">
        <v>10897</v>
      </c>
      <c r="F511" s="276" t="s">
        <v>6632</v>
      </c>
      <c r="G511" s="276" t="s">
        <v>10898</v>
      </c>
      <c r="H511" s="277">
        <v>2014</v>
      </c>
      <c r="I511" s="386">
        <v>41914</v>
      </c>
      <c r="J511" s="276"/>
      <c r="K511" s="276"/>
      <c r="L511" s="385" t="s">
        <v>10899</v>
      </c>
      <c r="M511" s="276"/>
    </row>
    <row r="512" spans="1:13">
      <c r="A512" s="277">
        <f>VLOOKUP(B512, 'PubMed 10.7.21 Results'!B:B, 1, FALSE)</f>
        <v>29025064</v>
      </c>
      <c r="B512" s="277">
        <v>29025064</v>
      </c>
      <c r="C512" s="276" t="s">
        <v>12346</v>
      </c>
      <c r="D512" s="276" t="s">
        <v>12347</v>
      </c>
      <c r="E512" s="276" t="s">
        <v>12348</v>
      </c>
      <c r="F512" s="276" t="s">
        <v>7499</v>
      </c>
      <c r="G512" s="276" t="s">
        <v>12349</v>
      </c>
      <c r="H512" s="277">
        <v>2017</v>
      </c>
      <c r="I512" s="386">
        <v>43021</v>
      </c>
      <c r="J512" s="276" t="s">
        <v>7500</v>
      </c>
      <c r="K512" s="276"/>
      <c r="L512" s="385" t="s">
        <v>12350</v>
      </c>
      <c r="M512" s="276"/>
    </row>
    <row r="513" spans="1:13">
      <c r="A513" s="277">
        <f>VLOOKUP(B513, 'PubMed 10.7.21 Results'!B:B, 1, FALSE)</f>
        <v>30482392</v>
      </c>
      <c r="B513" s="277">
        <v>30482392</v>
      </c>
      <c r="C513" s="276" t="s">
        <v>12844</v>
      </c>
      <c r="D513" s="276" t="s">
        <v>12845</v>
      </c>
      <c r="E513" s="276" t="s">
        <v>12846</v>
      </c>
      <c r="F513" s="276" t="s">
        <v>8015</v>
      </c>
      <c r="G513" s="276" t="s">
        <v>9961</v>
      </c>
      <c r="H513" s="277">
        <v>2019</v>
      </c>
      <c r="I513" s="386">
        <v>43433</v>
      </c>
      <c r="J513" s="276"/>
      <c r="K513" s="276"/>
      <c r="L513" s="385" t="s">
        <v>12847</v>
      </c>
      <c r="M513" s="276"/>
    </row>
    <row r="514" spans="1:13">
      <c r="A514" s="277">
        <f>VLOOKUP(B514, 'PubMed 10.7.21 Results'!B:B, 1, FALSE)</f>
        <v>23113480</v>
      </c>
      <c r="B514" s="277">
        <v>23113480</v>
      </c>
      <c r="C514" s="276" t="s">
        <v>10577</v>
      </c>
      <c r="D514" s="276" t="s">
        <v>10578</v>
      </c>
      <c r="E514" s="276" t="s">
        <v>10579</v>
      </c>
      <c r="F514" s="276" t="s">
        <v>7586</v>
      </c>
      <c r="G514" s="276" t="s">
        <v>8514</v>
      </c>
      <c r="H514" s="277">
        <v>2012</v>
      </c>
      <c r="I514" s="386">
        <v>41215</v>
      </c>
      <c r="J514" s="276"/>
      <c r="K514" s="276"/>
      <c r="L514" s="385" t="s">
        <v>10580</v>
      </c>
      <c r="M514" s="276"/>
    </row>
    <row r="515" spans="1:13">
      <c r="A515" s="277">
        <f>VLOOKUP(B515, 'PubMed 10.7.21 Results'!B:B, 1, FALSE)</f>
        <v>30238870</v>
      </c>
      <c r="B515" s="277">
        <v>30238870</v>
      </c>
      <c r="C515" s="276" t="s">
        <v>12713</v>
      </c>
      <c r="D515" s="276" t="s">
        <v>12714</v>
      </c>
      <c r="E515" s="276" t="s">
        <v>12715</v>
      </c>
      <c r="F515" s="276" t="s">
        <v>7106</v>
      </c>
      <c r="G515" s="276" t="s">
        <v>9359</v>
      </c>
      <c r="H515" s="277">
        <v>2018</v>
      </c>
      <c r="I515" s="386">
        <v>43365</v>
      </c>
      <c r="J515" s="276" t="s">
        <v>7107</v>
      </c>
      <c r="K515" s="276"/>
      <c r="L515" s="385" t="s">
        <v>12716</v>
      </c>
      <c r="M515" s="276"/>
    </row>
    <row r="516" spans="1:13">
      <c r="A516" s="277">
        <f>VLOOKUP(B516, 'PubMed 10.7.21 Results'!B:B, 1, FALSE)</f>
        <v>19819004</v>
      </c>
      <c r="B516" s="277">
        <v>19819004</v>
      </c>
      <c r="C516" s="276" t="s">
        <v>9899</v>
      </c>
      <c r="D516" s="276" t="s">
        <v>9900</v>
      </c>
      <c r="E516" s="276" t="s">
        <v>9901</v>
      </c>
      <c r="F516" s="276" t="s">
        <v>7880</v>
      </c>
      <c r="G516" s="276" t="s">
        <v>9420</v>
      </c>
      <c r="H516" s="277">
        <v>2009</v>
      </c>
      <c r="I516" s="386">
        <v>40099</v>
      </c>
      <c r="J516" s="276"/>
      <c r="K516" s="276"/>
      <c r="L516" s="385" t="s">
        <v>9902</v>
      </c>
      <c r="M516" s="276"/>
    </row>
    <row r="517" spans="1:13">
      <c r="A517" s="277">
        <f>VLOOKUP(B517, 'PubMed 10.7.21 Results'!B:B, 1, FALSE)</f>
        <v>24152416</v>
      </c>
      <c r="B517" s="277">
        <v>24152416</v>
      </c>
      <c r="C517" s="276" t="s">
        <v>10919</v>
      </c>
      <c r="D517" s="276" t="s">
        <v>10920</v>
      </c>
      <c r="E517" s="276" t="s">
        <v>10921</v>
      </c>
      <c r="F517" s="276" t="s">
        <v>7064</v>
      </c>
      <c r="G517" s="276" t="s">
        <v>10922</v>
      </c>
      <c r="H517" s="277">
        <v>2014</v>
      </c>
      <c r="I517" s="386">
        <v>41572</v>
      </c>
      <c r="J517" s="276"/>
      <c r="K517" s="276"/>
      <c r="L517" s="385" t="s">
        <v>10923</v>
      </c>
      <c r="M517" s="276"/>
    </row>
    <row r="518" spans="1:13">
      <c r="A518" s="277">
        <f>VLOOKUP(B518, 'PubMed 10.7.21 Results'!B:B, 1, FALSE)</f>
        <v>32445440</v>
      </c>
      <c r="B518" s="277">
        <v>32445440</v>
      </c>
      <c r="C518" s="276" t="s">
        <v>13836</v>
      </c>
      <c r="D518" s="276" t="s">
        <v>13837</v>
      </c>
      <c r="E518" s="276" t="s">
        <v>13838</v>
      </c>
      <c r="F518" s="276" t="s">
        <v>6507</v>
      </c>
      <c r="G518" s="276" t="s">
        <v>8514</v>
      </c>
      <c r="H518" s="277">
        <v>2020</v>
      </c>
      <c r="I518" s="386">
        <v>43975</v>
      </c>
      <c r="J518" s="276" t="s">
        <v>6510</v>
      </c>
      <c r="K518" s="276"/>
      <c r="L518" s="385" t="s">
        <v>13839</v>
      </c>
      <c r="M518" s="276"/>
    </row>
    <row r="519" spans="1:13">
      <c r="A519" s="277">
        <f>VLOOKUP(B519, 'PubMed 10.7.21 Results'!B:B, 1, FALSE)</f>
        <v>11816438</v>
      </c>
      <c r="B519" s="277">
        <v>11816438</v>
      </c>
      <c r="C519" s="276" t="s">
        <v>8830</v>
      </c>
      <c r="D519" s="276" t="s">
        <v>8831</v>
      </c>
      <c r="E519" s="276" t="s">
        <v>8832</v>
      </c>
      <c r="F519" s="276" t="s">
        <v>6445</v>
      </c>
      <c r="G519" s="276" t="s">
        <v>8833</v>
      </c>
      <c r="H519" s="277">
        <v>2001</v>
      </c>
      <c r="I519" s="386">
        <v>37287</v>
      </c>
      <c r="J519" s="276"/>
      <c r="K519" s="276"/>
      <c r="L519" s="385" t="s">
        <v>8834</v>
      </c>
      <c r="M519" s="276"/>
    </row>
    <row r="520" spans="1:13">
      <c r="A520" s="277">
        <f>VLOOKUP(B520, 'PubMed 10.7.21 Results'!B:B, 1, FALSE)</f>
        <v>28526233</v>
      </c>
      <c r="B520" s="277">
        <v>28526233</v>
      </c>
      <c r="C520" s="276" t="s">
        <v>12127</v>
      </c>
      <c r="D520" s="276" t="s">
        <v>12128</v>
      </c>
      <c r="E520" s="276" t="s">
        <v>12129</v>
      </c>
      <c r="F520" s="276" t="s">
        <v>7382</v>
      </c>
      <c r="G520" s="276" t="s">
        <v>10851</v>
      </c>
      <c r="H520" s="277">
        <v>2017</v>
      </c>
      <c r="I520" s="386">
        <v>42876</v>
      </c>
      <c r="J520" s="276"/>
      <c r="K520" s="276"/>
      <c r="L520" s="385" t="s">
        <v>12130</v>
      </c>
      <c r="M520" s="276"/>
    </row>
    <row r="521" spans="1:13">
      <c r="A521" s="277">
        <f>VLOOKUP(B521, 'PubMed 10.7.21 Results'!B:B, 1, FALSE)</f>
        <v>31038649</v>
      </c>
      <c r="B521" s="277">
        <v>31038649</v>
      </c>
      <c r="C521" s="276" t="s">
        <v>13016</v>
      </c>
      <c r="D521" s="276" t="s">
        <v>13017</v>
      </c>
      <c r="E521" s="276" t="s">
        <v>13018</v>
      </c>
      <c r="F521" s="276" t="s">
        <v>7932</v>
      </c>
      <c r="G521" s="276" t="s">
        <v>13019</v>
      </c>
      <c r="H521" s="277">
        <v>2019</v>
      </c>
      <c r="I521" s="386">
        <v>43586</v>
      </c>
      <c r="J521" s="276" t="s">
        <v>7933</v>
      </c>
      <c r="K521" s="276"/>
      <c r="L521" s="385" t="s">
        <v>13020</v>
      </c>
      <c r="M521" s="276"/>
    </row>
    <row r="522" spans="1:13">
      <c r="A522" s="277">
        <f>VLOOKUP(B522, 'PubMed 10.7.21 Results'!B:B, 1, FALSE)</f>
        <v>26780742</v>
      </c>
      <c r="B522" s="277">
        <v>26780742</v>
      </c>
      <c r="C522" s="276" t="s">
        <v>11596</v>
      </c>
      <c r="D522" s="276" t="s">
        <v>11597</v>
      </c>
      <c r="E522" s="276" t="s">
        <v>11598</v>
      </c>
      <c r="F522" s="276" t="s">
        <v>6405</v>
      </c>
      <c r="G522" s="276" t="s">
        <v>11599</v>
      </c>
      <c r="H522" s="277">
        <v>2016</v>
      </c>
      <c r="I522" s="386">
        <v>42388</v>
      </c>
      <c r="J522" s="276" t="s">
        <v>6406</v>
      </c>
      <c r="K522" s="276"/>
      <c r="L522" s="385" t="s">
        <v>11600</v>
      </c>
      <c r="M522" s="276"/>
    </row>
    <row r="523" spans="1:13">
      <c r="A523" s="277">
        <f>VLOOKUP(B523, 'PubMed 10.7.21 Results'!B:B, 1, FALSE)</f>
        <v>11511404</v>
      </c>
      <c r="B523" s="277">
        <v>11511404</v>
      </c>
      <c r="C523" s="276" t="s">
        <v>8808</v>
      </c>
      <c r="D523" s="276" t="s">
        <v>8809</v>
      </c>
      <c r="E523" s="276" t="s">
        <v>8810</v>
      </c>
      <c r="F523" s="276" t="s">
        <v>6756</v>
      </c>
      <c r="G523" s="276" t="s">
        <v>8811</v>
      </c>
      <c r="H523" s="277">
        <v>2001</v>
      </c>
      <c r="I523" s="386">
        <v>37124</v>
      </c>
      <c r="J523" s="276"/>
      <c r="K523" s="276"/>
      <c r="L523" s="385" t="s">
        <v>8812</v>
      </c>
      <c r="M523" s="276"/>
    </row>
    <row r="524" spans="1:13">
      <c r="A524" s="277">
        <f>VLOOKUP(B524, 'PubMed 10.7.21 Results'!B:B, 1, FALSE)</f>
        <v>29377080</v>
      </c>
      <c r="B524" s="277">
        <v>29377080</v>
      </c>
      <c r="C524" s="276" t="s">
        <v>12590</v>
      </c>
      <c r="D524" s="276" t="s">
        <v>12591</v>
      </c>
      <c r="E524" s="276" t="s">
        <v>12592</v>
      </c>
      <c r="F524" s="276" t="s">
        <v>7214</v>
      </c>
      <c r="G524" s="276" t="s">
        <v>12593</v>
      </c>
      <c r="H524" s="277">
        <v>2018</v>
      </c>
      <c r="I524" s="386">
        <v>43130</v>
      </c>
      <c r="J524" s="276"/>
      <c r="K524" s="276"/>
      <c r="L524" s="385" t="s">
        <v>12594</v>
      </c>
      <c r="M524" s="276"/>
    </row>
    <row r="525" spans="1:13">
      <c r="A525" s="277">
        <f>VLOOKUP(B525, 'PubMed 10.7.21 Results'!B:B, 1, FALSE)</f>
        <v>24852077</v>
      </c>
      <c r="B525" s="277">
        <v>24852077</v>
      </c>
      <c r="C525" s="276" t="s">
        <v>11019</v>
      </c>
      <c r="D525" s="276" t="s">
        <v>11020</v>
      </c>
      <c r="E525" s="276" t="s">
        <v>11021</v>
      </c>
      <c r="F525" s="276" t="s">
        <v>7601</v>
      </c>
      <c r="G525" s="276" t="s">
        <v>8857</v>
      </c>
      <c r="H525" s="277">
        <v>2014</v>
      </c>
      <c r="I525" s="386">
        <v>41783</v>
      </c>
      <c r="J525" s="276"/>
      <c r="K525" s="276"/>
      <c r="L525" s="385" t="s">
        <v>11022</v>
      </c>
      <c r="M525" s="276"/>
    </row>
    <row r="526" spans="1:13">
      <c r="A526" s="277">
        <f>VLOOKUP(B526, 'PubMed 10.7.21 Results'!B:B, 1, FALSE)</f>
        <v>31221539</v>
      </c>
      <c r="B526" s="277">
        <v>31221539</v>
      </c>
      <c r="C526" s="276" t="s">
        <v>12645</v>
      </c>
      <c r="D526" s="276" t="s">
        <v>12646</v>
      </c>
      <c r="E526" s="276" t="s">
        <v>13123</v>
      </c>
      <c r="F526" s="276" t="s">
        <v>6423</v>
      </c>
      <c r="G526" s="276" t="s">
        <v>13124</v>
      </c>
      <c r="H526" s="277">
        <v>2019</v>
      </c>
      <c r="I526" s="386">
        <v>43638</v>
      </c>
      <c r="J526" s="276"/>
      <c r="K526" s="276"/>
      <c r="L526" s="385" t="s">
        <v>13125</v>
      </c>
      <c r="M526" s="276"/>
    </row>
    <row r="527" spans="1:13">
      <c r="A527" s="277">
        <f>VLOOKUP(B527, 'PubMed 10.7.21 Results'!B:B, 1, FALSE)</f>
        <v>17559743</v>
      </c>
      <c r="B527" s="277">
        <v>17559743</v>
      </c>
      <c r="C527" s="276" t="s">
        <v>9444</v>
      </c>
      <c r="D527" s="276" t="s">
        <v>9445</v>
      </c>
      <c r="E527" s="276" t="s">
        <v>9446</v>
      </c>
      <c r="F527" s="276" t="s">
        <v>7331</v>
      </c>
      <c r="G527" s="276" t="s">
        <v>8762</v>
      </c>
      <c r="H527" s="277">
        <v>2007</v>
      </c>
      <c r="I527" s="386">
        <v>39248</v>
      </c>
      <c r="J527" s="276"/>
      <c r="K527" s="276"/>
      <c r="L527" s="385" t="s">
        <v>9447</v>
      </c>
      <c r="M527" s="276"/>
    </row>
    <row r="528" spans="1:13">
      <c r="A528" s="277">
        <f>VLOOKUP(B528, 'PubMed 10.7.21 Results'!B:B, 1, FALSE)</f>
        <v>18363895</v>
      </c>
      <c r="B528" s="277">
        <v>18363895</v>
      </c>
      <c r="C528" s="276" t="s">
        <v>9597</v>
      </c>
      <c r="D528" s="276" t="s">
        <v>9598</v>
      </c>
      <c r="E528" s="276" t="s">
        <v>9599</v>
      </c>
      <c r="F528" s="276" t="s">
        <v>7273</v>
      </c>
      <c r="G528" s="276" t="s">
        <v>8685</v>
      </c>
      <c r="H528" s="277">
        <v>2008</v>
      </c>
      <c r="I528" s="386">
        <v>39535</v>
      </c>
      <c r="J528" s="276"/>
      <c r="K528" s="276"/>
      <c r="L528" s="385" t="s">
        <v>9600</v>
      </c>
      <c r="M528" s="276"/>
    </row>
    <row r="529" spans="1:13">
      <c r="A529" s="277">
        <f>VLOOKUP(B529, 'PubMed 10.7.21 Results'!B:B, 1, FALSE)</f>
        <v>23317632</v>
      </c>
      <c r="B529" s="277">
        <v>23317632</v>
      </c>
      <c r="C529" s="276" t="s">
        <v>10700</v>
      </c>
      <c r="D529" s="276" t="s">
        <v>10701</v>
      </c>
      <c r="E529" s="276" t="s">
        <v>10702</v>
      </c>
      <c r="F529" s="276" t="s">
        <v>6444</v>
      </c>
      <c r="G529" s="276" t="s">
        <v>8777</v>
      </c>
      <c r="H529" s="277">
        <v>2013</v>
      </c>
      <c r="I529" s="386">
        <v>41290</v>
      </c>
      <c r="J529" s="276"/>
      <c r="K529" s="276"/>
      <c r="L529" s="385" t="s">
        <v>10703</v>
      </c>
      <c r="M529" s="276"/>
    </row>
    <row r="530" spans="1:13">
      <c r="A530" s="277">
        <f>VLOOKUP(B530, 'PubMed 10.7.21 Results'!B:B, 1, FALSE)</f>
        <v>18641578</v>
      </c>
      <c r="B530" s="277">
        <v>18641578</v>
      </c>
      <c r="C530" s="276" t="s">
        <v>9587</v>
      </c>
      <c r="D530" s="276" t="s">
        <v>9588</v>
      </c>
      <c r="E530" s="276" t="s">
        <v>9589</v>
      </c>
      <c r="F530" s="276" t="s">
        <v>6650</v>
      </c>
      <c r="G530" s="276" t="s">
        <v>9590</v>
      </c>
      <c r="H530" s="277">
        <v>2008</v>
      </c>
      <c r="I530" s="386">
        <v>39651</v>
      </c>
      <c r="J530" s="276"/>
      <c r="K530" s="276"/>
      <c r="L530" s="385" t="s">
        <v>9591</v>
      </c>
      <c r="M530" s="276"/>
    </row>
    <row r="531" spans="1:13">
      <c r="A531" s="277">
        <f>VLOOKUP(B531, 'PubMed 10.7.21 Results'!B:B, 1, FALSE)</f>
        <v>32876697</v>
      </c>
      <c r="B531" s="277">
        <v>32876697</v>
      </c>
      <c r="C531" s="276" t="s">
        <v>13775</v>
      </c>
      <c r="D531" s="276" t="s">
        <v>13776</v>
      </c>
      <c r="E531" s="276" t="s">
        <v>13777</v>
      </c>
      <c r="F531" s="276" t="s">
        <v>6436</v>
      </c>
      <c r="G531" s="276" t="s">
        <v>8580</v>
      </c>
      <c r="H531" s="277">
        <v>2020</v>
      </c>
      <c r="I531" s="386">
        <v>44077</v>
      </c>
      <c r="J531" s="276" t="s">
        <v>6437</v>
      </c>
      <c r="K531" s="276"/>
      <c r="L531" s="385" t="s">
        <v>13778</v>
      </c>
      <c r="M531" s="276"/>
    </row>
    <row r="532" spans="1:13">
      <c r="A532" s="277">
        <f>VLOOKUP(B532, 'PubMed 10.7.21 Results'!B:B, 1, FALSE)</f>
        <v>21874744</v>
      </c>
      <c r="B532" s="277">
        <v>21874744</v>
      </c>
      <c r="C532" s="276" t="s">
        <v>10203</v>
      </c>
      <c r="D532" s="276" t="s">
        <v>10204</v>
      </c>
      <c r="E532" s="276" t="s">
        <v>10205</v>
      </c>
      <c r="F532" s="276" t="s">
        <v>7274</v>
      </c>
      <c r="G532" s="276" t="s">
        <v>10206</v>
      </c>
      <c r="H532" s="277">
        <v>2011</v>
      </c>
      <c r="I532" s="386">
        <v>40786</v>
      </c>
      <c r="J532" s="276"/>
      <c r="K532" s="276"/>
      <c r="L532" s="276"/>
      <c r="M532" s="276"/>
    </row>
    <row r="533" spans="1:13">
      <c r="A533" s="277">
        <f>VLOOKUP(B533, 'PubMed 10.7.21 Results'!B:B, 1, FALSE)</f>
        <v>25773054</v>
      </c>
      <c r="B533" s="277">
        <v>25773054</v>
      </c>
      <c r="C533" s="276" t="s">
        <v>11314</v>
      </c>
      <c r="D533" s="276" t="s">
        <v>11315</v>
      </c>
      <c r="E533" s="276" t="s">
        <v>11316</v>
      </c>
      <c r="F533" s="276" t="s">
        <v>7279</v>
      </c>
      <c r="G533" s="276" t="s">
        <v>8857</v>
      </c>
      <c r="H533" s="277">
        <v>2015</v>
      </c>
      <c r="I533" s="386">
        <v>42080</v>
      </c>
      <c r="J533" s="276"/>
      <c r="K533" s="276"/>
      <c r="L533" s="385" t="s">
        <v>11317</v>
      </c>
      <c r="M533" s="276"/>
    </row>
    <row r="534" spans="1:13">
      <c r="A534" s="277">
        <f>VLOOKUP(B534, 'PubMed 10.7.21 Results'!B:B, 1, FALSE)</f>
        <v>32288145</v>
      </c>
      <c r="B534" s="277">
        <v>32288145</v>
      </c>
      <c r="C534" s="276" t="s">
        <v>9094</v>
      </c>
      <c r="D534" s="276" t="s">
        <v>9095</v>
      </c>
      <c r="E534" s="276" t="s">
        <v>9096</v>
      </c>
      <c r="F534" s="276" t="s">
        <v>6927</v>
      </c>
      <c r="G534" s="276" t="s">
        <v>9097</v>
      </c>
      <c r="H534" s="277">
        <v>2004</v>
      </c>
      <c r="I534" s="386">
        <v>43936</v>
      </c>
      <c r="J534" s="276" t="s">
        <v>6928</v>
      </c>
      <c r="K534" s="276"/>
      <c r="L534" s="385" t="s">
        <v>9098</v>
      </c>
      <c r="M534" s="276"/>
    </row>
    <row r="535" spans="1:13">
      <c r="A535" s="277">
        <f>VLOOKUP(B535, 'PubMed 10.7.21 Results'!B:B, 1, FALSE)</f>
        <v>24768633</v>
      </c>
      <c r="B535" s="277">
        <v>24768633</v>
      </c>
      <c r="C535" s="276" t="s">
        <v>11059</v>
      </c>
      <c r="D535" s="276" t="s">
        <v>11060</v>
      </c>
      <c r="E535" s="276" t="s">
        <v>11061</v>
      </c>
      <c r="F535" s="276" t="s">
        <v>7625</v>
      </c>
      <c r="G535" s="276" t="s">
        <v>21</v>
      </c>
      <c r="H535" s="277">
        <v>2014</v>
      </c>
      <c r="I535" s="386">
        <v>41758</v>
      </c>
      <c r="J535" s="276" t="s">
        <v>7626</v>
      </c>
      <c r="K535" s="276" t="s">
        <v>11062</v>
      </c>
      <c r="L535" s="385" t="s">
        <v>11063</v>
      </c>
      <c r="M535" s="276"/>
    </row>
    <row r="536" spans="1:13">
      <c r="A536" s="277">
        <f>VLOOKUP(B536, 'PubMed 10.7.21 Results'!B:B, 1, FALSE)</f>
        <v>31488213</v>
      </c>
      <c r="B536" s="277">
        <v>31488213</v>
      </c>
      <c r="C536" s="276" t="s">
        <v>13195</v>
      </c>
      <c r="D536" s="276" t="s">
        <v>13196</v>
      </c>
      <c r="E536" s="276" t="s">
        <v>13197</v>
      </c>
      <c r="F536" s="276" t="s">
        <v>6519</v>
      </c>
      <c r="G536" s="276" t="s">
        <v>11166</v>
      </c>
      <c r="H536" s="277">
        <v>2019</v>
      </c>
      <c r="I536" s="386">
        <v>43715</v>
      </c>
      <c r="J536" s="276" t="s">
        <v>6520</v>
      </c>
      <c r="K536" s="276"/>
      <c r="L536" s="385" t="s">
        <v>13198</v>
      </c>
      <c r="M536" s="276"/>
    </row>
    <row r="537" spans="1:13">
      <c r="A537" s="277">
        <f>VLOOKUP(B537, 'PubMed 10.7.21 Results'!B:B, 1, FALSE)</f>
        <v>26888178</v>
      </c>
      <c r="B537" s="277">
        <v>26888178</v>
      </c>
      <c r="C537" s="276" t="s">
        <v>11642</v>
      </c>
      <c r="D537" s="276" t="s">
        <v>11643</v>
      </c>
      <c r="E537" s="276" t="s">
        <v>11644</v>
      </c>
      <c r="F537" s="276" t="s">
        <v>7192</v>
      </c>
      <c r="G537" s="276" t="s">
        <v>11645</v>
      </c>
      <c r="H537" s="277">
        <v>2016</v>
      </c>
      <c r="I537" s="386">
        <v>42419</v>
      </c>
      <c r="J537" s="276" t="s">
        <v>7193</v>
      </c>
      <c r="K537" s="276"/>
      <c r="L537" s="385" t="s">
        <v>11646</v>
      </c>
      <c r="M537" s="276"/>
    </row>
    <row r="538" spans="1:13">
      <c r="A538" s="277">
        <f>VLOOKUP(B538, 'PubMed 10.7.21 Results'!B:B, 1, FALSE)</f>
        <v>29982575</v>
      </c>
      <c r="B538" s="277">
        <v>29982575</v>
      </c>
      <c r="C538" s="276" t="s">
        <v>12727</v>
      </c>
      <c r="D538" s="276" t="s">
        <v>12728</v>
      </c>
      <c r="E538" s="276" t="s">
        <v>12729</v>
      </c>
      <c r="F538" s="276" t="s">
        <v>7708</v>
      </c>
      <c r="G538" s="276" t="s">
        <v>9497</v>
      </c>
      <c r="H538" s="277">
        <v>2018</v>
      </c>
      <c r="I538" s="386">
        <v>43290</v>
      </c>
      <c r="J538" s="276" t="s">
        <v>7709</v>
      </c>
      <c r="K538" s="276"/>
      <c r="L538" s="385" t="s">
        <v>12730</v>
      </c>
      <c r="M538" s="276"/>
    </row>
    <row r="539" spans="1:13">
      <c r="A539" s="277">
        <f>VLOOKUP(B539, 'PubMed 10.7.21 Results'!B:B, 1, FALSE)</f>
        <v>33752741</v>
      </c>
      <c r="B539" s="277">
        <v>33752741</v>
      </c>
      <c r="C539" s="276" t="s">
        <v>14112</v>
      </c>
      <c r="D539" s="276" t="s">
        <v>14113</v>
      </c>
      <c r="E539" s="276" t="s">
        <v>14114</v>
      </c>
      <c r="F539" s="276" t="s">
        <v>7895</v>
      </c>
      <c r="G539" s="276" t="s">
        <v>9906</v>
      </c>
      <c r="H539" s="277">
        <v>2021</v>
      </c>
      <c r="I539" s="386">
        <v>44278</v>
      </c>
      <c r="J539" s="276" t="s">
        <v>7896</v>
      </c>
      <c r="K539" s="276"/>
      <c r="L539" s="385" t="s">
        <v>14115</v>
      </c>
      <c r="M539" s="276"/>
    </row>
    <row r="540" spans="1:13">
      <c r="A540" s="277">
        <f>VLOOKUP(B540, 'PubMed 10.7.21 Results'!B:B, 1, FALSE)</f>
        <v>31047114</v>
      </c>
      <c r="B540" s="277">
        <v>31047114</v>
      </c>
      <c r="C540" s="276" t="s">
        <v>13047</v>
      </c>
      <c r="D540" s="276" t="s">
        <v>13048</v>
      </c>
      <c r="E540" s="276" t="s">
        <v>13049</v>
      </c>
      <c r="F540" s="276" t="s">
        <v>7990</v>
      </c>
      <c r="G540" s="276" t="s">
        <v>13050</v>
      </c>
      <c r="H540" s="277">
        <v>2019</v>
      </c>
      <c r="I540" s="386">
        <v>43589</v>
      </c>
      <c r="J540" s="276" t="s">
        <v>7991</v>
      </c>
      <c r="K540" s="276" t="s">
        <v>13051</v>
      </c>
      <c r="L540" s="385" t="s">
        <v>13052</v>
      </c>
      <c r="M540" s="276"/>
    </row>
    <row r="541" spans="1:13">
      <c r="A541" s="277">
        <f>VLOOKUP(B541, 'PubMed 10.7.21 Results'!B:B, 1, FALSE)</f>
        <v>11923699</v>
      </c>
      <c r="B541" s="277">
        <v>11923699</v>
      </c>
      <c r="C541" s="276" t="s">
        <v>8888</v>
      </c>
      <c r="D541" s="276" t="s">
        <v>8889</v>
      </c>
      <c r="E541" s="276" t="s">
        <v>8890</v>
      </c>
      <c r="F541" s="276" t="s">
        <v>7263</v>
      </c>
      <c r="G541" s="276" t="s">
        <v>8712</v>
      </c>
      <c r="H541" s="277">
        <v>2002</v>
      </c>
      <c r="I541" s="386">
        <v>37345</v>
      </c>
      <c r="J541" s="276"/>
      <c r="K541" s="276"/>
      <c r="L541" s="385" t="s">
        <v>8891</v>
      </c>
      <c r="M541" s="276"/>
    </row>
    <row r="542" spans="1:13">
      <c r="A542" s="277">
        <f>VLOOKUP(B542, 'PubMed 10.7.21 Results'!B:B, 1, FALSE)</f>
        <v>32224496</v>
      </c>
      <c r="B542" s="277">
        <v>32224496</v>
      </c>
      <c r="C542" s="276" t="s">
        <v>13460</v>
      </c>
      <c r="D542" s="276" t="s">
        <v>13461</v>
      </c>
      <c r="E542" s="276" t="s">
        <v>13462</v>
      </c>
      <c r="F542" s="276" t="s">
        <v>6994</v>
      </c>
      <c r="G542" s="276" t="s">
        <v>13463</v>
      </c>
      <c r="H542" s="277">
        <v>2020</v>
      </c>
      <c r="I542" s="386">
        <v>43922</v>
      </c>
      <c r="J542" s="276" t="s">
        <v>6995</v>
      </c>
      <c r="K542" s="276"/>
      <c r="L542" s="385" t="s">
        <v>13464</v>
      </c>
      <c r="M542" s="276"/>
    </row>
    <row r="543" spans="1:13">
      <c r="A543" s="277">
        <f>VLOOKUP(B543, 'PubMed 10.7.21 Results'!B:B, 1, FALSE)</f>
        <v>9487210</v>
      </c>
      <c r="B543" s="277">
        <v>9487210</v>
      </c>
      <c r="C543" s="276" t="s">
        <v>8609</v>
      </c>
      <c r="D543" s="276" t="s">
        <v>8610</v>
      </c>
      <c r="E543" s="276" t="s">
        <v>8611</v>
      </c>
      <c r="F543" s="276" t="s">
        <v>7964</v>
      </c>
      <c r="G543" s="276" t="s">
        <v>8612</v>
      </c>
      <c r="H543" s="277">
        <v>1998</v>
      </c>
      <c r="I543" s="386">
        <v>35860</v>
      </c>
      <c r="J543" s="276"/>
      <c r="K543" s="276"/>
      <c r="L543" s="385" t="s">
        <v>8613</v>
      </c>
      <c r="M543" s="276"/>
    </row>
    <row r="544" spans="1:13">
      <c r="A544" s="277">
        <f>VLOOKUP(B544, 'PubMed 10.7.21 Results'!B:B, 1, FALSE)</f>
        <v>30264146</v>
      </c>
      <c r="B544" s="277">
        <v>30264146</v>
      </c>
      <c r="C544" s="276" t="s">
        <v>12835</v>
      </c>
      <c r="D544" s="276" t="s">
        <v>12836</v>
      </c>
      <c r="E544" s="276" t="s">
        <v>12837</v>
      </c>
      <c r="F544" s="276" t="s">
        <v>8112</v>
      </c>
      <c r="G544" s="276" t="s">
        <v>11982</v>
      </c>
      <c r="H544" s="277">
        <v>2019</v>
      </c>
      <c r="I544" s="386">
        <v>43372</v>
      </c>
      <c r="J544" s="276" t="s">
        <v>8113</v>
      </c>
      <c r="K544" s="276"/>
      <c r="L544" s="385" t="s">
        <v>12838</v>
      </c>
      <c r="M544" s="276"/>
    </row>
    <row r="545" spans="1:13">
      <c r="A545" s="277">
        <f>VLOOKUP(B545, 'PubMed 10.7.21 Results'!B:B, 1, FALSE)</f>
        <v>31023843</v>
      </c>
      <c r="B545" s="277">
        <v>31023843</v>
      </c>
      <c r="C545" s="276" t="s">
        <v>13133</v>
      </c>
      <c r="D545" s="276" t="s">
        <v>13134</v>
      </c>
      <c r="E545" s="276" t="s">
        <v>13135</v>
      </c>
      <c r="F545" s="276" t="s">
        <v>7461</v>
      </c>
      <c r="G545" s="276" t="s">
        <v>13136</v>
      </c>
      <c r="H545" s="277">
        <v>2019</v>
      </c>
      <c r="I545" s="386">
        <v>43582</v>
      </c>
      <c r="J545" s="276"/>
      <c r="K545" s="276"/>
      <c r="L545" s="385" t="s">
        <v>13137</v>
      </c>
      <c r="M545" s="276"/>
    </row>
    <row r="546" spans="1:13">
      <c r="A546" s="277">
        <f>VLOOKUP(B546, 'PubMed 10.7.21 Results'!B:B, 1, FALSE)</f>
        <v>26604728</v>
      </c>
      <c r="B546" s="277">
        <v>26604728</v>
      </c>
      <c r="C546" s="276" t="s">
        <v>11503</v>
      </c>
      <c r="D546" s="276" t="s">
        <v>11504</v>
      </c>
      <c r="E546" s="276" t="s">
        <v>11505</v>
      </c>
      <c r="F546" s="276" t="s">
        <v>6474</v>
      </c>
      <c r="G546" s="276" t="s">
        <v>9677</v>
      </c>
      <c r="H546" s="277">
        <v>2015</v>
      </c>
      <c r="I546" s="386">
        <v>42334</v>
      </c>
      <c r="J546" s="276" t="s">
        <v>6475</v>
      </c>
      <c r="K546" s="276"/>
      <c r="L546" s="385" t="s">
        <v>11506</v>
      </c>
      <c r="M546" s="276"/>
    </row>
    <row r="547" spans="1:13">
      <c r="A547" s="277">
        <f>VLOOKUP(B547, 'PubMed 10.7.21 Results'!B:B, 1, FALSE)</f>
        <v>30934066</v>
      </c>
      <c r="B547" s="277">
        <v>30934066</v>
      </c>
      <c r="C547" s="276" t="s">
        <v>13053</v>
      </c>
      <c r="D547" s="276" t="s">
        <v>13054</v>
      </c>
      <c r="E547" s="276" t="s">
        <v>13055</v>
      </c>
      <c r="F547" s="276" t="s">
        <v>6867</v>
      </c>
      <c r="G547" s="276" t="s">
        <v>13056</v>
      </c>
      <c r="H547" s="277">
        <v>2019</v>
      </c>
      <c r="I547" s="386">
        <v>43557</v>
      </c>
      <c r="J547" s="276"/>
      <c r="K547" s="276"/>
      <c r="L547" s="385" t="s">
        <v>13057</v>
      </c>
      <c r="M547" s="276"/>
    </row>
    <row r="548" spans="1:13">
      <c r="A548" s="277">
        <f>VLOOKUP(B548, 'PubMed 10.7.21 Results'!B:B, 1, FALSE)</f>
        <v>14667790</v>
      </c>
      <c r="B548" s="277">
        <v>14667790</v>
      </c>
      <c r="C548" s="276" t="s">
        <v>9025</v>
      </c>
      <c r="D548" s="276" t="s">
        <v>9026</v>
      </c>
      <c r="E548" s="276" t="s">
        <v>9027</v>
      </c>
      <c r="F548" s="276" t="s">
        <v>6931</v>
      </c>
      <c r="G548" s="276" t="s">
        <v>9028</v>
      </c>
      <c r="H548" s="277">
        <v>2004</v>
      </c>
      <c r="I548" s="386">
        <v>37967</v>
      </c>
      <c r="J548" s="276"/>
      <c r="K548" s="276"/>
      <c r="L548" s="385" t="s">
        <v>9029</v>
      </c>
      <c r="M548" s="276"/>
    </row>
    <row r="549" spans="1:13">
      <c r="A549" s="277">
        <f>VLOOKUP(B549, 'PubMed 10.7.21 Results'!B:B, 1, FALSE)</f>
        <v>27426929</v>
      </c>
      <c r="B549" s="277">
        <v>27426929</v>
      </c>
      <c r="C549" s="276" t="s">
        <v>11853</v>
      </c>
      <c r="D549" s="276" t="s">
        <v>11854</v>
      </c>
      <c r="E549" s="276" t="s">
        <v>11855</v>
      </c>
      <c r="F549" s="276" t="s">
        <v>7337</v>
      </c>
      <c r="G549" s="276" t="s">
        <v>11856</v>
      </c>
      <c r="H549" s="277">
        <v>2016</v>
      </c>
      <c r="I549" s="386">
        <v>42570</v>
      </c>
      <c r="J549" s="276"/>
      <c r="K549" s="276"/>
      <c r="L549" s="385" t="s">
        <v>11857</v>
      </c>
      <c r="M549" s="276"/>
    </row>
    <row r="550" spans="1:13">
      <c r="A550" s="277">
        <f>VLOOKUP(B550, 'PubMed 10.7.21 Results'!B:B, 1, FALSE)</f>
        <v>12763980</v>
      </c>
      <c r="B550" s="277">
        <v>12763980</v>
      </c>
      <c r="C550" s="276" t="s">
        <v>8974</v>
      </c>
      <c r="D550" s="276" t="s">
        <v>8975</v>
      </c>
      <c r="E550" s="276" t="s">
        <v>8976</v>
      </c>
      <c r="F550" s="276" t="s">
        <v>7598</v>
      </c>
      <c r="G550" s="276" t="s">
        <v>8977</v>
      </c>
      <c r="H550" s="277">
        <v>2003</v>
      </c>
      <c r="I550" s="386">
        <v>37765</v>
      </c>
      <c r="J550" s="276" t="s">
        <v>7600</v>
      </c>
      <c r="K550" s="276"/>
      <c r="L550" s="385" t="s">
        <v>8978</v>
      </c>
      <c r="M550" s="276"/>
    </row>
    <row r="551" spans="1:13">
      <c r="A551" s="277">
        <f>VLOOKUP(B551, 'PubMed 10.7.21 Results'!B:B, 1, FALSE)</f>
        <v>20091577</v>
      </c>
      <c r="B551" s="277">
        <v>20091577</v>
      </c>
      <c r="C551" s="276" t="s">
        <v>9954</v>
      </c>
      <c r="D551" s="276" t="s">
        <v>9955</v>
      </c>
      <c r="E551" s="276" t="s">
        <v>9956</v>
      </c>
      <c r="F551" s="276" t="s">
        <v>6577</v>
      </c>
      <c r="G551" s="276" t="s">
        <v>8857</v>
      </c>
      <c r="H551" s="277">
        <v>2010</v>
      </c>
      <c r="I551" s="386">
        <v>40200</v>
      </c>
      <c r="J551" s="276"/>
      <c r="K551" s="276"/>
      <c r="L551" s="385" t="s">
        <v>9957</v>
      </c>
      <c r="M551" s="276"/>
    </row>
    <row r="552" spans="1:13">
      <c r="A552" s="277">
        <f>VLOOKUP(B552, 'PubMed 10.7.21 Results'!B:B, 1, FALSE)</f>
        <v>9857785</v>
      </c>
      <c r="B552" s="277">
        <v>9857785</v>
      </c>
      <c r="C552" s="276" t="s">
        <v>8642</v>
      </c>
      <c r="D552" s="276" t="s">
        <v>8643</v>
      </c>
      <c r="E552" s="276" t="s">
        <v>8644</v>
      </c>
      <c r="F552" s="276" t="s">
        <v>7886</v>
      </c>
      <c r="G552" s="276" t="s">
        <v>8645</v>
      </c>
      <c r="H552" s="277">
        <v>1998</v>
      </c>
      <c r="I552" s="386">
        <v>36148</v>
      </c>
      <c r="J552" s="276"/>
      <c r="K552" s="276"/>
      <c r="L552" s="385" t="s">
        <v>8646</v>
      </c>
      <c r="M552" s="276"/>
    </row>
    <row r="553" spans="1:13">
      <c r="A553" s="277">
        <f>VLOOKUP(B553, 'PubMed 10.7.21 Results'!B:B, 1, FALSE)</f>
        <v>26002266</v>
      </c>
      <c r="B553" s="277">
        <v>26002266</v>
      </c>
      <c r="C553" s="276" t="s">
        <v>11397</v>
      </c>
      <c r="D553" s="276" t="s">
        <v>11398</v>
      </c>
      <c r="E553" s="276" t="s">
        <v>11399</v>
      </c>
      <c r="F553" s="276" t="s">
        <v>7452</v>
      </c>
      <c r="G553" s="276" t="s">
        <v>11400</v>
      </c>
      <c r="H553" s="277">
        <v>2015</v>
      </c>
      <c r="I553" s="386">
        <v>42148</v>
      </c>
      <c r="J553" s="276" t="s">
        <v>7453</v>
      </c>
      <c r="K553" s="276" t="s">
        <v>11401</v>
      </c>
      <c r="L553" s="385" t="s">
        <v>11402</v>
      </c>
      <c r="M553" s="276"/>
    </row>
    <row r="554" spans="1:13">
      <c r="A554" s="277">
        <f>VLOOKUP(B554, 'PubMed 10.7.21 Results'!B:B, 1, FALSE)</f>
        <v>14872423</v>
      </c>
      <c r="B554" s="277">
        <v>14872423</v>
      </c>
      <c r="C554" s="276" t="s">
        <v>9034</v>
      </c>
      <c r="D554" s="276" t="s">
        <v>9035</v>
      </c>
      <c r="E554" s="276" t="s">
        <v>9036</v>
      </c>
      <c r="F554" s="276" t="s">
        <v>7241</v>
      </c>
      <c r="G554" s="276" t="s">
        <v>8588</v>
      </c>
      <c r="H554" s="277">
        <v>2004</v>
      </c>
      <c r="I554" s="386">
        <v>38029</v>
      </c>
      <c r="J554" s="276"/>
      <c r="K554" s="276"/>
      <c r="L554" s="385" t="s">
        <v>9037</v>
      </c>
      <c r="M554" s="276"/>
    </row>
    <row r="555" spans="1:13">
      <c r="A555" s="277">
        <f>VLOOKUP(B555, 'PubMed 10.7.21 Results'!B:B, 1, FALSE)</f>
        <v>30003988</v>
      </c>
      <c r="B555" s="277">
        <v>30003988</v>
      </c>
      <c r="C555" s="276" t="s">
        <v>12831</v>
      </c>
      <c r="D555" s="276" t="s">
        <v>12832</v>
      </c>
      <c r="E555" s="276" t="s">
        <v>12833</v>
      </c>
      <c r="F555" s="276" t="s">
        <v>6946</v>
      </c>
      <c r="G555" s="276" t="s">
        <v>9961</v>
      </c>
      <c r="H555" s="277">
        <v>2019</v>
      </c>
      <c r="I555" s="386">
        <v>43295</v>
      </c>
      <c r="J555" s="276"/>
      <c r="K555" s="276"/>
      <c r="L555" s="385" t="s">
        <v>12834</v>
      </c>
      <c r="M555" s="276"/>
    </row>
    <row r="556" spans="1:13">
      <c r="A556" s="277">
        <f>VLOOKUP(B556, 'PubMed 10.7.21 Results'!B:B, 1, FALSE)</f>
        <v>32194150</v>
      </c>
      <c r="B556" s="277">
        <v>32194150</v>
      </c>
      <c r="C556" s="276" t="s">
        <v>18886</v>
      </c>
      <c r="D556" s="276" t="s">
        <v>13569</v>
      </c>
      <c r="E556" s="276" t="s">
        <v>13570</v>
      </c>
      <c r="F556" s="276" t="s">
        <v>7003</v>
      </c>
      <c r="G556" s="276" t="s">
        <v>11137</v>
      </c>
      <c r="H556" s="277">
        <v>2020</v>
      </c>
      <c r="I556" s="386">
        <v>43911</v>
      </c>
      <c r="J556" s="276"/>
      <c r="K556" s="276"/>
      <c r="L556" s="385" t="s">
        <v>13571</v>
      </c>
      <c r="M556" s="276"/>
    </row>
    <row r="557" spans="1:13">
      <c r="A557" s="277">
        <f>VLOOKUP(B557, 'PubMed 10.7.21 Results'!B:B, 1, FALSE)</f>
        <v>32533666</v>
      </c>
      <c r="B557" s="277">
        <v>32533666</v>
      </c>
      <c r="C557" s="276" t="s">
        <v>13586</v>
      </c>
      <c r="D557" s="276" t="s">
        <v>13587</v>
      </c>
      <c r="E557" s="276" t="s">
        <v>13588</v>
      </c>
      <c r="F557" s="276" t="s">
        <v>7782</v>
      </c>
      <c r="G557" s="276" t="s">
        <v>13589</v>
      </c>
      <c r="H557" s="277">
        <v>2020</v>
      </c>
      <c r="I557" s="386">
        <v>43996</v>
      </c>
      <c r="J557" s="276"/>
      <c r="K557" s="276"/>
      <c r="L557" s="385" t="s">
        <v>13590</v>
      </c>
      <c r="M557" s="276"/>
    </row>
    <row r="558" spans="1:13">
      <c r="A558" s="277">
        <f>VLOOKUP(B558, 'PubMed 10.7.21 Results'!B:B, 1, FALSE)</f>
        <v>19646777</v>
      </c>
      <c r="B558" s="277">
        <v>19646777</v>
      </c>
      <c r="C558" s="276" t="s">
        <v>9958</v>
      </c>
      <c r="D558" s="276" t="s">
        <v>9959</v>
      </c>
      <c r="E558" s="276" t="s">
        <v>9960</v>
      </c>
      <c r="F558" s="276" t="s">
        <v>7411</v>
      </c>
      <c r="G558" s="276" t="s">
        <v>9961</v>
      </c>
      <c r="H558" s="277">
        <v>2010</v>
      </c>
      <c r="I558" s="386">
        <v>40029</v>
      </c>
      <c r="J558" s="276"/>
      <c r="K558" s="276"/>
      <c r="L558" s="385" t="s">
        <v>9962</v>
      </c>
      <c r="M558" s="276"/>
    </row>
    <row r="559" spans="1:13">
      <c r="A559" s="277">
        <f>VLOOKUP(B559, 'PubMed 10.7.21 Results'!B:B, 1, FALSE)</f>
        <v>17928580</v>
      </c>
      <c r="B559" s="277">
        <v>17928580</v>
      </c>
      <c r="C559" s="276" t="s">
        <v>9562</v>
      </c>
      <c r="D559" s="276" t="s">
        <v>9563</v>
      </c>
      <c r="E559" s="276" t="s">
        <v>9564</v>
      </c>
      <c r="F559" s="276" t="s">
        <v>6840</v>
      </c>
      <c r="G559" s="276" t="s">
        <v>8529</v>
      </c>
      <c r="H559" s="277">
        <v>2008</v>
      </c>
      <c r="I559" s="386">
        <v>39367</v>
      </c>
      <c r="J559" s="276"/>
      <c r="K559" s="276"/>
      <c r="L559" s="385" t="s">
        <v>9565</v>
      </c>
      <c r="M559" s="276"/>
    </row>
    <row r="560" spans="1:13">
      <c r="A560" s="277">
        <f>VLOOKUP(B560, 'PubMed 10.7.21 Results'!B:B, 1, FALSE)</f>
        <v>30521694</v>
      </c>
      <c r="B560" s="277">
        <v>30521694</v>
      </c>
      <c r="C560" s="276" t="s">
        <v>12805</v>
      </c>
      <c r="D560" s="276" t="s">
        <v>12806</v>
      </c>
      <c r="E560" s="276" t="s">
        <v>12807</v>
      </c>
      <c r="F560" s="276" t="s">
        <v>7553</v>
      </c>
      <c r="G560" s="276" t="s">
        <v>8857</v>
      </c>
      <c r="H560" s="277">
        <v>2018</v>
      </c>
      <c r="I560" s="386">
        <v>43441</v>
      </c>
      <c r="J560" s="276" t="s">
        <v>7554</v>
      </c>
      <c r="K560" s="276"/>
      <c r="L560" s="385" t="s">
        <v>12808</v>
      </c>
      <c r="M560" s="276"/>
    </row>
    <row r="561" spans="1:13">
      <c r="A561" s="277">
        <f>VLOOKUP(B561, 'PubMed 10.7.21 Results'!B:B, 1, FALSE)</f>
        <v>25350588</v>
      </c>
      <c r="B561" s="277">
        <v>25350588</v>
      </c>
      <c r="C561" s="276" t="s">
        <v>11154</v>
      </c>
      <c r="D561" s="276" t="s">
        <v>11155</v>
      </c>
      <c r="E561" s="276" t="s">
        <v>11156</v>
      </c>
      <c r="F561" s="276" t="s">
        <v>7043</v>
      </c>
      <c r="G561" s="276" t="s">
        <v>9359</v>
      </c>
      <c r="H561" s="277">
        <v>2014</v>
      </c>
      <c r="I561" s="386">
        <v>41941</v>
      </c>
      <c r="J561" s="276" t="s">
        <v>7044</v>
      </c>
      <c r="K561" s="276"/>
      <c r="L561" s="385" t="s">
        <v>11157</v>
      </c>
      <c r="M561" s="276"/>
    </row>
    <row r="562" spans="1:13">
      <c r="A562" s="277">
        <f>VLOOKUP(B562, 'PubMed 10.7.21 Results'!B:B, 1, FALSE)</f>
        <v>24852804</v>
      </c>
      <c r="B562" s="277">
        <v>24852804</v>
      </c>
      <c r="C562" s="276" t="s">
        <v>11014</v>
      </c>
      <c r="D562" s="276" t="s">
        <v>11015</v>
      </c>
      <c r="E562" s="276" t="s">
        <v>11016</v>
      </c>
      <c r="F562" s="276" t="s">
        <v>6639</v>
      </c>
      <c r="G562" s="276" t="s">
        <v>11017</v>
      </c>
      <c r="H562" s="277">
        <v>2014</v>
      </c>
      <c r="I562" s="386">
        <v>41783</v>
      </c>
      <c r="J562" s="276"/>
      <c r="K562" s="276"/>
      <c r="L562" s="385" t="s">
        <v>11018</v>
      </c>
      <c r="M562" s="276"/>
    </row>
    <row r="563" spans="1:13">
      <c r="A563" s="277">
        <f>VLOOKUP(B563, 'PubMed 10.7.21 Results'!B:B, 1, FALSE)</f>
        <v>8938880</v>
      </c>
      <c r="B563" s="277">
        <v>8938880</v>
      </c>
      <c r="C563" s="276" t="s">
        <v>8554</v>
      </c>
      <c r="D563" s="276" t="s">
        <v>8555</v>
      </c>
      <c r="E563" s="276" t="s">
        <v>8556</v>
      </c>
      <c r="F563" s="276" t="s">
        <v>6459</v>
      </c>
      <c r="G563" s="276" t="s">
        <v>8557</v>
      </c>
      <c r="H563" s="277">
        <v>1996</v>
      </c>
      <c r="I563" s="386">
        <v>35309</v>
      </c>
      <c r="J563" s="276"/>
      <c r="K563" s="276"/>
      <c r="L563" s="276"/>
      <c r="M563" s="276"/>
    </row>
    <row r="564" spans="1:13">
      <c r="A564" s="277">
        <f>VLOOKUP(B564, 'PubMed 10.7.21 Results'!B:B, 1, FALSE)</f>
        <v>24552184</v>
      </c>
      <c r="B564" s="277">
        <v>24552184</v>
      </c>
      <c r="C564" s="276" t="s">
        <v>10934</v>
      </c>
      <c r="D564" s="276" t="s">
        <v>10935</v>
      </c>
      <c r="E564" s="276" t="s">
        <v>10936</v>
      </c>
      <c r="F564" s="276" t="s">
        <v>8121</v>
      </c>
      <c r="G564" s="276" t="s">
        <v>9906</v>
      </c>
      <c r="H564" s="277">
        <v>2014</v>
      </c>
      <c r="I564" s="386">
        <v>41691</v>
      </c>
      <c r="J564" s="276" t="s">
        <v>8122</v>
      </c>
      <c r="K564" s="276"/>
      <c r="L564" s="385" t="s">
        <v>10937</v>
      </c>
      <c r="M564" s="276"/>
    </row>
    <row r="565" spans="1:13">
      <c r="A565" s="277">
        <f>VLOOKUP(B565, 'PubMed 10.7.21 Results'!B:B, 1, FALSE)</f>
        <v>28176333</v>
      </c>
      <c r="B565" s="277">
        <v>28176333</v>
      </c>
      <c r="C565" s="276" t="s">
        <v>11993</v>
      </c>
      <c r="D565" s="276" t="s">
        <v>11994</v>
      </c>
      <c r="E565" s="276" t="s">
        <v>11995</v>
      </c>
      <c r="F565" s="276" t="s">
        <v>5358</v>
      </c>
      <c r="G565" s="276" t="s">
        <v>8857</v>
      </c>
      <c r="H565" s="277">
        <v>2017</v>
      </c>
      <c r="I565" s="386">
        <v>42775</v>
      </c>
      <c r="J565" s="276" t="s">
        <v>7131</v>
      </c>
      <c r="K565" s="276"/>
      <c r="L565" s="385" t="s">
        <v>11996</v>
      </c>
      <c r="M565" s="276"/>
    </row>
    <row r="566" spans="1:13">
      <c r="A566" s="277">
        <f>VLOOKUP(B566, 'PubMed 10.7.21 Results'!B:B, 1, FALSE)</f>
        <v>25104969</v>
      </c>
      <c r="B566" s="277">
        <v>25104969</v>
      </c>
      <c r="C566" s="276" t="s">
        <v>10891</v>
      </c>
      <c r="D566" s="276" t="s">
        <v>10892</v>
      </c>
      <c r="E566" s="276" t="s">
        <v>10893</v>
      </c>
      <c r="F566" s="276" t="s">
        <v>6961</v>
      </c>
      <c r="G566" s="276" t="s">
        <v>10894</v>
      </c>
      <c r="H566" s="277">
        <v>2014</v>
      </c>
      <c r="I566" s="386">
        <v>41860</v>
      </c>
      <c r="J566" s="276" t="s">
        <v>6962</v>
      </c>
      <c r="K566" s="276"/>
      <c r="L566" s="385" t="s">
        <v>10895</v>
      </c>
      <c r="M566" s="276"/>
    </row>
    <row r="567" spans="1:13">
      <c r="A567" s="277">
        <f>VLOOKUP(B567, 'PubMed 10.7.21 Results'!B:B, 1, FALSE)</f>
        <v>20525274</v>
      </c>
      <c r="B567" s="277">
        <v>20525274</v>
      </c>
      <c r="C567" s="276" t="s">
        <v>10001</v>
      </c>
      <c r="D567" s="276" t="s">
        <v>10002</v>
      </c>
      <c r="E567" s="276" t="s">
        <v>10003</v>
      </c>
      <c r="F567" s="276" t="s">
        <v>6851</v>
      </c>
      <c r="G567" s="276" t="s">
        <v>10004</v>
      </c>
      <c r="H567" s="277">
        <v>2010</v>
      </c>
      <c r="I567" s="386">
        <v>40337</v>
      </c>
      <c r="J567" s="276" t="s">
        <v>6852</v>
      </c>
      <c r="K567" s="276"/>
      <c r="L567" s="385" t="s">
        <v>10005</v>
      </c>
      <c r="M567" s="276"/>
    </row>
    <row r="568" spans="1:13">
      <c r="A568" s="277">
        <f>VLOOKUP(B568, 'PubMed 10.7.21 Results'!B:B, 1, FALSE)</f>
        <v>21056523</v>
      </c>
      <c r="B568" s="277">
        <v>21056523</v>
      </c>
      <c r="C568" s="276" t="s">
        <v>10131</v>
      </c>
      <c r="D568" s="276" t="s">
        <v>10132</v>
      </c>
      <c r="E568" s="276" t="s">
        <v>10133</v>
      </c>
      <c r="F568" s="276" t="s">
        <v>8029</v>
      </c>
      <c r="G568" s="276" t="s">
        <v>10134</v>
      </c>
      <c r="H568" s="277">
        <v>2011</v>
      </c>
      <c r="I568" s="386">
        <v>40491</v>
      </c>
      <c r="J568" s="276"/>
      <c r="K568" s="276"/>
      <c r="L568" s="385" t="s">
        <v>10135</v>
      </c>
      <c r="M568" s="276"/>
    </row>
    <row r="569" spans="1:13">
      <c r="A569" s="277">
        <f>VLOOKUP(B569, 'PubMed 10.7.21 Results'!B:B, 1, FALSE)</f>
        <v>33087107</v>
      </c>
      <c r="B569" s="277">
        <v>33087107</v>
      </c>
      <c r="C569" s="276" t="s">
        <v>13787</v>
      </c>
      <c r="D569" s="276" t="s">
        <v>13788</v>
      </c>
      <c r="E569" s="276" t="s">
        <v>13789</v>
      </c>
      <c r="F569" s="276" t="s">
        <v>7020</v>
      </c>
      <c r="G569" s="276" t="s">
        <v>10685</v>
      </c>
      <c r="H569" s="277">
        <v>2020</v>
      </c>
      <c r="I569" s="386">
        <v>44126</v>
      </c>
      <c r="J569" s="276" t="s">
        <v>7021</v>
      </c>
      <c r="K569" s="276"/>
      <c r="L569" s="385" t="s">
        <v>13790</v>
      </c>
      <c r="M569" s="276"/>
    </row>
    <row r="570" spans="1:13">
      <c r="A570" s="277">
        <f>VLOOKUP(B570, 'PubMed 10.7.21 Results'!B:B, 1, FALSE)</f>
        <v>26384206</v>
      </c>
      <c r="B570" s="277">
        <v>26384206</v>
      </c>
      <c r="C570" s="276" t="s">
        <v>11479</v>
      </c>
      <c r="D570" s="276" t="s">
        <v>11480</v>
      </c>
      <c r="E570" s="276" t="s">
        <v>11481</v>
      </c>
      <c r="F570" s="276" t="s">
        <v>6910</v>
      </c>
      <c r="G570" s="276" t="s">
        <v>11383</v>
      </c>
      <c r="H570" s="277">
        <v>2015</v>
      </c>
      <c r="I570" s="386">
        <v>42266</v>
      </c>
      <c r="J570" s="276"/>
      <c r="K570" s="276"/>
      <c r="L570" s="385" t="s">
        <v>11482</v>
      </c>
      <c r="M570" s="276"/>
    </row>
    <row r="571" spans="1:13">
      <c r="A571" s="277">
        <f>VLOOKUP(B571, 'PubMed 10.7.21 Results'!B:B, 1, FALSE)</f>
        <v>25217488</v>
      </c>
      <c r="B571" s="277">
        <v>25217488</v>
      </c>
      <c r="C571" s="276" t="s">
        <v>11208</v>
      </c>
      <c r="D571" s="276" t="s">
        <v>11209</v>
      </c>
      <c r="E571" s="276" t="s">
        <v>11210</v>
      </c>
      <c r="F571" s="276" t="s">
        <v>7118</v>
      </c>
      <c r="G571" s="276" t="s">
        <v>11176</v>
      </c>
      <c r="H571" s="277">
        <v>2014</v>
      </c>
      <c r="I571" s="386">
        <v>41896</v>
      </c>
      <c r="J571" s="276"/>
      <c r="K571" s="276"/>
      <c r="L571" s="385" t="s">
        <v>11211</v>
      </c>
      <c r="M571" s="276"/>
    </row>
    <row r="572" spans="1:13">
      <c r="A572" s="277">
        <f>VLOOKUP(B572, 'PubMed 10.7.21 Results'!B:B, 1, FALSE)</f>
        <v>16440357</v>
      </c>
      <c r="B572" s="277">
        <v>16440357</v>
      </c>
      <c r="C572" s="276" t="s">
        <v>9285</v>
      </c>
      <c r="D572" s="276" t="s">
        <v>9286</v>
      </c>
      <c r="E572" s="276" t="s">
        <v>9287</v>
      </c>
      <c r="F572" s="276" t="s">
        <v>7120</v>
      </c>
      <c r="G572" s="276" t="s">
        <v>8480</v>
      </c>
      <c r="H572" s="277">
        <v>2006</v>
      </c>
      <c r="I572" s="386">
        <v>38745</v>
      </c>
      <c r="J572" s="276"/>
      <c r="K572" s="276"/>
      <c r="L572" s="385" t="s">
        <v>9288</v>
      </c>
      <c r="M572" s="276"/>
    </row>
    <row r="573" spans="1:13">
      <c r="A573" s="277">
        <f>VLOOKUP(B573, 'PubMed 10.7.21 Results'!B:B, 1, FALSE)</f>
        <v>30712199</v>
      </c>
      <c r="B573" s="277">
        <v>30712199</v>
      </c>
      <c r="C573" s="276" t="s">
        <v>12904</v>
      </c>
      <c r="D573" s="276" t="s">
        <v>12905</v>
      </c>
      <c r="E573" s="276" t="s">
        <v>12906</v>
      </c>
      <c r="F573" s="276" t="s">
        <v>8125</v>
      </c>
      <c r="G573" s="276" t="s">
        <v>8509</v>
      </c>
      <c r="H573" s="277">
        <v>2019</v>
      </c>
      <c r="I573" s="386">
        <v>43500</v>
      </c>
      <c r="J573" s="276"/>
      <c r="K573" s="276"/>
      <c r="L573" s="385" t="s">
        <v>12907</v>
      </c>
      <c r="M573" s="276"/>
    </row>
    <row r="574" spans="1:13">
      <c r="A574" s="277">
        <f>VLOOKUP(B574, 'PubMed 10.7.21 Results'!B:B, 1, FALSE)</f>
        <v>15225401</v>
      </c>
      <c r="B574" s="277">
        <v>15225401</v>
      </c>
      <c r="C574" s="276" t="s">
        <v>9056</v>
      </c>
      <c r="D574" s="276" t="s">
        <v>9057</v>
      </c>
      <c r="E574" s="276" t="s">
        <v>9058</v>
      </c>
      <c r="F574" s="276" t="s">
        <v>7143</v>
      </c>
      <c r="G574" s="276" t="s">
        <v>9059</v>
      </c>
      <c r="H574" s="277">
        <v>2004</v>
      </c>
      <c r="I574" s="386">
        <v>38169</v>
      </c>
      <c r="J574" s="276"/>
      <c r="K574" s="276"/>
      <c r="L574" s="385" t="s">
        <v>9060</v>
      </c>
      <c r="M574" s="276"/>
    </row>
    <row r="575" spans="1:13">
      <c r="A575" s="277">
        <f>VLOOKUP(B575, 'PubMed 10.7.21 Results'!B:B, 1, FALSE)</f>
        <v>23136909</v>
      </c>
      <c r="B575" s="277">
        <v>23136909</v>
      </c>
      <c r="C575" s="276" t="s">
        <v>10613</v>
      </c>
      <c r="D575" s="276" t="s">
        <v>10614</v>
      </c>
      <c r="E575" s="276" t="s">
        <v>10615</v>
      </c>
      <c r="F575" s="276" t="s">
        <v>7704</v>
      </c>
      <c r="G575" s="276" t="s">
        <v>8514</v>
      </c>
      <c r="H575" s="277">
        <v>2012</v>
      </c>
      <c r="I575" s="386">
        <v>41223</v>
      </c>
      <c r="J575" s="276"/>
      <c r="K575" s="276"/>
      <c r="L575" s="385" t="s">
        <v>10616</v>
      </c>
      <c r="M575" s="276"/>
    </row>
    <row r="576" spans="1:13">
      <c r="A576" s="277">
        <f>VLOOKUP(B576, 'PubMed 10.7.21 Results'!B:B, 1, FALSE)</f>
        <v>16969761</v>
      </c>
      <c r="B576" s="277">
        <v>16969761</v>
      </c>
      <c r="C576" s="276" t="s">
        <v>9366</v>
      </c>
      <c r="D576" s="276" t="s">
        <v>9367</v>
      </c>
      <c r="E576" s="276" t="s">
        <v>9368</v>
      </c>
      <c r="F576" s="276" t="s">
        <v>7973</v>
      </c>
      <c r="G576" s="276" t="s">
        <v>9369</v>
      </c>
      <c r="H576" s="277">
        <v>2006</v>
      </c>
      <c r="I576" s="386">
        <v>38974</v>
      </c>
      <c r="J576" s="276"/>
      <c r="K576" s="276"/>
      <c r="L576" s="385" t="s">
        <v>9370</v>
      </c>
      <c r="M576" s="276"/>
    </row>
    <row r="577" spans="1:13">
      <c r="A577" s="277">
        <f>VLOOKUP(B577, 'PubMed 10.7.21 Results'!B:B, 1, FALSE)</f>
        <v>32859477</v>
      </c>
      <c r="B577" s="277">
        <v>32859477</v>
      </c>
      <c r="C577" s="276" t="s">
        <v>13888</v>
      </c>
      <c r="D577" s="276" t="s">
        <v>13889</v>
      </c>
      <c r="E577" s="276" t="s">
        <v>13890</v>
      </c>
      <c r="F577" s="276" t="s">
        <v>6701</v>
      </c>
      <c r="G577" s="276" t="s">
        <v>13891</v>
      </c>
      <c r="H577" s="277">
        <v>2020</v>
      </c>
      <c r="I577" s="386">
        <v>44073</v>
      </c>
      <c r="J577" s="276" t="s">
        <v>6702</v>
      </c>
      <c r="K577" s="276"/>
      <c r="L577" s="385" t="s">
        <v>13892</v>
      </c>
      <c r="M577" s="276"/>
    </row>
    <row r="578" spans="1:13">
      <c r="A578" s="277">
        <f>VLOOKUP(B578, 'PubMed 10.7.21 Results'!B:B, 1, FALSE)</f>
        <v>20030830</v>
      </c>
      <c r="B578" s="277">
        <v>20030830</v>
      </c>
      <c r="C578" s="276" t="s">
        <v>9928</v>
      </c>
      <c r="D578" s="276" t="s">
        <v>9929</v>
      </c>
      <c r="E578" s="276" t="s">
        <v>9930</v>
      </c>
      <c r="F578" s="276" t="s">
        <v>7959</v>
      </c>
      <c r="G578" s="276" t="s">
        <v>9906</v>
      </c>
      <c r="H578" s="277">
        <v>2009</v>
      </c>
      <c r="I578" s="386">
        <v>40172</v>
      </c>
      <c r="J578" s="276" t="s">
        <v>7960</v>
      </c>
      <c r="K578" s="276"/>
      <c r="L578" s="385" t="s">
        <v>9931</v>
      </c>
      <c r="M578" s="276"/>
    </row>
    <row r="579" spans="1:13">
      <c r="A579" s="277">
        <f>VLOOKUP(B579, 'PubMed 10.7.21 Results'!B:B, 1, FALSE)</f>
        <v>19845547</v>
      </c>
      <c r="B579" s="277">
        <v>19845547</v>
      </c>
      <c r="C579" s="276" t="s">
        <v>9978</v>
      </c>
      <c r="D579" s="276" t="s">
        <v>9979</v>
      </c>
      <c r="E579" s="276" t="s">
        <v>9980</v>
      </c>
      <c r="F579" s="276" t="s">
        <v>7682</v>
      </c>
      <c r="G579" s="276" t="s">
        <v>9981</v>
      </c>
      <c r="H579" s="277">
        <v>2010</v>
      </c>
      <c r="I579" s="386">
        <v>40109</v>
      </c>
      <c r="J579" s="276"/>
      <c r="K579" s="276"/>
      <c r="L579" s="385" t="s">
        <v>9982</v>
      </c>
      <c r="M579" s="276"/>
    </row>
    <row r="580" spans="1:13">
      <c r="A580" s="277">
        <f>VLOOKUP(B580, 'PubMed 10.7.21 Results'!B:B, 1, FALSE)</f>
        <v>20200300</v>
      </c>
      <c r="B580" s="277">
        <v>20200300</v>
      </c>
      <c r="C580" s="276" t="s">
        <v>9997</v>
      </c>
      <c r="D580" s="276" t="s">
        <v>9998</v>
      </c>
      <c r="E580" s="276" t="s">
        <v>9999</v>
      </c>
      <c r="F580" s="276" t="s">
        <v>7007</v>
      </c>
      <c r="G580" s="276" t="s">
        <v>8721</v>
      </c>
      <c r="H580" s="277">
        <v>2010</v>
      </c>
      <c r="I580" s="386">
        <v>40242</v>
      </c>
      <c r="J580" s="276" t="s">
        <v>7008</v>
      </c>
      <c r="K580" s="276"/>
      <c r="L580" s="385" t="s">
        <v>10000</v>
      </c>
      <c r="M580" s="276"/>
    </row>
    <row r="581" spans="1:13">
      <c r="A581" s="277">
        <f>VLOOKUP(B581, 'PubMed 10.7.21 Results'!B:B, 1, FALSE)</f>
        <v>28967274</v>
      </c>
      <c r="B581" s="277">
        <v>28967274</v>
      </c>
      <c r="C581" s="276" t="s">
        <v>12243</v>
      </c>
      <c r="D581" s="276" t="s">
        <v>12244</v>
      </c>
      <c r="E581" s="276" t="s">
        <v>12245</v>
      </c>
      <c r="F581" s="276" t="s">
        <v>7125</v>
      </c>
      <c r="G581" s="276" t="s">
        <v>12246</v>
      </c>
      <c r="H581" s="277">
        <v>2017</v>
      </c>
      <c r="I581" s="386">
        <v>43011</v>
      </c>
      <c r="J581" s="276"/>
      <c r="K581" s="276"/>
      <c r="L581" s="385" t="s">
        <v>12247</v>
      </c>
      <c r="M581" s="276"/>
    </row>
    <row r="582" spans="1:13">
      <c r="A582" s="277">
        <f>VLOOKUP(B582, 'PubMed 10.7.21 Results'!B:B, 1, FALSE)</f>
        <v>20556771</v>
      </c>
      <c r="B582" s="277">
        <v>20556771</v>
      </c>
      <c r="C582" s="276" t="s">
        <v>10006</v>
      </c>
      <c r="D582" s="276" t="s">
        <v>10007</v>
      </c>
      <c r="E582" s="276" t="s">
        <v>10008</v>
      </c>
      <c r="F582" s="276" t="s">
        <v>6911</v>
      </c>
      <c r="G582" s="276" t="s">
        <v>8857</v>
      </c>
      <c r="H582" s="277">
        <v>2010</v>
      </c>
      <c r="I582" s="386">
        <v>40347</v>
      </c>
      <c r="J582" s="276" t="s">
        <v>6912</v>
      </c>
      <c r="K582" s="276"/>
      <c r="L582" s="385" t="s">
        <v>10009</v>
      </c>
      <c r="M582" s="276"/>
    </row>
    <row r="583" spans="1:13">
      <c r="A583" s="277">
        <f>VLOOKUP(B583, 'PubMed 10.7.21 Results'!B:B, 1, FALSE)</f>
        <v>27464582</v>
      </c>
      <c r="B583" s="277">
        <v>27464582</v>
      </c>
      <c r="C583" s="276" t="s">
        <v>11812</v>
      </c>
      <c r="D583" s="276" t="s">
        <v>11813</v>
      </c>
      <c r="E583" s="276" t="s">
        <v>11814</v>
      </c>
      <c r="F583" s="276" t="s">
        <v>6983</v>
      </c>
      <c r="G583" s="276" t="s">
        <v>9906</v>
      </c>
      <c r="H583" s="277">
        <v>2016</v>
      </c>
      <c r="I583" s="386">
        <v>42580</v>
      </c>
      <c r="J583" s="276" t="s">
        <v>6984</v>
      </c>
      <c r="K583" s="276"/>
      <c r="L583" s="385" t="s">
        <v>11815</v>
      </c>
      <c r="M583" s="276"/>
    </row>
    <row r="584" spans="1:13">
      <c r="A584" s="277">
        <f>VLOOKUP(B584, 'PubMed 10.7.21 Results'!B:B, 1, FALSE)</f>
        <v>18616780</v>
      </c>
      <c r="B584" s="277">
        <v>18616780</v>
      </c>
      <c r="C584" s="276" t="s">
        <v>9636</v>
      </c>
      <c r="D584" s="276" t="s">
        <v>9637</v>
      </c>
      <c r="E584" s="276" t="s">
        <v>9638</v>
      </c>
      <c r="F584" s="276" t="s">
        <v>6641</v>
      </c>
      <c r="G584" s="276" t="s">
        <v>8963</v>
      </c>
      <c r="H584" s="277">
        <v>2008</v>
      </c>
      <c r="I584" s="386">
        <v>39641</v>
      </c>
      <c r="J584" s="276"/>
      <c r="K584" s="276"/>
      <c r="L584" s="385" t="s">
        <v>9639</v>
      </c>
      <c r="M584" s="276"/>
    </row>
    <row r="585" spans="1:13">
      <c r="A585" s="277">
        <f>VLOOKUP(B585, 'PubMed 10.7.21 Results'!B:B, 1, FALSE)</f>
        <v>12132490</v>
      </c>
      <c r="B585" s="277">
        <v>12132490</v>
      </c>
      <c r="C585" s="276" t="s">
        <v>8907</v>
      </c>
      <c r="D585" s="276" t="s">
        <v>8908</v>
      </c>
      <c r="E585" s="276" t="s">
        <v>8909</v>
      </c>
      <c r="F585" s="276" t="s">
        <v>6591</v>
      </c>
      <c r="G585" s="276" t="s">
        <v>8910</v>
      </c>
      <c r="H585" s="277">
        <v>2002</v>
      </c>
      <c r="I585" s="386">
        <v>37460</v>
      </c>
      <c r="J585" s="276"/>
      <c r="K585" s="276"/>
      <c r="L585" s="385" t="s">
        <v>8911</v>
      </c>
      <c r="M585" s="276"/>
    </row>
    <row r="586" spans="1:13">
      <c r="A586" s="277">
        <f>VLOOKUP(B586, 'PubMed 10.7.21 Results'!B:B, 1, FALSE)</f>
        <v>7516250</v>
      </c>
      <c r="B586" s="277">
        <v>7516250</v>
      </c>
      <c r="C586" s="276" t="s">
        <v>8521</v>
      </c>
      <c r="D586" s="276" t="s">
        <v>8522</v>
      </c>
      <c r="E586" s="276" t="s">
        <v>8523</v>
      </c>
      <c r="F586" s="276" t="s">
        <v>6486</v>
      </c>
      <c r="G586" s="276" t="s">
        <v>8524</v>
      </c>
      <c r="H586" s="277">
        <v>1994</v>
      </c>
      <c r="I586" s="386">
        <v>34486</v>
      </c>
      <c r="J586" s="276"/>
      <c r="K586" s="276"/>
      <c r="L586" s="385" t="s">
        <v>8525</v>
      </c>
      <c r="M586" s="276"/>
    </row>
    <row r="587" spans="1:13">
      <c r="A587" s="277">
        <f>VLOOKUP(B587, 'PubMed 10.7.21 Results'!B:B, 1, FALSE)</f>
        <v>32916565</v>
      </c>
      <c r="B587" s="277">
        <v>32916565</v>
      </c>
      <c r="C587" s="276" t="s">
        <v>13893</v>
      </c>
      <c r="D587" s="276" t="s">
        <v>13894</v>
      </c>
      <c r="E587" s="276" t="s">
        <v>13895</v>
      </c>
      <c r="F587" s="276" t="s">
        <v>7481</v>
      </c>
      <c r="G587" s="276" t="s">
        <v>8777</v>
      </c>
      <c r="H587" s="277">
        <v>2020</v>
      </c>
      <c r="I587" s="386">
        <v>44085</v>
      </c>
      <c r="J587" s="276" t="s">
        <v>7482</v>
      </c>
      <c r="K587" s="276"/>
      <c r="L587" s="385" t="s">
        <v>13896</v>
      </c>
      <c r="M587" s="276"/>
    </row>
    <row r="588" spans="1:13">
      <c r="A588" s="277">
        <f>VLOOKUP(B588, 'PubMed 10.7.21 Results'!B:B, 1, FALSE)</f>
        <v>30055608</v>
      </c>
      <c r="B588" s="277">
        <v>30055608</v>
      </c>
      <c r="C588" s="276" t="s">
        <v>12631</v>
      </c>
      <c r="D588" s="276" t="s">
        <v>12632</v>
      </c>
      <c r="E588" s="276" t="s">
        <v>12633</v>
      </c>
      <c r="F588" s="276" t="s">
        <v>8068</v>
      </c>
      <c r="G588" s="276" t="s">
        <v>9437</v>
      </c>
      <c r="H588" s="277">
        <v>2018</v>
      </c>
      <c r="I588" s="386">
        <v>43311</v>
      </c>
      <c r="J588" s="276" t="s">
        <v>8069</v>
      </c>
      <c r="K588" s="276"/>
      <c r="L588" s="385" t="s">
        <v>12634</v>
      </c>
      <c r="M588" s="276"/>
    </row>
    <row r="589" spans="1:13">
      <c r="A589" s="277">
        <f>VLOOKUP(B589, 'PubMed 10.7.21 Results'!B:B, 1, FALSE)</f>
        <v>29046448</v>
      </c>
      <c r="B589" s="277">
        <v>29046448</v>
      </c>
      <c r="C589" s="276" t="s">
        <v>12367</v>
      </c>
      <c r="D589" s="276" t="s">
        <v>12368</v>
      </c>
      <c r="E589" s="276" t="s">
        <v>12369</v>
      </c>
      <c r="F589" s="276" t="s">
        <v>7882</v>
      </c>
      <c r="G589" s="276" t="s">
        <v>9821</v>
      </c>
      <c r="H589" s="277">
        <v>2017</v>
      </c>
      <c r="I589" s="386">
        <v>43028</v>
      </c>
      <c r="J589" s="276" t="s">
        <v>7883</v>
      </c>
      <c r="K589" s="276"/>
      <c r="L589" s="385" t="s">
        <v>12370</v>
      </c>
      <c r="M589" s="276"/>
    </row>
    <row r="590" spans="1:13">
      <c r="A590" s="277">
        <f>VLOOKUP(B590, 'PubMed 10.7.21 Results'!B:B, 1, FALSE)</f>
        <v>8482086</v>
      </c>
      <c r="B590" s="277">
        <v>8482086</v>
      </c>
      <c r="C590" s="276" t="s">
        <v>8501</v>
      </c>
      <c r="D590" s="276" t="s">
        <v>8502</v>
      </c>
      <c r="E590" s="276" t="s">
        <v>8503</v>
      </c>
      <c r="F590" s="276" t="s">
        <v>6561</v>
      </c>
      <c r="G590" s="276" t="s">
        <v>8504</v>
      </c>
      <c r="H590" s="277">
        <v>1993</v>
      </c>
      <c r="I590" s="386">
        <v>34090</v>
      </c>
      <c r="J590" s="276"/>
      <c r="K590" s="276"/>
      <c r="L590" s="385" t="s">
        <v>8505</v>
      </c>
      <c r="M590" s="276"/>
    </row>
    <row r="591" spans="1:13">
      <c r="A591" s="277">
        <f>VLOOKUP(B591, 'PubMed 10.7.21 Results'!B:B, 1, FALSE)</f>
        <v>25749502</v>
      </c>
      <c r="B591" s="277">
        <v>25749502</v>
      </c>
      <c r="C591" s="276" t="s">
        <v>11393</v>
      </c>
      <c r="D591" s="276" t="s">
        <v>11394</v>
      </c>
      <c r="E591" s="276" t="s">
        <v>11395</v>
      </c>
      <c r="F591" s="276" t="s">
        <v>7167</v>
      </c>
      <c r="G591" s="276" t="s">
        <v>9860</v>
      </c>
      <c r="H591" s="277">
        <v>2015</v>
      </c>
      <c r="I591" s="386">
        <v>42073</v>
      </c>
      <c r="J591" s="276"/>
      <c r="K591" s="276"/>
      <c r="L591" s="385" t="s">
        <v>11396</v>
      </c>
      <c r="M591" s="276"/>
    </row>
    <row r="592" spans="1:13">
      <c r="A592" s="277">
        <f>VLOOKUP(B592, 'PubMed 10.7.21 Results'!B:B, 1, FALSE)</f>
        <v>30449234</v>
      </c>
      <c r="B592" s="277">
        <v>30449234</v>
      </c>
      <c r="C592" s="276" t="s">
        <v>12792</v>
      </c>
      <c r="D592" s="276" t="s">
        <v>12793</v>
      </c>
      <c r="E592" s="276" t="s">
        <v>12794</v>
      </c>
      <c r="F592" s="276" t="s">
        <v>7576</v>
      </c>
      <c r="G592" s="276" t="s">
        <v>8514</v>
      </c>
      <c r="H592" s="277">
        <v>2018</v>
      </c>
      <c r="I592" s="386">
        <v>43424</v>
      </c>
      <c r="J592" s="276"/>
      <c r="K592" s="276"/>
      <c r="L592" s="385" t="s">
        <v>12795</v>
      </c>
      <c r="M592" s="276"/>
    </row>
    <row r="593" spans="1:13">
      <c r="A593" s="277">
        <f>VLOOKUP(B593, 'PubMed 10.7.21 Results'!B:B, 1, FALSE)</f>
        <v>18073386</v>
      </c>
      <c r="B593" s="277">
        <v>18073386</v>
      </c>
      <c r="C593" s="276" t="s">
        <v>9503</v>
      </c>
      <c r="D593" s="276" t="s">
        <v>9504</v>
      </c>
      <c r="E593" s="276" t="s">
        <v>9505</v>
      </c>
      <c r="F593" s="276" t="s">
        <v>7671</v>
      </c>
      <c r="G593" s="276" t="s">
        <v>9506</v>
      </c>
      <c r="H593" s="277">
        <v>2007</v>
      </c>
      <c r="I593" s="386">
        <v>39429</v>
      </c>
      <c r="J593" s="276"/>
      <c r="K593" s="276"/>
      <c r="L593" s="385" t="s">
        <v>9507</v>
      </c>
      <c r="M593" s="276"/>
    </row>
    <row r="594" spans="1:13">
      <c r="A594" s="277">
        <f>VLOOKUP(B594, 'PubMed 10.7.21 Results'!B:B, 1, FALSE)</f>
        <v>25151286</v>
      </c>
      <c r="B594" s="277">
        <v>25151286</v>
      </c>
      <c r="C594" s="276" t="s">
        <v>11124</v>
      </c>
      <c r="D594" s="276" t="s">
        <v>11125</v>
      </c>
      <c r="E594" s="276" t="s">
        <v>11126</v>
      </c>
      <c r="F594" s="276" t="s">
        <v>6941</v>
      </c>
      <c r="G594" s="276" t="s">
        <v>11127</v>
      </c>
      <c r="H594" s="277">
        <v>2014</v>
      </c>
      <c r="I594" s="386">
        <v>41876</v>
      </c>
      <c r="J594" s="276"/>
      <c r="K594" s="276"/>
      <c r="L594" s="385" t="s">
        <v>11128</v>
      </c>
      <c r="M594" s="276"/>
    </row>
    <row r="595" spans="1:13">
      <c r="A595" s="277">
        <f>VLOOKUP(B595, 'PubMed 10.7.21 Results'!B:B, 1, FALSE)</f>
        <v>33403727</v>
      </c>
      <c r="B595" s="277">
        <v>33403727</v>
      </c>
      <c r="C595" s="276" t="s">
        <v>14422</v>
      </c>
      <c r="D595" s="276" t="s">
        <v>14423</v>
      </c>
      <c r="E595" s="276" t="s">
        <v>18887</v>
      </c>
      <c r="F595" s="276" t="s">
        <v>7619</v>
      </c>
      <c r="G595" s="276" t="s">
        <v>14425</v>
      </c>
      <c r="H595" s="277">
        <v>2021</v>
      </c>
      <c r="I595" s="386">
        <v>44202</v>
      </c>
      <c r="J595" s="276"/>
      <c r="K595" s="276"/>
      <c r="L595" s="385" t="s">
        <v>14426</v>
      </c>
      <c r="M595" s="276"/>
    </row>
    <row r="596" spans="1:13">
      <c r="A596" s="277">
        <f>VLOOKUP(B596, 'PubMed 10.7.21 Results'!B:B, 1, FALSE)</f>
        <v>29284183</v>
      </c>
      <c r="B596" s="277">
        <v>29284183</v>
      </c>
      <c r="C596" s="276" t="s">
        <v>12474</v>
      </c>
      <c r="D596" s="276" t="s">
        <v>12475</v>
      </c>
      <c r="E596" s="276" t="s">
        <v>12476</v>
      </c>
      <c r="F596" s="276" t="s">
        <v>7666</v>
      </c>
      <c r="G596" s="276" t="s">
        <v>10263</v>
      </c>
      <c r="H596" s="277">
        <v>2018</v>
      </c>
      <c r="I596" s="386">
        <v>43098</v>
      </c>
      <c r="J596" s="276"/>
      <c r="K596" s="276"/>
      <c r="L596" s="385" t="s">
        <v>12477</v>
      </c>
      <c r="M596" s="276"/>
    </row>
    <row r="597" spans="1:13">
      <c r="A597" s="277">
        <f>VLOOKUP(B597, 'PubMed 10.7.21 Results'!B:B, 1, FALSE)</f>
        <v>27252452</v>
      </c>
      <c r="B597" s="277">
        <v>27252452</v>
      </c>
      <c r="C597" s="276" t="s">
        <v>11821</v>
      </c>
      <c r="D597" s="276" t="s">
        <v>11822</v>
      </c>
      <c r="E597" s="276" t="s">
        <v>11823</v>
      </c>
      <c r="F597" s="276" t="s">
        <v>6857</v>
      </c>
      <c r="G597" s="276" t="s">
        <v>9935</v>
      </c>
      <c r="H597" s="277">
        <v>2016</v>
      </c>
      <c r="I597" s="386">
        <v>42524</v>
      </c>
      <c r="J597" s="276"/>
      <c r="K597" s="276"/>
      <c r="L597" s="385" t="s">
        <v>11824</v>
      </c>
      <c r="M597" s="276"/>
    </row>
    <row r="598" spans="1:13">
      <c r="A598" s="277">
        <f>VLOOKUP(B598, 'PubMed 10.7.21 Results'!B:B, 1, FALSE)</f>
        <v>23884503</v>
      </c>
      <c r="B598" s="277">
        <v>23884503</v>
      </c>
      <c r="C598" s="276" t="s">
        <v>10778</v>
      </c>
      <c r="D598" s="276" t="s">
        <v>10779</v>
      </c>
      <c r="E598" s="276" t="s">
        <v>10780</v>
      </c>
      <c r="F598" s="276" t="s">
        <v>7012</v>
      </c>
      <c r="G598" s="276" t="s">
        <v>9604</v>
      </c>
      <c r="H598" s="277">
        <v>2013</v>
      </c>
      <c r="I598" s="386">
        <v>41481</v>
      </c>
      <c r="J598" s="276"/>
      <c r="K598" s="276"/>
      <c r="L598" s="276"/>
      <c r="M598" s="276"/>
    </row>
    <row r="599" spans="1:13">
      <c r="A599" s="277">
        <f>VLOOKUP(B599, 'PubMed 10.7.21 Results'!B:B, 1, FALSE)</f>
        <v>28586918</v>
      </c>
      <c r="B599" s="277">
        <v>28586918</v>
      </c>
      <c r="C599" s="276" t="s">
        <v>12207</v>
      </c>
      <c r="D599" s="276" t="s">
        <v>12208</v>
      </c>
      <c r="E599" s="276" t="s">
        <v>12209</v>
      </c>
      <c r="F599" s="276" t="s">
        <v>6434</v>
      </c>
      <c r="G599" s="276" t="s">
        <v>12210</v>
      </c>
      <c r="H599" s="277">
        <v>2017</v>
      </c>
      <c r="I599" s="386">
        <v>42893</v>
      </c>
      <c r="J599" s="276" t="s">
        <v>6435</v>
      </c>
      <c r="K599" s="276"/>
      <c r="L599" s="385" t="s">
        <v>12211</v>
      </c>
      <c r="M599" s="276"/>
    </row>
    <row r="600" spans="1:13">
      <c r="A600" s="277">
        <f>VLOOKUP(B600, 'PubMed 10.7.21 Results'!B:B, 1, FALSE)</f>
        <v>28007576</v>
      </c>
      <c r="B600" s="277">
        <v>28007576</v>
      </c>
      <c r="C600" s="276" t="s">
        <v>18888</v>
      </c>
      <c r="D600" s="276" t="s">
        <v>12053</v>
      </c>
      <c r="E600" s="276" t="s">
        <v>12054</v>
      </c>
      <c r="F600" s="276" t="s">
        <v>5098</v>
      </c>
      <c r="G600" s="276" t="s">
        <v>9860</v>
      </c>
      <c r="H600" s="277">
        <v>2017</v>
      </c>
      <c r="I600" s="386">
        <v>42728</v>
      </c>
      <c r="J600" s="276"/>
      <c r="K600" s="276"/>
      <c r="L600" s="385" t="s">
        <v>12055</v>
      </c>
      <c r="M600" s="276"/>
    </row>
    <row r="601" spans="1:13">
      <c r="A601" s="277">
        <f>VLOOKUP(B601, 'PubMed 10.7.21 Results'!B:B, 1, FALSE)</f>
        <v>19711034</v>
      </c>
      <c r="B601" s="277">
        <v>19711034</v>
      </c>
      <c r="C601" s="276" t="s">
        <v>9828</v>
      </c>
      <c r="D601" s="276" t="s">
        <v>9829</v>
      </c>
      <c r="E601" s="276" t="s">
        <v>9830</v>
      </c>
      <c r="F601" s="276" t="s">
        <v>6515</v>
      </c>
      <c r="G601" s="276" t="s">
        <v>9831</v>
      </c>
      <c r="H601" s="277">
        <v>2009</v>
      </c>
      <c r="I601" s="386">
        <v>40053</v>
      </c>
      <c r="J601" s="276"/>
      <c r="K601" s="276"/>
      <c r="L601" s="385" t="s">
        <v>9832</v>
      </c>
      <c r="M601" s="276"/>
    </row>
    <row r="602" spans="1:13">
      <c r="A602" s="277">
        <f>VLOOKUP(B602, 'PubMed 10.7.21 Results'!B:B, 1, FALSE)</f>
        <v>33676886</v>
      </c>
      <c r="B602" s="277">
        <v>33676886</v>
      </c>
      <c r="C602" s="276" t="s">
        <v>18889</v>
      </c>
      <c r="D602" s="276" t="s">
        <v>18890</v>
      </c>
      <c r="E602" s="276" t="s">
        <v>18891</v>
      </c>
      <c r="F602" s="276" t="s">
        <v>7957</v>
      </c>
      <c r="G602" s="276" t="s">
        <v>8665</v>
      </c>
      <c r="H602" s="277">
        <v>2021</v>
      </c>
      <c r="I602" s="386">
        <v>44262</v>
      </c>
      <c r="J602" s="276"/>
      <c r="K602" s="276"/>
      <c r="L602" s="385" t="s">
        <v>14278</v>
      </c>
      <c r="M602" s="276"/>
    </row>
    <row r="603" spans="1:13">
      <c r="A603" s="277">
        <f>VLOOKUP(B603, 'PubMed 10.7.21 Results'!B:B, 1, FALSE)</f>
        <v>24240985</v>
      </c>
      <c r="B603" s="277">
        <v>24240985</v>
      </c>
      <c r="C603" s="276" t="s">
        <v>10924</v>
      </c>
      <c r="D603" s="276" t="s">
        <v>10925</v>
      </c>
      <c r="E603" s="276" t="s">
        <v>10926</v>
      </c>
      <c r="F603" s="276" t="s">
        <v>6609</v>
      </c>
      <c r="G603" s="276" t="s">
        <v>10927</v>
      </c>
      <c r="H603" s="277">
        <v>2014</v>
      </c>
      <c r="I603" s="386">
        <v>41597</v>
      </c>
      <c r="J603" s="276"/>
      <c r="K603" s="276"/>
      <c r="L603" s="385" t="s">
        <v>10928</v>
      </c>
      <c r="M603" s="276"/>
    </row>
    <row r="604" spans="1:13">
      <c r="A604" s="277">
        <f>VLOOKUP(B604, 'PubMed 10.7.21 Results'!B:B, 1, FALSE)</f>
        <v>25982651</v>
      </c>
      <c r="B604" s="277">
        <v>25982651</v>
      </c>
      <c r="C604" s="276" t="s">
        <v>11380</v>
      </c>
      <c r="D604" s="276" t="s">
        <v>11381</v>
      </c>
      <c r="E604" s="276" t="s">
        <v>11382</v>
      </c>
      <c r="F604" s="276" t="s">
        <v>7327</v>
      </c>
      <c r="G604" s="276" t="s">
        <v>11383</v>
      </c>
      <c r="H604" s="277">
        <v>2015</v>
      </c>
      <c r="I604" s="386">
        <v>42143</v>
      </c>
      <c r="J604" s="276"/>
      <c r="K604" s="276"/>
      <c r="L604" s="385" t="s">
        <v>11384</v>
      </c>
      <c r="M604" s="276"/>
    </row>
    <row r="605" spans="1:13">
      <c r="A605" s="277">
        <f>VLOOKUP(B605, 'PubMed 10.7.21 Results'!B:B, 1, FALSE)</f>
        <v>19722725</v>
      </c>
      <c r="B605" s="277">
        <v>19722725</v>
      </c>
      <c r="C605" s="276" t="s">
        <v>9678</v>
      </c>
      <c r="D605" s="276" t="s">
        <v>9679</v>
      </c>
      <c r="E605" s="276" t="s">
        <v>9680</v>
      </c>
      <c r="F605" s="276" t="s">
        <v>6938</v>
      </c>
      <c r="G605" s="276" t="s">
        <v>9681</v>
      </c>
      <c r="H605" s="277">
        <v>2009</v>
      </c>
      <c r="I605" s="386">
        <v>40059</v>
      </c>
      <c r="J605" s="276"/>
      <c r="K605" s="276"/>
      <c r="L605" s="385" t="s">
        <v>9682</v>
      </c>
      <c r="M605" s="276"/>
    </row>
    <row r="606" spans="1:13">
      <c r="A606" s="277">
        <f>VLOOKUP(B606, 'PubMed 10.7.21 Results'!B:B, 1, FALSE)</f>
        <v>10411849</v>
      </c>
      <c r="B606" s="277">
        <v>10411849</v>
      </c>
      <c r="C606" s="276" t="s">
        <v>8705</v>
      </c>
      <c r="D606" s="276" t="s">
        <v>8706</v>
      </c>
      <c r="E606" s="276" t="s">
        <v>8707</v>
      </c>
      <c r="F606" s="276" t="s">
        <v>6396</v>
      </c>
      <c r="G606" s="276" t="s">
        <v>8519</v>
      </c>
      <c r="H606" s="277">
        <v>1999</v>
      </c>
      <c r="I606" s="386">
        <v>36362</v>
      </c>
      <c r="J606" s="276"/>
      <c r="K606" s="276"/>
      <c r="L606" s="385" t="s">
        <v>8708</v>
      </c>
      <c r="M606" s="276"/>
    </row>
    <row r="607" spans="1:13">
      <c r="A607" s="277">
        <f>VLOOKUP(B607, 'PubMed 10.7.21 Results'!B:B, 1, FALSE)</f>
        <v>29242014</v>
      </c>
      <c r="B607" s="277">
        <v>29242014</v>
      </c>
      <c r="C607" s="276" t="s">
        <v>12408</v>
      </c>
      <c r="D607" s="276" t="s">
        <v>12409</v>
      </c>
      <c r="E607" s="276" t="s">
        <v>12410</v>
      </c>
      <c r="F607" s="276" t="s">
        <v>6432</v>
      </c>
      <c r="G607" s="276" t="s">
        <v>12411</v>
      </c>
      <c r="H607" s="277">
        <v>2018</v>
      </c>
      <c r="I607" s="386">
        <v>43085</v>
      </c>
      <c r="J607" s="276" t="s">
        <v>6433</v>
      </c>
      <c r="K607" s="276" t="s">
        <v>12412</v>
      </c>
      <c r="L607" s="385" t="s">
        <v>12413</v>
      </c>
      <c r="M607" s="276"/>
    </row>
    <row r="608" spans="1:13">
      <c r="A608" s="277">
        <f>VLOOKUP(B608, 'PubMed 10.7.21 Results'!B:B, 1, FALSE)</f>
        <v>19114670</v>
      </c>
      <c r="B608" s="277">
        <v>19114670</v>
      </c>
      <c r="C608" s="276" t="s">
        <v>9703</v>
      </c>
      <c r="D608" s="276" t="s">
        <v>9704</v>
      </c>
      <c r="E608" s="276" t="s">
        <v>9705</v>
      </c>
      <c r="F608" s="276" t="s">
        <v>7073</v>
      </c>
      <c r="G608" s="276" t="s">
        <v>9706</v>
      </c>
      <c r="H608" s="277">
        <v>2009</v>
      </c>
      <c r="I608" s="386">
        <v>39813</v>
      </c>
      <c r="J608" s="276"/>
      <c r="K608" s="276"/>
      <c r="L608" s="385" t="s">
        <v>9707</v>
      </c>
      <c r="M608" s="276"/>
    </row>
    <row r="609" spans="1:13">
      <c r="A609" s="277">
        <f>VLOOKUP(B609, 'PubMed 10.7.21 Results'!B:B, 1, FALSE)</f>
        <v>14641355</v>
      </c>
      <c r="B609" s="277">
        <v>14641355</v>
      </c>
      <c r="C609" s="276" t="s">
        <v>8996</v>
      </c>
      <c r="D609" s="276" t="s">
        <v>8997</v>
      </c>
      <c r="E609" s="276" t="s">
        <v>8998</v>
      </c>
      <c r="F609" s="276" t="s">
        <v>6537</v>
      </c>
      <c r="G609" s="276" t="s">
        <v>8999</v>
      </c>
      <c r="H609" s="277">
        <v>2003</v>
      </c>
      <c r="I609" s="386">
        <v>37959</v>
      </c>
      <c r="J609" s="276"/>
      <c r="K609" s="276"/>
      <c r="L609" s="385" t="s">
        <v>9000</v>
      </c>
      <c r="M609" s="276"/>
    </row>
    <row r="610" spans="1:13">
      <c r="A610" s="277">
        <f>VLOOKUP(B610, 'PubMed 10.7.21 Results'!B:B, 1, FALSE)</f>
        <v>22311561</v>
      </c>
      <c r="B610" s="277">
        <v>22311561</v>
      </c>
      <c r="C610" s="276" t="s">
        <v>10367</v>
      </c>
      <c r="D610" s="276" t="s">
        <v>10368</v>
      </c>
      <c r="E610" s="276" t="s">
        <v>10369</v>
      </c>
      <c r="F610" s="276" t="s">
        <v>7256</v>
      </c>
      <c r="G610" s="276" t="s">
        <v>9533</v>
      </c>
      <c r="H610" s="277">
        <v>2012</v>
      </c>
      <c r="I610" s="386">
        <v>40947</v>
      </c>
      <c r="J610" s="276"/>
      <c r="K610" s="276"/>
      <c r="L610" s="385" t="s">
        <v>10370</v>
      </c>
      <c r="M610" s="276"/>
    </row>
    <row r="611" spans="1:13">
      <c r="A611" s="277">
        <f>VLOOKUP(B611, 'PubMed 10.7.21 Results'!B:B, 1, FALSE)</f>
        <v>25359150</v>
      </c>
      <c r="B611" s="277">
        <v>25359150</v>
      </c>
      <c r="C611" s="276" t="s">
        <v>11168</v>
      </c>
      <c r="D611" s="276" t="s">
        <v>11169</v>
      </c>
      <c r="E611" s="276" t="s">
        <v>11170</v>
      </c>
      <c r="F611" s="276" t="s">
        <v>7172</v>
      </c>
      <c r="G611" s="276" t="s">
        <v>11171</v>
      </c>
      <c r="H611" s="277">
        <v>2014</v>
      </c>
      <c r="I611" s="386">
        <v>41944</v>
      </c>
      <c r="J611" s="276" t="s">
        <v>7173</v>
      </c>
      <c r="K611" s="276"/>
      <c r="L611" s="385" t="s">
        <v>11172</v>
      </c>
      <c r="M611" s="276"/>
    </row>
    <row r="612" spans="1:13">
      <c r="A612" s="277">
        <f>VLOOKUP(B612, 'PubMed 10.7.21 Results'!B:B, 1, FALSE)</f>
        <v>12000479</v>
      </c>
      <c r="B612" s="277">
        <v>12000479</v>
      </c>
      <c r="C612" s="276" t="s">
        <v>8892</v>
      </c>
      <c r="D612" s="276" t="s">
        <v>8893</v>
      </c>
      <c r="E612" s="276" t="s">
        <v>8894</v>
      </c>
      <c r="F612" s="276" t="s">
        <v>7855</v>
      </c>
      <c r="G612" s="276" t="s">
        <v>8895</v>
      </c>
      <c r="H612" s="277">
        <v>2002</v>
      </c>
      <c r="I612" s="386">
        <v>37386</v>
      </c>
      <c r="J612" s="276"/>
      <c r="K612" s="276"/>
      <c r="L612" s="385" t="s">
        <v>8896</v>
      </c>
      <c r="M612" s="276"/>
    </row>
    <row r="613" spans="1:13">
      <c r="A613" s="277">
        <f>VLOOKUP(B613, 'PubMed 10.7.21 Results'!B:B, 1, FALSE)</f>
        <v>31194252</v>
      </c>
      <c r="B613" s="277">
        <v>31194252</v>
      </c>
      <c r="C613" s="276" t="s">
        <v>13222</v>
      </c>
      <c r="D613" s="276" t="s">
        <v>13223</v>
      </c>
      <c r="E613" s="276" t="s">
        <v>13224</v>
      </c>
      <c r="F613" s="276" t="s">
        <v>6669</v>
      </c>
      <c r="G613" s="276" t="s">
        <v>13225</v>
      </c>
      <c r="H613" s="277">
        <v>2019</v>
      </c>
      <c r="I613" s="386">
        <v>43630</v>
      </c>
      <c r="J613" s="276" t="s">
        <v>6670</v>
      </c>
      <c r="K613" s="276"/>
      <c r="L613" s="385" t="s">
        <v>13226</v>
      </c>
      <c r="M613" s="276"/>
    </row>
    <row r="614" spans="1:13">
      <c r="A614" s="277">
        <f>VLOOKUP(B614, 'PubMed 10.7.21 Results'!B:B, 1, FALSE)</f>
        <v>19951553</v>
      </c>
      <c r="B614" s="277">
        <v>19951553</v>
      </c>
      <c r="C614" s="276" t="s">
        <v>9875</v>
      </c>
      <c r="D614" s="276" t="s">
        <v>9876</v>
      </c>
      <c r="E614" s="276" t="s">
        <v>9877</v>
      </c>
      <c r="F614" s="276" t="s">
        <v>5358</v>
      </c>
      <c r="G614" s="276" t="s">
        <v>9878</v>
      </c>
      <c r="H614" s="277">
        <v>2009</v>
      </c>
      <c r="I614" s="386">
        <v>40150</v>
      </c>
      <c r="J614" s="276"/>
      <c r="K614" s="276"/>
      <c r="L614" s="276"/>
      <c r="M614" s="276"/>
    </row>
    <row r="615" spans="1:13">
      <c r="A615" s="277">
        <f>VLOOKUP(B615, 'PubMed 10.7.21 Results'!B:B, 1, FALSE)</f>
        <v>12889718</v>
      </c>
      <c r="B615" s="277">
        <v>12889718</v>
      </c>
      <c r="C615" s="276" t="s">
        <v>8992</v>
      </c>
      <c r="D615" s="276" t="s">
        <v>8993</v>
      </c>
      <c r="E615" s="276" t="s">
        <v>8994</v>
      </c>
      <c r="F615" s="276" t="s">
        <v>7916</v>
      </c>
      <c r="G615" s="276" t="s">
        <v>8995</v>
      </c>
      <c r="H615" s="277">
        <v>2003</v>
      </c>
      <c r="I615" s="386">
        <v>37835</v>
      </c>
      <c r="J615" s="276"/>
      <c r="K615" s="276"/>
      <c r="L615" s="276"/>
      <c r="M615" s="276"/>
    </row>
    <row r="616" spans="1:13">
      <c r="A616" s="277">
        <f>VLOOKUP(B616, 'PubMed 10.7.21 Results'!B:B, 1, FALSE)</f>
        <v>12730439</v>
      </c>
      <c r="B616" s="277">
        <v>12730439</v>
      </c>
      <c r="C616" s="276" t="s">
        <v>8965</v>
      </c>
      <c r="D616" s="276" t="s">
        <v>8966</v>
      </c>
      <c r="E616" s="276" t="s">
        <v>8967</v>
      </c>
      <c r="F616" s="276" t="s">
        <v>6834</v>
      </c>
      <c r="G616" s="276" t="s">
        <v>8968</v>
      </c>
      <c r="H616" s="277">
        <v>2003</v>
      </c>
      <c r="I616" s="386">
        <v>37747</v>
      </c>
      <c r="J616" s="276"/>
      <c r="K616" s="276"/>
      <c r="L616" s="385" t="s">
        <v>8969</v>
      </c>
      <c r="M616" s="276"/>
    </row>
    <row r="617" spans="1:13">
      <c r="A617" s="277">
        <f>VLOOKUP(B617, 'PubMed 10.7.21 Results'!B:B, 1, FALSE)</f>
        <v>21414048</v>
      </c>
      <c r="B617" s="277">
        <v>21414048</v>
      </c>
      <c r="C617" s="276" t="s">
        <v>10260</v>
      </c>
      <c r="D617" s="276" t="s">
        <v>10261</v>
      </c>
      <c r="E617" s="276" t="s">
        <v>10262</v>
      </c>
      <c r="F617" s="276" t="s">
        <v>6428</v>
      </c>
      <c r="G617" s="276" t="s">
        <v>10263</v>
      </c>
      <c r="H617" s="277">
        <v>2011</v>
      </c>
      <c r="I617" s="386">
        <v>40621</v>
      </c>
      <c r="J617" s="276"/>
      <c r="K617" s="276"/>
      <c r="L617" s="385" t="s">
        <v>10264</v>
      </c>
      <c r="M617" s="276"/>
    </row>
    <row r="618" spans="1:13">
      <c r="A618" s="277">
        <f>VLOOKUP(B618, 'PubMed 10.7.21 Results'!B:B, 1, FALSE)</f>
        <v>11534883</v>
      </c>
      <c r="B618" s="277">
        <v>11534883</v>
      </c>
      <c r="C618" s="276" t="s">
        <v>8798</v>
      </c>
      <c r="D618" s="276" t="s">
        <v>8799</v>
      </c>
      <c r="E618" s="276" t="s">
        <v>8800</v>
      </c>
      <c r="F618" s="276" t="s">
        <v>6748</v>
      </c>
      <c r="G618" s="276" t="s">
        <v>8801</v>
      </c>
      <c r="H618" s="277">
        <v>2001</v>
      </c>
      <c r="I618" s="386">
        <v>37140</v>
      </c>
      <c r="J618" s="276"/>
      <c r="K618" s="276"/>
      <c r="L618" s="385" t="s">
        <v>8802</v>
      </c>
      <c r="M618" s="276"/>
    </row>
    <row r="619" spans="1:13">
      <c r="A619" s="277">
        <f>VLOOKUP(B619, 'PubMed 10.7.21 Results'!B:B, 1, FALSE)</f>
        <v>21044300</v>
      </c>
      <c r="B619" s="277">
        <v>21044300</v>
      </c>
      <c r="C619" s="276" t="s">
        <v>10079</v>
      </c>
      <c r="D619" s="276" t="s">
        <v>10080</v>
      </c>
      <c r="E619" s="276" t="s">
        <v>10081</v>
      </c>
      <c r="F619" s="276" t="s">
        <v>7245</v>
      </c>
      <c r="G619" s="276" t="s">
        <v>9595</v>
      </c>
      <c r="H619" s="277">
        <v>2010</v>
      </c>
      <c r="I619" s="386">
        <v>40486</v>
      </c>
      <c r="J619" s="276" t="s">
        <v>7246</v>
      </c>
      <c r="K619" s="276"/>
      <c r="L619" s="385" t="s">
        <v>10082</v>
      </c>
      <c r="M619" s="276"/>
    </row>
    <row r="620" spans="1:13">
      <c r="A620" s="277">
        <f>VLOOKUP(B620, 'PubMed 10.7.21 Results'!B:B, 1, FALSE)</f>
        <v>32570237</v>
      </c>
      <c r="B620" s="277">
        <v>32570237</v>
      </c>
      <c r="C620" s="276" t="s">
        <v>13361</v>
      </c>
      <c r="D620" s="276" t="s">
        <v>13362</v>
      </c>
      <c r="E620" s="276" t="s">
        <v>13363</v>
      </c>
      <c r="F620" s="276" t="s">
        <v>7891</v>
      </c>
      <c r="G620" s="276" t="s">
        <v>8490</v>
      </c>
      <c r="H620" s="277">
        <v>2020</v>
      </c>
      <c r="I620" s="386">
        <v>44005</v>
      </c>
      <c r="J620" s="276"/>
      <c r="K620" s="276"/>
      <c r="L620" s="385" t="s">
        <v>13364</v>
      </c>
      <c r="M620" s="276"/>
    </row>
    <row r="621" spans="1:13">
      <c r="A621" s="277">
        <f>VLOOKUP(B621, 'PubMed 10.7.21 Results'!B:B, 1, FALSE)</f>
        <v>22825365</v>
      </c>
      <c r="B621" s="277">
        <v>22825365</v>
      </c>
      <c r="C621" s="276" t="s">
        <v>10550</v>
      </c>
      <c r="D621" s="276" t="s">
        <v>10551</v>
      </c>
      <c r="E621" s="276" t="s">
        <v>10552</v>
      </c>
      <c r="F621" s="276" t="s">
        <v>7257</v>
      </c>
      <c r="G621" s="276" t="s">
        <v>9292</v>
      </c>
      <c r="H621" s="277">
        <v>2012</v>
      </c>
      <c r="I621" s="386">
        <v>41115</v>
      </c>
      <c r="J621" s="276" t="s">
        <v>7258</v>
      </c>
      <c r="K621" s="276"/>
      <c r="L621" s="385" t="s">
        <v>10553</v>
      </c>
      <c r="M621" s="276"/>
    </row>
    <row r="622" spans="1:13">
      <c r="A622" s="277">
        <f>VLOOKUP(B622, 'PubMed 10.7.21 Results'!B:B, 1, FALSE)</f>
        <v>25645443</v>
      </c>
      <c r="B622" s="277">
        <v>25645443</v>
      </c>
      <c r="C622" s="276" t="s">
        <v>11280</v>
      </c>
      <c r="D622" s="276" t="s">
        <v>11281</v>
      </c>
      <c r="E622" s="276" t="s">
        <v>11282</v>
      </c>
      <c r="F622" s="276" t="s">
        <v>7845</v>
      </c>
      <c r="G622" s="276" t="s">
        <v>11283</v>
      </c>
      <c r="H622" s="277">
        <v>2015</v>
      </c>
      <c r="I622" s="386">
        <v>42039</v>
      </c>
      <c r="J622" s="276" t="s">
        <v>7846</v>
      </c>
      <c r="K622" s="276"/>
      <c r="L622" s="385" t="s">
        <v>11284</v>
      </c>
      <c r="M622" s="276"/>
    </row>
    <row r="623" spans="1:13">
      <c r="A623" s="277">
        <f>VLOOKUP(B623, 'PubMed 10.7.21 Results'!B:B, 1, FALSE)</f>
        <v>25583294</v>
      </c>
      <c r="B623" s="277">
        <v>25583294</v>
      </c>
      <c r="C623" s="276" t="s">
        <v>11344</v>
      </c>
      <c r="D623" s="276" t="s">
        <v>11345</v>
      </c>
      <c r="E623" s="276" t="s">
        <v>11346</v>
      </c>
      <c r="F623" s="276" t="s">
        <v>8081</v>
      </c>
      <c r="G623" s="276" t="s">
        <v>8607</v>
      </c>
      <c r="H623" s="277">
        <v>2015</v>
      </c>
      <c r="I623" s="386">
        <v>42018</v>
      </c>
      <c r="J623" s="276"/>
      <c r="K623" s="276"/>
      <c r="L623" s="385" t="s">
        <v>11347</v>
      </c>
      <c r="M623" s="276"/>
    </row>
    <row r="624" spans="1:13">
      <c r="A624" s="277">
        <f>VLOOKUP(B624, 'PubMed 10.7.21 Results'!B:B, 1, FALSE)</f>
        <v>23562185</v>
      </c>
      <c r="B624" s="277">
        <v>23562185</v>
      </c>
      <c r="C624" s="276" t="s">
        <v>10768</v>
      </c>
      <c r="D624" s="276" t="s">
        <v>10769</v>
      </c>
      <c r="E624" s="276" t="s">
        <v>10770</v>
      </c>
      <c r="F624" s="276" t="s">
        <v>7715</v>
      </c>
      <c r="G624" s="276" t="s">
        <v>10771</v>
      </c>
      <c r="H624" s="277">
        <v>2013</v>
      </c>
      <c r="I624" s="386">
        <v>41373</v>
      </c>
      <c r="J624" s="276"/>
      <c r="K624" s="276"/>
      <c r="L624" s="385" t="s">
        <v>10772</v>
      </c>
      <c r="M624" s="276"/>
    </row>
    <row r="625" spans="1:13">
      <c r="A625" s="277">
        <f>VLOOKUP(B625, 'PubMed 10.7.21 Results'!B:B, 1, FALSE)</f>
        <v>17441794</v>
      </c>
      <c r="B625" s="277">
        <v>17441794</v>
      </c>
      <c r="C625" s="276" t="s">
        <v>9426</v>
      </c>
      <c r="D625" s="276" t="s">
        <v>9427</v>
      </c>
      <c r="E625" s="276" t="s">
        <v>9428</v>
      </c>
      <c r="F625" s="276" t="s">
        <v>6942</v>
      </c>
      <c r="G625" s="276" t="s">
        <v>8485</v>
      </c>
      <c r="H625" s="277">
        <v>2007</v>
      </c>
      <c r="I625" s="386">
        <v>39192</v>
      </c>
      <c r="J625" s="276"/>
      <c r="K625" s="276"/>
      <c r="L625" s="385" t="s">
        <v>9429</v>
      </c>
      <c r="M625" s="276"/>
    </row>
    <row r="626" spans="1:13">
      <c r="A626" s="277">
        <f>VLOOKUP(B626, 'PubMed 10.7.21 Results'!B:B, 1, FALSE)</f>
        <v>30858502</v>
      </c>
      <c r="B626" s="277">
        <v>30858502</v>
      </c>
      <c r="C626" s="276" t="s">
        <v>13067</v>
      </c>
      <c r="D626" s="276" t="s">
        <v>13068</v>
      </c>
      <c r="E626" s="276" t="s">
        <v>13069</v>
      </c>
      <c r="F626" s="276" t="s">
        <v>6628</v>
      </c>
      <c r="G626" s="276" t="s">
        <v>13070</v>
      </c>
      <c r="H626" s="277">
        <v>2019</v>
      </c>
      <c r="I626" s="386">
        <v>43537</v>
      </c>
      <c r="J626" s="276"/>
      <c r="K626" s="276"/>
      <c r="L626" s="385" t="s">
        <v>13071</v>
      </c>
      <c r="M626" s="276"/>
    </row>
    <row r="627" spans="1:13">
      <c r="A627" s="277">
        <f>VLOOKUP(B627, 'PubMed 10.7.21 Results'!B:B, 1, FALSE)</f>
        <v>17083854</v>
      </c>
      <c r="B627" s="277">
        <v>17083854</v>
      </c>
      <c r="C627" s="276" t="s">
        <v>9356</v>
      </c>
      <c r="D627" s="276" t="s">
        <v>9357</v>
      </c>
      <c r="E627" s="276" t="s">
        <v>9358</v>
      </c>
      <c r="F627" s="276" t="s">
        <v>8085</v>
      </c>
      <c r="G627" s="276" t="s">
        <v>9359</v>
      </c>
      <c r="H627" s="277">
        <v>2006</v>
      </c>
      <c r="I627" s="386">
        <v>39028</v>
      </c>
      <c r="J627" s="276"/>
      <c r="K627" s="276"/>
      <c r="L627" s="385" t="s">
        <v>9360</v>
      </c>
      <c r="M627" s="276"/>
    </row>
    <row r="628" spans="1:13">
      <c r="A628" s="277">
        <f>VLOOKUP(B628, 'PubMed 10.7.21 Results'!B:B, 1, FALSE)</f>
        <v>27465539</v>
      </c>
      <c r="B628" s="277">
        <v>27465539</v>
      </c>
      <c r="C628" s="276" t="s">
        <v>12006</v>
      </c>
      <c r="D628" s="276" t="s">
        <v>12007</v>
      </c>
      <c r="E628" s="276" t="s">
        <v>12008</v>
      </c>
      <c r="F628" s="276" t="s">
        <v>7713</v>
      </c>
      <c r="G628" s="276" t="s">
        <v>8900</v>
      </c>
      <c r="H628" s="277">
        <v>2017</v>
      </c>
      <c r="I628" s="386">
        <v>42580</v>
      </c>
      <c r="J628" s="276"/>
      <c r="K628" s="276"/>
      <c r="L628" s="385" t="s">
        <v>12009</v>
      </c>
      <c r="M628" s="276"/>
    </row>
    <row r="629" spans="1:13">
      <c r="A629" s="277">
        <f>VLOOKUP(B629, 'PubMed 10.7.21 Results'!B:B, 1, FALSE)</f>
        <v>26355086</v>
      </c>
      <c r="B629" s="277">
        <v>26355086</v>
      </c>
      <c r="C629" s="276" t="s">
        <v>11520</v>
      </c>
      <c r="D629" s="276" t="s">
        <v>11521</v>
      </c>
      <c r="E629" s="276" t="s">
        <v>11522</v>
      </c>
      <c r="F629" s="276" t="s">
        <v>8038</v>
      </c>
      <c r="G629" s="276" t="s">
        <v>9821</v>
      </c>
      <c r="H629" s="277">
        <v>2015</v>
      </c>
      <c r="I629" s="386">
        <v>42258</v>
      </c>
      <c r="J629" s="276" t="s">
        <v>8039</v>
      </c>
      <c r="K629" s="276"/>
      <c r="L629" s="385" t="s">
        <v>11523</v>
      </c>
      <c r="M629" s="276"/>
    </row>
    <row r="630" spans="1:13">
      <c r="A630" s="277">
        <f>VLOOKUP(B630, 'PubMed 10.7.21 Results'!B:B, 1, FALSE)</f>
        <v>30787745</v>
      </c>
      <c r="B630" s="277">
        <v>30787745</v>
      </c>
      <c r="C630" s="276" t="s">
        <v>11937</v>
      </c>
      <c r="D630" s="276" t="s">
        <v>11938</v>
      </c>
      <c r="E630" s="276" t="s">
        <v>11939</v>
      </c>
      <c r="F630" s="276" t="s">
        <v>6413</v>
      </c>
      <c r="G630" s="276" t="s">
        <v>11940</v>
      </c>
      <c r="H630" s="277">
        <v>2017</v>
      </c>
      <c r="I630" s="386">
        <v>43518</v>
      </c>
      <c r="J630" s="276" t="s">
        <v>6414</v>
      </c>
      <c r="K630" s="276"/>
      <c r="L630" s="385" t="s">
        <v>11941</v>
      </c>
      <c r="M630" s="276"/>
    </row>
    <row r="631" spans="1:13">
      <c r="A631" s="277">
        <f>VLOOKUP(B631, 'PubMed 10.7.21 Results'!B:B, 1, FALSE)</f>
        <v>20849195</v>
      </c>
      <c r="B631" s="277">
        <v>20849195</v>
      </c>
      <c r="C631" s="276" t="s">
        <v>10019</v>
      </c>
      <c r="D631" s="276" t="s">
        <v>10020</v>
      </c>
      <c r="E631" s="276" t="s">
        <v>10021</v>
      </c>
      <c r="F631" s="276" t="s">
        <v>7665</v>
      </c>
      <c r="G631" s="276" t="s">
        <v>10022</v>
      </c>
      <c r="H631" s="277">
        <v>2010</v>
      </c>
      <c r="I631" s="386">
        <v>40442</v>
      </c>
      <c r="J631" s="276"/>
      <c r="K631" s="276"/>
      <c r="L631" s="276"/>
      <c r="M631" s="276"/>
    </row>
    <row r="632" spans="1:13">
      <c r="A632" s="277">
        <f>VLOOKUP(B632, 'PubMed 10.7.21 Results'!B:B, 1, FALSE)</f>
        <v>18565184</v>
      </c>
      <c r="B632" s="277">
        <v>18565184</v>
      </c>
      <c r="C632" s="276" t="s">
        <v>9632</v>
      </c>
      <c r="D632" s="276" t="s">
        <v>9633</v>
      </c>
      <c r="E632" s="276" t="s">
        <v>9634</v>
      </c>
      <c r="F632" s="276" t="s">
        <v>7681</v>
      </c>
      <c r="G632" s="276" t="s">
        <v>8963</v>
      </c>
      <c r="H632" s="277">
        <v>2008</v>
      </c>
      <c r="I632" s="386">
        <v>39620</v>
      </c>
      <c r="J632" s="276"/>
      <c r="K632" s="276"/>
      <c r="L632" s="385" t="s">
        <v>9635</v>
      </c>
      <c r="M632" s="276"/>
    </row>
    <row r="633" spans="1:13">
      <c r="A633" s="277">
        <f>VLOOKUP(B633, 'PubMed 10.7.21 Results'!B:B, 1, FALSE)</f>
        <v>23706063</v>
      </c>
      <c r="B633" s="277">
        <v>23706063</v>
      </c>
      <c r="C633" s="276" t="s">
        <v>10737</v>
      </c>
      <c r="D633" s="276" t="s">
        <v>10738</v>
      </c>
      <c r="E633" s="276" t="s">
        <v>10739</v>
      </c>
      <c r="F633" s="276" t="s">
        <v>8117</v>
      </c>
      <c r="G633" s="276" t="s">
        <v>10740</v>
      </c>
      <c r="H633" s="277">
        <v>2013</v>
      </c>
      <c r="I633" s="386">
        <v>41422</v>
      </c>
      <c r="J633" s="276" t="s">
        <v>8118</v>
      </c>
      <c r="K633" s="276"/>
      <c r="L633" s="385" t="s">
        <v>10741</v>
      </c>
      <c r="M633" s="276"/>
    </row>
    <row r="634" spans="1:13">
      <c r="A634" s="277">
        <f>VLOOKUP(B634, 'PubMed 10.7.21 Results'!B:B, 1, FALSE)</f>
        <v>10212013</v>
      </c>
      <c r="B634" s="277">
        <v>10212013</v>
      </c>
      <c r="C634" s="276" t="s">
        <v>8667</v>
      </c>
      <c r="D634" s="276" t="s">
        <v>8668</v>
      </c>
      <c r="E634" s="276" t="s">
        <v>8669</v>
      </c>
      <c r="F634" s="276" t="s">
        <v>7418</v>
      </c>
      <c r="G634" s="276" t="s">
        <v>8670</v>
      </c>
      <c r="H634" s="277">
        <v>1999</v>
      </c>
      <c r="I634" s="386">
        <v>36272</v>
      </c>
      <c r="J634" s="276"/>
      <c r="K634" s="276"/>
      <c r="L634" s="385" t="s">
        <v>8671</v>
      </c>
      <c r="M634" s="276"/>
    </row>
    <row r="635" spans="1:13">
      <c r="A635" s="277">
        <f>VLOOKUP(B635, 'PubMed 10.7.21 Results'!B:B, 1, FALSE)</f>
        <v>22161082</v>
      </c>
      <c r="B635" s="277">
        <v>22161082</v>
      </c>
      <c r="C635" s="276" t="s">
        <v>10478</v>
      </c>
      <c r="D635" s="276" t="s">
        <v>10479</v>
      </c>
      <c r="E635" s="276" t="s">
        <v>10480</v>
      </c>
      <c r="F635" s="276" t="s">
        <v>7190</v>
      </c>
      <c r="G635" s="276" t="s">
        <v>10481</v>
      </c>
      <c r="H635" s="277">
        <v>2012</v>
      </c>
      <c r="I635" s="386">
        <v>40891</v>
      </c>
      <c r="J635" s="276" t="s">
        <v>7191</v>
      </c>
      <c r="K635" s="276"/>
      <c r="L635" s="385" t="s">
        <v>10482</v>
      </c>
      <c r="M635" s="276"/>
    </row>
    <row r="636" spans="1:13">
      <c r="A636" s="277">
        <f>VLOOKUP(B636, 'PubMed 10.7.21 Results'!B:B, 1, FALSE)</f>
        <v>26041587</v>
      </c>
      <c r="B636" s="277">
        <v>26041587</v>
      </c>
      <c r="C636" s="276" t="s">
        <v>11507</v>
      </c>
      <c r="D636" s="276" t="s">
        <v>11508</v>
      </c>
      <c r="E636" s="276" t="s">
        <v>11509</v>
      </c>
      <c r="F636" s="276" t="s">
        <v>7188</v>
      </c>
      <c r="G636" s="276" t="s">
        <v>11510</v>
      </c>
      <c r="H636" s="277">
        <v>2015</v>
      </c>
      <c r="I636" s="386">
        <v>42160</v>
      </c>
      <c r="J636" s="276"/>
      <c r="K636" s="276"/>
      <c r="L636" s="385" t="s">
        <v>11511</v>
      </c>
      <c r="M636" s="276"/>
    </row>
    <row r="637" spans="1:13">
      <c r="A637" s="277">
        <f>VLOOKUP(B637, 'PubMed 10.7.21 Results'!B:B, 1, FALSE)</f>
        <v>28281499</v>
      </c>
      <c r="B637" s="277">
        <v>28281499</v>
      </c>
      <c r="C637" s="276" t="s">
        <v>11927</v>
      </c>
      <c r="D637" s="276" t="s">
        <v>11928</v>
      </c>
      <c r="E637" s="276" t="s">
        <v>11929</v>
      </c>
      <c r="F637" s="276" t="s">
        <v>7476</v>
      </c>
      <c r="G637" s="276" t="s">
        <v>11930</v>
      </c>
      <c r="H637" s="277">
        <v>2017</v>
      </c>
      <c r="I637" s="386">
        <v>42805</v>
      </c>
      <c r="J637" s="276"/>
      <c r="K637" s="276"/>
      <c r="L637" s="385" t="s">
        <v>11931</v>
      </c>
      <c r="M637" s="276"/>
    </row>
    <row r="638" spans="1:13">
      <c r="A638" s="277">
        <f>VLOOKUP(B638, 'PubMed 10.7.21 Results'!B:B, 1, FALSE)</f>
        <v>25652127</v>
      </c>
      <c r="B638" s="277">
        <v>25652127</v>
      </c>
      <c r="C638" s="276" t="s">
        <v>11285</v>
      </c>
      <c r="D638" s="276" t="s">
        <v>11286</v>
      </c>
      <c r="E638" s="276" t="s">
        <v>11287</v>
      </c>
      <c r="F638" s="276" t="s">
        <v>7152</v>
      </c>
      <c r="G638" s="276" t="s">
        <v>11228</v>
      </c>
      <c r="H638" s="277">
        <v>2015</v>
      </c>
      <c r="I638" s="386">
        <v>42041</v>
      </c>
      <c r="J638" s="276" t="s">
        <v>7153</v>
      </c>
      <c r="K638" s="276"/>
      <c r="L638" s="385" t="s">
        <v>11288</v>
      </c>
      <c r="M638" s="276"/>
    </row>
    <row r="639" spans="1:13">
      <c r="A639" s="277">
        <f>VLOOKUP(B639, 'PubMed 10.7.21 Results'!B:B, 1, FALSE)</f>
        <v>27650708</v>
      </c>
      <c r="B639" s="277">
        <v>27650708</v>
      </c>
      <c r="C639" s="276" t="s">
        <v>12010</v>
      </c>
      <c r="D639" s="276" t="s">
        <v>12011</v>
      </c>
      <c r="E639" s="276" t="s">
        <v>12012</v>
      </c>
      <c r="F639" s="276" t="s">
        <v>7659</v>
      </c>
      <c r="G639" s="276" t="s">
        <v>9966</v>
      </c>
      <c r="H639" s="277">
        <v>2017</v>
      </c>
      <c r="I639" s="386">
        <v>42635</v>
      </c>
      <c r="J639" s="276" t="s">
        <v>7660</v>
      </c>
      <c r="K639" s="276" t="s">
        <v>12013</v>
      </c>
      <c r="L639" s="385" t="s">
        <v>12014</v>
      </c>
      <c r="M639" s="276"/>
    </row>
    <row r="640" spans="1:13">
      <c r="A640" s="277">
        <f>VLOOKUP(B640, 'PubMed 10.7.21 Results'!B:B, 1, FALSE)</f>
        <v>15673386</v>
      </c>
      <c r="B640" s="277">
        <v>15673386</v>
      </c>
      <c r="C640" s="276" t="s">
        <v>9135</v>
      </c>
      <c r="D640" s="276" t="s">
        <v>9136</v>
      </c>
      <c r="E640" s="276" t="s">
        <v>9137</v>
      </c>
      <c r="F640" s="276" t="s">
        <v>6409</v>
      </c>
      <c r="G640" s="276" t="s">
        <v>9138</v>
      </c>
      <c r="H640" s="277">
        <v>2005</v>
      </c>
      <c r="I640" s="386">
        <v>38380</v>
      </c>
      <c r="J640" s="276"/>
      <c r="K640" s="276"/>
      <c r="L640" s="385" t="s">
        <v>9139</v>
      </c>
      <c r="M640" s="276"/>
    </row>
    <row r="641" spans="1:13">
      <c r="A641" s="277">
        <f>VLOOKUP(B641, 'PubMed 10.7.21 Results'!B:B, 1, FALSE)</f>
        <v>11310443</v>
      </c>
      <c r="B641" s="277">
        <v>11310443</v>
      </c>
      <c r="C641" s="276" t="s">
        <v>8769</v>
      </c>
      <c r="D641" s="276" t="s">
        <v>8770</v>
      </c>
      <c r="E641" s="276" t="s">
        <v>8771</v>
      </c>
      <c r="F641" s="276" t="s">
        <v>6785</v>
      </c>
      <c r="G641" s="276" t="s">
        <v>8772</v>
      </c>
      <c r="H641" s="277">
        <v>2001</v>
      </c>
      <c r="I641" s="386">
        <v>37001</v>
      </c>
      <c r="J641" s="276"/>
      <c r="K641" s="276"/>
      <c r="L641" s="385" t="s">
        <v>8773</v>
      </c>
      <c r="M641" s="276"/>
    </row>
    <row r="642" spans="1:13">
      <c r="A642" s="277">
        <f>VLOOKUP(B642, 'PubMed 10.7.21 Results'!B:B, 1, FALSE)</f>
        <v>20847149</v>
      </c>
      <c r="B642" s="277">
        <v>20847149</v>
      </c>
      <c r="C642" s="276" t="s">
        <v>10065</v>
      </c>
      <c r="D642" s="276" t="s">
        <v>10066</v>
      </c>
      <c r="E642" s="276" t="s">
        <v>10067</v>
      </c>
      <c r="F642" s="276" t="s">
        <v>8020</v>
      </c>
      <c r="G642" s="276" t="s">
        <v>10068</v>
      </c>
      <c r="H642" s="277">
        <v>2010</v>
      </c>
      <c r="I642" s="386">
        <v>40439</v>
      </c>
      <c r="J642" s="276" t="s">
        <v>8021</v>
      </c>
      <c r="K642" s="276"/>
      <c r="L642" s="385" t="s">
        <v>10069</v>
      </c>
      <c r="M642" s="276"/>
    </row>
    <row r="643" spans="1:13">
      <c r="A643" s="277">
        <f>VLOOKUP(B643, 'PubMed 10.7.21 Results'!B:B, 1, FALSE)</f>
        <v>30032682</v>
      </c>
      <c r="B643" s="277">
        <v>30032682</v>
      </c>
      <c r="C643" s="276" t="s">
        <v>12666</v>
      </c>
      <c r="D643" s="276" t="s">
        <v>12667</v>
      </c>
      <c r="E643" s="276" t="s">
        <v>12668</v>
      </c>
      <c r="F643" s="276" t="s">
        <v>6768</v>
      </c>
      <c r="G643" s="276" t="s">
        <v>11252</v>
      </c>
      <c r="H643" s="277">
        <v>2018</v>
      </c>
      <c r="I643" s="386">
        <v>43305</v>
      </c>
      <c r="J643" s="276"/>
      <c r="K643" s="276"/>
      <c r="L643" s="385" t="s">
        <v>12669</v>
      </c>
      <c r="M643" s="276"/>
    </row>
    <row r="644" spans="1:13">
      <c r="A644" s="277">
        <f>VLOOKUP(B644, 'PubMed 10.7.21 Results'!B:B, 1, FALSE)</f>
        <v>15601653</v>
      </c>
      <c r="B644" s="277">
        <v>15601653</v>
      </c>
      <c r="C644" s="276" t="s">
        <v>9144</v>
      </c>
      <c r="D644" s="276" t="s">
        <v>9145</v>
      </c>
      <c r="E644" s="276" t="s">
        <v>9146</v>
      </c>
      <c r="F644" s="276" t="s">
        <v>6821</v>
      </c>
      <c r="G644" s="276" t="s">
        <v>9147</v>
      </c>
      <c r="H644" s="277">
        <v>2005</v>
      </c>
      <c r="I644" s="386">
        <v>38338</v>
      </c>
      <c r="J644" s="276"/>
      <c r="K644" s="276"/>
      <c r="L644" s="385" t="s">
        <v>9148</v>
      </c>
      <c r="M644" s="276"/>
    </row>
    <row r="645" spans="1:13">
      <c r="A645" s="277">
        <f>VLOOKUP(B645, 'PubMed 10.7.21 Results'!B:B, 1, FALSE)</f>
        <v>20600013</v>
      </c>
      <c r="B645" s="277">
        <v>20600013</v>
      </c>
      <c r="C645" s="276" t="s">
        <v>10036</v>
      </c>
      <c r="D645" s="276" t="s">
        <v>10037</v>
      </c>
      <c r="E645" s="276" t="s">
        <v>10038</v>
      </c>
      <c r="F645" s="276" t="s">
        <v>8124</v>
      </c>
      <c r="G645" s="276" t="s">
        <v>9860</v>
      </c>
      <c r="H645" s="277">
        <v>2010</v>
      </c>
      <c r="I645" s="386">
        <v>40365</v>
      </c>
      <c r="J645" s="276"/>
      <c r="K645" s="276"/>
      <c r="L645" s="385" t="s">
        <v>10039</v>
      </c>
      <c r="M645" s="276"/>
    </row>
    <row r="646" spans="1:13">
      <c r="A646" s="277">
        <f>VLOOKUP(B646, 'PubMed 10.7.21 Results'!B:B, 1, FALSE)</f>
        <v>8630718</v>
      </c>
      <c r="B646" s="277">
        <v>8630718</v>
      </c>
      <c r="C646" s="276" t="s">
        <v>8549</v>
      </c>
      <c r="D646" s="276" t="s">
        <v>8550</v>
      </c>
      <c r="E646" s="276" t="s">
        <v>8551</v>
      </c>
      <c r="F646" s="276" t="s">
        <v>6389</v>
      </c>
      <c r="G646" s="276" t="s">
        <v>8552</v>
      </c>
      <c r="H646" s="277">
        <v>1996</v>
      </c>
      <c r="I646" s="386">
        <v>35186</v>
      </c>
      <c r="J646" s="276"/>
      <c r="K646" s="276"/>
      <c r="L646" s="385" t="s">
        <v>8553</v>
      </c>
      <c r="M646" s="276"/>
    </row>
    <row r="647" spans="1:13">
      <c r="A647" s="277">
        <f>VLOOKUP(B647, 'PubMed 10.7.21 Results'!B:B, 1, FALSE)</f>
        <v>33786063</v>
      </c>
      <c r="B647" s="277">
        <v>33786063</v>
      </c>
      <c r="C647" s="276" t="s">
        <v>14141</v>
      </c>
      <c r="D647" s="276" t="s">
        <v>14142</v>
      </c>
      <c r="E647" s="276" t="s">
        <v>14143</v>
      </c>
      <c r="F647" s="276" t="s">
        <v>7112</v>
      </c>
      <c r="G647" s="276" t="s">
        <v>14144</v>
      </c>
      <c r="H647" s="277">
        <v>2021</v>
      </c>
      <c r="I647" s="386">
        <v>44286</v>
      </c>
      <c r="J647" s="276" t="s">
        <v>7113</v>
      </c>
      <c r="K647" s="276"/>
      <c r="L647" s="385" t="s">
        <v>14145</v>
      </c>
      <c r="M647" s="276"/>
    </row>
    <row r="648" spans="1:13">
      <c r="A648" s="277">
        <f>VLOOKUP(B648, 'PubMed 10.7.21 Results'!B:B, 1, FALSE)</f>
        <v>29941151</v>
      </c>
      <c r="B648" s="277">
        <v>29941151</v>
      </c>
      <c r="C648" s="276" t="s">
        <v>12653</v>
      </c>
      <c r="D648" s="276" t="s">
        <v>12654</v>
      </c>
      <c r="E648" s="276" t="s">
        <v>12655</v>
      </c>
      <c r="F648" s="276" t="s">
        <v>6905</v>
      </c>
      <c r="G648" s="276" t="s">
        <v>8640</v>
      </c>
      <c r="H648" s="277">
        <v>2018</v>
      </c>
      <c r="I648" s="386">
        <v>43278</v>
      </c>
      <c r="J648" s="276"/>
      <c r="K648" s="276"/>
      <c r="L648" s="385" t="s">
        <v>12656</v>
      </c>
      <c r="M648" s="276"/>
    </row>
    <row r="649" spans="1:13">
      <c r="A649" s="277">
        <f>VLOOKUP(B649, 'PubMed 10.7.21 Results'!B:B, 1, FALSE)</f>
        <v>23137020</v>
      </c>
      <c r="B649" s="277">
        <v>23137020</v>
      </c>
      <c r="C649" s="276" t="s">
        <v>10586</v>
      </c>
      <c r="D649" s="276" t="s">
        <v>10587</v>
      </c>
      <c r="E649" s="276" t="s">
        <v>10588</v>
      </c>
      <c r="F649" s="276" t="s">
        <v>7507</v>
      </c>
      <c r="G649" s="276" t="s">
        <v>10589</v>
      </c>
      <c r="H649" s="277">
        <v>2012</v>
      </c>
      <c r="I649" s="386">
        <v>41223</v>
      </c>
      <c r="J649" s="276" t="s">
        <v>7508</v>
      </c>
      <c r="K649" s="276"/>
      <c r="L649" s="385" t="s">
        <v>10590</v>
      </c>
      <c r="M649" s="276"/>
    </row>
    <row r="650" spans="1:13">
      <c r="A650" s="277">
        <f>VLOOKUP(B650, 'PubMed 10.7.21 Results'!B:B, 1, FALSE)</f>
        <v>11506098</v>
      </c>
      <c r="B650" s="277">
        <v>11506098</v>
      </c>
      <c r="C650" s="276" t="s">
        <v>8803</v>
      </c>
      <c r="D650" s="276" t="s">
        <v>8804</v>
      </c>
      <c r="E650" s="276" t="s">
        <v>8805</v>
      </c>
      <c r="F650" s="276" t="s">
        <v>7888</v>
      </c>
      <c r="G650" s="276" t="s">
        <v>8806</v>
      </c>
      <c r="H650" s="277">
        <v>2001</v>
      </c>
      <c r="I650" s="386">
        <v>37120</v>
      </c>
      <c r="J650" s="276"/>
      <c r="K650" s="276"/>
      <c r="L650" s="385" t="s">
        <v>8807</v>
      </c>
      <c r="M650" s="276"/>
    </row>
    <row r="651" spans="1:13">
      <c r="A651" s="277">
        <f>VLOOKUP(B651, 'PubMed 10.7.21 Results'!B:B, 1, FALSE)</f>
        <v>12775315</v>
      </c>
      <c r="B651" s="277">
        <v>12775315</v>
      </c>
      <c r="C651" s="276" t="s">
        <v>8983</v>
      </c>
      <c r="D651" s="276" t="s">
        <v>8984</v>
      </c>
      <c r="E651" s="276" t="s">
        <v>8985</v>
      </c>
      <c r="F651" s="276" t="s">
        <v>7150</v>
      </c>
      <c r="G651" s="276" t="s">
        <v>8986</v>
      </c>
      <c r="H651" s="277">
        <v>2003</v>
      </c>
      <c r="I651" s="386">
        <v>37772</v>
      </c>
      <c r="J651" s="276"/>
      <c r="K651" s="276"/>
      <c r="L651" s="385" t="s">
        <v>8987</v>
      </c>
      <c r="M651" s="276"/>
    </row>
    <row r="652" spans="1:13">
      <c r="A652" s="277">
        <f>VLOOKUP(B652, 'PubMed 10.7.21 Results'!B:B, 1, FALSE)</f>
        <v>22398670</v>
      </c>
      <c r="B652" s="277">
        <v>22398670</v>
      </c>
      <c r="C652" s="276" t="s">
        <v>10371</v>
      </c>
      <c r="D652" s="276" t="s">
        <v>10372</v>
      </c>
      <c r="E652" s="276" t="s">
        <v>10373</v>
      </c>
      <c r="F652" s="276" t="s">
        <v>7282</v>
      </c>
      <c r="G652" s="276" t="s">
        <v>10374</v>
      </c>
      <c r="H652" s="277">
        <v>2012</v>
      </c>
      <c r="I652" s="386">
        <v>40977</v>
      </c>
      <c r="J652" s="276"/>
      <c r="K652" s="276"/>
      <c r="L652" s="385" t="s">
        <v>10375</v>
      </c>
      <c r="M652" s="276"/>
    </row>
    <row r="653" spans="1:13">
      <c r="A653" s="277">
        <f>VLOOKUP(B653, 'PubMed 10.7.21 Results'!B:B, 1, FALSE)</f>
        <v>9315790</v>
      </c>
      <c r="B653" s="277">
        <v>9315790</v>
      </c>
      <c r="C653" s="276" t="s">
        <v>8594</v>
      </c>
      <c r="D653" s="276" t="s">
        <v>8595</v>
      </c>
      <c r="E653" s="276" t="s">
        <v>8596</v>
      </c>
      <c r="F653" s="276" t="s">
        <v>8058</v>
      </c>
      <c r="G653" s="276" t="s">
        <v>8597</v>
      </c>
      <c r="H653" s="277">
        <v>1997</v>
      </c>
      <c r="I653" s="386">
        <v>35710</v>
      </c>
      <c r="J653" s="276"/>
      <c r="K653" s="276"/>
      <c r="L653" s="385" t="s">
        <v>8598</v>
      </c>
      <c r="M653" s="276"/>
    </row>
    <row r="654" spans="1:13">
      <c r="A654" s="277">
        <f>VLOOKUP(B654, 'PubMed 10.7.21 Results'!B:B, 1, FALSE)</f>
        <v>30113733</v>
      </c>
      <c r="B654" s="277">
        <v>30113733</v>
      </c>
      <c r="C654" s="276" t="s">
        <v>12922</v>
      </c>
      <c r="D654" s="276" t="s">
        <v>12923</v>
      </c>
      <c r="E654" s="276" t="s">
        <v>12924</v>
      </c>
      <c r="F654" s="276" t="s">
        <v>7343</v>
      </c>
      <c r="G654" s="276" t="s">
        <v>10263</v>
      </c>
      <c r="H654" s="277">
        <v>2019</v>
      </c>
      <c r="I654" s="386">
        <v>43329</v>
      </c>
      <c r="J654" s="276" t="s">
        <v>7344</v>
      </c>
      <c r="K654" s="276" t="s">
        <v>12925</v>
      </c>
      <c r="L654" s="385" t="s">
        <v>12926</v>
      </c>
      <c r="M654" s="276"/>
    </row>
    <row r="655" spans="1:13">
      <c r="A655" s="277">
        <f>VLOOKUP(B655, 'PubMed 10.7.21 Results'!B:B, 1, FALSE)</f>
        <v>21291629</v>
      </c>
      <c r="B655" s="277">
        <v>21291629</v>
      </c>
      <c r="C655" s="276" t="s">
        <v>10141</v>
      </c>
      <c r="D655" s="276" t="s">
        <v>10142</v>
      </c>
      <c r="E655" s="276" t="s">
        <v>10143</v>
      </c>
      <c r="F655" s="276" t="s">
        <v>6783</v>
      </c>
      <c r="G655" s="276" t="s">
        <v>9359</v>
      </c>
      <c r="H655" s="277">
        <v>2011</v>
      </c>
      <c r="I655" s="386">
        <v>40579</v>
      </c>
      <c r="J655" s="276" t="s">
        <v>6784</v>
      </c>
      <c r="K655" s="276"/>
      <c r="L655" s="385" t="s">
        <v>10144</v>
      </c>
      <c r="M655" s="276"/>
    </row>
    <row r="656" spans="1:13">
      <c r="A656" s="277">
        <f>VLOOKUP(B656, 'PubMed 10.7.21 Results'!B:B, 1, FALSE)</f>
        <v>23642325</v>
      </c>
      <c r="B656" s="277">
        <v>23642325</v>
      </c>
      <c r="C656" s="276" t="s">
        <v>10728</v>
      </c>
      <c r="D656" s="276" t="s">
        <v>10729</v>
      </c>
      <c r="E656" s="276" t="s">
        <v>10730</v>
      </c>
      <c r="F656" s="276" t="s">
        <v>7394</v>
      </c>
      <c r="G656" s="276" t="s">
        <v>10731</v>
      </c>
      <c r="H656" s="277">
        <v>2013</v>
      </c>
      <c r="I656" s="386">
        <v>41401</v>
      </c>
      <c r="J656" s="276"/>
      <c r="K656" s="276"/>
      <c r="L656" s="385" t="s">
        <v>10732</v>
      </c>
      <c r="M656" s="276"/>
    </row>
    <row r="657" spans="1:13">
      <c r="A657" s="277">
        <f>VLOOKUP(B657, 'PubMed 10.7.21 Results'!B:B, 1, FALSE)</f>
        <v>30518685</v>
      </c>
      <c r="B657" s="277">
        <v>30518685</v>
      </c>
      <c r="C657" s="276" t="s">
        <v>12813</v>
      </c>
      <c r="D657" s="276" t="s">
        <v>12814</v>
      </c>
      <c r="E657" s="276" t="s">
        <v>12815</v>
      </c>
      <c r="F657" s="276" t="s">
        <v>6881</v>
      </c>
      <c r="G657" s="276" t="s">
        <v>12537</v>
      </c>
      <c r="H657" s="277">
        <v>2018</v>
      </c>
      <c r="I657" s="386">
        <v>43441</v>
      </c>
      <c r="J657" s="276" t="s">
        <v>6882</v>
      </c>
      <c r="K657" s="276"/>
      <c r="L657" s="385" t="s">
        <v>12816</v>
      </c>
      <c r="M657" s="276"/>
    </row>
    <row r="658" spans="1:13">
      <c r="A658" s="277">
        <f>VLOOKUP(B658, 'PubMed 10.7.21 Results'!B:B, 1, FALSE)</f>
        <v>26565008</v>
      </c>
      <c r="B658" s="277">
        <v>26565008</v>
      </c>
      <c r="C658" s="276" t="s">
        <v>11652</v>
      </c>
      <c r="D658" s="276" t="s">
        <v>11653</v>
      </c>
      <c r="E658" s="276" t="s">
        <v>11654</v>
      </c>
      <c r="F658" s="276" t="s">
        <v>7568</v>
      </c>
      <c r="G658" s="276" t="s">
        <v>9152</v>
      </c>
      <c r="H658" s="277">
        <v>2016</v>
      </c>
      <c r="I658" s="386">
        <v>42322</v>
      </c>
      <c r="J658" s="276"/>
      <c r="K658" s="276"/>
      <c r="L658" s="385" t="s">
        <v>11655</v>
      </c>
      <c r="M658" s="276"/>
    </row>
    <row r="659" spans="1:13">
      <c r="A659" s="277">
        <f>VLOOKUP(B659, 'PubMed 10.7.21 Results'!B:B, 1, FALSE)</f>
        <v>19246990</v>
      </c>
      <c r="B659" s="277">
        <v>19246990</v>
      </c>
      <c r="C659" s="276" t="s">
        <v>9716</v>
      </c>
      <c r="D659" s="276" t="s">
        <v>9717</v>
      </c>
      <c r="E659" s="276" t="s">
        <v>9718</v>
      </c>
      <c r="F659" s="276" t="s">
        <v>6782</v>
      </c>
      <c r="G659" s="276" t="s">
        <v>9719</v>
      </c>
      <c r="H659" s="277">
        <v>2009</v>
      </c>
      <c r="I659" s="386">
        <v>39872</v>
      </c>
      <c r="J659" s="276"/>
      <c r="K659" s="276"/>
      <c r="L659" s="385" t="s">
        <v>9720</v>
      </c>
      <c r="M659" s="276"/>
    </row>
    <row r="660" spans="1:13">
      <c r="A660" s="277">
        <f>VLOOKUP(B660, 'PubMed 10.7.21 Results'!B:B, 1, FALSE)</f>
        <v>28539069</v>
      </c>
      <c r="B660" s="277">
        <v>28539069</v>
      </c>
      <c r="C660" s="276" t="s">
        <v>12430</v>
      </c>
      <c r="D660" s="276" t="s">
        <v>12431</v>
      </c>
      <c r="E660" s="276" t="s">
        <v>12432</v>
      </c>
      <c r="F660" s="276" t="s">
        <v>7784</v>
      </c>
      <c r="G660" s="276" t="s">
        <v>12433</v>
      </c>
      <c r="H660" s="277">
        <v>2018</v>
      </c>
      <c r="I660" s="386">
        <v>42881</v>
      </c>
      <c r="J660" s="276"/>
      <c r="K660" s="276"/>
      <c r="L660" s="385" t="s">
        <v>12434</v>
      </c>
      <c r="M660" s="276"/>
    </row>
    <row r="661" spans="1:13">
      <c r="A661" s="277">
        <f>VLOOKUP(B661, 'PubMed 10.7.21 Results'!B:B, 1, FALSE)</f>
        <v>27537997</v>
      </c>
      <c r="B661" s="277">
        <v>27537997</v>
      </c>
      <c r="C661" s="276" t="s">
        <v>11834</v>
      </c>
      <c r="D661" s="276" t="s">
        <v>11835</v>
      </c>
      <c r="E661" s="276" t="s">
        <v>11836</v>
      </c>
      <c r="F661" s="276" t="s">
        <v>6806</v>
      </c>
      <c r="G661" s="276" t="s">
        <v>9604</v>
      </c>
      <c r="H661" s="277">
        <v>2016</v>
      </c>
      <c r="I661" s="386">
        <v>42601</v>
      </c>
      <c r="J661" s="276"/>
      <c r="K661" s="276"/>
      <c r="L661" s="276"/>
      <c r="M661" s="276"/>
    </row>
    <row r="662" spans="1:13">
      <c r="A662" s="277">
        <f>VLOOKUP(B662, 'PubMed 10.7.21 Results'!B:B, 1, FALSE)</f>
        <v>30832699</v>
      </c>
      <c r="B662" s="277">
        <v>30832699</v>
      </c>
      <c r="C662" s="276" t="s">
        <v>12970</v>
      </c>
      <c r="D662" s="276" t="s">
        <v>12971</v>
      </c>
      <c r="E662" s="276" t="s">
        <v>12972</v>
      </c>
      <c r="F662" s="276" t="s">
        <v>6807</v>
      </c>
      <c r="G662" s="276" t="s">
        <v>11283</v>
      </c>
      <c r="H662" s="277">
        <v>2019</v>
      </c>
      <c r="I662" s="386">
        <v>43530</v>
      </c>
      <c r="J662" s="276" t="s">
        <v>6808</v>
      </c>
      <c r="K662" s="276"/>
      <c r="L662" s="385" t="s">
        <v>12973</v>
      </c>
      <c r="M662" s="276"/>
    </row>
    <row r="663" spans="1:13">
      <c r="A663" s="277">
        <f>VLOOKUP(B663, 'PubMed 10.7.21 Results'!B:B, 1, FALSE)</f>
        <v>14515117</v>
      </c>
      <c r="B663" s="277">
        <v>14515117</v>
      </c>
      <c r="C663" s="276" t="s">
        <v>9001</v>
      </c>
      <c r="D663" s="276" t="s">
        <v>9002</v>
      </c>
      <c r="E663" s="276" t="s">
        <v>9003</v>
      </c>
      <c r="F663" s="276" t="s">
        <v>6418</v>
      </c>
      <c r="G663" s="276" t="s">
        <v>9004</v>
      </c>
      <c r="H663" s="277">
        <v>2003</v>
      </c>
      <c r="I663" s="386">
        <v>37894</v>
      </c>
      <c r="J663" s="276"/>
      <c r="K663" s="276"/>
      <c r="L663" s="385" t="s">
        <v>9005</v>
      </c>
      <c r="M663" s="276"/>
    </row>
    <row r="664" spans="1:13">
      <c r="A664" s="277">
        <f>VLOOKUP(B664, 'PubMed 10.7.21 Results'!B:B, 1, FALSE)</f>
        <v>25393157</v>
      </c>
      <c r="B664" s="277">
        <v>25393157</v>
      </c>
      <c r="C664" s="276" t="s">
        <v>11366</v>
      </c>
      <c r="D664" s="276" t="s">
        <v>11367</v>
      </c>
      <c r="E664" s="276" t="s">
        <v>11368</v>
      </c>
      <c r="F664" s="276" t="s">
        <v>6601</v>
      </c>
      <c r="G664" s="276" t="s">
        <v>8712</v>
      </c>
      <c r="H664" s="277">
        <v>2015</v>
      </c>
      <c r="I664" s="386">
        <v>41957</v>
      </c>
      <c r="J664" s="276"/>
      <c r="K664" s="276"/>
      <c r="L664" s="385" t="s">
        <v>11369</v>
      </c>
      <c r="M664" s="276"/>
    </row>
    <row r="665" spans="1:13">
      <c r="A665" s="277">
        <f>VLOOKUP(B665, 'PubMed 10.7.21 Results'!B:B, 1, FALSE)</f>
        <v>1443450</v>
      </c>
      <c r="B665" s="277">
        <v>1443450</v>
      </c>
      <c r="C665" s="276" t="s">
        <v>8482</v>
      </c>
      <c r="D665" s="276" t="s">
        <v>8483</v>
      </c>
      <c r="E665" s="276" t="s">
        <v>8484</v>
      </c>
      <c r="F665" s="276" t="s">
        <v>6664</v>
      </c>
      <c r="G665" s="276" t="s">
        <v>8485</v>
      </c>
      <c r="H665" s="277">
        <v>1992</v>
      </c>
      <c r="I665" s="386">
        <v>33817</v>
      </c>
      <c r="J665" s="276"/>
      <c r="K665" s="276"/>
      <c r="L665" s="385" t="s">
        <v>8486</v>
      </c>
      <c r="M665" s="276"/>
    </row>
    <row r="666" spans="1:13">
      <c r="A666" s="277">
        <f>VLOOKUP(B666, 'PubMed 10.7.21 Results'!B:B, 1, FALSE)</f>
        <v>32035366</v>
      </c>
      <c r="B666" s="277">
        <v>32035366</v>
      </c>
      <c r="C666" s="276" t="s">
        <v>13373</v>
      </c>
      <c r="D666" s="276" t="s">
        <v>13374</v>
      </c>
      <c r="E666" s="276" t="s">
        <v>13375</v>
      </c>
      <c r="F666" s="276" t="s">
        <v>7099</v>
      </c>
      <c r="G666" s="276" t="s">
        <v>13376</v>
      </c>
      <c r="H666" s="277">
        <v>2020</v>
      </c>
      <c r="I666" s="386">
        <v>43870</v>
      </c>
      <c r="J666" s="276"/>
      <c r="K666" s="276"/>
      <c r="L666" s="385" t="s">
        <v>13377</v>
      </c>
      <c r="M666" s="276"/>
    </row>
    <row r="667" spans="1:13">
      <c r="A667" s="277">
        <f>VLOOKUP(B667, 'PubMed 10.7.21 Results'!B:B, 1, FALSE)</f>
        <v>27774754</v>
      </c>
      <c r="B667" s="277">
        <v>27774754</v>
      </c>
      <c r="C667" s="276" t="s">
        <v>11963</v>
      </c>
      <c r="D667" s="276" t="s">
        <v>11964</v>
      </c>
      <c r="E667" s="276" t="s">
        <v>11965</v>
      </c>
      <c r="F667" s="276" t="s">
        <v>7033</v>
      </c>
      <c r="G667" s="276" t="s">
        <v>11966</v>
      </c>
      <c r="H667" s="277">
        <v>2017</v>
      </c>
      <c r="I667" s="386">
        <v>42668</v>
      </c>
      <c r="J667" s="276" t="s">
        <v>7034</v>
      </c>
      <c r="K667" s="276"/>
      <c r="L667" s="385" t="s">
        <v>11967</v>
      </c>
      <c r="M667" s="276"/>
    </row>
    <row r="668" spans="1:13">
      <c r="A668" s="277">
        <f>VLOOKUP(B668, 'PubMed 10.7.21 Results'!B:B, 1, FALSE)</f>
        <v>28069279</v>
      </c>
      <c r="B668" s="277">
        <v>28069279</v>
      </c>
      <c r="C668" s="276" t="s">
        <v>12001</v>
      </c>
      <c r="D668" s="276" t="s">
        <v>12002</v>
      </c>
      <c r="E668" s="276" t="s">
        <v>12003</v>
      </c>
      <c r="F668" s="276" t="s">
        <v>7305</v>
      </c>
      <c r="G668" s="276" t="s">
        <v>9420</v>
      </c>
      <c r="H668" s="277">
        <v>2017</v>
      </c>
      <c r="I668" s="386">
        <v>42746</v>
      </c>
      <c r="J668" s="276" t="s">
        <v>7306</v>
      </c>
      <c r="K668" s="276" t="s">
        <v>12004</v>
      </c>
      <c r="L668" s="385" t="s">
        <v>12005</v>
      </c>
      <c r="M668" s="276"/>
    </row>
    <row r="669" spans="1:13">
      <c r="A669" s="277">
        <f>VLOOKUP(B669, 'PubMed 10.7.21 Results'!B:B, 1, FALSE)</f>
        <v>17630815</v>
      </c>
      <c r="B669" s="277">
        <v>17630815</v>
      </c>
      <c r="C669" s="276" t="s">
        <v>9375</v>
      </c>
      <c r="D669" s="276" t="s">
        <v>9376</v>
      </c>
      <c r="E669" s="276" t="s">
        <v>9377</v>
      </c>
      <c r="F669" s="276" t="s">
        <v>6969</v>
      </c>
      <c r="G669" s="276" t="s">
        <v>9378</v>
      </c>
      <c r="H669" s="277">
        <v>2007</v>
      </c>
      <c r="I669" s="386">
        <v>39280</v>
      </c>
      <c r="J669" s="276"/>
      <c r="K669" s="276"/>
      <c r="L669" s="385" t="s">
        <v>9379</v>
      </c>
      <c r="M669" s="276"/>
    </row>
    <row r="670" spans="1:13">
      <c r="A670" s="277">
        <f>VLOOKUP(B670, 'PubMed 10.7.21 Results'!B:B, 1, FALSE)</f>
        <v>21289891</v>
      </c>
      <c r="B670" s="277">
        <v>21289891</v>
      </c>
      <c r="C670" s="276" t="s">
        <v>9738</v>
      </c>
      <c r="D670" s="276" t="s">
        <v>9739</v>
      </c>
      <c r="E670" s="276" t="s">
        <v>9740</v>
      </c>
      <c r="F670" s="276" t="s">
        <v>6724</v>
      </c>
      <c r="G670" s="276" t="s">
        <v>9741</v>
      </c>
      <c r="H670" s="277">
        <v>2009</v>
      </c>
      <c r="I670" s="386">
        <v>40578</v>
      </c>
      <c r="J670" s="276" t="s">
        <v>6725</v>
      </c>
      <c r="K670" s="276"/>
      <c r="L670" s="385" t="s">
        <v>9742</v>
      </c>
      <c r="M670" s="276"/>
    </row>
    <row r="671" spans="1:13">
      <c r="A671" s="277">
        <f>VLOOKUP(B671, 'PubMed 10.7.21 Results'!B:B, 1, FALSE)</f>
        <v>23461895</v>
      </c>
      <c r="B671" s="277">
        <v>23461895</v>
      </c>
      <c r="C671" s="276" t="s">
        <v>10938</v>
      </c>
      <c r="D671" s="276" t="s">
        <v>10939</v>
      </c>
      <c r="E671" s="276" t="s">
        <v>10940</v>
      </c>
      <c r="F671" s="276" t="s">
        <v>7380</v>
      </c>
      <c r="G671" s="276" t="s">
        <v>8842</v>
      </c>
      <c r="H671" s="277">
        <v>2014</v>
      </c>
      <c r="I671" s="386">
        <v>41340</v>
      </c>
      <c r="J671" s="276" t="s">
        <v>7381</v>
      </c>
      <c r="K671" s="276"/>
      <c r="L671" s="385" t="s">
        <v>10941</v>
      </c>
      <c r="M671" s="276"/>
    </row>
    <row r="672" spans="1:13">
      <c r="A672" s="277">
        <f>VLOOKUP(B672, 'PubMed 10.7.21 Results'!B:B, 1, FALSE)</f>
        <v>18333868</v>
      </c>
      <c r="B672" s="277">
        <v>18333868</v>
      </c>
      <c r="C672" s="276" t="s">
        <v>9566</v>
      </c>
      <c r="D672" s="276" t="s">
        <v>9567</v>
      </c>
      <c r="E672" s="276" t="s">
        <v>9568</v>
      </c>
      <c r="F672" s="276" t="s">
        <v>6736</v>
      </c>
      <c r="G672" s="276" t="s">
        <v>9569</v>
      </c>
      <c r="H672" s="277">
        <v>2008</v>
      </c>
      <c r="I672" s="386">
        <v>39533</v>
      </c>
      <c r="J672" s="276" t="s">
        <v>6737</v>
      </c>
      <c r="K672" s="276"/>
      <c r="L672" s="385" t="s">
        <v>9570</v>
      </c>
      <c r="M672" s="276"/>
    </row>
    <row r="673" spans="1:13">
      <c r="A673" s="277">
        <f>VLOOKUP(B673, 'PubMed 10.7.21 Results'!B:B, 1, FALSE)</f>
        <v>33296619</v>
      </c>
      <c r="B673" s="277">
        <v>33296619</v>
      </c>
      <c r="C673" s="276" t="s">
        <v>14127</v>
      </c>
      <c r="D673" s="276" t="s">
        <v>14128</v>
      </c>
      <c r="E673" s="276" t="s">
        <v>14129</v>
      </c>
      <c r="F673" s="276" t="s">
        <v>7128</v>
      </c>
      <c r="G673" s="276" t="s">
        <v>14130</v>
      </c>
      <c r="H673" s="277">
        <v>2021</v>
      </c>
      <c r="I673" s="386">
        <v>44174</v>
      </c>
      <c r="J673" s="276" t="s">
        <v>7129</v>
      </c>
      <c r="K673" s="276"/>
      <c r="L673" s="385" t="s">
        <v>14131</v>
      </c>
      <c r="M673" s="276"/>
    </row>
    <row r="674" spans="1:13">
      <c r="A674" s="277">
        <f>VLOOKUP(B674, 'PubMed 10.7.21 Results'!B:B, 1, FALSE)</f>
        <v>24262929</v>
      </c>
      <c r="B674" s="277">
        <v>24262929</v>
      </c>
      <c r="C674" s="276" t="s">
        <v>10929</v>
      </c>
      <c r="D674" s="276" t="s">
        <v>10930</v>
      </c>
      <c r="E674" s="276" t="s">
        <v>10931</v>
      </c>
      <c r="F674" s="276" t="s">
        <v>7511</v>
      </c>
      <c r="G674" s="276" t="s">
        <v>10932</v>
      </c>
      <c r="H674" s="277">
        <v>2014</v>
      </c>
      <c r="I674" s="386">
        <v>41601</v>
      </c>
      <c r="J674" s="276"/>
      <c r="K674" s="276"/>
      <c r="L674" s="385" t="s">
        <v>10933</v>
      </c>
      <c r="M674" s="276"/>
    </row>
    <row r="675" spans="1:13">
      <c r="A675" s="277">
        <f>VLOOKUP(B675, 'PubMed 10.7.21 Results'!B:B, 1, FALSE)</f>
        <v>8267692</v>
      </c>
      <c r="B675" s="277">
        <v>8267692</v>
      </c>
      <c r="C675" s="276" t="s">
        <v>8487</v>
      </c>
      <c r="D675" s="276" t="s">
        <v>8488</v>
      </c>
      <c r="E675" s="276" t="s">
        <v>8489</v>
      </c>
      <c r="F675" s="276" t="s">
        <v>6664</v>
      </c>
      <c r="G675" s="276" t="s">
        <v>8490</v>
      </c>
      <c r="H675" s="277">
        <v>1993</v>
      </c>
      <c r="I675" s="386">
        <v>33970</v>
      </c>
      <c r="J675" s="276"/>
      <c r="K675" s="276"/>
      <c r="L675" s="385" t="s">
        <v>8491</v>
      </c>
      <c r="M675" s="276"/>
    </row>
    <row r="676" spans="1:13">
      <c r="A676" s="277">
        <f>VLOOKUP(B676, 'PubMed 10.7.21 Results'!B:B, 1, FALSE)</f>
        <v>29948739</v>
      </c>
      <c r="B676" s="277">
        <v>29948739</v>
      </c>
      <c r="C676" s="276" t="s">
        <v>12657</v>
      </c>
      <c r="D676" s="276" t="s">
        <v>12658</v>
      </c>
      <c r="E676" s="276" t="s">
        <v>12659</v>
      </c>
      <c r="F676" s="276" t="s">
        <v>6893</v>
      </c>
      <c r="G676" s="276" t="s">
        <v>12660</v>
      </c>
      <c r="H676" s="277">
        <v>2018</v>
      </c>
      <c r="I676" s="386">
        <v>43279</v>
      </c>
      <c r="J676" s="276" t="s">
        <v>6894</v>
      </c>
      <c r="K676" s="276"/>
      <c r="L676" s="385" t="s">
        <v>12661</v>
      </c>
      <c r="M676" s="276"/>
    </row>
    <row r="677" spans="1:13">
      <c r="A677" s="277">
        <f>VLOOKUP(B677, 'PubMed 10.7.21 Results'!B:B, 1, FALSE)</f>
        <v>19476405</v>
      </c>
      <c r="B677" s="277">
        <v>19476405</v>
      </c>
      <c r="C677" s="276" t="s">
        <v>9802</v>
      </c>
      <c r="D677" s="276" t="s">
        <v>9803</v>
      </c>
      <c r="E677" s="276" t="s">
        <v>9804</v>
      </c>
      <c r="F677" s="276" t="s">
        <v>6817</v>
      </c>
      <c r="G677" s="276" t="s">
        <v>8762</v>
      </c>
      <c r="H677" s="277">
        <v>2009</v>
      </c>
      <c r="I677" s="386">
        <v>39963</v>
      </c>
      <c r="J677" s="276"/>
      <c r="K677" s="276"/>
      <c r="L677" s="385" t="s">
        <v>9805</v>
      </c>
      <c r="M677" s="276"/>
    </row>
    <row r="678" spans="1:13">
      <c r="A678" s="277">
        <f>VLOOKUP(B678, 'PubMed 10.7.21 Results'!B:B, 1, FALSE)</f>
        <v>25115871</v>
      </c>
      <c r="B678" s="277">
        <v>25115871</v>
      </c>
      <c r="C678" s="276" t="s">
        <v>11221</v>
      </c>
      <c r="D678" s="276" t="s">
        <v>11222</v>
      </c>
      <c r="E678" s="276" t="s">
        <v>11223</v>
      </c>
      <c r="F678" s="276" t="s">
        <v>6743</v>
      </c>
      <c r="G678" s="276" t="s">
        <v>9152</v>
      </c>
      <c r="H678" s="277">
        <v>2014</v>
      </c>
      <c r="I678" s="386">
        <v>41865</v>
      </c>
      <c r="J678" s="276"/>
      <c r="K678" s="276"/>
      <c r="L678" s="385" t="s">
        <v>11224</v>
      </c>
      <c r="M678" s="276"/>
    </row>
    <row r="679" spans="1:13">
      <c r="A679" s="277">
        <f>VLOOKUP(B679, 'PubMed 10.7.21 Results'!B:B, 1, FALSE)</f>
        <v>24746600</v>
      </c>
      <c r="B679" s="277">
        <v>24746600</v>
      </c>
      <c r="C679" s="276" t="s">
        <v>11040</v>
      </c>
      <c r="D679" s="276" t="s">
        <v>11041</v>
      </c>
      <c r="E679" s="276" t="s">
        <v>11042</v>
      </c>
      <c r="F679" s="276" t="s">
        <v>6525</v>
      </c>
      <c r="G679" s="276" t="s">
        <v>11043</v>
      </c>
      <c r="H679" s="277">
        <v>2014</v>
      </c>
      <c r="I679" s="386">
        <v>41751</v>
      </c>
      <c r="J679" s="276"/>
      <c r="K679" s="276"/>
      <c r="L679" s="385" t="s">
        <v>11044</v>
      </c>
      <c r="M679" s="276"/>
    </row>
    <row r="680" spans="1:13">
      <c r="A680" s="277">
        <f>VLOOKUP(B680, 'PubMed 10.7.21 Results'!B:B, 1, FALSE)</f>
        <v>32702315</v>
      </c>
      <c r="B680" s="277">
        <v>32702315</v>
      </c>
      <c r="C680" s="276" t="s">
        <v>13762</v>
      </c>
      <c r="D680" s="276" t="s">
        <v>13763</v>
      </c>
      <c r="E680" s="276" t="s">
        <v>13764</v>
      </c>
      <c r="F680" s="276" t="s">
        <v>7548</v>
      </c>
      <c r="G680" s="276" t="s">
        <v>13765</v>
      </c>
      <c r="H680" s="277">
        <v>2020</v>
      </c>
      <c r="I680" s="386">
        <v>44036</v>
      </c>
      <c r="J680" s="276"/>
      <c r="K680" s="276"/>
      <c r="L680" s="385" t="s">
        <v>13766</v>
      </c>
      <c r="M680" s="276"/>
    </row>
    <row r="681" spans="1:13">
      <c r="A681" s="277">
        <f>VLOOKUP(B681, 'PubMed 10.7.21 Results'!B:B, 1, FALSE)</f>
        <v>25942580</v>
      </c>
      <c r="B681" s="277">
        <v>25942580</v>
      </c>
      <c r="C681" s="276" t="s">
        <v>11385</v>
      </c>
      <c r="D681" s="276" t="s">
        <v>11386</v>
      </c>
      <c r="E681" s="276" t="s">
        <v>11387</v>
      </c>
      <c r="F681" s="276" t="s">
        <v>7179</v>
      </c>
      <c r="G681" s="276" t="s">
        <v>8857</v>
      </c>
      <c r="H681" s="277">
        <v>2015</v>
      </c>
      <c r="I681" s="386">
        <v>42130</v>
      </c>
      <c r="J681" s="276"/>
      <c r="K681" s="276"/>
      <c r="L681" s="385" t="s">
        <v>11388</v>
      </c>
      <c r="M681" s="276"/>
    </row>
    <row r="682" spans="1:13">
      <c r="A682" s="277">
        <f>VLOOKUP(B682, 'PubMed 10.7.21 Results'!B:B, 1, FALSE)</f>
        <v>27115264</v>
      </c>
      <c r="B682" s="277">
        <v>27115264</v>
      </c>
      <c r="C682" s="276" t="s">
        <v>11715</v>
      </c>
      <c r="D682" s="276" t="s">
        <v>11716</v>
      </c>
      <c r="E682" s="276" t="s">
        <v>11717</v>
      </c>
      <c r="F682" s="276" t="s">
        <v>8086</v>
      </c>
      <c r="G682" s="276" t="s">
        <v>8580</v>
      </c>
      <c r="H682" s="277">
        <v>2016</v>
      </c>
      <c r="I682" s="386">
        <v>42487</v>
      </c>
      <c r="J682" s="276"/>
      <c r="K682" s="276"/>
      <c r="L682" s="385" t="s">
        <v>11718</v>
      </c>
      <c r="M682" s="276"/>
    </row>
    <row r="683" spans="1:13">
      <c r="A683" s="277">
        <f>VLOOKUP(B683, 'PubMed 10.7.21 Results'!B:B, 1, FALSE)</f>
        <v>22129322</v>
      </c>
      <c r="B683" s="277">
        <v>22129322</v>
      </c>
      <c r="C683" s="276" t="s">
        <v>10283</v>
      </c>
      <c r="D683" s="276" t="s">
        <v>10284</v>
      </c>
      <c r="E683" s="276" t="s">
        <v>10285</v>
      </c>
      <c r="F683" s="276" t="s">
        <v>6833</v>
      </c>
      <c r="G683" s="276" t="s">
        <v>10286</v>
      </c>
      <c r="H683" s="277">
        <v>2011</v>
      </c>
      <c r="I683" s="386">
        <v>40879</v>
      </c>
      <c r="J683" s="276"/>
      <c r="K683" s="276"/>
      <c r="L683" s="385" t="s">
        <v>10287</v>
      </c>
      <c r="M683" s="276"/>
    </row>
    <row r="684" spans="1:13">
      <c r="A684" s="277">
        <f>VLOOKUP(B684, 'PubMed 10.7.21 Results'!B:B, 1, FALSE)</f>
        <v>29603217</v>
      </c>
      <c r="B684" s="277">
        <v>29603217</v>
      </c>
      <c r="C684" s="276" t="s">
        <v>12688</v>
      </c>
      <c r="D684" s="276" t="s">
        <v>12689</v>
      </c>
      <c r="E684" s="276" t="s">
        <v>12690</v>
      </c>
      <c r="F684" s="276" t="s">
        <v>8076</v>
      </c>
      <c r="G684" s="276" t="s">
        <v>12691</v>
      </c>
      <c r="H684" s="277">
        <v>2018</v>
      </c>
      <c r="I684" s="386">
        <v>43191</v>
      </c>
      <c r="J684" s="276"/>
      <c r="K684" s="276"/>
      <c r="L684" s="385" t="s">
        <v>12692</v>
      </c>
      <c r="M684" s="276"/>
    </row>
    <row r="685" spans="1:13">
      <c r="A685" s="277">
        <f>VLOOKUP(B685, 'PubMed 10.7.21 Results'!B:B, 1, FALSE)</f>
        <v>30664267</v>
      </c>
      <c r="B685" s="277">
        <v>30664267</v>
      </c>
      <c r="C685" s="276" t="s">
        <v>13169</v>
      </c>
      <c r="D685" s="276" t="s">
        <v>13170</v>
      </c>
      <c r="E685" s="276" t="s">
        <v>13171</v>
      </c>
      <c r="F685" s="276" t="s">
        <v>7793</v>
      </c>
      <c r="G685" s="276" t="s">
        <v>8480</v>
      </c>
      <c r="H685" s="277">
        <v>2019</v>
      </c>
      <c r="I685" s="386">
        <v>43487</v>
      </c>
      <c r="J685" s="276"/>
      <c r="K685" s="276"/>
      <c r="L685" s="385" t="s">
        <v>13172</v>
      </c>
      <c r="M685" s="276"/>
    </row>
    <row r="686" spans="1:13">
      <c r="A686" s="277">
        <f>VLOOKUP(B686, 'PubMed 10.7.21 Results'!B:B, 1, FALSE)</f>
        <v>29040433</v>
      </c>
      <c r="B686" s="277">
        <v>29040433</v>
      </c>
      <c r="C686" s="276" t="s">
        <v>12312</v>
      </c>
      <c r="D686" s="276" t="s">
        <v>12313</v>
      </c>
      <c r="E686" s="276" t="s">
        <v>12314</v>
      </c>
      <c r="F686" s="276" t="s">
        <v>6977</v>
      </c>
      <c r="G686" s="276" t="s">
        <v>12315</v>
      </c>
      <c r="H686" s="277">
        <v>2017</v>
      </c>
      <c r="I686" s="386">
        <v>43026</v>
      </c>
      <c r="J686" s="276"/>
      <c r="K686" s="276"/>
      <c r="L686" s="385" t="s">
        <v>12316</v>
      </c>
      <c r="M686" s="276"/>
    </row>
    <row r="687" spans="1:13">
      <c r="A687" s="277">
        <f>VLOOKUP(B687, 'PubMed 10.7.21 Results'!B:B, 1, FALSE)</f>
        <v>32327163</v>
      </c>
      <c r="B687" s="277">
        <v>32327163</v>
      </c>
      <c r="C687" s="276" t="s">
        <v>13495</v>
      </c>
      <c r="D687" s="276" t="s">
        <v>13496</v>
      </c>
      <c r="E687" s="276" t="s">
        <v>13497</v>
      </c>
      <c r="F687" s="276" t="s">
        <v>6932</v>
      </c>
      <c r="G687" s="276" t="s">
        <v>9659</v>
      </c>
      <c r="H687" s="277">
        <v>2020</v>
      </c>
      <c r="I687" s="386">
        <v>43946</v>
      </c>
      <c r="J687" s="276"/>
      <c r="K687" s="276"/>
      <c r="L687" s="385" t="s">
        <v>13498</v>
      </c>
      <c r="M687" s="276"/>
    </row>
    <row r="688" spans="1:13">
      <c r="A688" s="277">
        <f>VLOOKUP(B688, 'PubMed 10.7.21 Results'!B:B, 1, FALSE)</f>
        <v>17192129</v>
      </c>
      <c r="B688" s="277">
        <v>17192129</v>
      </c>
      <c r="C688" s="276" t="s">
        <v>9260</v>
      </c>
      <c r="D688" s="276" t="s">
        <v>9261</v>
      </c>
      <c r="E688" s="276" t="s">
        <v>9262</v>
      </c>
      <c r="F688" s="276" t="s">
        <v>6863</v>
      </c>
      <c r="G688" s="276" t="s">
        <v>9054</v>
      </c>
      <c r="H688" s="277">
        <v>2006</v>
      </c>
      <c r="I688" s="386">
        <v>39080</v>
      </c>
      <c r="J688" s="276"/>
      <c r="K688" s="276"/>
      <c r="L688" s="385" t="s">
        <v>9263</v>
      </c>
      <c r="M688" s="276"/>
    </row>
    <row r="689" spans="1:13">
      <c r="A689" s="277">
        <f>VLOOKUP(B689, 'PubMed 10.7.21 Results'!B:B, 1, FALSE)</f>
        <v>29482936</v>
      </c>
      <c r="B689" s="277">
        <v>29482936</v>
      </c>
      <c r="C689" s="276" t="s">
        <v>12595</v>
      </c>
      <c r="D689" s="276" t="s">
        <v>12596</v>
      </c>
      <c r="E689" s="276" t="s">
        <v>12597</v>
      </c>
      <c r="F689" s="276" t="s">
        <v>6425</v>
      </c>
      <c r="G689" s="276" t="s">
        <v>12598</v>
      </c>
      <c r="H689" s="277">
        <v>2018</v>
      </c>
      <c r="I689" s="386">
        <v>43159</v>
      </c>
      <c r="J689" s="276" t="s">
        <v>6426</v>
      </c>
      <c r="K689" s="276" t="s">
        <v>12599</v>
      </c>
      <c r="L689" s="385" t="s">
        <v>12600</v>
      </c>
      <c r="M689" s="276"/>
    </row>
    <row r="690" spans="1:13">
      <c r="A690" s="277">
        <f>VLOOKUP(B690, 'PubMed 10.7.21 Results'!B:B, 1, FALSE)</f>
        <v>21423006</v>
      </c>
      <c r="B690" s="277">
        <v>21423006</v>
      </c>
      <c r="C690" s="276" t="s">
        <v>10212</v>
      </c>
      <c r="D690" s="276" t="s">
        <v>10213</v>
      </c>
      <c r="E690" s="276" t="s">
        <v>10214</v>
      </c>
      <c r="F690" s="276" t="s">
        <v>6590</v>
      </c>
      <c r="G690" s="276" t="s">
        <v>9143</v>
      </c>
      <c r="H690" s="277">
        <v>2011</v>
      </c>
      <c r="I690" s="386">
        <v>40625</v>
      </c>
      <c r="J690" s="276"/>
      <c r="K690" s="276"/>
      <c r="L690" s="385" t="s">
        <v>10215</v>
      </c>
      <c r="M690" s="276"/>
    </row>
    <row r="691" spans="1:13">
      <c r="A691" s="277">
        <f>VLOOKUP(B691, 'PubMed 10.7.21 Results'!B:B, 1, FALSE)</f>
        <v>29684148</v>
      </c>
      <c r="B691" s="277">
        <v>29684148</v>
      </c>
      <c r="C691" s="276" t="s">
        <v>12623</v>
      </c>
      <c r="D691" s="276" t="s">
        <v>12624</v>
      </c>
      <c r="E691" s="276" t="s">
        <v>12625</v>
      </c>
      <c r="F691" s="276" t="s">
        <v>464</v>
      </c>
      <c r="G691" s="276" t="s">
        <v>9497</v>
      </c>
      <c r="H691" s="277">
        <v>2018</v>
      </c>
      <c r="I691" s="386">
        <v>43214</v>
      </c>
      <c r="J691" s="276"/>
      <c r="K691" s="276"/>
      <c r="L691" s="385" t="s">
        <v>12626</v>
      </c>
      <c r="M691" s="276"/>
    </row>
    <row r="692" spans="1:13">
      <c r="A692" s="277">
        <f>VLOOKUP(B692, 'PubMed 10.7.21 Results'!B:B, 1, FALSE)</f>
        <v>16049907</v>
      </c>
      <c r="B692" s="277">
        <v>16049907</v>
      </c>
      <c r="C692" s="276" t="s">
        <v>9179</v>
      </c>
      <c r="D692" s="276" t="s">
        <v>9180</v>
      </c>
      <c r="E692" s="276" t="s">
        <v>9181</v>
      </c>
      <c r="F692" s="276" t="s">
        <v>7501</v>
      </c>
      <c r="G692" s="276" t="s">
        <v>9182</v>
      </c>
      <c r="H692" s="277">
        <v>2005</v>
      </c>
      <c r="I692" s="386">
        <v>38562</v>
      </c>
      <c r="J692" s="276"/>
      <c r="K692" s="276"/>
      <c r="L692" s="385" t="s">
        <v>9183</v>
      </c>
      <c r="M692" s="276"/>
    </row>
    <row r="693" spans="1:13">
      <c r="A693" s="277">
        <f>VLOOKUP(B693, 'PubMed 10.7.21 Results'!B:B, 1, FALSE)</f>
        <v>26041411</v>
      </c>
      <c r="B693" s="277">
        <v>26041411</v>
      </c>
      <c r="C693" s="276" t="s">
        <v>11420</v>
      </c>
      <c r="D693" s="276" t="s">
        <v>11421</v>
      </c>
      <c r="E693" s="276" t="s">
        <v>11422</v>
      </c>
      <c r="F693" s="276" t="s">
        <v>7103</v>
      </c>
      <c r="G693" s="276" t="s">
        <v>11423</v>
      </c>
      <c r="H693" s="277">
        <v>2015</v>
      </c>
      <c r="I693" s="386">
        <v>42160</v>
      </c>
      <c r="J693" s="276"/>
      <c r="K693" s="276"/>
      <c r="L693" s="385" t="s">
        <v>11424</v>
      </c>
      <c r="M693" s="276"/>
    </row>
    <row r="694" spans="1:13">
      <c r="A694" s="277">
        <f>VLOOKUP(B694, 'PubMed 10.7.21 Results'!B:B, 1, FALSE)</f>
        <v>33306989</v>
      </c>
      <c r="B694" s="277">
        <v>33306989</v>
      </c>
      <c r="C694" s="276" t="s">
        <v>13996</v>
      </c>
      <c r="D694" s="276" t="s">
        <v>13997</v>
      </c>
      <c r="E694" s="276" t="s">
        <v>13998</v>
      </c>
      <c r="F694" s="276" t="s">
        <v>8016</v>
      </c>
      <c r="G694" s="276" t="s">
        <v>9420</v>
      </c>
      <c r="H694" s="277">
        <v>2021</v>
      </c>
      <c r="I694" s="386">
        <v>44176</v>
      </c>
      <c r="J694" s="276" t="s">
        <v>8017</v>
      </c>
      <c r="K694" s="276"/>
      <c r="L694" s="385" t="s">
        <v>13999</v>
      </c>
      <c r="M694" s="276"/>
    </row>
    <row r="695" spans="1:13">
      <c r="A695" s="277">
        <f>VLOOKUP(B695, 'PubMed 10.7.21 Results'!B:B, 1, FALSE)</f>
        <v>17019816</v>
      </c>
      <c r="B695" s="277">
        <v>17019816</v>
      </c>
      <c r="C695" s="276" t="s">
        <v>9256</v>
      </c>
      <c r="D695" s="276" t="s">
        <v>9257</v>
      </c>
      <c r="E695" s="276" t="s">
        <v>9258</v>
      </c>
      <c r="F695" s="276" t="s">
        <v>6655</v>
      </c>
      <c r="G695" s="276" t="s">
        <v>9259</v>
      </c>
      <c r="H695" s="277">
        <v>2006</v>
      </c>
      <c r="I695" s="386">
        <v>38996</v>
      </c>
      <c r="J695" s="276"/>
      <c r="K695" s="276"/>
      <c r="L695" s="276"/>
      <c r="M695" s="276"/>
    </row>
    <row r="696" spans="1:13">
      <c r="A696" s="277">
        <f>VLOOKUP(B696, 'PubMed 10.7.21 Results'!B:B, 1, FALSE)</f>
        <v>31287523</v>
      </c>
      <c r="B696" s="277">
        <v>31287523</v>
      </c>
      <c r="C696" s="276" t="s">
        <v>13142</v>
      </c>
      <c r="D696" s="276" t="s">
        <v>13143</v>
      </c>
      <c r="E696" s="276" t="s">
        <v>13144</v>
      </c>
      <c r="F696" s="276" t="s">
        <v>6491</v>
      </c>
      <c r="G696" s="276" t="s">
        <v>8580</v>
      </c>
      <c r="H696" s="277">
        <v>2019</v>
      </c>
      <c r="I696" s="386">
        <v>43656</v>
      </c>
      <c r="J696" s="276" t="s">
        <v>6492</v>
      </c>
      <c r="K696" s="276"/>
      <c r="L696" s="385" t="s">
        <v>13145</v>
      </c>
      <c r="M696" s="276"/>
    </row>
    <row r="697" spans="1:13">
      <c r="A697" s="277">
        <f>VLOOKUP(B697, 'PubMed 10.7.21 Results'!B:B, 1, FALSE)</f>
        <v>23535095</v>
      </c>
      <c r="B697" s="277">
        <v>23535095</v>
      </c>
      <c r="C697" s="276" t="s">
        <v>10712</v>
      </c>
      <c r="D697" s="276" t="s">
        <v>10713</v>
      </c>
      <c r="E697" s="276" t="s">
        <v>10714</v>
      </c>
      <c r="F697" s="276" t="s">
        <v>6907</v>
      </c>
      <c r="G697" s="276" t="s">
        <v>8552</v>
      </c>
      <c r="H697" s="277">
        <v>2013</v>
      </c>
      <c r="I697" s="386">
        <v>41362</v>
      </c>
      <c r="J697" s="276"/>
      <c r="K697" s="276"/>
      <c r="L697" s="385" t="s">
        <v>10715</v>
      </c>
      <c r="M697" s="276"/>
    </row>
    <row r="698" spans="1:13">
      <c r="A698" s="277">
        <f>VLOOKUP(B698, 'PubMed 10.7.21 Results'!B:B, 1, FALSE)</f>
        <v>19320979</v>
      </c>
      <c r="B698" s="277">
        <v>19320979</v>
      </c>
      <c r="C698" s="276" t="s">
        <v>9743</v>
      </c>
      <c r="D698" s="276" t="s">
        <v>9744</v>
      </c>
      <c r="E698" s="276" t="s">
        <v>9745</v>
      </c>
      <c r="F698" s="276" t="s">
        <v>7787</v>
      </c>
      <c r="G698" s="276" t="s">
        <v>9746</v>
      </c>
      <c r="H698" s="277">
        <v>2009</v>
      </c>
      <c r="I698" s="386">
        <v>39899</v>
      </c>
      <c r="J698" s="276" t="s">
        <v>7788</v>
      </c>
      <c r="K698" s="276"/>
      <c r="L698" s="385" t="s">
        <v>9747</v>
      </c>
      <c r="M698" s="276"/>
    </row>
    <row r="699" spans="1:13">
      <c r="A699" s="277">
        <f>VLOOKUP(B699, 'PubMed 10.7.21 Results'!B:B, 1, FALSE)</f>
        <v>31256137</v>
      </c>
      <c r="B699" s="277">
        <v>31256137</v>
      </c>
      <c r="C699" s="276" t="s">
        <v>12852</v>
      </c>
      <c r="D699" s="276" t="s">
        <v>12853</v>
      </c>
      <c r="E699" s="276" t="s">
        <v>12854</v>
      </c>
      <c r="F699" s="276" t="s">
        <v>7061</v>
      </c>
      <c r="G699" s="276" t="s">
        <v>12855</v>
      </c>
      <c r="H699" s="277">
        <v>2019</v>
      </c>
      <c r="I699" s="386">
        <v>43647</v>
      </c>
      <c r="J699" s="276" t="s">
        <v>7062</v>
      </c>
      <c r="K699" s="276"/>
      <c r="L699" s="385" t="s">
        <v>12856</v>
      </c>
      <c r="M699" s="276"/>
    </row>
    <row r="700" spans="1:13">
      <c r="A700" s="277">
        <f>VLOOKUP(B700, 'PubMed 10.7.21 Results'!B:B, 1, FALSE)</f>
        <v>22991696</v>
      </c>
      <c r="B700" s="277">
        <v>22991696</v>
      </c>
      <c r="C700" s="276" t="s">
        <v>10474</v>
      </c>
      <c r="D700" s="276" t="s">
        <v>10475</v>
      </c>
      <c r="E700" s="276" t="s">
        <v>10476</v>
      </c>
      <c r="F700" s="276" t="s">
        <v>7403</v>
      </c>
      <c r="G700" s="276" t="s">
        <v>9045</v>
      </c>
      <c r="H700" s="277">
        <v>2012</v>
      </c>
      <c r="I700" s="386">
        <v>41172</v>
      </c>
      <c r="J700" s="276"/>
      <c r="K700" s="276"/>
      <c r="L700" s="385" t="s">
        <v>10477</v>
      </c>
      <c r="M700" s="276"/>
    </row>
    <row r="701" spans="1:13">
      <c r="A701" s="277">
        <f>VLOOKUP(B701, 'PubMed 10.7.21 Results'!B:B, 1, FALSE)</f>
        <v>17391217</v>
      </c>
      <c r="B701" s="277">
        <v>17391217</v>
      </c>
      <c r="C701" s="276" t="s">
        <v>9422</v>
      </c>
      <c r="D701" s="276" t="s">
        <v>9423</v>
      </c>
      <c r="E701" s="276" t="s">
        <v>9424</v>
      </c>
      <c r="F701" s="276" t="s">
        <v>7181</v>
      </c>
      <c r="G701" s="276" t="s">
        <v>9227</v>
      </c>
      <c r="H701" s="277">
        <v>2007</v>
      </c>
      <c r="I701" s="386">
        <v>39171</v>
      </c>
      <c r="J701" s="276"/>
      <c r="K701" s="276"/>
      <c r="L701" s="385" t="s">
        <v>9425</v>
      </c>
      <c r="M701" s="276"/>
    </row>
    <row r="702" spans="1:13">
      <c r="A702" s="277">
        <f>VLOOKUP(B702, 'PubMed 10.7.21 Results'!B:B, 1, FALSE)</f>
        <v>23460596</v>
      </c>
      <c r="B702" s="277">
        <v>23460596</v>
      </c>
      <c r="C702" s="276" t="s">
        <v>10750</v>
      </c>
      <c r="D702" s="276" t="s">
        <v>10751</v>
      </c>
      <c r="E702" s="276" t="s">
        <v>10752</v>
      </c>
      <c r="F702" s="276" t="s">
        <v>7585</v>
      </c>
      <c r="G702" s="276" t="s">
        <v>10521</v>
      </c>
      <c r="H702" s="277">
        <v>2013</v>
      </c>
      <c r="I702" s="386">
        <v>41339</v>
      </c>
      <c r="J702" s="276"/>
      <c r="K702" s="276"/>
      <c r="L702" s="385" t="s">
        <v>10753</v>
      </c>
      <c r="M702" s="276"/>
    </row>
    <row r="703" spans="1:13">
      <c r="A703" s="277">
        <f>VLOOKUP(B703, 'PubMed 10.7.21 Results'!B:B, 1, FALSE)</f>
        <v>24119615</v>
      </c>
      <c r="B703" s="277">
        <v>24119615</v>
      </c>
      <c r="C703" s="276" t="s">
        <v>10830</v>
      </c>
      <c r="D703" s="276" t="s">
        <v>10831</v>
      </c>
      <c r="E703" s="276" t="s">
        <v>10832</v>
      </c>
      <c r="F703" s="276" t="s">
        <v>7621</v>
      </c>
      <c r="G703" s="276" t="s">
        <v>9906</v>
      </c>
      <c r="H703" s="277">
        <v>2013</v>
      </c>
      <c r="I703" s="386">
        <v>41562</v>
      </c>
      <c r="J703" s="276" t="s">
        <v>7622</v>
      </c>
      <c r="K703" s="276"/>
      <c r="L703" s="385" t="s">
        <v>10833</v>
      </c>
      <c r="M703" s="276"/>
    </row>
    <row r="704" spans="1:13">
      <c r="A704" s="277">
        <f>VLOOKUP(B704, 'PubMed 10.7.21 Results'!B:B, 1, FALSE)</f>
        <v>29423947</v>
      </c>
      <c r="B704" s="277">
        <v>29423947</v>
      </c>
      <c r="C704" s="276" t="s">
        <v>12487</v>
      </c>
      <c r="D704" s="276" t="s">
        <v>12488</v>
      </c>
      <c r="E704" s="276" t="s">
        <v>12489</v>
      </c>
      <c r="F704" s="276" t="s">
        <v>6917</v>
      </c>
      <c r="G704" s="276" t="s">
        <v>10263</v>
      </c>
      <c r="H704" s="277">
        <v>2018</v>
      </c>
      <c r="I704" s="386">
        <v>43141</v>
      </c>
      <c r="J704" s="276"/>
      <c r="K704" s="276"/>
      <c r="L704" s="385" t="s">
        <v>12490</v>
      </c>
      <c r="M704" s="276"/>
    </row>
    <row r="705" spans="1:13">
      <c r="A705" s="277">
        <f>VLOOKUP(B705, 'PubMed 10.7.21 Results'!B:B, 1, FALSE)</f>
        <v>27789983</v>
      </c>
      <c r="B705" s="277">
        <v>27789983</v>
      </c>
      <c r="C705" s="276" t="s">
        <v>9792</v>
      </c>
      <c r="D705" s="276" t="s">
        <v>9793</v>
      </c>
      <c r="E705" s="276" t="s">
        <v>9794</v>
      </c>
      <c r="F705" s="276" t="s">
        <v>7301</v>
      </c>
      <c r="G705" s="276" t="s">
        <v>9795</v>
      </c>
      <c r="H705" s="277">
        <v>2009</v>
      </c>
      <c r="I705" s="386">
        <v>39990</v>
      </c>
      <c r="J705" s="276" t="s">
        <v>7302</v>
      </c>
      <c r="K705" s="276"/>
      <c r="L705" s="385" t="s">
        <v>9796</v>
      </c>
      <c r="M705" s="276"/>
    </row>
    <row r="706" spans="1:13">
      <c r="A706" s="277">
        <f>VLOOKUP(B706, 'PubMed 10.7.21 Results'!B:B, 1, FALSE)</f>
        <v>27290681</v>
      </c>
      <c r="B706" s="277">
        <v>27290681</v>
      </c>
      <c r="C706" s="276" t="s">
        <v>11791</v>
      </c>
      <c r="D706" s="276" t="s">
        <v>11792</v>
      </c>
      <c r="E706" s="276" t="s">
        <v>11793</v>
      </c>
      <c r="F706" s="276" t="s">
        <v>6822</v>
      </c>
      <c r="G706" s="276" t="s">
        <v>11383</v>
      </c>
      <c r="H706" s="277">
        <v>2016</v>
      </c>
      <c r="I706" s="386">
        <v>42534</v>
      </c>
      <c r="J706" s="276"/>
      <c r="K706" s="276"/>
      <c r="L706" s="385" t="s">
        <v>11794</v>
      </c>
      <c r="M706" s="276"/>
    </row>
    <row r="707" spans="1:13">
      <c r="A707" s="277">
        <f>VLOOKUP(B707, 'PubMed 10.7.21 Results'!B:B, 1, FALSE)</f>
        <v>27912955</v>
      </c>
      <c r="B707" s="277">
        <v>27912955</v>
      </c>
      <c r="C707" s="276" t="s">
        <v>11901</v>
      </c>
      <c r="D707" s="276" t="s">
        <v>11902</v>
      </c>
      <c r="E707" s="276" t="s">
        <v>11903</v>
      </c>
      <c r="F707" s="276" t="s">
        <v>7308</v>
      </c>
      <c r="G707" s="276" t="s">
        <v>9133</v>
      </c>
      <c r="H707" s="277">
        <v>2016</v>
      </c>
      <c r="I707" s="386">
        <v>42708</v>
      </c>
      <c r="J707" s="276"/>
      <c r="K707" s="276"/>
      <c r="L707" s="385" t="s">
        <v>11904</v>
      </c>
      <c r="M707" s="276"/>
    </row>
    <row r="708" spans="1:13">
      <c r="A708" s="277">
        <f>VLOOKUP(B708, 'PubMed 10.7.21 Results'!B:B, 1, FALSE)</f>
        <v>26323415</v>
      </c>
      <c r="B708" s="277">
        <v>26323415</v>
      </c>
      <c r="C708" s="276" t="s">
        <v>11265</v>
      </c>
      <c r="D708" s="276" t="s">
        <v>11266</v>
      </c>
      <c r="E708" s="276" t="s">
        <v>11267</v>
      </c>
      <c r="F708" s="276" t="s">
        <v>7132</v>
      </c>
      <c r="G708" s="276" t="s">
        <v>11268</v>
      </c>
      <c r="H708" s="277">
        <v>2015</v>
      </c>
      <c r="I708" s="386">
        <v>42249</v>
      </c>
      <c r="J708" s="276"/>
      <c r="K708" s="276"/>
      <c r="L708" s="385" t="s">
        <v>11269</v>
      </c>
      <c r="M708" s="276"/>
    </row>
    <row r="709" spans="1:13">
      <c r="A709" s="277">
        <f>VLOOKUP(B709, 'PubMed 10.7.21 Results'!B:B, 1, FALSE)</f>
        <v>9990745</v>
      </c>
      <c r="B709" s="277">
        <v>9990745</v>
      </c>
      <c r="C709" s="276" t="s">
        <v>8657</v>
      </c>
      <c r="D709" s="276" t="s">
        <v>8658</v>
      </c>
      <c r="E709" s="276" t="s">
        <v>8659</v>
      </c>
      <c r="F709" s="276" t="s">
        <v>6872</v>
      </c>
      <c r="G709" s="276" t="s">
        <v>8660</v>
      </c>
      <c r="H709" s="277">
        <v>1999</v>
      </c>
      <c r="I709" s="386">
        <v>36208</v>
      </c>
      <c r="J709" s="276"/>
      <c r="K709" s="276"/>
      <c r="L709" s="385" t="s">
        <v>8661</v>
      </c>
      <c r="M709" s="276"/>
    </row>
    <row r="710" spans="1:13">
      <c r="A710" s="277">
        <f>VLOOKUP(B710, 'PubMed 10.7.21 Results'!B:B, 1, FALSE)</f>
        <v>24756009</v>
      </c>
      <c r="B710" s="277">
        <v>24756009</v>
      </c>
      <c r="C710" s="276" t="s">
        <v>10998</v>
      </c>
      <c r="D710" s="276" t="s">
        <v>10999</v>
      </c>
      <c r="E710" s="276" t="s">
        <v>11000</v>
      </c>
      <c r="F710" s="276" t="s">
        <v>7072</v>
      </c>
      <c r="G710" s="276" t="s">
        <v>11001</v>
      </c>
      <c r="H710" s="277">
        <v>2014</v>
      </c>
      <c r="I710" s="386">
        <v>41753</v>
      </c>
      <c r="J710" s="276"/>
      <c r="K710" s="276"/>
      <c r="L710" s="276"/>
      <c r="M710" s="276"/>
    </row>
    <row r="711" spans="1:13">
      <c r="A711" s="277">
        <f>VLOOKUP(B711, 'PubMed 10.7.21 Results'!B:B, 1, FALSE)</f>
        <v>22496082</v>
      </c>
      <c r="B711" s="277">
        <v>22496082</v>
      </c>
      <c r="C711" s="276" t="s">
        <v>10437</v>
      </c>
      <c r="D711" s="276" t="s">
        <v>10438</v>
      </c>
      <c r="E711" s="276" t="s">
        <v>10439</v>
      </c>
      <c r="F711" s="276" t="s">
        <v>7770</v>
      </c>
      <c r="G711" s="276" t="s">
        <v>10440</v>
      </c>
      <c r="H711" s="277">
        <v>2012</v>
      </c>
      <c r="I711" s="386">
        <v>41012</v>
      </c>
      <c r="J711" s="276"/>
      <c r="K711" s="276"/>
      <c r="L711" s="385" t="s">
        <v>10441</v>
      </c>
      <c r="M711" s="276"/>
    </row>
    <row r="712" spans="1:13">
      <c r="A712" s="277">
        <f>VLOOKUP(B712, 'PubMed 10.7.21 Results'!B:B, 1, FALSE)</f>
        <v>23543569</v>
      </c>
      <c r="B712" s="277">
        <v>23543569</v>
      </c>
      <c r="C712" s="276" t="s">
        <v>10708</v>
      </c>
      <c r="D712" s="276" t="s">
        <v>10709</v>
      </c>
      <c r="E712" s="276" t="s">
        <v>10710</v>
      </c>
      <c r="F712" s="276" t="s">
        <v>6596</v>
      </c>
      <c r="G712" s="276" t="s">
        <v>8857</v>
      </c>
      <c r="H712" s="277">
        <v>2013</v>
      </c>
      <c r="I712" s="386">
        <v>41366</v>
      </c>
      <c r="J712" s="276"/>
      <c r="K712" s="276"/>
      <c r="L712" s="385" t="s">
        <v>10711</v>
      </c>
      <c r="M712" s="276"/>
    </row>
    <row r="713" spans="1:13">
      <c r="A713" s="277">
        <f>VLOOKUP(B713, 'PubMed 10.7.21 Results'!B:B, 1, FALSE)</f>
        <v>28062347</v>
      </c>
      <c r="B713" s="277">
        <v>28062347</v>
      </c>
      <c r="C713" s="276" t="s">
        <v>12056</v>
      </c>
      <c r="D713" s="276" t="s">
        <v>12057</v>
      </c>
      <c r="E713" s="276" t="s">
        <v>12058</v>
      </c>
      <c r="F713" s="276" t="s">
        <v>7659</v>
      </c>
      <c r="G713" s="276" t="s">
        <v>12059</v>
      </c>
      <c r="H713" s="277">
        <v>2017</v>
      </c>
      <c r="I713" s="386">
        <v>42743</v>
      </c>
      <c r="J713" s="276" t="s">
        <v>7661</v>
      </c>
      <c r="K713" s="276" t="s">
        <v>12060</v>
      </c>
      <c r="L713" s="385" t="s">
        <v>12061</v>
      </c>
      <c r="M713" s="276"/>
    </row>
    <row r="714" spans="1:13">
      <c r="A714" s="277">
        <f>VLOOKUP(B714, 'PubMed 10.7.21 Results'!B:B, 1, FALSE)</f>
        <v>30092840</v>
      </c>
      <c r="B714" s="277">
        <v>30092840</v>
      </c>
      <c r="C714" s="276" t="s">
        <v>12675</v>
      </c>
      <c r="D714" s="276" t="s">
        <v>12676</v>
      </c>
      <c r="E714" s="276" t="s">
        <v>12677</v>
      </c>
      <c r="F714" s="276" t="s">
        <v>6943</v>
      </c>
      <c r="G714" s="276" t="s">
        <v>12392</v>
      </c>
      <c r="H714" s="277">
        <v>2018</v>
      </c>
      <c r="I714" s="386">
        <v>43323</v>
      </c>
      <c r="J714" s="276" t="s">
        <v>6944</v>
      </c>
      <c r="K714" s="276"/>
      <c r="L714" s="385" t="s">
        <v>12678</v>
      </c>
      <c r="M714" s="276"/>
    </row>
    <row r="715" spans="1:13">
      <c r="A715" s="277">
        <f>VLOOKUP(B715, 'PubMed 10.7.21 Results'!B:B, 1, FALSE)</f>
        <v>23070029</v>
      </c>
      <c r="B715" s="277">
        <v>23070029</v>
      </c>
      <c r="C715" s="276" t="s">
        <v>10596</v>
      </c>
      <c r="D715" s="276" t="s">
        <v>10597</v>
      </c>
      <c r="E715" s="276" t="s">
        <v>10598</v>
      </c>
      <c r="F715" s="276" t="s">
        <v>7778</v>
      </c>
      <c r="G715" s="276" t="s">
        <v>8584</v>
      </c>
      <c r="H715" s="277">
        <v>2012</v>
      </c>
      <c r="I715" s="386">
        <v>41199</v>
      </c>
      <c r="J715" s="276"/>
      <c r="K715" s="276"/>
      <c r="L715" s="385" t="s">
        <v>10599</v>
      </c>
      <c r="M715" s="276"/>
    </row>
    <row r="716" spans="1:13">
      <c r="A716" s="277">
        <f>VLOOKUP(B716, 'PubMed 10.7.21 Results'!B:B, 1, FALSE)</f>
        <v>28265861</v>
      </c>
      <c r="B716" s="277">
        <v>28265861</v>
      </c>
      <c r="C716" s="276" t="s">
        <v>12202</v>
      </c>
      <c r="D716" s="276" t="s">
        <v>12203</v>
      </c>
      <c r="E716" s="276" t="s">
        <v>12204</v>
      </c>
      <c r="F716" s="276" t="s">
        <v>7522</v>
      </c>
      <c r="G716" s="276" t="s">
        <v>12205</v>
      </c>
      <c r="H716" s="277">
        <v>2017</v>
      </c>
      <c r="I716" s="386">
        <v>42802</v>
      </c>
      <c r="J716" s="276"/>
      <c r="K716" s="276"/>
      <c r="L716" s="385" t="s">
        <v>12206</v>
      </c>
      <c r="M716" s="276"/>
    </row>
    <row r="717" spans="1:13">
      <c r="A717" s="277">
        <f>VLOOKUP(B717, 'PubMed 10.7.21 Results'!B:B, 1, FALSE)</f>
        <v>1687320</v>
      </c>
      <c r="B717" s="277">
        <v>1687320</v>
      </c>
      <c r="C717" s="276" t="s">
        <v>8472</v>
      </c>
      <c r="D717" s="276" t="s">
        <v>8473</v>
      </c>
      <c r="E717" s="276" t="s">
        <v>8474</v>
      </c>
      <c r="F717" s="276" t="s">
        <v>6664</v>
      </c>
      <c r="G717" s="276" t="s">
        <v>8475</v>
      </c>
      <c r="H717" s="277">
        <v>1991</v>
      </c>
      <c r="I717" s="386">
        <v>33239</v>
      </c>
      <c r="J717" s="276"/>
      <c r="K717" s="276"/>
      <c r="L717" s="385" t="s">
        <v>8476</v>
      </c>
      <c r="M717" s="276"/>
    </row>
    <row r="718" spans="1:13">
      <c r="A718" s="277">
        <f>VLOOKUP(B718, 'PubMed 10.7.21 Results'!B:B, 1, FALSE)</f>
        <v>30638863</v>
      </c>
      <c r="B718" s="277">
        <v>30638863</v>
      </c>
      <c r="C718" s="276" t="s">
        <v>12900</v>
      </c>
      <c r="D718" s="276" t="s">
        <v>12901</v>
      </c>
      <c r="E718" s="276" t="s">
        <v>12902</v>
      </c>
      <c r="F718" s="276" t="s">
        <v>7068</v>
      </c>
      <c r="G718" s="276" t="s">
        <v>11664</v>
      </c>
      <c r="H718" s="277">
        <v>2019</v>
      </c>
      <c r="I718" s="386">
        <v>43480</v>
      </c>
      <c r="J718" s="276" t="s">
        <v>7069</v>
      </c>
      <c r="K718" s="276"/>
      <c r="L718" s="385" t="s">
        <v>12903</v>
      </c>
      <c r="M718" s="276"/>
    </row>
    <row r="719" spans="1:13">
      <c r="A719" s="277">
        <f>VLOOKUP(B719, 'PubMed 10.7.21 Results'!B:B, 1, FALSE)</f>
        <v>12076499</v>
      </c>
      <c r="B719" s="277">
        <v>12076499</v>
      </c>
      <c r="C719" s="276" t="s">
        <v>8870</v>
      </c>
      <c r="D719" s="276" t="s">
        <v>8871</v>
      </c>
      <c r="E719" s="276" t="s">
        <v>8872</v>
      </c>
      <c r="F719" s="276" t="s">
        <v>7412</v>
      </c>
      <c r="G719" s="276" t="s">
        <v>8857</v>
      </c>
      <c r="H719" s="277">
        <v>2002</v>
      </c>
      <c r="I719" s="386">
        <v>37429</v>
      </c>
      <c r="J719" s="276" t="s">
        <v>7413</v>
      </c>
      <c r="K719" s="276"/>
      <c r="L719" s="385" t="s">
        <v>8873</v>
      </c>
      <c r="M719" s="276"/>
    </row>
    <row r="720" spans="1:13">
      <c r="A720" s="277">
        <f>VLOOKUP(B720, 'PubMed 10.7.21 Results'!B:B, 1, FALSE)</f>
        <v>33239013</v>
      </c>
      <c r="B720" s="277">
        <v>33239013</v>
      </c>
      <c r="C720" s="276" t="s">
        <v>13865</v>
      </c>
      <c r="D720" s="276" t="s">
        <v>13866</v>
      </c>
      <c r="E720" s="276" t="s">
        <v>13867</v>
      </c>
      <c r="F720" s="276" t="s">
        <v>7961</v>
      </c>
      <c r="G720" s="276" t="s">
        <v>10685</v>
      </c>
      <c r="H720" s="277">
        <v>2020</v>
      </c>
      <c r="I720" s="386">
        <v>44161</v>
      </c>
      <c r="J720" s="276" t="s">
        <v>7962</v>
      </c>
      <c r="K720" s="276"/>
      <c r="L720" s="385" t="s">
        <v>13868</v>
      </c>
      <c r="M720" s="276"/>
    </row>
    <row r="721" spans="1:13">
      <c r="A721" s="277">
        <f>VLOOKUP(B721, 'PubMed 10.7.21 Results'!B:B, 1, FALSE)</f>
        <v>1727803</v>
      </c>
      <c r="B721" s="277">
        <v>1727803</v>
      </c>
      <c r="C721" s="276" t="s">
        <v>8477</v>
      </c>
      <c r="D721" s="276" t="s">
        <v>8478</v>
      </c>
      <c r="E721" s="276" t="s">
        <v>8479</v>
      </c>
      <c r="F721" s="276" t="s">
        <v>7947</v>
      </c>
      <c r="G721" s="276" t="s">
        <v>8480</v>
      </c>
      <c r="H721" s="277">
        <v>1992</v>
      </c>
      <c r="I721" s="386">
        <v>33604</v>
      </c>
      <c r="J721" s="276"/>
      <c r="K721" s="276"/>
      <c r="L721" s="385" t="s">
        <v>8481</v>
      </c>
      <c r="M721" s="276"/>
    </row>
    <row r="722" spans="1:13">
      <c r="A722" s="277">
        <f>VLOOKUP(B722, 'PubMed 10.7.21 Results'!B:B, 1, FALSE)</f>
        <v>28216284</v>
      </c>
      <c r="B722" s="277">
        <v>28216284</v>
      </c>
      <c r="C722" s="276" t="s">
        <v>12087</v>
      </c>
      <c r="D722" s="276" t="s">
        <v>12088</v>
      </c>
      <c r="E722" s="276" t="s">
        <v>12089</v>
      </c>
      <c r="F722" s="276" t="s">
        <v>8074</v>
      </c>
      <c r="G722" s="276" t="s">
        <v>12090</v>
      </c>
      <c r="H722" s="277">
        <v>2017</v>
      </c>
      <c r="I722" s="386">
        <v>42787</v>
      </c>
      <c r="J722" s="276"/>
      <c r="K722" s="276"/>
      <c r="L722" s="385" t="s">
        <v>12091</v>
      </c>
      <c r="M722" s="276"/>
    </row>
    <row r="723" spans="1:13">
      <c r="A723" s="277">
        <f>VLOOKUP(B723, 'PubMed 10.7.21 Results'!B:B, 1, FALSE)</f>
        <v>21708057</v>
      </c>
      <c r="B723" s="277">
        <v>21708057</v>
      </c>
      <c r="C723" s="276" t="s">
        <v>10075</v>
      </c>
      <c r="D723" s="276" t="s">
        <v>10076</v>
      </c>
      <c r="E723" s="276" t="s">
        <v>10077</v>
      </c>
      <c r="F723" s="276" t="s">
        <v>8059</v>
      </c>
      <c r="G723" s="276" t="s">
        <v>9045</v>
      </c>
      <c r="H723" s="277">
        <v>2010</v>
      </c>
      <c r="I723" s="386">
        <v>40723</v>
      </c>
      <c r="J723" s="276"/>
      <c r="K723" s="276"/>
      <c r="L723" s="385" t="s">
        <v>10078</v>
      </c>
      <c r="M723" s="276"/>
    </row>
    <row r="724" spans="1:13">
      <c r="A724" s="277">
        <f>VLOOKUP(B724, 'PubMed 10.7.21 Results'!B:B, 1, FALSE)</f>
        <v>11520724</v>
      </c>
      <c r="B724" s="277">
        <v>11520724</v>
      </c>
      <c r="C724" s="276" t="s">
        <v>8813</v>
      </c>
      <c r="D724" s="276" t="s">
        <v>8814</v>
      </c>
      <c r="E724" s="276" t="s">
        <v>8815</v>
      </c>
      <c r="F724" s="276" t="s">
        <v>7451</v>
      </c>
      <c r="G724" s="276" t="s">
        <v>8524</v>
      </c>
      <c r="H724" s="277">
        <v>2001</v>
      </c>
      <c r="I724" s="386">
        <v>37128</v>
      </c>
      <c r="J724" s="276"/>
      <c r="K724" s="276"/>
      <c r="L724" s="385" t="s">
        <v>8816</v>
      </c>
      <c r="M724" s="276"/>
    </row>
    <row r="725" spans="1:13">
      <c r="A725" s="277">
        <f>VLOOKUP(B725, 'PubMed 10.7.21 Results'!B:B, 1, FALSE)</f>
        <v>26916697</v>
      </c>
      <c r="B725" s="277">
        <v>26916697</v>
      </c>
      <c r="C725" s="276" t="s">
        <v>11647</v>
      </c>
      <c r="D725" s="276" t="s">
        <v>11648</v>
      </c>
      <c r="E725" s="276" t="s">
        <v>11649</v>
      </c>
      <c r="F725" s="276" t="s">
        <v>7516</v>
      </c>
      <c r="G725" s="276" t="s">
        <v>11650</v>
      </c>
      <c r="H725" s="277">
        <v>2016</v>
      </c>
      <c r="I725" s="386">
        <v>42427</v>
      </c>
      <c r="J725" s="276" t="s">
        <v>7517</v>
      </c>
      <c r="K725" s="276"/>
      <c r="L725" s="385" t="s">
        <v>11651</v>
      </c>
      <c r="M725" s="276"/>
    </row>
    <row r="726" spans="1:13">
      <c r="A726" s="277">
        <f>VLOOKUP(B726, 'PubMed 10.7.21 Results'!B:B, 1, FALSE)</f>
        <v>23044202</v>
      </c>
      <c r="B726" s="277">
        <v>23044202</v>
      </c>
      <c r="C726" s="276" t="s">
        <v>10498</v>
      </c>
      <c r="D726" s="276" t="s">
        <v>10499</v>
      </c>
      <c r="E726" s="276" t="s">
        <v>10500</v>
      </c>
      <c r="F726" s="276" t="s">
        <v>7268</v>
      </c>
      <c r="G726" s="276" t="s">
        <v>10501</v>
      </c>
      <c r="H726" s="277">
        <v>2012</v>
      </c>
      <c r="I726" s="386">
        <v>41192</v>
      </c>
      <c r="J726" s="276"/>
      <c r="K726" s="276"/>
      <c r="L726" s="385" t="s">
        <v>10502</v>
      </c>
      <c r="M726" s="276"/>
    </row>
    <row r="727" spans="1:13">
      <c r="A727" s="277">
        <f>VLOOKUP(B727, 'PubMed 10.7.21 Results'!B:B, 1, FALSE)</f>
        <v>10383509</v>
      </c>
      <c r="B727" s="277">
        <v>10383509</v>
      </c>
      <c r="C727" s="276" t="s">
        <v>8682</v>
      </c>
      <c r="D727" s="276" t="s">
        <v>8683</v>
      </c>
      <c r="E727" s="276" t="s">
        <v>8684</v>
      </c>
      <c r="F727" s="276" t="s">
        <v>6624</v>
      </c>
      <c r="G727" s="276" t="s">
        <v>8685</v>
      </c>
      <c r="H727" s="277">
        <v>1999</v>
      </c>
      <c r="I727" s="386">
        <v>36337</v>
      </c>
      <c r="J727" s="276"/>
      <c r="K727" s="276"/>
      <c r="L727" s="385" t="s">
        <v>8686</v>
      </c>
      <c r="M727" s="276"/>
    </row>
    <row r="728" spans="1:13">
      <c r="A728" s="277">
        <f>VLOOKUP(B728, 'PubMed 10.7.21 Results'!B:B, 1, FALSE)</f>
        <v>17943918</v>
      </c>
      <c r="B728" s="277">
        <v>17943918</v>
      </c>
      <c r="C728" s="276" t="s">
        <v>9490</v>
      </c>
      <c r="D728" s="276" t="s">
        <v>9491</v>
      </c>
      <c r="E728" s="276" t="s">
        <v>9492</v>
      </c>
      <c r="F728" s="276" t="s">
        <v>7502</v>
      </c>
      <c r="G728" s="276" t="s">
        <v>8857</v>
      </c>
      <c r="H728" s="277">
        <v>2007</v>
      </c>
      <c r="I728" s="386">
        <v>39374</v>
      </c>
      <c r="J728" s="276"/>
      <c r="K728" s="276"/>
      <c r="L728" s="385" t="s">
        <v>9493</v>
      </c>
      <c r="M728" s="276"/>
    </row>
    <row r="729" spans="1:13">
      <c r="A729" s="277">
        <f>VLOOKUP(B729, 'PubMed 10.7.21 Results'!B:B, 1, FALSE)</f>
        <v>16336426</v>
      </c>
      <c r="B729" s="277">
        <v>16336426</v>
      </c>
      <c r="C729" s="276" t="s">
        <v>9224</v>
      </c>
      <c r="D729" s="276" t="s">
        <v>9225</v>
      </c>
      <c r="E729" s="276" t="s">
        <v>9226</v>
      </c>
      <c r="F729" s="276" t="s">
        <v>7897</v>
      </c>
      <c r="G729" s="276" t="s">
        <v>9227</v>
      </c>
      <c r="H729" s="277">
        <v>2005</v>
      </c>
      <c r="I729" s="386">
        <v>38699</v>
      </c>
      <c r="J729" s="276"/>
      <c r="K729" s="276"/>
      <c r="L729" s="385" t="s">
        <v>9228</v>
      </c>
      <c r="M729" s="276"/>
    </row>
    <row r="730" spans="1:13">
      <c r="A730" s="277">
        <f>VLOOKUP(B730, 'PubMed 10.7.21 Results'!B:B, 1, FALSE)</f>
        <v>9669649</v>
      </c>
      <c r="B730" s="277">
        <v>9669649</v>
      </c>
      <c r="C730" s="276" t="s">
        <v>8624</v>
      </c>
      <c r="D730" s="276" t="s">
        <v>8625</v>
      </c>
      <c r="E730" s="276" t="s">
        <v>8626</v>
      </c>
      <c r="F730" s="276" t="s">
        <v>7616</v>
      </c>
      <c r="G730" s="276" t="s">
        <v>8627</v>
      </c>
      <c r="H730" s="277">
        <v>1998</v>
      </c>
      <c r="I730" s="386">
        <v>35997</v>
      </c>
      <c r="J730" s="276"/>
      <c r="K730" s="276"/>
      <c r="L730" s="385" t="s">
        <v>8628</v>
      </c>
      <c r="M730" s="276"/>
    </row>
    <row r="731" spans="1:13">
      <c r="A731" s="277">
        <f>VLOOKUP(B731, 'PubMed 10.7.21 Results'!B:B, 1, FALSE)</f>
        <v>24359122</v>
      </c>
      <c r="B731" s="277">
        <v>24359122</v>
      </c>
      <c r="C731" s="276" t="s">
        <v>10869</v>
      </c>
      <c r="D731" s="276" t="s">
        <v>10870</v>
      </c>
      <c r="E731" s="276" t="s">
        <v>10871</v>
      </c>
      <c r="F731" s="276" t="s">
        <v>6997</v>
      </c>
      <c r="G731" s="276" t="s">
        <v>10872</v>
      </c>
      <c r="H731" s="277">
        <v>2013</v>
      </c>
      <c r="I731" s="386">
        <v>41632</v>
      </c>
      <c r="J731" s="276" t="s">
        <v>6998</v>
      </c>
      <c r="K731" s="276"/>
      <c r="L731" s="385" t="s">
        <v>10873</v>
      </c>
      <c r="M731" s="276"/>
    </row>
    <row r="732" spans="1:13">
      <c r="A732" s="277">
        <f>VLOOKUP(B732, 'PubMed 10.7.21 Results'!B:B, 1, FALSE)</f>
        <v>25346301</v>
      </c>
      <c r="B732" s="277">
        <v>25346301</v>
      </c>
      <c r="C732" s="276" t="s">
        <v>11191</v>
      </c>
      <c r="D732" s="276" t="s">
        <v>11192</v>
      </c>
      <c r="E732" s="276" t="s">
        <v>11193</v>
      </c>
      <c r="F732" s="276" t="s">
        <v>7056</v>
      </c>
      <c r="G732" s="276" t="s">
        <v>11194</v>
      </c>
      <c r="H732" s="277">
        <v>2014</v>
      </c>
      <c r="I732" s="386">
        <v>41940</v>
      </c>
      <c r="J732" s="276"/>
      <c r="K732" s="276"/>
      <c r="L732" s="385" t="s">
        <v>11195</v>
      </c>
      <c r="M732" s="276"/>
    </row>
    <row r="733" spans="1:13">
      <c r="A733" s="277">
        <f>VLOOKUP(B733, 'PubMed 10.7.21 Results'!B:B, 1, FALSE)</f>
        <v>7742543</v>
      </c>
      <c r="B733" s="277">
        <v>7742543</v>
      </c>
      <c r="C733" s="276" t="s">
        <v>8541</v>
      </c>
      <c r="D733" s="276" t="s">
        <v>8542</v>
      </c>
      <c r="E733" s="276" t="s">
        <v>8543</v>
      </c>
      <c r="F733" s="276" t="s">
        <v>7965</v>
      </c>
      <c r="G733" s="276" t="s">
        <v>8540</v>
      </c>
      <c r="H733" s="277">
        <v>1995</v>
      </c>
      <c r="I733" s="386">
        <v>34834</v>
      </c>
      <c r="J733" s="276"/>
      <c r="K733" s="276"/>
      <c r="L733" s="276"/>
      <c r="M733" s="276"/>
    </row>
    <row r="734" spans="1:13">
      <c r="A734" s="277">
        <f>VLOOKUP(B734, 'PubMed 10.7.21 Results'!B:B, 1, FALSE)</f>
        <v>10632735</v>
      </c>
      <c r="B734" s="277">
        <v>10632735</v>
      </c>
      <c r="C734" s="276" t="s">
        <v>8723</v>
      </c>
      <c r="D734" s="276" t="s">
        <v>8724</v>
      </c>
      <c r="E734" s="276" t="s">
        <v>8725</v>
      </c>
      <c r="F734" s="276" t="s">
        <v>6786</v>
      </c>
      <c r="G734" s="276" t="s">
        <v>8699</v>
      </c>
      <c r="H734" s="277">
        <v>2000</v>
      </c>
      <c r="I734" s="386">
        <v>36538</v>
      </c>
      <c r="J734" s="276"/>
      <c r="K734" s="276"/>
      <c r="L734" s="385" t="s">
        <v>8726</v>
      </c>
      <c r="M734" s="276"/>
    </row>
    <row r="735" spans="1:13">
      <c r="A735" s="277">
        <f>VLOOKUP(B735, 'PubMed 10.7.21 Results'!B:B, 1, FALSE)</f>
        <v>22727733</v>
      </c>
      <c r="B735" s="277">
        <v>22727733</v>
      </c>
      <c r="C735" s="276" t="s">
        <v>10545</v>
      </c>
      <c r="D735" s="276" t="s">
        <v>10546</v>
      </c>
      <c r="E735" s="276" t="s">
        <v>10547</v>
      </c>
      <c r="F735" s="276" t="s">
        <v>6583</v>
      </c>
      <c r="G735" s="276" t="s">
        <v>10548</v>
      </c>
      <c r="H735" s="277">
        <v>2012</v>
      </c>
      <c r="I735" s="386">
        <v>41086</v>
      </c>
      <c r="J735" s="276"/>
      <c r="K735" s="276"/>
      <c r="L735" s="385" t="s">
        <v>10549</v>
      </c>
      <c r="M735" s="276"/>
    </row>
    <row r="736" spans="1:13">
      <c r="A736" s="277">
        <f>VLOOKUP(B736, 'PubMed 10.7.21 Results'!B:B, 1, FALSE)</f>
        <v>27363652</v>
      </c>
      <c r="B736" s="277">
        <v>27363652</v>
      </c>
      <c r="C736" s="276" t="s">
        <v>18892</v>
      </c>
      <c r="D736" s="276" t="s">
        <v>11796</v>
      </c>
      <c r="E736" s="276" t="s">
        <v>11797</v>
      </c>
      <c r="F736" s="276" t="s">
        <v>6757</v>
      </c>
      <c r="G736" s="276" t="s">
        <v>11798</v>
      </c>
      <c r="H736" s="277">
        <v>2016</v>
      </c>
      <c r="I736" s="386">
        <v>42553</v>
      </c>
      <c r="J736" s="276"/>
      <c r="K736" s="276"/>
      <c r="L736" s="385" t="s">
        <v>11799</v>
      </c>
      <c r="M736" s="276"/>
    </row>
    <row r="737" spans="1:13">
      <c r="A737" s="277">
        <f>VLOOKUP(B737, 'PubMed 10.7.21 Results'!B:B, 1, FALSE)</f>
        <v>19566925</v>
      </c>
      <c r="B737" s="277">
        <v>19566925</v>
      </c>
      <c r="C737" s="276" t="s">
        <v>9797</v>
      </c>
      <c r="D737" s="276" t="s">
        <v>9798</v>
      </c>
      <c r="E737" s="276" t="s">
        <v>9799</v>
      </c>
      <c r="F737" s="276" t="s">
        <v>6709</v>
      </c>
      <c r="G737" s="276" t="s">
        <v>9800</v>
      </c>
      <c r="H737" s="277">
        <v>2009</v>
      </c>
      <c r="I737" s="386">
        <v>39996</v>
      </c>
      <c r="J737" s="276" t="s">
        <v>6710</v>
      </c>
      <c r="K737" s="276"/>
      <c r="L737" s="385" t="s">
        <v>9801</v>
      </c>
      <c r="M737" s="276"/>
    </row>
    <row r="738" spans="1:13">
      <c r="A738" s="277">
        <f>VLOOKUP(B738, 'PubMed 10.7.21 Results'!B:B, 1, FALSE)</f>
        <v>22556187</v>
      </c>
      <c r="B738" s="277">
        <v>22556187</v>
      </c>
      <c r="C738" s="276" t="s">
        <v>10518</v>
      </c>
      <c r="D738" s="276" t="s">
        <v>10519</v>
      </c>
      <c r="E738" s="276" t="s">
        <v>10520</v>
      </c>
      <c r="F738" s="276" t="s">
        <v>7856</v>
      </c>
      <c r="G738" s="276" t="s">
        <v>10521</v>
      </c>
      <c r="H738" s="277">
        <v>2012</v>
      </c>
      <c r="I738" s="386">
        <v>41034</v>
      </c>
      <c r="J738" s="276"/>
      <c r="K738" s="276"/>
      <c r="L738" s="385" t="s">
        <v>10522</v>
      </c>
      <c r="M738" s="276"/>
    </row>
    <row r="739" spans="1:13">
      <c r="A739" s="277">
        <f>VLOOKUP(B739, 'PubMed 10.7.21 Results'!B:B, 1, FALSE)</f>
        <v>29469799</v>
      </c>
      <c r="B739" s="277">
        <v>29469799</v>
      </c>
      <c r="C739" s="276" t="s">
        <v>12298</v>
      </c>
      <c r="D739" s="276" t="s">
        <v>12299</v>
      </c>
      <c r="E739" s="276" t="s">
        <v>12300</v>
      </c>
      <c r="F739" s="276" t="s">
        <v>7690</v>
      </c>
      <c r="G739" s="276" t="s">
        <v>12301</v>
      </c>
      <c r="H739" s="277">
        <v>2017</v>
      </c>
      <c r="I739" s="386">
        <v>43154</v>
      </c>
      <c r="J739" s="276"/>
      <c r="K739" s="276"/>
      <c r="L739" s="276"/>
      <c r="M739" s="276"/>
    </row>
    <row r="740" spans="1:13">
      <c r="A740" s="277">
        <f>VLOOKUP(B740, 'PubMed 10.7.21 Results'!B:B, 1, FALSE)</f>
        <v>31701238</v>
      </c>
      <c r="B740" s="277">
        <v>31701238</v>
      </c>
      <c r="C740" s="276" t="s">
        <v>13619</v>
      </c>
      <c r="D740" s="276" t="s">
        <v>13620</v>
      </c>
      <c r="E740" s="276" t="s">
        <v>13621</v>
      </c>
      <c r="F740" s="276" t="s">
        <v>7617</v>
      </c>
      <c r="G740" s="276" t="s">
        <v>13622</v>
      </c>
      <c r="H740" s="277">
        <v>2020</v>
      </c>
      <c r="I740" s="386">
        <v>43778</v>
      </c>
      <c r="J740" s="276"/>
      <c r="K740" s="276"/>
      <c r="L740" s="385" t="s">
        <v>13623</v>
      </c>
      <c r="M740" s="276"/>
    </row>
    <row r="741" spans="1:13">
      <c r="A741" s="277">
        <f>VLOOKUP(B741, 'PubMed 10.7.21 Results'!B:B, 1, FALSE)</f>
        <v>12803883</v>
      </c>
      <c r="B741" s="277">
        <v>12803883</v>
      </c>
      <c r="C741" s="276" t="s">
        <v>8945</v>
      </c>
      <c r="D741" s="276" t="s">
        <v>8946</v>
      </c>
      <c r="E741" s="276" t="s">
        <v>8947</v>
      </c>
      <c r="F741" s="276" t="s">
        <v>6627</v>
      </c>
      <c r="G741" s="276" t="s">
        <v>8948</v>
      </c>
      <c r="H741" s="277">
        <v>2003</v>
      </c>
      <c r="I741" s="386">
        <v>37786</v>
      </c>
      <c r="J741" s="276"/>
      <c r="K741" s="276"/>
      <c r="L741" s="385" t="s">
        <v>8949</v>
      </c>
      <c r="M741" s="276"/>
    </row>
    <row r="742" spans="1:13">
      <c r="A742" s="277">
        <f>VLOOKUP(B742, 'PubMed 10.7.21 Results'!B:B, 1, FALSE)</f>
        <v>31378318</v>
      </c>
      <c r="B742" s="277">
        <v>31378318</v>
      </c>
      <c r="C742" s="276" t="s">
        <v>13182</v>
      </c>
      <c r="D742" s="276" t="s">
        <v>13183</v>
      </c>
      <c r="E742" s="276" t="s">
        <v>13184</v>
      </c>
      <c r="F742" s="276" t="s">
        <v>7726</v>
      </c>
      <c r="G742" s="276" t="s">
        <v>8640</v>
      </c>
      <c r="H742" s="277">
        <v>2019</v>
      </c>
      <c r="I742" s="386">
        <v>43683</v>
      </c>
      <c r="J742" s="276"/>
      <c r="K742" s="276"/>
      <c r="L742" s="385" t="s">
        <v>13185</v>
      </c>
      <c r="M742" s="276"/>
    </row>
    <row r="743" spans="1:13">
      <c r="A743" s="277">
        <f>VLOOKUP(B743, 'PubMed 10.7.21 Results'!B:B, 1, FALSE)</f>
        <v>19596014</v>
      </c>
      <c r="B743" s="277">
        <v>19596014</v>
      </c>
      <c r="C743" s="276" t="s">
        <v>9857</v>
      </c>
      <c r="D743" s="276" t="s">
        <v>9858</v>
      </c>
      <c r="E743" s="276" t="s">
        <v>9859</v>
      </c>
      <c r="F743" s="276" t="s">
        <v>7727</v>
      </c>
      <c r="G743" s="276" t="s">
        <v>9860</v>
      </c>
      <c r="H743" s="277">
        <v>2009</v>
      </c>
      <c r="I743" s="386">
        <v>40009</v>
      </c>
      <c r="J743" s="276"/>
      <c r="K743" s="276"/>
      <c r="L743" s="385" t="s">
        <v>9861</v>
      </c>
      <c r="M743" s="276"/>
    </row>
    <row r="744" spans="1:13">
      <c r="A744" s="277">
        <f>VLOOKUP(B744, 'PubMed 10.7.21 Results'!B:B, 1, FALSE)</f>
        <v>11268707</v>
      </c>
      <c r="B744" s="277">
        <v>11268707</v>
      </c>
      <c r="C744" s="276" t="s">
        <v>8759</v>
      </c>
      <c r="D744" s="276" t="s">
        <v>8760</v>
      </c>
      <c r="E744" s="276" t="s">
        <v>8761</v>
      </c>
      <c r="F744" s="276" t="s">
        <v>7071</v>
      </c>
      <c r="G744" s="276" t="s">
        <v>8762</v>
      </c>
      <c r="H744" s="277">
        <v>2001</v>
      </c>
      <c r="I744" s="386">
        <v>36978</v>
      </c>
      <c r="J744" s="276"/>
      <c r="K744" s="276"/>
      <c r="L744" s="385" t="s">
        <v>8763</v>
      </c>
      <c r="M744" s="276"/>
    </row>
    <row r="745" spans="1:13">
      <c r="A745" s="277">
        <f>VLOOKUP(B745, 'PubMed 10.7.21 Results'!B:B, 1, FALSE)</f>
        <v>27448805</v>
      </c>
      <c r="B745" s="277">
        <v>27448805</v>
      </c>
      <c r="C745" s="276" t="s">
        <v>11808</v>
      </c>
      <c r="D745" s="276" t="s">
        <v>11809</v>
      </c>
      <c r="E745" s="276" t="s">
        <v>11810</v>
      </c>
      <c r="F745" s="276" t="s">
        <v>391</v>
      </c>
      <c r="G745" s="276" t="s">
        <v>11228</v>
      </c>
      <c r="H745" s="277">
        <v>2016</v>
      </c>
      <c r="I745" s="386">
        <v>42576</v>
      </c>
      <c r="J745" s="276" t="s">
        <v>7070</v>
      </c>
      <c r="K745" s="276"/>
      <c r="L745" s="385" t="s">
        <v>11811</v>
      </c>
      <c r="M745" s="276"/>
    </row>
    <row r="746" spans="1:13">
      <c r="A746" s="277">
        <f>VLOOKUP(B746, 'PubMed 10.7.21 Results'!B:B, 1, FALSE)</f>
        <v>15679715</v>
      </c>
      <c r="B746" s="277">
        <v>15679715</v>
      </c>
      <c r="C746" s="276" t="s">
        <v>9154</v>
      </c>
      <c r="D746" s="276" t="s">
        <v>9155</v>
      </c>
      <c r="E746" s="276" t="s">
        <v>9156</v>
      </c>
      <c r="F746" s="276" t="s">
        <v>7095</v>
      </c>
      <c r="G746" s="276" t="s">
        <v>8485</v>
      </c>
      <c r="H746" s="277">
        <v>2005</v>
      </c>
      <c r="I746" s="386">
        <v>38384</v>
      </c>
      <c r="J746" s="276"/>
      <c r="K746" s="276"/>
      <c r="L746" s="385" t="s">
        <v>9157</v>
      </c>
      <c r="M746" s="276"/>
    </row>
    <row r="747" spans="1:13">
      <c r="A747" s="277">
        <f>VLOOKUP(B747, 'PubMed 10.7.21 Results'!B:B, 1, FALSE)</f>
        <v>28394229</v>
      </c>
      <c r="B747" s="277">
        <v>28394229</v>
      </c>
      <c r="C747" s="276" t="s">
        <v>12071</v>
      </c>
      <c r="D747" s="276" t="s">
        <v>9684</v>
      </c>
      <c r="E747" s="276" t="s">
        <v>12072</v>
      </c>
      <c r="F747" s="276" t="s">
        <v>7023</v>
      </c>
      <c r="G747" s="276" t="s">
        <v>12073</v>
      </c>
      <c r="H747" s="277">
        <v>2017</v>
      </c>
      <c r="I747" s="386">
        <v>42836</v>
      </c>
      <c r="J747" s="276"/>
      <c r="K747" s="276"/>
      <c r="L747" s="385" t="s">
        <v>12074</v>
      </c>
      <c r="M747" s="276"/>
    </row>
    <row r="748" spans="1:13">
      <c r="A748" s="277">
        <f>VLOOKUP(B748, 'PubMed 10.7.21 Results'!B:B, 1, FALSE)</f>
        <v>27604498</v>
      </c>
      <c r="B748" s="277">
        <v>27604498</v>
      </c>
      <c r="C748" s="276" t="s">
        <v>11897</v>
      </c>
      <c r="D748" s="276" t="s">
        <v>11898</v>
      </c>
      <c r="E748" s="276" t="s">
        <v>11899</v>
      </c>
      <c r="F748" s="276" t="s">
        <v>7410</v>
      </c>
      <c r="G748" s="276" t="s">
        <v>11659</v>
      </c>
      <c r="H748" s="277">
        <v>2016</v>
      </c>
      <c r="I748" s="386">
        <v>42622</v>
      </c>
      <c r="J748" s="276"/>
      <c r="K748" s="276"/>
      <c r="L748" s="385" t="s">
        <v>11900</v>
      </c>
      <c r="M748" s="276"/>
    </row>
    <row r="749" spans="1:13">
      <c r="A749" s="277">
        <f>VLOOKUP(B749, 'PubMed 10.7.21 Results'!B:B, 1, FALSE)</f>
        <v>27942720</v>
      </c>
      <c r="B749" s="277">
        <v>27942720</v>
      </c>
      <c r="C749" s="276" t="s">
        <v>11979</v>
      </c>
      <c r="D749" s="276" t="s">
        <v>11980</v>
      </c>
      <c r="E749" s="276" t="s">
        <v>11981</v>
      </c>
      <c r="F749" s="276" t="s">
        <v>7748</v>
      </c>
      <c r="G749" s="276" t="s">
        <v>11982</v>
      </c>
      <c r="H749" s="277">
        <v>2017</v>
      </c>
      <c r="I749" s="386">
        <v>42717</v>
      </c>
      <c r="J749" s="276"/>
      <c r="K749" s="276"/>
      <c r="L749" s="385" t="s">
        <v>11983</v>
      </c>
      <c r="M749" s="276"/>
    </row>
    <row r="750" spans="1:13">
      <c r="A750" s="277">
        <f>VLOOKUP(B750, 'PubMed 10.7.21 Results'!B:B, 1, FALSE)</f>
        <v>25366634</v>
      </c>
      <c r="B750" s="277">
        <v>25366634</v>
      </c>
      <c r="C750" s="276" t="s">
        <v>11244</v>
      </c>
      <c r="D750" s="276" t="s">
        <v>11245</v>
      </c>
      <c r="E750" s="276" t="s">
        <v>11246</v>
      </c>
      <c r="F750" s="276" t="s">
        <v>7151</v>
      </c>
      <c r="G750" s="276" t="s">
        <v>11247</v>
      </c>
      <c r="H750" s="277">
        <v>2015</v>
      </c>
      <c r="I750" s="386">
        <v>41948</v>
      </c>
      <c r="J750" s="276"/>
      <c r="K750" s="276"/>
      <c r="L750" s="385" t="s">
        <v>11248</v>
      </c>
      <c r="M750" s="276"/>
    </row>
    <row r="751" spans="1:13">
      <c r="A751" s="277">
        <f>VLOOKUP(B751, 'PubMed 10.7.21 Results'!B:B, 1, FALSE)</f>
        <v>23348979</v>
      </c>
      <c r="B751" s="277">
        <v>23348979</v>
      </c>
      <c r="C751" s="276" t="s">
        <v>10720</v>
      </c>
      <c r="D751" s="276" t="s">
        <v>10721</v>
      </c>
      <c r="E751" s="276" t="s">
        <v>10722</v>
      </c>
      <c r="F751" s="276" t="s">
        <v>6742</v>
      </c>
      <c r="G751" s="276" t="s">
        <v>8524</v>
      </c>
      <c r="H751" s="277">
        <v>2013</v>
      </c>
      <c r="I751" s="386">
        <v>41300</v>
      </c>
      <c r="J751" s="276"/>
      <c r="K751" s="276"/>
      <c r="L751" s="385" t="s">
        <v>10723</v>
      </c>
      <c r="M751" s="276"/>
    </row>
    <row r="752" spans="1:13">
      <c r="A752" s="277">
        <f>VLOOKUP(B752, 'PubMed 10.7.21 Results'!B:B, 1, FALSE)</f>
        <v>27859599</v>
      </c>
      <c r="B752" s="277">
        <v>27859599</v>
      </c>
      <c r="C752" s="276" t="s">
        <v>18893</v>
      </c>
      <c r="D752" s="276" t="s">
        <v>11969</v>
      </c>
      <c r="E752" s="276" t="s">
        <v>11970</v>
      </c>
      <c r="F752" s="276" t="s">
        <v>7211</v>
      </c>
      <c r="G752" s="276" t="s">
        <v>11971</v>
      </c>
      <c r="H752" s="277">
        <v>2017</v>
      </c>
      <c r="I752" s="386">
        <v>42693</v>
      </c>
      <c r="J752" s="276"/>
      <c r="K752" s="276"/>
      <c r="L752" s="385" t="s">
        <v>11972</v>
      </c>
      <c r="M752" s="276"/>
    </row>
    <row r="753" spans="1:13">
      <c r="A753" s="277">
        <f>VLOOKUP(B753, 'PubMed 10.7.21 Results'!B:B, 1, FALSE)</f>
        <v>27217097</v>
      </c>
      <c r="B753" s="277">
        <v>27217097</v>
      </c>
      <c r="C753" s="276" t="s">
        <v>11841</v>
      </c>
      <c r="D753" s="276" t="s">
        <v>11842</v>
      </c>
      <c r="E753" s="276" t="s">
        <v>11843</v>
      </c>
      <c r="F753" s="276" t="s">
        <v>6823</v>
      </c>
      <c r="G753" s="276" t="s">
        <v>8699</v>
      </c>
      <c r="H753" s="277">
        <v>2016</v>
      </c>
      <c r="I753" s="386">
        <v>42515</v>
      </c>
      <c r="J753" s="276"/>
      <c r="K753" s="276"/>
      <c r="L753" s="385" t="s">
        <v>11844</v>
      </c>
      <c r="M753" s="276"/>
    </row>
    <row r="754" spans="1:13">
      <c r="A754" s="277">
        <f>VLOOKUP(B754, 'PubMed 10.7.21 Results'!B:B, 1, FALSE)</f>
        <v>32992075</v>
      </c>
      <c r="B754" s="277">
        <v>32992075</v>
      </c>
      <c r="C754" s="276" t="s">
        <v>13902</v>
      </c>
      <c r="D754" s="276" t="s">
        <v>13903</v>
      </c>
      <c r="E754" s="276" t="s">
        <v>13904</v>
      </c>
      <c r="F754" s="276" t="s">
        <v>6530</v>
      </c>
      <c r="G754" s="276" t="s">
        <v>8777</v>
      </c>
      <c r="H754" s="277">
        <v>2020</v>
      </c>
      <c r="I754" s="386">
        <v>44103</v>
      </c>
      <c r="J754" s="276" t="s">
        <v>6531</v>
      </c>
      <c r="K754" s="276"/>
      <c r="L754" s="385" t="s">
        <v>13905</v>
      </c>
      <c r="M754" s="276"/>
    </row>
    <row r="755" spans="1:13">
      <c r="A755" s="277">
        <f>VLOOKUP(B755, 'PubMed 10.7.21 Results'!B:B, 1, FALSE)</f>
        <v>28187915</v>
      </c>
      <c r="B755" s="277">
        <v>28187915</v>
      </c>
      <c r="C755" s="276" t="s">
        <v>12036</v>
      </c>
      <c r="D755" s="276" t="s">
        <v>12037</v>
      </c>
      <c r="E755" s="276" t="s">
        <v>12038</v>
      </c>
      <c r="F755" s="276" t="s">
        <v>7063</v>
      </c>
      <c r="G755" s="276" t="s">
        <v>9420</v>
      </c>
      <c r="H755" s="277">
        <v>2017</v>
      </c>
      <c r="I755" s="386">
        <v>42778</v>
      </c>
      <c r="J755" s="276"/>
      <c r="K755" s="276"/>
      <c r="L755" s="385" t="s">
        <v>12039</v>
      </c>
      <c r="M755" s="276"/>
    </row>
    <row r="756" spans="1:13">
      <c r="A756" s="277">
        <f>VLOOKUP(B756, 'PubMed 10.7.21 Results'!B:B, 1, FALSE)</f>
        <v>16414334</v>
      </c>
      <c r="B756" s="277">
        <v>16414334</v>
      </c>
      <c r="C756" s="276" t="s">
        <v>9238</v>
      </c>
      <c r="D756" s="276" t="s">
        <v>9239</v>
      </c>
      <c r="E756" s="276" t="s">
        <v>9240</v>
      </c>
      <c r="F756" s="276" t="s">
        <v>7307</v>
      </c>
      <c r="G756" s="276" t="s">
        <v>9241</v>
      </c>
      <c r="H756" s="277">
        <v>2005</v>
      </c>
      <c r="I756" s="386">
        <v>38735</v>
      </c>
      <c r="J756" s="276"/>
      <c r="K756" s="276"/>
      <c r="L756" s="385" t="s">
        <v>9242</v>
      </c>
      <c r="M756" s="276"/>
    </row>
    <row r="757" spans="1:13">
      <c r="A757" s="277">
        <f>VLOOKUP(B757, 'PubMed 10.7.21 Results'!B:B, 1, FALSE)</f>
        <v>26269898</v>
      </c>
      <c r="B757" s="277">
        <v>26269898</v>
      </c>
      <c r="C757" s="276" t="s">
        <v>11258</v>
      </c>
      <c r="D757" s="276" t="s">
        <v>11259</v>
      </c>
      <c r="E757" s="276" t="s">
        <v>11260</v>
      </c>
      <c r="F757" s="276" t="s">
        <v>6547</v>
      </c>
      <c r="G757" s="276" t="s">
        <v>11261</v>
      </c>
      <c r="H757" s="277">
        <v>2015</v>
      </c>
      <c r="I757" s="386">
        <v>42005</v>
      </c>
      <c r="J757" s="276"/>
      <c r="K757" s="276"/>
      <c r="L757" s="276"/>
      <c r="M757" s="276"/>
    </row>
    <row r="758" spans="1:13">
      <c r="A758" s="277">
        <f>VLOOKUP(B758, 'PubMed 10.7.21 Results'!B:B, 1, FALSE)</f>
        <v>26208394</v>
      </c>
      <c r="B758" s="277">
        <v>26208394</v>
      </c>
      <c r="C758" s="276" t="s">
        <v>11573</v>
      </c>
      <c r="D758" s="276" t="s">
        <v>11574</v>
      </c>
      <c r="E758" s="276" t="s">
        <v>11575</v>
      </c>
      <c r="F758" s="276" t="s">
        <v>7248</v>
      </c>
      <c r="G758" s="276" t="s">
        <v>11576</v>
      </c>
      <c r="H758" s="277">
        <v>2016</v>
      </c>
      <c r="I758" s="386">
        <v>42210</v>
      </c>
      <c r="J758" s="276" t="s">
        <v>7249</v>
      </c>
      <c r="K758" s="276"/>
      <c r="L758" s="385" t="s">
        <v>11577</v>
      </c>
      <c r="M758" s="276"/>
    </row>
    <row r="759" spans="1:13">
      <c r="A759" s="277">
        <f>VLOOKUP(B759, 'PubMed 10.7.21 Results'!B:B, 1, FALSE)</f>
        <v>23881653</v>
      </c>
      <c r="B759" s="277">
        <v>23881653</v>
      </c>
      <c r="C759" s="276" t="s">
        <v>10785</v>
      </c>
      <c r="D759" s="276" t="s">
        <v>10786</v>
      </c>
      <c r="E759" s="276" t="s">
        <v>10787</v>
      </c>
      <c r="F759" s="276" t="s">
        <v>6903</v>
      </c>
      <c r="G759" s="276" t="s">
        <v>8857</v>
      </c>
      <c r="H759" s="277">
        <v>2013</v>
      </c>
      <c r="I759" s="386">
        <v>41480</v>
      </c>
      <c r="J759" s="276" t="s">
        <v>6904</v>
      </c>
      <c r="K759" s="276"/>
      <c r="L759" s="385" t="s">
        <v>10788</v>
      </c>
      <c r="M759" s="276"/>
    </row>
    <row r="760" spans="1:13">
      <c r="A760" s="277">
        <f>VLOOKUP(B760, 'PubMed 10.7.21 Results'!B:B, 1, FALSE)</f>
        <v>19675533</v>
      </c>
      <c r="B760" s="277">
        <v>19675533</v>
      </c>
      <c r="C760" s="276" t="s">
        <v>9918</v>
      </c>
      <c r="D760" s="276" t="s">
        <v>9919</v>
      </c>
      <c r="E760" s="276" t="s">
        <v>9920</v>
      </c>
      <c r="F760" s="276" t="s">
        <v>7358</v>
      </c>
      <c r="G760" s="276" t="s">
        <v>9921</v>
      </c>
      <c r="H760" s="277">
        <v>2009</v>
      </c>
      <c r="I760" s="386">
        <v>40039</v>
      </c>
      <c r="J760" s="276"/>
      <c r="K760" s="276"/>
      <c r="L760" s="385" t="s">
        <v>9922</v>
      </c>
      <c r="M760" s="276"/>
    </row>
    <row r="761" spans="1:13">
      <c r="A761" s="277">
        <f>VLOOKUP(B761, 'PubMed 10.7.21 Results'!B:B, 1, FALSE)</f>
        <v>14633783</v>
      </c>
      <c r="B761" s="277">
        <v>14633783</v>
      </c>
      <c r="C761" s="276" t="s">
        <v>8950</v>
      </c>
      <c r="D761" s="276" t="s">
        <v>8951</v>
      </c>
      <c r="E761" s="276" t="s">
        <v>8952</v>
      </c>
      <c r="F761" s="276" t="s">
        <v>7852</v>
      </c>
      <c r="G761" s="276" t="s">
        <v>8953</v>
      </c>
      <c r="H761" s="277">
        <v>2003</v>
      </c>
      <c r="I761" s="386">
        <v>37950</v>
      </c>
      <c r="J761" s="276"/>
      <c r="K761" s="276"/>
      <c r="L761" s="385" t="s">
        <v>8954</v>
      </c>
      <c r="M761" s="276"/>
    </row>
    <row r="762" spans="1:13">
      <c r="A762" s="277">
        <f>VLOOKUP(B762, 'PubMed 10.7.21 Results'!B:B, 1, FALSE)</f>
        <v>29936327</v>
      </c>
      <c r="B762" s="277">
        <v>29936327</v>
      </c>
      <c r="C762" s="276" t="s">
        <v>12736</v>
      </c>
      <c r="D762" s="276" t="s">
        <v>12737</v>
      </c>
      <c r="E762" s="276" t="s">
        <v>12738</v>
      </c>
      <c r="F762" s="276" t="s">
        <v>7178</v>
      </c>
      <c r="G762" s="276" t="s">
        <v>9780</v>
      </c>
      <c r="H762" s="277">
        <v>2018</v>
      </c>
      <c r="I762" s="386">
        <v>43276</v>
      </c>
      <c r="J762" s="276"/>
      <c r="K762" s="276"/>
      <c r="L762" s="385" t="s">
        <v>12739</v>
      </c>
      <c r="M762" s="276"/>
    </row>
    <row r="763" spans="1:13">
      <c r="A763" s="277">
        <f>VLOOKUP(B763, 'PubMed 10.7.21 Results'!B:B, 1, FALSE)</f>
        <v>24895301</v>
      </c>
      <c r="B763" s="277">
        <v>24895301</v>
      </c>
      <c r="C763" s="276" t="s">
        <v>18894</v>
      </c>
      <c r="D763" s="276" t="s">
        <v>11116</v>
      </c>
      <c r="E763" s="276" t="s">
        <v>11117</v>
      </c>
      <c r="F763" s="276" t="s">
        <v>6831</v>
      </c>
      <c r="G763" s="276" t="s">
        <v>11118</v>
      </c>
      <c r="H763" s="277">
        <v>2014</v>
      </c>
      <c r="I763" s="386">
        <v>41795</v>
      </c>
      <c r="J763" s="276"/>
      <c r="K763" s="276"/>
      <c r="L763" s="385" t="s">
        <v>11119</v>
      </c>
      <c r="M763" s="276"/>
    </row>
    <row r="764" spans="1:13">
      <c r="A764" s="277">
        <f>VLOOKUP(B764, 'PubMed 10.7.21 Results'!B:B, 1, FALSE)</f>
        <v>22929469</v>
      </c>
      <c r="B764" s="277">
        <v>22929469</v>
      </c>
      <c r="C764" s="276" t="s">
        <v>10554</v>
      </c>
      <c r="D764" s="276" t="s">
        <v>10555</v>
      </c>
      <c r="E764" s="276" t="s">
        <v>10556</v>
      </c>
      <c r="F764" s="276" t="s">
        <v>6841</v>
      </c>
      <c r="G764" s="276" t="s">
        <v>10557</v>
      </c>
      <c r="H764" s="277">
        <v>2012</v>
      </c>
      <c r="I764" s="386">
        <v>41151</v>
      </c>
      <c r="J764" s="276" t="s">
        <v>6842</v>
      </c>
      <c r="K764" s="276" t="s">
        <v>10558</v>
      </c>
      <c r="L764" s="385" t="s">
        <v>10559</v>
      </c>
      <c r="M764" s="276"/>
    </row>
    <row r="765" spans="1:13">
      <c r="A765" s="277">
        <f>VLOOKUP(B765, 'PubMed 10.7.21 Results'!B:B, 1, FALSE)</f>
        <v>11106715</v>
      </c>
      <c r="B765" s="277">
        <v>11106715</v>
      </c>
      <c r="C765" s="276" t="s">
        <v>8751</v>
      </c>
      <c r="D765" s="276" t="s">
        <v>8752</v>
      </c>
      <c r="E765" s="276" t="s">
        <v>8753</v>
      </c>
      <c r="F765" s="276" t="s">
        <v>8124</v>
      </c>
      <c r="G765" s="276" t="s">
        <v>8514</v>
      </c>
      <c r="H765" s="277">
        <v>2000</v>
      </c>
      <c r="I765" s="386">
        <v>36867</v>
      </c>
      <c r="J765" s="276"/>
      <c r="K765" s="276"/>
      <c r="L765" s="385" t="s">
        <v>8754</v>
      </c>
      <c r="M765" s="276"/>
    </row>
    <row r="766" spans="1:13">
      <c r="A766" s="277">
        <f>VLOOKUP(B766, 'PubMed 10.7.21 Results'!B:B, 1, FALSE)</f>
        <v>19650816</v>
      </c>
      <c r="B766" s="277">
        <v>19650816</v>
      </c>
      <c r="C766" s="276" t="s">
        <v>9838</v>
      </c>
      <c r="D766" s="276" t="s">
        <v>9839</v>
      </c>
      <c r="E766" s="276" t="s">
        <v>9840</v>
      </c>
      <c r="F766" s="276" t="s">
        <v>6446</v>
      </c>
      <c r="G766" s="276" t="s">
        <v>9841</v>
      </c>
      <c r="H766" s="277">
        <v>2009</v>
      </c>
      <c r="I766" s="386">
        <v>40030</v>
      </c>
      <c r="J766" s="276"/>
      <c r="K766" s="276"/>
      <c r="L766" s="385" t="s">
        <v>9842</v>
      </c>
      <c r="M766" s="276"/>
    </row>
    <row r="767" spans="1:13">
      <c r="A767" s="277">
        <f>VLOOKUP(B767, 'PubMed 10.7.21 Results'!B:B, 1, FALSE)</f>
        <v>19700988</v>
      </c>
      <c r="B767" s="277">
        <v>19700988</v>
      </c>
      <c r="C767" s="276" t="s">
        <v>9843</v>
      </c>
      <c r="D767" s="276" t="s">
        <v>9844</v>
      </c>
      <c r="E767" s="276" t="s">
        <v>9845</v>
      </c>
      <c r="F767" s="276" t="s">
        <v>6916</v>
      </c>
      <c r="G767" s="276" t="s">
        <v>9846</v>
      </c>
      <c r="H767" s="277">
        <v>2009</v>
      </c>
      <c r="I767" s="386">
        <v>40050</v>
      </c>
      <c r="J767" s="276"/>
      <c r="K767" s="276"/>
      <c r="L767" s="385" t="s">
        <v>9847</v>
      </c>
      <c r="M767" s="276"/>
    </row>
    <row r="768" spans="1:13">
      <c r="A768" s="277">
        <f>VLOOKUP(B768, 'PubMed 10.7.21 Results'!B:B, 1, FALSE)</f>
        <v>33737345</v>
      </c>
      <c r="B768" s="277">
        <v>33737345</v>
      </c>
      <c r="C768" s="276" t="s">
        <v>14088</v>
      </c>
      <c r="D768" s="276" t="s">
        <v>14089</v>
      </c>
      <c r="E768" s="276" t="s">
        <v>14090</v>
      </c>
      <c r="F768" s="276" t="s">
        <v>7593</v>
      </c>
      <c r="G768" s="276" t="s">
        <v>13580</v>
      </c>
      <c r="H768" s="277">
        <v>2021</v>
      </c>
      <c r="I768" s="386">
        <v>44274</v>
      </c>
      <c r="J768" s="276" t="s">
        <v>7594</v>
      </c>
      <c r="K768" s="276"/>
      <c r="L768" s="385" t="s">
        <v>14091</v>
      </c>
      <c r="M768" s="276"/>
    </row>
    <row r="769" spans="1:13">
      <c r="A769" s="277">
        <f>VLOOKUP(B769, 'PubMed 10.7.21 Results'!B:B, 1, FALSE)</f>
        <v>22633423</v>
      </c>
      <c r="B769" s="277">
        <v>22633423</v>
      </c>
      <c r="C769" s="276" t="s">
        <v>10508</v>
      </c>
      <c r="D769" s="276" t="s">
        <v>10509</v>
      </c>
      <c r="E769" s="276" t="s">
        <v>10510</v>
      </c>
      <c r="F769" s="276" t="s">
        <v>7714</v>
      </c>
      <c r="G769" s="276" t="s">
        <v>10511</v>
      </c>
      <c r="H769" s="277">
        <v>2012</v>
      </c>
      <c r="I769" s="386">
        <v>41058</v>
      </c>
      <c r="J769" s="276"/>
      <c r="K769" s="276"/>
      <c r="L769" s="385" t="s">
        <v>10512</v>
      </c>
      <c r="M769" s="276"/>
    </row>
    <row r="770" spans="1:13">
      <c r="A770" s="277">
        <f>VLOOKUP(B770, 'PubMed 10.7.21 Results'!B:B, 1, FALSE)</f>
        <v>7691504</v>
      </c>
      <c r="B770" s="277">
        <v>7691504</v>
      </c>
      <c r="C770" s="276" t="s">
        <v>8506</v>
      </c>
      <c r="D770" s="276" t="s">
        <v>8507</v>
      </c>
      <c r="E770" s="276" t="s">
        <v>8508</v>
      </c>
      <c r="F770" s="276" t="s">
        <v>6949</v>
      </c>
      <c r="G770" s="276" t="s">
        <v>8509</v>
      </c>
      <c r="H770" s="277">
        <v>1993</v>
      </c>
      <c r="I770" s="386">
        <v>34151</v>
      </c>
      <c r="J770" s="276"/>
      <c r="K770" s="276"/>
      <c r="L770" s="385" t="s">
        <v>8510</v>
      </c>
      <c r="M770" s="276"/>
    </row>
    <row r="771" spans="1:13">
      <c r="A771" s="277">
        <f>VLOOKUP(B771, 'PubMed 10.7.21 Results'!B:B, 1, FALSE)</f>
        <v>21428031</v>
      </c>
      <c r="B771" s="277">
        <v>21428031</v>
      </c>
      <c r="C771" s="276" t="s">
        <v>10122</v>
      </c>
      <c r="D771" s="276" t="s">
        <v>10123</v>
      </c>
      <c r="E771" s="276" t="s">
        <v>10124</v>
      </c>
      <c r="F771" s="276" t="s">
        <v>6516</v>
      </c>
      <c r="G771" s="276" t="s">
        <v>10125</v>
      </c>
      <c r="H771" s="277">
        <v>2011</v>
      </c>
      <c r="I771" s="386">
        <v>40627</v>
      </c>
      <c r="J771" s="276"/>
      <c r="K771" s="276"/>
      <c r="L771" s="276"/>
      <c r="M771" s="276"/>
    </row>
    <row r="772" spans="1:13">
      <c r="A772" s="277">
        <f>VLOOKUP(B772, 'PubMed 10.7.21 Results'!B:B, 1, FALSE)</f>
        <v>29720571</v>
      </c>
      <c r="B772" s="277">
        <v>29720571</v>
      </c>
      <c r="C772" s="276" t="s">
        <v>12534</v>
      </c>
      <c r="D772" s="276" t="s">
        <v>12535</v>
      </c>
      <c r="E772" s="276" t="s">
        <v>12536</v>
      </c>
      <c r="F772" s="276" t="s">
        <v>7489</v>
      </c>
      <c r="G772" s="276" t="s">
        <v>12537</v>
      </c>
      <c r="H772" s="277">
        <v>2018</v>
      </c>
      <c r="I772" s="386">
        <v>43224</v>
      </c>
      <c r="J772" s="276" t="s">
        <v>7490</v>
      </c>
      <c r="K772" s="276"/>
      <c r="L772" s="385" t="s">
        <v>12538</v>
      </c>
      <c r="M772" s="276"/>
    </row>
    <row r="773" spans="1:13">
      <c r="A773" s="277">
        <f>VLOOKUP(B773, 'PubMed 10.7.21 Results'!B:B, 1, FALSE)</f>
        <v>28431202</v>
      </c>
      <c r="B773" s="277">
        <v>28431202</v>
      </c>
      <c r="C773" s="276" t="s">
        <v>12079</v>
      </c>
      <c r="D773" s="276" t="s">
        <v>12080</v>
      </c>
      <c r="E773" s="276" t="s">
        <v>12081</v>
      </c>
      <c r="F773" s="276" t="s">
        <v>7438</v>
      </c>
      <c r="G773" s="276" t="s">
        <v>8857</v>
      </c>
      <c r="H773" s="277">
        <v>2017</v>
      </c>
      <c r="I773" s="386">
        <v>42847</v>
      </c>
      <c r="J773" s="276" t="s">
        <v>7439</v>
      </c>
      <c r="K773" s="276"/>
      <c r="L773" s="385" t="s">
        <v>12082</v>
      </c>
      <c r="M773" s="276"/>
    </row>
    <row r="774" spans="1:13">
      <c r="A774" s="277">
        <f>VLOOKUP(B774, 'PubMed 10.7.21 Results'!B:B, 1, FALSE)</f>
        <v>32234572</v>
      </c>
      <c r="B774" s="277">
        <v>32234572</v>
      </c>
      <c r="C774" s="276" t="s">
        <v>13572</v>
      </c>
      <c r="D774" s="276" t="s">
        <v>13573</v>
      </c>
      <c r="E774" s="276" t="s">
        <v>13574</v>
      </c>
      <c r="F774" s="276" t="s">
        <v>7780</v>
      </c>
      <c r="G774" s="276" t="s">
        <v>13575</v>
      </c>
      <c r="H774" s="277">
        <v>2020</v>
      </c>
      <c r="I774" s="386">
        <v>43924</v>
      </c>
      <c r="J774" s="276"/>
      <c r="K774" s="276"/>
      <c r="L774" s="385" t="s">
        <v>13576</v>
      </c>
      <c r="M774" s="276"/>
    </row>
    <row r="775" spans="1:13">
      <c r="A775" s="277">
        <f>VLOOKUP(B775, 'PubMed 10.7.21 Results'!B:B, 1, FALSE)</f>
        <v>17921712</v>
      </c>
      <c r="B775" s="277">
        <v>17921712</v>
      </c>
      <c r="C775" s="276" t="s">
        <v>9480</v>
      </c>
      <c r="D775" s="276" t="s">
        <v>9481</v>
      </c>
      <c r="E775" s="276" t="s">
        <v>9482</v>
      </c>
      <c r="F775" s="276" t="s">
        <v>7123</v>
      </c>
      <c r="G775" s="276" t="s">
        <v>9483</v>
      </c>
      <c r="H775" s="277">
        <v>2007</v>
      </c>
      <c r="I775" s="386">
        <v>39364</v>
      </c>
      <c r="J775" s="276"/>
      <c r="K775" s="276"/>
      <c r="L775" s="385" t="s">
        <v>9484</v>
      </c>
      <c r="M775" s="276"/>
    </row>
    <row r="776" spans="1:13">
      <c r="A776" s="277">
        <f>VLOOKUP(B776, 'PubMed 10.7.21 Results'!B:B, 1, FALSE)</f>
        <v>32773440</v>
      </c>
      <c r="B776" s="277">
        <v>32773440</v>
      </c>
      <c r="C776" s="276" t="s">
        <v>13809</v>
      </c>
      <c r="D776" s="276" t="s">
        <v>13810</v>
      </c>
      <c r="E776" s="276" t="s">
        <v>13811</v>
      </c>
      <c r="F776" s="276" t="s">
        <v>7402</v>
      </c>
      <c r="G776" s="276" t="s">
        <v>8900</v>
      </c>
      <c r="H776" s="277">
        <v>2020</v>
      </c>
      <c r="I776" s="386">
        <v>44054</v>
      </c>
      <c r="J776" s="276"/>
      <c r="K776" s="276"/>
      <c r="L776" s="385" t="s">
        <v>13812</v>
      </c>
      <c r="M776" s="276"/>
    </row>
    <row r="777" spans="1:13">
      <c r="A777" s="277">
        <f>VLOOKUP(B777, 'PubMed 10.7.21 Results'!B:B, 1, FALSE)</f>
        <v>29596045</v>
      </c>
      <c r="B777" s="277">
        <v>29596045</v>
      </c>
      <c r="C777" s="276" t="s">
        <v>12452</v>
      </c>
      <c r="D777" s="276" t="s">
        <v>12453</v>
      </c>
      <c r="E777" s="276" t="s">
        <v>12454</v>
      </c>
      <c r="F777" s="276" t="s">
        <v>7048</v>
      </c>
      <c r="G777" s="276" t="s">
        <v>9359</v>
      </c>
      <c r="H777" s="277">
        <v>2018</v>
      </c>
      <c r="I777" s="386">
        <v>43189</v>
      </c>
      <c r="J777" s="276" t="s">
        <v>7049</v>
      </c>
      <c r="K777" s="276"/>
      <c r="L777" s="385" t="s">
        <v>12455</v>
      </c>
      <c r="M777" s="276"/>
    </row>
    <row r="778" spans="1:13">
      <c r="A778" s="277">
        <f>VLOOKUP(B778, 'PubMed 10.7.21 Results'!B:B, 1, FALSE)</f>
        <v>25894886</v>
      </c>
      <c r="B778" s="277">
        <v>25894886</v>
      </c>
      <c r="C778" s="276" t="s">
        <v>11569</v>
      </c>
      <c r="D778" s="276" t="s">
        <v>11570</v>
      </c>
      <c r="E778" s="276" t="s">
        <v>11571</v>
      </c>
      <c r="F778" s="276" t="s">
        <v>8090</v>
      </c>
      <c r="G778" s="276" t="s">
        <v>9911</v>
      </c>
      <c r="H778" s="277">
        <v>2016</v>
      </c>
      <c r="I778" s="386">
        <v>42115</v>
      </c>
      <c r="J778" s="276" t="s">
        <v>8091</v>
      </c>
      <c r="K778" s="276"/>
      <c r="L778" s="385" t="s">
        <v>11572</v>
      </c>
      <c r="M778" s="276"/>
    </row>
    <row r="779" spans="1:13">
      <c r="A779" s="277">
        <f>VLOOKUP(B779, 'PubMed 10.7.21 Results'!B:B, 1, FALSE)</f>
        <v>21182466</v>
      </c>
      <c r="B779" s="277">
        <v>21182466</v>
      </c>
      <c r="C779" s="276" t="s">
        <v>10136</v>
      </c>
      <c r="D779" s="276" t="s">
        <v>10137</v>
      </c>
      <c r="E779" s="276" t="s">
        <v>10138</v>
      </c>
      <c r="F779" s="276" t="s">
        <v>7822</v>
      </c>
      <c r="G779" s="276" t="s">
        <v>10139</v>
      </c>
      <c r="H779" s="277">
        <v>2011</v>
      </c>
      <c r="I779" s="386">
        <v>40537</v>
      </c>
      <c r="J779" s="276" t="s">
        <v>7823</v>
      </c>
      <c r="K779" s="276"/>
      <c r="L779" s="385" t="s">
        <v>10140</v>
      </c>
      <c r="M779" s="276"/>
    </row>
    <row r="780" spans="1:13">
      <c r="A780" s="277">
        <f>VLOOKUP(B780, 'PubMed 10.7.21 Results'!B:B, 1, FALSE)</f>
        <v>15622577</v>
      </c>
      <c r="B780" s="277">
        <v>15622577</v>
      </c>
      <c r="C780" s="276" t="s">
        <v>9121</v>
      </c>
      <c r="D780" s="276" t="s">
        <v>9122</v>
      </c>
      <c r="E780" s="276" t="s">
        <v>9123</v>
      </c>
      <c r="F780" s="276" t="s">
        <v>7549</v>
      </c>
      <c r="G780" s="276" t="s">
        <v>9124</v>
      </c>
      <c r="H780" s="277">
        <v>2004</v>
      </c>
      <c r="I780" s="386">
        <v>38350</v>
      </c>
      <c r="J780" s="276"/>
      <c r="K780" s="276"/>
      <c r="L780" s="385" t="s">
        <v>9125</v>
      </c>
      <c r="M780" s="276"/>
    </row>
    <row r="781" spans="1:13">
      <c r="A781" s="277">
        <f>VLOOKUP(B781, 'PubMed 10.7.21 Results'!B:B, 1, FALSE)</f>
        <v>17503974</v>
      </c>
      <c r="B781" s="277">
        <v>17503974</v>
      </c>
      <c r="C781" s="276" t="s">
        <v>9430</v>
      </c>
      <c r="D781" s="276" t="s">
        <v>9431</v>
      </c>
      <c r="E781" s="276" t="s">
        <v>9432</v>
      </c>
      <c r="F781" s="276" t="s">
        <v>7353</v>
      </c>
      <c r="G781" s="276" t="s">
        <v>8852</v>
      </c>
      <c r="H781" s="277">
        <v>2007</v>
      </c>
      <c r="I781" s="386">
        <v>39219</v>
      </c>
      <c r="J781" s="276"/>
      <c r="K781" s="276"/>
      <c r="L781" s="385" t="s">
        <v>9433</v>
      </c>
      <c r="M781" s="276"/>
    </row>
    <row r="782" spans="1:13">
      <c r="A782" s="277">
        <f>VLOOKUP(B782, 'PubMed 10.7.21 Results'!B:B, 1, FALSE)</f>
        <v>27529553</v>
      </c>
      <c r="B782" s="277">
        <v>27529553</v>
      </c>
      <c r="C782" s="276" t="s">
        <v>11837</v>
      </c>
      <c r="D782" s="276" t="s">
        <v>11838</v>
      </c>
      <c r="E782" s="276" t="s">
        <v>11839</v>
      </c>
      <c r="F782" s="276" t="s">
        <v>8036</v>
      </c>
      <c r="G782" s="276" t="s">
        <v>10379</v>
      </c>
      <c r="H782" s="277">
        <v>2016</v>
      </c>
      <c r="I782" s="386">
        <v>42599</v>
      </c>
      <c r="J782" s="276" t="s">
        <v>8037</v>
      </c>
      <c r="K782" s="276"/>
      <c r="L782" s="385" t="s">
        <v>11840</v>
      </c>
      <c r="M782" s="276"/>
    </row>
    <row r="783" spans="1:13">
      <c r="A783" s="277">
        <f>VLOOKUP(B783, 'PubMed 10.7.21 Results'!B:B, 1, FALSE)</f>
        <v>24838139</v>
      </c>
      <c r="B783" s="277">
        <v>24838139</v>
      </c>
      <c r="C783" s="276" t="s">
        <v>11010</v>
      </c>
      <c r="D783" s="276" t="s">
        <v>11011</v>
      </c>
      <c r="E783" s="276" t="s">
        <v>11012</v>
      </c>
      <c r="F783" s="276" t="s">
        <v>7261</v>
      </c>
      <c r="G783" s="276" t="s">
        <v>8632</v>
      </c>
      <c r="H783" s="277">
        <v>2014</v>
      </c>
      <c r="I783" s="386">
        <v>41779</v>
      </c>
      <c r="J783" s="276"/>
      <c r="K783" s="276"/>
      <c r="L783" s="385" t="s">
        <v>11013</v>
      </c>
      <c r="M783" s="276"/>
    </row>
    <row r="784" spans="1:13">
      <c r="A784" s="277">
        <f>VLOOKUP(B784, 'PubMed 10.7.21 Results'!B:B, 1, FALSE)</f>
        <v>9317200</v>
      </c>
      <c r="B784" s="277">
        <v>9317200</v>
      </c>
      <c r="C784" s="276" t="s">
        <v>8585</v>
      </c>
      <c r="D784" s="276" t="s">
        <v>8586</v>
      </c>
      <c r="E784" s="276" t="s">
        <v>8587</v>
      </c>
      <c r="F784" s="276" t="s">
        <v>7693</v>
      </c>
      <c r="G784" s="276" t="s">
        <v>8588</v>
      </c>
      <c r="H784" s="277">
        <v>1997</v>
      </c>
      <c r="I784" s="386">
        <v>35612</v>
      </c>
      <c r="J784" s="276"/>
      <c r="K784" s="276"/>
      <c r="L784" s="276"/>
      <c r="M784" s="276"/>
    </row>
    <row r="785" spans="1:13">
      <c r="A785" s="277">
        <f>VLOOKUP(B785, 'PubMed 10.7.21 Results'!B:B, 1, FALSE)</f>
        <v>24890413</v>
      </c>
      <c r="B785" s="277">
        <v>24890413</v>
      </c>
      <c r="C785" s="276" t="s">
        <v>11049</v>
      </c>
      <c r="D785" s="276" t="s">
        <v>11050</v>
      </c>
      <c r="E785" s="276" t="s">
        <v>11051</v>
      </c>
      <c r="F785" s="276" t="s">
        <v>7530</v>
      </c>
      <c r="G785" s="276" t="s">
        <v>11052</v>
      </c>
      <c r="H785" s="277">
        <v>2014</v>
      </c>
      <c r="I785" s="386">
        <v>41794</v>
      </c>
      <c r="J785" s="276" t="s">
        <v>7531</v>
      </c>
      <c r="K785" s="276"/>
      <c r="L785" s="385" t="s">
        <v>11053</v>
      </c>
      <c r="M785" s="276"/>
    </row>
    <row r="786" spans="1:13">
      <c r="A786" s="277">
        <f>VLOOKUP(B786, 'PubMed 10.7.21 Results'!B:B, 1, FALSE)</f>
        <v>11397654</v>
      </c>
      <c r="B786" s="277">
        <v>11397654</v>
      </c>
      <c r="C786" s="276" t="s">
        <v>8789</v>
      </c>
      <c r="D786" s="276" t="s">
        <v>8790</v>
      </c>
      <c r="E786" s="276" t="s">
        <v>8791</v>
      </c>
      <c r="F786" s="276" t="s">
        <v>7233</v>
      </c>
      <c r="G786" s="276" t="s">
        <v>8792</v>
      </c>
      <c r="H786" s="277">
        <v>2001</v>
      </c>
      <c r="I786" s="386">
        <v>37051</v>
      </c>
      <c r="J786" s="276"/>
      <c r="K786" s="276"/>
      <c r="L786" s="385" t="s">
        <v>8793</v>
      </c>
      <c r="M786" s="276"/>
    </row>
    <row r="787" spans="1:13">
      <c r="A787" s="277">
        <f>VLOOKUP(B787, 'PubMed 10.7.21 Results'!B:B, 1, FALSE)</f>
        <v>31927782</v>
      </c>
      <c r="B787" s="277">
        <v>31927782</v>
      </c>
      <c r="C787" s="276" t="s">
        <v>13369</v>
      </c>
      <c r="D787" s="276" t="s">
        <v>13370</v>
      </c>
      <c r="E787" s="276" t="s">
        <v>13371</v>
      </c>
      <c r="F787" s="276" t="s">
        <v>8026</v>
      </c>
      <c r="G787" s="276" t="s">
        <v>8857</v>
      </c>
      <c r="H787" s="277">
        <v>2020</v>
      </c>
      <c r="I787" s="386">
        <v>43844</v>
      </c>
      <c r="J787" s="276" t="s">
        <v>8027</v>
      </c>
      <c r="K787" s="276"/>
      <c r="L787" s="385" t="s">
        <v>13372</v>
      </c>
      <c r="M787" s="276"/>
    </row>
    <row r="788" spans="1:13">
      <c r="A788" s="277">
        <f>VLOOKUP(B788, 'PubMed 10.7.21 Results'!B:B, 1, FALSE)</f>
        <v>14872017</v>
      </c>
      <c r="B788" s="277">
        <v>14872017</v>
      </c>
      <c r="C788" s="276" t="s">
        <v>9069</v>
      </c>
      <c r="D788" s="276" t="s">
        <v>9070</v>
      </c>
      <c r="E788" s="276" t="s">
        <v>9071</v>
      </c>
      <c r="F788" s="276" t="s">
        <v>6795</v>
      </c>
      <c r="G788" s="276" t="s">
        <v>8529</v>
      </c>
      <c r="H788" s="277">
        <v>2004</v>
      </c>
      <c r="I788" s="386">
        <v>38029</v>
      </c>
      <c r="J788" s="276"/>
      <c r="K788" s="276"/>
      <c r="L788" s="385" t="s">
        <v>9072</v>
      </c>
      <c r="M788" s="276"/>
    </row>
    <row r="789" spans="1:13">
      <c r="A789" s="277">
        <f>VLOOKUP(B789, 'PubMed 10.7.21 Results'!B:B, 1, FALSE)</f>
        <v>3722374</v>
      </c>
      <c r="B789" s="277">
        <v>3722374</v>
      </c>
      <c r="C789" s="276" t="s">
        <v>8457</v>
      </c>
      <c r="D789" s="276" t="s">
        <v>8458</v>
      </c>
      <c r="E789" s="276" t="s">
        <v>8459</v>
      </c>
      <c r="F789" s="276" t="s">
        <v>7391</v>
      </c>
      <c r="G789" s="276" t="s">
        <v>8460</v>
      </c>
      <c r="H789" s="277">
        <v>1986</v>
      </c>
      <c r="I789" s="386">
        <v>31594</v>
      </c>
      <c r="J789" s="276" t="s">
        <v>7392</v>
      </c>
      <c r="K789" s="276"/>
      <c r="L789" s="385" t="s">
        <v>8461</v>
      </c>
      <c r="M789" s="276"/>
    </row>
    <row r="790" spans="1:13">
      <c r="A790" s="277">
        <f>VLOOKUP(B790, 'PubMed 10.7.21 Results'!B:B, 1, FALSE)</f>
        <v>24979556</v>
      </c>
      <c r="B790" s="277">
        <v>24979556</v>
      </c>
      <c r="C790" s="276" t="s">
        <v>11078</v>
      </c>
      <c r="D790" s="276" t="s">
        <v>11079</v>
      </c>
      <c r="E790" s="276" t="s">
        <v>11080</v>
      </c>
      <c r="F790" s="276" t="s">
        <v>7111</v>
      </c>
      <c r="G790" s="276" t="s">
        <v>11081</v>
      </c>
      <c r="H790" s="277">
        <v>2014</v>
      </c>
      <c r="I790" s="386">
        <v>41821</v>
      </c>
      <c r="J790" s="276"/>
      <c r="K790" s="276"/>
      <c r="L790" s="276"/>
      <c r="M790" s="276"/>
    </row>
    <row r="791" spans="1:13">
      <c r="A791" s="277">
        <f>VLOOKUP(B791, 'PubMed 10.7.21 Results'!B:B, 1, FALSE)</f>
        <v>26687795</v>
      </c>
      <c r="B791" s="277">
        <v>26687795</v>
      </c>
      <c r="C791" s="276" t="s">
        <v>11309</v>
      </c>
      <c r="D791" s="276" t="s">
        <v>11310</v>
      </c>
      <c r="E791" s="276" t="s">
        <v>11311</v>
      </c>
      <c r="F791" s="276" t="s">
        <v>7046</v>
      </c>
      <c r="G791" s="276" t="s">
        <v>11312</v>
      </c>
      <c r="H791" s="277">
        <v>2015</v>
      </c>
      <c r="I791" s="386">
        <v>42360</v>
      </c>
      <c r="J791" s="276" t="s">
        <v>7047</v>
      </c>
      <c r="K791" s="276"/>
      <c r="L791" s="385" t="s">
        <v>11313</v>
      </c>
      <c r="M791" s="276"/>
    </row>
    <row r="792" spans="1:13">
      <c r="A792" s="277">
        <f>VLOOKUP(B792, 'PubMed 10.7.21 Results'!B:B, 1, FALSE)</f>
        <v>26675837</v>
      </c>
      <c r="B792" s="277">
        <v>26675837</v>
      </c>
      <c r="C792" s="276" t="s">
        <v>11689</v>
      </c>
      <c r="D792" s="276" t="s">
        <v>11690</v>
      </c>
      <c r="E792" s="276" t="s">
        <v>11691</v>
      </c>
      <c r="F792" s="276" t="s">
        <v>7923</v>
      </c>
      <c r="G792" s="276" t="s">
        <v>9751</v>
      </c>
      <c r="H792" s="277">
        <v>2016</v>
      </c>
      <c r="I792" s="386">
        <v>42356</v>
      </c>
      <c r="J792" s="276"/>
      <c r="K792" s="276"/>
      <c r="L792" s="276"/>
      <c r="M792" s="276"/>
    </row>
    <row r="793" spans="1:13">
      <c r="A793" s="277">
        <f>VLOOKUP(B793, 'PubMed 10.7.21 Results'!B:B, 1, FALSE)</f>
        <v>28494777</v>
      </c>
      <c r="B793" s="277">
        <v>28494777</v>
      </c>
      <c r="C793" s="276" t="s">
        <v>12100</v>
      </c>
      <c r="D793" s="276" t="s">
        <v>12101</v>
      </c>
      <c r="E793" s="276" t="s">
        <v>12102</v>
      </c>
      <c r="F793" s="276" t="s">
        <v>7266</v>
      </c>
      <c r="G793" s="276" t="s">
        <v>12103</v>
      </c>
      <c r="H793" s="277">
        <v>2017</v>
      </c>
      <c r="I793" s="386">
        <v>42868</v>
      </c>
      <c r="J793" s="276" t="s">
        <v>7267</v>
      </c>
      <c r="K793" s="276"/>
      <c r="L793" s="385" t="s">
        <v>12104</v>
      </c>
      <c r="M793" s="276"/>
    </row>
    <row r="794" spans="1:13">
      <c r="A794" s="277">
        <f>VLOOKUP(B794, 'PubMed 10.7.21 Results'!B:B, 1, FALSE)</f>
        <v>22497041</v>
      </c>
      <c r="B794" s="277">
        <v>22497041</v>
      </c>
      <c r="C794" s="276" t="s">
        <v>10381</v>
      </c>
      <c r="D794" s="276" t="s">
        <v>10382</v>
      </c>
      <c r="E794" s="276" t="s">
        <v>10383</v>
      </c>
      <c r="F794" s="276" t="s">
        <v>7710</v>
      </c>
      <c r="G794" s="276" t="s">
        <v>9604</v>
      </c>
      <c r="H794" s="277">
        <v>2012</v>
      </c>
      <c r="I794" s="386">
        <v>41013</v>
      </c>
      <c r="J794" s="276"/>
      <c r="K794" s="276"/>
      <c r="L794" s="276"/>
      <c r="M794" s="276"/>
    </row>
    <row r="795" spans="1:13">
      <c r="A795" s="277">
        <f>VLOOKUP(B795, 'PubMed 10.7.21 Results'!B:B, 1, FALSE)</f>
        <v>19644773</v>
      </c>
      <c r="B795" s="277">
        <v>19644773</v>
      </c>
      <c r="C795" s="276" t="s">
        <v>9913</v>
      </c>
      <c r="D795" s="276" t="s">
        <v>9914</v>
      </c>
      <c r="E795" s="276" t="s">
        <v>9915</v>
      </c>
      <c r="F795" s="276" t="s">
        <v>7761</v>
      </c>
      <c r="G795" s="276" t="s">
        <v>9916</v>
      </c>
      <c r="H795" s="277">
        <v>2009</v>
      </c>
      <c r="I795" s="386">
        <v>40026</v>
      </c>
      <c r="J795" s="276"/>
      <c r="K795" s="276"/>
      <c r="L795" s="385" t="s">
        <v>9917</v>
      </c>
      <c r="M795" s="276"/>
    </row>
    <row r="796" spans="1:13">
      <c r="A796" s="277">
        <f>VLOOKUP(B796, 'PubMed 10.7.21 Results'!B:B, 1, FALSE)</f>
        <v>29499578</v>
      </c>
      <c r="B796" s="277">
        <v>29499578</v>
      </c>
      <c r="C796" s="276" t="s">
        <v>12512</v>
      </c>
      <c r="D796" s="276" t="s">
        <v>12513</v>
      </c>
      <c r="E796" s="276" t="s">
        <v>12514</v>
      </c>
      <c r="F796" s="276" t="s">
        <v>7905</v>
      </c>
      <c r="G796" s="276" t="s">
        <v>12515</v>
      </c>
      <c r="H796" s="277">
        <v>2018</v>
      </c>
      <c r="I796" s="386">
        <v>43162</v>
      </c>
      <c r="J796" s="276"/>
      <c r="K796" s="276"/>
      <c r="L796" s="385" t="s">
        <v>12516</v>
      </c>
      <c r="M796" s="276"/>
    </row>
    <row r="797" spans="1:13">
      <c r="A797" s="277">
        <f>VLOOKUP(B797, 'PubMed 10.7.21 Results'!B:B, 1, FALSE)</f>
        <v>24002003</v>
      </c>
      <c r="B797" s="277">
        <v>24002003</v>
      </c>
      <c r="C797" s="276" t="s">
        <v>10825</v>
      </c>
      <c r="D797" s="276" t="s">
        <v>10826</v>
      </c>
      <c r="E797" s="276" t="s">
        <v>10827</v>
      </c>
      <c r="F797" s="276" t="s">
        <v>7679</v>
      </c>
      <c r="G797" s="276" t="s">
        <v>10828</v>
      </c>
      <c r="H797" s="277">
        <v>2013</v>
      </c>
      <c r="I797" s="386">
        <v>41522</v>
      </c>
      <c r="J797" s="276"/>
      <c r="K797" s="276"/>
      <c r="L797" s="385" t="s">
        <v>10829</v>
      </c>
      <c r="M797" s="276"/>
    </row>
    <row r="798" spans="1:13">
      <c r="A798" s="277">
        <f>VLOOKUP(B798, 'PubMed 10.7.21 Results'!B:B, 1, FALSE)</f>
        <v>28640708</v>
      </c>
      <c r="B798" s="277">
        <v>28640708</v>
      </c>
      <c r="C798" s="276" t="s">
        <v>12194</v>
      </c>
      <c r="D798" s="276" t="s">
        <v>12195</v>
      </c>
      <c r="E798" s="276" t="s">
        <v>12196</v>
      </c>
      <c r="F798" s="276" t="s">
        <v>7651</v>
      </c>
      <c r="G798" s="276" t="s">
        <v>8547</v>
      </c>
      <c r="H798" s="277">
        <v>2017</v>
      </c>
      <c r="I798" s="386">
        <v>42909</v>
      </c>
      <c r="J798" s="276"/>
      <c r="K798" s="276"/>
      <c r="L798" s="385" t="s">
        <v>12197</v>
      </c>
      <c r="M798" s="276"/>
    </row>
    <row r="799" spans="1:13">
      <c r="A799" s="277">
        <f>VLOOKUP(B799, 'PubMed 10.7.21 Results'!B:B, 1, FALSE)</f>
        <v>21823550</v>
      </c>
      <c r="B799" s="277">
        <v>21823550</v>
      </c>
      <c r="C799" s="276" t="s">
        <v>10194</v>
      </c>
      <c r="D799" s="276" t="s">
        <v>10195</v>
      </c>
      <c r="E799" s="276" t="s">
        <v>10196</v>
      </c>
      <c r="F799" s="276" t="s">
        <v>6890</v>
      </c>
      <c r="G799" s="276" t="s">
        <v>10197</v>
      </c>
      <c r="H799" s="277">
        <v>2011</v>
      </c>
      <c r="I799" s="386">
        <v>40765</v>
      </c>
      <c r="J799" s="276"/>
      <c r="K799" s="276"/>
      <c r="L799" s="385" t="s">
        <v>10198</v>
      </c>
      <c r="M799" s="276"/>
    </row>
    <row r="800" spans="1:13">
      <c r="A800" s="277">
        <f>VLOOKUP(B800, 'PubMed 10.7.21 Results'!B:B, 1, FALSE)</f>
        <v>27188794</v>
      </c>
      <c r="B800" s="277">
        <v>27188794</v>
      </c>
      <c r="C800" s="276" t="s">
        <v>11915</v>
      </c>
      <c r="D800" s="276" t="s">
        <v>11916</v>
      </c>
      <c r="E800" s="276" t="s">
        <v>11917</v>
      </c>
      <c r="F800" s="276" t="s">
        <v>7663</v>
      </c>
      <c r="G800" s="276" t="s">
        <v>10286</v>
      </c>
      <c r="H800" s="277">
        <v>2017</v>
      </c>
      <c r="I800" s="386">
        <v>42509</v>
      </c>
      <c r="J800" s="276"/>
      <c r="K800" s="276"/>
      <c r="L800" s="385" t="s">
        <v>11918</v>
      </c>
      <c r="M800" s="276"/>
    </row>
    <row r="801" spans="1:13">
      <c r="A801" s="277">
        <f>VLOOKUP(B801, 'PubMed 10.7.21 Results'!B:B, 1, FALSE)</f>
        <v>12047793</v>
      </c>
      <c r="B801" s="277">
        <v>12047793</v>
      </c>
      <c r="C801" s="276" t="s">
        <v>8897</v>
      </c>
      <c r="D801" s="276" t="s">
        <v>8898</v>
      </c>
      <c r="E801" s="276" t="s">
        <v>8899</v>
      </c>
      <c r="F801" s="276" t="s">
        <v>7436</v>
      </c>
      <c r="G801" s="276" t="s">
        <v>8900</v>
      </c>
      <c r="H801" s="277">
        <v>2002</v>
      </c>
      <c r="I801" s="386">
        <v>37413</v>
      </c>
      <c r="J801" s="276"/>
      <c r="K801" s="276"/>
      <c r="L801" s="385" t="s">
        <v>8901</v>
      </c>
      <c r="M801" s="276"/>
    </row>
    <row r="802" spans="1:13">
      <c r="A802" s="277">
        <f>VLOOKUP(B802, 'PubMed 10.7.21 Results'!B:B, 1, FALSE)</f>
        <v>31483515</v>
      </c>
      <c r="B802" s="277">
        <v>31483515</v>
      </c>
      <c r="C802" s="276" t="s">
        <v>13227</v>
      </c>
      <c r="D802" s="276" t="s">
        <v>13228</v>
      </c>
      <c r="E802" s="276" t="s">
        <v>13229</v>
      </c>
      <c r="F802" s="276" t="s">
        <v>7961</v>
      </c>
      <c r="G802" s="276" t="s">
        <v>8685</v>
      </c>
      <c r="H802" s="277">
        <v>2019</v>
      </c>
      <c r="I802" s="386">
        <v>43713</v>
      </c>
      <c r="J802" s="276"/>
      <c r="K802" s="276"/>
      <c r="L802" s="385" t="s">
        <v>13230</v>
      </c>
      <c r="M802" s="276"/>
    </row>
    <row r="803" spans="1:13">
      <c r="A803" s="277">
        <f>VLOOKUP(B803, 'PubMed 10.7.21 Results'!B:B, 1, FALSE)</f>
        <v>29480455</v>
      </c>
      <c r="B803" s="277">
        <v>29480455</v>
      </c>
      <c r="C803" s="276" t="s">
        <v>12641</v>
      </c>
      <c r="D803" s="276" t="s">
        <v>12642</v>
      </c>
      <c r="E803" s="276" t="s">
        <v>12643</v>
      </c>
      <c r="F803" s="276" t="s">
        <v>7649</v>
      </c>
      <c r="G803" s="276" t="s">
        <v>9049</v>
      </c>
      <c r="H803" s="277">
        <v>2018</v>
      </c>
      <c r="I803" s="386">
        <v>43158</v>
      </c>
      <c r="J803" s="276" t="s">
        <v>7650</v>
      </c>
      <c r="K803" s="276"/>
      <c r="L803" s="385" t="s">
        <v>12644</v>
      </c>
      <c r="M803" s="276"/>
    </row>
    <row r="804" spans="1:13">
      <c r="A804" s="277">
        <f>VLOOKUP(B804, 'PubMed 10.7.21 Results'!B:B, 1, FALSE)</f>
        <v>28554398</v>
      </c>
      <c r="B804" s="277">
        <v>28554398</v>
      </c>
      <c r="C804" s="276" t="s">
        <v>11932</v>
      </c>
      <c r="D804" s="276" t="s">
        <v>11933</v>
      </c>
      <c r="E804" s="276" t="s">
        <v>11934</v>
      </c>
      <c r="F804" s="276" t="s">
        <v>7539</v>
      </c>
      <c r="G804" s="276" t="s">
        <v>11935</v>
      </c>
      <c r="H804" s="277">
        <v>2017</v>
      </c>
      <c r="I804" s="386">
        <v>42886</v>
      </c>
      <c r="J804" s="276"/>
      <c r="K804" s="276"/>
      <c r="L804" s="385" t="s">
        <v>11936</v>
      </c>
      <c r="M804" s="276"/>
    </row>
    <row r="805" spans="1:13">
      <c r="A805" s="277">
        <f>VLOOKUP(B805, 'PubMed 10.7.21 Results'!B:B, 1, FALSE)</f>
        <v>28187952</v>
      </c>
      <c r="B805" s="277">
        <v>28187952</v>
      </c>
      <c r="C805" s="276" t="s">
        <v>12032</v>
      </c>
      <c r="D805" s="276" t="s">
        <v>12033</v>
      </c>
      <c r="E805" s="276" t="s">
        <v>12034</v>
      </c>
      <c r="F805" s="276" t="s">
        <v>7325</v>
      </c>
      <c r="G805" s="276" t="s">
        <v>21</v>
      </c>
      <c r="H805" s="277">
        <v>2017</v>
      </c>
      <c r="I805" s="386">
        <v>42778</v>
      </c>
      <c r="J805" s="276"/>
      <c r="K805" s="276"/>
      <c r="L805" s="385" t="s">
        <v>12035</v>
      </c>
      <c r="M805" s="276"/>
    </row>
    <row r="806" spans="1:13">
      <c r="A806" s="277">
        <f>VLOOKUP(B806, 'PubMed 10.7.21 Results'!B:B, 1, FALSE)</f>
        <v>10468325</v>
      </c>
      <c r="B806" s="277">
        <v>10468325</v>
      </c>
      <c r="C806" s="276" t="s">
        <v>8677</v>
      </c>
      <c r="D806" s="276" t="s">
        <v>8678</v>
      </c>
      <c r="E806" s="276" t="s">
        <v>8679</v>
      </c>
      <c r="F806" s="276" t="s">
        <v>7450</v>
      </c>
      <c r="G806" s="276" t="s">
        <v>8680</v>
      </c>
      <c r="H806" s="277">
        <v>1999</v>
      </c>
      <c r="I806" s="386">
        <v>36404</v>
      </c>
      <c r="J806" s="276"/>
      <c r="K806" s="276"/>
      <c r="L806" s="385" t="s">
        <v>8681</v>
      </c>
      <c r="M806" s="276"/>
    </row>
    <row r="807" spans="1:13">
      <c r="A807" s="277">
        <f>VLOOKUP(B807, 'PubMed 10.7.21 Results'!B:B, 1, FALSE)</f>
        <v>8313933</v>
      </c>
      <c r="B807" s="277">
        <v>8313933</v>
      </c>
      <c r="C807" s="276" t="s">
        <v>8492</v>
      </c>
      <c r="D807" s="276" t="s">
        <v>8493</v>
      </c>
      <c r="E807" s="276" t="s">
        <v>8494</v>
      </c>
      <c r="F807" s="276" t="s">
        <v>6664</v>
      </c>
      <c r="G807" s="276" t="s">
        <v>8495</v>
      </c>
      <c r="H807" s="277">
        <v>1993</v>
      </c>
      <c r="I807" s="386">
        <v>33970</v>
      </c>
      <c r="J807" s="276"/>
      <c r="K807" s="276"/>
      <c r="L807" s="385" t="s">
        <v>8496</v>
      </c>
      <c r="M807" s="276"/>
    </row>
    <row r="808" spans="1:13">
      <c r="A808" s="277">
        <f>VLOOKUP(B808, 'PubMed 10.7.21 Results'!B:B, 1, FALSE)</f>
        <v>28653869</v>
      </c>
      <c r="B808" s="277">
        <v>28653869</v>
      </c>
      <c r="C808" s="276" t="s">
        <v>12131</v>
      </c>
      <c r="D808" s="276" t="s">
        <v>12132</v>
      </c>
      <c r="E808" s="276" t="s">
        <v>12133</v>
      </c>
      <c r="F808" s="276" t="s">
        <v>6671</v>
      </c>
      <c r="G808" s="276" t="s">
        <v>12134</v>
      </c>
      <c r="H808" s="277">
        <v>2017</v>
      </c>
      <c r="I808" s="386">
        <v>42914</v>
      </c>
      <c r="J808" s="276" t="s">
        <v>6672</v>
      </c>
      <c r="K808" s="276"/>
      <c r="L808" s="385" t="s">
        <v>12135</v>
      </c>
      <c r="M808" s="276"/>
    </row>
    <row r="809" spans="1:13">
      <c r="A809" s="277">
        <f>VLOOKUP(B809, 'PubMed 10.7.21 Results'!B:B, 1, FALSE)</f>
        <v>30057900</v>
      </c>
      <c r="B809" s="277">
        <v>30057900</v>
      </c>
      <c r="C809" s="276" t="s">
        <v>12618</v>
      </c>
      <c r="D809" s="276" t="s">
        <v>12619</v>
      </c>
      <c r="E809" s="276" t="s">
        <v>12620</v>
      </c>
      <c r="F809" s="276" t="s">
        <v>6559</v>
      </c>
      <c r="G809" s="276" t="s">
        <v>12621</v>
      </c>
      <c r="H809" s="277">
        <v>2018</v>
      </c>
      <c r="I809" s="386">
        <v>43312</v>
      </c>
      <c r="J809" s="276" t="s">
        <v>6560</v>
      </c>
      <c r="K809" s="276"/>
      <c r="L809" s="385" t="s">
        <v>12622</v>
      </c>
      <c r="M809" s="276"/>
    </row>
    <row r="810" spans="1:13">
      <c r="A810" s="277">
        <f>VLOOKUP(B810, 'PubMed 10.7.21 Results'!B:B, 1, FALSE)</f>
        <v>28915908</v>
      </c>
      <c r="B810" s="277">
        <v>28915908</v>
      </c>
      <c r="C810" s="276" t="s">
        <v>12248</v>
      </c>
      <c r="D810" s="276" t="s">
        <v>12249</v>
      </c>
      <c r="E810" s="276" t="s">
        <v>12250</v>
      </c>
      <c r="F810" s="276" t="s">
        <v>6599</v>
      </c>
      <c r="G810" s="276" t="s">
        <v>12251</v>
      </c>
      <c r="H810" s="277">
        <v>2017</v>
      </c>
      <c r="I810" s="386">
        <v>42995</v>
      </c>
      <c r="J810" s="276" t="s">
        <v>6600</v>
      </c>
      <c r="K810" s="276"/>
      <c r="L810" s="385" t="s">
        <v>12252</v>
      </c>
      <c r="M810" s="276"/>
    </row>
    <row r="811" spans="1:13">
      <c r="A811" s="277">
        <f>VLOOKUP(B811, 'PubMed 10.7.21 Results'!B:B, 1, FALSE)</f>
        <v>31494096</v>
      </c>
      <c r="B811" s="277">
        <v>31494096</v>
      </c>
      <c r="C811" s="276" t="s">
        <v>13290</v>
      </c>
      <c r="D811" s="276" t="s">
        <v>13291</v>
      </c>
      <c r="E811" s="276" t="s">
        <v>13292</v>
      </c>
      <c r="F811" s="276" t="s">
        <v>4045</v>
      </c>
      <c r="G811" s="276" t="s">
        <v>12411</v>
      </c>
      <c r="H811" s="277">
        <v>2019</v>
      </c>
      <c r="I811" s="386">
        <v>43717</v>
      </c>
      <c r="J811" s="276"/>
      <c r="K811" s="276"/>
      <c r="L811" s="385" t="s">
        <v>13293</v>
      </c>
      <c r="M811" s="276"/>
    </row>
    <row r="812" spans="1:13">
      <c r="A812" s="277">
        <f>VLOOKUP(B812, 'PubMed 10.7.21 Results'!B:B, 1, FALSE)</f>
        <v>10385768</v>
      </c>
      <c r="B812" s="277">
        <v>10385768</v>
      </c>
      <c r="C812" s="276" t="s">
        <v>8692</v>
      </c>
      <c r="D812" s="276" t="s">
        <v>8693</v>
      </c>
      <c r="E812" s="276" t="s">
        <v>8694</v>
      </c>
      <c r="F812" s="276" t="s">
        <v>7550</v>
      </c>
      <c r="G812" s="276" t="s">
        <v>8665</v>
      </c>
      <c r="H812" s="277">
        <v>1999</v>
      </c>
      <c r="I812" s="386">
        <v>36342</v>
      </c>
      <c r="J812" s="276"/>
      <c r="K812" s="276"/>
      <c r="L812" s="385" t="s">
        <v>8695</v>
      </c>
      <c r="M812" s="276"/>
    </row>
    <row r="813" spans="1:13">
      <c r="A813" s="277">
        <f>VLOOKUP(B813, 'PubMed 10.7.21 Results'!B:B, 1, FALSE)</f>
        <v>19843481</v>
      </c>
      <c r="B813" s="277">
        <v>19843481</v>
      </c>
      <c r="C813" s="276" t="s">
        <v>9848</v>
      </c>
      <c r="D813" s="276" t="s">
        <v>9849</v>
      </c>
      <c r="E813" s="276" t="s">
        <v>9850</v>
      </c>
      <c r="F813" s="276" t="s">
        <v>4000</v>
      </c>
      <c r="G813" s="276" t="s">
        <v>8640</v>
      </c>
      <c r="H813" s="277">
        <v>2009</v>
      </c>
      <c r="I813" s="386">
        <v>40108</v>
      </c>
      <c r="J813" s="276"/>
      <c r="K813" s="276"/>
      <c r="L813" s="385" t="s">
        <v>9851</v>
      </c>
      <c r="M813" s="276"/>
    </row>
    <row r="814" spans="1:13">
      <c r="A814" s="277">
        <f>VLOOKUP(B814, 'PubMed 10.7.21 Results'!B:B, 1, FALSE)</f>
        <v>21489779</v>
      </c>
      <c r="B814" s="277">
        <v>21489779</v>
      </c>
      <c r="C814" s="276" t="s">
        <v>10301</v>
      </c>
      <c r="D814" s="276" t="s">
        <v>10302</v>
      </c>
      <c r="E814" s="276" t="s">
        <v>10303</v>
      </c>
      <c r="F814" s="276" t="s">
        <v>6858</v>
      </c>
      <c r="G814" s="276" t="s">
        <v>10304</v>
      </c>
      <c r="H814" s="277">
        <v>2011</v>
      </c>
      <c r="I814" s="386">
        <v>40648</v>
      </c>
      <c r="J814" s="276"/>
      <c r="K814" s="276"/>
      <c r="L814" s="385" t="s">
        <v>10305</v>
      </c>
      <c r="M814" s="276"/>
    </row>
    <row r="815" spans="1:13">
      <c r="A815" s="277">
        <f>VLOOKUP(B815, 'PubMed 10.7.21 Results'!B:B, 1, FALSE)</f>
        <v>26642773</v>
      </c>
      <c r="B815" s="277">
        <v>26642773</v>
      </c>
      <c r="C815" s="276" t="s">
        <v>11592</v>
      </c>
      <c r="D815" s="276" t="s">
        <v>11593</v>
      </c>
      <c r="E815" s="276" t="s">
        <v>11594</v>
      </c>
      <c r="F815" s="276" t="s">
        <v>7989</v>
      </c>
      <c r="G815" s="276" t="s">
        <v>11268</v>
      </c>
      <c r="H815" s="277">
        <v>2016</v>
      </c>
      <c r="I815" s="386">
        <v>42347</v>
      </c>
      <c r="J815" s="276"/>
      <c r="K815" s="276"/>
      <c r="L815" s="385" t="s">
        <v>11595</v>
      </c>
      <c r="M815" s="276"/>
    </row>
    <row r="816" spans="1:13">
      <c r="A816" s="277">
        <f>VLOOKUP(B816, 'PubMed 10.7.21 Results'!B:B, 1, FALSE)</f>
        <v>29329957</v>
      </c>
      <c r="B816" s="277">
        <v>29329957</v>
      </c>
      <c r="C816" s="276" t="s">
        <v>12478</v>
      </c>
      <c r="D816" s="276" t="s">
        <v>12479</v>
      </c>
      <c r="E816" s="276" t="s">
        <v>12480</v>
      </c>
      <c r="F816" s="276" t="s">
        <v>6507</v>
      </c>
      <c r="G816" s="276" t="s">
        <v>10976</v>
      </c>
      <c r="H816" s="277">
        <v>2018</v>
      </c>
      <c r="I816" s="386">
        <v>43114</v>
      </c>
      <c r="J816" s="276" t="s">
        <v>6511</v>
      </c>
      <c r="K816" s="276" t="s">
        <v>12481</v>
      </c>
      <c r="L816" s="385" t="s">
        <v>12482</v>
      </c>
      <c r="M816" s="276"/>
    </row>
    <row r="817" spans="1:13">
      <c r="A817" s="277">
        <f>VLOOKUP(B817, 'PubMed 10.7.21 Results'!B:B, 1, FALSE)</f>
        <v>15099124</v>
      </c>
      <c r="B817" s="277">
        <v>15099124</v>
      </c>
      <c r="C817" s="276" t="s">
        <v>9046</v>
      </c>
      <c r="D817" s="276" t="s">
        <v>9047</v>
      </c>
      <c r="E817" s="276" t="s">
        <v>9048</v>
      </c>
      <c r="F817" s="276" t="s">
        <v>7620</v>
      </c>
      <c r="G817" s="276" t="s">
        <v>9049</v>
      </c>
      <c r="H817" s="277">
        <v>2004</v>
      </c>
      <c r="I817" s="386">
        <v>38099</v>
      </c>
      <c r="J817" s="276"/>
      <c r="K817" s="276"/>
      <c r="L817" s="385" t="s">
        <v>9050</v>
      </c>
      <c r="M817" s="276"/>
    </row>
    <row r="818" spans="1:13">
      <c r="A818" s="277">
        <f>VLOOKUP(B818, 'PubMed 10.7.21 Results'!B:B, 1, FALSE)</f>
        <v>31653334</v>
      </c>
      <c r="B818" s="277">
        <v>31653334</v>
      </c>
      <c r="C818" s="276" t="s">
        <v>13302</v>
      </c>
      <c r="D818" s="276" t="s">
        <v>13303</v>
      </c>
      <c r="E818" s="276" t="s">
        <v>13304</v>
      </c>
      <c r="F818" s="276" t="s">
        <v>6996</v>
      </c>
      <c r="G818" s="276" t="s">
        <v>13305</v>
      </c>
      <c r="H818" s="277">
        <v>2019</v>
      </c>
      <c r="I818" s="386">
        <v>43765</v>
      </c>
      <c r="J818" s="276"/>
      <c r="K818" s="276"/>
      <c r="L818" s="385" t="s">
        <v>13306</v>
      </c>
      <c r="M818" s="276"/>
    </row>
    <row r="819" spans="1:13">
      <c r="A819" s="277">
        <f>VLOOKUP(B819, 'PubMed 10.7.21 Results'!B:B, 1, FALSE)</f>
        <v>29804736</v>
      </c>
      <c r="B819" s="277">
        <v>29804736</v>
      </c>
      <c r="C819" s="276" t="s">
        <v>12645</v>
      </c>
      <c r="D819" s="276" t="s">
        <v>12646</v>
      </c>
      <c r="E819" s="276" t="s">
        <v>12647</v>
      </c>
      <c r="F819" s="276" t="s">
        <v>6423</v>
      </c>
      <c r="G819" s="276" t="s">
        <v>10511</v>
      </c>
      <c r="H819" s="277">
        <v>2018</v>
      </c>
      <c r="I819" s="386">
        <v>43249</v>
      </c>
      <c r="J819" s="276"/>
      <c r="K819" s="276"/>
      <c r="L819" s="385" t="s">
        <v>12648</v>
      </c>
      <c r="M819" s="276"/>
    </row>
    <row r="820" spans="1:13">
      <c r="A820" s="277">
        <f>VLOOKUP(B820, 'PubMed 10.7.21 Results'!B:B, 1, FALSE)</f>
        <v>28992823</v>
      </c>
      <c r="B820" s="277">
        <v>28992823</v>
      </c>
      <c r="C820" s="276" t="s">
        <v>12285</v>
      </c>
      <c r="D820" s="276" t="s">
        <v>12286</v>
      </c>
      <c r="E820" s="276" t="s">
        <v>12287</v>
      </c>
      <c r="F820" s="276" t="s">
        <v>6835</v>
      </c>
      <c r="G820" s="276" t="s">
        <v>12288</v>
      </c>
      <c r="H820" s="277">
        <v>2017</v>
      </c>
      <c r="I820" s="386">
        <v>43019</v>
      </c>
      <c r="J820" s="276"/>
      <c r="K820" s="276"/>
      <c r="L820" s="385" t="s">
        <v>12289</v>
      </c>
      <c r="M820" s="276"/>
    </row>
    <row r="821" spans="1:13">
      <c r="A821" s="277">
        <f>VLOOKUP(B821, 'PubMed 10.7.21 Results'!B:B, 1, FALSE)</f>
        <v>8445199</v>
      </c>
      <c r="B821" s="277">
        <v>8445199</v>
      </c>
      <c r="C821" s="276" t="s">
        <v>8497</v>
      </c>
      <c r="D821" s="276" t="s">
        <v>8498</v>
      </c>
      <c r="E821" s="276" t="s">
        <v>8499</v>
      </c>
      <c r="F821" s="276" t="s">
        <v>6586</v>
      </c>
      <c r="G821" s="276" t="s">
        <v>8500</v>
      </c>
      <c r="H821" s="277">
        <v>1993</v>
      </c>
      <c r="I821" s="386">
        <v>33970</v>
      </c>
      <c r="J821" s="276"/>
      <c r="K821" s="276"/>
      <c r="L821" s="276"/>
      <c r="M821" s="276"/>
    </row>
    <row r="822" spans="1:13">
      <c r="A822" s="277">
        <f>VLOOKUP(B822, 'PubMed 10.7.21 Results'!B:B, 1, FALSE)</f>
        <v>30480772</v>
      </c>
      <c r="B822" s="277">
        <v>30480772</v>
      </c>
      <c r="C822" s="276" t="s">
        <v>12788</v>
      </c>
      <c r="D822" s="276" t="s">
        <v>12789</v>
      </c>
      <c r="E822" s="276" t="s">
        <v>12790</v>
      </c>
      <c r="F822" s="276" t="s">
        <v>7104</v>
      </c>
      <c r="G822" s="276" t="s">
        <v>8857</v>
      </c>
      <c r="H822" s="277">
        <v>2018</v>
      </c>
      <c r="I822" s="386">
        <v>43432</v>
      </c>
      <c r="J822" s="276" t="s">
        <v>7105</v>
      </c>
      <c r="K822" s="276"/>
      <c r="L822" s="385" t="s">
        <v>12791</v>
      </c>
      <c r="M822" s="276"/>
    </row>
    <row r="823" spans="1:13">
      <c r="A823" s="277">
        <f>VLOOKUP(B823, 'PubMed 10.7.21 Results'!B:B, 1, FALSE)</f>
        <v>31577341</v>
      </c>
      <c r="B823" s="277">
        <v>31577341</v>
      </c>
      <c r="C823" s="276" t="s">
        <v>13298</v>
      </c>
      <c r="D823" s="276" t="s">
        <v>13299</v>
      </c>
      <c r="E823" s="276" t="s">
        <v>13300</v>
      </c>
      <c r="F823" s="276" t="s">
        <v>6971</v>
      </c>
      <c r="G823" s="276" t="s">
        <v>11469</v>
      </c>
      <c r="H823" s="277">
        <v>2019</v>
      </c>
      <c r="I823" s="386">
        <v>43741</v>
      </c>
      <c r="J823" s="276" t="s">
        <v>6972</v>
      </c>
      <c r="K823" s="276"/>
      <c r="L823" s="385" t="s">
        <v>13301</v>
      </c>
      <c r="M823" s="276"/>
    </row>
    <row r="824" spans="1:13">
      <c r="A824" s="277">
        <f>VLOOKUP(B824, 'PubMed 10.7.21 Results'!B:B, 1, FALSE)</f>
        <v>22704398</v>
      </c>
      <c r="B824" s="277">
        <v>22704398</v>
      </c>
      <c r="C824" s="276" t="s">
        <v>10591</v>
      </c>
      <c r="D824" s="276" t="s">
        <v>10592</v>
      </c>
      <c r="E824" s="276" t="s">
        <v>10593</v>
      </c>
      <c r="F824" s="276" t="s">
        <v>6593</v>
      </c>
      <c r="G824" s="276" t="s">
        <v>10594</v>
      </c>
      <c r="H824" s="277">
        <v>2012</v>
      </c>
      <c r="I824" s="386">
        <v>41079</v>
      </c>
      <c r="J824" s="276"/>
      <c r="K824" s="276"/>
      <c r="L824" s="385" t="s">
        <v>10595</v>
      </c>
      <c r="M824" s="276"/>
    </row>
    <row r="825" spans="1:13">
      <c r="A825" s="277">
        <f>VLOOKUP(B825, 'PubMed 10.7.21 Results'!B:B, 1, FALSE)</f>
        <v>29390382</v>
      </c>
      <c r="B825" s="277">
        <v>29390382</v>
      </c>
      <c r="C825" s="276" t="s">
        <v>12359</v>
      </c>
      <c r="D825" s="276" t="s">
        <v>12360</v>
      </c>
      <c r="E825" s="276" t="s">
        <v>12361</v>
      </c>
      <c r="F825" s="276" t="s">
        <v>7843</v>
      </c>
      <c r="G825" s="276" t="s">
        <v>11908</v>
      </c>
      <c r="H825" s="277">
        <v>2017</v>
      </c>
      <c r="I825" s="386">
        <v>43134</v>
      </c>
      <c r="J825" s="276" t="s">
        <v>7844</v>
      </c>
      <c r="K825" s="276"/>
      <c r="L825" s="385" t="s">
        <v>12362</v>
      </c>
      <c r="M825" s="276"/>
    </row>
    <row r="826" spans="1:13">
      <c r="A826" s="277">
        <f>VLOOKUP(B826, 'PubMed 10.7.21 Results'!B:B, 1, FALSE)</f>
        <v>28499509</v>
      </c>
      <c r="B826" s="277">
        <v>28499509</v>
      </c>
      <c r="C826" s="276" t="s">
        <v>12220</v>
      </c>
      <c r="D826" s="276" t="s">
        <v>12221</v>
      </c>
      <c r="E826" s="276" t="s">
        <v>12222</v>
      </c>
      <c r="F826" s="276" t="s">
        <v>7084</v>
      </c>
      <c r="G826" s="276" t="s">
        <v>12223</v>
      </c>
      <c r="H826" s="277">
        <v>2017</v>
      </c>
      <c r="I826" s="386">
        <v>42869</v>
      </c>
      <c r="J826" s="276"/>
      <c r="K826" s="276"/>
      <c r="L826" s="385" t="s">
        <v>12224</v>
      </c>
      <c r="M826" s="276"/>
    </row>
    <row r="827" spans="1:13">
      <c r="A827" s="277">
        <f>VLOOKUP(B827, 'PubMed 10.7.21 Results'!B:B, 1, FALSE)</f>
        <v>18308908</v>
      </c>
      <c r="B827" s="277">
        <v>18308908</v>
      </c>
      <c r="C827" s="276" t="s">
        <v>9552</v>
      </c>
      <c r="D827" s="276" t="s">
        <v>9553</v>
      </c>
      <c r="E827" s="276" t="s">
        <v>9554</v>
      </c>
      <c r="F827" s="276" t="s">
        <v>6704</v>
      </c>
      <c r="G827" s="276" t="s">
        <v>9555</v>
      </c>
      <c r="H827" s="277">
        <v>2008</v>
      </c>
      <c r="I827" s="386">
        <v>39508</v>
      </c>
      <c r="J827" s="276"/>
      <c r="K827" s="276"/>
      <c r="L827" s="385" t="s">
        <v>9556</v>
      </c>
      <c r="M827" s="276"/>
    </row>
    <row r="828" spans="1:13">
      <c r="A828" s="277">
        <f>VLOOKUP(B828, 'PubMed 10.7.21 Results'!B:B, 1, FALSE)</f>
        <v>20921092</v>
      </c>
      <c r="B828" s="277">
        <v>20921092</v>
      </c>
      <c r="C828" s="276" t="s">
        <v>10040</v>
      </c>
      <c r="D828" s="276" t="s">
        <v>10041</v>
      </c>
      <c r="E828" s="276" t="s">
        <v>10042</v>
      </c>
      <c r="F828" s="276" t="s">
        <v>7584</v>
      </c>
      <c r="G828" s="276" t="s">
        <v>10043</v>
      </c>
      <c r="H828" s="277">
        <v>2010</v>
      </c>
      <c r="I828" s="386">
        <v>40457</v>
      </c>
      <c r="J828" s="276"/>
      <c r="K828" s="276"/>
      <c r="L828" s="385" t="s">
        <v>10044</v>
      </c>
      <c r="M828" s="276"/>
    </row>
    <row r="829" spans="1:13">
      <c r="A829" s="277">
        <f>VLOOKUP(B829, 'PubMed 10.7.21 Results'!B:B, 1, FALSE)</f>
        <v>16357613</v>
      </c>
      <c r="B829" s="277">
        <v>16357613</v>
      </c>
      <c r="C829" s="276" t="s">
        <v>9243</v>
      </c>
      <c r="D829" s="276" t="s">
        <v>9244</v>
      </c>
      <c r="E829" s="276" t="s">
        <v>9245</v>
      </c>
      <c r="F829" s="276" t="s">
        <v>7764</v>
      </c>
      <c r="G829" s="276" t="s">
        <v>8744</v>
      </c>
      <c r="H829" s="277">
        <v>2006</v>
      </c>
      <c r="I829" s="386">
        <v>38703</v>
      </c>
      <c r="J829" s="276"/>
      <c r="K829" s="276"/>
      <c r="L829" s="385" t="s">
        <v>9246</v>
      </c>
      <c r="M829" s="276"/>
    </row>
    <row r="830" spans="1:13">
      <c r="A830" s="277">
        <f>VLOOKUP(B830, 'PubMed 10.7.21 Results'!B:B, 1, FALSE)</f>
        <v>23053677</v>
      </c>
      <c r="B830" s="277">
        <v>23053677</v>
      </c>
      <c r="C830" s="276" t="s">
        <v>10687</v>
      </c>
      <c r="D830" s="276" t="s">
        <v>10688</v>
      </c>
      <c r="E830" s="276" t="s">
        <v>10689</v>
      </c>
      <c r="F830" s="276" t="s">
        <v>6744</v>
      </c>
      <c r="G830" s="276" t="s">
        <v>10690</v>
      </c>
      <c r="H830" s="277">
        <v>2013</v>
      </c>
      <c r="I830" s="386">
        <v>41194</v>
      </c>
      <c r="J830" s="276"/>
      <c r="K830" s="276"/>
      <c r="L830" s="385" t="s">
        <v>10691</v>
      </c>
      <c r="M830" s="276"/>
    </row>
    <row r="831" spans="1:13">
      <c r="A831" s="277">
        <f>VLOOKUP(B831, 'PubMed 10.7.21 Results'!B:B, 1, FALSE)</f>
        <v>19825906</v>
      </c>
      <c r="B831" s="277">
        <v>19825906</v>
      </c>
      <c r="C831" s="276" t="s">
        <v>10083</v>
      </c>
      <c r="D831" s="276" t="s">
        <v>10084</v>
      </c>
      <c r="E831" s="276" t="s">
        <v>10085</v>
      </c>
      <c r="F831" s="276" t="s">
        <v>7577</v>
      </c>
      <c r="G831" s="276" t="s">
        <v>10086</v>
      </c>
      <c r="H831" s="277">
        <v>2010</v>
      </c>
      <c r="I831" s="386">
        <v>40101</v>
      </c>
      <c r="J831" s="276"/>
      <c r="K831" s="276"/>
      <c r="L831" s="385" t="s">
        <v>10087</v>
      </c>
      <c r="M831" s="276"/>
    </row>
    <row r="832" spans="1:13">
      <c r="A832" s="277">
        <f>VLOOKUP(B832, 'PubMed 10.7.21 Results'!B:B, 1, FALSE)</f>
        <v>31532516</v>
      </c>
      <c r="B832" s="277">
        <v>31532516</v>
      </c>
      <c r="C832" s="276" t="s">
        <v>13190</v>
      </c>
      <c r="D832" s="276" t="s">
        <v>13191</v>
      </c>
      <c r="E832" s="276" t="s">
        <v>13192</v>
      </c>
      <c r="F832" s="276" t="s">
        <v>7086</v>
      </c>
      <c r="G832" s="276" t="s">
        <v>13193</v>
      </c>
      <c r="H832" s="277">
        <v>2019</v>
      </c>
      <c r="I832" s="386">
        <v>43727</v>
      </c>
      <c r="J832" s="276" t="s">
        <v>7087</v>
      </c>
      <c r="K832" s="276"/>
      <c r="L832" s="385" t="s">
        <v>13194</v>
      </c>
      <c r="M832" s="276"/>
    </row>
    <row r="833" spans="1:13">
      <c r="A833" s="277">
        <f>VLOOKUP(B833, 'PubMed 10.7.21 Results'!B:B, 1, FALSE)</f>
        <v>28906574</v>
      </c>
      <c r="B833" s="277">
        <v>28906574</v>
      </c>
      <c r="C833" s="276" t="s">
        <v>18895</v>
      </c>
      <c r="D833" s="276" t="s">
        <v>12339</v>
      </c>
      <c r="E833" s="276" t="s">
        <v>12340</v>
      </c>
      <c r="F833" s="276" t="s">
        <v>6658</v>
      </c>
      <c r="G833" s="276" t="s">
        <v>11118</v>
      </c>
      <c r="H833" s="277">
        <v>2017</v>
      </c>
      <c r="I833" s="386">
        <v>42993</v>
      </c>
      <c r="J833" s="276"/>
      <c r="K833" s="276"/>
      <c r="L833" s="385" t="s">
        <v>12341</v>
      </c>
      <c r="M833" s="276"/>
    </row>
    <row r="834" spans="1:13">
      <c r="A834" s="277">
        <f>VLOOKUP(B834, 'PubMed 10.7.21 Results'!B:B, 1, FALSE)</f>
        <v>28938394</v>
      </c>
      <c r="B834" s="277">
        <v>28938394</v>
      </c>
      <c r="C834" s="276" t="s">
        <v>12280</v>
      </c>
      <c r="D834" s="276" t="s">
        <v>12281</v>
      </c>
      <c r="E834" s="276" t="s">
        <v>12282</v>
      </c>
      <c r="F834" s="276" t="s">
        <v>7321</v>
      </c>
      <c r="G834" s="276" t="s">
        <v>12283</v>
      </c>
      <c r="H834" s="277">
        <v>2017</v>
      </c>
      <c r="I834" s="386">
        <v>43001</v>
      </c>
      <c r="J834" s="276"/>
      <c r="K834" s="276"/>
      <c r="L834" s="385" t="s">
        <v>12284</v>
      </c>
      <c r="M834" s="276"/>
    </row>
    <row r="835" spans="1:13">
      <c r="A835" s="277">
        <f>VLOOKUP(B835, 'PubMed 10.7.21 Results'!B:B, 1, FALSE)</f>
        <v>15123391</v>
      </c>
      <c r="B835" s="277">
        <v>15123391</v>
      </c>
      <c r="C835" s="276" t="s">
        <v>9085</v>
      </c>
      <c r="D835" s="276" t="s">
        <v>9086</v>
      </c>
      <c r="E835" s="276" t="s">
        <v>9087</v>
      </c>
      <c r="F835" s="276" t="s">
        <v>7468</v>
      </c>
      <c r="G835" s="276" t="s">
        <v>9088</v>
      </c>
      <c r="H835" s="277">
        <v>2004</v>
      </c>
      <c r="I835" s="386">
        <v>38112</v>
      </c>
      <c r="J835" s="276"/>
      <c r="K835" s="276"/>
      <c r="L835" s="385" t="s">
        <v>9089</v>
      </c>
      <c r="M835" s="276"/>
    </row>
    <row r="836" spans="1:13">
      <c r="A836" s="277">
        <f>VLOOKUP(B836, 'PubMed 10.7.21 Results'!B:B, 1, FALSE)</f>
        <v>22352764</v>
      </c>
      <c r="B836" s="277">
        <v>22352764</v>
      </c>
      <c r="C836" s="276" t="s">
        <v>10428</v>
      </c>
      <c r="D836" s="276" t="s">
        <v>10429</v>
      </c>
      <c r="E836" s="276" t="s">
        <v>10430</v>
      </c>
      <c r="F836" s="276" t="s">
        <v>7839</v>
      </c>
      <c r="G836" s="276" t="s">
        <v>10184</v>
      </c>
      <c r="H836" s="277">
        <v>2012</v>
      </c>
      <c r="I836" s="386">
        <v>40962</v>
      </c>
      <c r="J836" s="276"/>
      <c r="K836" s="276"/>
      <c r="L836" s="385" t="s">
        <v>10431</v>
      </c>
      <c r="M836" s="276"/>
    </row>
    <row r="837" spans="1:13">
      <c r="A837" s="277">
        <f>VLOOKUP(B837, 'PubMed 10.7.21 Results'!B:B, 1, FALSE)</f>
        <v>32511687</v>
      </c>
      <c r="B837" s="277">
        <v>32511687</v>
      </c>
      <c r="C837" s="276" t="s">
        <v>13719</v>
      </c>
      <c r="D837" s="276" t="s">
        <v>13720</v>
      </c>
      <c r="E837" s="276" t="s">
        <v>13721</v>
      </c>
      <c r="F837" s="276" t="s">
        <v>7155</v>
      </c>
      <c r="G837" s="276" t="s">
        <v>11982</v>
      </c>
      <c r="H837" s="277">
        <v>2020</v>
      </c>
      <c r="I837" s="386">
        <v>43991</v>
      </c>
      <c r="J837" s="276" t="s">
        <v>7156</v>
      </c>
      <c r="K837" s="276"/>
      <c r="L837" s="385" t="s">
        <v>13722</v>
      </c>
      <c r="M837" s="276"/>
    </row>
    <row r="838" spans="1:13">
      <c r="A838" s="277">
        <f>VLOOKUP(B838, 'PubMed 10.7.21 Results'!B:B, 1, FALSE)</f>
        <v>23350812</v>
      </c>
      <c r="B838" s="277">
        <v>23350812</v>
      </c>
      <c r="C838" s="276" t="s">
        <v>10838</v>
      </c>
      <c r="D838" s="276" t="s">
        <v>10839</v>
      </c>
      <c r="E838" s="276" t="s">
        <v>10840</v>
      </c>
      <c r="F838" s="276" t="s">
        <v>6992</v>
      </c>
      <c r="G838" s="276" t="s">
        <v>10841</v>
      </c>
      <c r="H838" s="277">
        <v>2013</v>
      </c>
      <c r="I838" s="386">
        <v>41303</v>
      </c>
      <c r="J838" s="276"/>
      <c r="K838" s="276"/>
      <c r="L838" s="385" t="s">
        <v>10842</v>
      </c>
      <c r="M838" s="276"/>
    </row>
    <row r="839" spans="1:13">
      <c r="A839" s="277">
        <f>VLOOKUP(B839, 'PubMed 10.7.21 Results'!B:B, 1, FALSE)</f>
        <v>30290902</v>
      </c>
      <c r="B839" s="277">
        <v>30290902</v>
      </c>
      <c r="C839" s="276" t="s">
        <v>12745</v>
      </c>
      <c r="D839" s="276" t="s">
        <v>12746</v>
      </c>
      <c r="E839" s="276" t="s">
        <v>12747</v>
      </c>
      <c r="F839" s="276" t="s">
        <v>7296</v>
      </c>
      <c r="G839" s="276" t="s">
        <v>11312</v>
      </c>
      <c r="H839" s="277">
        <v>2018</v>
      </c>
      <c r="I839" s="386">
        <v>43380</v>
      </c>
      <c r="J839" s="276"/>
      <c r="K839" s="276"/>
      <c r="L839" s="385" t="s">
        <v>12748</v>
      </c>
      <c r="M839" s="276"/>
    </row>
    <row r="840" spans="1:13">
      <c r="A840" s="277">
        <f>VLOOKUP(B840, 'PubMed 10.7.21 Results'!B:B, 1, FALSE)</f>
        <v>18053020</v>
      </c>
      <c r="B840" s="277">
        <v>18053020</v>
      </c>
      <c r="C840" s="276" t="s">
        <v>9513</v>
      </c>
      <c r="D840" s="276" t="s">
        <v>9514</v>
      </c>
      <c r="E840" s="276" t="s">
        <v>9515</v>
      </c>
      <c r="F840" s="276" t="s">
        <v>6877</v>
      </c>
      <c r="G840" s="276" t="s">
        <v>8485</v>
      </c>
      <c r="H840" s="277">
        <v>2008</v>
      </c>
      <c r="I840" s="386">
        <v>39423</v>
      </c>
      <c r="J840" s="276"/>
      <c r="K840" s="276"/>
      <c r="L840" s="385" t="s">
        <v>9516</v>
      </c>
      <c r="M840" s="276"/>
    </row>
    <row r="841" spans="1:13">
      <c r="A841" s="277">
        <f>VLOOKUP(B841, 'PubMed 10.7.21 Results'!B:B, 1, FALSE)</f>
        <v>33657293</v>
      </c>
      <c r="B841" s="277">
        <v>33657293</v>
      </c>
      <c r="C841" s="276" t="s">
        <v>14100</v>
      </c>
      <c r="D841" s="276" t="s">
        <v>14101</v>
      </c>
      <c r="E841" s="276" t="s">
        <v>14102</v>
      </c>
      <c r="F841" s="276" t="s">
        <v>6656</v>
      </c>
      <c r="G841" s="276" t="s">
        <v>8514</v>
      </c>
      <c r="H841" s="277">
        <v>2021</v>
      </c>
      <c r="I841" s="386">
        <v>44258</v>
      </c>
      <c r="J841" s="276"/>
      <c r="K841" s="276"/>
      <c r="L841" s="385" t="s">
        <v>14103</v>
      </c>
      <c r="M841" s="276"/>
    </row>
    <row r="842" spans="1:13">
      <c r="A842" s="277">
        <f>VLOOKUP(B842, 'PubMed 10.7.21 Results'!B:B, 1, FALSE)</f>
        <v>9176537</v>
      </c>
      <c r="B842" s="277">
        <v>9176537</v>
      </c>
      <c r="C842" s="276" t="s">
        <v>8572</v>
      </c>
      <c r="D842" s="276" t="s">
        <v>8573</v>
      </c>
      <c r="E842" s="276" t="s">
        <v>8574</v>
      </c>
      <c r="F842" s="276" t="s">
        <v>7817</v>
      </c>
      <c r="G842" s="276" t="s">
        <v>8575</v>
      </c>
      <c r="H842" s="277">
        <v>1997</v>
      </c>
      <c r="I842" s="386">
        <v>35551</v>
      </c>
      <c r="J842" s="276" t="s">
        <v>7818</v>
      </c>
      <c r="K842" s="276"/>
      <c r="L842" s="385" t="s">
        <v>8576</v>
      </c>
      <c r="M842" s="276"/>
    </row>
    <row r="843" spans="1:13">
      <c r="A843" s="277">
        <f>VLOOKUP(B843, 'PubMed 10.7.21 Results'!B:B, 1, FALSE)</f>
        <v>12581507</v>
      </c>
      <c r="B843" s="277">
        <v>12581507</v>
      </c>
      <c r="C843" s="276" t="s">
        <v>8879</v>
      </c>
      <c r="D843" s="276" t="s">
        <v>8880</v>
      </c>
      <c r="E843" s="276" t="s">
        <v>8881</v>
      </c>
      <c r="F843" s="276" t="s">
        <v>8082</v>
      </c>
      <c r="G843" s="276" t="s">
        <v>8882</v>
      </c>
      <c r="H843" s="277">
        <v>2002</v>
      </c>
      <c r="I843" s="386">
        <v>37665</v>
      </c>
      <c r="J843" s="276"/>
      <c r="K843" s="276"/>
      <c r="L843" s="385" t="s">
        <v>8883</v>
      </c>
      <c r="M843" s="276"/>
    </row>
    <row r="844" spans="1:13">
      <c r="A844" s="277">
        <f>VLOOKUP(B844, 'PubMed 10.7.21 Results'!B:B, 1, FALSE)</f>
        <v>2193497</v>
      </c>
      <c r="B844" s="277">
        <v>2193497</v>
      </c>
      <c r="C844" s="276" t="s">
        <v>8467</v>
      </c>
      <c r="D844" s="276" t="s">
        <v>8468</v>
      </c>
      <c r="E844" s="276" t="s">
        <v>8469</v>
      </c>
      <c r="F844" s="276" t="s">
        <v>6408</v>
      </c>
      <c r="G844" s="276" t="s">
        <v>8470</v>
      </c>
      <c r="H844" s="277">
        <v>1990</v>
      </c>
      <c r="I844" s="386">
        <v>33055</v>
      </c>
      <c r="J844" s="276"/>
      <c r="K844" s="276"/>
      <c r="L844" s="385" t="s">
        <v>8471</v>
      </c>
      <c r="M844" s="276"/>
    </row>
    <row r="845" spans="1:13">
      <c r="A845" s="277">
        <f>VLOOKUP(B845, 'PubMed 10.7.21 Results'!B:B, 1, FALSE)</f>
        <v>9198182</v>
      </c>
      <c r="B845" s="277">
        <v>9198182</v>
      </c>
      <c r="C845" s="276" t="s">
        <v>8581</v>
      </c>
      <c r="D845" s="276" t="s">
        <v>8582</v>
      </c>
      <c r="E845" s="276" t="s">
        <v>8583</v>
      </c>
      <c r="F845" s="276" t="s">
        <v>7189</v>
      </c>
      <c r="G845" s="276" t="s">
        <v>8584</v>
      </c>
      <c r="H845" s="277">
        <v>1997</v>
      </c>
      <c r="I845" s="386">
        <v>35612</v>
      </c>
      <c r="J845" s="276"/>
      <c r="K845" s="276"/>
      <c r="L845" s="276"/>
      <c r="M845" s="276"/>
    </row>
    <row r="846" spans="1:13">
      <c r="A846" s="277">
        <f>VLOOKUP(B846, 'PubMed 10.7.21 Results'!B:B, 1, FALSE)</f>
        <v>26860641</v>
      </c>
      <c r="B846" s="277">
        <v>26860641</v>
      </c>
      <c r="C846" s="276" t="s">
        <v>11743</v>
      </c>
      <c r="D846" s="276" t="s">
        <v>11744</v>
      </c>
      <c r="E846" s="276" t="s">
        <v>11745</v>
      </c>
      <c r="F846" s="276" t="s">
        <v>7838</v>
      </c>
      <c r="G846" s="276" t="s">
        <v>10511</v>
      </c>
      <c r="H846" s="277">
        <v>2016</v>
      </c>
      <c r="I846" s="386">
        <v>42411</v>
      </c>
      <c r="J846" s="276"/>
      <c r="K846" s="276"/>
      <c r="L846" s="385" t="s">
        <v>11746</v>
      </c>
      <c r="M846" s="276"/>
    </row>
    <row r="847" spans="1:13">
      <c r="A847" s="277">
        <f>VLOOKUP(B847, 'PubMed 10.7.21 Results'!B:B, 1, FALSE)</f>
        <v>18536575</v>
      </c>
      <c r="B847" s="277">
        <v>18536575</v>
      </c>
      <c r="C847" s="276" t="s">
        <v>9615</v>
      </c>
      <c r="D847" s="276" t="s">
        <v>9616</v>
      </c>
      <c r="E847" s="276" t="s">
        <v>9617</v>
      </c>
      <c r="F847" s="276" t="s">
        <v>6443</v>
      </c>
      <c r="G847" s="276" t="s">
        <v>9618</v>
      </c>
      <c r="H847" s="277">
        <v>2008</v>
      </c>
      <c r="I847" s="386">
        <v>39609</v>
      </c>
      <c r="J847" s="276"/>
      <c r="K847" s="276"/>
      <c r="L847" s="385" t="s">
        <v>9619</v>
      </c>
      <c r="M847" s="276"/>
    </row>
    <row r="848" spans="1:13">
      <c r="A848" s="277">
        <f>VLOOKUP(B848, 'PubMed 10.7.21 Results'!B:B, 1, FALSE)</f>
        <v>17237928</v>
      </c>
      <c r="B848" s="277">
        <v>17237928</v>
      </c>
      <c r="C848" s="276" t="s">
        <v>9405</v>
      </c>
      <c r="D848" s="276" t="s">
        <v>9406</v>
      </c>
      <c r="E848" s="276" t="s">
        <v>9407</v>
      </c>
      <c r="F848" s="276" t="s">
        <v>7160</v>
      </c>
      <c r="G848" s="276" t="s">
        <v>9408</v>
      </c>
      <c r="H848" s="277">
        <v>2007</v>
      </c>
      <c r="I848" s="386">
        <v>39106</v>
      </c>
      <c r="J848" s="276"/>
      <c r="K848" s="276"/>
      <c r="L848" s="385" t="s">
        <v>9409</v>
      </c>
      <c r="M848" s="276"/>
    </row>
    <row r="849" spans="1:13">
      <c r="A849" s="277">
        <f>VLOOKUP(B849, 'PubMed 10.7.21 Results'!B:B, 1, FALSE)</f>
        <v>33093279</v>
      </c>
      <c r="B849" s="277">
        <v>33093279</v>
      </c>
      <c r="C849" s="276" t="s">
        <v>14038</v>
      </c>
      <c r="D849" s="276" t="s">
        <v>14039</v>
      </c>
      <c r="E849" s="276" t="s">
        <v>14040</v>
      </c>
      <c r="F849" s="276" t="s">
        <v>6612</v>
      </c>
      <c r="G849" s="276" t="s">
        <v>8504</v>
      </c>
      <c r="H849" s="277">
        <v>2021</v>
      </c>
      <c r="I849" s="386">
        <v>44127</v>
      </c>
      <c r="J849" s="276"/>
      <c r="K849" s="276"/>
      <c r="L849" s="385" t="s">
        <v>14041</v>
      </c>
      <c r="M849" s="276"/>
    </row>
    <row r="850" spans="1:13">
      <c r="A850" s="277">
        <f>VLOOKUP(B850, 'PubMed 10.7.21 Results'!B:B, 1, FALSE)</f>
        <v>27741339</v>
      </c>
      <c r="B850" s="277">
        <v>27741339</v>
      </c>
      <c r="C850" s="276" t="s">
        <v>11858</v>
      </c>
      <c r="D850" s="276" t="s">
        <v>11859</v>
      </c>
      <c r="E850" s="276" t="s">
        <v>11860</v>
      </c>
      <c r="F850" s="276" t="s">
        <v>6780</v>
      </c>
      <c r="G850" s="276" t="s">
        <v>9604</v>
      </c>
      <c r="H850" s="277">
        <v>2016</v>
      </c>
      <c r="I850" s="386">
        <v>42658</v>
      </c>
      <c r="J850" s="276"/>
      <c r="K850" s="276"/>
      <c r="L850" s="276"/>
      <c r="M850" s="276"/>
    </row>
    <row r="851" spans="1:13">
      <c r="A851" s="277">
        <f>VLOOKUP(B851, 'PubMed 10.7.21 Results'!B:B, 1, FALSE)</f>
        <v>15218439</v>
      </c>
      <c r="B851" s="277">
        <v>15218439</v>
      </c>
      <c r="C851" s="276" t="s">
        <v>9103</v>
      </c>
      <c r="D851" s="276" t="s">
        <v>9104</v>
      </c>
      <c r="E851" s="276" t="s">
        <v>9105</v>
      </c>
      <c r="F851" s="276" t="s">
        <v>6476</v>
      </c>
      <c r="G851" s="276" t="s">
        <v>9106</v>
      </c>
      <c r="H851" s="277">
        <v>2004</v>
      </c>
      <c r="I851" s="386">
        <v>38164</v>
      </c>
      <c r="J851" s="276"/>
      <c r="K851" s="276"/>
      <c r="L851" s="385" t="s">
        <v>9107</v>
      </c>
      <c r="M851" s="276"/>
    </row>
    <row r="852" spans="1:13">
      <c r="A852" s="277">
        <f>VLOOKUP(B852, 'PubMed 10.7.21 Results'!B:B, 1, FALSE)</f>
        <v>12214158</v>
      </c>
      <c r="B852" s="277">
        <v>12214158</v>
      </c>
      <c r="C852" s="276" t="s">
        <v>8874</v>
      </c>
      <c r="D852" s="276" t="s">
        <v>8875</v>
      </c>
      <c r="E852" s="276" t="s">
        <v>8876</v>
      </c>
      <c r="F852" s="276" t="s">
        <v>7778</v>
      </c>
      <c r="G852" s="276" t="s">
        <v>8877</v>
      </c>
      <c r="H852" s="277">
        <v>2002</v>
      </c>
      <c r="I852" s="386">
        <v>37505</v>
      </c>
      <c r="J852" s="276"/>
      <c r="K852" s="276"/>
      <c r="L852" s="385" t="s">
        <v>8878</v>
      </c>
      <c r="M852" s="276"/>
    </row>
    <row r="853" spans="1:13">
      <c r="A853" s="277">
        <f>VLOOKUP(B853, 'PubMed 10.7.21 Results'!B:B, 1, FALSE)</f>
        <v>22972099</v>
      </c>
      <c r="B853" s="277">
        <v>22972099</v>
      </c>
      <c r="C853" s="276" t="s">
        <v>10527</v>
      </c>
      <c r="D853" s="276" t="s">
        <v>10528</v>
      </c>
      <c r="E853" s="276" t="s">
        <v>10529</v>
      </c>
      <c r="F853" s="276" t="s">
        <v>7502</v>
      </c>
      <c r="G853" s="276" t="s">
        <v>8857</v>
      </c>
      <c r="H853" s="277">
        <v>2012</v>
      </c>
      <c r="I853" s="386">
        <v>41166</v>
      </c>
      <c r="J853" s="276" t="s">
        <v>7503</v>
      </c>
      <c r="K853" s="276" t="s">
        <v>10530</v>
      </c>
      <c r="L853" s="385" t="s">
        <v>10531</v>
      </c>
      <c r="M853" s="276"/>
    </row>
    <row r="854" spans="1:13">
      <c r="A854" s="277">
        <f>VLOOKUP(B854, 'PubMed 10.7.21 Results'!B:B, 1, FALSE)</f>
        <v>23599435</v>
      </c>
      <c r="B854" s="277">
        <v>23599435</v>
      </c>
      <c r="C854" s="276" t="s">
        <v>10802</v>
      </c>
      <c r="D854" s="276" t="s">
        <v>10803</v>
      </c>
      <c r="E854" s="276" t="s">
        <v>10804</v>
      </c>
      <c r="F854" s="276" t="s">
        <v>6926</v>
      </c>
      <c r="G854" s="276" t="s">
        <v>10805</v>
      </c>
      <c r="H854" s="277">
        <v>2013</v>
      </c>
      <c r="I854" s="386">
        <v>41384</v>
      </c>
      <c r="J854" s="276"/>
      <c r="K854" s="276"/>
      <c r="L854" s="385" t="s">
        <v>10806</v>
      </c>
      <c r="M854" s="276"/>
    </row>
    <row r="855" spans="1:13">
      <c r="A855" s="277">
        <f>VLOOKUP(B855, 'PubMed 10.7.21 Results'!B:B, 1, FALSE)</f>
        <v>29665158</v>
      </c>
      <c r="B855" s="277">
        <v>29665158</v>
      </c>
      <c r="C855" s="276" t="s">
        <v>12606</v>
      </c>
      <c r="D855" s="276" t="s">
        <v>12607</v>
      </c>
      <c r="E855" s="276" t="s">
        <v>12608</v>
      </c>
      <c r="F855" s="276" t="s">
        <v>6845</v>
      </c>
      <c r="G855" s="276" t="s">
        <v>10263</v>
      </c>
      <c r="H855" s="277">
        <v>2018</v>
      </c>
      <c r="I855" s="386">
        <v>43208</v>
      </c>
      <c r="J855" s="276"/>
      <c r="K855" s="276"/>
      <c r="L855" s="385" t="s">
        <v>12609</v>
      </c>
      <c r="M855" s="276"/>
    </row>
    <row r="856" spans="1:13">
      <c r="A856" s="277">
        <f>VLOOKUP(B856, 'PubMed 10.7.21 Results'!B:B, 1, FALSE)</f>
        <v>15180356</v>
      </c>
      <c r="B856" s="277">
        <v>15180356</v>
      </c>
      <c r="C856" s="276" t="s">
        <v>9081</v>
      </c>
      <c r="D856" s="276" t="s">
        <v>9082</v>
      </c>
      <c r="E856" s="276" t="s">
        <v>9083</v>
      </c>
      <c r="F856" s="276" t="s">
        <v>6664</v>
      </c>
      <c r="G856" s="276" t="s">
        <v>9084</v>
      </c>
      <c r="H856" s="277">
        <v>2004</v>
      </c>
      <c r="I856" s="386">
        <v>38146</v>
      </c>
      <c r="J856" s="276"/>
      <c r="K856" s="276"/>
      <c r="L856" s="276"/>
      <c r="M856" s="276"/>
    </row>
    <row r="857" spans="1:13">
      <c r="A857" s="277">
        <f>VLOOKUP(B857, 'PubMed 10.7.21 Results'!B:B, 1, FALSE)</f>
        <v>19183164</v>
      </c>
      <c r="B857" s="277">
        <v>19183164</v>
      </c>
      <c r="C857" s="276" t="s">
        <v>9773</v>
      </c>
      <c r="D857" s="276" t="s">
        <v>9774</v>
      </c>
      <c r="E857" s="276" t="s">
        <v>9775</v>
      </c>
      <c r="F857" s="276" t="s">
        <v>6854</v>
      </c>
      <c r="G857" s="276" t="s">
        <v>8485</v>
      </c>
      <c r="H857" s="277">
        <v>2009</v>
      </c>
      <c r="I857" s="386">
        <v>39847</v>
      </c>
      <c r="J857" s="276"/>
      <c r="K857" s="276"/>
      <c r="L857" s="385" t="s">
        <v>9776</v>
      </c>
      <c r="M857" s="276"/>
    </row>
    <row r="858" spans="1:13">
      <c r="A858" s="277">
        <f>VLOOKUP(B858, 'PubMed 10.7.21 Results'!B:B, 1, FALSE)</f>
        <v>19647405</v>
      </c>
      <c r="B858" s="277">
        <v>19647405</v>
      </c>
      <c r="C858" s="276" t="s">
        <v>9833</v>
      </c>
      <c r="D858" s="276" t="s">
        <v>9834</v>
      </c>
      <c r="E858" s="276" t="s">
        <v>9835</v>
      </c>
      <c r="F858" s="276" t="s">
        <v>7404</v>
      </c>
      <c r="G858" s="276" t="s">
        <v>9836</v>
      </c>
      <c r="H858" s="277">
        <v>2009</v>
      </c>
      <c r="I858" s="386">
        <v>40029</v>
      </c>
      <c r="J858" s="276"/>
      <c r="K858" s="276"/>
      <c r="L858" s="385" t="s">
        <v>9837</v>
      </c>
      <c r="M858" s="276"/>
    </row>
    <row r="859" spans="1:13">
      <c r="A859" s="277">
        <f>VLOOKUP(B859, 'PubMed 10.7.21 Results'!B:B, 1, FALSE)</f>
        <v>29108526</v>
      </c>
      <c r="B859" s="277">
        <v>29108526</v>
      </c>
      <c r="C859" s="276" t="s">
        <v>12585</v>
      </c>
      <c r="D859" s="276" t="s">
        <v>12586</v>
      </c>
      <c r="E859" s="276" t="s">
        <v>12587</v>
      </c>
      <c r="F859" s="276" t="s">
        <v>7795</v>
      </c>
      <c r="G859" s="276" t="s">
        <v>12588</v>
      </c>
      <c r="H859" s="277">
        <v>2018</v>
      </c>
      <c r="I859" s="386">
        <v>43047</v>
      </c>
      <c r="J859" s="276" t="s">
        <v>7796</v>
      </c>
      <c r="K859" s="276"/>
      <c r="L859" s="385" t="s">
        <v>12589</v>
      </c>
      <c r="M859" s="276"/>
    </row>
    <row r="860" spans="1:13">
      <c r="A860" s="277">
        <f>VLOOKUP(B860, 'PubMed 10.7.21 Results'!B:B, 1, FALSE)</f>
        <v>32229520</v>
      </c>
      <c r="B860" s="277">
        <v>32229520</v>
      </c>
      <c r="C860" s="276" t="s">
        <v>13474</v>
      </c>
      <c r="D860" s="276" t="s">
        <v>13475</v>
      </c>
      <c r="E860" s="276" t="s">
        <v>13476</v>
      </c>
      <c r="F860" s="276" t="s">
        <v>7275</v>
      </c>
      <c r="G860" s="276" t="s">
        <v>11650</v>
      </c>
      <c r="H860" s="277">
        <v>2020</v>
      </c>
      <c r="I860" s="386">
        <v>43923</v>
      </c>
      <c r="J860" s="276" t="s">
        <v>7276</v>
      </c>
      <c r="K860" s="276"/>
      <c r="L860" s="385" t="s">
        <v>13477</v>
      </c>
      <c r="M860" s="276"/>
    </row>
    <row r="861" spans="1:13">
      <c r="A861" s="277">
        <f>VLOOKUP(B861, 'PubMed 10.7.21 Results'!B:B, 1, FALSE)</f>
        <v>15502061</v>
      </c>
      <c r="B861" s="277">
        <v>15502061</v>
      </c>
      <c r="C861" s="276" t="s">
        <v>9116</v>
      </c>
      <c r="D861" s="276" t="s">
        <v>18896</v>
      </c>
      <c r="E861" s="276" t="s">
        <v>18897</v>
      </c>
      <c r="F861" s="276" t="s">
        <v>7836</v>
      </c>
      <c r="G861" s="276" t="s">
        <v>9119</v>
      </c>
      <c r="H861" s="277">
        <v>2004</v>
      </c>
      <c r="I861" s="386">
        <v>38287</v>
      </c>
      <c r="J861" s="276"/>
      <c r="K861" s="276"/>
      <c r="L861" s="385" t="s">
        <v>9120</v>
      </c>
      <c r="M861" s="276"/>
    </row>
    <row r="862" spans="1:13">
      <c r="A862" s="277">
        <f>VLOOKUP(B862, 'PubMed 10.7.21 Results'!B:B, 1, FALSE)</f>
        <v>29288035</v>
      </c>
      <c r="B862" s="277">
        <v>29288035</v>
      </c>
      <c r="C862" s="276" t="s">
        <v>12553</v>
      </c>
      <c r="D862" s="276" t="s">
        <v>12554</v>
      </c>
      <c r="E862" s="276" t="s">
        <v>12555</v>
      </c>
      <c r="F862" s="276" t="s">
        <v>6554</v>
      </c>
      <c r="G862" s="276" t="s">
        <v>12556</v>
      </c>
      <c r="H862" s="277">
        <v>2018</v>
      </c>
      <c r="I862" s="386">
        <v>43100</v>
      </c>
      <c r="J862" s="276"/>
      <c r="K862" s="276"/>
      <c r="L862" s="385" t="s">
        <v>12557</v>
      </c>
      <c r="M862" s="276"/>
    </row>
    <row r="863" spans="1:13">
      <c r="A863" s="277">
        <f>VLOOKUP(B863, 'PubMed 10.7.21 Results'!B:B, 1, FALSE)</f>
        <v>29096426</v>
      </c>
      <c r="B863" s="277">
        <v>29096426</v>
      </c>
      <c r="C863" s="276" t="s">
        <v>12440</v>
      </c>
      <c r="D863" s="276" t="s">
        <v>12441</v>
      </c>
      <c r="E863" s="276" t="s">
        <v>12442</v>
      </c>
      <c r="F863" s="276" t="s">
        <v>7871</v>
      </c>
      <c r="G863" s="276" t="s">
        <v>9569</v>
      </c>
      <c r="H863" s="277">
        <v>2018</v>
      </c>
      <c r="I863" s="386">
        <v>43042</v>
      </c>
      <c r="J863" s="276" t="s">
        <v>7872</v>
      </c>
      <c r="K863" s="276"/>
      <c r="L863" s="385" t="s">
        <v>12443</v>
      </c>
      <c r="M863" s="276"/>
    </row>
    <row r="864" spans="1:13">
      <c r="A864" s="277">
        <f>VLOOKUP(B864, 'PubMed 10.7.21 Results'!B:B, 1, FALSE)</f>
        <v>30972546</v>
      </c>
      <c r="B864" s="277">
        <v>30972546</v>
      </c>
      <c r="C864" s="276" t="s">
        <v>13110</v>
      </c>
      <c r="D864" s="276" t="s">
        <v>13111</v>
      </c>
      <c r="E864" s="276" t="s">
        <v>13112</v>
      </c>
      <c r="F864" s="276" t="s">
        <v>7968</v>
      </c>
      <c r="G864" s="276" t="s">
        <v>13113</v>
      </c>
      <c r="H864" s="277">
        <v>2019</v>
      </c>
      <c r="I864" s="386">
        <v>43567</v>
      </c>
      <c r="J864" s="276"/>
      <c r="K864" s="276"/>
      <c r="L864" s="385" t="s">
        <v>13114</v>
      </c>
      <c r="M864" s="276"/>
    </row>
    <row r="865" spans="1:13">
      <c r="A865" s="277">
        <f>VLOOKUP(B865, 'PubMed 10.7.21 Results'!B:B, 1, FALSE)</f>
        <v>14688494</v>
      </c>
      <c r="B865" s="277">
        <v>14688494</v>
      </c>
      <c r="C865" s="276" t="s">
        <v>9016</v>
      </c>
      <c r="D865" s="276" t="s">
        <v>9017</v>
      </c>
      <c r="E865" s="276" t="s">
        <v>9018</v>
      </c>
      <c r="F865" s="276" t="s">
        <v>7303</v>
      </c>
      <c r="G865" s="276" t="s">
        <v>9019</v>
      </c>
      <c r="H865" s="277">
        <v>2003</v>
      </c>
      <c r="I865" s="386">
        <v>37978</v>
      </c>
      <c r="J865" s="276"/>
      <c r="K865" s="276"/>
      <c r="L865" s="385" t="s">
        <v>9020</v>
      </c>
      <c r="M865" s="276"/>
    </row>
    <row r="866" spans="1:13">
      <c r="A866" s="277">
        <f>VLOOKUP(B866, 'PubMed 10.7.21 Results'!B:B, 1, FALSE)</f>
        <v>23378769</v>
      </c>
      <c r="B866" s="277">
        <v>23378769</v>
      </c>
      <c r="C866" s="276" t="s">
        <v>10634</v>
      </c>
      <c r="D866" s="276" t="s">
        <v>10635</v>
      </c>
      <c r="E866" s="276" t="s">
        <v>10636</v>
      </c>
      <c r="F866" s="276" t="s">
        <v>7316</v>
      </c>
      <c r="G866" s="276" t="s">
        <v>10637</v>
      </c>
      <c r="H866" s="277">
        <v>2013</v>
      </c>
      <c r="I866" s="386">
        <v>41310</v>
      </c>
      <c r="J866" s="276" t="s">
        <v>7317</v>
      </c>
      <c r="K866" s="276"/>
      <c r="L866" s="385" t="s">
        <v>10638</v>
      </c>
      <c r="M866" s="276"/>
    </row>
    <row r="867" spans="1:13">
      <c r="A867" s="277">
        <f>VLOOKUP(B867, 'PubMed 10.7.21 Results'!B:B, 1, FALSE)</f>
        <v>18575220</v>
      </c>
      <c r="B867" s="277">
        <v>18575220</v>
      </c>
      <c r="C867" s="276" t="s">
        <v>9601</v>
      </c>
      <c r="D867" s="276" t="s">
        <v>9602</v>
      </c>
      <c r="E867" s="276" t="s">
        <v>9603</v>
      </c>
      <c r="F867" s="276" t="s">
        <v>7927</v>
      </c>
      <c r="G867" s="276" t="s">
        <v>9604</v>
      </c>
      <c r="H867" s="277">
        <v>2008</v>
      </c>
      <c r="I867" s="386">
        <v>39625</v>
      </c>
      <c r="J867" s="276"/>
      <c r="K867" s="276"/>
      <c r="L867" s="276"/>
      <c r="M867" s="276"/>
    </row>
    <row r="868" spans="1:13">
      <c r="A868" s="277">
        <f>VLOOKUP(B868, 'PubMed 10.7.21 Results'!B:B, 1, FALSE)</f>
        <v>26353915</v>
      </c>
      <c r="B868" s="277">
        <v>26353915</v>
      </c>
      <c r="C868" s="276" t="s">
        <v>11517</v>
      </c>
      <c r="D868" s="276" t="s">
        <v>10951</v>
      </c>
      <c r="E868" s="276" t="s">
        <v>11518</v>
      </c>
      <c r="F868" s="276" t="s">
        <v>6908</v>
      </c>
      <c r="G868" s="276" t="s">
        <v>9681</v>
      </c>
      <c r="H868" s="277">
        <v>2015</v>
      </c>
      <c r="I868" s="386">
        <v>42258</v>
      </c>
      <c r="J868" s="276"/>
      <c r="K868" s="276"/>
      <c r="L868" s="385" t="s">
        <v>11519</v>
      </c>
      <c r="M868" s="276"/>
    </row>
    <row r="869" spans="1:13">
      <c r="A869" s="277">
        <f>VLOOKUP(B869, 'PubMed 10.7.21 Results'!B:B, 1, FALSE)</f>
        <v>28596448</v>
      </c>
      <c r="B869" s="277">
        <v>28596448</v>
      </c>
      <c r="C869" s="276" t="s">
        <v>12180</v>
      </c>
      <c r="D869" s="276" t="s">
        <v>12181</v>
      </c>
      <c r="E869" s="276" t="s">
        <v>12182</v>
      </c>
      <c r="F869" s="276" t="s">
        <v>6550</v>
      </c>
      <c r="G869" s="276" t="s">
        <v>12183</v>
      </c>
      <c r="H869" s="277">
        <v>2017</v>
      </c>
      <c r="I869" s="386">
        <v>42896</v>
      </c>
      <c r="J869" s="276"/>
      <c r="K869" s="276"/>
      <c r="L869" s="385" t="s">
        <v>12184</v>
      </c>
      <c r="M869" s="276"/>
    </row>
    <row r="870" spans="1:13">
      <c r="A870" s="277">
        <f>VLOOKUP(B870, 'PubMed 10.7.21 Results'!B:B, 1, FALSE)</f>
        <v>23425012</v>
      </c>
      <c r="B870" s="277">
        <v>23425012</v>
      </c>
      <c r="C870" s="276" t="s">
        <v>10682</v>
      </c>
      <c r="D870" s="276" t="s">
        <v>10683</v>
      </c>
      <c r="E870" s="276" t="s">
        <v>10684</v>
      </c>
      <c r="F870" s="276" t="s">
        <v>6470</v>
      </c>
      <c r="G870" s="276" t="s">
        <v>10685</v>
      </c>
      <c r="H870" s="277">
        <v>2013</v>
      </c>
      <c r="I870" s="386">
        <v>41327</v>
      </c>
      <c r="J870" s="276" t="s">
        <v>6471</v>
      </c>
      <c r="K870" s="276"/>
      <c r="L870" s="385" t="s">
        <v>10686</v>
      </c>
      <c r="M870" s="276"/>
    </row>
    <row r="871" spans="1:13">
      <c r="A871" s="277">
        <f>VLOOKUP(B871, 'PubMed 10.7.21 Results'!B:B, 1, FALSE)</f>
        <v>31159976</v>
      </c>
      <c r="B871" s="277">
        <v>31159976</v>
      </c>
      <c r="C871" s="276" t="s">
        <v>12645</v>
      </c>
      <c r="D871" s="276" t="s">
        <v>12646</v>
      </c>
      <c r="E871" s="276" t="s">
        <v>13081</v>
      </c>
      <c r="F871" s="276" t="s">
        <v>6423</v>
      </c>
      <c r="G871" s="276" t="s">
        <v>10511</v>
      </c>
      <c r="H871" s="277">
        <v>2019</v>
      </c>
      <c r="I871" s="386">
        <v>43621</v>
      </c>
      <c r="J871" s="276"/>
      <c r="K871" s="276"/>
      <c r="L871" s="385" t="s">
        <v>13082</v>
      </c>
      <c r="M871" s="276"/>
    </row>
    <row r="872" spans="1:13">
      <c r="A872" s="277">
        <f>VLOOKUP(B872, 'PubMed 10.7.21 Results'!B:B, 1, FALSE)</f>
        <v>28229274</v>
      </c>
      <c r="B872" s="277">
        <v>28229274</v>
      </c>
      <c r="C872" s="276" t="s">
        <v>12092</v>
      </c>
      <c r="D872" s="276" t="s">
        <v>12093</v>
      </c>
      <c r="E872" s="276" t="s">
        <v>12094</v>
      </c>
      <c r="F872" s="276" t="s">
        <v>7101</v>
      </c>
      <c r="G872" s="276" t="s">
        <v>11599</v>
      </c>
      <c r="H872" s="277">
        <v>2017</v>
      </c>
      <c r="I872" s="386">
        <v>42790</v>
      </c>
      <c r="J872" s="276"/>
      <c r="K872" s="276"/>
      <c r="L872" s="385" t="s">
        <v>12095</v>
      </c>
      <c r="M872" s="276"/>
    </row>
    <row r="873" spans="1:13">
      <c r="A873" s="277">
        <f>VLOOKUP(B873, 'PubMed 10.7.21 Results'!B:B, 1, FALSE)</f>
        <v>22566017</v>
      </c>
      <c r="B873" s="277">
        <v>22566017</v>
      </c>
      <c r="C873" s="276" t="s">
        <v>10503</v>
      </c>
      <c r="D873" s="276" t="s">
        <v>10504</v>
      </c>
      <c r="E873" s="276" t="s">
        <v>10505</v>
      </c>
      <c r="F873" s="276" t="s">
        <v>7819</v>
      </c>
      <c r="G873" s="276" t="s">
        <v>10335</v>
      </c>
      <c r="H873" s="277">
        <v>2012</v>
      </c>
      <c r="I873" s="386">
        <v>41038</v>
      </c>
      <c r="J873" s="276" t="s">
        <v>7820</v>
      </c>
      <c r="K873" s="276" t="s">
        <v>10506</v>
      </c>
      <c r="L873" s="385" t="s">
        <v>10507</v>
      </c>
      <c r="M873" s="276"/>
    </row>
    <row r="874" spans="1:13">
      <c r="A874" s="277">
        <f>VLOOKUP(B874, 'PubMed 10.7.21 Results'!B:B, 1, FALSE)</f>
        <v>27067745</v>
      </c>
      <c r="B874" s="277">
        <v>27067745</v>
      </c>
      <c r="C874" s="276" t="s">
        <v>11775</v>
      </c>
      <c r="D874" s="276" t="s">
        <v>11776</v>
      </c>
      <c r="E874" s="276" t="s">
        <v>11777</v>
      </c>
      <c r="F874" s="276" t="s">
        <v>6923</v>
      </c>
      <c r="G874" s="276" t="s">
        <v>11778</v>
      </c>
      <c r="H874" s="277">
        <v>2016</v>
      </c>
      <c r="I874" s="386">
        <v>42473</v>
      </c>
      <c r="J874" s="276"/>
      <c r="K874" s="276"/>
      <c r="L874" s="385" t="s">
        <v>11779</v>
      </c>
      <c r="M874" s="276"/>
    </row>
    <row r="875" spans="1:13">
      <c r="A875" s="277">
        <f>VLOOKUP(B875, 'PubMed 10.7.21 Results'!B:B, 1, FALSE)</f>
        <v>11322999</v>
      </c>
      <c r="B875" s="277">
        <v>11322999</v>
      </c>
      <c r="C875" s="276" t="s">
        <v>8774</v>
      </c>
      <c r="D875" s="276" t="s">
        <v>8775</v>
      </c>
      <c r="E875" s="276" t="s">
        <v>8776</v>
      </c>
      <c r="F875" s="276" t="s">
        <v>7778</v>
      </c>
      <c r="G875" s="276" t="s">
        <v>8777</v>
      </c>
      <c r="H875" s="277">
        <v>2001</v>
      </c>
      <c r="I875" s="386">
        <v>37008</v>
      </c>
      <c r="J875" s="276"/>
      <c r="K875" s="276"/>
      <c r="L875" s="385" t="s">
        <v>8778</v>
      </c>
      <c r="M875" s="276"/>
    </row>
    <row r="876" spans="1:13">
      <c r="A876" s="277">
        <f>VLOOKUP(B876, 'PubMed 10.7.21 Results'!B:B, 1, FALSE)</f>
        <v>25873064</v>
      </c>
      <c r="B876" s="277">
        <v>25873064</v>
      </c>
      <c r="C876" s="276" t="s">
        <v>11322</v>
      </c>
      <c r="D876" s="276" t="s">
        <v>11323</v>
      </c>
      <c r="E876" s="276" t="s">
        <v>11324</v>
      </c>
      <c r="F876" s="276" t="s">
        <v>7504</v>
      </c>
      <c r="G876" s="276" t="s">
        <v>9906</v>
      </c>
      <c r="H876" s="277">
        <v>2015</v>
      </c>
      <c r="I876" s="386">
        <v>42110</v>
      </c>
      <c r="J876" s="276" t="s">
        <v>7505</v>
      </c>
      <c r="K876" s="276"/>
      <c r="L876" s="385" t="s">
        <v>11325</v>
      </c>
      <c r="M876" s="276"/>
    </row>
    <row r="877" spans="1:13">
      <c r="A877" s="277">
        <f>VLOOKUP(B877, 'PubMed 10.7.21 Results'!B:B, 1, FALSE)</f>
        <v>15947280</v>
      </c>
      <c r="B877" s="277">
        <v>15947280</v>
      </c>
      <c r="C877" s="276" t="s">
        <v>9189</v>
      </c>
      <c r="D877" s="276" t="s">
        <v>9190</v>
      </c>
      <c r="E877" s="276" t="s">
        <v>9191</v>
      </c>
      <c r="F877" s="276" t="s">
        <v>7014</v>
      </c>
      <c r="G877" s="276" t="s">
        <v>8524</v>
      </c>
      <c r="H877" s="277">
        <v>2005</v>
      </c>
      <c r="I877" s="386">
        <v>38514</v>
      </c>
      <c r="J877" s="276" t="s">
        <v>7015</v>
      </c>
      <c r="K877" s="276" t="s">
        <v>9192</v>
      </c>
      <c r="L877" s="385" t="s">
        <v>9193</v>
      </c>
      <c r="M877" s="276"/>
    </row>
    <row r="878" spans="1:13">
      <c r="A878" s="277">
        <f>VLOOKUP(B878, 'PubMed 10.7.21 Results'!B:B, 1, FALSE)</f>
        <v>32147025</v>
      </c>
      <c r="B878" s="277">
        <v>32147025</v>
      </c>
      <c r="C878" s="276" t="s">
        <v>13490</v>
      </c>
      <c r="D878" s="276" t="s">
        <v>13491</v>
      </c>
      <c r="E878" s="276" t="s">
        <v>13492</v>
      </c>
      <c r="F878" s="276" t="s">
        <v>6711</v>
      </c>
      <c r="G878" s="276" t="s">
        <v>13493</v>
      </c>
      <c r="H878" s="277">
        <v>2020</v>
      </c>
      <c r="I878" s="386">
        <v>43900</v>
      </c>
      <c r="J878" s="276"/>
      <c r="K878" s="276"/>
      <c r="L878" s="385" t="s">
        <v>13494</v>
      </c>
      <c r="M878" s="276"/>
    </row>
    <row r="879" spans="1:13">
      <c r="A879" s="277">
        <f>VLOOKUP(B879, 'PubMed 10.7.21 Results'!B:B, 1, FALSE)</f>
        <v>30423449</v>
      </c>
      <c r="B879" s="277">
        <v>30423449</v>
      </c>
      <c r="C879" s="276" t="s">
        <v>12896</v>
      </c>
      <c r="D879" s="276" t="s">
        <v>12897</v>
      </c>
      <c r="E879" s="276" t="s">
        <v>12898</v>
      </c>
      <c r="F879" s="276" t="s">
        <v>6543</v>
      </c>
      <c r="G879" s="276" t="s">
        <v>12438</v>
      </c>
      <c r="H879" s="277">
        <v>2019</v>
      </c>
      <c r="I879" s="386">
        <v>43418</v>
      </c>
      <c r="J879" s="276"/>
      <c r="K879" s="276"/>
      <c r="L879" s="385" t="s">
        <v>12899</v>
      </c>
      <c r="M879" s="276"/>
    </row>
    <row r="880" spans="1:13">
      <c r="A880" s="277">
        <f>VLOOKUP(B880, 'PubMed 10.7.21 Results'!B:B, 1, FALSE)</f>
        <v>25037054</v>
      </c>
      <c r="B880" s="277">
        <v>25037054</v>
      </c>
      <c r="C880" s="276" t="s">
        <v>11178</v>
      </c>
      <c r="D880" s="276" t="s">
        <v>11179</v>
      </c>
      <c r="E880" s="276" t="s">
        <v>11180</v>
      </c>
      <c r="F880" s="276" t="s">
        <v>7563</v>
      </c>
      <c r="G880" s="276" t="s">
        <v>11181</v>
      </c>
      <c r="H880" s="277">
        <v>2014</v>
      </c>
      <c r="I880" s="386">
        <v>41840</v>
      </c>
      <c r="J880" s="276"/>
      <c r="K880" s="276"/>
      <c r="L880" s="385" t="s">
        <v>11182</v>
      </c>
      <c r="M880" s="276"/>
    </row>
    <row r="881" spans="1:13">
      <c r="A881" s="277">
        <f>VLOOKUP(B881, 'PubMed 10.7.21 Results'!B:B, 1, FALSE)</f>
        <v>11899571</v>
      </c>
      <c r="B881" s="277">
        <v>11899571</v>
      </c>
      <c r="C881" s="276" t="s">
        <v>8859</v>
      </c>
      <c r="D881" s="276" t="s">
        <v>8860</v>
      </c>
      <c r="E881" s="276" t="s">
        <v>8861</v>
      </c>
      <c r="F881" s="276" t="s">
        <v>7220</v>
      </c>
      <c r="G881" s="276" t="s">
        <v>8730</v>
      </c>
      <c r="H881" s="277">
        <v>2002</v>
      </c>
      <c r="I881" s="386">
        <v>37335</v>
      </c>
      <c r="J881" s="276"/>
      <c r="K881" s="276"/>
      <c r="L881" s="276"/>
      <c r="M881" s="276"/>
    </row>
    <row r="882" spans="1:13">
      <c r="A882" s="277">
        <f>VLOOKUP(B882, 'PubMed 10.7.21 Results'!B:B, 1, FALSE)</f>
        <v>32393496</v>
      </c>
      <c r="B882" s="277">
        <v>32393496</v>
      </c>
      <c r="C882" s="276" t="s">
        <v>13607</v>
      </c>
      <c r="D882" s="276" t="s">
        <v>13608</v>
      </c>
      <c r="E882" s="276" t="s">
        <v>13609</v>
      </c>
      <c r="F882" s="276" t="s">
        <v>7272</v>
      </c>
      <c r="G882" s="276" t="s">
        <v>8675</v>
      </c>
      <c r="H882" s="277">
        <v>2020</v>
      </c>
      <c r="I882" s="386">
        <v>43964</v>
      </c>
      <c r="J882" s="276" t="s">
        <v>6291</v>
      </c>
      <c r="K882" s="276"/>
      <c r="L882" s="385" t="s">
        <v>13610</v>
      </c>
      <c r="M882" s="276"/>
    </row>
    <row r="883" spans="1:13">
      <c r="A883" s="277">
        <f>VLOOKUP(B883, 'PubMed 10.7.21 Results'!B:B, 1, FALSE)</f>
        <v>25269854</v>
      </c>
      <c r="B883" s="277">
        <v>25269854</v>
      </c>
      <c r="C883" s="276" t="s">
        <v>11149</v>
      </c>
      <c r="D883" s="276" t="s">
        <v>11150</v>
      </c>
      <c r="E883" s="276" t="s">
        <v>11151</v>
      </c>
      <c r="F883" s="276" t="s">
        <v>6891</v>
      </c>
      <c r="G883" s="276" t="s">
        <v>11152</v>
      </c>
      <c r="H883" s="277">
        <v>2014</v>
      </c>
      <c r="I883" s="386">
        <v>41914</v>
      </c>
      <c r="J883" s="276" t="s">
        <v>6892</v>
      </c>
      <c r="K883" s="276"/>
      <c r="L883" s="385" t="s">
        <v>11153</v>
      </c>
      <c r="M883" s="276"/>
    </row>
    <row r="884" spans="1:13">
      <c r="A884" s="277">
        <f>VLOOKUP(B884, 'PubMed 10.7.21 Results'!B:B, 1, FALSE)</f>
        <v>32925778</v>
      </c>
      <c r="B884" s="277">
        <v>32925778</v>
      </c>
      <c r="C884" s="276" t="s">
        <v>13733</v>
      </c>
      <c r="D884" s="276" t="s">
        <v>13734</v>
      </c>
      <c r="E884" s="276" t="s">
        <v>13735</v>
      </c>
      <c r="F884" s="276" t="s">
        <v>8096</v>
      </c>
      <c r="G884" s="276" t="s">
        <v>11908</v>
      </c>
      <c r="H884" s="277">
        <v>2020</v>
      </c>
      <c r="I884" s="386">
        <v>44088</v>
      </c>
      <c r="J884" s="276" t="s">
        <v>8097</v>
      </c>
      <c r="K884" s="276"/>
      <c r="L884" s="385" t="s">
        <v>13736</v>
      </c>
      <c r="M884" s="276"/>
    </row>
    <row r="885" spans="1:13">
      <c r="A885" s="277">
        <f>VLOOKUP(B885, 'PubMed 10.7.21 Results'!B:B, 1, FALSE)</f>
        <v>20806986</v>
      </c>
      <c r="B885" s="277">
        <v>20806986</v>
      </c>
      <c r="C885" s="276" t="s">
        <v>10032</v>
      </c>
      <c r="D885" s="276" t="s">
        <v>10033</v>
      </c>
      <c r="E885" s="276" t="s">
        <v>10034</v>
      </c>
      <c r="F885" s="276" t="s">
        <v>6479</v>
      </c>
      <c r="G885" s="276" t="s">
        <v>9378</v>
      </c>
      <c r="H885" s="277">
        <v>2010</v>
      </c>
      <c r="I885" s="386">
        <v>40424</v>
      </c>
      <c r="J885" s="276"/>
      <c r="K885" s="276"/>
      <c r="L885" s="385" t="s">
        <v>10035</v>
      </c>
      <c r="M885" s="276"/>
    </row>
    <row r="886" spans="1:13">
      <c r="A886" s="277">
        <f>VLOOKUP(B886, 'PubMed 10.7.21 Results'!B:B, 1, FALSE)</f>
        <v>32166390</v>
      </c>
      <c r="B886" s="277">
        <v>32166390</v>
      </c>
      <c r="C886" s="276" t="s">
        <v>13680</v>
      </c>
      <c r="D886" s="276" t="s">
        <v>13681</v>
      </c>
      <c r="E886" s="276" t="s">
        <v>13682</v>
      </c>
      <c r="F886" s="276" t="s">
        <v>7431</v>
      </c>
      <c r="G886" s="276" t="s">
        <v>12686</v>
      </c>
      <c r="H886" s="277">
        <v>2020</v>
      </c>
      <c r="I886" s="386">
        <v>43904</v>
      </c>
      <c r="J886" s="276"/>
      <c r="K886" s="276"/>
      <c r="L886" s="385" t="s">
        <v>13683</v>
      </c>
      <c r="M886" s="276"/>
    </row>
    <row r="887" spans="1:13">
      <c r="A887" s="277">
        <f>VLOOKUP(B887, 'PubMed 10.7.21 Results'!B:B, 1, FALSE)</f>
        <v>21149931</v>
      </c>
      <c r="B887" s="277">
        <v>21149931</v>
      </c>
      <c r="C887" s="276" t="s">
        <v>10099</v>
      </c>
      <c r="D887" s="276" t="s">
        <v>10100</v>
      </c>
      <c r="E887" s="276" t="s">
        <v>10101</v>
      </c>
      <c r="F887" s="276" t="s">
        <v>7867</v>
      </c>
      <c r="G887" s="276" t="s">
        <v>10102</v>
      </c>
      <c r="H887" s="277">
        <v>2010</v>
      </c>
      <c r="I887" s="386">
        <v>40527</v>
      </c>
      <c r="J887" s="276"/>
      <c r="K887" s="276"/>
      <c r="L887" s="385" t="s">
        <v>10103</v>
      </c>
      <c r="M887" s="276"/>
    </row>
    <row r="888" spans="1:13">
      <c r="A888" s="277">
        <f>VLOOKUP(B888, 'PubMed 10.7.21 Results'!B:B, 1, FALSE)</f>
        <v>32544159</v>
      </c>
      <c r="B888" s="277">
        <v>32544159</v>
      </c>
      <c r="C888" s="276" t="s">
        <v>13591</v>
      </c>
      <c r="D888" s="276" t="s">
        <v>13592</v>
      </c>
      <c r="E888" s="276" t="s">
        <v>13593</v>
      </c>
      <c r="F888" s="276" t="s">
        <v>7986</v>
      </c>
      <c r="G888" s="276" t="s">
        <v>11097</v>
      </c>
      <c r="H888" s="277">
        <v>2020</v>
      </c>
      <c r="I888" s="386">
        <v>43999</v>
      </c>
      <c r="J888" s="276" t="s">
        <v>7987</v>
      </c>
      <c r="K888" s="276"/>
      <c r="L888" s="385" t="s">
        <v>13594</v>
      </c>
      <c r="M888" s="276"/>
    </row>
    <row r="889" spans="1:13">
      <c r="A889" s="277">
        <f>VLOOKUP(B889, 'PubMed 10.7.21 Results'!B:B, 1, FALSE)</f>
        <v>23203821</v>
      </c>
      <c r="B889" s="277">
        <v>23203821</v>
      </c>
      <c r="C889" s="276" t="s">
        <v>10666</v>
      </c>
      <c r="D889" s="276" t="s">
        <v>10667</v>
      </c>
      <c r="E889" s="276" t="s">
        <v>10668</v>
      </c>
      <c r="F889" s="276" t="s">
        <v>7237</v>
      </c>
      <c r="G889" s="276" t="s">
        <v>8465</v>
      </c>
      <c r="H889" s="277">
        <v>2013</v>
      </c>
      <c r="I889" s="386">
        <v>41247</v>
      </c>
      <c r="J889" s="276"/>
      <c r="K889" s="276"/>
      <c r="L889" s="385" t="s">
        <v>10669</v>
      </c>
      <c r="M889" s="276"/>
    </row>
    <row r="890" spans="1:13">
      <c r="A890" s="277">
        <f>VLOOKUP(B890, 'PubMed 10.7.21 Results'!B:B, 1, FALSE)</f>
        <v>16379582</v>
      </c>
      <c r="B890" s="277">
        <v>16379582</v>
      </c>
      <c r="C890" s="276" t="s">
        <v>9229</v>
      </c>
      <c r="D890" s="276" t="s">
        <v>9230</v>
      </c>
      <c r="E890" s="276" t="s">
        <v>9231</v>
      </c>
      <c r="F890" s="276" t="s">
        <v>7359</v>
      </c>
      <c r="G890" s="276" t="s">
        <v>9232</v>
      </c>
      <c r="H890" s="277">
        <v>2005</v>
      </c>
      <c r="I890" s="386">
        <v>38715</v>
      </c>
      <c r="J890" s="276"/>
      <c r="K890" s="276"/>
      <c r="L890" s="385" t="s">
        <v>9233</v>
      </c>
      <c r="M890" s="276"/>
    </row>
    <row r="891" spans="1:13">
      <c r="A891" s="277">
        <f>VLOOKUP(B891, 'PubMed 10.7.21 Results'!B:B, 1, FALSE)</f>
        <v>15725883</v>
      </c>
      <c r="B891" s="277">
        <v>15725883</v>
      </c>
      <c r="C891" s="276" t="s">
        <v>9158</v>
      </c>
      <c r="D891" s="276" t="s">
        <v>9159</v>
      </c>
      <c r="E891" s="276" t="s">
        <v>9160</v>
      </c>
      <c r="F891" s="276" t="s">
        <v>7078</v>
      </c>
      <c r="G891" s="276" t="s">
        <v>9161</v>
      </c>
      <c r="H891" s="277">
        <v>2005</v>
      </c>
      <c r="I891" s="386">
        <v>38407</v>
      </c>
      <c r="J891" s="276"/>
      <c r="K891" s="276"/>
      <c r="L891" s="385" t="s">
        <v>9162</v>
      </c>
      <c r="M891" s="276"/>
    </row>
    <row r="892" spans="1:13">
      <c r="A892" s="277">
        <f>VLOOKUP(B892, 'PubMed 10.7.21 Results'!B:B, 1, FALSE)</f>
        <v>31811360</v>
      </c>
      <c r="B892" s="277">
        <v>31811360</v>
      </c>
      <c r="C892" s="276" t="s">
        <v>13342</v>
      </c>
      <c r="D892" s="276" t="s">
        <v>13343</v>
      </c>
      <c r="E892" s="276" t="s">
        <v>13344</v>
      </c>
      <c r="F892" s="276" t="s">
        <v>7163</v>
      </c>
      <c r="G892" s="276" t="s">
        <v>13345</v>
      </c>
      <c r="H892" s="277">
        <v>2020</v>
      </c>
      <c r="I892" s="386">
        <v>43807</v>
      </c>
      <c r="J892" s="276"/>
      <c r="K892" s="276"/>
      <c r="L892" s="385" t="s">
        <v>13346</v>
      </c>
      <c r="M892" s="276"/>
    </row>
    <row r="893" spans="1:13">
      <c r="A893" s="277">
        <f>VLOOKUP(B893, 'PubMed 10.7.21 Results'!B:B, 1, FALSE)</f>
        <v>18334054</v>
      </c>
      <c r="B893" s="277">
        <v>18334054</v>
      </c>
      <c r="C893" s="276" t="s">
        <v>9571</v>
      </c>
      <c r="D893" s="276" t="s">
        <v>9572</v>
      </c>
      <c r="E893" s="276" t="s">
        <v>9573</v>
      </c>
      <c r="F893" s="276" t="s">
        <v>7544</v>
      </c>
      <c r="G893" s="276" t="s">
        <v>8762</v>
      </c>
      <c r="H893" s="277">
        <v>2008</v>
      </c>
      <c r="I893" s="386">
        <v>39520</v>
      </c>
      <c r="J893" s="276"/>
      <c r="K893" s="276"/>
      <c r="L893" s="385" t="s">
        <v>9574</v>
      </c>
      <c r="M893" s="276"/>
    </row>
    <row r="894" spans="1:13">
      <c r="A894" s="277">
        <f>VLOOKUP(B894, 'PubMed 10.7.21 Results'!B:B, 1, FALSE)</f>
        <v>28603881</v>
      </c>
      <c r="B894" s="277">
        <v>28603881</v>
      </c>
      <c r="C894" s="276" t="s">
        <v>12144</v>
      </c>
      <c r="D894" s="276" t="s">
        <v>12145</v>
      </c>
      <c r="E894" s="276" t="s">
        <v>12146</v>
      </c>
      <c r="F894" s="276" t="s">
        <v>7052</v>
      </c>
      <c r="G894" s="276" t="s">
        <v>8857</v>
      </c>
      <c r="H894" s="277">
        <v>2017</v>
      </c>
      <c r="I894" s="386">
        <v>42899</v>
      </c>
      <c r="J894" s="276" t="s">
        <v>7053</v>
      </c>
      <c r="K894" s="276"/>
      <c r="L894" s="385" t="s">
        <v>12147</v>
      </c>
      <c r="M894" s="276"/>
    </row>
    <row r="895" spans="1:13">
      <c r="A895" s="277">
        <f>VLOOKUP(B895, 'PubMed 10.7.21 Results'!B:B, 1, FALSE)</f>
        <v>26599983</v>
      </c>
      <c r="B895" s="277">
        <v>26599983</v>
      </c>
      <c r="C895" s="276" t="s">
        <v>11757</v>
      </c>
      <c r="D895" s="276" t="s">
        <v>11758</v>
      </c>
      <c r="E895" s="276" t="s">
        <v>11759</v>
      </c>
      <c r="F895" s="276" t="s">
        <v>6557</v>
      </c>
      <c r="G895" s="276" t="s">
        <v>8480</v>
      </c>
      <c r="H895" s="277">
        <v>2016</v>
      </c>
      <c r="I895" s="386">
        <v>42333</v>
      </c>
      <c r="J895" s="276"/>
      <c r="K895" s="276"/>
      <c r="L895" s="385" t="s">
        <v>11760</v>
      </c>
      <c r="M895" s="276"/>
    </row>
    <row r="896" spans="1:13">
      <c r="A896" s="277">
        <f>VLOOKUP(B896, 'PubMed 10.7.21 Results'!B:B, 1, FALSE)</f>
        <v>24636387</v>
      </c>
      <c r="B896" s="277">
        <v>24636387</v>
      </c>
      <c r="C896" s="276" t="s">
        <v>10950</v>
      </c>
      <c r="D896" s="276" t="s">
        <v>10951</v>
      </c>
      <c r="E896" s="276" t="s">
        <v>10952</v>
      </c>
      <c r="F896" s="276" t="s">
        <v>6908</v>
      </c>
      <c r="G896" s="276" t="s">
        <v>9659</v>
      </c>
      <c r="H896" s="277">
        <v>2014</v>
      </c>
      <c r="I896" s="386">
        <v>41717</v>
      </c>
      <c r="J896" s="276"/>
      <c r="K896" s="276"/>
      <c r="L896" s="385" t="s">
        <v>10953</v>
      </c>
      <c r="M896" s="276"/>
    </row>
    <row r="897" spans="1:13">
      <c r="A897" s="277">
        <f>VLOOKUP(B897, 'PubMed 10.7.21 Results'!B:B, 1, FALSE)</f>
        <v>30064057</v>
      </c>
      <c r="B897" s="277">
        <v>30064057</v>
      </c>
      <c r="C897" s="276" t="s">
        <v>12703</v>
      </c>
      <c r="D897" s="276" t="s">
        <v>12704</v>
      </c>
      <c r="E897" s="276" t="s">
        <v>12705</v>
      </c>
      <c r="F897" s="276" t="s">
        <v>7930</v>
      </c>
      <c r="G897" s="276" t="s">
        <v>12706</v>
      </c>
      <c r="H897" s="277">
        <v>2018</v>
      </c>
      <c r="I897" s="386">
        <v>43313</v>
      </c>
      <c r="J897" s="276"/>
      <c r="K897" s="276"/>
      <c r="L897" s="385" t="s">
        <v>12707</v>
      </c>
      <c r="M897" s="276"/>
    </row>
    <row r="898" spans="1:13">
      <c r="A898" s="277">
        <f>VLOOKUP(B898, 'PubMed 10.7.21 Results'!B:B, 1, FALSE)</f>
        <v>23731986</v>
      </c>
      <c r="B898" s="277">
        <v>23731986</v>
      </c>
      <c r="C898" s="276" t="s">
        <v>10763</v>
      </c>
      <c r="D898" s="276" t="s">
        <v>10764</v>
      </c>
      <c r="E898" s="276" t="s">
        <v>10765</v>
      </c>
      <c r="F898" s="276" t="s">
        <v>8012</v>
      </c>
      <c r="G898" s="276" t="s">
        <v>10766</v>
      </c>
      <c r="H898" s="277">
        <v>2013</v>
      </c>
      <c r="I898" s="386">
        <v>41430</v>
      </c>
      <c r="J898" s="276" t="s">
        <v>8013</v>
      </c>
      <c r="K898" s="276"/>
      <c r="L898" s="385" t="s">
        <v>10767</v>
      </c>
      <c r="M898" s="276"/>
    </row>
    <row r="899" spans="1:13">
      <c r="A899" s="277">
        <f>VLOOKUP(B899, 'PubMed 10.7.21 Results'!B:B, 1, FALSE)</f>
        <v>18664153</v>
      </c>
      <c r="B899" s="277">
        <v>18664153</v>
      </c>
      <c r="C899" s="276" t="s">
        <v>9620</v>
      </c>
      <c r="D899" s="276" t="s">
        <v>9621</v>
      </c>
      <c r="E899" s="276" t="s">
        <v>9622</v>
      </c>
      <c r="F899" s="276" t="s">
        <v>7725</v>
      </c>
      <c r="G899" s="276" t="s">
        <v>9604</v>
      </c>
      <c r="H899" s="277">
        <v>2008</v>
      </c>
      <c r="I899" s="386">
        <v>39660</v>
      </c>
      <c r="J899" s="276"/>
      <c r="K899" s="276"/>
      <c r="L899" s="276"/>
      <c r="M899" s="276"/>
    </row>
    <row r="900" spans="1:13">
      <c r="A900" s="277">
        <f>VLOOKUP(B900, 'PubMed 10.7.21 Results'!B:B, 1, FALSE)</f>
        <v>31996895</v>
      </c>
      <c r="B900" s="277">
        <v>31996895</v>
      </c>
      <c r="C900" s="276" t="s">
        <v>13507</v>
      </c>
      <c r="D900" s="276" t="s">
        <v>13508</v>
      </c>
      <c r="E900" s="276" t="s">
        <v>13509</v>
      </c>
      <c r="F900" s="276" t="s">
        <v>7433</v>
      </c>
      <c r="G900" s="276" t="s">
        <v>13510</v>
      </c>
      <c r="H900" s="277">
        <v>2020</v>
      </c>
      <c r="I900" s="386">
        <v>43861</v>
      </c>
      <c r="J900" s="276"/>
      <c r="K900" s="276"/>
      <c r="L900" s="385" t="s">
        <v>13511</v>
      </c>
      <c r="M900" s="276"/>
    </row>
    <row r="901" spans="1:13">
      <c r="A901" s="277">
        <f>VLOOKUP(B901, 'PubMed 10.7.21 Results'!B:B, 1, FALSE)</f>
        <v>31521532</v>
      </c>
      <c r="B901" s="277">
        <v>31521532</v>
      </c>
      <c r="C901" s="276" t="s">
        <v>13251</v>
      </c>
      <c r="D901" s="276" t="s">
        <v>13252</v>
      </c>
      <c r="E901" s="276" t="s">
        <v>13253</v>
      </c>
      <c r="F901" s="276" t="s">
        <v>7976</v>
      </c>
      <c r="G901" s="276" t="s">
        <v>10516</v>
      </c>
      <c r="H901" s="277">
        <v>2019</v>
      </c>
      <c r="I901" s="386">
        <v>43724</v>
      </c>
      <c r="J901" s="276"/>
      <c r="K901" s="276"/>
      <c r="L901" s="385" t="s">
        <v>13254</v>
      </c>
      <c r="M901" s="276"/>
    </row>
    <row r="902" spans="1:13">
      <c r="A902" s="277">
        <f>VLOOKUP(B902, 'PubMed 10.7.21 Results'!B:B, 1, FALSE)</f>
        <v>31950853</v>
      </c>
      <c r="B902" s="277">
        <v>31950853</v>
      </c>
      <c r="C902" s="276" t="s">
        <v>13446</v>
      </c>
      <c r="D902" s="276" t="s">
        <v>13447</v>
      </c>
      <c r="E902" s="276" t="s">
        <v>13448</v>
      </c>
      <c r="F902" s="276" t="s">
        <v>7728</v>
      </c>
      <c r="G902" s="276" t="s">
        <v>13449</v>
      </c>
      <c r="H902" s="277">
        <v>2020</v>
      </c>
      <c r="I902" s="386">
        <v>43848</v>
      </c>
      <c r="J902" s="276"/>
      <c r="K902" s="276"/>
      <c r="L902" s="385" t="s">
        <v>13450</v>
      </c>
      <c r="M902" s="276"/>
    </row>
    <row r="903" spans="1:13">
      <c r="A903" s="277">
        <f>VLOOKUP(B903, 'PubMed 10.7.21 Results'!B:B, 1, FALSE)</f>
        <v>27366182</v>
      </c>
      <c r="B903" s="277">
        <v>27366182</v>
      </c>
      <c r="C903" s="276" t="s">
        <v>11605</v>
      </c>
      <c r="D903" s="276" t="s">
        <v>11606</v>
      </c>
      <c r="E903" s="276" t="s">
        <v>11607</v>
      </c>
      <c r="F903" s="276" t="s">
        <v>7367</v>
      </c>
      <c r="G903" s="276" t="s">
        <v>11608</v>
      </c>
      <c r="H903" s="277">
        <v>2016</v>
      </c>
      <c r="I903" s="386">
        <v>42553</v>
      </c>
      <c r="J903" s="276" t="s">
        <v>7368</v>
      </c>
      <c r="K903" s="276"/>
      <c r="L903" s="385" t="s">
        <v>11609</v>
      </c>
      <c r="M903" s="276"/>
    </row>
    <row r="904" spans="1:13">
      <c r="A904" s="277">
        <f>VLOOKUP(B904, 'PubMed 10.7.21 Results'!B:B, 1, FALSE)</f>
        <v>25917376</v>
      </c>
      <c r="B904" s="277">
        <v>25917376</v>
      </c>
      <c r="C904" s="276" t="s">
        <v>11488</v>
      </c>
      <c r="D904" s="276" t="s">
        <v>11489</v>
      </c>
      <c r="E904" s="276" t="s">
        <v>11490</v>
      </c>
      <c r="F904" s="276" t="s">
        <v>7555</v>
      </c>
      <c r="G904" s="276" t="s">
        <v>11491</v>
      </c>
      <c r="H904" s="277">
        <v>2015</v>
      </c>
      <c r="I904" s="386">
        <v>42123</v>
      </c>
      <c r="J904" s="276"/>
      <c r="K904" s="276"/>
      <c r="L904" s="385" t="s">
        <v>11492</v>
      </c>
      <c r="M904" s="276"/>
    </row>
    <row r="905" spans="1:13">
      <c r="A905" s="277">
        <f>VLOOKUP(B905, 'PubMed 10.7.21 Results'!B:B, 1, FALSE)</f>
        <v>29321063</v>
      </c>
      <c r="B905" s="277">
        <v>29321063</v>
      </c>
      <c r="C905" s="276" t="s">
        <v>12389</v>
      </c>
      <c r="D905" s="276" t="s">
        <v>12390</v>
      </c>
      <c r="E905" s="276" t="s">
        <v>12391</v>
      </c>
      <c r="F905" s="276" t="s">
        <v>7614</v>
      </c>
      <c r="G905" s="276" t="s">
        <v>12392</v>
      </c>
      <c r="H905" s="277">
        <v>2018</v>
      </c>
      <c r="I905" s="386">
        <v>43112</v>
      </c>
      <c r="J905" s="276" t="s">
        <v>7615</v>
      </c>
      <c r="K905" s="276"/>
      <c r="L905" s="385" t="s">
        <v>12393</v>
      </c>
      <c r="M905" s="276"/>
    </row>
    <row r="906" spans="1:13">
      <c r="A906" s="277">
        <f>VLOOKUP(B906, 'PubMed 10.7.21 Results'!B:B, 1, FALSE)</f>
        <v>31279028</v>
      </c>
      <c r="B906" s="277">
        <v>31279028</v>
      </c>
      <c r="C906" s="276" t="s">
        <v>13386</v>
      </c>
      <c r="D906" s="276" t="s">
        <v>13387</v>
      </c>
      <c r="E906" s="276" t="s">
        <v>13388</v>
      </c>
      <c r="F906" s="276" t="s">
        <v>7045</v>
      </c>
      <c r="G906" s="276" t="s">
        <v>9961</v>
      </c>
      <c r="H906" s="277">
        <v>2020</v>
      </c>
      <c r="I906" s="386">
        <v>43653</v>
      </c>
      <c r="J906" s="276"/>
      <c r="K906" s="276"/>
      <c r="L906" s="385" t="s">
        <v>13389</v>
      </c>
      <c r="M906" s="276"/>
    </row>
    <row r="907" spans="1:13">
      <c r="A907" s="277">
        <f>VLOOKUP(B907, 'PubMed 10.7.21 Results'!B:B, 1, FALSE)</f>
        <v>19852750</v>
      </c>
      <c r="B907" s="277">
        <v>19852750</v>
      </c>
      <c r="C907" s="276" t="s">
        <v>9683</v>
      </c>
      <c r="D907" s="276" t="s">
        <v>9684</v>
      </c>
      <c r="E907" s="276" t="s">
        <v>9685</v>
      </c>
      <c r="F907" s="276" t="s">
        <v>7023</v>
      </c>
      <c r="G907" s="276" t="s">
        <v>9686</v>
      </c>
      <c r="H907" s="277">
        <v>2009</v>
      </c>
      <c r="I907" s="386">
        <v>40113</v>
      </c>
      <c r="J907" s="276"/>
      <c r="K907" s="276"/>
      <c r="L907" s="276"/>
      <c r="M907" s="276"/>
    </row>
    <row r="908" spans="1:13">
      <c r="A908" s="277">
        <f>VLOOKUP(B908, 'PubMed 10.7.21 Results'!B:B, 1, FALSE)</f>
        <v>32936949</v>
      </c>
      <c r="B908" s="277">
        <v>32936949</v>
      </c>
      <c r="C908" s="276" t="s">
        <v>13742</v>
      </c>
      <c r="D908" s="276" t="s">
        <v>13738</v>
      </c>
      <c r="E908" s="276" t="s">
        <v>18898</v>
      </c>
      <c r="F908" s="276" t="s">
        <v>6592</v>
      </c>
      <c r="G908" s="276" t="s">
        <v>8857</v>
      </c>
      <c r="H908" s="277">
        <v>2020</v>
      </c>
      <c r="I908" s="386">
        <v>44090</v>
      </c>
      <c r="J908" s="276"/>
      <c r="K908" s="276"/>
      <c r="L908" s="385" t="s">
        <v>13745</v>
      </c>
      <c r="M908" s="276"/>
    </row>
    <row r="909" spans="1:13">
      <c r="A909" s="277">
        <f>VLOOKUP(B909, 'PubMed 10.7.21 Results'!B:B, 1, FALSE)</f>
        <v>26490344</v>
      </c>
      <c r="B909" s="277">
        <v>26490344</v>
      </c>
      <c r="C909" s="276" t="s">
        <v>11524</v>
      </c>
      <c r="D909" s="276" t="s">
        <v>11525</v>
      </c>
      <c r="E909" s="276" t="s">
        <v>11526</v>
      </c>
      <c r="F909" s="276" t="s">
        <v>6545</v>
      </c>
      <c r="G909" s="276" t="s">
        <v>11527</v>
      </c>
      <c r="H909" s="277">
        <v>2015</v>
      </c>
      <c r="I909" s="386">
        <v>42300</v>
      </c>
      <c r="J909" s="276"/>
      <c r="K909" s="276"/>
      <c r="L909" s="385" t="s">
        <v>11528</v>
      </c>
      <c r="M909" s="276"/>
    </row>
    <row r="910" spans="1:13">
      <c r="A910" s="277">
        <f>VLOOKUP(B910, 'PubMed 10.7.21 Results'!B:B, 1, FALSE)</f>
        <v>29270698</v>
      </c>
      <c r="B910" s="277">
        <v>29270698</v>
      </c>
      <c r="C910" s="276" t="s">
        <v>12548</v>
      </c>
      <c r="D910" s="276" t="s">
        <v>12549</v>
      </c>
      <c r="E910" s="276" t="s">
        <v>12550</v>
      </c>
      <c r="F910" s="276" t="s">
        <v>7083</v>
      </c>
      <c r="G910" s="276" t="s">
        <v>12551</v>
      </c>
      <c r="H910" s="277">
        <v>2018</v>
      </c>
      <c r="I910" s="386">
        <v>43092</v>
      </c>
      <c r="J910" s="276"/>
      <c r="K910" s="276"/>
      <c r="L910" s="385" t="s">
        <v>12552</v>
      </c>
      <c r="M910" s="276"/>
    </row>
    <row r="911" spans="1:13">
      <c r="A911" s="277">
        <f>VLOOKUP(B911, 'PubMed 10.7.21 Results'!B:B, 1, FALSE)</f>
        <v>28831993</v>
      </c>
      <c r="B911" s="277">
        <v>28831993</v>
      </c>
      <c r="C911" s="276" t="s">
        <v>12212</v>
      </c>
      <c r="D911" s="276" t="s">
        <v>12213</v>
      </c>
      <c r="E911" s="276" t="s">
        <v>12214</v>
      </c>
      <c r="F911" s="276" t="s">
        <v>7636</v>
      </c>
      <c r="G911" s="276" t="s">
        <v>9420</v>
      </c>
      <c r="H911" s="277">
        <v>2017</v>
      </c>
      <c r="I911" s="386">
        <v>42971</v>
      </c>
      <c r="J911" s="276"/>
      <c r="K911" s="276"/>
      <c r="L911" s="385" t="s">
        <v>12215</v>
      </c>
      <c r="M911" s="276"/>
    </row>
    <row r="912" spans="1:13">
      <c r="A912" s="277">
        <f>VLOOKUP(B912, 'PubMed 10.7.21 Results'!B:B, 1, FALSE)</f>
        <v>28436969</v>
      </c>
      <c r="B912" s="277">
        <v>28436969</v>
      </c>
      <c r="C912" s="276" t="s">
        <v>12118</v>
      </c>
      <c r="D912" s="276" t="s">
        <v>12119</v>
      </c>
      <c r="E912" s="276" t="s">
        <v>12120</v>
      </c>
      <c r="F912" s="276" t="s">
        <v>8056</v>
      </c>
      <c r="G912" s="276" t="s">
        <v>10111</v>
      </c>
      <c r="H912" s="277">
        <v>2017</v>
      </c>
      <c r="I912" s="386">
        <v>42850</v>
      </c>
      <c r="J912" s="276"/>
      <c r="K912" s="276"/>
      <c r="L912" s="385" t="s">
        <v>12121</v>
      </c>
      <c r="M912" s="276"/>
    </row>
    <row r="913" spans="1:13">
      <c r="A913" s="277">
        <f>VLOOKUP(B913, 'PubMed 10.7.21 Results'!B:B, 1, FALSE)</f>
        <v>21884857</v>
      </c>
      <c r="B913" s="277">
        <v>21884857</v>
      </c>
      <c r="C913" s="276" t="s">
        <v>10279</v>
      </c>
      <c r="D913" s="276" t="s">
        <v>10280</v>
      </c>
      <c r="E913" s="276" t="s">
        <v>10281</v>
      </c>
      <c r="F913" s="276" t="s">
        <v>6424</v>
      </c>
      <c r="G913" s="276" t="s">
        <v>8665</v>
      </c>
      <c r="H913" s="277">
        <v>2011</v>
      </c>
      <c r="I913" s="386">
        <v>40789</v>
      </c>
      <c r="J913" s="276"/>
      <c r="K913" s="276"/>
      <c r="L913" s="385" t="s">
        <v>10282</v>
      </c>
      <c r="M913" s="276"/>
    </row>
    <row r="914" spans="1:13">
      <c r="A914" s="277">
        <f>VLOOKUP(B914, 'PubMed 10.7.21 Results'!B:B, 1, FALSE)</f>
        <v>30678501</v>
      </c>
      <c r="B914" s="277">
        <v>30678501</v>
      </c>
      <c r="C914" s="276" t="s">
        <v>12952</v>
      </c>
      <c r="D914" s="276" t="s">
        <v>12953</v>
      </c>
      <c r="E914" s="276" t="s">
        <v>12954</v>
      </c>
      <c r="F914" s="276" t="s">
        <v>7543</v>
      </c>
      <c r="G914" s="276" t="s">
        <v>8734</v>
      </c>
      <c r="H914" s="277">
        <v>2019</v>
      </c>
      <c r="I914" s="386">
        <v>43491</v>
      </c>
      <c r="J914" s="276"/>
      <c r="K914" s="276"/>
      <c r="L914" s="385" t="s">
        <v>12955</v>
      </c>
      <c r="M914" s="276"/>
    </row>
    <row r="915" spans="1:13">
      <c r="A915" s="277">
        <f>VLOOKUP(B915, 'PubMed 10.7.21 Results'!B:B, 1, FALSE)</f>
        <v>31319919</v>
      </c>
      <c r="B915" s="277">
        <v>31319919</v>
      </c>
      <c r="C915" s="276" t="s">
        <v>18899</v>
      </c>
      <c r="D915" s="276" t="s">
        <v>13156</v>
      </c>
      <c r="E915" s="276" t="s">
        <v>13157</v>
      </c>
      <c r="F915" s="276" t="s">
        <v>6844</v>
      </c>
      <c r="G915" s="276" t="s">
        <v>9014</v>
      </c>
      <c r="H915" s="277">
        <v>2019</v>
      </c>
      <c r="I915" s="386">
        <v>43666</v>
      </c>
      <c r="J915" s="276"/>
      <c r="K915" s="276"/>
      <c r="L915" s="385" t="s">
        <v>13158</v>
      </c>
      <c r="M915" s="276"/>
    </row>
    <row r="916" spans="1:13">
      <c r="A916" s="277">
        <f>VLOOKUP(B916, 'PubMed 10.7.21 Results'!B:B, 1, FALSE)</f>
        <v>20952517</v>
      </c>
      <c r="B916" s="277">
        <v>20952517</v>
      </c>
      <c r="C916" s="276" t="s">
        <v>10126</v>
      </c>
      <c r="D916" s="276" t="s">
        <v>10127</v>
      </c>
      <c r="E916" s="276" t="s">
        <v>10128</v>
      </c>
      <c r="F916" s="276" t="s">
        <v>6953</v>
      </c>
      <c r="G916" s="276" t="s">
        <v>10129</v>
      </c>
      <c r="H916" s="277">
        <v>2011</v>
      </c>
      <c r="I916" s="386">
        <v>40470</v>
      </c>
      <c r="J916" s="276" t="s">
        <v>6954</v>
      </c>
      <c r="K916" s="276"/>
      <c r="L916" s="385" t="s">
        <v>10130</v>
      </c>
      <c r="M916" s="276"/>
    </row>
    <row r="917" spans="1:13">
      <c r="A917" s="277">
        <f>VLOOKUP(B917, 'PubMed 10.7.21 Results'!B:B, 1, FALSE)</f>
        <v>29269418</v>
      </c>
      <c r="B917" s="277">
        <v>29269418</v>
      </c>
      <c r="C917" s="276" t="s">
        <v>12444</v>
      </c>
      <c r="D917" s="276" t="s">
        <v>12445</v>
      </c>
      <c r="E917" s="276" t="s">
        <v>12446</v>
      </c>
      <c r="F917" s="276" t="s">
        <v>6714</v>
      </c>
      <c r="G917" s="276" t="s">
        <v>10805</v>
      </c>
      <c r="H917" s="277">
        <v>2018</v>
      </c>
      <c r="I917" s="386">
        <v>43092</v>
      </c>
      <c r="J917" s="276"/>
      <c r="K917" s="276"/>
      <c r="L917" s="385" t="s">
        <v>12447</v>
      </c>
      <c r="M917" s="276"/>
    </row>
    <row r="918" spans="1:13">
      <c r="A918" s="277">
        <f>VLOOKUP(B918, 'PubMed 10.7.21 Results'!B:B, 1, FALSE)</f>
        <v>21360007</v>
      </c>
      <c r="B918" s="277">
        <v>21360007</v>
      </c>
      <c r="C918" s="276" t="s">
        <v>10241</v>
      </c>
      <c r="D918" s="276" t="s">
        <v>10242</v>
      </c>
      <c r="E918" s="276" t="s">
        <v>10243</v>
      </c>
      <c r="F918" s="276" t="s">
        <v>7742</v>
      </c>
      <c r="G918" s="276" t="s">
        <v>10244</v>
      </c>
      <c r="H918" s="277">
        <v>2011</v>
      </c>
      <c r="I918" s="386">
        <v>40604</v>
      </c>
      <c r="J918" s="276" t="s">
        <v>7743</v>
      </c>
      <c r="K918" s="276"/>
      <c r="L918" s="385" t="s">
        <v>10245</v>
      </c>
      <c r="M918" s="276"/>
    </row>
    <row r="919" spans="1:13">
      <c r="A919" s="277">
        <f>VLOOKUP(B919, 'PubMed 10.7.21 Results'!B:B, 1, FALSE)</f>
        <v>15712100</v>
      </c>
      <c r="B919" s="277">
        <v>15712100</v>
      </c>
      <c r="C919" s="276" t="s">
        <v>9149</v>
      </c>
      <c r="D919" s="276" t="s">
        <v>9150</v>
      </c>
      <c r="E919" s="276" t="s">
        <v>9151</v>
      </c>
      <c r="F919" s="276" t="s">
        <v>7812</v>
      </c>
      <c r="G919" s="276" t="s">
        <v>9152</v>
      </c>
      <c r="H919" s="277">
        <v>2005</v>
      </c>
      <c r="I919" s="386">
        <v>38399</v>
      </c>
      <c r="J919" s="276"/>
      <c r="K919" s="276"/>
      <c r="L919" s="276" t="s">
        <v>9153</v>
      </c>
      <c r="M919" s="276"/>
    </row>
    <row r="920" spans="1:13">
      <c r="A920" s="277">
        <f>VLOOKUP(B920, 'PubMed 10.7.21 Results'!B:B, 1, FALSE)</f>
        <v>26017126</v>
      </c>
      <c r="B920" s="277">
        <v>26017126</v>
      </c>
      <c r="C920" s="276" t="s">
        <v>11403</v>
      </c>
      <c r="D920" s="276" t="s">
        <v>11404</v>
      </c>
      <c r="E920" s="276" t="s">
        <v>11405</v>
      </c>
      <c r="F920" s="276" t="s">
        <v>7524</v>
      </c>
      <c r="G920" s="276" t="s">
        <v>11406</v>
      </c>
      <c r="H920" s="277">
        <v>2015</v>
      </c>
      <c r="I920" s="386">
        <v>42153</v>
      </c>
      <c r="J920" s="276"/>
      <c r="K920" s="276"/>
      <c r="L920" s="276"/>
      <c r="M920" s="276"/>
    </row>
    <row r="921" spans="1:13">
      <c r="A921" s="277">
        <f>VLOOKUP(B921, 'PubMed 10.7.21 Results'!B:B, 1, FALSE)</f>
        <v>26966058</v>
      </c>
      <c r="B921" s="277">
        <v>26966058</v>
      </c>
      <c r="C921" s="276" t="s">
        <v>11666</v>
      </c>
      <c r="D921" s="276" t="s">
        <v>11667</v>
      </c>
      <c r="E921" s="276" t="s">
        <v>11668</v>
      </c>
      <c r="F921" s="276" t="s">
        <v>7948</v>
      </c>
      <c r="G921" s="276" t="s">
        <v>11650</v>
      </c>
      <c r="H921" s="277">
        <v>2016</v>
      </c>
      <c r="I921" s="386">
        <v>42441</v>
      </c>
      <c r="J921" s="276" t="s">
        <v>7949</v>
      </c>
      <c r="K921" s="276"/>
      <c r="L921" s="385" t="s">
        <v>11669</v>
      </c>
      <c r="M921" s="276"/>
    </row>
    <row r="922" spans="1:13">
      <c r="A922" s="277">
        <f>VLOOKUP(B922, 'PubMed 10.7.21 Results'!B:B, 1, FALSE)</f>
        <v>9829449</v>
      </c>
      <c r="B922" s="277">
        <v>9829449</v>
      </c>
      <c r="C922" s="276" t="s">
        <v>8637</v>
      </c>
      <c r="D922" s="276" t="s">
        <v>8638</v>
      </c>
      <c r="E922" s="276" t="s">
        <v>8639</v>
      </c>
      <c r="F922" s="276" t="s">
        <v>7595</v>
      </c>
      <c r="G922" s="276" t="s">
        <v>8640</v>
      </c>
      <c r="H922" s="277">
        <v>1998</v>
      </c>
      <c r="I922" s="386">
        <v>36125</v>
      </c>
      <c r="J922" s="276"/>
      <c r="K922" s="276"/>
      <c r="L922" s="385" t="s">
        <v>8641</v>
      </c>
      <c r="M922" s="276"/>
    </row>
    <row r="923" spans="1:13">
      <c r="A923" s="277">
        <f>VLOOKUP(B923, 'PubMed 10.7.21 Results'!B:B, 1, FALSE)</f>
        <v>28358815</v>
      </c>
      <c r="B923" s="277">
        <v>28358815</v>
      </c>
      <c r="C923" s="276" t="s">
        <v>12048</v>
      </c>
      <c r="D923" s="276" t="s">
        <v>12049</v>
      </c>
      <c r="E923" s="276" t="s">
        <v>12050</v>
      </c>
      <c r="F923" s="276" t="s">
        <v>7297</v>
      </c>
      <c r="G923" s="276" t="s">
        <v>11097</v>
      </c>
      <c r="H923" s="277">
        <v>2017</v>
      </c>
      <c r="I923" s="386">
        <v>42825</v>
      </c>
      <c r="J923" s="276" t="s">
        <v>7298</v>
      </c>
      <c r="K923" s="276"/>
      <c r="L923" s="385" t="s">
        <v>12051</v>
      </c>
      <c r="M923" s="276"/>
    </row>
    <row r="924" spans="1:13">
      <c r="A924" s="277">
        <f>VLOOKUP(B924, 'PubMed 10.7.21 Results'!B:B, 1, FALSE)</f>
        <v>8986972</v>
      </c>
      <c r="B924" s="277">
        <v>8986972</v>
      </c>
      <c r="C924" s="276" t="s">
        <v>8562</v>
      </c>
      <c r="D924" s="276" t="s">
        <v>8563</v>
      </c>
      <c r="E924" s="276" t="s">
        <v>8564</v>
      </c>
      <c r="F924" s="276" t="s">
        <v>7988</v>
      </c>
      <c r="G924" s="276" t="s">
        <v>8565</v>
      </c>
      <c r="H924" s="277">
        <v>1996</v>
      </c>
      <c r="I924" s="386">
        <v>35400</v>
      </c>
      <c r="J924" s="276"/>
      <c r="K924" s="276"/>
      <c r="L924" s="385" t="s">
        <v>8566</v>
      </c>
      <c r="M924" s="276"/>
    </row>
    <row r="925" spans="1:13">
      <c r="A925" s="277">
        <f>VLOOKUP(B925, 'PubMed 10.7.21 Results'!B:B, 1, FALSE)</f>
        <v>22450948</v>
      </c>
      <c r="B925" s="277">
        <v>22450948</v>
      </c>
      <c r="C925" s="276" t="s">
        <v>10488</v>
      </c>
      <c r="D925" s="276" t="s">
        <v>10489</v>
      </c>
      <c r="E925" s="276" t="s">
        <v>10490</v>
      </c>
      <c r="F925" s="276" t="s">
        <v>6502</v>
      </c>
      <c r="G925" s="276" t="s">
        <v>10491</v>
      </c>
      <c r="H925" s="277">
        <v>2012</v>
      </c>
      <c r="I925" s="386">
        <v>40996</v>
      </c>
      <c r="J925" s="276"/>
      <c r="K925" s="276"/>
      <c r="L925" s="385" t="s">
        <v>10492</v>
      </c>
      <c r="M925" s="276"/>
    </row>
    <row r="926" spans="1:13">
      <c r="A926" s="277">
        <f>VLOOKUP(B926, 'PubMed 10.7.21 Results'!B:B, 1, FALSE)</f>
        <v>19841406</v>
      </c>
      <c r="B926" s="277">
        <v>19841406</v>
      </c>
      <c r="C926" s="276" t="s">
        <v>9866</v>
      </c>
      <c r="D926" s="276" t="s">
        <v>9867</v>
      </c>
      <c r="E926" s="276" t="s">
        <v>9868</v>
      </c>
      <c r="F926" s="276" t="s">
        <v>7944</v>
      </c>
      <c r="G926" s="276" t="s">
        <v>8612</v>
      </c>
      <c r="H926" s="277">
        <v>2009</v>
      </c>
      <c r="I926" s="386">
        <v>40107</v>
      </c>
      <c r="J926" s="276"/>
      <c r="K926" s="276"/>
      <c r="L926" s="385" t="s">
        <v>9869</v>
      </c>
      <c r="M926" s="276"/>
    </row>
    <row r="927" spans="1:13">
      <c r="A927" s="277">
        <f>VLOOKUP(B927, 'PubMed 10.7.21 Results'!B:B, 1, FALSE)</f>
        <v>32063522</v>
      </c>
      <c r="B927" s="277">
        <v>32063522</v>
      </c>
      <c r="C927" s="276" t="s">
        <v>13520</v>
      </c>
      <c r="D927" s="276" t="s">
        <v>13521</v>
      </c>
      <c r="E927" s="276" t="s">
        <v>13522</v>
      </c>
      <c r="F927" s="276" t="s">
        <v>7195</v>
      </c>
      <c r="G927" s="276" t="s">
        <v>13350</v>
      </c>
      <c r="H927" s="277">
        <v>2020</v>
      </c>
      <c r="I927" s="386">
        <v>43879</v>
      </c>
      <c r="J927" s="276"/>
      <c r="K927" s="276"/>
      <c r="L927" s="385" t="s">
        <v>13523</v>
      </c>
      <c r="M927" s="276"/>
    </row>
    <row r="928" spans="1:13">
      <c r="A928" s="277">
        <f>VLOOKUP(B928, 'PubMed 10.7.21 Results'!B:B, 1, FALSE)</f>
        <v>24957530</v>
      </c>
      <c r="B928" s="277">
        <v>24957530</v>
      </c>
      <c r="C928" s="276" t="s">
        <v>11173</v>
      </c>
      <c r="D928" s="276" t="s">
        <v>11174</v>
      </c>
      <c r="E928" s="276" t="s">
        <v>11175</v>
      </c>
      <c r="F928" s="276" t="s">
        <v>7985</v>
      </c>
      <c r="G928" s="276" t="s">
        <v>11176</v>
      </c>
      <c r="H928" s="277">
        <v>2014</v>
      </c>
      <c r="I928" s="386">
        <v>41815</v>
      </c>
      <c r="J928" s="276"/>
      <c r="K928" s="276"/>
      <c r="L928" s="385" t="s">
        <v>11177</v>
      </c>
      <c r="M928" s="276"/>
    </row>
    <row r="929" spans="1:13">
      <c r="A929" s="277">
        <f>VLOOKUP(B929, 'PubMed 10.7.21 Results'!B:B, 1, FALSE)</f>
        <v>30189465</v>
      </c>
      <c r="B929" s="277">
        <v>30189465</v>
      </c>
      <c r="C929" s="276" t="s">
        <v>12927</v>
      </c>
      <c r="D929" s="276" t="s">
        <v>12928</v>
      </c>
      <c r="E929" s="276" t="s">
        <v>12929</v>
      </c>
      <c r="F929" s="276" t="s">
        <v>6952</v>
      </c>
      <c r="G929" s="276" t="s">
        <v>12930</v>
      </c>
      <c r="H929" s="277">
        <v>2019</v>
      </c>
      <c r="I929" s="386">
        <v>43350</v>
      </c>
      <c r="J929" s="276"/>
      <c r="K929" s="276"/>
      <c r="L929" s="385" t="s">
        <v>12931</v>
      </c>
      <c r="M929" s="276"/>
    </row>
    <row r="930" spans="1:13">
      <c r="A930" s="277">
        <f>VLOOKUP(B930, 'PubMed 10.7.21 Results'!B:B, 1, FALSE)</f>
        <v>14529922</v>
      </c>
      <c r="B930" s="277">
        <v>14529922</v>
      </c>
      <c r="C930" s="276" t="s">
        <v>9006</v>
      </c>
      <c r="D930" s="276" t="s">
        <v>9007</v>
      </c>
      <c r="E930" s="276" t="s">
        <v>9008</v>
      </c>
      <c r="F930" s="276" t="s">
        <v>7558</v>
      </c>
      <c r="G930" s="276" t="s">
        <v>9009</v>
      </c>
      <c r="H930" s="277">
        <v>2003</v>
      </c>
      <c r="I930" s="386">
        <v>37902</v>
      </c>
      <c r="J930" s="276"/>
      <c r="K930" s="276"/>
      <c r="L930" s="385" t="s">
        <v>9010</v>
      </c>
      <c r="M930" s="276"/>
    </row>
    <row r="931" spans="1:13">
      <c r="A931" s="277">
        <f>VLOOKUP(B931, 'PubMed 10.7.21 Results'!B:B, 1, FALSE)</f>
        <v>16714917</v>
      </c>
      <c r="B931" s="277">
        <v>16714917</v>
      </c>
      <c r="C931" s="276" t="s">
        <v>9302</v>
      </c>
      <c r="D931" s="276" t="s">
        <v>9303</v>
      </c>
      <c r="E931" s="276" t="s">
        <v>9304</v>
      </c>
      <c r="F931" s="276" t="s">
        <v>6464</v>
      </c>
      <c r="G931" s="276" t="s">
        <v>9305</v>
      </c>
      <c r="H931" s="277">
        <v>2006</v>
      </c>
      <c r="I931" s="386">
        <v>38860</v>
      </c>
      <c r="J931" s="276"/>
      <c r="K931" s="276"/>
      <c r="L931" s="385" t="s">
        <v>9306</v>
      </c>
      <c r="M931" s="276"/>
    </row>
    <row r="932" spans="1:13">
      <c r="A932" s="277">
        <f>VLOOKUP(B932, 'PubMed 10.7.21 Results'!B:B, 1, FALSE)</f>
        <v>23564338</v>
      </c>
      <c r="B932" s="277">
        <v>23564338</v>
      </c>
      <c r="C932" s="276" t="s">
        <v>10962</v>
      </c>
      <c r="D932" s="276" t="s">
        <v>10963</v>
      </c>
      <c r="E932" s="276" t="s">
        <v>10964</v>
      </c>
      <c r="F932" s="276" t="s">
        <v>6677</v>
      </c>
      <c r="G932" s="276" t="s">
        <v>10965</v>
      </c>
      <c r="H932" s="277">
        <v>2014</v>
      </c>
      <c r="I932" s="386">
        <v>41373</v>
      </c>
      <c r="J932" s="276" t="s">
        <v>6678</v>
      </c>
      <c r="K932" s="276"/>
      <c r="L932" s="385" t="s">
        <v>10966</v>
      </c>
      <c r="M932" s="276"/>
    </row>
    <row r="933" spans="1:13">
      <c r="A933" s="277">
        <f>VLOOKUP(B933, 'PubMed 10.7.21 Results'!B:B, 1, FALSE)</f>
        <v>27114849</v>
      </c>
      <c r="B933" s="277">
        <v>27114849</v>
      </c>
      <c r="C933" s="276" t="s">
        <v>11675</v>
      </c>
      <c r="D933" s="276" t="s">
        <v>11676</v>
      </c>
      <c r="E933" s="276" t="s">
        <v>11677</v>
      </c>
      <c r="F933" s="276" t="s">
        <v>7623</v>
      </c>
      <c r="G933" s="276" t="s">
        <v>11678</v>
      </c>
      <c r="H933" s="277">
        <v>2016</v>
      </c>
      <c r="I933" s="386">
        <v>42487</v>
      </c>
      <c r="J933" s="276" t="s">
        <v>7624</v>
      </c>
      <c r="K933" s="276"/>
      <c r="L933" s="385" t="s">
        <v>11679</v>
      </c>
      <c r="M933" s="276"/>
    </row>
    <row r="934" spans="1:13">
      <c r="A934" s="277">
        <f>VLOOKUP(B934, 'PubMed 10.7.21 Results'!B:B, 1, FALSE)</f>
        <v>28110911</v>
      </c>
      <c r="B934" s="277">
        <v>28110911</v>
      </c>
      <c r="C934" s="276" t="s">
        <v>12062</v>
      </c>
      <c r="D934" s="276" t="s">
        <v>12063</v>
      </c>
      <c r="E934" s="276" t="s">
        <v>12064</v>
      </c>
      <c r="F934" s="276" t="s">
        <v>7849</v>
      </c>
      <c r="G934" s="276" t="s">
        <v>12065</v>
      </c>
      <c r="H934" s="277">
        <v>2017</v>
      </c>
      <c r="I934" s="386">
        <v>42759</v>
      </c>
      <c r="J934" s="276"/>
      <c r="K934" s="276"/>
      <c r="L934" s="385" t="s">
        <v>12066</v>
      </c>
      <c r="M934" s="276"/>
    </row>
    <row r="935" spans="1:13">
      <c r="A935" s="277">
        <f>VLOOKUP(B935, 'PubMed 10.7.21 Results'!B:B, 1, FALSE)</f>
        <v>19034219</v>
      </c>
      <c r="B935" s="277">
        <v>19034219</v>
      </c>
      <c r="C935" s="276" t="s">
        <v>9539</v>
      </c>
      <c r="D935" s="276" t="s">
        <v>9540</v>
      </c>
      <c r="E935" s="276" t="s">
        <v>9541</v>
      </c>
      <c r="F935" s="276" t="s">
        <v>7187</v>
      </c>
      <c r="G935" s="276" t="s">
        <v>9542</v>
      </c>
      <c r="H935" s="277">
        <v>2008</v>
      </c>
      <c r="I935" s="386">
        <v>39779</v>
      </c>
      <c r="J935" s="276"/>
      <c r="K935" s="276"/>
      <c r="L935" s="276"/>
      <c r="M935" s="276"/>
    </row>
    <row r="936" spans="1:13">
      <c r="A936" s="277">
        <f>VLOOKUP(B936, 'PubMed 10.7.21 Results'!B:B, 1, FALSE)</f>
        <v>27796637</v>
      </c>
      <c r="B936" s="277">
        <v>27796637</v>
      </c>
      <c r="C936" s="276" t="s">
        <v>12019</v>
      </c>
      <c r="D936" s="276" t="s">
        <v>12020</v>
      </c>
      <c r="E936" s="276" t="s">
        <v>12021</v>
      </c>
      <c r="F936" s="276" t="s">
        <v>7311</v>
      </c>
      <c r="G936" s="276" t="s">
        <v>12022</v>
      </c>
      <c r="H936" s="277">
        <v>2017</v>
      </c>
      <c r="I936" s="386">
        <v>42675</v>
      </c>
      <c r="J936" s="276"/>
      <c r="K936" s="276"/>
      <c r="L936" s="385" t="s">
        <v>12023</v>
      </c>
      <c r="M936" s="276"/>
    </row>
    <row r="937" spans="1:13">
      <c r="A937" s="277">
        <f>VLOOKUP(B937, 'PubMed 10.7.21 Results'!B:B, 1, FALSE)</f>
        <v>25855760</v>
      </c>
      <c r="B937" s="277">
        <v>25855760</v>
      </c>
      <c r="C937" s="276" t="s">
        <v>11444</v>
      </c>
      <c r="D937" s="276" t="s">
        <v>11445</v>
      </c>
      <c r="E937" s="276" t="s">
        <v>11446</v>
      </c>
      <c r="F937" s="276" t="s">
        <v>6713</v>
      </c>
      <c r="G937" s="276" t="s">
        <v>11447</v>
      </c>
      <c r="H937" s="277">
        <v>2015</v>
      </c>
      <c r="I937" s="386">
        <v>42104</v>
      </c>
      <c r="J937" s="276"/>
      <c r="K937" s="276"/>
      <c r="L937" s="385" t="s">
        <v>11448</v>
      </c>
      <c r="M937" s="276"/>
    </row>
    <row r="938" spans="1:13">
      <c r="A938" s="277">
        <f>VLOOKUP(B938, 'PubMed 10.7.21 Results'!B:B, 1, FALSE)</f>
        <v>31171018</v>
      </c>
      <c r="B938" s="277">
        <v>31171018</v>
      </c>
      <c r="C938" s="276" t="s">
        <v>13083</v>
      </c>
      <c r="D938" s="276" t="s">
        <v>13084</v>
      </c>
      <c r="E938" s="276" t="s">
        <v>13085</v>
      </c>
      <c r="F938" s="276" t="s">
        <v>7212</v>
      </c>
      <c r="G938" s="276" t="s">
        <v>11166</v>
      </c>
      <c r="H938" s="277">
        <v>2019</v>
      </c>
      <c r="I938" s="386">
        <v>43624</v>
      </c>
      <c r="J938" s="276" t="s">
        <v>7213</v>
      </c>
      <c r="K938" s="276"/>
      <c r="L938" s="385" t="s">
        <v>13086</v>
      </c>
      <c r="M938" s="276"/>
    </row>
    <row r="939" spans="1:13">
      <c r="A939" s="277">
        <f>VLOOKUP(B939, 'PubMed 10.7.21 Results'!B:B, 1, FALSE)</f>
        <v>30605229</v>
      </c>
      <c r="B939" s="277">
        <v>30605229</v>
      </c>
      <c r="C939" s="276" t="s">
        <v>12867</v>
      </c>
      <c r="D939" s="276" t="s">
        <v>12868</v>
      </c>
      <c r="E939" s="276" t="s">
        <v>12869</v>
      </c>
      <c r="F939" s="276" t="s">
        <v>7864</v>
      </c>
      <c r="G939" s="276" t="s">
        <v>8857</v>
      </c>
      <c r="H939" s="277">
        <v>2019</v>
      </c>
      <c r="I939" s="386">
        <v>43469</v>
      </c>
      <c r="J939" s="276" t="s">
        <v>7866</v>
      </c>
      <c r="K939" s="276"/>
      <c r="L939" s="385" t="s">
        <v>12870</v>
      </c>
      <c r="M939" s="276"/>
    </row>
    <row r="940" spans="1:13">
      <c r="A940" s="277">
        <f>VLOOKUP(B940, 'PubMed 10.7.21 Results'!B:B, 1, FALSE)</f>
        <v>11297595</v>
      </c>
      <c r="B940" s="277">
        <v>11297595</v>
      </c>
      <c r="C940" s="276" t="s">
        <v>8784</v>
      </c>
      <c r="D940" s="276" t="s">
        <v>8785</v>
      </c>
      <c r="E940" s="276" t="s">
        <v>8786</v>
      </c>
      <c r="F940" s="276" t="s">
        <v>6456</v>
      </c>
      <c r="G940" s="276" t="s">
        <v>8787</v>
      </c>
      <c r="H940" s="277">
        <v>2001</v>
      </c>
      <c r="I940" s="386">
        <v>36993</v>
      </c>
      <c r="J940" s="276"/>
      <c r="K940" s="276"/>
      <c r="L940" s="385" t="s">
        <v>8788</v>
      </c>
      <c r="M940" s="276"/>
    </row>
    <row r="941" spans="1:13">
      <c r="A941" s="277">
        <f>VLOOKUP(B941, 'PubMed 10.7.21 Results'!B:B, 1, FALSE)</f>
        <v>25296661</v>
      </c>
      <c r="B941" s="277">
        <v>25296661</v>
      </c>
      <c r="C941" s="276" t="s">
        <v>11230</v>
      </c>
      <c r="D941" s="276" t="s">
        <v>11231</v>
      </c>
      <c r="E941" s="276" t="s">
        <v>11232</v>
      </c>
      <c r="F941" s="276" t="s">
        <v>7797</v>
      </c>
      <c r="G941" s="276" t="s">
        <v>11233</v>
      </c>
      <c r="H941" s="277">
        <v>2015</v>
      </c>
      <c r="I941" s="386">
        <v>41922</v>
      </c>
      <c r="J941" s="276"/>
      <c r="K941" s="276"/>
      <c r="L941" s="385" t="s">
        <v>11234</v>
      </c>
      <c r="M941" s="276"/>
    </row>
    <row r="942" spans="1:13">
      <c r="A942" s="277">
        <f>VLOOKUP(B942, 'PubMed 10.7.21 Results'!B:B, 1, FALSE)</f>
        <v>16433809</v>
      </c>
      <c r="B942" s="277">
        <v>16433809</v>
      </c>
      <c r="C942" s="276" t="s">
        <v>9281</v>
      </c>
      <c r="D942" s="276" t="s">
        <v>9282</v>
      </c>
      <c r="E942" s="276" t="s">
        <v>9283</v>
      </c>
      <c r="F942" s="276" t="s">
        <v>7994</v>
      </c>
      <c r="G942" s="276" t="s">
        <v>8963</v>
      </c>
      <c r="H942" s="277">
        <v>2006</v>
      </c>
      <c r="I942" s="386">
        <v>38743</v>
      </c>
      <c r="J942" s="276"/>
      <c r="K942" s="276"/>
      <c r="L942" s="385" t="s">
        <v>9284</v>
      </c>
      <c r="M942" s="276"/>
    </row>
    <row r="943" spans="1:13">
      <c r="A943" s="277">
        <f>VLOOKUP(B943, 'PubMed 10.7.21 Results'!B:B, 1, FALSE)</f>
        <v>26263297</v>
      </c>
      <c r="B943" s="277">
        <v>26263297</v>
      </c>
      <c r="C943" s="276" t="s">
        <v>11493</v>
      </c>
      <c r="D943" s="276" t="s">
        <v>11494</v>
      </c>
      <c r="E943" s="276" t="s">
        <v>11495</v>
      </c>
      <c r="F943" s="276" t="s">
        <v>6754</v>
      </c>
      <c r="G943" s="276" t="s">
        <v>10927</v>
      </c>
      <c r="H943" s="277">
        <v>2015</v>
      </c>
      <c r="I943" s="386">
        <v>42228</v>
      </c>
      <c r="J943" s="276"/>
      <c r="K943" s="276"/>
      <c r="L943" s="385" t="s">
        <v>11496</v>
      </c>
      <c r="M943" s="276"/>
    </row>
    <row r="944" spans="1:13">
      <c r="A944" s="277">
        <f>VLOOKUP(B944, 'PubMed 10.7.21 Results'!B:B, 1, FALSE)</f>
        <v>10492259</v>
      </c>
      <c r="B944" s="277">
        <v>10492259</v>
      </c>
      <c r="C944" s="276" t="s">
        <v>8714</v>
      </c>
      <c r="D944" s="276" t="s">
        <v>8715</v>
      </c>
      <c r="E944" s="276" t="s">
        <v>8716</v>
      </c>
      <c r="F944" s="276" t="s">
        <v>7700</v>
      </c>
      <c r="G944" s="276" t="s">
        <v>8597</v>
      </c>
      <c r="H944" s="277">
        <v>1999</v>
      </c>
      <c r="I944" s="386">
        <v>36427</v>
      </c>
      <c r="J944" s="276"/>
      <c r="K944" s="276"/>
      <c r="L944" s="385" t="s">
        <v>8717</v>
      </c>
      <c r="M944" s="276"/>
    </row>
    <row r="945" spans="1:13">
      <c r="A945" s="277">
        <f>VLOOKUP(B945, 'PubMed 10.7.21 Results'!B:B, 1, FALSE)</f>
        <v>26263042</v>
      </c>
      <c r="B945" s="277">
        <v>26263042</v>
      </c>
      <c r="C945" s="276" t="s">
        <v>11458</v>
      </c>
      <c r="D945" s="276" t="s">
        <v>11459</v>
      </c>
      <c r="E945" s="276" t="s">
        <v>11460</v>
      </c>
      <c r="F945" s="276" t="s">
        <v>8041</v>
      </c>
      <c r="G945" s="276" t="s">
        <v>8857</v>
      </c>
      <c r="H945" s="277">
        <v>2015</v>
      </c>
      <c r="I945" s="386">
        <v>42228</v>
      </c>
      <c r="J945" s="276" t="s">
        <v>8045</v>
      </c>
      <c r="K945" s="276"/>
      <c r="L945" s="385" t="s">
        <v>11461</v>
      </c>
      <c r="M945" s="276"/>
    </row>
    <row r="946" spans="1:13">
      <c r="A946" s="277">
        <f>VLOOKUP(B946, 'PubMed 10.7.21 Results'!B:B, 1, FALSE)</f>
        <v>23235633</v>
      </c>
      <c r="B946" s="277">
        <v>23235633</v>
      </c>
      <c r="C946" s="276" t="s">
        <v>10609</v>
      </c>
      <c r="D946" s="276" t="s">
        <v>10610</v>
      </c>
      <c r="E946" s="276" t="s">
        <v>10611</v>
      </c>
      <c r="F946" s="276" t="s">
        <v>7475</v>
      </c>
      <c r="G946" s="276" t="s">
        <v>8857</v>
      </c>
      <c r="H946" s="277">
        <v>2012</v>
      </c>
      <c r="I946" s="386">
        <v>41257</v>
      </c>
      <c r="J946" s="276"/>
      <c r="K946" s="276"/>
      <c r="L946" s="385" t="s">
        <v>10612</v>
      </c>
      <c r="M946" s="276"/>
    </row>
    <row r="947" spans="1:13">
      <c r="A947" s="277">
        <f>VLOOKUP(B947, 'PubMed 10.7.21 Results'!B:B, 1, FALSE)</f>
        <v>21569111</v>
      </c>
      <c r="B947" s="277">
        <v>21569111</v>
      </c>
      <c r="C947" s="276" t="s">
        <v>10423</v>
      </c>
      <c r="D947" s="276" t="s">
        <v>10424</v>
      </c>
      <c r="E947" s="276" t="s">
        <v>10425</v>
      </c>
      <c r="F947" s="276" t="s">
        <v>7159</v>
      </c>
      <c r="G947" s="276" t="s">
        <v>10426</v>
      </c>
      <c r="H947" s="277">
        <v>2012</v>
      </c>
      <c r="I947" s="386">
        <v>40680</v>
      </c>
      <c r="J947" s="276"/>
      <c r="K947" s="276"/>
      <c r="L947" s="385" t="s">
        <v>10427</v>
      </c>
      <c r="M947" s="276"/>
    </row>
    <row r="948" spans="1:13">
      <c r="A948" s="277">
        <f>VLOOKUP(B948, 'PubMed 10.7.21 Results'!B:B, 1, FALSE)</f>
        <v>30826397</v>
      </c>
      <c r="B948" s="277">
        <v>30826397</v>
      </c>
      <c r="C948" s="276" t="s">
        <v>12995</v>
      </c>
      <c r="D948" s="276" t="s">
        <v>12996</v>
      </c>
      <c r="E948" s="276" t="s">
        <v>12997</v>
      </c>
      <c r="F948" s="276" t="s">
        <v>7347</v>
      </c>
      <c r="G948" s="276" t="s">
        <v>8777</v>
      </c>
      <c r="H948" s="277">
        <v>2019</v>
      </c>
      <c r="I948" s="386">
        <v>43528</v>
      </c>
      <c r="J948" s="276"/>
      <c r="K948" s="276"/>
      <c r="L948" s="385" t="s">
        <v>12998</v>
      </c>
      <c r="M948" s="276"/>
    </row>
    <row r="949" spans="1:13">
      <c r="A949" s="277">
        <f>VLOOKUP(B949, 'PubMed 10.7.21 Results'!B:B, 1, FALSE)</f>
        <v>30156436</v>
      </c>
      <c r="B949" s="277">
        <v>30156436</v>
      </c>
      <c r="C949" s="276" t="s">
        <v>12762</v>
      </c>
      <c r="D949" s="276" t="s">
        <v>12763</v>
      </c>
      <c r="E949" s="276" t="s">
        <v>12764</v>
      </c>
      <c r="F949" s="276" t="s">
        <v>7339</v>
      </c>
      <c r="G949" s="276" t="s">
        <v>12765</v>
      </c>
      <c r="H949" s="277">
        <v>2018</v>
      </c>
      <c r="I949" s="386">
        <v>43342</v>
      </c>
      <c r="J949" s="276" t="s">
        <v>7340</v>
      </c>
      <c r="K949" s="276"/>
      <c r="L949" s="385" t="s">
        <v>12766</v>
      </c>
      <c r="M949" s="276"/>
    </row>
    <row r="950" spans="1:13">
      <c r="A950" s="277">
        <f>VLOOKUP(B950, 'PubMed 10.7.21 Results'!B:B, 1, FALSE)</f>
        <v>11952024</v>
      </c>
      <c r="B950" s="277">
        <v>11952024</v>
      </c>
      <c r="C950" s="276" t="s">
        <v>8884</v>
      </c>
      <c r="D950" s="276" t="s">
        <v>8885</v>
      </c>
      <c r="E950" s="276" t="s">
        <v>8886</v>
      </c>
      <c r="F950" s="276" t="s">
        <v>6718</v>
      </c>
      <c r="G950" s="276" t="s">
        <v>8640</v>
      </c>
      <c r="H950" s="277">
        <v>2002</v>
      </c>
      <c r="I950" s="386">
        <v>37362</v>
      </c>
      <c r="J950" s="276"/>
      <c r="K950" s="276"/>
      <c r="L950" s="385" t="s">
        <v>8887</v>
      </c>
      <c r="M950" s="276"/>
    </row>
    <row r="951" spans="1:13">
      <c r="A951" s="277">
        <f>VLOOKUP(B951, 'PubMed 10.7.21 Results'!B:B, 1, FALSE)</f>
        <v>18826358</v>
      </c>
      <c r="B951" s="277">
        <v>18826358</v>
      </c>
      <c r="C951" s="276" t="s">
        <v>9645</v>
      </c>
      <c r="D951" s="276" t="s">
        <v>9646</v>
      </c>
      <c r="E951" s="276" t="s">
        <v>9647</v>
      </c>
      <c r="F951" s="276" t="s">
        <v>7050</v>
      </c>
      <c r="G951" s="276" t="s">
        <v>9648</v>
      </c>
      <c r="H951" s="277">
        <v>2008</v>
      </c>
      <c r="I951" s="386">
        <v>39723</v>
      </c>
      <c r="J951" s="276" t="s">
        <v>7051</v>
      </c>
      <c r="K951" s="276" t="s">
        <v>9649</v>
      </c>
      <c r="L951" s="385" t="s">
        <v>9650</v>
      </c>
      <c r="M951" s="276"/>
    </row>
    <row r="952" spans="1:13">
      <c r="A952" s="277">
        <f>VLOOKUP(B952, 'PubMed 10.7.21 Results'!B:B, 1, FALSE)</f>
        <v>28050885</v>
      </c>
      <c r="B952" s="277">
        <v>28050885</v>
      </c>
      <c r="C952" s="276" t="s">
        <v>12105</v>
      </c>
      <c r="D952" s="276" t="s">
        <v>12106</v>
      </c>
      <c r="E952" s="276" t="s">
        <v>12107</v>
      </c>
      <c r="F952" s="276" t="s">
        <v>6751</v>
      </c>
      <c r="G952" s="276" t="s">
        <v>9054</v>
      </c>
      <c r="H952" s="277">
        <v>2017</v>
      </c>
      <c r="I952" s="386">
        <v>42740</v>
      </c>
      <c r="J952" s="276" t="s">
        <v>6752</v>
      </c>
      <c r="K952" s="276"/>
      <c r="L952" s="385" t="s">
        <v>12108</v>
      </c>
      <c r="M952" s="276"/>
    </row>
    <row r="953" spans="1:13">
      <c r="A953" s="277">
        <f>VLOOKUP(B953, 'PubMed 10.7.21 Results'!B:B, 1, FALSE)</f>
        <v>22642919</v>
      </c>
      <c r="B953" s="277">
        <v>22642919</v>
      </c>
      <c r="C953" s="276" t="s">
        <v>10465</v>
      </c>
      <c r="D953" s="276" t="s">
        <v>10466</v>
      </c>
      <c r="E953" s="276" t="s">
        <v>10467</v>
      </c>
      <c r="F953" s="276" t="s">
        <v>7955</v>
      </c>
      <c r="G953" s="276" t="s">
        <v>10468</v>
      </c>
      <c r="H953" s="277">
        <v>2012</v>
      </c>
      <c r="I953" s="386">
        <v>41060</v>
      </c>
      <c r="J953" s="276" t="s">
        <v>7956</v>
      </c>
      <c r="K953" s="276" t="s">
        <v>10469</v>
      </c>
      <c r="L953" s="276"/>
      <c r="M953" s="276"/>
    </row>
    <row r="954" spans="1:13">
      <c r="A954" s="277">
        <f>VLOOKUP(B954, 'PubMed 10.7.21 Results'!B:B, 1, FALSE)</f>
        <v>28341755</v>
      </c>
      <c r="B954" s="277">
        <v>28341755</v>
      </c>
      <c r="C954" s="276" t="s">
        <v>12262</v>
      </c>
      <c r="D954" s="276" t="s">
        <v>12263</v>
      </c>
      <c r="E954" s="276" t="s">
        <v>12264</v>
      </c>
      <c r="F954" s="276" t="s">
        <v>7221</v>
      </c>
      <c r="G954" s="276" t="s">
        <v>12265</v>
      </c>
      <c r="H954" s="277">
        <v>2017</v>
      </c>
      <c r="I954" s="386">
        <v>42820</v>
      </c>
      <c r="J954" s="276" t="s">
        <v>7222</v>
      </c>
      <c r="K954" s="276"/>
      <c r="L954" s="385" t="s">
        <v>12266</v>
      </c>
      <c r="M954" s="276"/>
    </row>
    <row r="955" spans="1:13">
      <c r="A955" s="277">
        <f>VLOOKUP(B955, 'PubMed 10.7.21 Results'!B:B, 1, FALSE)</f>
        <v>15038947</v>
      </c>
      <c r="B955" s="277">
        <v>15038947</v>
      </c>
      <c r="C955" s="276" t="s">
        <v>9065</v>
      </c>
      <c r="D955" s="276" t="s">
        <v>9066</v>
      </c>
      <c r="E955" s="276" t="s">
        <v>9067</v>
      </c>
      <c r="F955" s="276" t="s">
        <v>7958</v>
      </c>
      <c r="G955" s="276" t="s">
        <v>8640</v>
      </c>
      <c r="H955" s="277">
        <v>2004</v>
      </c>
      <c r="I955" s="386">
        <v>38071</v>
      </c>
      <c r="J955" s="276"/>
      <c r="K955" s="276"/>
      <c r="L955" s="385" t="s">
        <v>9068</v>
      </c>
      <c r="M955" s="276"/>
    </row>
    <row r="956" spans="1:13">
      <c r="A956" s="277">
        <f>VLOOKUP(B956, 'PubMed 10.7.21 Results'!B:B, 1, FALSE)</f>
        <v>33448349</v>
      </c>
      <c r="B956" s="277">
        <v>33448349</v>
      </c>
      <c r="C956" s="276" t="s">
        <v>14004</v>
      </c>
      <c r="D956" s="276" t="s">
        <v>14005</v>
      </c>
      <c r="E956" s="276" t="s">
        <v>18900</v>
      </c>
      <c r="F956" s="276" t="s">
        <v>7122</v>
      </c>
      <c r="G956" s="276" t="s">
        <v>8857</v>
      </c>
      <c r="H956" s="277">
        <v>2021</v>
      </c>
      <c r="I956" s="386">
        <v>44211</v>
      </c>
      <c r="J956" s="276"/>
      <c r="K956" s="276"/>
      <c r="L956" s="385" t="s">
        <v>14008</v>
      </c>
      <c r="M956" s="276"/>
    </row>
    <row r="957" spans="1:13">
      <c r="A957" s="277">
        <f>VLOOKUP(B957, 'PubMed 10.7.21 Results'!B:B, 1, FALSE)</f>
        <v>30670044</v>
      </c>
      <c r="B957" s="277">
        <v>30670044</v>
      </c>
      <c r="C957" s="276" t="s">
        <v>12879</v>
      </c>
      <c r="D957" s="276" t="s">
        <v>12880</v>
      </c>
      <c r="E957" s="276" t="s">
        <v>12881</v>
      </c>
      <c r="F957" s="276" t="s">
        <v>7464</v>
      </c>
      <c r="G957" s="276" t="s">
        <v>10685</v>
      </c>
      <c r="H957" s="277">
        <v>2019</v>
      </c>
      <c r="I957" s="386">
        <v>43489</v>
      </c>
      <c r="J957" s="276" t="s">
        <v>7465</v>
      </c>
      <c r="K957" s="276"/>
      <c r="L957" s="385" t="s">
        <v>12882</v>
      </c>
      <c r="M957" s="276"/>
    </row>
    <row r="958" spans="1:13">
      <c r="A958" s="277">
        <f>VLOOKUP(B958, 'PubMed 10.7.21 Results'!B:B, 1, FALSE)</f>
        <v>29528485</v>
      </c>
      <c r="B958" s="277">
        <v>29528485</v>
      </c>
      <c r="C958" s="276" t="s">
        <v>12517</v>
      </c>
      <c r="D958" s="276" t="s">
        <v>12518</v>
      </c>
      <c r="E958" s="276" t="s">
        <v>12519</v>
      </c>
      <c r="F958" s="276" t="s">
        <v>7109</v>
      </c>
      <c r="G958" s="276" t="s">
        <v>10184</v>
      </c>
      <c r="H958" s="277">
        <v>2018</v>
      </c>
      <c r="I958" s="386">
        <v>43172</v>
      </c>
      <c r="J958" s="276"/>
      <c r="K958" s="276"/>
      <c r="L958" s="385" t="s">
        <v>12520</v>
      </c>
      <c r="M958" s="276"/>
    </row>
    <row r="959" spans="1:13">
      <c r="A959" s="277">
        <f>VLOOKUP(B959, 'PubMed 10.7.21 Results'!B:B, 1, FALSE)</f>
        <v>21973194</v>
      </c>
      <c r="B959" s="277">
        <v>21973194</v>
      </c>
      <c r="C959" s="276" t="s">
        <v>10337</v>
      </c>
      <c r="D959" s="276" t="s">
        <v>10338</v>
      </c>
      <c r="E959" s="276" t="s">
        <v>10339</v>
      </c>
      <c r="F959" s="276" t="s">
        <v>7587</v>
      </c>
      <c r="G959" s="276" t="s">
        <v>10340</v>
      </c>
      <c r="H959" s="277">
        <v>2011</v>
      </c>
      <c r="I959" s="386">
        <v>40823</v>
      </c>
      <c r="J959" s="276"/>
      <c r="K959" s="276"/>
      <c r="L959" s="385" t="s">
        <v>10341</v>
      </c>
      <c r="M959" s="276"/>
    </row>
    <row r="960" spans="1:13">
      <c r="A960" s="277">
        <f>VLOOKUP(B960, 'PubMed 10.7.21 Results'!B:B, 1, FALSE)</f>
        <v>10546007</v>
      </c>
      <c r="B960" s="277">
        <v>10546007</v>
      </c>
      <c r="C960" s="276" t="s">
        <v>8718</v>
      </c>
      <c r="D960" s="276" t="s">
        <v>8719</v>
      </c>
      <c r="E960" s="276" t="s">
        <v>8720</v>
      </c>
      <c r="F960" s="276" t="s">
        <v>6546</v>
      </c>
      <c r="G960" s="276" t="s">
        <v>8721</v>
      </c>
      <c r="H960" s="277">
        <v>1999</v>
      </c>
      <c r="I960" s="386">
        <v>36469</v>
      </c>
      <c r="J960" s="276"/>
      <c r="K960" s="276"/>
      <c r="L960" s="385" t="s">
        <v>8722</v>
      </c>
      <c r="M960" s="276"/>
    </row>
    <row r="961" spans="1:13">
      <c r="A961" s="277">
        <f>VLOOKUP(B961, 'PubMed 10.7.21 Results'!B:B, 1, FALSE)</f>
        <v>33568628</v>
      </c>
      <c r="B961" s="277">
        <v>33568628</v>
      </c>
      <c r="C961" s="276" t="s">
        <v>14056</v>
      </c>
      <c r="D961" s="276" t="s">
        <v>14057</v>
      </c>
      <c r="E961" s="276" t="s">
        <v>14058</v>
      </c>
      <c r="F961" s="276" t="s">
        <v>7805</v>
      </c>
      <c r="G961" s="276" t="s">
        <v>14059</v>
      </c>
      <c r="H961" s="277">
        <v>2021</v>
      </c>
      <c r="I961" s="386">
        <v>44238</v>
      </c>
      <c r="J961" s="276" t="s">
        <v>7806</v>
      </c>
      <c r="K961" s="276"/>
      <c r="L961" s="385" t="s">
        <v>14060</v>
      </c>
      <c r="M961" s="276"/>
    </row>
    <row r="962" spans="1:13">
      <c r="A962" s="277">
        <f>VLOOKUP(B962, 'PubMed 10.7.21 Results'!B:B, 1, FALSE)</f>
        <v>32936948</v>
      </c>
      <c r="B962" s="277">
        <v>32936948</v>
      </c>
      <c r="C962" s="276" t="s">
        <v>13737</v>
      </c>
      <c r="D962" s="276" t="s">
        <v>13738</v>
      </c>
      <c r="E962" s="276" t="s">
        <v>18901</v>
      </c>
      <c r="F962" s="276" t="s">
        <v>6592</v>
      </c>
      <c r="G962" s="276" t="s">
        <v>8857</v>
      </c>
      <c r="H962" s="277">
        <v>2020</v>
      </c>
      <c r="I962" s="386">
        <v>44090</v>
      </c>
      <c r="J962" s="276"/>
      <c r="K962" s="276"/>
      <c r="L962" s="385" t="s">
        <v>13741</v>
      </c>
      <c r="M962" s="276"/>
    </row>
    <row r="963" spans="1:13">
      <c r="A963" s="277">
        <f>VLOOKUP(B963, 'PubMed 10.7.21 Results'!B:B, 1, FALSE)</f>
        <v>20926833</v>
      </c>
      <c r="B963" s="277">
        <v>20926833</v>
      </c>
      <c r="C963" s="276" t="s">
        <v>10050</v>
      </c>
      <c r="D963" s="276" t="s">
        <v>10051</v>
      </c>
      <c r="E963" s="276" t="s">
        <v>10052</v>
      </c>
      <c r="F963" s="276" t="s">
        <v>5050</v>
      </c>
      <c r="G963" s="276" t="s">
        <v>10053</v>
      </c>
      <c r="H963" s="277">
        <v>2010</v>
      </c>
      <c r="I963" s="386">
        <v>40459</v>
      </c>
      <c r="J963" s="276"/>
      <c r="K963" s="276"/>
      <c r="L963" s="385" t="s">
        <v>10054</v>
      </c>
      <c r="M963" s="276"/>
    </row>
    <row r="964" spans="1:13">
      <c r="A964" s="277">
        <f>VLOOKUP(B964, 'PubMed 10.7.21 Results'!B:B, 1, FALSE)</f>
        <v>30799766</v>
      </c>
      <c r="B964" s="277">
        <v>30799766</v>
      </c>
      <c r="C964" s="276" t="s">
        <v>12990</v>
      </c>
      <c r="D964" s="276" t="s">
        <v>12991</v>
      </c>
      <c r="E964" s="276" t="s">
        <v>12992</v>
      </c>
      <c r="F964" s="276" t="s">
        <v>7154</v>
      </c>
      <c r="G964" s="276" t="s">
        <v>12993</v>
      </c>
      <c r="H964" s="277">
        <v>2019</v>
      </c>
      <c r="I964" s="386">
        <v>43522</v>
      </c>
      <c r="J964" s="276"/>
      <c r="K964" s="276"/>
      <c r="L964" s="385" t="s">
        <v>12994</v>
      </c>
      <c r="M964" s="276"/>
    </row>
    <row r="965" spans="1:13">
      <c r="A965" s="277">
        <f>VLOOKUP(B965, 'PubMed 10.7.21 Results'!B:B, 1, FALSE)</f>
        <v>18770487</v>
      </c>
      <c r="B965" s="277">
        <v>18770487</v>
      </c>
      <c r="C965" s="276" t="s">
        <v>9640</v>
      </c>
      <c r="D965" s="276" t="s">
        <v>9641</v>
      </c>
      <c r="E965" s="276" t="s">
        <v>9642</v>
      </c>
      <c r="F965" s="276" t="s">
        <v>7054</v>
      </c>
      <c r="G965" s="276" t="s">
        <v>9643</v>
      </c>
      <c r="H965" s="277">
        <v>2008</v>
      </c>
      <c r="I965" s="386">
        <v>39696</v>
      </c>
      <c r="J965" s="276"/>
      <c r="K965" s="276"/>
      <c r="L965" s="385" t="s">
        <v>9644</v>
      </c>
      <c r="M965" s="276"/>
    </row>
    <row r="966" spans="1:13">
      <c r="A966" s="277">
        <f>VLOOKUP(B966, 'PubMed 10.7.21 Results'!B:B, 1, FALSE)</f>
        <v>30786171</v>
      </c>
      <c r="B966" s="277">
        <v>30786171</v>
      </c>
      <c r="C966" s="276" t="s">
        <v>12965</v>
      </c>
      <c r="D966" s="276" t="s">
        <v>12966</v>
      </c>
      <c r="E966" s="276" t="s">
        <v>12967</v>
      </c>
      <c r="F966" s="276" t="s">
        <v>7161</v>
      </c>
      <c r="G966" s="276" t="s">
        <v>12968</v>
      </c>
      <c r="H966" s="277">
        <v>2019</v>
      </c>
      <c r="I966" s="386">
        <v>43517</v>
      </c>
      <c r="J966" s="276"/>
      <c r="K966" s="276"/>
      <c r="L966" s="276" t="s">
        <v>12969</v>
      </c>
      <c r="M966" s="276"/>
    </row>
    <row r="967" spans="1:13">
      <c r="A967" s="277">
        <f>VLOOKUP(B967, 'PubMed 10.7.21 Results'!B:B, 1, FALSE)</f>
        <v>21679267</v>
      </c>
      <c r="B967" s="277">
        <v>21679267</v>
      </c>
      <c r="C967" s="276" t="s">
        <v>10225</v>
      </c>
      <c r="D967" s="276" t="s">
        <v>10226</v>
      </c>
      <c r="E967" s="276" t="s">
        <v>10227</v>
      </c>
      <c r="F967" s="276" t="s">
        <v>7906</v>
      </c>
      <c r="G967" s="276" t="s">
        <v>10228</v>
      </c>
      <c r="H967" s="277">
        <v>2011</v>
      </c>
      <c r="I967" s="386">
        <v>40712</v>
      </c>
      <c r="J967" s="276" t="s">
        <v>7907</v>
      </c>
      <c r="K967" s="276" t="s">
        <v>10229</v>
      </c>
      <c r="L967" s="385" t="s">
        <v>10230</v>
      </c>
      <c r="M967" s="276"/>
    </row>
    <row r="968" spans="1:13">
      <c r="A968" s="277">
        <f>VLOOKUP(B968, 'PubMed 10.7.21 Results'!B:B, 1, FALSE)</f>
        <v>25914907</v>
      </c>
      <c r="B968" s="277">
        <v>25914907</v>
      </c>
      <c r="C968" s="276" t="s">
        <v>11301</v>
      </c>
      <c r="D968" s="276" t="s">
        <v>11302</v>
      </c>
      <c r="E968" s="276" t="s">
        <v>18902</v>
      </c>
      <c r="F968" s="276" t="s">
        <v>7174</v>
      </c>
      <c r="G968" s="276" t="s">
        <v>8857</v>
      </c>
      <c r="H968" s="277">
        <v>2015</v>
      </c>
      <c r="I968" s="386">
        <v>42122</v>
      </c>
      <c r="J968" s="276" t="s">
        <v>7175</v>
      </c>
      <c r="K968" s="276"/>
      <c r="L968" s="385" t="s">
        <v>11304</v>
      </c>
      <c r="M968" s="276"/>
    </row>
    <row r="969" spans="1:13">
      <c r="A969" s="277">
        <f>VLOOKUP(B969, 'PubMed 10.7.21 Results'!B:B, 1, FALSE)</f>
        <v>25175097</v>
      </c>
      <c r="B969" s="277">
        <v>25175097</v>
      </c>
      <c r="C969" s="276" t="s">
        <v>11129</v>
      </c>
      <c r="D969" s="276" t="s">
        <v>11130</v>
      </c>
      <c r="E969" s="276" t="s">
        <v>11131</v>
      </c>
      <c r="F969" s="276" t="s">
        <v>8025</v>
      </c>
      <c r="G969" s="276" t="s">
        <v>11132</v>
      </c>
      <c r="H969" s="277">
        <v>2014</v>
      </c>
      <c r="I969" s="386">
        <v>41884</v>
      </c>
      <c r="J969" s="276"/>
      <c r="K969" s="276"/>
      <c r="L969" s="385" t="s">
        <v>11133</v>
      </c>
      <c r="M969" s="276"/>
    </row>
    <row r="970" spans="1:13">
      <c r="A970" s="277">
        <f>VLOOKUP(B970, 'PubMed 10.7.21 Results'!B:B, 1, FALSE)</f>
        <v>22424013</v>
      </c>
      <c r="B970" s="277">
        <v>22424013</v>
      </c>
      <c r="C970" s="276" t="s">
        <v>10414</v>
      </c>
      <c r="D970" s="276" t="s">
        <v>10415</v>
      </c>
      <c r="E970" s="276" t="s">
        <v>10416</v>
      </c>
      <c r="F970" s="276" t="s">
        <v>6915</v>
      </c>
      <c r="G970" s="276" t="s">
        <v>8665</v>
      </c>
      <c r="H970" s="277">
        <v>2012</v>
      </c>
      <c r="I970" s="386">
        <v>40988</v>
      </c>
      <c r="J970" s="276"/>
      <c r="K970" s="276"/>
      <c r="L970" s="385" t="s">
        <v>10417</v>
      </c>
      <c r="M970" s="276"/>
    </row>
    <row r="971" spans="1:13">
      <c r="A971" s="277">
        <f>VLOOKUP(B971, 'PubMed 10.7.21 Results'!B:B, 1, FALSE)</f>
        <v>12097784</v>
      </c>
      <c r="B971" s="277">
        <v>12097784</v>
      </c>
      <c r="C971" s="276" t="s">
        <v>8918</v>
      </c>
      <c r="D971" s="276" t="s">
        <v>8919</v>
      </c>
      <c r="E971" s="276" t="s">
        <v>8920</v>
      </c>
      <c r="F971" s="276" t="s">
        <v>6846</v>
      </c>
      <c r="G971" s="276" t="s">
        <v>8921</v>
      </c>
      <c r="H971" s="277">
        <v>2002</v>
      </c>
      <c r="I971" s="386">
        <v>37442</v>
      </c>
      <c r="J971" s="276"/>
      <c r="K971" s="276"/>
      <c r="L971" s="385" t="s">
        <v>8922</v>
      </c>
      <c r="M971" s="276"/>
    </row>
    <row r="972" spans="1:13">
      <c r="A972" s="277">
        <f>VLOOKUP(B972, 'PubMed 10.7.21 Results'!B:B, 1, FALSE)</f>
        <v>27501279</v>
      </c>
      <c r="B972" s="277">
        <v>27501279</v>
      </c>
      <c r="C972" s="276" t="s">
        <v>11880</v>
      </c>
      <c r="D972" s="276" t="s">
        <v>11881</v>
      </c>
      <c r="E972" s="276" t="s">
        <v>11882</v>
      </c>
      <c r="F972" s="276" t="s">
        <v>7334</v>
      </c>
      <c r="G972" s="276" t="s">
        <v>8699</v>
      </c>
      <c r="H972" s="277">
        <v>2016</v>
      </c>
      <c r="I972" s="386">
        <v>42591</v>
      </c>
      <c r="J972" s="276"/>
      <c r="K972" s="276"/>
      <c r="L972" s="385" t="s">
        <v>11883</v>
      </c>
      <c r="M972" s="276"/>
    </row>
    <row r="973" spans="1:13">
      <c r="A973" s="277">
        <f>VLOOKUP(B973, 'PubMed 10.7.21 Results'!B:B, 1, FALSE)</f>
        <v>29421012</v>
      </c>
      <c r="B973" s="277">
        <v>29421012</v>
      </c>
      <c r="C973" s="276" t="s">
        <v>12421</v>
      </c>
      <c r="D973" s="276" t="s">
        <v>12422</v>
      </c>
      <c r="E973" s="276" t="s">
        <v>12423</v>
      </c>
      <c r="F973" s="276" t="s">
        <v>6999</v>
      </c>
      <c r="G973" s="276" t="s">
        <v>8665</v>
      </c>
      <c r="H973" s="277">
        <v>2018</v>
      </c>
      <c r="I973" s="386">
        <v>43140</v>
      </c>
      <c r="J973" s="276"/>
      <c r="K973" s="276"/>
      <c r="L973" s="385" t="s">
        <v>12424</v>
      </c>
      <c r="M973" s="276"/>
    </row>
    <row r="974" spans="1:13">
      <c r="A974" s="277">
        <f>VLOOKUP(B974, 'PubMed 10.7.21 Results'!B:B, 1, FALSE)</f>
        <v>24041408</v>
      </c>
      <c r="B974" s="277">
        <v>24041408</v>
      </c>
      <c r="C974" s="276" t="s">
        <v>10807</v>
      </c>
      <c r="D974" s="276" t="s">
        <v>10808</v>
      </c>
      <c r="E974" s="276" t="s">
        <v>10809</v>
      </c>
      <c r="F974" s="276" t="s">
        <v>6860</v>
      </c>
      <c r="G974" s="276" t="s">
        <v>10810</v>
      </c>
      <c r="H974" s="277">
        <v>2013</v>
      </c>
      <c r="I974" s="386">
        <v>41535</v>
      </c>
      <c r="J974" s="276" t="s">
        <v>6861</v>
      </c>
      <c r="K974" s="276"/>
      <c r="L974" s="385" t="s">
        <v>10811</v>
      </c>
      <c r="M974" s="276"/>
    </row>
    <row r="975" spans="1:13">
      <c r="A975" s="277">
        <f>VLOOKUP(B975, 'PubMed 10.7.21 Results'!B:B, 1, FALSE)</f>
        <v>19442936</v>
      </c>
      <c r="B975" s="277">
        <v>19442936</v>
      </c>
      <c r="C975" s="276" t="s">
        <v>9764</v>
      </c>
      <c r="D975" s="276" t="s">
        <v>9765</v>
      </c>
      <c r="E975" s="276" t="s">
        <v>9766</v>
      </c>
      <c r="F975" s="276" t="s">
        <v>7719</v>
      </c>
      <c r="G975" s="276" t="s">
        <v>9767</v>
      </c>
      <c r="H975" s="277">
        <v>2009</v>
      </c>
      <c r="I975" s="386">
        <v>39949</v>
      </c>
      <c r="J975" s="276"/>
      <c r="K975" s="276"/>
      <c r="L975" s="385" t="s">
        <v>9768</v>
      </c>
      <c r="M975" s="276"/>
    </row>
    <row r="976" spans="1:13">
      <c r="A976" s="277">
        <f>VLOOKUP(B976, 'PubMed 10.7.21 Results'!B:B, 1, FALSE)</f>
        <v>28111876</v>
      </c>
      <c r="B976" s="277">
        <v>28111876</v>
      </c>
      <c r="C976" s="276" t="s">
        <v>12198</v>
      </c>
      <c r="D976" s="276" t="s">
        <v>12199</v>
      </c>
      <c r="E976" s="276" t="s">
        <v>12200</v>
      </c>
      <c r="F976" s="276" t="s">
        <v>6886</v>
      </c>
      <c r="G976" s="276" t="s">
        <v>9966</v>
      </c>
      <c r="H976" s="277">
        <v>2017</v>
      </c>
      <c r="I976" s="386">
        <v>42759</v>
      </c>
      <c r="J976" s="276"/>
      <c r="K976" s="276"/>
      <c r="L976" s="385" t="s">
        <v>12201</v>
      </c>
      <c r="M976" s="276"/>
    </row>
    <row r="977" spans="1:13">
      <c r="A977" s="277">
        <f>VLOOKUP(B977, 'PubMed 10.7.21 Results'!B:B, 1, FALSE)</f>
        <v>29487219</v>
      </c>
      <c r="B977" s="277">
        <v>29487219</v>
      </c>
      <c r="C977" s="276" t="s">
        <v>12562</v>
      </c>
      <c r="D977" s="276" t="s">
        <v>12563</v>
      </c>
      <c r="E977" s="276" t="s">
        <v>12564</v>
      </c>
      <c r="F977" s="276" t="s">
        <v>8054</v>
      </c>
      <c r="G977" s="276" t="s">
        <v>10116</v>
      </c>
      <c r="H977" s="277">
        <v>2018</v>
      </c>
      <c r="I977" s="386">
        <v>43160</v>
      </c>
      <c r="J977" s="276" t="s">
        <v>8055</v>
      </c>
      <c r="K977" s="276"/>
      <c r="L977" s="385" t="s">
        <v>12565</v>
      </c>
      <c r="M977" s="276"/>
    </row>
    <row r="978" spans="1:13">
      <c r="A978" s="277">
        <f>VLOOKUP(B978, 'PubMed 10.7.21 Results'!B:B, 1, FALSE)</f>
        <v>30967375</v>
      </c>
      <c r="B978" s="277">
        <v>30967375</v>
      </c>
      <c r="C978" s="276" t="s">
        <v>13007</v>
      </c>
      <c r="D978" s="276" t="s">
        <v>13008</v>
      </c>
      <c r="E978" s="276" t="s">
        <v>13009</v>
      </c>
      <c r="F978" s="276" t="s">
        <v>7484</v>
      </c>
      <c r="G978" s="276" t="s">
        <v>8977</v>
      </c>
      <c r="H978" s="277">
        <v>2019</v>
      </c>
      <c r="I978" s="386">
        <v>43566</v>
      </c>
      <c r="J978" s="276" t="s">
        <v>7485</v>
      </c>
      <c r="K978" s="276"/>
      <c r="L978" s="385" t="s">
        <v>13010</v>
      </c>
      <c r="M978" s="276"/>
    </row>
    <row r="979" spans="1:13">
      <c r="A979" s="277">
        <f>VLOOKUP(B979, 'PubMed 10.7.21 Results'!B:B, 1, FALSE)</f>
        <v>31769533</v>
      </c>
      <c r="B979" s="277">
        <v>31769533</v>
      </c>
      <c r="C979" s="276" t="s">
        <v>13333</v>
      </c>
      <c r="D979" s="276" t="s">
        <v>13334</v>
      </c>
      <c r="E979" s="276" t="s">
        <v>13335</v>
      </c>
      <c r="F979" s="276" t="s">
        <v>6731</v>
      </c>
      <c r="G979" s="276" t="s">
        <v>8685</v>
      </c>
      <c r="H979" s="277">
        <v>2020</v>
      </c>
      <c r="I979" s="386">
        <v>43796</v>
      </c>
      <c r="J979" s="276"/>
      <c r="K979" s="276"/>
      <c r="L979" s="385" t="s">
        <v>13336</v>
      </c>
      <c r="M979" s="276"/>
    </row>
    <row r="980" spans="1:13">
      <c r="A980" s="277">
        <f>VLOOKUP(B980, 'PubMed 10.7.21 Results'!B:B, 1, FALSE)</f>
        <v>28728060</v>
      </c>
      <c r="B980" s="277">
        <v>28728060</v>
      </c>
      <c r="C980" s="276" t="s">
        <v>12225</v>
      </c>
      <c r="D980" s="276" t="s">
        <v>12226</v>
      </c>
      <c r="E980" s="276" t="s">
        <v>12227</v>
      </c>
      <c r="F980" s="276" t="s">
        <v>7648</v>
      </c>
      <c r="G980" s="276" t="s">
        <v>12228</v>
      </c>
      <c r="H980" s="277">
        <v>2017</v>
      </c>
      <c r="I980" s="386">
        <v>42937</v>
      </c>
      <c r="J980" s="276"/>
      <c r="K980" s="276"/>
      <c r="L980" s="385" t="s">
        <v>12229</v>
      </c>
      <c r="M980" s="276"/>
    </row>
    <row r="981" spans="1:13">
      <c r="A981" s="277">
        <f>VLOOKUP(B981, 'PubMed 10.7.21 Results'!B:B, 1, FALSE)</f>
        <v>31504664</v>
      </c>
      <c r="B981" s="277">
        <v>31504664</v>
      </c>
      <c r="C981" s="276" t="s">
        <v>13395</v>
      </c>
      <c r="D981" s="276" t="s">
        <v>13396</v>
      </c>
      <c r="E981" s="276" t="s">
        <v>13397</v>
      </c>
      <c r="F981" s="276" t="s">
        <v>7137</v>
      </c>
      <c r="G981" s="276" t="s">
        <v>13398</v>
      </c>
      <c r="H981" s="277">
        <v>2020</v>
      </c>
      <c r="I981" s="386">
        <v>43719</v>
      </c>
      <c r="J981" s="276" t="s">
        <v>7138</v>
      </c>
      <c r="K981" s="276"/>
      <c r="L981" s="385" t="s">
        <v>13399</v>
      </c>
      <c r="M981" s="276"/>
    </row>
    <row r="982" spans="1:13">
      <c r="A982" s="277">
        <f>VLOOKUP(B982, 'PubMed 10.7.21 Results'!B:B, 1, FALSE)</f>
        <v>23937747</v>
      </c>
      <c r="B982" s="277">
        <v>23937747</v>
      </c>
      <c r="C982" s="276" t="s">
        <v>10793</v>
      </c>
      <c r="D982" s="276" t="s">
        <v>10794</v>
      </c>
      <c r="E982" s="276" t="s">
        <v>10795</v>
      </c>
      <c r="F982" s="276" t="s">
        <v>6918</v>
      </c>
      <c r="G982" s="276" t="s">
        <v>10796</v>
      </c>
      <c r="H982" s="277">
        <v>2013</v>
      </c>
      <c r="I982" s="386">
        <v>41500</v>
      </c>
      <c r="J982" s="276"/>
      <c r="K982" s="276"/>
      <c r="L982" s="385" t="s">
        <v>10797</v>
      </c>
      <c r="M982" s="276"/>
    </row>
    <row r="983" spans="1:13">
      <c r="A983" s="277">
        <f>VLOOKUP(B983, 'PubMed 10.7.21 Results'!B:B, 1, FALSE)</f>
        <v>26023999</v>
      </c>
      <c r="B983" s="277">
        <v>26023999</v>
      </c>
      <c r="C983" s="276" t="s">
        <v>11471</v>
      </c>
      <c r="D983" s="276" t="s">
        <v>11472</v>
      </c>
      <c r="E983" s="276" t="s">
        <v>11473</v>
      </c>
      <c r="F983" s="276" t="s">
        <v>7309</v>
      </c>
      <c r="G983" s="276" t="s">
        <v>9648</v>
      </c>
      <c r="H983" s="277">
        <v>2015</v>
      </c>
      <c r="I983" s="386">
        <v>42154</v>
      </c>
      <c r="J983" s="276"/>
      <c r="K983" s="276"/>
      <c r="L983" s="385" t="s">
        <v>11474</v>
      </c>
      <c r="M983" s="276"/>
    </row>
    <row r="984" spans="1:13">
      <c r="A984" s="277">
        <f>VLOOKUP(B984, 'PubMed 10.7.21 Results'!B:B, 1, FALSE)</f>
        <v>27939035</v>
      </c>
      <c r="B984" s="277">
        <v>27939035</v>
      </c>
      <c r="C984" s="276" t="s">
        <v>11954</v>
      </c>
      <c r="D984" s="276" t="s">
        <v>11955</v>
      </c>
      <c r="E984" s="276" t="s">
        <v>11956</v>
      </c>
      <c r="F984" s="276" t="s">
        <v>7509</v>
      </c>
      <c r="G984" s="276" t="s">
        <v>9420</v>
      </c>
      <c r="H984" s="277">
        <v>2017</v>
      </c>
      <c r="I984" s="386">
        <v>42717</v>
      </c>
      <c r="J984" s="276"/>
      <c r="K984" s="276"/>
      <c r="L984" s="385" t="s">
        <v>11957</v>
      </c>
      <c r="M984" s="276"/>
    </row>
    <row r="985" spans="1:13">
      <c r="A985" s="277">
        <f>VLOOKUP(B985, 'PubMed 10.7.21 Results'!B:B, 1, FALSE)</f>
        <v>29371475</v>
      </c>
      <c r="B985" s="277">
        <v>29371475</v>
      </c>
      <c r="C985" s="276" t="s">
        <v>12483</v>
      </c>
      <c r="D985" s="276" t="s">
        <v>12484</v>
      </c>
      <c r="E985" s="276" t="s">
        <v>12485</v>
      </c>
      <c r="F985" s="276" t="s">
        <v>6740</v>
      </c>
      <c r="G985" s="276" t="s">
        <v>10116</v>
      </c>
      <c r="H985" s="277">
        <v>2018</v>
      </c>
      <c r="I985" s="386">
        <v>43127</v>
      </c>
      <c r="J985" s="276" t="s">
        <v>6741</v>
      </c>
      <c r="K985" s="276"/>
      <c r="L985" s="385" t="s">
        <v>12486</v>
      </c>
      <c r="M985" s="276"/>
    </row>
    <row r="986" spans="1:13">
      <c r="A986" s="277">
        <f>VLOOKUP(B986, 'PubMed 10.7.21 Results'!B:B, 1, FALSE)</f>
        <v>21457235</v>
      </c>
      <c r="B986" s="277">
        <v>21457235</v>
      </c>
      <c r="C986" s="276" t="s">
        <v>10181</v>
      </c>
      <c r="D986" s="276" t="s">
        <v>10182</v>
      </c>
      <c r="E986" s="276" t="s">
        <v>10183</v>
      </c>
      <c r="F986" s="276" t="s">
        <v>6451</v>
      </c>
      <c r="G986" s="276" t="s">
        <v>10184</v>
      </c>
      <c r="H986" s="277">
        <v>2011</v>
      </c>
      <c r="I986" s="386">
        <v>40638</v>
      </c>
      <c r="J986" s="276"/>
      <c r="K986" s="276"/>
      <c r="L986" s="385" t="s">
        <v>10185</v>
      </c>
      <c r="M986" s="276"/>
    </row>
    <row r="987" spans="1:13">
      <c r="A987" s="277">
        <f>VLOOKUP(B987, 'PubMed 10.7.21 Results'!B:B, 1, FALSE)</f>
        <v>18273724</v>
      </c>
      <c r="B987" s="277">
        <v>18273724</v>
      </c>
      <c r="C987" s="276" t="s">
        <v>9517</v>
      </c>
      <c r="D987" s="276" t="s">
        <v>9518</v>
      </c>
      <c r="E987" s="276" t="s">
        <v>9519</v>
      </c>
      <c r="F987" s="276" t="s">
        <v>7252</v>
      </c>
      <c r="G987" s="276" t="s">
        <v>8986</v>
      </c>
      <c r="H987" s="277">
        <v>2008</v>
      </c>
      <c r="I987" s="386">
        <v>39493</v>
      </c>
      <c r="J987" s="276"/>
      <c r="K987" s="276"/>
      <c r="L987" s="385" t="s">
        <v>9520</v>
      </c>
      <c r="M987" s="276"/>
    </row>
    <row r="988" spans="1:13">
      <c r="A988" s="277">
        <f>VLOOKUP(B988, 'PubMed 10.7.21 Results'!B:B, 1, FALSE)</f>
        <v>27664969</v>
      </c>
      <c r="B988" s="277">
        <v>27664969</v>
      </c>
      <c r="C988" s="276" t="s">
        <v>12015</v>
      </c>
      <c r="D988" s="276" t="s">
        <v>12016</v>
      </c>
      <c r="E988" s="276" t="s">
        <v>12017</v>
      </c>
      <c r="F988" s="276" t="s">
        <v>6417</v>
      </c>
      <c r="G988" s="276" t="s">
        <v>8963</v>
      </c>
      <c r="H988" s="277">
        <v>2017</v>
      </c>
      <c r="I988" s="386">
        <v>42638</v>
      </c>
      <c r="J988" s="276"/>
      <c r="K988" s="276"/>
      <c r="L988" s="385" t="s">
        <v>12018</v>
      </c>
      <c r="M988" s="276"/>
    </row>
    <row r="989" spans="1:13">
      <c r="A989" s="277">
        <f>VLOOKUP(B989, 'PubMed 10.7.21 Results'!B:B, 1, FALSE)</f>
        <v>33432484</v>
      </c>
      <c r="B989" s="277">
        <v>33432484</v>
      </c>
      <c r="C989" s="276" t="s">
        <v>14042</v>
      </c>
      <c r="D989" s="276" t="s">
        <v>14043</v>
      </c>
      <c r="E989" s="276" t="s">
        <v>14044</v>
      </c>
      <c r="F989" s="276" t="s">
        <v>7116</v>
      </c>
      <c r="G989" s="276" t="s">
        <v>14045</v>
      </c>
      <c r="H989" s="277">
        <v>2021</v>
      </c>
      <c r="I989" s="386">
        <v>44208</v>
      </c>
      <c r="J989" s="276" t="s">
        <v>7117</v>
      </c>
      <c r="K989" s="276"/>
      <c r="L989" s="385" t="s">
        <v>14046</v>
      </c>
      <c r="M989" s="276"/>
    </row>
    <row r="990" spans="1:13">
      <c r="A990" s="277">
        <f>VLOOKUP(B990, 'PubMed 10.7.21 Results'!B:B, 1, FALSE)</f>
        <v>10469179</v>
      </c>
      <c r="B990" s="277">
        <v>10469179</v>
      </c>
      <c r="C990" s="276" t="s">
        <v>8696</v>
      </c>
      <c r="D990" s="276" t="s">
        <v>8697</v>
      </c>
      <c r="E990" s="276" t="s">
        <v>8698</v>
      </c>
      <c r="F990" s="276" t="s">
        <v>7749</v>
      </c>
      <c r="G990" s="276" t="s">
        <v>8699</v>
      </c>
      <c r="H990" s="277">
        <v>1999</v>
      </c>
      <c r="I990" s="386">
        <v>36404</v>
      </c>
      <c r="J990" s="276"/>
      <c r="K990" s="276"/>
      <c r="L990" s="385" t="s">
        <v>8700</v>
      </c>
      <c r="M990" s="276"/>
    </row>
    <row r="991" spans="1:13">
      <c r="A991" s="277">
        <f>VLOOKUP(B991, 'PubMed 10.7.21 Results'!B:B, 1, FALSE)</f>
        <v>32378196</v>
      </c>
      <c r="B991" s="277">
        <v>32378196</v>
      </c>
      <c r="C991" s="276" t="s">
        <v>13533</v>
      </c>
      <c r="D991" s="276" t="s">
        <v>13534</v>
      </c>
      <c r="E991" s="276" t="s">
        <v>13535</v>
      </c>
      <c r="F991" s="276" t="s">
        <v>7754</v>
      </c>
      <c r="G991" s="276" t="s">
        <v>8857</v>
      </c>
      <c r="H991" s="277">
        <v>2020</v>
      </c>
      <c r="I991" s="386">
        <v>43959</v>
      </c>
      <c r="J991" s="276" t="s">
        <v>7755</v>
      </c>
      <c r="K991" s="276"/>
      <c r="L991" s="385" t="s">
        <v>13536</v>
      </c>
      <c r="M991" s="276"/>
    </row>
    <row r="992" spans="1:13">
      <c r="A992" s="277">
        <f>VLOOKUP(B992, 'PubMed 10.7.21 Results'!B:B, 1, FALSE)</f>
        <v>31996161</v>
      </c>
      <c r="B992" s="277">
        <v>31996161</v>
      </c>
      <c r="C992" s="276" t="s">
        <v>13382</v>
      </c>
      <c r="D992" s="276" t="s">
        <v>13383</v>
      </c>
      <c r="E992" s="276" t="s">
        <v>13384</v>
      </c>
      <c r="F992" s="276" t="s">
        <v>6883</v>
      </c>
      <c r="G992" s="276" t="s">
        <v>11567</v>
      </c>
      <c r="H992" s="277">
        <v>2020</v>
      </c>
      <c r="I992" s="386">
        <v>43861</v>
      </c>
      <c r="J992" s="276" t="s">
        <v>6884</v>
      </c>
      <c r="K992" s="276"/>
      <c r="L992" s="385" t="s">
        <v>13385</v>
      </c>
      <c r="M992" s="276"/>
    </row>
    <row r="993" spans="1:13">
      <c r="A993" s="277">
        <f>VLOOKUP(B993, 'PubMed 10.7.21 Results'!B:B, 1, FALSE)</f>
        <v>28420008</v>
      </c>
      <c r="B993" s="277">
        <v>28420008</v>
      </c>
      <c r="C993" s="276" t="s">
        <v>12162</v>
      </c>
      <c r="D993" s="276" t="s">
        <v>12163</v>
      </c>
      <c r="E993" s="276" t="s">
        <v>12164</v>
      </c>
      <c r="F993" s="276" t="s">
        <v>7753</v>
      </c>
      <c r="G993" s="276" t="s">
        <v>12165</v>
      </c>
      <c r="H993" s="277">
        <v>2017</v>
      </c>
      <c r="I993" s="386">
        <v>42844</v>
      </c>
      <c r="J993" s="276"/>
      <c r="K993" s="276"/>
      <c r="L993" s="385" t="s">
        <v>12166</v>
      </c>
      <c r="M993" s="276"/>
    </row>
    <row r="994" spans="1:13">
      <c r="A994" s="277">
        <f>VLOOKUP(B994, 'PubMed 10.7.21 Results'!B:B, 1, FALSE)</f>
        <v>19995118</v>
      </c>
      <c r="B994" s="277">
        <v>19995118</v>
      </c>
      <c r="C994" s="276" t="s">
        <v>9923</v>
      </c>
      <c r="D994" s="276" t="s">
        <v>9924</v>
      </c>
      <c r="E994" s="276" t="s">
        <v>9925</v>
      </c>
      <c r="F994" s="276" t="s">
        <v>8121</v>
      </c>
      <c r="G994" s="276" t="s">
        <v>9926</v>
      </c>
      <c r="H994" s="277">
        <v>2009</v>
      </c>
      <c r="I994" s="386">
        <v>40157</v>
      </c>
      <c r="J994" s="276"/>
      <c r="K994" s="276"/>
      <c r="L994" s="385" t="s">
        <v>9927</v>
      </c>
      <c r="M994" s="276"/>
    </row>
    <row r="995" spans="1:13">
      <c r="A995" s="277">
        <f>VLOOKUP(B995, 'PubMed 10.7.21 Results'!B:B, 1, FALSE)</f>
        <v>24429275</v>
      </c>
      <c r="B995" s="277">
        <v>24429275</v>
      </c>
      <c r="C995" s="276" t="s">
        <v>10848</v>
      </c>
      <c r="D995" s="276" t="s">
        <v>10849</v>
      </c>
      <c r="E995" s="276" t="s">
        <v>10850</v>
      </c>
      <c r="F995" s="276" t="s">
        <v>6879</v>
      </c>
      <c r="G995" s="276" t="s">
        <v>10851</v>
      </c>
      <c r="H995" s="277">
        <v>2013</v>
      </c>
      <c r="I995" s="386">
        <v>41656</v>
      </c>
      <c r="J995" s="276"/>
      <c r="K995" s="276"/>
      <c r="L995" s="385" t="s">
        <v>10852</v>
      </c>
      <c r="M995" s="276"/>
    </row>
    <row r="996" spans="1:13">
      <c r="A996" s="277">
        <f>VLOOKUP(B996, 'PubMed 10.7.21 Results'!B:B, 1, FALSE)</f>
        <v>12653747</v>
      </c>
      <c r="B996" s="277">
        <v>12653747</v>
      </c>
      <c r="C996" s="276" t="s">
        <v>8960</v>
      </c>
      <c r="D996" s="276" t="s">
        <v>8961</v>
      </c>
      <c r="E996" s="276" t="s">
        <v>8962</v>
      </c>
      <c r="F996" s="276" t="s">
        <v>7718</v>
      </c>
      <c r="G996" s="276" t="s">
        <v>8963</v>
      </c>
      <c r="H996" s="277">
        <v>2003</v>
      </c>
      <c r="I996" s="386">
        <v>37706</v>
      </c>
      <c r="J996" s="276"/>
      <c r="K996" s="276"/>
      <c r="L996" s="385" t="s">
        <v>8964</v>
      </c>
      <c r="M996" s="276"/>
    </row>
    <row r="997" spans="1:13">
      <c r="A997" s="277">
        <f>VLOOKUP(B997, 'PubMed 10.7.21 Results'!B:B, 1, FALSE)</f>
        <v>16454836</v>
      </c>
      <c r="B997" s="277">
        <v>16454836</v>
      </c>
      <c r="C997" s="276" t="s">
        <v>9289</v>
      </c>
      <c r="D997" s="276" t="s">
        <v>9290</v>
      </c>
      <c r="E997" s="276" t="s">
        <v>9291</v>
      </c>
      <c r="F997" s="276" t="s">
        <v>6811</v>
      </c>
      <c r="G997" s="276" t="s">
        <v>9292</v>
      </c>
      <c r="H997" s="277">
        <v>2006</v>
      </c>
      <c r="I997" s="386">
        <v>38752</v>
      </c>
      <c r="J997" s="276"/>
      <c r="K997" s="276"/>
      <c r="L997" s="385" t="s">
        <v>9293</v>
      </c>
      <c r="M997" s="276"/>
    </row>
    <row r="998" spans="1:13">
      <c r="A998" s="277">
        <f>VLOOKUP(B998, 'PubMed 10.7.21 Results'!B:B, 1, FALSE)</f>
        <v>24658627</v>
      </c>
      <c r="B998" s="277">
        <v>24658627</v>
      </c>
      <c r="C998" s="276" t="s">
        <v>11032</v>
      </c>
      <c r="D998" s="276" t="s">
        <v>11033</v>
      </c>
      <c r="E998" s="276" t="s">
        <v>11034</v>
      </c>
      <c r="F998" s="276" t="s">
        <v>7813</v>
      </c>
      <c r="G998" s="276" t="s">
        <v>9608</v>
      </c>
      <c r="H998" s="277">
        <v>2014</v>
      </c>
      <c r="I998" s="386">
        <v>41723</v>
      </c>
      <c r="J998" s="276"/>
      <c r="K998" s="276"/>
      <c r="L998" s="385" t="s">
        <v>11035</v>
      </c>
      <c r="M998" s="276"/>
    </row>
    <row r="999" spans="1:13">
      <c r="A999" s="277">
        <f>VLOOKUP(B999, 'PubMed 10.7.21 Results'!B:B, 1, FALSE)</f>
        <v>19629539</v>
      </c>
      <c r="B999" s="277">
        <v>19629539</v>
      </c>
      <c r="C999" s="276" t="s">
        <v>9908</v>
      </c>
      <c r="D999" s="276" t="s">
        <v>9909</v>
      </c>
      <c r="E999" s="276" t="s">
        <v>9910</v>
      </c>
      <c r="F999" s="276" t="s">
        <v>7114</v>
      </c>
      <c r="G999" s="276" t="s">
        <v>9911</v>
      </c>
      <c r="H999" s="277">
        <v>2009</v>
      </c>
      <c r="I999" s="386">
        <v>40019</v>
      </c>
      <c r="J999" s="276"/>
      <c r="K999" s="276"/>
      <c r="L999" s="385" t="s">
        <v>9912</v>
      </c>
      <c r="M999" s="276"/>
    </row>
    <row r="1000" spans="1:13">
      <c r="A1000" s="277">
        <f>VLOOKUP(B1000, 'PubMed 10.7.21 Results'!B:B, 1, FALSE)</f>
        <v>15019871</v>
      </c>
      <c r="B1000" s="277">
        <v>15019871</v>
      </c>
      <c r="C1000" s="276" t="s">
        <v>9073</v>
      </c>
      <c r="D1000" s="276" t="s">
        <v>9074</v>
      </c>
      <c r="E1000" s="276" t="s">
        <v>9075</v>
      </c>
      <c r="F1000" s="276" t="s">
        <v>7940</v>
      </c>
      <c r="G1000" s="276" t="s">
        <v>8470</v>
      </c>
      <c r="H1000" s="277">
        <v>2004</v>
      </c>
      <c r="I1000" s="386">
        <v>38063</v>
      </c>
      <c r="J1000" s="276"/>
      <c r="K1000" s="276"/>
      <c r="L1000" s="385" t="s">
        <v>9076</v>
      </c>
      <c r="M1000" s="276"/>
    </row>
    <row r="1001" spans="1:13">
      <c r="A1001" s="277">
        <f>VLOOKUP(B1001, 'PubMed 10.7.21 Results'!B:B, 1, FALSE)</f>
        <v>18262450</v>
      </c>
      <c r="B1001" s="277">
        <v>18262450</v>
      </c>
      <c r="C1001" s="276" t="s">
        <v>9627</v>
      </c>
      <c r="D1001" s="276" t="s">
        <v>9628</v>
      </c>
      <c r="E1001" s="276" t="s">
        <v>9629</v>
      </c>
      <c r="F1001" s="276" t="s">
        <v>7025</v>
      </c>
      <c r="G1001" s="276" t="s">
        <v>9630</v>
      </c>
      <c r="H1001" s="277">
        <v>2008</v>
      </c>
      <c r="I1001" s="386">
        <v>39490</v>
      </c>
      <c r="J1001" s="276"/>
      <c r="K1001" s="276"/>
      <c r="L1001" s="385" t="s">
        <v>9631</v>
      </c>
      <c r="M1001" s="276"/>
    </row>
    <row r="1002" spans="1:13">
      <c r="A1002" s="277">
        <f>VLOOKUP(B1002, 'PubMed 10.7.21 Results'!B:B, 1, FALSE)</f>
        <v>12523876</v>
      </c>
      <c r="B1002" s="277">
        <v>12523876</v>
      </c>
      <c r="C1002" s="276" t="s">
        <v>8937</v>
      </c>
      <c r="D1002" s="276" t="s">
        <v>8938</v>
      </c>
      <c r="E1002" s="276" t="s">
        <v>8939</v>
      </c>
      <c r="F1002" s="276" t="s">
        <v>7716</v>
      </c>
      <c r="G1002" s="276" t="s">
        <v>8852</v>
      </c>
      <c r="H1002" s="277">
        <v>2002</v>
      </c>
      <c r="I1002" s="386">
        <v>37635</v>
      </c>
      <c r="J1002" s="276"/>
      <c r="K1002" s="276"/>
      <c r="L1002" s="385" t="s">
        <v>8940</v>
      </c>
      <c r="M1002" s="276"/>
    </row>
    <row r="1003" spans="1:13">
      <c r="A1003" s="277">
        <f>VLOOKUP(B1003, 'PubMed 10.7.21 Results'!B:B, 1, FALSE)</f>
        <v>15868230</v>
      </c>
      <c r="B1003" s="277">
        <v>15868230</v>
      </c>
      <c r="C1003" s="276" t="s">
        <v>9171</v>
      </c>
      <c r="D1003" s="276" t="s">
        <v>9172</v>
      </c>
      <c r="E1003" s="276" t="s">
        <v>9173</v>
      </c>
      <c r="F1003" s="276" t="s">
        <v>6676</v>
      </c>
      <c r="G1003" s="276" t="s">
        <v>9124</v>
      </c>
      <c r="H1003" s="277">
        <v>2005</v>
      </c>
      <c r="I1003" s="386">
        <v>38476</v>
      </c>
      <c r="J1003" s="276"/>
      <c r="K1003" s="276"/>
      <c r="L1003" s="385" t="s">
        <v>9174</v>
      </c>
      <c r="M1003" s="276"/>
    </row>
    <row r="1004" spans="1:13">
      <c r="A1004" s="277">
        <f>VLOOKUP(B1004, 'PubMed 10.7.21 Results'!B:B, 1, FALSE)</f>
        <v>25196155</v>
      </c>
      <c r="B1004" s="277">
        <v>25196155</v>
      </c>
      <c r="C1004" s="276" t="s">
        <v>11275</v>
      </c>
      <c r="D1004" s="276" t="s">
        <v>11276</v>
      </c>
      <c r="E1004" s="276" t="s">
        <v>11277</v>
      </c>
      <c r="F1004" s="276" t="s">
        <v>7460</v>
      </c>
      <c r="G1004" s="276" t="s">
        <v>11278</v>
      </c>
      <c r="H1004" s="277">
        <v>2015</v>
      </c>
      <c r="I1004" s="386">
        <v>41891</v>
      </c>
      <c r="J1004" s="276"/>
      <c r="K1004" s="276"/>
      <c r="L1004" s="385" t="s">
        <v>11279</v>
      </c>
      <c r="M1004" s="276"/>
    </row>
    <row r="1005" spans="1:13">
      <c r="A1005" s="277">
        <f>VLOOKUP(B1005, 'PubMed 10.7.21 Results'!B:B, 1, FALSE)</f>
        <v>21474905</v>
      </c>
      <c r="B1005" s="277">
        <v>21474905</v>
      </c>
      <c r="C1005" s="276" t="s">
        <v>10168</v>
      </c>
      <c r="D1005" s="276" t="s">
        <v>10169</v>
      </c>
      <c r="E1005" s="276" t="s">
        <v>10170</v>
      </c>
      <c r="F1005" s="276" t="s">
        <v>8065</v>
      </c>
      <c r="G1005" s="276" t="s">
        <v>10171</v>
      </c>
      <c r="H1005" s="277">
        <v>2011</v>
      </c>
      <c r="I1005" s="386">
        <v>40642</v>
      </c>
      <c r="J1005" s="276"/>
      <c r="K1005" s="276"/>
      <c r="L1005" s="385" t="s">
        <v>10172</v>
      </c>
      <c r="M1005" s="276"/>
    </row>
    <row r="1006" spans="1:13">
      <c r="A1006" s="277">
        <f>VLOOKUP(B1006, 'PubMed 10.7.21 Results'!B:B, 1, FALSE)</f>
        <v>27238057</v>
      </c>
      <c r="B1006" s="277">
        <v>27238057</v>
      </c>
      <c r="C1006" s="276" t="s">
        <v>11816</v>
      </c>
      <c r="D1006" s="276" t="s">
        <v>11817</v>
      </c>
      <c r="E1006" s="276" t="s">
        <v>11818</v>
      </c>
      <c r="F1006" s="276" t="s">
        <v>7390</v>
      </c>
      <c r="G1006" s="276" t="s">
        <v>11819</v>
      </c>
      <c r="H1006" s="277">
        <v>2016</v>
      </c>
      <c r="I1006" s="386">
        <v>42521</v>
      </c>
      <c r="J1006" s="276"/>
      <c r="K1006" s="276"/>
      <c r="L1006" s="385" t="s">
        <v>11820</v>
      </c>
      <c r="M1006" s="276"/>
    </row>
    <row r="1007" spans="1:13">
      <c r="A1007" s="277">
        <f>VLOOKUP(B1007, 'PubMed 10.7.21 Results'!B:B, 1, FALSE)</f>
        <v>16447468</v>
      </c>
      <c r="B1007" s="277">
        <v>16447468</v>
      </c>
      <c r="C1007" s="276" t="s">
        <v>9234</v>
      </c>
      <c r="D1007" s="276" t="s">
        <v>9235</v>
      </c>
      <c r="E1007" s="276" t="s">
        <v>9236</v>
      </c>
      <c r="F1007" s="276" t="s">
        <v>6527</v>
      </c>
      <c r="G1007" s="276" t="s">
        <v>9237</v>
      </c>
      <c r="H1007" s="277">
        <v>2005</v>
      </c>
      <c r="I1007" s="386">
        <v>38750</v>
      </c>
      <c r="J1007" s="276"/>
      <c r="K1007" s="276"/>
      <c r="L1007" s="276"/>
      <c r="M1007" s="276"/>
    </row>
    <row r="1008" spans="1:13">
      <c r="A1008" s="277">
        <f>VLOOKUP(B1008, 'PubMed 10.7.21 Results'!B:B, 1, FALSE)</f>
        <v>23728638</v>
      </c>
      <c r="B1008" s="277">
        <v>23728638</v>
      </c>
      <c r="C1008" s="276" t="s">
        <v>10742</v>
      </c>
      <c r="D1008" s="276" t="s">
        <v>10743</v>
      </c>
      <c r="E1008" s="276" t="s">
        <v>10744</v>
      </c>
      <c r="F1008" s="276" t="s">
        <v>7365</v>
      </c>
      <c r="G1008" s="276" t="s">
        <v>8857</v>
      </c>
      <c r="H1008" s="277">
        <v>2013</v>
      </c>
      <c r="I1008" s="386">
        <v>41429</v>
      </c>
      <c r="J1008" s="276"/>
      <c r="K1008" s="276"/>
      <c r="L1008" s="385" t="s">
        <v>10745</v>
      </c>
      <c r="M1008" s="276"/>
    </row>
    <row r="1009" spans="1:13">
      <c r="A1009" s="277">
        <f>VLOOKUP(B1009, 'PubMed 10.7.21 Results'!B:B, 1, FALSE)</f>
        <v>30621791</v>
      </c>
      <c r="B1009" s="277">
        <v>30621791</v>
      </c>
      <c r="C1009" s="276" t="s">
        <v>12871</v>
      </c>
      <c r="D1009" s="276" t="s">
        <v>12872</v>
      </c>
      <c r="E1009" s="276" t="s">
        <v>12873</v>
      </c>
      <c r="F1009" s="276" t="s">
        <v>6774</v>
      </c>
      <c r="G1009" s="276" t="s">
        <v>12874</v>
      </c>
      <c r="H1009" s="277">
        <v>2019</v>
      </c>
      <c r="I1009" s="386">
        <v>43475</v>
      </c>
      <c r="J1009" s="276" t="s">
        <v>6775</v>
      </c>
      <c r="K1009" s="276"/>
      <c r="L1009" s="385" t="s">
        <v>12875</v>
      </c>
      <c r="M1009" s="276"/>
    </row>
    <row r="1010" spans="1:13">
      <c r="A1010" s="277">
        <f>VLOOKUP(B1010, 'PubMed 10.7.21 Results'!B:B, 1, FALSE)</f>
        <v>23163616</v>
      </c>
      <c r="B1010" s="277">
        <v>23163616</v>
      </c>
      <c r="C1010" s="276" t="s">
        <v>10630</v>
      </c>
      <c r="D1010" s="276" t="s">
        <v>10631</v>
      </c>
      <c r="E1010" s="276" t="s">
        <v>10632</v>
      </c>
      <c r="F1010" s="276" t="s">
        <v>7170</v>
      </c>
      <c r="G1010" s="276" t="s">
        <v>8685</v>
      </c>
      <c r="H1010" s="277">
        <v>2013</v>
      </c>
      <c r="I1010" s="386">
        <v>41234</v>
      </c>
      <c r="J1010" s="276"/>
      <c r="K1010" s="276"/>
      <c r="L1010" s="385" t="s">
        <v>10633</v>
      </c>
      <c r="M1010" s="276"/>
    </row>
    <row r="1011" spans="1:13">
      <c r="A1011" s="277">
        <f>VLOOKUP(B1011, 'PubMed 10.7.21 Results'!B:B, 1, FALSE)</f>
        <v>23074532</v>
      </c>
      <c r="B1011" s="277">
        <v>23074532</v>
      </c>
      <c r="C1011" s="276" t="s">
        <v>9687</v>
      </c>
      <c r="D1011" s="276" t="s">
        <v>9688</v>
      </c>
      <c r="E1011" s="276" t="s">
        <v>9689</v>
      </c>
      <c r="F1011" s="276" t="s">
        <v>5552</v>
      </c>
      <c r="G1011" s="276" t="s">
        <v>9690</v>
      </c>
      <c r="H1011" s="277">
        <v>2009</v>
      </c>
      <c r="I1011" s="386">
        <v>41200</v>
      </c>
      <c r="J1011" s="276" t="s">
        <v>7399</v>
      </c>
      <c r="K1011" s="276"/>
      <c r="L1011" s="276"/>
      <c r="M1011" s="276"/>
    </row>
    <row r="1012" spans="1:13">
      <c r="A1012" s="277">
        <f>VLOOKUP(B1012, 'PubMed 10.7.21 Results'!B:B, 1, FALSE)</f>
        <v>26252534</v>
      </c>
      <c r="B1012" s="277">
        <v>26252534</v>
      </c>
      <c r="C1012" s="276" t="s">
        <v>11434</v>
      </c>
      <c r="D1012" s="276" t="s">
        <v>11435</v>
      </c>
      <c r="E1012" s="276" t="s">
        <v>11436</v>
      </c>
      <c r="F1012" s="276" t="s">
        <v>4006</v>
      </c>
      <c r="G1012" s="276" t="s">
        <v>11437</v>
      </c>
      <c r="H1012" s="277">
        <v>2015</v>
      </c>
      <c r="I1012" s="386">
        <v>42224</v>
      </c>
      <c r="J1012" s="276" t="s">
        <v>6565</v>
      </c>
      <c r="K1012" s="276"/>
      <c r="L1012" s="385" t="s">
        <v>11438</v>
      </c>
      <c r="M1012" s="276"/>
    </row>
    <row r="1013" spans="1:13">
      <c r="A1013" s="277">
        <f>VLOOKUP(B1013, 'PubMed 10.7.21 Results'!B:B, 1, FALSE)</f>
        <v>30822358</v>
      </c>
      <c r="B1013" s="277">
        <v>30822358</v>
      </c>
      <c r="C1013" s="276" t="s">
        <v>13277</v>
      </c>
      <c r="D1013" s="276" t="s">
        <v>13278</v>
      </c>
      <c r="E1013" s="276" t="s">
        <v>13279</v>
      </c>
      <c r="F1013" s="276" t="s">
        <v>8108</v>
      </c>
      <c r="G1013" s="276" t="s">
        <v>8963</v>
      </c>
      <c r="H1013" s="277">
        <v>2019</v>
      </c>
      <c r="I1013" s="386">
        <v>43526</v>
      </c>
      <c r="J1013" s="276" t="s">
        <v>8109</v>
      </c>
      <c r="K1013" s="276"/>
      <c r="L1013" s="385" t="s">
        <v>13280</v>
      </c>
      <c r="M1013" s="276"/>
    </row>
    <row r="1014" spans="1:13">
      <c r="A1014" s="277">
        <f>VLOOKUP(B1014, 'PubMed 10.7.21 Results'!B:B, 1, FALSE)</f>
        <v>16532130</v>
      </c>
      <c r="B1014" s="277">
        <v>16532130</v>
      </c>
      <c r="C1014" s="276" t="s">
        <v>9294</v>
      </c>
      <c r="D1014" s="276" t="s">
        <v>9295</v>
      </c>
      <c r="E1014" s="276" t="s">
        <v>9296</v>
      </c>
      <c r="F1014" s="276" t="s">
        <v>7717</v>
      </c>
      <c r="G1014" s="276" t="s">
        <v>9297</v>
      </c>
      <c r="H1014" s="277">
        <v>2006</v>
      </c>
      <c r="I1014" s="386">
        <v>38791</v>
      </c>
      <c r="J1014" s="276"/>
      <c r="K1014" s="276"/>
      <c r="L1014" s="276"/>
      <c r="M1014" s="276"/>
    </row>
    <row r="1015" spans="1:13">
      <c r="A1015" s="277">
        <f>VLOOKUP(B1015, 'PubMed 10.7.21 Results'!B:B, 1, FALSE)</f>
        <v>30471827</v>
      </c>
      <c r="B1015" s="277">
        <v>30471827</v>
      </c>
      <c r="C1015" s="276" t="s">
        <v>12839</v>
      </c>
      <c r="D1015" s="276" t="s">
        <v>12840</v>
      </c>
      <c r="E1015" s="276" t="s">
        <v>12841</v>
      </c>
      <c r="F1015" s="276" t="s">
        <v>7124</v>
      </c>
      <c r="G1015" s="276" t="s">
        <v>12842</v>
      </c>
      <c r="H1015" s="277">
        <v>2019</v>
      </c>
      <c r="I1015" s="386">
        <v>43430</v>
      </c>
      <c r="J1015" s="276"/>
      <c r="K1015" s="276"/>
      <c r="L1015" s="385" t="s">
        <v>12843</v>
      </c>
      <c r="M1015" s="276"/>
    </row>
    <row r="1016" spans="1:13">
      <c r="A1016" s="277">
        <f>VLOOKUP(B1016, 'PubMed 10.7.21 Results'!B:B, 1, FALSE)</f>
        <v>28477689</v>
      </c>
      <c r="B1016" s="277">
        <v>28477689</v>
      </c>
      <c r="C1016" s="276" t="s">
        <v>12153</v>
      </c>
      <c r="D1016" s="276" t="s">
        <v>12154</v>
      </c>
      <c r="E1016" s="276" t="s">
        <v>12155</v>
      </c>
      <c r="F1016" s="276" t="s">
        <v>7733</v>
      </c>
      <c r="G1016" s="276" t="s">
        <v>12156</v>
      </c>
      <c r="H1016" s="277">
        <v>2017</v>
      </c>
      <c r="I1016" s="386">
        <v>42863</v>
      </c>
      <c r="J1016" s="276"/>
      <c r="K1016" s="276"/>
      <c r="L1016" s="385" t="s">
        <v>12157</v>
      </c>
      <c r="M1016" s="276"/>
    </row>
    <row r="1017" spans="1:13">
      <c r="A1017" s="277">
        <f>VLOOKUP(B1017, 'PubMed 10.7.21 Results'!B:B, 1, FALSE)</f>
        <v>11838623</v>
      </c>
      <c r="B1017" s="277">
        <v>11838623</v>
      </c>
      <c r="C1017" s="276" t="s">
        <v>8849</v>
      </c>
      <c r="D1017" s="276" t="s">
        <v>8850</v>
      </c>
      <c r="E1017" s="276" t="s">
        <v>8851</v>
      </c>
      <c r="F1017" s="276" t="s">
        <v>7998</v>
      </c>
      <c r="G1017" s="276" t="s">
        <v>8852</v>
      </c>
      <c r="H1017" s="277">
        <v>2002</v>
      </c>
      <c r="I1017" s="386">
        <v>37300</v>
      </c>
      <c r="J1017" s="276"/>
      <c r="K1017" s="276"/>
      <c r="L1017" s="385" t="s">
        <v>8853</v>
      </c>
      <c r="M1017" s="276"/>
    </row>
    <row r="1018" spans="1:13">
      <c r="A1018" s="277">
        <f>VLOOKUP(B1018, 'PubMed 10.7.21 Results'!B:B, 1, FALSE)</f>
        <v>12222084</v>
      </c>
      <c r="B1018" s="277">
        <v>12222084</v>
      </c>
      <c r="C1018" s="276" t="s">
        <v>8923</v>
      </c>
      <c r="D1018" s="276" t="s">
        <v>8924</v>
      </c>
      <c r="E1018" s="276" t="s">
        <v>8925</v>
      </c>
      <c r="F1018" s="276" t="s">
        <v>7798</v>
      </c>
      <c r="G1018" s="276" t="s">
        <v>8926</v>
      </c>
      <c r="H1018" s="277">
        <v>2002</v>
      </c>
      <c r="I1018" s="386">
        <v>37511</v>
      </c>
      <c r="J1018" s="276"/>
      <c r="K1018" s="276"/>
      <c r="L1018" s="385" t="s">
        <v>8927</v>
      </c>
      <c r="M1018" s="276"/>
    </row>
    <row r="1019" spans="1:13">
      <c r="A1019" s="277">
        <f>VLOOKUP(B1019, 'PubMed 10.7.21 Results'!B:B, 1, FALSE)</f>
        <v>25925398</v>
      </c>
      <c r="B1019" s="277">
        <v>25925398</v>
      </c>
      <c r="C1019" s="276" t="s">
        <v>11362</v>
      </c>
      <c r="D1019" s="276" t="s">
        <v>11363</v>
      </c>
      <c r="E1019" s="276" t="s">
        <v>11364</v>
      </c>
      <c r="F1019" s="276" t="s">
        <v>7415</v>
      </c>
      <c r="G1019" s="276" t="s">
        <v>9906</v>
      </c>
      <c r="H1019" s="277">
        <v>2015</v>
      </c>
      <c r="I1019" s="386">
        <v>42125</v>
      </c>
      <c r="J1019" s="276" t="s">
        <v>7416</v>
      </c>
      <c r="K1019" s="276"/>
      <c r="L1019" s="385" t="s">
        <v>11365</v>
      </c>
      <c r="M1019" s="276"/>
    </row>
    <row r="1020" spans="1:13">
      <c r="A1020" s="277">
        <f>VLOOKUP(B1020, 'PubMed 10.7.21 Results'!B:B, 1, FALSE)</f>
        <v>33159237</v>
      </c>
      <c r="B1020" s="277">
        <v>33159237</v>
      </c>
      <c r="C1020" s="276" t="s">
        <v>14166</v>
      </c>
      <c r="D1020" s="276" t="s">
        <v>14167</v>
      </c>
      <c r="E1020" s="276" t="s">
        <v>18903</v>
      </c>
      <c r="F1020" s="276" t="s">
        <v>6642</v>
      </c>
      <c r="G1020" s="276" t="s">
        <v>14169</v>
      </c>
      <c r="H1020" s="277">
        <v>2020</v>
      </c>
      <c r="I1020" s="386">
        <v>44142</v>
      </c>
      <c r="J1020" s="276"/>
      <c r="K1020" s="276"/>
      <c r="L1020" s="385" t="s">
        <v>14172</v>
      </c>
      <c r="M1020" s="276"/>
    </row>
    <row r="1021" spans="1:13">
      <c r="A1021" s="277">
        <f>VLOOKUP(B1021, 'PubMed 10.7.21 Results'!B:B, 1, FALSE)</f>
        <v>30354508</v>
      </c>
      <c r="B1021" s="277">
        <v>30354508</v>
      </c>
      <c r="C1021" s="276" t="s">
        <v>12749</v>
      </c>
      <c r="D1021" s="276" t="s">
        <v>12750</v>
      </c>
      <c r="E1021" s="276" t="s">
        <v>12751</v>
      </c>
      <c r="F1021" s="276" t="s">
        <v>6551</v>
      </c>
      <c r="G1021" s="276" t="s">
        <v>8519</v>
      </c>
      <c r="H1021" s="277">
        <v>2018</v>
      </c>
      <c r="I1021" s="386">
        <v>43399</v>
      </c>
      <c r="J1021" s="276"/>
      <c r="K1021" s="276"/>
      <c r="L1021" s="385" t="s">
        <v>12752</v>
      </c>
      <c r="M1021" s="276"/>
    </row>
    <row r="1022" spans="1:13">
      <c r="A1022" s="277">
        <f>VLOOKUP(B1022, 'PubMed 10.7.21 Results'!B:B, 1, FALSE)</f>
        <v>23336849</v>
      </c>
      <c r="B1022" s="277">
        <v>23336849</v>
      </c>
      <c r="C1022" s="276" t="s">
        <v>10670</v>
      </c>
      <c r="D1022" s="276" t="s">
        <v>10671</v>
      </c>
      <c r="E1022" s="276" t="s">
        <v>10672</v>
      </c>
      <c r="F1022" s="276" t="s">
        <v>6541</v>
      </c>
      <c r="G1022" s="276" t="s">
        <v>10511</v>
      </c>
      <c r="H1022" s="277">
        <v>2013</v>
      </c>
      <c r="I1022" s="386">
        <v>41297</v>
      </c>
      <c r="J1022" s="276"/>
      <c r="K1022" s="276"/>
      <c r="L1022" s="385" t="s">
        <v>10673</v>
      </c>
      <c r="M1022" s="276"/>
    </row>
    <row r="1023" spans="1:13">
      <c r="A1023" s="277">
        <f>VLOOKUP(B1023, 'PubMed 10.7.21 Results'!B:B, 1, FALSE)</f>
        <v>32822455</v>
      </c>
      <c r="B1023" s="277">
        <v>32822455</v>
      </c>
      <c r="C1023" s="276" t="s">
        <v>13813</v>
      </c>
      <c r="D1023" s="276" t="s">
        <v>13814</v>
      </c>
      <c r="E1023" s="276" t="s">
        <v>13815</v>
      </c>
      <c r="F1023" s="276" t="s">
        <v>7984</v>
      </c>
      <c r="G1023" s="276" t="s">
        <v>11469</v>
      </c>
      <c r="H1023" s="277">
        <v>2020</v>
      </c>
      <c r="I1023" s="386">
        <v>44065</v>
      </c>
      <c r="J1023" s="276"/>
      <c r="K1023" s="276"/>
      <c r="L1023" s="385" t="s">
        <v>13816</v>
      </c>
      <c r="M1023" s="276"/>
    </row>
    <row r="1024" spans="1:13">
      <c r="A1024" s="277">
        <f>VLOOKUP(B1024, 'PubMed 10.7.21 Results'!B:B, 1, FALSE)</f>
        <v>17154160</v>
      </c>
      <c r="B1024" s="277">
        <v>17154160</v>
      </c>
      <c r="C1024" s="276" t="s">
        <v>9390</v>
      </c>
      <c r="D1024" s="276" t="s">
        <v>9391</v>
      </c>
      <c r="E1024" s="276" t="s">
        <v>9392</v>
      </c>
      <c r="F1024" s="276" t="s">
        <v>7609</v>
      </c>
      <c r="G1024" s="276" t="s">
        <v>9393</v>
      </c>
      <c r="H1024" s="277">
        <v>2007</v>
      </c>
      <c r="I1024" s="386">
        <v>39064</v>
      </c>
      <c r="J1024" s="276"/>
      <c r="K1024" s="276"/>
      <c r="L1024" s="385" t="s">
        <v>9394</v>
      </c>
      <c r="M1024" s="276"/>
    </row>
    <row r="1025" spans="1:13">
      <c r="A1025" s="277">
        <f>VLOOKUP(B1025, 'PubMed 10.7.21 Results'!B:B, 1, FALSE)</f>
        <v>22228415</v>
      </c>
      <c r="B1025" s="277">
        <v>22228415</v>
      </c>
      <c r="C1025" s="276" t="s">
        <v>10406</v>
      </c>
      <c r="D1025" s="276" t="s">
        <v>10407</v>
      </c>
      <c r="E1025" s="276" t="s">
        <v>10408</v>
      </c>
      <c r="F1025" s="276" t="s">
        <v>7971</v>
      </c>
      <c r="G1025" s="276" t="s">
        <v>8712</v>
      </c>
      <c r="H1025" s="277">
        <v>2012</v>
      </c>
      <c r="I1025" s="386">
        <v>40918</v>
      </c>
      <c r="J1025" s="276"/>
      <c r="K1025" s="276"/>
      <c r="L1025" s="385" t="s">
        <v>10409</v>
      </c>
      <c r="M1025" s="276"/>
    </row>
    <row r="1026" spans="1:13">
      <c r="A1026" s="277">
        <f>VLOOKUP(B1026, 'PubMed 10.7.21 Results'!B:B, 1, FALSE)</f>
        <v>24614165</v>
      </c>
      <c r="B1026" s="277">
        <v>24614165</v>
      </c>
      <c r="C1026" s="276" t="s">
        <v>10958</v>
      </c>
      <c r="D1026" s="276" t="s">
        <v>10959</v>
      </c>
      <c r="E1026" s="276" t="s">
        <v>10960</v>
      </c>
      <c r="F1026" s="276" t="s">
        <v>7799</v>
      </c>
      <c r="G1026" s="276" t="s">
        <v>10379</v>
      </c>
      <c r="H1026" s="277">
        <v>2014</v>
      </c>
      <c r="I1026" s="386">
        <v>41710</v>
      </c>
      <c r="J1026" s="276" t="s">
        <v>7800</v>
      </c>
      <c r="K1026" s="276"/>
      <c r="L1026" s="385" t="s">
        <v>10961</v>
      </c>
      <c r="M1026" s="276"/>
    </row>
    <row r="1027" spans="1:13">
      <c r="A1027" s="277">
        <f>VLOOKUP(B1027, 'PubMed 10.7.21 Results'!B:B, 1, FALSE)</f>
        <v>25399621</v>
      </c>
      <c r="B1027" s="277">
        <v>25399621</v>
      </c>
      <c r="C1027" s="276" t="s">
        <v>11212</v>
      </c>
      <c r="D1027" s="276" t="s">
        <v>11213</v>
      </c>
      <c r="E1027" s="276" t="s">
        <v>11214</v>
      </c>
      <c r="F1027" s="276" t="s">
        <v>6506</v>
      </c>
      <c r="G1027" s="276" t="s">
        <v>11215</v>
      </c>
      <c r="H1027" s="277">
        <v>2014</v>
      </c>
      <c r="I1027" s="386">
        <v>41961</v>
      </c>
      <c r="J1027" s="276"/>
      <c r="K1027" s="276"/>
      <c r="L1027" s="385" t="s">
        <v>11216</v>
      </c>
      <c r="M1027" s="276"/>
    </row>
    <row r="1028" spans="1:13">
      <c r="A1028" s="277">
        <f>VLOOKUP(B1028, 'PubMed 10.7.21 Results'!B:B, 1, FALSE)</f>
        <v>22882430</v>
      </c>
      <c r="B1028" s="277">
        <v>22882430</v>
      </c>
      <c r="C1028" s="276" t="s">
        <v>10656</v>
      </c>
      <c r="D1028" s="276" t="s">
        <v>10657</v>
      </c>
      <c r="E1028" s="276" t="s">
        <v>10658</v>
      </c>
      <c r="F1028" s="276" t="s">
        <v>7401</v>
      </c>
      <c r="G1028" s="276" t="s">
        <v>8895</v>
      </c>
      <c r="H1028" s="277">
        <v>2013</v>
      </c>
      <c r="I1028" s="386">
        <v>41135</v>
      </c>
      <c r="J1028" s="276"/>
      <c r="K1028" s="276"/>
      <c r="L1028" s="385" t="s">
        <v>10659</v>
      </c>
      <c r="M1028" s="276"/>
    </row>
    <row r="1029" spans="1:13">
      <c r="A1029" s="277">
        <f>VLOOKUP(B1029, 'PubMed 10.7.21 Results'!B:B, 1, FALSE)</f>
        <v>26993881</v>
      </c>
      <c r="B1029" s="277">
        <v>26993881</v>
      </c>
      <c r="C1029" s="276" t="s">
        <v>11753</v>
      </c>
      <c r="D1029" s="276" t="s">
        <v>11754</v>
      </c>
      <c r="E1029" s="276" t="s">
        <v>11755</v>
      </c>
      <c r="F1029" s="276" t="s">
        <v>7597</v>
      </c>
      <c r="G1029" s="276" t="s">
        <v>9420</v>
      </c>
      <c r="H1029" s="277">
        <v>2016</v>
      </c>
      <c r="I1029" s="386">
        <v>42449</v>
      </c>
      <c r="J1029" s="276"/>
      <c r="K1029" s="276"/>
      <c r="L1029" s="385" t="s">
        <v>11756</v>
      </c>
      <c r="M1029" s="276"/>
    </row>
    <row r="1030" spans="1:13">
      <c r="A1030" s="277">
        <f>VLOOKUP(B1030, 'PubMed 10.7.21 Results'!B:B, 1, FALSE)</f>
        <v>21874971</v>
      </c>
      <c r="B1030" s="277">
        <v>21874971</v>
      </c>
      <c r="C1030" s="276" t="s">
        <v>10250</v>
      </c>
      <c r="D1030" s="276" t="s">
        <v>10251</v>
      </c>
      <c r="E1030" s="276" t="s">
        <v>10252</v>
      </c>
      <c r="F1030" s="276" t="s">
        <v>7683</v>
      </c>
      <c r="G1030" s="276" t="s">
        <v>10253</v>
      </c>
      <c r="H1030" s="277">
        <v>2011</v>
      </c>
      <c r="I1030" s="386">
        <v>40786</v>
      </c>
      <c r="J1030" s="276"/>
      <c r="K1030" s="276"/>
      <c r="L1030" s="385" t="s">
        <v>10254</v>
      </c>
      <c r="M1030" s="276"/>
    </row>
    <row r="1031" spans="1:13">
      <c r="A1031" s="277">
        <f>VLOOKUP(B1031, 'PubMed 10.7.21 Results'!B:B, 1, FALSE)</f>
        <v>21529928</v>
      </c>
      <c r="B1031" s="277">
        <v>21529928</v>
      </c>
      <c r="C1031" s="276" t="s">
        <v>10190</v>
      </c>
      <c r="D1031" s="276" t="s">
        <v>10191</v>
      </c>
      <c r="E1031" s="276" t="s">
        <v>10192</v>
      </c>
      <c r="F1031" s="276" t="s">
        <v>7210</v>
      </c>
      <c r="G1031" s="276" t="s">
        <v>9420</v>
      </c>
      <c r="H1031" s="277">
        <v>2011</v>
      </c>
      <c r="I1031" s="386">
        <v>40666</v>
      </c>
      <c r="J1031" s="276"/>
      <c r="K1031" s="276"/>
      <c r="L1031" s="385" t="s">
        <v>10193</v>
      </c>
      <c r="M1031" s="276"/>
    </row>
    <row r="1032" spans="1:13">
      <c r="A1032" s="277">
        <f>VLOOKUP(B1032, 'PubMed 10.7.21 Results'!B:B, 1, FALSE)</f>
        <v>31609787</v>
      </c>
      <c r="B1032" s="277">
        <v>31609787</v>
      </c>
      <c r="C1032" s="276" t="s">
        <v>13325</v>
      </c>
      <c r="D1032" s="276" t="s">
        <v>13326</v>
      </c>
      <c r="E1032" s="276" t="s">
        <v>13327</v>
      </c>
      <c r="F1032" s="276" t="s">
        <v>6575</v>
      </c>
      <c r="G1032" s="276" t="s">
        <v>8680</v>
      </c>
      <c r="H1032" s="277">
        <v>2020</v>
      </c>
      <c r="I1032" s="386">
        <v>43753</v>
      </c>
      <c r="J1032" s="276" t="s">
        <v>6576</v>
      </c>
      <c r="K1032" s="276"/>
      <c r="L1032" s="385" t="s">
        <v>13328</v>
      </c>
      <c r="M1032" s="276"/>
    </row>
    <row r="1033" spans="1:13">
      <c r="A1033" s="277">
        <f>VLOOKUP(B1033, 'PubMed 10.7.21 Results'!B:B, 1, FALSE)</f>
        <v>33577770</v>
      </c>
      <c r="B1033" s="277">
        <v>33577770</v>
      </c>
      <c r="C1033" s="276" t="s">
        <v>14137</v>
      </c>
      <c r="D1033" s="276" t="s">
        <v>14138</v>
      </c>
      <c r="E1033" s="276" t="s">
        <v>14139</v>
      </c>
      <c r="F1033" s="276" t="s">
        <v>6498</v>
      </c>
      <c r="G1033" s="276" t="s">
        <v>13765</v>
      </c>
      <c r="H1033" s="277">
        <v>2021</v>
      </c>
      <c r="I1033" s="386">
        <v>44239</v>
      </c>
      <c r="J1033" s="276" t="s">
        <v>6499</v>
      </c>
      <c r="K1033" s="276"/>
      <c r="L1033" s="385" t="s">
        <v>14140</v>
      </c>
      <c r="M1033" s="276"/>
    </row>
    <row r="1034" spans="1:13">
      <c r="A1034" s="277">
        <f>VLOOKUP(B1034, 'PubMed 10.7.21 Results'!B:B, 1, FALSE)</f>
        <v>11770694</v>
      </c>
      <c r="B1034" s="277">
        <v>11770694</v>
      </c>
      <c r="C1034" s="276" t="s">
        <v>8835</v>
      </c>
      <c r="D1034" s="276" t="s">
        <v>8836</v>
      </c>
      <c r="E1034" s="276" t="s">
        <v>8837</v>
      </c>
      <c r="F1034" s="276" t="s">
        <v>6738</v>
      </c>
      <c r="G1034" s="276" t="s">
        <v>8552</v>
      </c>
      <c r="H1034" s="277">
        <v>2001</v>
      </c>
      <c r="I1034" s="386">
        <v>37261</v>
      </c>
      <c r="J1034" s="276"/>
      <c r="K1034" s="276"/>
      <c r="L1034" s="385" t="s">
        <v>8838</v>
      </c>
      <c r="M1034" s="276"/>
    </row>
    <row r="1035" spans="1:13">
      <c r="A1035" s="277">
        <f>VLOOKUP(B1035, 'PubMed 10.7.21 Results'!B:B, 1, FALSE)</f>
        <v>31483689</v>
      </c>
      <c r="B1035" s="277">
        <v>31483689</v>
      </c>
      <c r="C1035" s="276" t="s">
        <v>13320</v>
      </c>
      <c r="D1035" s="276" t="s">
        <v>13321</v>
      </c>
      <c r="E1035" s="276" t="s">
        <v>13322</v>
      </c>
      <c r="F1035" s="276" t="s">
        <v>6897</v>
      </c>
      <c r="G1035" s="276" t="s">
        <v>13323</v>
      </c>
      <c r="H1035" s="277">
        <v>2020</v>
      </c>
      <c r="I1035" s="386">
        <v>43713</v>
      </c>
      <c r="J1035" s="276"/>
      <c r="K1035" s="276"/>
      <c r="L1035" s="385" t="s">
        <v>13324</v>
      </c>
      <c r="M1035" s="276"/>
    </row>
    <row r="1036" spans="1:13">
      <c r="A1036" s="277">
        <f>VLOOKUP(B1036, 'PubMed 10.7.21 Results'!B:B, 1, FALSE)</f>
        <v>26687281</v>
      </c>
      <c r="B1036" s="277">
        <v>26687281</v>
      </c>
      <c r="C1036" s="276" t="s">
        <v>11656</v>
      </c>
      <c r="D1036" s="276" t="s">
        <v>11657</v>
      </c>
      <c r="E1036" s="276" t="s">
        <v>11658</v>
      </c>
      <c r="F1036" s="276" t="s">
        <v>7295</v>
      </c>
      <c r="G1036" s="276" t="s">
        <v>11659</v>
      </c>
      <c r="H1036" s="277">
        <v>2016</v>
      </c>
      <c r="I1036" s="386">
        <v>42360</v>
      </c>
      <c r="J1036" s="276"/>
      <c r="K1036" s="276"/>
      <c r="L1036" s="385" t="s">
        <v>11660</v>
      </c>
      <c r="M1036" s="276"/>
    </row>
    <row r="1037" spans="1:13">
      <c r="A1037" s="277">
        <f>VLOOKUP(B1037, 'PubMed 10.7.21 Results'!B:B, 1, FALSE)</f>
        <v>20424934</v>
      </c>
      <c r="B1037" s="277">
        <v>20424934</v>
      </c>
      <c r="C1037" s="276" t="s">
        <v>10322</v>
      </c>
      <c r="D1037" s="276" t="s">
        <v>10323</v>
      </c>
      <c r="E1037" s="276" t="s">
        <v>10324</v>
      </c>
      <c r="F1037" s="276" t="s">
        <v>7581</v>
      </c>
      <c r="G1037" s="276" t="s">
        <v>10325</v>
      </c>
      <c r="H1037" s="277">
        <v>2011</v>
      </c>
      <c r="I1037" s="386">
        <v>40297</v>
      </c>
      <c r="J1037" s="276"/>
      <c r="K1037" s="276"/>
      <c r="L1037" s="385" t="s">
        <v>10326</v>
      </c>
      <c r="M1037" s="276"/>
    </row>
    <row r="1038" spans="1:13">
      <c r="A1038" s="277">
        <f>VLOOKUP(B1038, 'PubMed 10.7.21 Results'!B:B, 1, FALSE)</f>
        <v>27028914</v>
      </c>
      <c r="B1038" s="277">
        <v>27028914</v>
      </c>
      <c r="C1038" s="276" t="s">
        <v>11680</v>
      </c>
      <c r="D1038" s="276" t="s">
        <v>11681</v>
      </c>
      <c r="E1038" s="276" t="s">
        <v>11682</v>
      </c>
      <c r="F1038" s="276" t="s">
        <v>6926</v>
      </c>
      <c r="G1038" s="276" t="s">
        <v>8514</v>
      </c>
      <c r="H1038" s="277">
        <v>2016</v>
      </c>
      <c r="I1038" s="386">
        <v>42460</v>
      </c>
      <c r="J1038" s="276"/>
      <c r="K1038" s="276"/>
      <c r="L1038" s="385" t="s">
        <v>11683</v>
      </c>
      <c r="M1038" s="276"/>
    </row>
    <row r="1039" spans="1:13">
      <c r="A1039" s="277">
        <f>VLOOKUP(B1039, 'PubMed 10.7.21 Results'!B:B, 1, FALSE)</f>
        <v>30515970</v>
      </c>
      <c r="B1039" s="277">
        <v>30515970</v>
      </c>
      <c r="C1039" s="276" t="s">
        <v>12941</v>
      </c>
      <c r="D1039" s="276" t="s">
        <v>12942</v>
      </c>
      <c r="E1039" s="276" t="s">
        <v>12943</v>
      </c>
      <c r="F1039" s="276" t="s">
        <v>6722</v>
      </c>
      <c r="G1039" s="276" t="s">
        <v>12944</v>
      </c>
      <c r="H1039" s="277">
        <v>2019</v>
      </c>
      <c r="I1039" s="386">
        <v>43440</v>
      </c>
      <c r="J1039" s="276" t="s">
        <v>6723</v>
      </c>
      <c r="K1039" s="276" t="s">
        <v>12945</v>
      </c>
      <c r="L1039" s="385" t="s">
        <v>12946</v>
      </c>
      <c r="M1039" s="276"/>
    </row>
    <row r="1040" spans="1:13">
      <c r="A1040" s="277">
        <f>VLOOKUP(B1040, 'PubMed 10.7.21 Results'!B:B, 1, FALSE)</f>
        <v>27163222</v>
      </c>
      <c r="B1040" s="277">
        <v>27163222</v>
      </c>
      <c r="C1040" s="276" t="s">
        <v>11747</v>
      </c>
      <c r="D1040" s="276" t="s">
        <v>11748</v>
      </c>
      <c r="E1040" s="276" t="s">
        <v>11749</v>
      </c>
      <c r="F1040" s="276" t="s">
        <v>7675</v>
      </c>
      <c r="G1040" s="276" t="s">
        <v>11750</v>
      </c>
      <c r="H1040" s="277">
        <v>2016</v>
      </c>
      <c r="I1040" s="386">
        <v>42501</v>
      </c>
      <c r="J1040" s="276" t="s">
        <v>7676</v>
      </c>
      <c r="K1040" s="276" t="s">
        <v>11751</v>
      </c>
      <c r="L1040" s="385" t="s">
        <v>11752</v>
      </c>
      <c r="M1040" s="276"/>
    </row>
    <row r="1041" spans="1:13">
      <c r="A1041" s="277">
        <f>VLOOKUP(B1041, 'PubMed 10.7.21 Results'!B:B, 1, FALSE)</f>
        <v>24790646</v>
      </c>
      <c r="B1041" s="277">
        <v>24790646</v>
      </c>
      <c r="C1041" s="276" t="s">
        <v>11002</v>
      </c>
      <c r="D1041" s="276" t="s">
        <v>11003</v>
      </c>
      <c r="E1041" s="276" t="s">
        <v>11004</v>
      </c>
      <c r="F1041" s="276" t="s">
        <v>7224</v>
      </c>
      <c r="G1041" s="276" t="s">
        <v>11005</v>
      </c>
      <c r="H1041" s="277">
        <v>2014</v>
      </c>
      <c r="I1041" s="386">
        <v>41762</v>
      </c>
      <c r="J1041" s="276" t="s">
        <v>7225</v>
      </c>
      <c r="K1041" s="276"/>
      <c r="L1041" s="385" t="s">
        <v>11006</v>
      </c>
      <c r="M1041" s="276"/>
    </row>
    <row r="1042" spans="1:13">
      <c r="A1042" s="277">
        <f>VLOOKUP(B1042, 'PubMed 10.7.21 Results'!B:B, 1, FALSE)</f>
        <v>26813845</v>
      </c>
      <c r="B1042" s="277">
        <v>26813845</v>
      </c>
      <c r="C1042" s="276" t="s">
        <v>11629</v>
      </c>
      <c r="D1042" s="276" t="s">
        <v>11630</v>
      </c>
      <c r="E1042" s="276" t="s">
        <v>11631</v>
      </c>
      <c r="F1042" s="276" t="s">
        <v>7840</v>
      </c>
      <c r="G1042" s="276" t="s">
        <v>10184</v>
      </c>
      <c r="H1042" s="277">
        <v>2016</v>
      </c>
      <c r="I1042" s="386">
        <v>42397</v>
      </c>
      <c r="J1042" s="276"/>
      <c r="K1042" s="276"/>
      <c r="L1042" s="385" t="s">
        <v>11632</v>
      </c>
      <c r="M1042" s="276"/>
    </row>
    <row r="1043" spans="1:13">
      <c r="A1043" s="277">
        <f>VLOOKUP(B1043, 'PubMed 10.7.21 Results'!B:B, 1, FALSE)</f>
        <v>30022571</v>
      </c>
      <c r="B1043" s="277">
        <v>30022571</v>
      </c>
      <c r="C1043" s="276" t="s">
        <v>12757</v>
      </c>
      <c r="D1043" s="276" t="s">
        <v>12758</v>
      </c>
      <c r="E1043" s="276" t="s">
        <v>12759</v>
      </c>
      <c r="F1043" s="276" t="s">
        <v>7618</v>
      </c>
      <c r="G1043" s="276" t="s">
        <v>12760</v>
      </c>
      <c r="H1043" s="277">
        <v>2018</v>
      </c>
      <c r="I1043" s="386">
        <v>43301</v>
      </c>
      <c r="J1043" s="276"/>
      <c r="K1043" s="276"/>
      <c r="L1043" s="385" t="s">
        <v>12761</v>
      </c>
      <c r="M1043" s="276"/>
    </row>
    <row r="1044" spans="1:13">
      <c r="A1044" s="277">
        <f>VLOOKUP(B1044, 'PubMed 10.7.21 Results'!B:B, 1, FALSE)</f>
        <v>26787721</v>
      </c>
      <c r="B1044" s="277">
        <v>26787721</v>
      </c>
      <c r="C1044" s="276" t="s">
        <v>11697</v>
      </c>
      <c r="D1044" s="276" t="s">
        <v>11698</v>
      </c>
      <c r="E1044" s="276" t="s">
        <v>11699</v>
      </c>
      <c r="F1044" s="276" t="s">
        <v>7478</v>
      </c>
      <c r="G1044" s="276" t="s">
        <v>11700</v>
      </c>
      <c r="H1044" s="277">
        <v>2016</v>
      </c>
      <c r="I1044" s="386">
        <v>42390</v>
      </c>
      <c r="J1044" s="276" t="s">
        <v>7479</v>
      </c>
      <c r="K1044" s="276"/>
      <c r="L1044" s="385" t="s">
        <v>11701</v>
      </c>
      <c r="M1044" s="276"/>
    </row>
    <row r="1045" spans="1:13">
      <c r="A1045" s="277">
        <f>VLOOKUP(B1045, 'PubMed 10.7.21 Results'!B:B, 1, FALSE)</f>
        <v>24081937</v>
      </c>
      <c r="B1045" s="277">
        <v>24081937</v>
      </c>
      <c r="C1045" s="276" t="s">
        <v>10853</v>
      </c>
      <c r="D1045" s="276" t="s">
        <v>10854</v>
      </c>
      <c r="E1045" s="276" t="s">
        <v>10855</v>
      </c>
      <c r="F1045" s="276" t="s">
        <v>5040</v>
      </c>
      <c r="G1045" s="276" t="s">
        <v>8547</v>
      </c>
      <c r="H1045" s="277">
        <v>2013</v>
      </c>
      <c r="I1045" s="386">
        <v>41549</v>
      </c>
      <c r="J1045" s="276"/>
      <c r="K1045" s="276"/>
      <c r="L1045" s="385" t="s">
        <v>10856</v>
      </c>
      <c r="M1045" s="276"/>
    </row>
    <row r="1046" spans="1:13">
      <c r="A1046" s="277">
        <f>VLOOKUP(B1046, 'PubMed 10.7.21 Results'!B:B, 1, FALSE)</f>
        <v>17424701</v>
      </c>
      <c r="B1046" s="277">
        <v>17424701</v>
      </c>
      <c r="C1046" s="276" t="s">
        <v>9371</v>
      </c>
      <c r="D1046" s="276" t="s">
        <v>9372</v>
      </c>
      <c r="E1046" s="276" t="s">
        <v>9373</v>
      </c>
      <c r="F1046" s="276" t="s">
        <v>6810</v>
      </c>
      <c r="G1046" s="276" t="s">
        <v>9374</v>
      </c>
      <c r="H1046" s="277">
        <v>2007</v>
      </c>
      <c r="I1046" s="386">
        <v>39184</v>
      </c>
      <c r="J1046" s="276"/>
      <c r="K1046" s="276"/>
      <c r="L1046" s="276"/>
      <c r="M1046" s="276"/>
    </row>
    <row r="1047" spans="1:13">
      <c r="A1047" s="277">
        <f>VLOOKUP(B1047, 'PubMed 10.7.21 Results'!B:B, 1, FALSE)</f>
        <v>31869863</v>
      </c>
      <c r="B1047" s="277">
        <v>31869863</v>
      </c>
      <c r="C1047" s="276" t="s">
        <v>13424</v>
      </c>
      <c r="D1047" s="276" t="s">
        <v>13425</v>
      </c>
      <c r="E1047" s="276" t="s">
        <v>13426</v>
      </c>
      <c r="F1047" s="276" t="s">
        <v>7108</v>
      </c>
      <c r="G1047" s="276" t="s">
        <v>13427</v>
      </c>
      <c r="H1047" s="277">
        <v>2020</v>
      </c>
      <c r="I1047" s="386">
        <v>43823</v>
      </c>
      <c r="J1047" s="276"/>
      <c r="K1047" s="276"/>
      <c r="L1047" s="385" t="s">
        <v>13428</v>
      </c>
      <c r="M1047" s="276"/>
    </row>
    <row r="1048" spans="1:13">
      <c r="A1048" s="277">
        <f>VLOOKUP(B1048, 'PubMed 10.7.21 Results'!B:B, 1, FALSE)</f>
        <v>23607714</v>
      </c>
      <c r="B1048" s="277">
        <v>23607714</v>
      </c>
      <c r="C1048" s="276" t="s">
        <v>10758</v>
      </c>
      <c r="D1048" s="276" t="s">
        <v>10759</v>
      </c>
      <c r="E1048" s="276" t="s">
        <v>10760</v>
      </c>
      <c r="F1048" s="276" t="s">
        <v>7186</v>
      </c>
      <c r="G1048" s="276" t="s">
        <v>10761</v>
      </c>
      <c r="H1048" s="277">
        <v>2013</v>
      </c>
      <c r="I1048" s="386">
        <v>41388</v>
      </c>
      <c r="J1048" s="276"/>
      <c r="K1048" s="276"/>
      <c r="L1048" s="385" t="s">
        <v>10762</v>
      </c>
      <c r="M1048" s="276"/>
    </row>
    <row r="1049" spans="1:13">
      <c r="A1049" s="277">
        <f>VLOOKUP(B1049, 'PubMed 10.7.21 Results'!B:B, 1, FALSE)</f>
        <v>33612449</v>
      </c>
      <c r="B1049" s="277">
        <v>33612449</v>
      </c>
      <c r="C1049" s="276" t="s">
        <v>14213</v>
      </c>
      <c r="D1049" s="276" t="s">
        <v>14214</v>
      </c>
      <c r="E1049" s="276" t="s">
        <v>18904</v>
      </c>
      <c r="F1049" s="276" t="s">
        <v>6974</v>
      </c>
      <c r="G1049" s="276" t="s">
        <v>12673</v>
      </c>
      <c r="H1049" s="277">
        <v>2021</v>
      </c>
      <c r="I1049" s="386">
        <v>44249</v>
      </c>
      <c r="J1049" s="276"/>
      <c r="K1049" s="276"/>
      <c r="L1049" s="385" t="s">
        <v>14216</v>
      </c>
      <c r="M1049" s="276"/>
    </row>
    <row r="1050" spans="1:13">
      <c r="A1050" s="277">
        <f>VLOOKUP(B1050, 'PubMed 10.7.21 Results'!B:B, 1, FALSE)</f>
        <v>27930518</v>
      </c>
      <c r="B1050" s="277">
        <v>27930518</v>
      </c>
      <c r="C1050" s="276" t="s">
        <v>11905</v>
      </c>
      <c r="D1050" s="276" t="s">
        <v>11906</v>
      </c>
      <c r="E1050" s="276" t="s">
        <v>11907</v>
      </c>
      <c r="F1050" s="276" t="s">
        <v>8032</v>
      </c>
      <c r="G1050" s="276" t="s">
        <v>11908</v>
      </c>
      <c r="H1050" s="277">
        <v>2016</v>
      </c>
      <c r="I1050" s="386">
        <v>42713</v>
      </c>
      <c r="J1050" s="276" t="s">
        <v>8033</v>
      </c>
      <c r="K1050" s="276"/>
      <c r="L1050" s="385" t="s">
        <v>11909</v>
      </c>
      <c r="M1050" s="276"/>
    </row>
    <row r="1051" spans="1:13">
      <c r="A1051" s="277">
        <f>VLOOKUP(B1051, 'PubMed 10.7.21 Results'!B:B, 1, FALSE)</f>
        <v>32034016</v>
      </c>
      <c r="B1051" s="277">
        <v>32034016</v>
      </c>
      <c r="C1051" s="276" t="s">
        <v>13434</v>
      </c>
      <c r="D1051" s="276" t="s">
        <v>13435</v>
      </c>
      <c r="E1051" s="276" t="s">
        <v>13436</v>
      </c>
      <c r="F1051" s="276" t="s">
        <v>8004</v>
      </c>
      <c r="G1051" s="276" t="s">
        <v>11650</v>
      </c>
      <c r="H1051" s="277">
        <v>2020</v>
      </c>
      <c r="I1051" s="386">
        <v>43870</v>
      </c>
      <c r="J1051" s="276" t="s">
        <v>8005</v>
      </c>
      <c r="K1051" s="276"/>
      <c r="L1051" s="385" t="s">
        <v>13437</v>
      </c>
      <c r="M1051" s="276"/>
    </row>
    <row r="1052" spans="1:13">
      <c r="A1052" s="277">
        <f>VLOOKUP(B1052, 'PubMed 10.7.21 Results'!B:B, 1, FALSE)</f>
        <v>32614699</v>
      </c>
      <c r="B1052" s="277">
        <v>32614699</v>
      </c>
      <c r="C1052" s="276" t="s">
        <v>13729</v>
      </c>
      <c r="D1052" s="276" t="s">
        <v>13730</v>
      </c>
      <c r="E1052" s="276" t="s">
        <v>13731</v>
      </c>
      <c r="F1052" s="276" t="s">
        <v>7829</v>
      </c>
      <c r="G1052" s="276" t="s">
        <v>8547</v>
      </c>
      <c r="H1052" s="277">
        <v>2020</v>
      </c>
      <c r="I1052" s="386">
        <v>44015</v>
      </c>
      <c r="J1052" s="276"/>
      <c r="K1052" s="276"/>
      <c r="L1052" s="385" t="s">
        <v>13732</v>
      </c>
      <c r="M1052" s="276"/>
    </row>
    <row r="1053" spans="1:13">
      <c r="A1053" s="277">
        <f>VLOOKUP(B1053, 'PubMed 10.7.21 Results'!B:B, 1, FALSE)</f>
        <v>31513665</v>
      </c>
      <c r="B1053" s="277">
        <v>31513665</v>
      </c>
      <c r="C1053" s="276" t="s">
        <v>13199</v>
      </c>
      <c r="D1053" s="276" t="s">
        <v>13200</v>
      </c>
      <c r="E1053" s="276" t="s">
        <v>13201</v>
      </c>
      <c r="F1053" s="276" t="s">
        <v>7706</v>
      </c>
      <c r="G1053" s="276" t="s">
        <v>10148</v>
      </c>
      <c r="H1053" s="277">
        <v>2019</v>
      </c>
      <c r="I1053" s="386">
        <v>43721</v>
      </c>
      <c r="J1053" s="276" t="s">
        <v>7707</v>
      </c>
      <c r="K1053" s="276"/>
      <c r="L1053" s="385" t="s">
        <v>13202</v>
      </c>
      <c r="M1053" s="276"/>
    </row>
    <row r="1054" spans="1:13">
      <c r="A1054" s="277">
        <f>VLOOKUP(B1054, 'PubMed 10.7.21 Results'!B:B, 1, FALSE)</f>
        <v>26378046</v>
      </c>
      <c r="B1054" s="277">
        <v>26378046</v>
      </c>
      <c r="C1054" s="276" t="s">
        <v>11483</v>
      </c>
      <c r="D1054" s="276" t="s">
        <v>11484</v>
      </c>
      <c r="E1054" s="276" t="s">
        <v>11485</v>
      </c>
      <c r="F1054" s="276" t="s">
        <v>8141</v>
      </c>
      <c r="G1054" s="276" t="s">
        <v>11486</v>
      </c>
      <c r="H1054" s="277">
        <v>2015</v>
      </c>
      <c r="I1054" s="386">
        <v>42265</v>
      </c>
      <c r="J1054" s="276" t="s">
        <v>8142</v>
      </c>
      <c r="K1054" s="276"/>
      <c r="L1054" s="385" t="s">
        <v>11487</v>
      </c>
      <c r="M1054" s="276"/>
    </row>
    <row r="1055" spans="1:13">
      <c r="A1055" s="277">
        <f>VLOOKUP(B1055, 'PubMed 10.7.21 Results'!B:B, 1, FALSE)</f>
        <v>26221044</v>
      </c>
      <c r="B1055" s="277">
        <v>26221044</v>
      </c>
      <c r="C1055" s="276" t="s">
        <v>11512</v>
      </c>
      <c r="D1055" s="276" t="s">
        <v>11513</v>
      </c>
      <c r="E1055" s="276" t="s">
        <v>11514</v>
      </c>
      <c r="F1055" s="276" t="s">
        <v>7731</v>
      </c>
      <c r="G1055" s="276" t="s">
        <v>11515</v>
      </c>
      <c r="H1055" s="277">
        <v>2015</v>
      </c>
      <c r="I1055" s="386">
        <v>42215</v>
      </c>
      <c r="J1055" s="276"/>
      <c r="K1055" s="276"/>
      <c r="L1055" s="385" t="s">
        <v>11516</v>
      </c>
      <c r="M1055" s="276"/>
    </row>
    <row r="1056" spans="1:13">
      <c r="A1056" s="277">
        <f>VLOOKUP(B1056, 'PubMed 10.7.21 Results'!B:B, 1, FALSE)</f>
        <v>27289490</v>
      </c>
      <c r="B1056" s="277">
        <v>27289490</v>
      </c>
      <c r="C1056" s="276" t="s">
        <v>18905</v>
      </c>
      <c r="D1056" s="276" t="s">
        <v>11826</v>
      </c>
      <c r="E1056" s="276" t="s">
        <v>11827</v>
      </c>
      <c r="F1056" s="276" t="s">
        <v>7703</v>
      </c>
      <c r="G1056" s="276" t="s">
        <v>9004</v>
      </c>
      <c r="H1056" s="277">
        <v>2016</v>
      </c>
      <c r="I1056" s="386">
        <v>42534</v>
      </c>
      <c r="J1056" s="276"/>
      <c r="K1056" s="276"/>
      <c r="L1056" s="385" t="s">
        <v>11828</v>
      </c>
      <c r="M1056" s="276"/>
    </row>
    <row r="1057" spans="1:13">
      <c r="A1057" s="277">
        <f>VLOOKUP(B1057, 'PubMed 10.7.21 Results'!B:B, 1, FALSE)</f>
        <v>32077553</v>
      </c>
      <c r="B1057" s="277">
        <v>32077553</v>
      </c>
      <c r="C1057" s="276" t="s">
        <v>13675</v>
      </c>
      <c r="D1057" s="276" t="s">
        <v>13676</v>
      </c>
      <c r="E1057" s="276" t="s">
        <v>13677</v>
      </c>
      <c r="F1057" s="276" t="s">
        <v>6529</v>
      </c>
      <c r="G1057" s="276" t="s">
        <v>13678</v>
      </c>
      <c r="H1057" s="277">
        <v>2020</v>
      </c>
      <c r="I1057" s="386">
        <v>43882</v>
      </c>
      <c r="J1057" s="276"/>
      <c r="K1057" s="276"/>
      <c r="L1057" s="385" t="s">
        <v>13679</v>
      </c>
      <c r="M1057" s="276"/>
    </row>
    <row r="1058" spans="1:13">
      <c r="A1058" s="277">
        <f>VLOOKUP(B1058, 'PubMed 10.7.21 Results'!B:B, 1, FALSE)</f>
        <v>30935872</v>
      </c>
      <c r="B1058" s="277">
        <v>30935872</v>
      </c>
      <c r="C1058" s="276" t="s">
        <v>13035</v>
      </c>
      <c r="D1058" s="276" t="s">
        <v>13036</v>
      </c>
      <c r="E1058" s="276" t="s">
        <v>13037</v>
      </c>
      <c r="F1058" s="276" t="s">
        <v>6563</v>
      </c>
      <c r="G1058" s="276" t="s">
        <v>12065</v>
      </c>
      <c r="H1058" s="277">
        <v>2019</v>
      </c>
      <c r="I1058" s="386">
        <v>43558</v>
      </c>
      <c r="J1058" s="276" t="s">
        <v>6564</v>
      </c>
      <c r="K1058" s="276"/>
      <c r="L1058" s="385" t="s">
        <v>13038</v>
      </c>
      <c r="M1058" s="276"/>
    </row>
    <row r="1059" spans="1:13">
      <c r="A1059" s="277">
        <f>VLOOKUP(B1059, 'PubMed 10.7.21 Results'!B:B, 1, FALSE)</f>
        <v>30414864</v>
      </c>
      <c r="B1059" s="277">
        <v>30414864</v>
      </c>
      <c r="C1059" s="276" t="s">
        <v>12932</v>
      </c>
      <c r="D1059" s="276" t="s">
        <v>12933</v>
      </c>
      <c r="E1059" s="276" t="s">
        <v>12934</v>
      </c>
      <c r="F1059" s="276" t="s">
        <v>7077</v>
      </c>
      <c r="G1059" s="276" t="s">
        <v>10548</v>
      </c>
      <c r="H1059" s="277">
        <v>2019</v>
      </c>
      <c r="I1059" s="386">
        <v>43416</v>
      </c>
      <c r="J1059" s="276"/>
      <c r="K1059" s="276"/>
      <c r="L1059" s="385" t="s">
        <v>12935</v>
      </c>
      <c r="M1059" s="276"/>
    </row>
    <row r="1060" spans="1:13">
      <c r="A1060" s="277">
        <f>VLOOKUP(B1060, 'PubMed 10.7.21 Results'!B:B, 1, FALSE)</f>
        <v>24368464</v>
      </c>
      <c r="B1060" s="277">
        <v>24368464</v>
      </c>
      <c r="C1060" s="276" t="s">
        <v>10874</v>
      </c>
      <c r="D1060" s="276" t="s">
        <v>10875</v>
      </c>
      <c r="E1060" s="276" t="s">
        <v>10876</v>
      </c>
      <c r="F1060" s="276" t="s">
        <v>7589</v>
      </c>
      <c r="G1060" s="276" t="s">
        <v>8580</v>
      </c>
      <c r="H1060" s="277">
        <v>2013</v>
      </c>
      <c r="I1060" s="386">
        <v>41634</v>
      </c>
      <c r="J1060" s="276" t="s">
        <v>7590</v>
      </c>
      <c r="K1060" s="276" t="s">
        <v>10877</v>
      </c>
      <c r="L1060" s="385" t="s">
        <v>10878</v>
      </c>
      <c r="M1060" s="276"/>
    </row>
    <row r="1061" spans="1:13">
      <c r="A1061" s="277">
        <f>VLOOKUP(B1061, 'PubMed 10.7.21 Results'!B:B, 1, FALSE)</f>
        <v>31553360</v>
      </c>
      <c r="B1061" s="277">
        <v>31553360</v>
      </c>
      <c r="C1061" s="276" t="s">
        <v>13203</v>
      </c>
      <c r="D1061" s="276" t="s">
        <v>13204</v>
      </c>
      <c r="E1061" s="276" t="s">
        <v>13205</v>
      </c>
      <c r="F1061" s="276" t="s">
        <v>7824</v>
      </c>
      <c r="G1061" s="276" t="s">
        <v>13206</v>
      </c>
      <c r="H1061" s="277">
        <v>2019</v>
      </c>
      <c r="I1061" s="386">
        <v>43734</v>
      </c>
      <c r="J1061" s="276" t="s">
        <v>7825</v>
      </c>
      <c r="K1061" s="276"/>
      <c r="L1061" s="385" t="s">
        <v>13207</v>
      </c>
      <c r="M1061" s="276"/>
    </row>
    <row r="1062" spans="1:13">
      <c r="A1062" s="277">
        <f>VLOOKUP(B1062, 'PubMed 10.7.21 Results'!B:B, 1, FALSE)</f>
        <v>29293893</v>
      </c>
      <c r="B1062" s="277">
        <v>29293893</v>
      </c>
      <c r="C1062" s="276" t="s">
        <v>12558</v>
      </c>
      <c r="D1062" s="276" t="s">
        <v>12559</v>
      </c>
      <c r="E1062" s="276" t="s">
        <v>12560</v>
      </c>
      <c r="F1062" s="276" t="s">
        <v>7443</v>
      </c>
      <c r="G1062" s="276" t="s">
        <v>9152</v>
      </c>
      <c r="H1062" s="277">
        <v>2018</v>
      </c>
      <c r="I1062" s="386">
        <v>43103</v>
      </c>
      <c r="J1062" s="276" t="s">
        <v>7444</v>
      </c>
      <c r="K1062" s="276"/>
      <c r="L1062" s="385" t="s">
        <v>12561</v>
      </c>
      <c r="M1062" s="276"/>
    </row>
    <row r="1063" spans="1:13">
      <c r="A1063" s="277">
        <f>VLOOKUP(B1063, 'PubMed 10.7.21 Results'!B:B, 1, FALSE)</f>
        <v>28905498</v>
      </c>
      <c r="B1063" s="277">
        <v>28905498</v>
      </c>
      <c r="C1063" s="276" t="s">
        <v>12271</v>
      </c>
      <c r="D1063" s="276" t="s">
        <v>12272</v>
      </c>
      <c r="E1063" s="276" t="s">
        <v>12273</v>
      </c>
      <c r="F1063" s="276" t="s">
        <v>7695</v>
      </c>
      <c r="G1063" s="276" t="s">
        <v>12274</v>
      </c>
      <c r="H1063" s="277">
        <v>2017</v>
      </c>
      <c r="I1063" s="386">
        <v>42993</v>
      </c>
      <c r="J1063" s="276" t="s">
        <v>7696</v>
      </c>
      <c r="K1063" s="276"/>
      <c r="L1063" s="385" t="s">
        <v>12275</v>
      </c>
      <c r="M1063" s="276"/>
    </row>
    <row r="1064" spans="1:13">
      <c r="A1064" s="277">
        <f>VLOOKUP(B1064, 'PubMed 10.7.21 Results'!B:B, 1, FALSE)</f>
        <v>20441397</v>
      </c>
      <c r="B1064" s="277">
        <v>20441397</v>
      </c>
      <c r="C1064" s="276" t="s">
        <v>10015</v>
      </c>
      <c r="D1064" s="276" t="s">
        <v>10016</v>
      </c>
      <c r="E1064" s="276" t="s">
        <v>10017</v>
      </c>
      <c r="F1064" s="276" t="s">
        <v>7013</v>
      </c>
      <c r="G1064" s="276" t="s">
        <v>8762</v>
      </c>
      <c r="H1064" s="277">
        <v>2010</v>
      </c>
      <c r="I1064" s="386">
        <v>40304</v>
      </c>
      <c r="J1064" s="276"/>
      <c r="K1064" s="276"/>
      <c r="L1064" s="385" t="s">
        <v>10018</v>
      </c>
      <c r="M1064" s="276"/>
    </row>
    <row r="1065" spans="1:13">
      <c r="A1065" s="277">
        <f>VLOOKUP(B1065, 'PubMed 10.7.21 Results'!B:B, 1, FALSE)</f>
        <v>31752973</v>
      </c>
      <c r="B1065" s="277">
        <v>31752973</v>
      </c>
      <c r="C1065" s="276" t="s">
        <v>13273</v>
      </c>
      <c r="D1065" s="276" t="s">
        <v>13274</v>
      </c>
      <c r="E1065" s="276" t="s">
        <v>13275</v>
      </c>
      <c r="F1065" s="276" t="s">
        <v>8148</v>
      </c>
      <c r="G1065" s="276" t="s">
        <v>11166</v>
      </c>
      <c r="H1065" s="277">
        <v>2019</v>
      </c>
      <c r="I1065" s="386">
        <v>43792</v>
      </c>
      <c r="J1065" s="276" t="s">
        <v>8149</v>
      </c>
      <c r="K1065" s="276"/>
      <c r="L1065" s="385" t="s">
        <v>13276</v>
      </c>
      <c r="M1065" s="276"/>
    </row>
    <row r="1066" spans="1:13">
      <c r="A1066" s="277">
        <f>VLOOKUP(B1066, 'PubMed 10.7.21 Results'!B:B, 1, FALSE)</f>
        <v>20803300</v>
      </c>
      <c r="B1066" s="277">
        <v>20803300</v>
      </c>
      <c r="C1066" s="276" t="s">
        <v>10060</v>
      </c>
      <c r="D1066" s="276" t="s">
        <v>10061</v>
      </c>
      <c r="E1066" s="276" t="s">
        <v>10062</v>
      </c>
      <c r="F1066" s="276" t="s">
        <v>8080</v>
      </c>
      <c r="G1066" s="276" t="s">
        <v>10063</v>
      </c>
      <c r="H1066" s="277">
        <v>2010</v>
      </c>
      <c r="I1066" s="386">
        <v>40421</v>
      </c>
      <c r="J1066" s="276"/>
      <c r="K1066" s="276"/>
      <c r="L1066" s="385" t="s">
        <v>10064</v>
      </c>
      <c r="M1066" s="276"/>
    </row>
    <row r="1067" spans="1:13">
      <c r="A1067" s="277">
        <f>VLOOKUP(B1067, 'PubMed 10.7.21 Results'!B:B, 1, FALSE)</f>
        <v>31032524</v>
      </c>
      <c r="B1067" s="277">
        <v>31032524</v>
      </c>
      <c r="C1067" s="276" t="s">
        <v>18906</v>
      </c>
      <c r="D1067" s="276" t="s">
        <v>13214</v>
      </c>
      <c r="E1067" s="276" t="s">
        <v>13215</v>
      </c>
      <c r="F1067" s="276" t="s">
        <v>8132</v>
      </c>
      <c r="G1067" s="276" t="s">
        <v>13216</v>
      </c>
      <c r="H1067" s="277">
        <v>2019</v>
      </c>
      <c r="I1067" s="386">
        <v>43585</v>
      </c>
      <c r="J1067" s="276"/>
      <c r="K1067" s="276"/>
      <c r="L1067" s="385" t="s">
        <v>13217</v>
      </c>
      <c r="M1067" s="276"/>
    </row>
    <row r="1068" spans="1:13">
      <c r="A1068" s="277">
        <f>VLOOKUP(B1068, 'PubMed 10.7.21 Results'!B:B, 1, FALSE)</f>
        <v>17919763</v>
      </c>
      <c r="B1068" s="277">
        <v>17919763</v>
      </c>
      <c r="C1068" s="276" t="s">
        <v>9508</v>
      </c>
      <c r="D1068" s="276" t="s">
        <v>9509</v>
      </c>
      <c r="E1068" s="276" t="s">
        <v>9510</v>
      </c>
      <c r="F1068" s="276" t="s">
        <v>7166</v>
      </c>
      <c r="G1068" s="276" t="s">
        <v>9511</v>
      </c>
      <c r="H1068" s="277">
        <v>2008</v>
      </c>
      <c r="I1068" s="386">
        <v>39364</v>
      </c>
      <c r="J1068" s="276"/>
      <c r="K1068" s="276"/>
      <c r="L1068" s="385" t="s">
        <v>9512</v>
      </c>
      <c r="M1068" s="276"/>
    </row>
    <row r="1069" spans="1:13">
      <c r="A1069" s="277">
        <f>VLOOKUP(B1069, 'PubMed 10.7.21 Results'!B:B, 1, FALSE)</f>
        <v>19636030</v>
      </c>
      <c r="B1069" s="277">
        <v>19636030</v>
      </c>
      <c r="C1069" s="276" t="s">
        <v>9814</v>
      </c>
      <c r="D1069" s="276" t="s">
        <v>9815</v>
      </c>
      <c r="E1069" s="276" t="s">
        <v>9816</v>
      </c>
      <c r="F1069" s="276" t="s">
        <v>6558</v>
      </c>
      <c r="G1069" s="276" t="s">
        <v>8767</v>
      </c>
      <c r="H1069" s="277">
        <v>2009</v>
      </c>
      <c r="I1069" s="386">
        <v>40023</v>
      </c>
      <c r="J1069" s="276"/>
      <c r="K1069" s="276"/>
      <c r="L1069" s="385" t="s">
        <v>9817</v>
      </c>
      <c r="M1069" s="276"/>
    </row>
    <row r="1070" spans="1:13">
      <c r="A1070" s="277">
        <f>VLOOKUP(B1070, 'PubMed 10.7.21 Results'!B:B, 1, FALSE)</f>
        <v>30852528</v>
      </c>
      <c r="B1070" s="277">
        <v>30852528</v>
      </c>
      <c r="C1070" s="276" t="s">
        <v>12978</v>
      </c>
      <c r="D1070" s="276" t="s">
        <v>12979</v>
      </c>
      <c r="E1070" s="276" t="s">
        <v>12980</v>
      </c>
      <c r="F1070" s="276" t="s">
        <v>6814</v>
      </c>
      <c r="G1070" s="276" t="s">
        <v>11650</v>
      </c>
      <c r="H1070" s="277">
        <v>2019</v>
      </c>
      <c r="I1070" s="386">
        <v>43535</v>
      </c>
      <c r="J1070" s="276" t="s">
        <v>6815</v>
      </c>
      <c r="K1070" s="276"/>
      <c r="L1070" s="385" t="s">
        <v>12981</v>
      </c>
      <c r="M1070" s="276"/>
    </row>
    <row r="1071" spans="1:13">
      <c r="A1071" s="277">
        <f>VLOOKUP(B1071, 'PubMed 10.7.21 Results'!B:B, 1, FALSE)</f>
        <v>22504775</v>
      </c>
      <c r="B1071" s="277">
        <v>22504775</v>
      </c>
      <c r="C1071" s="276" t="s">
        <v>10442</v>
      </c>
      <c r="D1071" s="276" t="s">
        <v>10443</v>
      </c>
      <c r="E1071" s="276" t="s">
        <v>10444</v>
      </c>
      <c r="F1071" s="276" t="s">
        <v>6457</v>
      </c>
      <c r="G1071" s="276" t="s">
        <v>8824</v>
      </c>
      <c r="H1071" s="277">
        <v>2012</v>
      </c>
      <c r="I1071" s="386">
        <v>41016</v>
      </c>
      <c r="J1071" s="276"/>
      <c r="K1071" s="276"/>
      <c r="L1071" s="385" t="s">
        <v>10445</v>
      </c>
      <c r="M1071" s="276"/>
    </row>
    <row r="1072" spans="1:13">
      <c r="A1072" s="277">
        <f>VLOOKUP(B1072, 'PubMed 10.7.21 Results'!B:B, 1, FALSE)</f>
        <v>21296403</v>
      </c>
      <c r="B1072" s="277">
        <v>21296403</v>
      </c>
      <c r="C1072" s="276" t="s">
        <v>10159</v>
      </c>
      <c r="D1072" s="276" t="s">
        <v>10160</v>
      </c>
      <c r="E1072" s="276" t="s">
        <v>10161</v>
      </c>
      <c r="F1072" s="276" t="s">
        <v>7510</v>
      </c>
      <c r="G1072" s="276" t="s">
        <v>9420</v>
      </c>
      <c r="H1072" s="277">
        <v>2011</v>
      </c>
      <c r="I1072" s="386">
        <v>40582</v>
      </c>
      <c r="J1072" s="276"/>
      <c r="K1072" s="276"/>
      <c r="L1072" s="385" t="s">
        <v>10162</v>
      </c>
      <c r="M1072" s="276"/>
    </row>
    <row r="1073" spans="1:13">
      <c r="A1073" s="277">
        <f>VLOOKUP(B1073, 'PubMed 10.7.21 Results'!B:B, 1, FALSE)</f>
        <v>24612209</v>
      </c>
      <c r="B1073" s="277">
        <v>24612209</v>
      </c>
      <c r="C1073" s="276" t="s">
        <v>10987</v>
      </c>
      <c r="D1073" s="276" t="s">
        <v>10988</v>
      </c>
      <c r="E1073" s="276" t="s">
        <v>10989</v>
      </c>
      <c r="F1073" s="276" t="s">
        <v>7873</v>
      </c>
      <c r="G1073" s="276" t="s">
        <v>10990</v>
      </c>
      <c r="H1073" s="277">
        <v>2014</v>
      </c>
      <c r="I1073" s="386">
        <v>41710</v>
      </c>
      <c r="J1073" s="276"/>
      <c r="K1073" s="276"/>
      <c r="L1073" s="385" t="s">
        <v>10991</v>
      </c>
      <c r="M1073" s="276"/>
    </row>
    <row r="1074" spans="1:13">
      <c r="A1074" s="277">
        <f>VLOOKUP(B1074, 'PubMed 10.7.21 Results'!B:B, 1, FALSE)</f>
        <v>29528861</v>
      </c>
      <c r="B1074" s="277">
        <v>29528861</v>
      </c>
      <c r="C1074" s="276" t="s">
        <v>12521</v>
      </c>
      <c r="D1074" s="276" t="s">
        <v>12522</v>
      </c>
      <c r="E1074" s="276" t="s">
        <v>12523</v>
      </c>
      <c r="F1074" s="276" t="s">
        <v>7207</v>
      </c>
      <c r="G1074" s="276" t="s">
        <v>12524</v>
      </c>
      <c r="H1074" s="277">
        <v>2018</v>
      </c>
      <c r="I1074" s="386">
        <v>43172</v>
      </c>
      <c r="J1074" s="276"/>
      <c r="K1074" s="276"/>
      <c r="L1074" s="385" t="s">
        <v>12525</v>
      </c>
      <c r="M1074" s="276"/>
    </row>
    <row r="1075" spans="1:13">
      <c r="A1075" s="277">
        <f>VLOOKUP(B1075, 'PubMed 10.7.21 Results'!B:B, 1, FALSE)</f>
        <v>18580803</v>
      </c>
      <c r="B1075" s="277">
        <v>18580803</v>
      </c>
      <c r="C1075" s="276" t="s">
        <v>9582</v>
      </c>
      <c r="D1075" s="276" t="s">
        <v>9583</v>
      </c>
      <c r="E1075" s="276" t="s">
        <v>9584</v>
      </c>
      <c r="F1075" s="276" t="s">
        <v>7646</v>
      </c>
      <c r="G1075" s="276" t="s">
        <v>9585</v>
      </c>
      <c r="H1075" s="277">
        <v>2008</v>
      </c>
      <c r="I1075" s="386">
        <v>39626</v>
      </c>
      <c r="J1075" s="276"/>
      <c r="K1075" s="276"/>
      <c r="L1075" s="385" t="s">
        <v>9586</v>
      </c>
      <c r="M1075" s="276"/>
    </row>
    <row r="1076" spans="1:13">
      <c r="A1076" s="277">
        <f>VLOOKUP(B1076, 'PubMed 10.7.21 Results'!B:B, 1, FALSE)</f>
        <v>21562405</v>
      </c>
      <c r="B1076" s="277">
        <v>21562405</v>
      </c>
      <c r="C1076" s="276" t="s">
        <v>10332</v>
      </c>
      <c r="D1076" s="276" t="s">
        <v>10333</v>
      </c>
      <c r="E1076" s="276" t="s">
        <v>10334</v>
      </c>
      <c r="F1076" s="276" t="s">
        <v>8014</v>
      </c>
      <c r="G1076" s="276" t="s">
        <v>10335</v>
      </c>
      <c r="H1076" s="277">
        <v>2011</v>
      </c>
      <c r="I1076" s="386">
        <v>40676</v>
      </c>
      <c r="J1076" s="276"/>
      <c r="K1076" s="276"/>
      <c r="L1076" s="385" t="s">
        <v>10336</v>
      </c>
      <c r="M1076" s="276"/>
    </row>
    <row r="1077" spans="1:13">
      <c r="A1077" s="277">
        <f>VLOOKUP(B1077, 'PubMed 10.7.21 Results'!B:B, 1, FALSE)</f>
        <v>25066627</v>
      </c>
      <c r="B1077" s="277">
        <v>25066627</v>
      </c>
      <c r="C1077" s="276" t="s">
        <v>11103</v>
      </c>
      <c r="D1077" s="276" t="s">
        <v>11104</v>
      </c>
      <c r="E1077" s="276" t="s">
        <v>11105</v>
      </c>
      <c r="F1077" s="276" t="s">
        <v>7870</v>
      </c>
      <c r="G1077" s="276" t="s">
        <v>8857</v>
      </c>
      <c r="H1077" s="277">
        <v>2014</v>
      </c>
      <c r="I1077" s="386">
        <v>41849</v>
      </c>
      <c r="J1077" s="276"/>
      <c r="K1077" s="276"/>
      <c r="L1077" s="385" t="s">
        <v>11106</v>
      </c>
      <c r="M1077" s="276"/>
    </row>
    <row r="1078" spans="1:13">
      <c r="A1078" s="277">
        <f>VLOOKUP(B1078, 'PubMed 10.7.21 Results'!B:B, 1, FALSE)</f>
        <v>17300401</v>
      </c>
      <c r="B1078" s="277">
        <v>17300401</v>
      </c>
      <c r="C1078" s="276" t="s">
        <v>9410</v>
      </c>
      <c r="D1078" s="276" t="s">
        <v>9411</v>
      </c>
      <c r="E1078" s="276" t="s">
        <v>9412</v>
      </c>
      <c r="F1078" s="276" t="s">
        <v>7354</v>
      </c>
      <c r="G1078" s="276" t="s">
        <v>9227</v>
      </c>
      <c r="H1078" s="277">
        <v>2007</v>
      </c>
      <c r="I1078" s="386">
        <v>39129</v>
      </c>
      <c r="J1078" s="276"/>
      <c r="K1078" s="276"/>
      <c r="L1078" s="385" t="s">
        <v>9413</v>
      </c>
      <c r="M1078" s="276"/>
    </row>
    <row r="1079" spans="1:13">
      <c r="A1079" s="277">
        <f>VLOOKUP(B1079, 'PubMed 10.7.21 Results'!B:B, 1, FALSE)</f>
        <v>29860473</v>
      </c>
      <c r="B1079" s="277">
        <v>29860473</v>
      </c>
      <c r="C1079" s="276" t="s">
        <v>12649</v>
      </c>
      <c r="D1079" s="276" t="s">
        <v>12650</v>
      </c>
      <c r="E1079" s="276" t="s">
        <v>12651</v>
      </c>
      <c r="F1079" s="276" t="s">
        <v>6906</v>
      </c>
      <c r="G1079" s="276" t="s">
        <v>8787</v>
      </c>
      <c r="H1079" s="277">
        <v>2018</v>
      </c>
      <c r="I1079" s="386">
        <v>43255</v>
      </c>
      <c r="J1079" s="276"/>
      <c r="K1079" s="276"/>
      <c r="L1079" s="385" t="s">
        <v>12652</v>
      </c>
      <c r="M1079" s="276"/>
    </row>
    <row r="1080" spans="1:13">
      <c r="A1080" s="277">
        <f>VLOOKUP(B1080, 'PubMed 10.7.21 Results'!B:B, 1, FALSE)</f>
        <v>31786491</v>
      </c>
      <c r="B1080" s="277">
        <v>31786491</v>
      </c>
      <c r="C1080" s="276" t="s">
        <v>13337</v>
      </c>
      <c r="D1080" s="276" t="s">
        <v>13338</v>
      </c>
      <c r="E1080" s="276" t="s">
        <v>13339</v>
      </c>
      <c r="F1080" s="276" t="s">
        <v>7304</v>
      </c>
      <c r="G1080" s="276" t="s">
        <v>13340</v>
      </c>
      <c r="H1080" s="277">
        <v>2020</v>
      </c>
      <c r="I1080" s="386">
        <v>43801</v>
      </c>
      <c r="J1080" s="276"/>
      <c r="K1080" s="276"/>
      <c r="L1080" s="385" t="s">
        <v>13341</v>
      </c>
      <c r="M1080" s="276"/>
    </row>
    <row r="1081" spans="1:13">
      <c r="A1081" s="277">
        <f>VLOOKUP(B1081, 'PubMed 10.7.21 Results'!B:B, 1, FALSE)</f>
        <v>10097242</v>
      </c>
      <c r="B1081" s="277">
        <v>10097242</v>
      </c>
      <c r="C1081" s="276" t="s">
        <v>8662</v>
      </c>
      <c r="D1081" s="276" t="s">
        <v>8663</v>
      </c>
      <c r="E1081" s="276" t="s">
        <v>8664</v>
      </c>
      <c r="F1081" s="276" t="s">
        <v>7841</v>
      </c>
      <c r="G1081" s="276" t="s">
        <v>8665</v>
      </c>
      <c r="H1081" s="277">
        <v>1999</v>
      </c>
      <c r="I1081" s="386">
        <v>36250</v>
      </c>
      <c r="J1081" s="276"/>
      <c r="K1081" s="276"/>
      <c r="L1081" s="385" t="s">
        <v>8666</v>
      </c>
      <c r="M1081" s="276"/>
    </row>
    <row r="1082" spans="1:13">
      <c r="A1082" s="277">
        <f>VLOOKUP(B1082, 'PubMed 10.7.21 Results'!B:B, 1, FALSE)</f>
        <v>23074431</v>
      </c>
      <c r="B1082" s="277">
        <v>23074431</v>
      </c>
      <c r="C1082" s="276" t="s">
        <v>10387</v>
      </c>
      <c r="D1082" s="276" t="s">
        <v>10388</v>
      </c>
      <c r="E1082" s="276" t="s">
        <v>10389</v>
      </c>
      <c r="F1082" s="276" t="s">
        <v>7773</v>
      </c>
      <c r="G1082" s="276" t="s">
        <v>9690</v>
      </c>
      <c r="H1082" s="277">
        <v>2012</v>
      </c>
      <c r="I1082" s="386">
        <v>41200</v>
      </c>
      <c r="J1082" s="276" t="s">
        <v>7774</v>
      </c>
      <c r="K1082" s="276"/>
      <c r="L1082" s="276"/>
      <c r="M1082" s="276"/>
    </row>
    <row r="1083" spans="1:13">
      <c r="A1083" s="277">
        <f>VLOOKUP(B1083, 'PubMed 10.7.21 Results'!B:B, 1, FALSE)</f>
        <v>19124346</v>
      </c>
      <c r="B1083" s="277">
        <v>19124346</v>
      </c>
      <c r="C1083" s="276" t="s">
        <v>9485</v>
      </c>
      <c r="D1083" s="276" t="s">
        <v>9486</v>
      </c>
      <c r="E1083" s="276" t="s">
        <v>9487</v>
      </c>
      <c r="F1083" s="276" t="s">
        <v>6631</v>
      </c>
      <c r="G1083" s="276" t="s">
        <v>9488</v>
      </c>
      <c r="H1083" s="277">
        <v>2007</v>
      </c>
      <c r="I1083" s="386">
        <v>39820</v>
      </c>
      <c r="J1083" s="276"/>
      <c r="K1083" s="276"/>
      <c r="L1083" s="385" t="s">
        <v>9489</v>
      </c>
      <c r="M1083" s="276"/>
    </row>
    <row r="1084" spans="1:13">
      <c r="A1084" s="277">
        <f>VLOOKUP(B1084, 'PubMed 10.7.21 Results'!B:B, 1, FALSE)</f>
        <v>25619164</v>
      </c>
      <c r="B1084" s="277">
        <v>25619164</v>
      </c>
      <c r="C1084" s="276" t="s">
        <v>11375</v>
      </c>
      <c r="D1084" s="276" t="s">
        <v>11376</v>
      </c>
      <c r="E1084" s="276" t="s">
        <v>11377</v>
      </c>
      <c r="F1084" s="276" t="s">
        <v>6605</v>
      </c>
      <c r="G1084" s="276" t="s">
        <v>11378</v>
      </c>
      <c r="H1084" s="277">
        <v>2015</v>
      </c>
      <c r="I1084" s="386">
        <v>42031</v>
      </c>
      <c r="J1084" s="276" t="s">
        <v>6606</v>
      </c>
      <c r="K1084" s="276"/>
      <c r="L1084" s="385" t="s">
        <v>11379</v>
      </c>
      <c r="M1084" s="276"/>
    </row>
    <row r="1085" spans="1:13">
      <c r="A1085" s="277">
        <f>VLOOKUP(B1085, 'PubMed 10.7.21 Results'!B:B, 1, FALSE)</f>
        <v>24953293</v>
      </c>
      <c r="B1085" s="277">
        <v>24953293</v>
      </c>
      <c r="C1085" s="276" t="s">
        <v>11045</v>
      </c>
      <c r="D1085" s="276" t="s">
        <v>11046</v>
      </c>
      <c r="E1085" s="276" t="s">
        <v>11047</v>
      </c>
      <c r="F1085" s="276" t="s">
        <v>7542</v>
      </c>
      <c r="G1085" s="276" t="s">
        <v>8895</v>
      </c>
      <c r="H1085" s="277">
        <v>2014</v>
      </c>
      <c r="I1085" s="386">
        <v>41814</v>
      </c>
      <c r="J1085" s="276"/>
      <c r="K1085" s="276"/>
      <c r="L1085" s="385" t="s">
        <v>11048</v>
      </c>
      <c r="M1085" s="276"/>
    </row>
    <row r="1086" spans="1:13">
      <c r="A1086" s="277">
        <f>VLOOKUP(B1086, 'PubMed 10.7.21 Results'!B:B, 1, FALSE)</f>
        <v>30690866</v>
      </c>
      <c r="B1086" s="277">
        <v>30690866</v>
      </c>
      <c r="C1086" s="276" t="s">
        <v>12956</v>
      </c>
      <c r="D1086" s="276" t="s">
        <v>12957</v>
      </c>
      <c r="E1086" s="276" t="s">
        <v>12958</v>
      </c>
      <c r="F1086" s="276" t="s">
        <v>7602</v>
      </c>
      <c r="G1086" s="276" t="s">
        <v>9019</v>
      </c>
      <c r="H1086" s="277">
        <v>2019</v>
      </c>
      <c r="I1086" s="386">
        <v>43494</v>
      </c>
      <c r="J1086" s="276" t="s">
        <v>7603</v>
      </c>
      <c r="K1086" s="276" t="s">
        <v>12959</v>
      </c>
      <c r="L1086" s="385" t="s">
        <v>12960</v>
      </c>
      <c r="M1086" s="276"/>
    </row>
    <row r="1087" spans="1:13">
      <c r="A1087" s="277">
        <f>VLOOKUP(B1087, 'PubMed 10.7.21 Results'!B:B, 1, FALSE)</f>
        <v>31539538</v>
      </c>
      <c r="B1087" s="277">
        <v>31539538</v>
      </c>
      <c r="C1087" s="276" t="s">
        <v>13400</v>
      </c>
      <c r="D1087" s="276" t="s">
        <v>13401</v>
      </c>
      <c r="E1087" s="276" t="s">
        <v>13402</v>
      </c>
      <c r="F1087" s="276" t="s">
        <v>8145</v>
      </c>
      <c r="G1087" s="276" t="s">
        <v>8597</v>
      </c>
      <c r="H1087" s="277">
        <v>2020</v>
      </c>
      <c r="I1087" s="386">
        <v>43729</v>
      </c>
      <c r="J1087" s="276" t="s">
        <v>8146</v>
      </c>
      <c r="K1087" s="276"/>
      <c r="L1087" s="385" t="s">
        <v>13403</v>
      </c>
      <c r="M1087" s="276"/>
    </row>
    <row r="1088" spans="1:13">
      <c r="A1088" s="277">
        <f>VLOOKUP(B1088, 'PubMed 10.7.21 Results'!B:B, 1, FALSE)</f>
        <v>31835962</v>
      </c>
      <c r="B1088" s="277">
        <v>31835962</v>
      </c>
      <c r="C1088" s="276" t="s">
        <v>12862</v>
      </c>
      <c r="D1088" s="276" t="s">
        <v>12863</v>
      </c>
      <c r="E1088" s="276" t="s">
        <v>12864</v>
      </c>
      <c r="F1088" s="276" t="s">
        <v>8126</v>
      </c>
      <c r="G1088" s="276" t="s">
        <v>12865</v>
      </c>
      <c r="H1088" s="277">
        <v>2019</v>
      </c>
      <c r="I1088" s="386">
        <v>43814</v>
      </c>
      <c r="J1088" s="276" t="s">
        <v>8127</v>
      </c>
      <c r="K1088" s="276"/>
      <c r="L1088" s="385" t="s">
        <v>12866</v>
      </c>
      <c r="M1088" s="276"/>
    </row>
    <row r="1089" spans="1:13">
      <c r="A1089" s="277">
        <f>VLOOKUP(B1089, 'PubMed 10.7.21 Results'!B:B, 1, FALSE)</f>
        <v>25168927</v>
      </c>
      <c r="B1089" s="277">
        <v>25168927</v>
      </c>
      <c r="C1089" s="276" t="s">
        <v>11111</v>
      </c>
      <c r="D1089" s="276" t="s">
        <v>11112</v>
      </c>
      <c r="E1089" s="276" t="s">
        <v>11113</v>
      </c>
      <c r="F1089" s="276" t="s">
        <v>7762</v>
      </c>
      <c r="G1089" s="276" t="s">
        <v>10766</v>
      </c>
      <c r="H1089" s="277">
        <v>2014</v>
      </c>
      <c r="I1089" s="386">
        <v>41881</v>
      </c>
      <c r="J1089" s="276" t="s">
        <v>7763</v>
      </c>
      <c r="K1089" s="276"/>
      <c r="L1089" s="385" t="s">
        <v>11114</v>
      </c>
      <c r="M1089" s="276"/>
    </row>
    <row r="1090" spans="1:13">
      <c r="A1090" s="277">
        <f>VLOOKUP(B1090, 'PubMed 10.7.21 Results'!B:B, 1, FALSE)</f>
        <v>18479659</v>
      </c>
      <c r="B1090" s="277">
        <v>18479659</v>
      </c>
      <c r="C1090" s="276" t="s">
        <v>9557</v>
      </c>
      <c r="D1090" s="276" t="s">
        <v>9558</v>
      </c>
      <c r="E1090" s="276" t="s">
        <v>9559</v>
      </c>
      <c r="F1090" s="276" t="s">
        <v>6717</v>
      </c>
      <c r="G1090" s="276" t="s">
        <v>9560</v>
      </c>
      <c r="H1090" s="277">
        <v>2008</v>
      </c>
      <c r="I1090" s="386">
        <v>39584</v>
      </c>
      <c r="J1090" s="276"/>
      <c r="K1090" s="276"/>
      <c r="L1090" s="385" t="s">
        <v>9561</v>
      </c>
      <c r="M1090" s="276"/>
    </row>
    <row r="1091" spans="1:13">
      <c r="A1091" s="277">
        <f>VLOOKUP(B1091, 'PubMed 10.7.21 Results'!B:B, 1, FALSE)</f>
        <v>23374268</v>
      </c>
      <c r="B1091" s="277">
        <v>23374268</v>
      </c>
      <c r="C1091" s="276" t="s">
        <v>10674</v>
      </c>
      <c r="D1091" s="276" t="s">
        <v>10675</v>
      </c>
      <c r="E1091" s="276" t="s">
        <v>10676</v>
      </c>
      <c r="F1091" s="276" t="s">
        <v>7098</v>
      </c>
      <c r="G1091" s="276" t="s">
        <v>9004</v>
      </c>
      <c r="H1091" s="277">
        <v>2013</v>
      </c>
      <c r="I1091" s="386">
        <v>41310</v>
      </c>
      <c r="J1091" s="276"/>
      <c r="K1091" s="276"/>
      <c r="L1091" s="385" t="s">
        <v>10677</v>
      </c>
      <c r="M1091" s="276"/>
    </row>
    <row r="1092" spans="1:13">
      <c r="A1092" s="277">
        <f>VLOOKUP(B1092, 'PubMed 10.7.21 Results'!B:B, 1, FALSE)</f>
        <v>19638966</v>
      </c>
      <c r="B1092" s="277">
        <v>19638966</v>
      </c>
      <c r="C1092" s="276" t="s">
        <v>9886</v>
      </c>
      <c r="D1092" s="276" t="s">
        <v>9887</v>
      </c>
      <c r="E1092" s="276" t="s">
        <v>9888</v>
      </c>
      <c r="F1092" s="276" t="s">
        <v>7435</v>
      </c>
      <c r="G1092" s="276" t="s">
        <v>9292</v>
      </c>
      <c r="H1092" s="277">
        <v>2009</v>
      </c>
      <c r="I1092" s="386">
        <v>40024</v>
      </c>
      <c r="J1092" s="276"/>
      <c r="K1092" s="276"/>
      <c r="L1092" s="385" t="s">
        <v>9889</v>
      </c>
      <c r="M1092" s="276"/>
    </row>
    <row r="1093" spans="1:13">
      <c r="A1093" s="277">
        <f>VLOOKUP(B1093, 'PubMed 10.7.21 Results'!B:B, 1, FALSE)</f>
        <v>19404150</v>
      </c>
      <c r="B1093" s="277">
        <v>19404150</v>
      </c>
      <c r="C1093" s="276" t="s">
        <v>9760</v>
      </c>
      <c r="D1093" s="276" t="s">
        <v>9761</v>
      </c>
      <c r="E1093" s="276" t="s">
        <v>9762</v>
      </c>
      <c r="F1093" s="276" t="s">
        <v>7938</v>
      </c>
      <c r="G1093" s="276" t="s">
        <v>9585</v>
      </c>
      <c r="H1093" s="277">
        <v>2009</v>
      </c>
      <c r="I1093" s="386">
        <v>39934</v>
      </c>
      <c r="J1093" s="276"/>
      <c r="K1093" s="276"/>
      <c r="L1093" s="385" t="s">
        <v>9763</v>
      </c>
      <c r="M1093" s="276"/>
    </row>
    <row r="1094" spans="1:13">
      <c r="A1094" s="277">
        <f>VLOOKUP(B1094, 'PubMed 10.7.21 Results'!B:B, 1, FALSE)</f>
        <v>28715157</v>
      </c>
      <c r="B1094" s="277">
        <v>28715157</v>
      </c>
      <c r="C1094" s="276" t="s">
        <v>12189</v>
      </c>
      <c r="D1094" s="276" t="s">
        <v>12190</v>
      </c>
      <c r="E1094" s="276" t="s">
        <v>12191</v>
      </c>
      <c r="F1094" s="276" t="s">
        <v>6454</v>
      </c>
      <c r="G1094" s="276" t="s">
        <v>12192</v>
      </c>
      <c r="H1094" s="277">
        <v>2017</v>
      </c>
      <c r="I1094" s="386">
        <v>42934</v>
      </c>
      <c r="J1094" s="276" t="s">
        <v>6455</v>
      </c>
      <c r="K1094" s="276"/>
      <c r="L1094" s="385" t="s">
        <v>12193</v>
      </c>
      <c r="M1094" s="276"/>
    </row>
    <row r="1095" spans="1:13">
      <c r="A1095" s="277">
        <f>VLOOKUP(B1095, 'PubMed 10.7.21 Results'!B:B, 1, FALSE)</f>
        <v>32758889</v>
      </c>
      <c r="B1095" s="277">
        <v>32758889</v>
      </c>
      <c r="C1095" s="276" t="s">
        <v>13804</v>
      </c>
      <c r="D1095" s="276" t="s">
        <v>13805</v>
      </c>
      <c r="E1095" s="276" t="s">
        <v>13806</v>
      </c>
      <c r="F1095" s="276" t="s">
        <v>7750</v>
      </c>
      <c r="G1095" s="276" t="s">
        <v>13807</v>
      </c>
      <c r="H1095" s="277">
        <v>2020</v>
      </c>
      <c r="I1095" s="386">
        <v>44051</v>
      </c>
      <c r="J1095" s="276" t="s">
        <v>7751</v>
      </c>
      <c r="K1095" s="276"/>
      <c r="L1095" s="385" t="s">
        <v>13808</v>
      </c>
      <c r="M1095" s="276"/>
    </row>
    <row r="1096" spans="1:13">
      <c r="A1096" s="277">
        <f>VLOOKUP(B1096, 'PubMed 10.7.21 Results'!B:B, 1, FALSE)</f>
        <v>30579443</v>
      </c>
      <c r="B1096" s="277">
        <v>30579443</v>
      </c>
      <c r="C1096" s="276" t="s">
        <v>12848</v>
      </c>
      <c r="D1096" s="276" t="s">
        <v>12849</v>
      </c>
      <c r="E1096" s="276" t="s">
        <v>12850</v>
      </c>
      <c r="F1096" s="276" t="s">
        <v>6739</v>
      </c>
      <c r="G1096" s="276" t="s">
        <v>10511</v>
      </c>
      <c r="H1096" s="277">
        <v>2019</v>
      </c>
      <c r="I1096" s="386">
        <v>43458</v>
      </c>
      <c r="J1096" s="276"/>
      <c r="K1096" s="276"/>
      <c r="L1096" s="385" t="s">
        <v>12851</v>
      </c>
      <c r="M1096" s="276"/>
    </row>
    <row r="1097" spans="1:13">
      <c r="A1097" s="277">
        <f>VLOOKUP(B1097, 'PubMed 10.7.21 Results'!B:B, 1, FALSE)</f>
        <v>33172504</v>
      </c>
      <c r="B1097" s="277">
        <v>33172504</v>
      </c>
      <c r="C1097" s="276" t="s">
        <v>13844</v>
      </c>
      <c r="D1097" s="276" t="s">
        <v>13845</v>
      </c>
      <c r="E1097" s="276" t="s">
        <v>13846</v>
      </c>
      <c r="F1097" s="276" t="s">
        <v>6568</v>
      </c>
      <c r="G1097" s="276" t="s">
        <v>11166</v>
      </c>
      <c r="H1097" s="277">
        <v>2020</v>
      </c>
      <c r="I1097" s="386">
        <v>44146</v>
      </c>
      <c r="J1097" s="276" t="s">
        <v>6569</v>
      </c>
      <c r="K1097" s="276"/>
      <c r="L1097" s="385" t="s">
        <v>13847</v>
      </c>
      <c r="M1097" s="276"/>
    </row>
    <row r="1098" spans="1:13">
      <c r="A1098" s="277">
        <f>VLOOKUP(B1098, 'PubMed 10.7.21 Results'!B:B, 1, FALSE)</f>
        <v>21306238</v>
      </c>
      <c r="B1098" s="277">
        <v>21306238</v>
      </c>
      <c r="C1098" s="276" t="s">
        <v>10150</v>
      </c>
      <c r="D1098" s="276" t="s">
        <v>10151</v>
      </c>
      <c r="E1098" s="276" t="s">
        <v>10152</v>
      </c>
      <c r="F1098" s="276" t="s">
        <v>8101</v>
      </c>
      <c r="G1098" s="276" t="s">
        <v>8514</v>
      </c>
      <c r="H1098" s="277">
        <v>2011</v>
      </c>
      <c r="I1098" s="386">
        <v>40585</v>
      </c>
      <c r="J1098" s="276" t="s">
        <v>8102</v>
      </c>
      <c r="K1098" s="276" t="s">
        <v>10153</v>
      </c>
      <c r="L1098" s="385" t="s">
        <v>10154</v>
      </c>
      <c r="M1098" s="276"/>
    </row>
    <row r="1099" spans="1:13">
      <c r="A1099" s="277">
        <f>VLOOKUP(B1099, 'PubMed 10.7.21 Results'!B:B, 1, FALSE)</f>
        <v>32791733</v>
      </c>
      <c r="B1099" s="277">
        <v>32791733</v>
      </c>
      <c r="C1099" s="276" t="s">
        <v>13671</v>
      </c>
      <c r="D1099" s="276" t="s">
        <v>13672</v>
      </c>
      <c r="E1099" s="276" t="s">
        <v>13673</v>
      </c>
      <c r="F1099" s="276" t="s">
        <v>6772</v>
      </c>
      <c r="G1099" s="276" t="s">
        <v>11908</v>
      </c>
      <c r="H1099" s="277">
        <v>2020</v>
      </c>
      <c r="I1099" s="386">
        <v>44058</v>
      </c>
      <c r="J1099" s="276" t="s">
        <v>6773</v>
      </c>
      <c r="K1099" s="276"/>
      <c r="L1099" s="385" t="s">
        <v>13674</v>
      </c>
      <c r="M1099" s="276"/>
    </row>
    <row r="1100" spans="1:13">
      <c r="A1100" s="277">
        <f>VLOOKUP(B1100, 'PubMed 10.7.21 Results'!B:B, 1, FALSE)</f>
        <v>30168576</v>
      </c>
      <c r="B1100" s="277">
        <v>30168576</v>
      </c>
      <c r="C1100" s="276" t="s">
        <v>18907</v>
      </c>
      <c r="D1100" s="276" t="s">
        <v>12680</v>
      </c>
      <c r="E1100" s="276" t="s">
        <v>12681</v>
      </c>
      <c r="F1100" s="276" t="s">
        <v>8052</v>
      </c>
      <c r="G1100" s="276" t="s">
        <v>8857</v>
      </c>
      <c r="H1100" s="277">
        <v>2018</v>
      </c>
      <c r="I1100" s="386">
        <v>43344</v>
      </c>
      <c r="J1100" s="276" t="s">
        <v>8053</v>
      </c>
      <c r="K1100" s="276"/>
      <c r="L1100" s="385" t="s">
        <v>12682</v>
      </c>
      <c r="M1100" s="276"/>
    </row>
    <row r="1101" spans="1:13">
      <c r="A1101" s="277">
        <f>VLOOKUP(B1101, 'PubMed 10.7.21 Results'!B:B, 1, FALSE)</f>
        <v>12700452</v>
      </c>
      <c r="B1101" s="277">
        <v>12700452</v>
      </c>
      <c r="C1101" s="276" t="s">
        <v>8970</v>
      </c>
      <c r="D1101" s="276" t="s">
        <v>8971</v>
      </c>
      <c r="E1101" s="276" t="s">
        <v>8972</v>
      </c>
      <c r="F1101" s="276" t="s">
        <v>7604</v>
      </c>
      <c r="G1101" s="276" t="s">
        <v>8915</v>
      </c>
      <c r="H1101" s="277">
        <v>2003</v>
      </c>
      <c r="I1101" s="386">
        <v>37729</v>
      </c>
      <c r="J1101" s="276"/>
      <c r="K1101" s="276"/>
      <c r="L1101" s="385" t="s">
        <v>8973</v>
      </c>
      <c r="M1101" s="276"/>
    </row>
    <row r="1102" spans="1:13">
      <c r="A1102" s="277">
        <f>VLOOKUP(B1102, 'PubMed 10.7.21 Results'!B:B, 1, FALSE)</f>
        <v>28917657</v>
      </c>
      <c r="B1102" s="277">
        <v>28917657</v>
      </c>
      <c r="C1102" s="276" t="s">
        <v>12276</v>
      </c>
      <c r="D1102" s="276" t="s">
        <v>12277</v>
      </c>
      <c r="E1102" s="276" t="s">
        <v>12278</v>
      </c>
      <c r="F1102" s="276" t="s">
        <v>6848</v>
      </c>
      <c r="G1102" s="276" t="s">
        <v>11312</v>
      </c>
      <c r="H1102" s="277">
        <v>2017</v>
      </c>
      <c r="I1102" s="386">
        <v>42996</v>
      </c>
      <c r="J1102" s="276"/>
      <c r="K1102" s="276"/>
      <c r="L1102" s="385" t="s">
        <v>12279</v>
      </c>
      <c r="M1102" s="276"/>
    </row>
    <row r="1103" spans="1:13">
      <c r="A1103" s="277">
        <f>VLOOKUP(B1103, 'PubMed 10.7.21 Results'!B:B, 1, FALSE)</f>
        <v>22658702</v>
      </c>
      <c r="B1103" s="277">
        <v>22658702</v>
      </c>
      <c r="C1103" s="276" t="s">
        <v>10513</v>
      </c>
      <c r="D1103" s="276" t="s">
        <v>10514</v>
      </c>
      <c r="E1103" s="276" t="s">
        <v>10515</v>
      </c>
      <c r="F1103" s="276" t="s">
        <v>7456</v>
      </c>
      <c r="G1103" s="276" t="s">
        <v>10516</v>
      </c>
      <c r="H1103" s="277">
        <v>2012</v>
      </c>
      <c r="I1103" s="386">
        <v>41065</v>
      </c>
      <c r="J1103" s="276"/>
      <c r="K1103" s="276"/>
      <c r="L1103" s="385" t="s">
        <v>10517</v>
      </c>
      <c r="M1103" s="276"/>
    </row>
    <row r="1104" spans="1:13">
      <c r="A1104" s="277">
        <f>VLOOKUP(B1104, 'PubMed 10.7.21 Results'!B:B, 1, FALSE)</f>
        <v>26580997</v>
      </c>
      <c r="B1104" s="277">
        <v>26580997</v>
      </c>
      <c r="C1104" s="276" t="s">
        <v>11537</v>
      </c>
      <c r="D1104" s="276" t="s">
        <v>11538</v>
      </c>
      <c r="E1104" s="276" t="s">
        <v>11539</v>
      </c>
      <c r="F1104" s="276" t="s">
        <v>358</v>
      </c>
      <c r="G1104" s="276" t="s">
        <v>8514</v>
      </c>
      <c r="H1104" s="277">
        <v>2015</v>
      </c>
      <c r="I1104" s="386">
        <v>42327</v>
      </c>
      <c r="J1104" s="276"/>
      <c r="K1104" s="276"/>
      <c r="L1104" s="385" t="s">
        <v>11540</v>
      </c>
      <c r="M1104" s="276"/>
    </row>
    <row r="1105" spans="1:13">
      <c r="A1105" s="277">
        <f>VLOOKUP(B1105, 'PubMed 10.7.21 Results'!B:B, 1, FALSE)</f>
        <v>17872493</v>
      </c>
      <c r="B1105" s="277">
        <v>17872493</v>
      </c>
      <c r="C1105" s="276" t="s">
        <v>9499</v>
      </c>
      <c r="D1105" s="276" t="s">
        <v>9500</v>
      </c>
      <c r="E1105" s="276" t="s">
        <v>9501</v>
      </c>
      <c r="F1105" s="276" t="s">
        <v>6866</v>
      </c>
      <c r="G1105" s="276" t="s">
        <v>8524</v>
      </c>
      <c r="H1105" s="277">
        <v>2007</v>
      </c>
      <c r="I1105" s="386">
        <v>39343</v>
      </c>
      <c r="J1105" s="276"/>
      <c r="K1105" s="276"/>
      <c r="L1105" s="385" t="s">
        <v>9502</v>
      </c>
      <c r="M1105" s="276"/>
    </row>
    <row r="1106" spans="1:13">
      <c r="A1106" s="277">
        <f>VLOOKUP(B1106, 'PubMed 10.7.21 Results'!B:B, 1, FALSE)</f>
        <v>31567928</v>
      </c>
      <c r="B1106" s="277">
        <v>31567928</v>
      </c>
      <c r="C1106" s="276" t="s">
        <v>13294</v>
      </c>
      <c r="D1106" s="276" t="s">
        <v>13295</v>
      </c>
      <c r="E1106" s="276" t="s">
        <v>13296</v>
      </c>
      <c r="F1106" s="276" t="s">
        <v>6716</v>
      </c>
      <c r="G1106" s="276" t="s">
        <v>9124</v>
      </c>
      <c r="H1106" s="277">
        <v>2019</v>
      </c>
      <c r="I1106" s="386">
        <v>43739</v>
      </c>
      <c r="J1106" s="276"/>
      <c r="K1106" s="276"/>
      <c r="L1106" s="385" t="s">
        <v>13297</v>
      </c>
      <c r="M1106" s="276"/>
    </row>
    <row r="1107" spans="1:13">
      <c r="A1107" s="277">
        <f>VLOOKUP(B1107, 'PubMed 10.7.21 Results'!B:B, 1, FALSE)</f>
        <v>18771056</v>
      </c>
      <c r="B1107" s="277">
        <v>18771056</v>
      </c>
      <c r="C1107" s="276" t="s">
        <v>9530</v>
      </c>
      <c r="D1107" s="276" t="s">
        <v>9531</v>
      </c>
      <c r="E1107" s="276" t="s">
        <v>9532</v>
      </c>
      <c r="F1107" s="276" t="s">
        <v>6976</v>
      </c>
      <c r="G1107" s="276" t="s">
        <v>9533</v>
      </c>
      <c r="H1107" s="277">
        <v>2008</v>
      </c>
      <c r="I1107" s="386">
        <v>39697</v>
      </c>
      <c r="J1107" s="276"/>
      <c r="K1107" s="276"/>
      <c r="L1107" s="276"/>
      <c r="M1107" s="276"/>
    </row>
    <row r="1108" spans="1:13">
      <c r="A1108" s="277">
        <f>VLOOKUP(B1108, 'PubMed 10.7.21 Results'!B:B, 1, FALSE)</f>
        <v>29656903</v>
      </c>
      <c r="B1108" s="277">
        <v>29656903</v>
      </c>
      <c r="C1108" s="276" t="s">
        <v>18908</v>
      </c>
      <c r="D1108" s="276" t="s">
        <v>12567</v>
      </c>
      <c r="E1108" s="276" t="s">
        <v>12568</v>
      </c>
      <c r="F1108" s="276" t="s">
        <v>6796</v>
      </c>
      <c r="G1108" s="276" t="s">
        <v>12569</v>
      </c>
      <c r="H1108" s="277">
        <v>2018</v>
      </c>
      <c r="I1108" s="386">
        <v>43207</v>
      </c>
      <c r="J1108" s="276" t="s">
        <v>6797</v>
      </c>
      <c r="K1108" s="276" t="s">
        <v>12570</v>
      </c>
      <c r="L1108" s="385" t="s">
        <v>12571</v>
      </c>
      <c r="M1108" s="276"/>
    </row>
    <row r="1109" spans="1:13">
      <c r="A1109" s="277">
        <f>VLOOKUP(B1109, 'PubMed 10.7.21 Results'!B:B, 1, FALSE)</f>
        <v>15055564</v>
      </c>
      <c r="B1109" s="277">
        <v>15055564</v>
      </c>
      <c r="C1109" s="276" t="s">
        <v>9042</v>
      </c>
      <c r="D1109" s="276" t="s">
        <v>9043</v>
      </c>
      <c r="E1109" s="276" t="s">
        <v>9044</v>
      </c>
      <c r="F1109" s="276" t="s">
        <v>6738</v>
      </c>
      <c r="G1109" s="276" t="s">
        <v>9045</v>
      </c>
      <c r="H1109" s="277">
        <v>2004</v>
      </c>
      <c r="I1109" s="386">
        <v>38079</v>
      </c>
      <c r="J1109" s="276"/>
      <c r="K1109" s="276"/>
      <c r="L1109" s="276"/>
      <c r="M1109" s="276"/>
    </row>
    <row r="1110" spans="1:13">
      <c r="A1110" s="277">
        <f>VLOOKUP(B1110, 'PubMed 10.7.21 Results'!B:B, 1, FALSE)</f>
        <v>28616094</v>
      </c>
      <c r="B1110" s="277">
        <v>28616094</v>
      </c>
      <c r="C1110" s="276" t="s">
        <v>12148</v>
      </c>
      <c r="D1110" s="276" t="s">
        <v>12149</v>
      </c>
      <c r="E1110" s="276" t="s">
        <v>12150</v>
      </c>
      <c r="F1110" s="276" t="s">
        <v>6517</v>
      </c>
      <c r="G1110" s="276" t="s">
        <v>12151</v>
      </c>
      <c r="H1110" s="277">
        <v>2017</v>
      </c>
      <c r="I1110" s="386">
        <v>42902</v>
      </c>
      <c r="J1110" s="276" t="s">
        <v>6518</v>
      </c>
      <c r="K1110" s="276"/>
      <c r="L1110" s="385" t="s">
        <v>12152</v>
      </c>
      <c r="M1110" s="276"/>
    </row>
    <row r="1111" spans="1:13">
      <c r="A1111" s="277">
        <f>VLOOKUP(B1111, 'PubMed 10.7.21 Results'!B:B, 1, FALSE)</f>
        <v>30425150</v>
      </c>
      <c r="B1111" s="277">
        <v>30425150</v>
      </c>
      <c r="C1111" s="276" t="s">
        <v>12784</v>
      </c>
      <c r="D1111" s="276" t="s">
        <v>12785</v>
      </c>
      <c r="E1111" s="276" t="s">
        <v>12786</v>
      </c>
      <c r="F1111" s="276" t="s">
        <v>7901</v>
      </c>
      <c r="G1111" s="276" t="s">
        <v>11057</v>
      </c>
      <c r="H1111" s="277">
        <v>2018</v>
      </c>
      <c r="I1111" s="386">
        <v>43419</v>
      </c>
      <c r="J1111" s="276" t="s">
        <v>7902</v>
      </c>
      <c r="K1111" s="276"/>
      <c r="L1111" s="385" t="s">
        <v>12787</v>
      </c>
      <c r="M1111" s="276"/>
    </row>
    <row r="1112" spans="1:13">
      <c r="A1112" s="277">
        <f>VLOOKUP(B1112, 'PubMed 10.7.21 Results'!B:B, 1, FALSE)</f>
        <v>10731376</v>
      </c>
      <c r="B1112" s="277">
        <v>10731376</v>
      </c>
      <c r="C1112" s="276" t="s">
        <v>8727</v>
      </c>
      <c r="D1112" s="276" t="s">
        <v>8728</v>
      </c>
      <c r="E1112" s="276" t="s">
        <v>8729</v>
      </c>
      <c r="F1112" s="276" t="s">
        <v>6622</v>
      </c>
      <c r="G1112" s="276" t="s">
        <v>8730</v>
      </c>
      <c r="H1112" s="277">
        <v>2000</v>
      </c>
      <c r="I1112" s="386">
        <v>36610</v>
      </c>
      <c r="J1112" s="276"/>
      <c r="K1112" s="276"/>
      <c r="L1112" s="276"/>
      <c r="M1112" s="276"/>
    </row>
    <row r="1113" spans="1:13">
      <c r="A1113" s="277">
        <f>VLOOKUP(B1113, 'PubMed 10.7.21 Results'!B:B, 1, FALSE)</f>
        <v>22226086</v>
      </c>
      <c r="B1113" s="277">
        <v>22226086</v>
      </c>
      <c r="C1113" s="276" t="s">
        <v>10483</v>
      </c>
      <c r="D1113" s="276" t="s">
        <v>10484</v>
      </c>
      <c r="E1113" s="276" t="s">
        <v>10485</v>
      </c>
      <c r="F1113" s="276" t="s">
        <v>6764</v>
      </c>
      <c r="G1113" s="276" t="s">
        <v>10486</v>
      </c>
      <c r="H1113" s="277">
        <v>2012</v>
      </c>
      <c r="I1113" s="386">
        <v>40918</v>
      </c>
      <c r="J1113" s="276"/>
      <c r="K1113" s="276"/>
      <c r="L1113" s="385" t="s">
        <v>10487</v>
      </c>
      <c r="M1113" s="276"/>
    </row>
    <row r="1114" spans="1:13">
      <c r="A1114" s="277">
        <f>VLOOKUP(B1114, 'PubMed 10.7.21 Results'!B:B, 1, FALSE)</f>
        <v>26168834</v>
      </c>
      <c r="B1114" s="277">
        <v>26168834</v>
      </c>
      <c r="C1114" s="276" t="s">
        <v>11439</v>
      </c>
      <c r="D1114" s="276" t="s">
        <v>11440</v>
      </c>
      <c r="E1114" s="276" t="s">
        <v>11441</v>
      </c>
      <c r="F1114" s="276" t="s">
        <v>8092</v>
      </c>
      <c r="G1114" s="276" t="s">
        <v>11442</v>
      </c>
      <c r="H1114" s="277">
        <v>2015</v>
      </c>
      <c r="I1114" s="386">
        <v>42200</v>
      </c>
      <c r="J1114" s="276" t="s">
        <v>8093</v>
      </c>
      <c r="K1114" s="276"/>
      <c r="L1114" s="385" t="s">
        <v>11443</v>
      </c>
      <c r="M1114" s="276"/>
    </row>
    <row r="1115" spans="1:13">
      <c r="A1115" s="277">
        <f>VLOOKUP(B1115, 'PubMed 10.7.21 Results'!B:B, 1, FALSE)</f>
        <v>31860749</v>
      </c>
      <c r="B1115" s="277">
        <v>31860749</v>
      </c>
      <c r="C1115" s="276" t="s">
        <v>13316</v>
      </c>
      <c r="D1115" s="276" t="s">
        <v>13317</v>
      </c>
      <c r="E1115" s="276" t="s">
        <v>13318</v>
      </c>
      <c r="F1115" s="276" t="s">
        <v>7426</v>
      </c>
      <c r="G1115" s="276" t="s">
        <v>8857</v>
      </c>
      <c r="H1115" s="277">
        <v>2019</v>
      </c>
      <c r="I1115" s="386">
        <v>43820</v>
      </c>
      <c r="J1115" s="276" t="s">
        <v>7427</v>
      </c>
      <c r="K1115" s="276"/>
      <c r="L1115" s="385" t="s">
        <v>13319</v>
      </c>
      <c r="M1115" s="276"/>
    </row>
    <row r="1116" spans="1:13">
      <c r="A1116" s="277">
        <f>VLOOKUP(B1116, 'PubMed 10.7.21 Results'!B:B, 1, FALSE)</f>
        <v>25552421</v>
      </c>
      <c r="B1116" s="277">
        <v>25552421</v>
      </c>
      <c r="C1116" s="276" t="s">
        <v>11336</v>
      </c>
      <c r="D1116" s="276" t="s">
        <v>11337</v>
      </c>
      <c r="E1116" s="276" t="s">
        <v>11338</v>
      </c>
      <c r="F1116" s="276" t="s">
        <v>7966</v>
      </c>
      <c r="G1116" s="276" t="s">
        <v>8721</v>
      </c>
      <c r="H1116" s="277">
        <v>2015</v>
      </c>
      <c r="I1116" s="386">
        <v>42006</v>
      </c>
      <c r="J1116" s="276"/>
      <c r="K1116" s="276"/>
      <c r="L1116" s="385" t="s">
        <v>11339</v>
      </c>
      <c r="M1116" s="276"/>
    </row>
    <row r="1117" spans="1:13">
      <c r="A1117" s="277">
        <f>VLOOKUP(B1117, 'PubMed 10.7.21 Results'!B:B, 1, FALSE)</f>
        <v>27441483</v>
      </c>
      <c r="B1117" s="277">
        <v>27441483</v>
      </c>
      <c r="C1117" s="276" t="s">
        <v>11861</v>
      </c>
      <c r="D1117" s="276" t="s">
        <v>11862</v>
      </c>
      <c r="E1117" s="276" t="s">
        <v>11863</v>
      </c>
      <c r="F1117" s="276" t="s">
        <v>6792</v>
      </c>
      <c r="G1117" s="276" t="s">
        <v>11864</v>
      </c>
      <c r="H1117" s="277">
        <v>2016</v>
      </c>
      <c r="I1117" s="386">
        <v>42573</v>
      </c>
      <c r="J1117" s="276"/>
      <c r="K1117" s="276"/>
      <c r="L1117" s="385" t="s">
        <v>11865</v>
      </c>
      <c r="M1117" s="276"/>
    </row>
    <row r="1118" spans="1:13">
      <c r="A1118" s="277">
        <f>VLOOKUP(B1118, 'PubMed 10.7.21 Results'!B:B, 1, FALSE)</f>
        <v>31335741</v>
      </c>
      <c r="B1118" s="277">
        <v>31335741</v>
      </c>
      <c r="C1118" s="276" t="s">
        <v>13129</v>
      </c>
      <c r="D1118" s="276" t="s">
        <v>13130</v>
      </c>
      <c r="E1118" s="276" t="s">
        <v>13131</v>
      </c>
      <c r="F1118" s="276" t="s">
        <v>4464</v>
      </c>
      <c r="G1118" s="276" t="s">
        <v>11908</v>
      </c>
      <c r="H1118" s="277">
        <v>2019</v>
      </c>
      <c r="I1118" s="386">
        <v>43670</v>
      </c>
      <c r="J1118" s="276" t="s">
        <v>6652</v>
      </c>
      <c r="K1118" s="276"/>
      <c r="L1118" s="385" t="s">
        <v>13132</v>
      </c>
      <c r="M1118" s="276"/>
    </row>
    <row r="1119" spans="1:13">
      <c r="A1119" s="277">
        <f>VLOOKUP(B1119, 'PubMed 10.7.21 Results'!B:B, 1, FALSE)</f>
        <v>22609040</v>
      </c>
      <c r="B1119" s="277">
        <v>22609040</v>
      </c>
      <c r="C1119" s="276" t="s">
        <v>10568</v>
      </c>
      <c r="D1119" s="276" t="s">
        <v>10569</v>
      </c>
      <c r="E1119" s="276" t="s">
        <v>10570</v>
      </c>
      <c r="F1119" s="276" t="s">
        <v>7238</v>
      </c>
      <c r="G1119" s="276" t="s">
        <v>10571</v>
      </c>
      <c r="H1119" s="277">
        <v>2012</v>
      </c>
      <c r="I1119" s="386">
        <v>41051</v>
      </c>
      <c r="J1119" s="276"/>
      <c r="K1119" s="276"/>
      <c r="L1119" s="385" t="s">
        <v>10572</v>
      </c>
      <c r="M1119" s="276"/>
    </row>
    <row r="1120" spans="1:13">
      <c r="A1120" s="277">
        <f>VLOOKUP(B1120, 'PubMed 10.7.21 Results'!B:B, 1, FALSE)</f>
        <v>28486004</v>
      </c>
      <c r="B1120" s="277">
        <v>28486004</v>
      </c>
      <c r="C1120" s="276" t="s">
        <v>12175</v>
      </c>
      <c r="D1120" s="276" t="s">
        <v>12176</v>
      </c>
      <c r="E1120" s="276" t="s">
        <v>12177</v>
      </c>
      <c r="F1120" s="276" t="s">
        <v>7532</v>
      </c>
      <c r="G1120" s="276" t="s">
        <v>12178</v>
      </c>
      <c r="H1120" s="277">
        <v>2017</v>
      </c>
      <c r="I1120" s="386">
        <v>42865</v>
      </c>
      <c r="J1120" s="276"/>
      <c r="K1120" s="276"/>
      <c r="L1120" s="385" t="s">
        <v>12179</v>
      </c>
      <c r="M1120" s="276"/>
    </row>
    <row r="1121" spans="1:13">
      <c r="A1121" s="277">
        <f>VLOOKUP(B1121, 'PubMed 10.7.21 Results'!B:B, 1, FALSE)</f>
        <v>31235403</v>
      </c>
      <c r="B1121" s="277">
        <v>31235403</v>
      </c>
      <c r="C1121" s="276" t="s">
        <v>13177</v>
      </c>
      <c r="D1121" s="276" t="s">
        <v>13178</v>
      </c>
      <c r="E1121" s="276" t="s">
        <v>13179</v>
      </c>
      <c r="F1121" s="276" t="s">
        <v>8098</v>
      </c>
      <c r="G1121" s="276" t="s">
        <v>13180</v>
      </c>
      <c r="H1121" s="277">
        <v>2019</v>
      </c>
      <c r="I1121" s="386">
        <v>43642</v>
      </c>
      <c r="J1121" s="276"/>
      <c r="K1121" s="276"/>
      <c r="L1121" s="385" t="s">
        <v>13181</v>
      </c>
      <c r="M1121" s="276"/>
    </row>
    <row r="1122" spans="1:13">
      <c r="A1122" s="277">
        <f>VLOOKUP(B1122, 'PubMed 10.7.21 Results'!B:B, 1, FALSE)</f>
        <v>28220330</v>
      </c>
      <c r="B1122" s="277">
        <v>28220330</v>
      </c>
      <c r="C1122" s="276" t="s">
        <v>12158</v>
      </c>
      <c r="D1122" s="276" t="s">
        <v>12159</v>
      </c>
      <c r="E1122" s="276" t="s">
        <v>12160</v>
      </c>
      <c r="F1122" s="276" t="s">
        <v>8105</v>
      </c>
      <c r="G1122" s="276" t="s">
        <v>11599</v>
      </c>
      <c r="H1122" s="277">
        <v>2017</v>
      </c>
      <c r="I1122" s="386">
        <v>42788</v>
      </c>
      <c r="J1122" s="276"/>
      <c r="K1122" s="276"/>
      <c r="L1122" s="385" t="s">
        <v>12161</v>
      </c>
      <c r="M1122" s="276"/>
    </row>
    <row r="1123" spans="1:13">
      <c r="A1123" s="277">
        <f>VLOOKUP(B1123, 'PubMed 10.7.21 Results'!B:B, 1, FALSE)</f>
        <v>26595348</v>
      </c>
      <c r="B1123" s="277">
        <v>26595348</v>
      </c>
      <c r="C1123" s="276" t="s">
        <v>11588</v>
      </c>
      <c r="D1123" s="276" t="s">
        <v>11589</v>
      </c>
      <c r="E1123" s="276" t="s">
        <v>11590</v>
      </c>
      <c r="F1123" s="276" t="s">
        <v>7847</v>
      </c>
      <c r="G1123" s="276" t="s">
        <v>9785</v>
      </c>
      <c r="H1123" s="277">
        <v>2016</v>
      </c>
      <c r="I1123" s="386">
        <v>42332</v>
      </c>
      <c r="J1123" s="276"/>
      <c r="K1123" s="276"/>
      <c r="L1123" s="385" t="s">
        <v>11591</v>
      </c>
      <c r="M1123" s="276"/>
    </row>
    <row r="1124" spans="1:13">
      <c r="A1124" s="277">
        <f>VLOOKUP(B1124, 'PubMed 10.7.21 Results'!B:B, 1, FALSE)</f>
        <v>16949180</v>
      </c>
      <c r="B1124" s="277">
        <v>16949180</v>
      </c>
      <c r="C1124" s="276" t="s">
        <v>9400</v>
      </c>
      <c r="D1124" s="276" t="s">
        <v>9401</v>
      </c>
      <c r="E1124" s="276" t="s">
        <v>9402</v>
      </c>
      <c r="F1124" s="276" t="s">
        <v>6657</v>
      </c>
      <c r="G1124" s="276" t="s">
        <v>9403</v>
      </c>
      <c r="H1124" s="277">
        <v>2007</v>
      </c>
      <c r="I1124" s="386">
        <v>38965</v>
      </c>
      <c r="J1124" s="276"/>
      <c r="K1124" s="276"/>
      <c r="L1124" s="385" t="s">
        <v>9404</v>
      </c>
      <c r="M1124" s="276"/>
    </row>
    <row r="1125" spans="1:13">
      <c r="A1125" s="277">
        <f>VLOOKUP(B1125, 'PubMed 10.7.21 Results'!B:B, 1, FALSE)</f>
        <v>32317559</v>
      </c>
      <c r="B1125" s="277">
        <v>32317559</v>
      </c>
      <c r="C1125" s="276" t="s">
        <v>13684</v>
      </c>
      <c r="D1125" s="276" t="s">
        <v>13685</v>
      </c>
      <c r="E1125" s="276" t="s">
        <v>13686</v>
      </c>
      <c r="F1125" s="276" t="s">
        <v>7977</v>
      </c>
      <c r="G1125" s="276" t="s">
        <v>13687</v>
      </c>
      <c r="H1125" s="277">
        <v>2020</v>
      </c>
      <c r="I1125" s="386">
        <v>43944</v>
      </c>
      <c r="J1125" s="276" t="s">
        <v>7978</v>
      </c>
      <c r="K1125" s="276"/>
      <c r="L1125" s="385" t="s">
        <v>13688</v>
      </c>
      <c r="M1125" s="276"/>
    </row>
    <row r="1126" spans="1:13">
      <c r="A1126" s="277">
        <f>VLOOKUP(B1126, 'PubMed 10.7.21 Results'!B:B, 1, FALSE)</f>
        <v>17335319</v>
      </c>
      <c r="B1126" s="277">
        <v>17335319</v>
      </c>
      <c r="C1126" s="276" t="s">
        <v>9414</v>
      </c>
      <c r="D1126" s="276" t="s">
        <v>9415</v>
      </c>
      <c r="E1126" s="276" t="s">
        <v>9416</v>
      </c>
      <c r="F1126" s="276" t="s">
        <v>7148</v>
      </c>
      <c r="G1126" s="276" t="s">
        <v>8852</v>
      </c>
      <c r="H1126" s="277">
        <v>2007</v>
      </c>
      <c r="I1126" s="386">
        <v>39147</v>
      </c>
      <c r="J1126" s="276"/>
      <c r="K1126" s="276"/>
      <c r="L1126" s="276"/>
      <c r="M1126" s="276"/>
    </row>
    <row r="1127" spans="1:13">
      <c r="A1127" s="277">
        <f>VLOOKUP(B1127, 'PubMed 10.7.21 Results'!B:B, 1, FALSE)</f>
        <v>30488948</v>
      </c>
      <c r="B1127" s="277">
        <v>30488948</v>
      </c>
      <c r="C1127" s="276" t="s">
        <v>12796</v>
      </c>
      <c r="D1127" s="276" t="s">
        <v>12797</v>
      </c>
      <c r="E1127" s="276" t="s">
        <v>12798</v>
      </c>
      <c r="F1127" s="276" t="s">
        <v>6679</v>
      </c>
      <c r="G1127" s="276" t="s">
        <v>8857</v>
      </c>
      <c r="H1127" s="277">
        <v>2018</v>
      </c>
      <c r="I1127" s="386">
        <v>43434</v>
      </c>
      <c r="J1127" s="276" t="s">
        <v>6680</v>
      </c>
      <c r="K1127" s="276"/>
      <c r="L1127" s="385" t="s">
        <v>12799</v>
      </c>
      <c r="M1127" s="276"/>
    </row>
    <row r="1128" spans="1:13">
      <c r="A1128" s="277">
        <f>VLOOKUP(B1128, 'PubMed 10.7.21 Results'!B:B, 1, FALSE)</f>
        <v>8124803</v>
      </c>
      <c r="B1128" s="277">
        <v>8124803</v>
      </c>
      <c r="C1128" s="276" t="s">
        <v>8516</v>
      </c>
      <c r="D1128" s="276" t="s">
        <v>8517</v>
      </c>
      <c r="E1128" s="276" t="s">
        <v>8518</v>
      </c>
      <c r="F1128" s="276" t="s">
        <v>7781</v>
      </c>
      <c r="G1128" s="276" t="s">
        <v>8519</v>
      </c>
      <c r="H1128" s="277">
        <v>1994</v>
      </c>
      <c r="I1128" s="386">
        <v>34394</v>
      </c>
      <c r="J1128" s="276"/>
      <c r="K1128" s="276"/>
      <c r="L1128" s="385" t="s">
        <v>8520</v>
      </c>
      <c r="M1128" s="276"/>
    </row>
    <row r="1129" spans="1:13">
      <c r="A1129" s="277">
        <f>VLOOKUP(B1129, 'PubMed 10.7.21 Results'!B:B, 1, FALSE)</f>
        <v>25084088</v>
      </c>
      <c r="B1129" s="277">
        <v>25084088</v>
      </c>
      <c r="C1129" s="276" t="s">
        <v>11144</v>
      </c>
      <c r="D1129" s="276" t="s">
        <v>11145</v>
      </c>
      <c r="E1129" s="276" t="s">
        <v>11146</v>
      </c>
      <c r="F1129" s="276" t="s">
        <v>7857</v>
      </c>
      <c r="G1129" s="276" t="s">
        <v>11147</v>
      </c>
      <c r="H1129" s="277">
        <v>2014</v>
      </c>
      <c r="I1129" s="386">
        <v>41853</v>
      </c>
      <c r="J1129" s="276"/>
      <c r="K1129" s="276"/>
      <c r="L1129" s="385" t="s">
        <v>11148</v>
      </c>
      <c r="M1129" s="276"/>
    </row>
    <row r="1130" spans="1:13">
      <c r="A1130" s="277">
        <f>VLOOKUP(B1130, 'PubMed 10.7.21 Results'!B:B, 1, FALSE)</f>
        <v>28087382</v>
      </c>
      <c r="B1130" s="277">
        <v>28087382</v>
      </c>
      <c r="C1130" s="276" t="s">
        <v>12024</v>
      </c>
      <c r="D1130" s="276" t="s">
        <v>12025</v>
      </c>
      <c r="E1130" s="276" t="s">
        <v>12026</v>
      </c>
      <c r="F1130" s="276" t="s">
        <v>7605</v>
      </c>
      <c r="G1130" s="276" t="s">
        <v>8552</v>
      </c>
      <c r="H1130" s="277">
        <v>2017</v>
      </c>
      <c r="I1130" s="386">
        <v>42750</v>
      </c>
      <c r="J1130" s="276"/>
      <c r="K1130" s="276"/>
      <c r="L1130" s="385" t="s">
        <v>12027</v>
      </c>
      <c r="M1130" s="276"/>
    </row>
    <row r="1131" spans="1:13">
      <c r="A1131" s="277">
        <f>VLOOKUP(B1131, 'PubMed 10.7.21 Results'!B:B, 1, FALSE)</f>
        <v>32814348</v>
      </c>
      <c r="B1131" s="277">
        <v>32814348</v>
      </c>
      <c r="C1131" s="276" t="s">
        <v>13945</v>
      </c>
      <c r="D1131" s="276" t="s">
        <v>13946</v>
      </c>
      <c r="E1131" s="276" t="s">
        <v>13947</v>
      </c>
      <c r="F1131" s="276" t="s">
        <v>7417</v>
      </c>
      <c r="G1131" s="276" t="s">
        <v>8540</v>
      </c>
      <c r="H1131" s="277">
        <v>2020</v>
      </c>
      <c r="I1131" s="386">
        <v>44063</v>
      </c>
      <c r="J1131" s="276"/>
      <c r="K1131" s="276"/>
      <c r="L1131" s="385" t="s">
        <v>13948</v>
      </c>
      <c r="M1131" s="276"/>
    </row>
    <row r="1132" spans="1:13">
      <c r="A1132" s="277">
        <f>VLOOKUP(B1132, 'PubMed 10.7.21 Results'!B:B, 1, FALSE)</f>
        <v>29674251</v>
      </c>
      <c r="B1132" s="277">
        <v>29674251</v>
      </c>
      <c r="C1132" s="276" t="s">
        <v>12572</v>
      </c>
      <c r="D1132" s="276" t="s">
        <v>12573</v>
      </c>
      <c r="E1132" s="276" t="s">
        <v>12574</v>
      </c>
      <c r="F1132" s="276" t="s">
        <v>6538</v>
      </c>
      <c r="G1132" s="276" t="s">
        <v>12575</v>
      </c>
      <c r="H1132" s="277">
        <v>2018</v>
      </c>
      <c r="I1132" s="386">
        <v>43211</v>
      </c>
      <c r="J1132" s="276"/>
      <c r="K1132" s="276"/>
      <c r="L1132" s="385" t="s">
        <v>12576</v>
      </c>
      <c r="M1132" s="276"/>
    </row>
    <row r="1133" spans="1:13">
      <c r="A1133" s="277">
        <f>VLOOKUP(B1133, 'PubMed 10.7.21 Results'!B:B, 1, FALSE)</f>
        <v>26857244</v>
      </c>
      <c r="B1133" s="277">
        <v>26857244</v>
      </c>
      <c r="C1133" s="276" t="s">
        <v>11739</v>
      </c>
      <c r="D1133" s="276" t="s">
        <v>11740</v>
      </c>
      <c r="E1133" s="276" t="s">
        <v>11741</v>
      </c>
      <c r="F1133" s="276" t="s">
        <v>7694</v>
      </c>
      <c r="G1133" s="276" t="s">
        <v>8762</v>
      </c>
      <c r="H1133" s="277">
        <v>2016</v>
      </c>
      <c r="I1133" s="386">
        <v>42410</v>
      </c>
      <c r="J1133" s="276"/>
      <c r="K1133" s="276"/>
      <c r="L1133" s="385" t="s">
        <v>11742</v>
      </c>
      <c r="M1133" s="276"/>
    </row>
    <row r="1134" spans="1:13">
      <c r="A1134" s="277">
        <f>VLOOKUP(B1134, 'PubMed 10.7.21 Results'!B:B, 1, FALSE)</f>
        <v>25732089</v>
      </c>
      <c r="B1134" s="277">
        <v>25732089</v>
      </c>
      <c r="C1134" s="276" t="s">
        <v>11353</v>
      </c>
      <c r="D1134" s="276" t="s">
        <v>11354</v>
      </c>
      <c r="E1134" s="276" t="s">
        <v>11355</v>
      </c>
      <c r="F1134" s="276" t="s">
        <v>7182</v>
      </c>
      <c r="G1134" s="276" t="s">
        <v>11356</v>
      </c>
      <c r="H1134" s="277">
        <v>2015</v>
      </c>
      <c r="I1134" s="386">
        <v>42067</v>
      </c>
      <c r="J1134" s="276"/>
      <c r="K1134" s="276"/>
      <c r="L1134" s="385" t="s">
        <v>11357</v>
      </c>
      <c r="M1134" s="276"/>
    </row>
    <row r="1135" spans="1:13">
      <c r="A1135" s="277">
        <f>VLOOKUP(B1135, 'PubMed 10.7.21 Results'!B:B, 1, FALSE)</f>
        <v>25140957</v>
      </c>
      <c r="B1135" s="277">
        <v>25140957</v>
      </c>
      <c r="C1135" s="276" t="s">
        <v>11107</v>
      </c>
      <c r="D1135" s="276" t="s">
        <v>11108</v>
      </c>
      <c r="E1135" s="276" t="s">
        <v>11109</v>
      </c>
      <c r="F1135" s="276" t="s">
        <v>358</v>
      </c>
      <c r="G1135" s="276" t="s">
        <v>8514</v>
      </c>
      <c r="H1135" s="277">
        <v>2014</v>
      </c>
      <c r="I1135" s="386">
        <v>41872</v>
      </c>
      <c r="J1135" s="276"/>
      <c r="K1135" s="276"/>
      <c r="L1135" s="385" t="s">
        <v>11110</v>
      </c>
      <c r="M1135" s="276"/>
    </row>
    <row r="1136" spans="1:13">
      <c r="A1136" s="277">
        <f>VLOOKUP(B1136, 'PubMed 10.7.21 Results'!B:B, 1, FALSE)</f>
        <v>20670049</v>
      </c>
      <c r="B1136" s="277">
        <v>20670049</v>
      </c>
      <c r="C1136" s="276" t="s">
        <v>9945</v>
      </c>
      <c r="D1136" s="276" t="s">
        <v>9946</v>
      </c>
      <c r="E1136" s="276" t="s">
        <v>9947</v>
      </c>
      <c r="F1136" s="276" t="s">
        <v>7294</v>
      </c>
      <c r="G1136" s="276" t="s">
        <v>9948</v>
      </c>
      <c r="H1136" s="277">
        <v>2010</v>
      </c>
      <c r="I1136" s="386">
        <v>40390</v>
      </c>
      <c r="J1136" s="276"/>
      <c r="K1136" s="276"/>
      <c r="L1136" s="385" t="s">
        <v>9949</v>
      </c>
      <c r="M1136" s="276"/>
    </row>
    <row r="1137" spans="1:13">
      <c r="A1137" s="277">
        <f>VLOOKUP(B1137, 'PubMed 10.7.21 Results'!B:B, 1, FALSE)</f>
        <v>29741289</v>
      </c>
      <c r="B1137" s="277">
        <v>29741289</v>
      </c>
      <c r="C1137" s="276" t="s">
        <v>12539</v>
      </c>
      <c r="D1137" s="276" t="s">
        <v>12540</v>
      </c>
      <c r="E1137" s="276" t="s">
        <v>12541</v>
      </c>
      <c r="F1137" s="276" t="s">
        <v>7995</v>
      </c>
      <c r="G1137" s="276" t="s">
        <v>8857</v>
      </c>
      <c r="H1137" s="277">
        <v>2018</v>
      </c>
      <c r="I1137" s="386">
        <v>43230</v>
      </c>
      <c r="J1137" s="276" t="s">
        <v>7996</v>
      </c>
      <c r="K1137" s="276"/>
      <c r="L1137" s="385" t="s">
        <v>12542</v>
      </c>
      <c r="M1137" s="276"/>
    </row>
    <row r="1138" spans="1:13">
      <c r="A1138" s="277">
        <f>VLOOKUP(B1138, 'PubMed 10.7.21 Results'!B:B, 1, FALSE)</f>
        <v>29968171</v>
      </c>
      <c r="B1138" s="277">
        <v>29968171</v>
      </c>
      <c r="C1138" s="276" t="s">
        <v>12495</v>
      </c>
      <c r="D1138" s="276" t="s">
        <v>12496</v>
      </c>
      <c r="E1138" s="276" t="s">
        <v>12497</v>
      </c>
      <c r="F1138" s="276" t="s">
        <v>8104</v>
      </c>
      <c r="G1138" s="276" t="s">
        <v>12498</v>
      </c>
      <c r="H1138" s="277">
        <v>2018</v>
      </c>
      <c r="I1138" s="386">
        <v>43285</v>
      </c>
      <c r="J1138" s="276"/>
      <c r="K1138" s="276"/>
      <c r="L1138" s="385" t="s">
        <v>12499</v>
      </c>
      <c r="M1138" s="276"/>
    </row>
    <row r="1139" spans="1:13">
      <c r="A1139" s="277">
        <f>VLOOKUP(B1139, 'PubMed 10.7.21 Results'!B:B, 1, FALSE)</f>
        <v>28916599</v>
      </c>
      <c r="B1139" s="277">
        <v>28916599</v>
      </c>
      <c r="C1139" s="276" t="s">
        <v>12239</v>
      </c>
      <c r="D1139" s="276" t="s">
        <v>12240</v>
      </c>
      <c r="E1139" s="276" t="s">
        <v>12241</v>
      </c>
      <c r="F1139" s="276" t="s">
        <v>8121</v>
      </c>
      <c r="G1139" s="276" t="s">
        <v>10440</v>
      </c>
      <c r="H1139" s="277">
        <v>2017</v>
      </c>
      <c r="I1139" s="386">
        <v>42995</v>
      </c>
      <c r="J1139" s="276" t="s">
        <v>8123</v>
      </c>
      <c r="K1139" s="276"/>
      <c r="L1139" s="385" t="s">
        <v>12242</v>
      </c>
      <c r="M1139" s="276"/>
    </row>
    <row r="1140" spans="1:13">
      <c r="A1140" s="277">
        <f>VLOOKUP(B1140, 'PubMed 10.7.21 Results'!B:B, 1, FALSE)</f>
        <v>29984534</v>
      </c>
      <c r="B1140" s="277">
        <v>29984534</v>
      </c>
      <c r="C1140" s="276" t="s">
        <v>12698</v>
      </c>
      <c r="D1140" s="276" t="s">
        <v>12699</v>
      </c>
      <c r="E1140" s="276" t="s">
        <v>12700</v>
      </c>
      <c r="F1140" s="276" t="s">
        <v>7999</v>
      </c>
      <c r="G1140" s="276" t="s">
        <v>12701</v>
      </c>
      <c r="H1140" s="277">
        <v>2018</v>
      </c>
      <c r="I1140" s="386">
        <v>43291</v>
      </c>
      <c r="J1140" s="276"/>
      <c r="K1140" s="276"/>
      <c r="L1140" s="385" t="s">
        <v>12702</v>
      </c>
      <c r="M1140" s="276"/>
    </row>
    <row r="1141" spans="1:13">
      <c r="A1141" s="277">
        <f>VLOOKUP(B1141, 'PubMed 10.7.21 Results'!B:B, 1, FALSE)</f>
        <v>29275068</v>
      </c>
      <c r="B1141" s="277">
        <v>29275068</v>
      </c>
      <c r="C1141" s="276" t="s">
        <v>12448</v>
      </c>
      <c r="D1141" s="276" t="s">
        <v>12449</v>
      </c>
      <c r="E1141" s="276" t="s">
        <v>12450</v>
      </c>
      <c r="F1141" s="276" t="s">
        <v>6803</v>
      </c>
      <c r="G1141" s="276" t="s">
        <v>12065</v>
      </c>
      <c r="H1141" s="277">
        <v>2018</v>
      </c>
      <c r="I1141" s="386">
        <v>43094</v>
      </c>
      <c r="J1141" s="276"/>
      <c r="K1141" s="276"/>
      <c r="L1141" s="385" t="s">
        <v>12451</v>
      </c>
      <c r="M1141" s="276"/>
    </row>
    <row r="1142" spans="1:13">
      <c r="A1142" s="277">
        <f>VLOOKUP(B1142, 'PubMed 10.7.21 Results'!B:B, 1, FALSE)</f>
        <v>20383205</v>
      </c>
      <c r="B1142" s="277">
        <v>20383205</v>
      </c>
      <c r="C1142" s="276" t="s">
        <v>10108</v>
      </c>
      <c r="D1142" s="276" t="s">
        <v>10109</v>
      </c>
      <c r="E1142" s="276" t="s">
        <v>10110</v>
      </c>
      <c r="F1142" s="276" t="s">
        <v>7457</v>
      </c>
      <c r="G1142" s="276" t="s">
        <v>10111</v>
      </c>
      <c r="H1142" s="277">
        <v>2011</v>
      </c>
      <c r="I1142" s="386">
        <v>40281</v>
      </c>
      <c r="J1142" s="276"/>
      <c r="K1142" s="276"/>
      <c r="L1142" s="385" t="s">
        <v>10112</v>
      </c>
      <c r="M1142" s="276"/>
    </row>
    <row r="1143" spans="1:13">
      <c r="A1143" s="277">
        <f>VLOOKUP(B1143, 'PubMed 10.7.21 Results'!B:B, 1, FALSE)</f>
        <v>25755185</v>
      </c>
      <c r="B1143" s="277">
        <v>25755185</v>
      </c>
      <c r="C1143" s="276" t="s">
        <v>11619</v>
      </c>
      <c r="D1143" s="276" t="s">
        <v>11620</v>
      </c>
      <c r="E1143" s="276" t="s">
        <v>11621</v>
      </c>
      <c r="F1143" s="276" t="s">
        <v>7434</v>
      </c>
      <c r="G1143" s="276" t="s">
        <v>11622</v>
      </c>
      <c r="H1143" s="277">
        <v>2016</v>
      </c>
      <c r="I1143" s="386">
        <v>42074</v>
      </c>
      <c r="J1143" s="276"/>
      <c r="K1143" s="276"/>
      <c r="L1143" s="385" t="s">
        <v>11623</v>
      </c>
      <c r="M1143" s="276"/>
    </row>
    <row r="1144" spans="1:13">
      <c r="A1144" s="277">
        <f>VLOOKUP(B1144, 'PubMed 10.7.21 Results'!B:B, 1, FALSE)</f>
        <v>25555390</v>
      </c>
      <c r="B1144" s="277">
        <v>25555390</v>
      </c>
      <c r="C1144" s="276" t="s">
        <v>11370</v>
      </c>
      <c r="D1144" s="276" t="s">
        <v>11371</v>
      </c>
      <c r="E1144" s="276" t="s">
        <v>11372</v>
      </c>
      <c r="F1144" s="276" t="s">
        <v>6964</v>
      </c>
      <c r="G1144" s="276" t="s">
        <v>11373</v>
      </c>
      <c r="H1144" s="277">
        <v>2015</v>
      </c>
      <c r="I1144" s="386">
        <v>42008</v>
      </c>
      <c r="J1144" s="276" t="s">
        <v>6965</v>
      </c>
      <c r="K1144" s="276"/>
      <c r="L1144" s="385" t="s">
        <v>11374</v>
      </c>
      <c r="M1144" s="276"/>
    </row>
    <row r="1145" spans="1:13">
      <c r="A1145" s="277">
        <f>VLOOKUP(B1145, 'PubMed 10.7.21 Results'!B:B, 1, FALSE)</f>
        <v>31900271</v>
      </c>
      <c r="B1145" s="277">
        <v>31900271</v>
      </c>
      <c r="C1145" s="276" t="s">
        <v>13365</v>
      </c>
      <c r="D1145" s="276" t="s">
        <v>13366</v>
      </c>
      <c r="E1145" s="276" t="s">
        <v>13367</v>
      </c>
      <c r="F1145" s="276" t="s">
        <v>7284</v>
      </c>
      <c r="G1145" s="276" t="s">
        <v>11650</v>
      </c>
      <c r="H1145" s="277">
        <v>2020</v>
      </c>
      <c r="I1145" s="386">
        <v>43835</v>
      </c>
      <c r="J1145" s="276" t="s">
        <v>7285</v>
      </c>
      <c r="K1145" s="276"/>
      <c r="L1145" s="385" t="s">
        <v>13368</v>
      </c>
      <c r="M1145" s="276"/>
    </row>
    <row r="1146" spans="1:13">
      <c r="A1146" s="277">
        <f>VLOOKUP(B1146, 'PubMed 10.7.21 Results'!B:B, 1, FALSE)</f>
        <v>29092786</v>
      </c>
      <c r="B1146" s="277">
        <v>29092786</v>
      </c>
      <c r="C1146" s="276" t="s">
        <v>12435</v>
      </c>
      <c r="D1146" s="276" t="s">
        <v>12436</v>
      </c>
      <c r="E1146" s="276" t="s">
        <v>12437</v>
      </c>
      <c r="F1146" s="276" t="s">
        <v>6536</v>
      </c>
      <c r="G1146" s="276" t="s">
        <v>12438</v>
      </c>
      <c r="H1146" s="277">
        <v>2018</v>
      </c>
      <c r="I1146" s="386">
        <v>43042</v>
      </c>
      <c r="J1146" s="276"/>
      <c r="K1146" s="276"/>
      <c r="L1146" s="385" t="s">
        <v>12439</v>
      </c>
      <c r="M1146" s="276"/>
    </row>
    <row r="1147" spans="1:13">
      <c r="A1147" s="277">
        <f>VLOOKUP(B1147, 'PubMed 10.7.21 Results'!B:B, 1, FALSE)</f>
        <v>24092568</v>
      </c>
      <c r="B1147" s="277">
        <v>24092568</v>
      </c>
      <c r="C1147" s="276" t="s">
        <v>10861</v>
      </c>
      <c r="D1147" s="276" t="s">
        <v>10862</v>
      </c>
      <c r="E1147" s="276" t="s">
        <v>10863</v>
      </c>
      <c r="F1147" s="276" t="s">
        <v>7283</v>
      </c>
      <c r="G1147" s="276" t="s">
        <v>9378</v>
      </c>
      <c r="H1147" s="277">
        <v>2013</v>
      </c>
      <c r="I1147" s="386">
        <v>41552</v>
      </c>
      <c r="J1147" s="276"/>
      <c r="K1147" s="276"/>
      <c r="L1147" s="385" t="s">
        <v>10864</v>
      </c>
      <c r="M1147" s="276"/>
    </row>
    <row r="1148" spans="1:13">
      <c r="A1148" s="277">
        <f>VLOOKUP(B1148, 'PubMed 10.7.21 Results'!B:B, 1, FALSE)</f>
        <v>29399800</v>
      </c>
      <c r="B1148" s="277">
        <v>29399800</v>
      </c>
      <c r="C1148" s="276" t="s">
        <v>12731</v>
      </c>
      <c r="D1148" s="276" t="s">
        <v>12732</v>
      </c>
      <c r="E1148" s="276" t="s">
        <v>12733</v>
      </c>
      <c r="F1148" s="276" t="s">
        <v>7951</v>
      </c>
      <c r="G1148" s="276" t="s">
        <v>12734</v>
      </c>
      <c r="H1148" s="277">
        <v>2018</v>
      </c>
      <c r="I1148" s="386">
        <v>43137</v>
      </c>
      <c r="J1148" s="276"/>
      <c r="K1148" s="276"/>
      <c r="L1148" s="385" t="s">
        <v>12735</v>
      </c>
      <c r="M1148" s="276"/>
    </row>
    <row r="1149" spans="1:13">
      <c r="A1149" s="277">
        <f>VLOOKUP(B1149, 'PubMed 10.7.21 Results'!B:B, 1, FALSE)</f>
        <v>27717113</v>
      </c>
      <c r="B1149" s="277">
        <v>27717113</v>
      </c>
      <c r="C1149" s="276" t="s">
        <v>11958</v>
      </c>
      <c r="D1149" s="276" t="s">
        <v>11959</v>
      </c>
      <c r="E1149" s="276" t="s">
        <v>11960</v>
      </c>
      <c r="F1149" s="276" t="s">
        <v>6755</v>
      </c>
      <c r="G1149" s="276" t="s">
        <v>11961</v>
      </c>
      <c r="H1149" s="277">
        <v>2017</v>
      </c>
      <c r="I1149" s="386">
        <v>42651</v>
      </c>
      <c r="J1149" s="276"/>
      <c r="K1149" s="276"/>
      <c r="L1149" s="385" t="s">
        <v>11962</v>
      </c>
      <c r="M1149" s="276"/>
    </row>
    <row r="1150" spans="1:13">
      <c r="A1150" s="277">
        <f>VLOOKUP(B1150, 'PubMed 10.7.21 Results'!B:B, 1, FALSE)</f>
        <v>28146402</v>
      </c>
      <c r="B1150" s="277">
        <v>28146402</v>
      </c>
      <c r="C1150" s="276" t="s">
        <v>11988</v>
      </c>
      <c r="D1150" s="276" t="s">
        <v>11989</v>
      </c>
      <c r="E1150" s="276" t="s">
        <v>11990</v>
      </c>
      <c r="F1150" s="276" t="s">
        <v>7234</v>
      </c>
      <c r="G1150" s="276" t="s">
        <v>11991</v>
      </c>
      <c r="H1150" s="277">
        <v>2017</v>
      </c>
      <c r="I1150" s="386">
        <v>42768</v>
      </c>
      <c r="J1150" s="276"/>
      <c r="K1150" s="276"/>
      <c r="L1150" s="385" t="s">
        <v>11992</v>
      </c>
      <c r="M1150" s="276"/>
    </row>
    <row r="1151" spans="1:13">
      <c r="A1151" s="277">
        <f>VLOOKUP(B1151, 'PubMed 10.7.21 Results'!B:B, 1, FALSE)</f>
        <v>31559948</v>
      </c>
      <c r="B1151" s="277">
        <v>31559948</v>
      </c>
      <c r="C1151" s="276" t="s">
        <v>13186</v>
      </c>
      <c r="D1151" s="276" t="s">
        <v>13187</v>
      </c>
      <c r="E1151" s="276" t="s">
        <v>13188</v>
      </c>
      <c r="F1151" s="276" t="s">
        <v>7533</v>
      </c>
      <c r="G1151" s="276" t="s">
        <v>9359</v>
      </c>
      <c r="H1151" s="277">
        <v>2019</v>
      </c>
      <c r="I1151" s="386">
        <v>43736</v>
      </c>
      <c r="J1151" s="276" t="s">
        <v>7534</v>
      </c>
      <c r="K1151" s="276"/>
      <c r="L1151" s="385" t="s">
        <v>13189</v>
      </c>
      <c r="M1151" s="276"/>
    </row>
    <row r="1152" spans="1:13">
      <c r="A1152" s="277">
        <f>VLOOKUP(B1152, 'PubMed 10.7.21 Results'!B:B, 1, FALSE)</f>
        <v>23011715</v>
      </c>
      <c r="B1152" s="277">
        <v>23011715</v>
      </c>
      <c r="C1152" s="276" t="s">
        <v>10540</v>
      </c>
      <c r="D1152" s="276" t="s">
        <v>10541</v>
      </c>
      <c r="E1152" s="276" t="s">
        <v>10542</v>
      </c>
      <c r="F1152" s="276" t="s">
        <v>6887</v>
      </c>
      <c r="G1152" s="276" t="s">
        <v>8580</v>
      </c>
      <c r="H1152" s="277">
        <v>2012</v>
      </c>
      <c r="I1152" s="386">
        <v>41179</v>
      </c>
      <c r="J1152" s="276" t="s">
        <v>6888</v>
      </c>
      <c r="K1152" s="276" t="s">
        <v>10543</v>
      </c>
      <c r="L1152" s="385" t="s">
        <v>10544</v>
      </c>
      <c r="M1152" s="276"/>
    </row>
    <row r="1153" spans="1:13">
      <c r="A1153" s="277">
        <f>VLOOKUP(B1153, 'PubMed 10.7.21 Results'!B:B, 1, FALSE)</f>
        <v>26694748</v>
      </c>
      <c r="B1153" s="277">
        <v>26694748</v>
      </c>
      <c r="C1153" s="276" t="s">
        <v>11564</v>
      </c>
      <c r="D1153" s="276" t="s">
        <v>11565</v>
      </c>
      <c r="E1153" s="276" t="s">
        <v>11566</v>
      </c>
      <c r="F1153" s="276" t="s">
        <v>6496</v>
      </c>
      <c r="G1153" s="276" t="s">
        <v>11567</v>
      </c>
      <c r="H1153" s="277">
        <v>2015</v>
      </c>
      <c r="I1153" s="386">
        <v>42362</v>
      </c>
      <c r="J1153" s="276" t="s">
        <v>6497</v>
      </c>
      <c r="K1153" s="276"/>
      <c r="L1153" s="385" t="s">
        <v>11568</v>
      </c>
      <c r="M1153" s="276"/>
    </row>
    <row r="1154" spans="1:13">
      <c r="A1154" s="277">
        <f>VLOOKUP(B1154, 'PubMed 10.7.21 Results'!B:B, 1, FALSE)</f>
        <v>17034536</v>
      </c>
      <c r="B1154" s="277">
        <v>17034536</v>
      </c>
      <c r="C1154" s="276" t="s">
        <v>9352</v>
      </c>
      <c r="D1154" s="276" t="s">
        <v>9353</v>
      </c>
      <c r="E1154" s="276" t="s">
        <v>9354</v>
      </c>
      <c r="F1154" s="276" t="s">
        <v>7466</v>
      </c>
      <c r="G1154" s="276" t="s">
        <v>8963</v>
      </c>
      <c r="H1154" s="277">
        <v>2006</v>
      </c>
      <c r="I1154" s="386">
        <v>39003</v>
      </c>
      <c r="J1154" s="276"/>
      <c r="K1154" s="276"/>
      <c r="L1154" s="385" t="s">
        <v>9355</v>
      </c>
      <c r="M1154" s="276"/>
    </row>
    <row r="1155" spans="1:13">
      <c r="A1155" s="277">
        <f>VLOOKUP(B1155, 'PubMed 10.7.21 Results'!B:B, 1, FALSE)</f>
        <v>29563196</v>
      </c>
      <c r="B1155" s="277">
        <v>29563196</v>
      </c>
      <c r="C1155" s="276" t="s">
        <v>12526</v>
      </c>
      <c r="D1155" s="276" t="s">
        <v>12527</v>
      </c>
      <c r="E1155" s="276" t="s">
        <v>12528</v>
      </c>
      <c r="F1155" s="276" t="s">
        <v>6873</v>
      </c>
      <c r="G1155" s="276" t="s">
        <v>8721</v>
      </c>
      <c r="H1155" s="277">
        <v>2018</v>
      </c>
      <c r="I1155" s="386">
        <v>43182</v>
      </c>
      <c r="J1155" s="276" t="s">
        <v>6874</v>
      </c>
      <c r="K1155" s="276"/>
      <c r="L1155" s="385" t="s">
        <v>12529</v>
      </c>
      <c r="M1155" s="276"/>
    </row>
    <row r="1156" spans="1:13">
      <c r="A1156" s="277">
        <f>VLOOKUP(B1156, 'PubMed 10.7.21 Results'!B:B, 1, FALSE)</f>
        <v>21428765</v>
      </c>
      <c r="B1156" s="277">
        <v>21428765</v>
      </c>
      <c r="C1156" s="276" t="s">
        <v>10173</v>
      </c>
      <c r="D1156" s="276" t="s">
        <v>10174</v>
      </c>
      <c r="E1156" s="276" t="s">
        <v>10175</v>
      </c>
      <c r="F1156" s="276" t="s">
        <v>8009</v>
      </c>
      <c r="G1156" s="276" t="s">
        <v>8514</v>
      </c>
      <c r="H1156" s="277">
        <v>2011</v>
      </c>
      <c r="I1156" s="386">
        <v>40627</v>
      </c>
      <c r="J1156" s="276"/>
      <c r="K1156" s="276"/>
      <c r="L1156" s="385" t="s">
        <v>10176</v>
      </c>
      <c r="M1156" s="276"/>
    </row>
    <row r="1157" spans="1:13">
      <c r="A1157" s="277">
        <f>VLOOKUP(B1157, 'PubMed 10.7.21 Results'!B:B, 1, FALSE)</f>
        <v>24410774</v>
      </c>
      <c r="B1157" s="277">
        <v>24410774</v>
      </c>
      <c r="C1157" s="276" t="s">
        <v>10904</v>
      </c>
      <c r="D1157" s="276" t="s">
        <v>10905</v>
      </c>
      <c r="E1157" s="276" t="s">
        <v>10906</v>
      </c>
      <c r="F1157" s="276" t="s">
        <v>7546</v>
      </c>
      <c r="G1157" s="276" t="s">
        <v>10907</v>
      </c>
      <c r="H1157" s="277">
        <v>2014</v>
      </c>
      <c r="I1157" s="386">
        <v>41653</v>
      </c>
      <c r="J1157" s="276" t="s">
        <v>7547</v>
      </c>
      <c r="K1157" s="276"/>
      <c r="L1157" s="385" t="s">
        <v>10908</v>
      </c>
      <c r="M1157" s="276"/>
    </row>
    <row r="1158" spans="1:13">
      <c r="A1158" s="277">
        <f>VLOOKUP(B1158, 'PubMed 10.7.21 Results'!B:B, 1, FALSE)</f>
        <v>29093159</v>
      </c>
      <c r="B1158" s="277">
        <v>29093159</v>
      </c>
      <c r="C1158" s="276" t="s">
        <v>12380</v>
      </c>
      <c r="D1158" s="276" t="s">
        <v>12381</v>
      </c>
      <c r="E1158" s="276" t="s">
        <v>12382</v>
      </c>
      <c r="F1158" s="276" t="s">
        <v>7398</v>
      </c>
      <c r="G1158" s="276" t="s">
        <v>12383</v>
      </c>
      <c r="H1158" s="277">
        <v>2018</v>
      </c>
      <c r="I1158" s="386">
        <v>43042</v>
      </c>
      <c r="J1158" s="276"/>
      <c r="K1158" s="276"/>
      <c r="L1158" s="385" t="s">
        <v>12384</v>
      </c>
      <c r="M1158" s="276"/>
    </row>
    <row r="1159" spans="1:13">
      <c r="A1159" s="277">
        <f>VLOOKUP(B1159, 'PubMed 10.7.21 Results'!B:B, 1, FALSE)</f>
        <v>24656411</v>
      </c>
      <c r="B1159" s="277">
        <v>24656411</v>
      </c>
      <c r="C1159" s="276" t="s">
        <v>11027</v>
      </c>
      <c r="D1159" s="276" t="s">
        <v>11028</v>
      </c>
      <c r="E1159" s="276" t="s">
        <v>11029</v>
      </c>
      <c r="F1159" s="276" t="s">
        <v>6726</v>
      </c>
      <c r="G1159" s="276" t="s">
        <v>9961</v>
      </c>
      <c r="H1159" s="277">
        <v>2014</v>
      </c>
      <c r="I1159" s="386">
        <v>41723</v>
      </c>
      <c r="J1159" s="276" t="s">
        <v>6727</v>
      </c>
      <c r="K1159" s="276" t="s">
        <v>11030</v>
      </c>
      <c r="L1159" s="385" t="s">
        <v>11031</v>
      </c>
      <c r="M1159" s="276"/>
    </row>
    <row r="1160" spans="1:13">
      <c r="A1160" s="277">
        <f>VLOOKUP(B1160, 'PubMed 10.7.21 Results'!B:B, 1, FALSE)</f>
        <v>30484353</v>
      </c>
      <c r="B1160" s="277">
        <v>30484353</v>
      </c>
      <c r="C1160" s="276" t="s">
        <v>12936</v>
      </c>
      <c r="D1160" s="276" t="s">
        <v>12937</v>
      </c>
      <c r="E1160" s="276" t="s">
        <v>12938</v>
      </c>
      <c r="F1160" s="276" t="s">
        <v>7145</v>
      </c>
      <c r="G1160" s="276" t="s">
        <v>12939</v>
      </c>
      <c r="H1160" s="277">
        <v>2019</v>
      </c>
      <c r="I1160" s="386">
        <v>43433</v>
      </c>
      <c r="J1160" s="276"/>
      <c r="K1160" s="276"/>
      <c r="L1160" s="385" t="s">
        <v>12940</v>
      </c>
      <c r="M1160" s="276"/>
    </row>
    <row r="1161" spans="1:13">
      <c r="A1161" s="277">
        <f>VLOOKUP(B1161, 'PubMed 10.7.21 Results'!B:B, 1, FALSE)</f>
        <v>24814741</v>
      </c>
      <c r="B1161" s="277">
        <v>24814741</v>
      </c>
      <c r="C1161" s="276" t="s">
        <v>11007</v>
      </c>
      <c r="D1161" s="276" t="s">
        <v>11008</v>
      </c>
      <c r="E1161" s="276" t="s">
        <v>11009</v>
      </c>
      <c r="F1161" s="276" t="s">
        <v>7529</v>
      </c>
      <c r="G1161" s="276" t="s">
        <v>10890</v>
      </c>
      <c r="H1161" s="277">
        <v>2014</v>
      </c>
      <c r="I1161" s="386">
        <v>41772</v>
      </c>
      <c r="J1161" s="276"/>
      <c r="K1161" s="276"/>
      <c r="L1161" s="276"/>
      <c r="M1161" s="276"/>
    </row>
    <row r="1162" spans="1:13">
      <c r="A1162" s="277">
        <f>VLOOKUP(B1162, 'PubMed 10.7.21 Results'!B:B, 1, FALSE)</f>
        <v>31310299</v>
      </c>
      <c r="B1162" s="277">
        <v>31310299</v>
      </c>
      <c r="C1162" s="276" t="s">
        <v>13151</v>
      </c>
      <c r="D1162" s="276" t="s">
        <v>13152</v>
      </c>
      <c r="E1162" s="276" t="s">
        <v>13153</v>
      </c>
      <c r="F1162" s="276" t="s">
        <v>6913</v>
      </c>
      <c r="G1162" s="276" t="s">
        <v>8580</v>
      </c>
      <c r="H1162" s="277">
        <v>2019</v>
      </c>
      <c r="I1162" s="386">
        <v>43663</v>
      </c>
      <c r="J1162" s="276" t="s">
        <v>6914</v>
      </c>
      <c r="K1162" s="276"/>
      <c r="L1162" s="385" t="s">
        <v>13154</v>
      </c>
      <c r="M1162" s="276"/>
    </row>
    <row r="1163" spans="1:13">
      <c r="A1163" s="277">
        <f>VLOOKUP(B1163, 'PubMed 10.7.21 Results'!B:B, 1, FALSE)</f>
        <v>31329402</v>
      </c>
      <c r="B1163" s="277">
        <v>31329402</v>
      </c>
      <c r="C1163" s="276" t="s">
        <v>13126</v>
      </c>
      <c r="D1163" s="276" t="s">
        <v>13127</v>
      </c>
      <c r="E1163" s="276" t="s">
        <v>13128</v>
      </c>
      <c r="F1163" s="276" t="s">
        <v>6988</v>
      </c>
      <c r="G1163" s="276" t="s">
        <v>9604</v>
      </c>
      <c r="H1163" s="277">
        <v>2019</v>
      </c>
      <c r="I1163" s="386">
        <v>43669</v>
      </c>
      <c r="J1163" s="276"/>
      <c r="K1163" s="276"/>
      <c r="L1163" s="276"/>
      <c r="M1163" s="276"/>
    </row>
    <row r="1164" spans="1:13">
      <c r="A1164" s="277">
        <f>VLOOKUP(B1164, 'PubMed 10.7.21 Results'!B:B, 1, FALSE)</f>
        <v>26976354</v>
      </c>
      <c r="B1164" s="277">
        <v>26976354</v>
      </c>
      <c r="C1164" s="276" t="s">
        <v>11910</v>
      </c>
      <c r="D1164" s="276" t="s">
        <v>11911</v>
      </c>
      <c r="E1164" s="276" t="s">
        <v>11912</v>
      </c>
      <c r="F1164" s="276" t="s">
        <v>7668</v>
      </c>
      <c r="G1164" s="276" t="s">
        <v>11913</v>
      </c>
      <c r="H1164" s="277">
        <v>2017</v>
      </c>
      <c r="I1164" s="386">
        <v>42445</v>
      </c>
      <c r="J1164" s="276"/>
      <c r="K1164" s="276"/>
      <c r="L1164" s="385" t="s">
        <v>11914</v>
      </c>
      <c r="M1164" s="276"/>
    </row>
    <row r="1165" spans="1:13">
      <c r="A1165" s="277">
        <f>VLOOKUP(B1165, 'PubMed 10.7.21 Results'!B:B, 1, FALSE)</f>
        <v>24487591</v>
      </c>
      <c r="B1165" s="277">
        <v>24487591</v>
      </c>
      <c r="C1165" s="276" t="s">
        <v>10946</v>
      </c>
      <c r="D1165" s="276" t="s">
        <v>10947</v>
      </c>
      <c r="E1165" s="276" t="s">
        <v>10948</v>
      </c>
      <c r="F1165" s="276" t="s">
        <v>7917</v>
      </c>
      <c r="G1165" s="276" t="s">
        <v>8460</v>
      </c>
      <c r="H1165" s="277">
        <v>2014</v>
      </c>
      <c r="I1165" s="386">
        <v>41674</v>
      </c>
      <c r="J1165" s="276" t="s">
        <v>7918</v>
      </c>
      <c r="K1165" s="276"/>
      <c r="L1165" s="385" t="s">
        <v>10949</v>
      </c>
      <c r="M1165" s="276"/>
    </row>
    <row r="1166" spans="1:13">
      <c r="A1166" s="277">
        <f>VLOOKUP(B1166, 'PubMed 10.7.21 Results'!B:B, 1, FALSE)</f>
        <v>33256617</v>
      </c>
      <c r="B1166" s="277">
        <v>33256617</v>
      </c>
      <c r="C1166" s="276" t="s">
        <v>13920</v>
      </c>
      <c r="D1166" s="276" t="s">
        <v>13921</v>
      </c>
      <c r="E1166" s="276" t="s">
        <v>13922</v>
      </c>
      <c r="F1166" s="276" t="s">
        <v>6746</v>
      </c>
      <c r="G1166" s="276" t="s">
        <v>10013</v>
      </c>
      <c r="H1166" s="277">
        <v>2020</v>
      </c>
      <c r="I1166" s="386">
        <v>44166</v>
      </c>
      <c r="J1166" s="276" t="s">
        <v>6747</v>
      </c>
      <c r="K1166" s="276"/>
      <c r="L1166" s="385" t="s">
        <v>13923</v>
      </c>
      <c r="M1166" s="276"/>
    </row>
    <row r="1167" spans="1:13">
      <c r="A1167" s="277">
        <f>VLOOKUP(B1167, 'PubMed 10.7.21 Results'!B:B, 1, FALSE)</f>
        <v>21355969</v>
      </c>
      <c r="B1167" s="277">
        <v>21355969</v>
      </c>
      <c r="C1167" s="276" t="s">
        <v>10236</v>
      </c>
      <c r="D1167" s="276" t="s">
        <v>10237</v>
      </c>
      <c r="E1167" s="276" t="s">
        <v>10238</v>
      </c>
      <c r="F1167" s="276" t="s">
        <v>7647</v>
      </c>
      <c r="G1167" s="276" t="s">
        <v>10239</v>
      </c>
      <c r="H1167" s="277">
        <v>2011</v>
      </c>
      <c r="I1167" s="386">
        <v>40604</v>
      </c>
      <c r="J1167" s="276"/>
      <c r="K1167" s="276"/>
      <c r="L1167" s="385" t="s">
        <v>10240</v>
      </c>
      <c r="M1167" s="276"/>
    </row>
    <row r="1168" spans="1:13">
      <c r="A1168" s="277">
        <f>VLOOKUP(B1168, 'PubMed 10.7.21 Results'!B:B, 1, FALSE)</f>
        <v>33499310</v>
      </c>
      <c r="B1168" s="277">
        <v>33499310</v>
      </c>
      <c r="C1168" s="276" t="s">
        <v>14018</v>
      </c>
      <c r="D1168" s="276" t="s">
        <v>14019</v>
      </c>
      <c r="E1168" s="276" t="s">
        <v>14020</v>
      </c>
      <c r="F1168" s="276" t="s">
        <v>6728</v>
      </c>
      <c r="G1168" s="276" t="s">
        <v>13234</v>
      </c>
      <c r="H1168" s="277">
        <v>2021</v>
      </c>
      <c r="I1168" s="386">
        <v>44223</v>
      </c>
      <c r="J1168" s="276" t="s">
        <v>6729</v>
      </c>
      <c r="K1168" s="276"/>
      <c r="L1168" s="385" t="s">
        <v>14021</v>
      </c>
      <c r="M1168" s="276"/>
    </row>
    <row r="1169" spans="1:13">
      <c r="A1169" s="277">
        <f>VLOOKUP(B1169, 'PubMed 10.7.21 Results'!B:B, 1, FALSE)</f>
        <v>28913600</v>
      </c>
      <c r="B1169" s="277">
        <v>28913600</v>
      </c>
      <c r="C1169" s="276" t="s">
        <v>12683</v>
      </c>
      <c r="D1169" s="276" t="s">
        <v>12684</v>
      </c>
      <c r="E1169" s="276" t="s">
        <v>12685</v>
      </c>
      <c r="F1169" s="276" t="s">
        <v>7196</v>
      </c>
      <c r="G1169" s="276" t="s">
        <v>12686</v>
      </c>
      <c r="H1169" s="277">
        <v>2018</v>
      </c>
      <c r="I1169" s="386">
        <v>42994</v>
      </c>
      <c r="J1169" s="276" t="s">
        <v>7197</v>
      </c>
      <c r="K1169" s="276"/>
      <c r="L1169" s="385" t="s">
        <v>12687</v>
      </c>
      <c r="M1169" s="276"/>
    </row>
    <row r="1170" spans="1:13">
      <c r="A1170" s="277">
        <f>VLOOKUP(B1170, 'PubMed 10.7.21 Results'!B:B, 1, FALSE)</f>
        <v>25659142</v>
      </c>
      <c r="B1170" s="277">
        <v>25659142</v>
      </c>
      <c r="C1170" s="276" t="s">
        <v>11289</v>
      </c>
      <c r="D1170" s="276" t="s">
        <v>11290</v>
      </c>
      <c r="E1170" s="276" t="s">
        <v>11291</v>
      </c>
      <c r="F1170" s="276" t="s">
        <v>6659</v>
      </c>
      <c r="G1170" s="276" t="s">
        <v>10379</v>
      </c>
      <c r="H1170" s="277">
        <v>2015</v>
      </c>
      <c r="I1170" s="386">
        <v>42042</v>
      </c>
      <c r="J1170" s="276" t="s">
        <v>6660</v>
      </c>
      <c r="K1170" s="276"/>
      <c r="L1170" s="385" t="s">
        <v>11292</v>
      </c>
      <c r="M1170" s="276"/>
    </row>
    <row r="1171" spans="1:13">
      <c r="A1171" s="277">
        <f>VLOOKUP(B1171, 'PubMed 10.7.21 Results'!B:B, 1, FALSE)</f>
        <v>31843246</v>
      </c>
      <c r="B1171" s="277">
        <v>31843246</v>
      </c>
      <c r="C1171" s="276" t="s">
        <v>13347</v>
      </c>
      <c r="D1171" s="276" t="s">
        <v>13348</v>
      </c>
      <c r="E1171" s="276" t="s">
        <v>13349</v>
      </c>
      <c r="F1171" s="276" t="s">
        <v>6607</v>
      </c>
      <c r="G1171" s="276" t="s">
        <v>13350</v>
      </c>
      <c r="H1171" s="277">
        <v>2020</v>
      </c>
      <c r="I1171" s="386">
        <v>43817</v>
      </c>
      <c r="J1171" s="276"/>
      <c r="K1171" s="276"/>
      <c r="L1171" s="385" t="s">
        <v>13351</v>
      </c>
      <c r="M1171" s="276"/>
    </row>
    <row r="1172" spans="1:13">
      <c r="A1172" s="277">
        <f>VLOOKUP(B1172, 'PubMed 10.7.21 Results'!B:B, 1, FALSE)</f>
        <v>29654069</v>
      </c>
      <c r="B1172" s="277">
        <v>29654069</v>
      </c>
      <c r="C1172" s="276" t="s">
        <v>12601</v>
      </c>
      <c r="D1172" s="276" t="s">
        <v>12602</v>
      </c>
      <c r="E1172" s="276" t="s">
        <v>12603</v>
      </c>
      <c r="F1172" s="276" t="s">
        <v>7440</v>
      </c>
      <c r="G1172" s="276" t="s">
        <v>12604</v>
      </c>
      <c r="H1172" s="277">
        <v>2018</v>
      </c>
      <c r="I1172" s="386">
        <v>43205</v>
      </c>
      <c r="J1172" s="276"/>
      <c r="K1172" s="276"/>
      <c r="L1172" s="385" t="s">
        <v>12605</v>
      </c>
      <c r="M1172" s="276"/>
    </row>
    <row r="1173" spans="1:13">
      <c r="A1173" s="277">
        <f>VLOOKUP(B1173, 'PubMed 10.7.21 Results'!B:B, 1, FALSE)</f>
        <v>33453783</v>
      </c>
      <c r="B1173" s="277">
        <v>33453783</v>
      </c>
      <c r="C1173" s="276" t="s">
        <v>14009</v>
      </c>
      <c r="D1173" s="276" t="s">
        <v>14010</v>
      </c>
      <c r="E1173" s="276" t="s">
        <v>14011</v>
      </c>
      <c r="F1173" s="276" t="s">
        <v>6514</v>
      </c>
      <c r="G1173" s="276" t="s">
        <v>9420</v>
      </c>
      <c r="H1173" s="277">
        <v>2021</v>
      </c>
      <c r="I1173" s="386">
        <v>44213</v>
      </c>
      <c r="J1173" s="276"/>
      <c r="K1173" s="276"/>
      <c r="L1173" s="385" t="s">
        <v>14012</v>
      </c>
      <c r="M1173" s="276"/>
    </row>
    <row r="1174" spans="1:13">
      <c r="A1174" s="277">
        <f>VLOOKUP(B1174, 'PubMed 10.7.21 Results'!B:B, 1, FALSE)</f>
        <v>26826498</v>
      </c>
      <c r="B1174" s="277">
        <v>26826498</v>
      </c>
      <c r="C1174" s="276" t="s">
        <v>11761</v>
      </c>
      <c r="D1174" s="276" t="s">
        <v>11762</v>
      </c>
      <c r="E1174" s="276" t="s">
        <v>11763</v>
      </c>
      <c r="F1174" s="276" t="s">
        <v>7009</v>
      </c>
      <c r="G1174" s="276" t="s">
        <v>11764</v>
      </c>
      <c r="H1174" s="277">
        <v>2016</v>
      </c>
      <c r="I1174" s="386">
        <v>42400</v>
      </c>
      <c r="J1174" s="276" t="s">
        <v>7010</v>
      </c>
      <c r="K1174" s="276" t="s">
        <v>11765</v>
      </c>
      <c r="L1174" s="385" t="s">
        <v>11766</v>
      </c>
      <c r="M1174" s="276"/>
    </row>
    <row r="1175" spans="1:13">
      <c r="A1175" s="277">
        <f>VLOOKUP(B1175, 'PubMed 10.7.21 Results'!B:B, 1, FALSE)</f>
        <v>31168411</v>
      </c>
      <c r="B1175" s="277">
        <v>31168411</v>
      </c>
      <c r="C1175" s="276" t="s">
        <v>13011</v>
      </c>
      <c r="D1175" s="276" t="s">
        <v>13012</v>
      </c>
      <c r="E1175" s="276" t="s">
        <v>13013</v>
      </c>
      <c r="F1175" s="276" t="s">
        <v>6597</v>
      </c>
      <c r="G1175" s="276" t="s">
        <v>13014</v>
      </c>
      <c r="H1175" s="277">
        <v>2019</v>
      </c>
      <c r="I1175" s="386">
        <v>43623</v>
      </c>
      <c r="J1175" s="276" t="s">
        <v>6598</v>
      </c>
      <c r="K1175" s="276"/>
      <c r="L1175" s="385" t="s">
        <v>13015</v>
      </c>
      <c r="M1175" s="276"/>
    </row>
    <row r="1176" spans="1:13">
      <c r="A1176" s="277">
        <f>VLOOKUP(B1176, 'PubMed 10.7.21 Results'!B:B, 1, FALSE)</f>
        <v>28920492</v>
      </c>
      <c r="B1176" s="277">
        <v>28920492</v>
      </c>
      <c r="C1176" s="276" t="s">
        <v>12342</v>
      </c>
      <c r="D1176" s="276" t="s">
        <v>12343</v>
      </c>
      <c r="E1176" s="276" t="s">
        <v>12344</v>
      </c>
      <c r="F1176" s="276" t="s">
        <v>6980</v>
      </c>
      <c r="G1176" s="276" t="s">
        <v>9976</v>
      </c>
      <c r="H1176" s="277">
        <v>2017</v>
      </c>
      <c r="I1176" s="386">
        <v>42997</v>
      </c>
      <c r="J1176" s="276"/>
      <c r="K1176" s="276"/>
      <c r="L1176" s="385" t="s">
        <v>12345</v>
      </c>
      <c r="M1176" s="276"/>
    </row>
    <row r="1177" spans="1:13">
      <c r="A1177" s="277">
        <f>VLOOKUP(B1177, 'PubMed 10.7.21 Results'!B:B, 1, FALSE)</f>
        <v>31394914</v>
      </c>
      <c r="B1177" s="277">
        <v>31394914</v>
      </c>
      <c r="C1177" s="276" t="s">
        <v>13241</v>
      </c>
      <c r="D1177" s="276" t="s">
        <v>13242</v>
      </c>
      <c r="E1177" s="276" t="s">
        <v>13243</v>
      </c>
      <c r="F1177" s="276" t="s">
        <v>6481</v>
      </c>
      <c r="G1177" s="276" t="s">
        <v>13244</v>
      </c>
      <c r="H1177" s="277">
        <v>2019</v>
      </c>
      <c r="I1177" s="386">
        <v>43687</v>
      </c>
      <c r="J1177" s="276" t="s">
        <v>6482</v>
      </c>
      <c r="K1177" s="276"/>
      <c r="L1177" s="385" t="s">
        <v>13245</v>
      </c>
      <c r="M1177" s="276"/>
    </row>
    <row r="1178" spans="1:13">
      <c r="A1178" s="277">
        <f>VLOOKUP(B1178, 'PubMed 10.7.21 Results'!B:B, 1, FALSE)</f>
        <v>26516810</v>
      </c>
      <c r="B1178" s="277">
        <v>26516810</v>
      </c>
      <c r="C1178" s="276" t="s">
        <v>11582</v>
      </c>
      <c r="D1178" s="276" t="s">
        <v>11583</v>
      </c>
      <c r="E1178" s="276" t="s">
        <v>11584</v>
      </c>
      <c r="F1178" s="276" t="s">
        <v>8006</v>
      </c>
      <c r="G1178" s="276" t="s">
        <v>11585</v>
      </c>
      <c r="H1178" s="277">
        <v>2016</v>
      </c>
      <c r="I1178" s="386">
        <v>42308</v>
      </c>
      <c r="J1178" s="276" t="s">
        <v>8007</v>
      </c>
      <c r="K1178" s="276" t="s">
        <v>11586</v>
      </c>
      <c r="L1178" s="385" t="s">
        <v>11587</v>
      </c>
      <c r="M1178" s="276"/>
    </row>
    <row r="1179" spans="1:13">
      <c r="A1179" s="277">
        <f>VLOOKUP(B1179, 'PubMed 10.7.21 Results'!B:B, 1, FALSE)</f>
        <v>7595741</v>
      </c>
      <c r="B1179" s="277">
        <v>7595741</v>
      </c>
      <c r="C1179" s="276" t="s">
        <v>8544</v>
      </c>
      <c r="D1179" s="276" t="s">
        <v>8545</v>
      </c>
      <c r="E1179" s="276" t="s">
        <v>8546</v>
      </c>
      <c r="F1179" s="276" t="s">
        <v>7216</v>
      </c>
      <c r="G1179" s="276" t="s">
        <v>8547</v>
      </c>
      <c r="H1179" s="277">
        <v>1995</v>
      </c>
      <c r="I1179" s="386">
        <v>35004</v>
      </c>
      <c r="J1179" s="276"/>
      <c r="K1179" s="276"/>
      <c r="L1179" s="385" t="s">
        <v>8548</v>
      </c>
      <c r="M1179" s="276"/>
    </row>
    <row r="1180" spans="1:13">
      <c r="A1180" s="277">
        <f>VLOOKUP(B1180, 'PubMed 10.7.21 Results'!B:B, 1, FALSE)</f>
        <v>18035190</v>
      </c>
      <c r="B1180" s="277">
        <v>18035190</v>
      </c>
      <c r="C1180" s="276" t="s">
        <v>9472</v>
      </c>
      <c r="D1180" s="276" t="s">
        <v>9473</v>
      </c>
      <c r="E1180" s="276" t="s">
        <v>9474</v>
      </c>
      <c r="F1180" s="276" t="s">
        <v>6734</v>
      </c>
      <c r="G1180" s="276" t="s">
        <v>8640</v>
      </c>
      <c r="H1180" s="277">
        <v>2007</v>
      </c>
      <c r="I1180" s="386">
        <v>39410</v>
      </c>
      <c r="J1180" s="276"/>
      <c r="K1180" s="276"/>
      <c r="L1180" s="385" t="s">
        <v>9475</v>
      </c>
      <c r="M1180" s="276"/>
    </row>
    <row r="1181" spans="1:13">
      <c r="A1181" s="277">
        <f>VLOOKUP(B1181, 'PubMed 10.7.21 Results'!B:B, 1, FALSE)</f>
        <v>32334570</v>
      </c>
      <c r="B1181" s="277">
        <v>32334570</v>
      </c>
      <c r="C1181" s="276" t="s">
        <v>13503</v>
      </c>
      <c r="D1181" s="276" t="s">
        <v>13504</v>
      </c>
      <c r="E1181" s="276" t="s">
        <v>13505</v>
      </c>
      <c r="F1181" s="276" t="s">
        <v>7736</v>
      </c>
      <c r="G1181" s="276" t="s">
        <v>11567</v>
      </c>
      <c r="H1181" s="277">
        <v>2020</v>
      </c>
      <c r="I1181" s="386">
        <v>43948</v>
      </c>
      <c r="J1181" s="276" t="s">
        <v>7737</v>
      </c>
      <c r="K1181" s="276"/>
      <c r="L1181" s="385" t="s">
        <v>13506</v>
      </c>
      <c r="M1181" s="276"/>
    </row>
    <row r="1182" spans="1:13">
      <c r="A1182" s="277">
        <f>VLOOKUP(B1182, 'PubMed 10.7.21 Results'!B:B, 1, FALSE)</f>
        <v>28302407</v>
      </c>
      <c r="B1182" s="277">
        <v>28302407</v>
      </c>
      <c r="C1182" s="276" t="s">
        <v>12075</v>
      </c>
      <c r="D1182" s="276" t="s">
        <v>12076</v>
      </c>
      <c r="E1182" s="276" t="s">
        <v>12077</v>
      </c>
      <c r="F1182" s="276" t="s">
        <v>7325</v>
      </c>
      <c r="G1182" s="276" t="s">
        <v>21</v>
      </c>
      <c r="H1182" s="277">
        <v>2017</v>
      </c>
      <c r="I1182" s="386">
        <v>42812</v>
      </c>
      <c r="J1182" s="276"/>
      <c r="K1182" s="276"/>
      <c r="L1182" s="385" t="s">
        <v>12078</v>
      </c>
      <c r="M1182" s="276"/>
    </row>
    <row r="1183" spans="1:13">
      <c r="A1183" s="277">
        <f>VLOOKUP(B1183, 'PubMed 10.7.21 Results'!B:B, 1, FALSE)</f>
        <v>25455987</v>
      </c>
      <c r="B1183" s="277">
        <v>25455987</v>
      </c>
      <c r="C1183" s="276" t="s">
        <v>11217</v>
      </c>
      <c r="D1183" s="276" t="s">
        <v>11218</v>
      </c>
      <c r="E1183" s="276" t="s">
        <v>11219</v>
      </c>
      <c r="F1183" s="276" t="s">
        <v>7205</v>
      </c>
      <c r="G1183" s="276" t="s">
        <v>10976</v>
      </c>
      <c r="H1183" s="277">
        <v>2014</v>
      </c>
      <c r="I1183" s="386">
        <v>41976</v>
      </c>
      <c r="J1183" s="276"/>
      <c r="K1183" s="276"/>
      <c r="L1183" s="385" t="s">
        <v>11220</v>
      </c>
      <c r="M1183" s="276"/>
    </row>
    <row r="1184" spans="1:13">
      <c r="A1184" s="277">
        <f>VLOOKUP(B1184, 'PubMed 10.7.21 Results'!B:B, 1, FALSE)</f>
        <v>20629597</v>
      </c>
      <c r="B1184" s="277">
        <v>20629597</v>
      </c>
      <c r="C1184" s="276" t="s">
        <v>10028</v>
      </c>
      <c r="D1184" s="276" t="s">
        <v>10029</v>
      </c>
      <c r="E1184" s="276" t="s">
        <v>10030</v>
      </c>
      <c r="F1184" s="276" t="s">
        <v>6465</v>
      </c>
      <c r="G1184" s="276" t="s">
        <v>8762</v>
      </c>
      <c r="H1184" s="277">
        <v>2010</v>
      </c>
      <c r="I1184" s="386">
        <v>40375</v>
      </c>
      <c r="J1184" s="276"/>
      <c r="K1184" s="276"/>
      <c r="L1184" s="385" t="s">
        <v>10031</v>
      </c>
      <c r="M1184" s="276"/>
    </row>
    <row r="1185" spans="1:13">
      <c r="A1185" s="277">
        <f>VLOOKUP(B1185, 'PubMed 10.7.21 Results'!B:B, 1, FALSE)</f>
        <v>29730228</v>
      </c>
      <c r="B1185" s="277">
        <v>29730228</v>
      </c>
      <c r="C1185" s="276" t="s">
        <v>12693</v>
      </c>
      <c r="D1185" s="276" t="s">
        <v>12694</v>
      </c>
      <c r="E1185" s="276" t="s">
        <v>12695</v>
      </c>
      <c r="F1185" s="276" t="s">
        <v>6584</v>
      </c>
      <c r="G1185" s="276" t="s">
        <v>12696</v>
      </c>
      <c r="H1185" s="277">
        <v>2018</v>
      </c>
      <c r="I1185" s="386">
        <v>43227</v>
      </c>
      <c r="J1185" s="276"/>
      <c r="K1185" s="276"/>
      <c r="L1185" s="385" t="s">
        <v>12697</v>
      </c>
      <c r="M1185" s="276"/>
    </row>
    <row r="1186" spans="1:13">
      <c r="A1186" s="277">
        <f>VLOOKUP(B1186, 'PubMed 10.7.21 Results'!B:B, 1, FALSE)</f>
        <v>27797129</v>
      </c>
      <c r="B1186" s="277">
        <v>27797129</v>
      </c>
      <c r="C1186" s="276" t="s">
        <v>11870</v>
      </c>
      <c r="D1186" s="276" t="s">
        <v>11871</v>
      </c>
      <c r="E1186" s="276" t="s">
        <v>11872</v>
      </c>
      <c r="F1186" s="276" t="s">
        <v>6758</v>
      </c>
      <c r="G1186" s="276" t="s">
        <v>8857</v>
      </c>
      <c r="H1186" s="277">
        <v>2016</v>
      </c>
      <c r="I1186" s="386">
        <v>42676</v>
      </c>
      <c r="J1186" s="276" t="s">
        <v>6759</v>
      </c>
      <c r="K1186" s="276" t="s">
        <v>11873</v>
      </c>
      <c r="L1186" s="385" t="s">
        <v>11874</v>
      </c>
      <c r="M1186" s="276"/>
    </row>
    <row r="1187" spans="1:13">
      <c r="A1187" s="277">
        <f>VLOOKUP(B1187, 'PubMed 10.7.21 Results'!B:B, 1, FALSE)</f>
        <v>27306628</v>
      </c>
      <c r="B1187" s="277">
        <v>27306628</v>
      </c>
      <c r="C1187" s="276" t="s">
        <v>11804</v>
      </c>
      <c r="D1187" s="276" t="s">
        <v>11805</v>
      </c>
      <c r="E1187" s="276" t="s">
        <v>11806</v>
      </c>
      <c r="F1187" s="276" t="s">
        <v>7591</v>
      </c>
      <c r="G1187" s="276" t="s">
        <v>8529</v>
      </c>
      <c r="H1187" s="277">
        <v>2016</v>
      </c>
      <c r="I1187" s="386">
        <v>42538</v>
      </c>
      <c r="J1187" s="276" t="s">
        <v>7592</v>
      </c>
      <c r="K1187" s="276"/>
      <c r="L1187" s="385" t="s">
        <v>11807</v>
      </c>
      <c r="M1187" s="276"/>
    </row>
    <row r="1188" spans="1:13">
      <c r="A1188" s="277">
        <f>VLOOKUP(B1188, 'PubMed 10.7.21 Results'!B:B, 1, FALSE)</f>
        <v>28557548</v>
      </c>
      <c r="B1188" s="277">
        <v>28557548</v>
      </c>
      <c r="C1188" s="276" t="s">
        <v>12267</v>
      </c>
      <c r="D1188" s="276" t="s">
        <v>12268</v>
      </c>
      <c r="E1188" s="276" t="s">
        <v>12269</v>
      </c>
      <c r="F1188" s="276" t="s">
        <v>8063</v>
      </c>
      <c r="G1188" s="276" t="s">
        <v>10810</v>
      </c>
      <c r="H1188" s="277">
        <v>2017</v>
      </c>
      <c r="I1188" s="386">
        <v>42886</v>
      </c>
      <c r="J1188" s="276" t="s">
        <v>8064</v>
      </c>
      <c r="K1188" s="276"/>
      <c r="L1188" s="385" t="s">
        <v>12270</v>
      </c>
      <c r="M1188" s="276"/>
    </row>
    <row r="1189" spans="1:13">
      <c r="A1189" s="277">
        <f>VLOOKUP(B1189, 'PubMed 10.7.21 Results'!B:B, 1, FALSE)</f>
        <v>21714999</v>
      </c>
      <c r="B1189" s="277">
        <v>21714999</v>
      </c>
      <c r="C1189" s="276" t="s">
        <v>10231</v>
      </c>
      <c r="D1189" s="276" t="s">
        <v>10232</v>
      </c>
      <c r="E1189" s="276" t="s">
        <v>10233</v>
      </c>
      <c r="F1189" s="276" t="s">
        <v>8061</v>
      </c>
      <c r="G1189" s="276" t="s">
        <v>9420</v>
      </c>
      <c r="H1189" s="277">
        <v>2011</v>
      </c>
      <c r="I1189" s="386">
        <v>40725</v>
      </c>
      <c r="J1189" s="276" t="s">
        <v>8062</v>
      </c>
      <c r="K1189" s="276" t="s">
        <v>10234</v>
      </c>
      <c r="L1189" s="385" t="s">
        <v>10235</v>
      </c>
      <c r="M1189" s="276"/>
    </row>
    <row r="1190" spans="1:13">
      <c r="A1190" s="277">
        <f>VLOOKUP(B1190, 'PubMed 10.7.21 Results'!B:B, 1, FALSE)</f>
        <v>30794314</v>
      </c>
      <c r="B1190" s="277">
        <v>30794314</v>
      </c>
      <c r="C1190" s="276" t="s">
        <v>12982</v>
      </c>
      <c r="D1190" s="276" t="s">
        <v>12983</v>
      </c>
      <c r="E1190" s="276" t="s">
        <v>12984</v>
      </c>
      <c r="F1190" s="276" t="s">
        <v>6864</v>
      </c>
      <c r="G1190" s="276" t="s">
        <v>8580</v>
      </c>
      <c r="H1190" s="277">
        <v>2019</v>
      </c>
      <c r="I1190" s="386">
        <v>43519</v>
      </c>
      <c r="J1190" s="276" t="s">
        <v>6865</v>
      </c>
      <c r="K1190" s="276"/>
      <c r="L1190" s="385" t="s">
        <v>12985</v>
      </c>
      <c r="M1190" s="276"/>
    </row>
    <row r="1191" spans="1:13">
      <c r="A1191" s="277">
        <f>VLOOKUP(B1191, 'PubMed 10.7.21 Results'!B:B, 1, FALSE)</f>
        <v>31042143</v>
      </c>
      <c r="B1191" s="277">
        <v>31042143</v>
      </c>
      <c r="C1191" s="276" t="s">
        <v>12999</v>
      </c>
      <c r="D1191" s="276" t="s">
        <v>13000</v>
      </c>
      <c r="E1191" s="276" t="s">
        <v>13001</v>
      </c>
      <c r="F1191" s="276" t="s">
        <v>6827</v>
      </c>
      <c r="G1191" s="276" t="s">
        <v>9359</v>
      </c>
      <c r="H1191" s="277">
        <v>2019</v>
      </c>
      <c r="I1191" s="386">
        <v>43587</v>
      </c>
      <c r="J1191" s="276" t="s">
        <v>6828</v>
      </c>
      <c r="K1191" s="276"/>
      <c r="L1191" s="385" t="s">
        <v>13002</v>
      </c>
      <c r="M1191" s="276"/>
    </row>
    <row r="1192" spans="1:13">
      <c r="A1192" s="277">
        <f>VLOOKUP(B1192, 'PubMed 10.7.21 Results'!B:B, 1, FALSE)</f>
        <v>31652166</v>
      </c>
      <c r="B1192" s="277">
        <v>31652166</v>
      </c>
      <c r="C1192" s="276" t="s">
        <v>13264</v>
      </c>
      <c r="D1192" s="276" t="s">
        <v>13265</v>
      </c>
      <c r="E1192" s="276" t="s">
        <v>13266</v>
      </c>
      <c r="F1192" s="276" t="s">
        <v>6665</v>
      </c>
      <c r="G1192" s="276" t="s">
        <v>13267</v>
      </c>
      <c r="H1192" s="277">
        <v>2019</v>
      </c>
      <c r="I1192" s="386">
        <v>43764</v>
      </c>
      <c r="J1192" s="276"/>
      <c r="K1192" s="276"/>
      <c r="L1192" s="385" t="s">
        <v>13268</v>
      </c>
      <c r="M1192" s="276"/>
    </row>
    <row r="1193" spans="1:13">
      <c r="A1193" s="277">
        <f>VLOOKUP(B1193, 'PubMed 10.7.21 Results'!B:B, 1, FALSE)</f>
        <v>29884593</v>
      </c>
      <c r="B1193" s="277">
        <v>29884593</v>
      </c>
      <c r="C1193" s="276" t="s">
        <v>12610</v>
      </c>
      <c r="D1193" s="276" t="s">
        <v>12611</v>
      </c>
      <c r="E1193" s="276" t="s">
        <v>12612</v>
      </c>
      <c r="F1193" s="276" t="s">
        <v>8143</v>
      </c>
      <c r="G1193" s="276" t="s">
        <v>11132</v>
      </c>
      <c r="H1193" s="277">
        <v>2018</v>
      </c>
      <c r="I1193" s="386">
        <v>43261</v>
      </c>
      <c r="J1193" s="276"/>
      <c r="K1193" s="276"/>
      <c r="L1193" s="385" t="s">
        <v>12613</v>
      </c>
      <c r="M1193" s="276"/>
    </row>
    <row r="1194" spans="1:13">
      <c r="A1194" s="277">
        <f>VLOOKUP(B1194, 'PubMed 10.7.21 Results'!B:B, 1, FALSE)</f>
        <v>17666472</v>
      </c>
      <c r="B1194" s="277">
        <v>17666472</v>
      </c>
      <c r="C1194" s="276" t="s">
        <v>9476</v>
      </c>
      <c r="D1194" s="276" t="s">
        <v>9477</v>
      </c>
      <c r="E1194" s="276" t="s">
        <v>9478</v>
      </c>
      <c r="F1194" s="276" t="s">
        <v>7827</v>
      </c>
      <c r="G1194" s="276" t="s">
        <v>8787</v>
      </c>
      <c r="H1194" s="277">
        <v>2007</v>
      </c>
      <c r="I1194" s="386">
        <v>39296</v>
      </c>
      <c r="J1194" s="276"/>
      <c r="K1194" s="276"/>
      <c r="L1194" s="385" t="s">
        <v>9479</v>
      </c>
      <c r="M1194" s="276"/>
    </row>
    <row r="1195" spans="1:13">
      <c r="A1195" s="277">
        <f>VLOOKUP(B1195, 'PubMed 10.7.21 Results'!B:B, 1, FALSE)</f>
        <v>29135651</v>
      </c>
      <c r="B1195" s="277">
        <v>29135651</v>
      </c>
      <c r="C1195" s="276" t="s">
        <v>12398</v>
      </c>
      <c r="D1195" s="276" t="s">
        <v>12399</v>
      </c>
      <c r="E1195" s="276" t="s">
        <v>12400</v>
      </c>
      <c r="F1195" s="276" t="s">
        <v>7688</v>
      </c>
      <c r="G1195" s="276" t="s">
        <v>12401</v>
      </c>
      <c r="H1195" s="277">
        <v>2018</v>
      </c>
      <c r="I1195" s="386">
        <v>43054</v>
      </c>
      <c r="J1195" s="276" t="s">
        <v>7689</v>
      </c>
      <c r="K1195" s="276" t="s">
        <v>12402</v>
      </c>
      <c r="L1195" s="385" t="s">
        <v>12403</v>
      </c>
      <c r="M1195" s="276"/>
    </row>
    <row r="1196" spans="1:13">
      <c r="A1196" s="277">
        <f>VLOOKUP(B1196, 'PubMed 10.7.21 Results'!B:B, 1, FALSE)</f>
        <v>31131994</v>
      </c>
      <c r="B1196" s="277">
        <v>31131994</v>
      </c>
      <c r="C1196" s="276" t="s">
        <v>13236</v>
      </c>
      <c r="D1196" s="276" t="s">
        <v>13237</v>
      </c>
      <c r="E1196" s="276" t="s">
        <v>13238</v>
      </c>
      <c r="F1196" s="276" t="s">
        <v>7397</v>
      </c>
      <c r="G1196" s="276" t="s">
        <v>13239</v>
      </c>
      <c r="H1196" s="277">
        <v>2019</v>
      </c>
      <c r="I1196" s="386">
        <v>43613</v>
      </c>
      <c r="J1196" s="276"/>
      <c r="K1196" s="276"/>
      <c r="L1196" s="385" t="s">
        <v>13240</v>
      </c>
      <c r="M1196" s="276"/>
    </row>
    <row r="1197" spans="1:13">
      <c r="A1197" s="277">
        <f>VLOOKUP(B1197, 'PubMed 10.7.21 Results'!B:B, 1, FALSE)</f>
        <v>30547802</v>
      </c>
      <c r="B1197" s="277">
        <v>30547802</v>
      </c>
      <c r="C1197" s="276" t="s">
        <v>12826</v>
      </c>
      <c r="D1197" s="276" t="s">
        <v>12827</v>
      </c>
      <c r="E1197" s="276" t="s">
        <v>12828</v>
      </c>
      <c r="F1197" s="276" t="s">
        <v>7184</v>
      </c>
      <c r="G1197" s="276" t="s">
        <v>12829</v>
      </c>
      <c r="H1197" s="277">
        <v>2018</v>
      </c>
      <c r="I1197" s="386">
        <v>43449</v>
      </c>
      <c r="J1197" s="276" t="s">
        <v>7185</v>
      </c>
      <c r="K1197" s="276"/>
      <c r="L1197" s="385" t="s">
        <v>12830</v>
      </c>
      <c r="M1197" s="276"/>
    </row>
    <row r="1198" spans="1:13">
      <c r="A1198" s="277">
        <f>VLOOKUP(B1198, 'PubMed 10.7.21 Results'!B:B, 1, FALSE)</f>
        <v>30266608</v>
      </c>
      <c r="B1198" s="277">
        <v>30266608</v>
      </c>
      <c r="C1198" s="276" t="s">
        <v>12817</v>
      </c>
      <c r="D1198" s="276" t="s">
        <v>12818</v>
      </c>
      <c r="E1198" s="276" t="s">
        <v>12819</v>
      </c>
      <c r="F1198" s="276" t="s">
        <v>6871</v>
      </c>
      <c r="G1198" s="276" t="s">
        <v>9014</v>
      </c>
      <c r="H1198" s="277">
        <v>2018</v>
      </c>
      <c r="I1198" s="386">
        <v>43373</v>
      </c>
      <c r="J1198" s="276"/>
      <c r="K1198" s="276"/>
      <c r="L1198" s="385" t="s">
        <v>12820</v>
      </c>
      <c r="M1198" s="276"/>
    </row>
    <row r="1199" spans="1:13">
      <c r="A1199" s="277">
        <f>VLOOKUP(B1199, 'PubMed 10.7.21 Results'!B:B, 1, FALSE)</f>
        <v>33270629</v>
      </c>
      <c r="B1199" s="277">
        <v>33270629</v>
      </c>
      <c r="C1199" s="276" t="s">
        <v>13928</v>
      </c>
      <c r="D1199" s="276" t="s">
        <v>13929</v>
      </c>
      <c r="E1199" s="276" t="s">
        <v>13930</v>
      </c>
      <c r="F1199" s="276" t="s">
        <v>7790</v>
      </c>
      <c r="G1199" s="276" t="s">
        <v>10379</v>
      </c>
      <c r="H1199" s="277">
        <v>2020</v>
      </c>
      <c r="I1199" s="386">
        <v>44168</v>
      </c>
      <c r="J1199" s="276" t="s">
        <v>7791</v>
      </c>
      <c r="K1199" s="276"/>
      <c r="L1199" s="385" t="s">
        <v>13931</v>
      </c>
      <c r="M1199" s="276"/>
    </row>
    <row r="1200" spans="1:13">
      <c r="A1200" s="277">
        <f>VLOOKUP(B1200, 'PubMed 10.7.21 Results'!B:B, 1, FALSE)</f>
        <v>17922274</v>
      </c>
      <c r="B1200" s="277">
        <v>17922274</v>
      </c>
      <c r="C1200" s="276" t="s">
        <v>9605</v>
      </c>
      <c r="D1200" s="276" t="s">
        <v>9606</v>
      </c>
      <c r="E1200" s="276" t="s">
        <v>9607</v>
      </c>
      <c r="F1200" s="276" t="s">
        <v>7149</v>
      </c>
      <c r="G1200" s="276" t="s">
        <v>9608</v>
      </c>
      <c r="H1200" s="277">
        <v>2008</v>
      </c>
      <c r="I1200" s="386">
        <v>39364</v>
      </c>
      <c r="J1200" s="276"/>
      <c r="K1200" s="276"/>
      <c r="L1200" s="385" t="s">
        <v>9609</v>
      </c>
      <c r="M1200" s="276"/>
    </row>
    <row r="1201" spans="1:13">
      <c r="A1201" s="277">
        <f>VLOOKUP(B1201, 'PubMed 10.7.21 Results'!B:B, 1, FALSE)</f>
        <v>24963105</v>
      </c>
      <c r="B1201" s="277">
        <v>24963105</v>
      </c>
      <c r="C1201" s="276" t="s">
        <v>11069</v>
      </c>
      <c r="D1201" s="276" t="s">
        <v>11070</v>
      </c>
      <c r="E1201" s="276" t="s">
        <v>11071</v>
      </c>
      <c r="F1201" s="276" t="s">
        <v>7288</v>
      </c>
      <c r="G1201" s="276" t="s">
        <v>11072</v>
      </c>
      <c r="H1201" s="277">
        <v>2014</v>
      </c>
      <c r="I1201" s="386">
        <v>41816</v>
      </c>
      <c r="J1201" s="276" t="s">
        <v>7289</v>
      </c>
      <c r="K1201" s="276"/>
      <c r="L1201" s="385" t="s">
        <v>11073</v>
      </c>
      <c r="M1201" s="276"/>
    </row>
    <row r="1202" spans="1:13">
      <c r="A1202" s="277">
        <f>VLOOKUP(B1202, 'PubMed 10.7.21 Results'!B:B, 1, FALSE)</f>
        <v>31978221</v>
      </c>
      <c r="B1202" s="277">
        <v>31978221</v>
      </c>
      <c r="C1202" s="276" t="s">
        <v>13470</v>
      </c>
      <c r="D1202" s="276" t="s">
        <v>13471</v>
      </c>
      <c r="E1202" s="276" t="s">
        <v>13472</v>
      </c>
      <c r="F1202" s="276" t="s">
        <v>7701</v>
      </c>
      <c r="G1202" s="276" t="s">
        <v>8540</v>
      </c>
      <c r="H1202" s="277">
        <v>2020</v>
      </c>
      <c r="I1202" s="386">
        <v>43855</v>
      </c>
      <c r="J1202" s="276" t="s">
        <v>7702</v>
      </c>
      <c r="K1202" s="276"/>
      <c r="L1202" s="385" t="s">
        <v>13473</v>
      </c>
      <c r="M1202" s="276"/>
    </row>
    <row r="1203" spans="1:13">
      <c r="A1203" s="277">
        <f>VLOOKUP(B1203, 'PubMed 10.7.21 Results'!B:B, 1, FALSE)</f>
        <v>28062950</v>
      </c>
      <c r="B1203" s="277">
        <v>28062950</v>
      </c>
      <c r="C1203" s="276" t="s">
        <v>12257</v>
      </c>
      <c r="D1203" s="276" t="s">
        <v>12258</v>
      </c>
      <c r="E1203" s="276" t="s">
        <v>12259</v>
      </c>
      <c r="F1203" s="276" t="s">
        <v>7227</v>
      </c>
      <c r="G1203" s="276" t="s">
        <v>12260</v>
      </c>
      <c r="H1203" s="277">
        <v>2017</v>
      </c>
      <c r="I1203" s="386">
        <v>42743</v>
      </c>
      <c r="J1203" s="276"/>
      <c r="K1203" s="276"/>
      <c r="L1203" s="385" t="s">
        <v>12261</v>
      </c>
      <c r="M1203" s="276"/>
    </row>
    <row r="1204" spans="1:13">
      <c r="A1204" s="277">
        <f>VLOOKUP(B1204, 'PubMed 10.7.21 Results'!B:B, 1, FALSE)</f>
        <v>30488367</v>
      </c>
      <c r="B1204" s="277">
        <v>30488367</v>
      </c>
      <c r="C1204" s="276" t="s">
        <v>12986</v>
      </c>
      <c r="D1204" s="276" t="s">
        <v>12987</v>
      </c>
      <c r="E1204" s="276" t="s">
        <v>12988</v>
      </c>
      <c r="F1204" s="276" t="s">
        <v>6427</v>
      </c>
      <c r="G1204" s="276" t="s">
        <v>10244</v>
      </c>
      <c r="H1204" s="277">
        <v>2019</v>
      </c>
      <c r="I1204" s="386">
        <v>43434</v>
      </c>
      <c r="J1204" s="276"/>
      <c r="K1204" s="276"/>
      <c r="L1204" s="385" t="s">
        <v>12989</v>
      </c>
      <c r="M1204" s="276"/>
    </row>
    <row r="1205" spans="1:13">
      <c r="A1205" s="277">
        <f>VLOOKUP(B1205, 'PubMed 10.7.21 Results'!B:B, 1, FALSE)</f>
        <v>15538306</v>
      </c>
      <c r="B1205" s="277">
        <v>15538306</v>
      </c>
      <c r="C1205" s="276" t="s">
        <v>9108</v>
      </c>
      <c r="D1205" s="276" t="s">
        <v>9109</v>
      </c>
      <c r="E1205" s="276" t="s">
        <v>9110</v>
      </c>
      <c r="F1205" s="276" t="s">
        <v>6441</v>
      </c>
      <c r="G1205" s="276" t="s">
        <v>9111</v>
      </c>
      <c r="H1205" s="277">
        <v>2004</v>
      </c>
      <c r="I1205" s="386">
        <v>38304</v>
      </c>
      <c r="J1205" s="276"/>
      <c r="K1205" s="276"/>
      <c r="L1205" s="385" t="s">
        <v>9112</v>
      </c>
      <c r="M1205" s="276"/>
    </row>
    <row r="1206" spans="1:13">
      <c r="A1206" s="277">
        <f>VLOOKUP(B1206, 'PubMed 10.7.21 Results'!B:B, 1, FALSE)</f>
        <v>18691983</v>
      </c>
      <c r="B1206" s="277">
        <v>18691983</v>
      </c>
      <c r="C1206" s="276" t="s">
        <v>9623</v>
      </c>
      <c r="D1206" s="276" t="s">
        <v>9624</v>
      </c>
      <c r="E1206" s="276" t="s">
        <v>9625</v>
      </c>
      <c r="F1206" s="276" t="s">
        <v>7271</v>
      </c>
      <c r="G1206" s="276" t="s">
        <v>8640</v>
      </c>
      <c r="H1206" s="277">
        <v>2008</v>
      </c>
      <c r="I1206" s="386">
        <v>39672</v>
      </c>
      <c r="J1206" s="276"/>
      <c r="K1206" s="276"/>
      <c r="L1206" s="385" t="s">
        <v>9626</v>
      </c>
      <c r="M1206" s="276"/>
    </row>
    <row r="1207" spans="1:13">
      <c r="A1207" s="277">
        <f>VLOOKUP(B1207, 'PubMed 10.7.21 Results'!B:B, 1, FALSE)</f>
        <v>27329280</v>
      </c>
      <c r="B1207" s="277">
        <v>27329280</v>
      </c>
      <c r="C1207" s="276" t="s">
        <v>11800</v>
      </c>
      <c r="D1207" s="276" t="s">
        <v>11801</v>
      </c>
      <c r="E1207" s="276" t="s">
        <v>11802</v>
      </c>
      <c r="F1207" s="276" t="s">
        <v>8073</v>
      </c>
      <c r="G1207" s="276" t="s">
        <v>10184</v>
      </c>
      <c r="H1207" s="277">
        <v>2016</v>
      </c>
      <c r="I1207" s="386">
        <v>42544</v>
      </c>
      <c r="J1207" s="276"/>
      <c r="K1207" s="276"/>
      <c r="L1207" s="385" t="s">
        <v>11803</v>
      </c>
      <c r="M1207" s="276"/>
    </row>
    <row r="1208" spans="1:13">
      <c r="A1208" s="277">
        <f>VLOOKUP(B1208, 'PubMed 10.7.21 Results'!B:B, 1, FALSE)</f>
        <v>30292578</v>
      </c>
      <c r="B1208" s="277">
        <v>30292578</v>
      </c>
      <c r="C1208" s="276" t="s">
        <v>12753</v>
      </c>
      <c r="D1208" s="276" t="s">
        <v>12754</v>
      </c>
      <c r="E1208" s="276" t="s">
        <v>12755</v>
      </c>
      <c r="F1208" s="276" t="s">
        <v>7909</v>
      </c>
      <c r="G1208" s="276" t="s">
        <v>9420</v>
      </c>
      <c r="H1208" s="277">
        <v>2018</v>
      </c>
      <c r="I1208" s="386">
        <v>43381</v>
      </c>
      <c r="J1208" s="276" t="s">
        <v>7910</v>
      </c>
      <c r="K1208" s="276"/>
      <c r="L1208" s="385" t="s">
        <v>12756</v>
      </c>
      <c r="M1208" s="276"/>
    </row>
    <row r="1209" spans="1:13">
      <c r="A1209" s="277">
        <f>VLOOKUP(B1209, 'PubMed 10.7.21 Results'!B:B, 1, FALSE)</f>
        <v>20331461</v>
      </c>
      <c r="B1209" s="277">
        <v>20331461</v>
      </c>
      <c r="C1209" s="276" t="s">
        <v>9992</v>
      </c>
      <c r="D1209" s="276" t="s">
        <v>9993</v>
      </c>
      <c r="E1209" s="276" t="s">
        <v>9994</v>
      </c>
      <c r="F1209" s="276" t="s">
        <v>6862</v>
      </c>
      <c r="G1209" s="276" t="s">
        <v>9995</v>
      </c>
      <c r="H1209" s="277">
        <v>2010</v>
      </c>
      <c r="I1209" s="386">
        <v>40262</v>
      </c>
      <c r="J1209" s="276"/>
      <c r="K1209" s="276"/>
      <c r="L1209" s="385" t="s">
        <v>9996</v>
      </c>
      <c r="M1209" s="276"/>
    </row>
    <row r="1210" spans="1:13">
      <c r="A1210" s="277">
        <f>VLOOKUP(B1210, 'PubMed 10.7.21 Results'!B:B, 1, FALSE)</f>
        <v>27841822</v>
      </c>
      <c r="B1210" s="277">
        <v>27841822</v>
      </c>
      <c r="C1210" s="276" t="s">
        <v>11923</v>
      </c>
      <c r="D1210" s="276" t="s">
        <v>11924</v>
      </c>
      <c r="E1210" s="276" t="s">
        <v>11925</v>
      </c>
      <c r="F1210" s="276" t="s">
        <v>7011</v>
      </c>
      <c r="G1210" s="276" t="s">
        <v>8806</v>
      </c>
      <c r="H1210" s="277">
        <v>2017</v>
      </c>
      <c r="I1210" s="386">
        <v>42689</v>
      </c>
      <c r="J1210" s="276"/>
      <c r="K1210" s="276"/>
      <c r="L1210" s="385" t="s">
        <v>11926</v>
      </c>
      <c r="M1210" s="276"/>
    </row>
    <row r="1211" spans="1:13">
      <c r="A1211" s="277">
        <f>VLOOKUP(B1211, 'PubMed 10.7.21 Results'!B:B, 1, FALSE)</f>
        <v>28459617</v>
      </c>
      <c r="B1211" s="277">
        <v>28459617</v>
      </c>
      <c r="C1211" s="276" t="s">
        <v>12122</v>
      </c>
      <c r="D1211" s="276" t="s">
        <v>12123</v>
      </c>
      <c r="E1211" s="276" t="s">
        <v>12124</v>
      </c>
      <c r="F1211" s="276" t="s">
        <v>7096</v>
      </c>
      <c r="G1211" s="276" t="s">
        <v>12125</v>
      </c>
      <c r="H1211" s="277">
        <v>2017</v>
      </c>
      <c r="I1211" s="386">
        <v>42857</v>
      </c>
      <c r="J1211" s="276" t="s">
        <v>7097</v>
      </c>
      <c r="K1211" s="276"/>
      <c r="L1211" s="385" t="s">
        <v>12126</v>
      </c>
      <c r="M1211" s="276"/>
    </row>
    <row r="1212" spans="1:13">
      <c r="A1212" s="277">
        <f>VLOOKUP(B1212, 'PubMed 10.7.21 Results'!B:B, 1, FALSE)</f>
        <v>32514626</v>
      </c>
      <c r="B1212" s="277">
        <v>32514626</v>
      </c>
      <c r="C1212" s="276" t="s">
        <v>13645</v>
      </c>
      <c r="D1212" s="276" t="s">
        <v>13646</v>
      </c>
      <c r="E1212" s="276" t="s">
        <v>13647</v>
      </c>
      <c r="F1212" s="276" t="s">
        <v>7862</v>
      </c>
      <c r="G1212" s="276" t="s">
        <v>13345</v>
      </c>
      <c r="H1212" s="277">
        <v>2020</v>
      </c>
      <c r="I1212" s="386">
        <v>43992</v>
      </c>
      <c r="J1212" s="276" t="s">
        <v>7863</v>
      </c>
      <c r="K1212" s="276"/>
      <c r="L1212" s="385" t="s">
        <v>13648</v>
      </c>
      <c r="M1212" s="276"/>
    </row>
    <row r="1213" spans="1:13">
      <c r="A1213" s="277">
        <f>VLOOKUP(B1213, 'PubMed 10.7.21 Results'!B:B, 1, FALSE)</f>
        <v>32781984</v>
      </c>
      <c r="B1213" s="277">
        <v>32781984</v>
      </c>
      <c r="C1213" s="276" t="s">
        <v>13689</v>
      </c>
      <c r="D1213" s="276" t="s">
        <v>13690</v>
      </c>
      <c r="E1213" s="276" t="s">
        <v>13691</v>
      </c>
      <c r="F1213" s="276" t="s">
        <v>7057</v>
      </c>
      <c r="G1213" s="276" t="s">
        <v>13692</v>
      </c>
      <c r="H1213" s="277">
        <v>2020</v>
      </c>
      <c r="I1213" s="386">
        <v>44056</v>
      </c>
      <c r="J1213" s="276" t="s">
        <v>7058</v>
      </c>
      <c r="K1213" s="276"/>
      <c r="L1213" s="385" t="s">
        <v>13693</v>
      </c>
      <c r="M1213" s="276"/>
    </row>
    <row r="1214" spans="1:13">
      <c r="A1214" s="277">
        <f>VLOOKUP(B1214, 'PubMed 10.7.21 Results'!B:B, 1, FALSE)</f>
        <v>28953447</v>
      </c>
      <c r="B1214" s="277">
        <v>28953447</v>
      </c>
      <c r="C1214" s="276" t="s">
        <v>12253</v>
      </c>
      <c r="D1214" s="276" t="s">
        <v>12254</v>
      </c>
      <c r="E1214" s="276" t="s">
        <v>12255</v>
      </c>
      <c r="F1214" s="276" t="s">
        <v>7242</v>
      </c>
      <c r="G1214" s="276" t="s">
        <v>8514</v>
      </c>
      <c r="H1214" s="277">
        <v>2017</v>
      </c>
      <c r="I1214" s="386">
        <v>43006</v>
      </c>
      <c r="J1214" s="276"/>
      <c r="K1214" s="276"/>
      <c r="L1214" s="385" t="s">
        <v>12256</v>
      </c>
      <c r="M1214" s="276"/>
    </row>
    <row r="1215" spans="1:13">
      <c r="A1215" s="277">
        <f>VLOOKUP(B1215, 'PubMed 10.7.21 Results'!B:B, 1, FALSE)</f>
        <v>31479100</v>
      </c>
      <c r="B1215" s="277">
        <v>31479100</v>
      </c>
      <c r="C1215" s="276" t="s">
        <v>18909</v>
      </c>
      <c r="D1215" s="276" t="s">
        <v>13247</v>
      </c>
      <c r="E1215" s="276" t="s">
        <v>13248</v>
      </c>
      <c r="F1215" s="276" t="s">
        <v>6685</v>
      </c>
      <c r="G1215" s="276" t="s">
        <v>13249</v>
      </c>
      <c r="H1215" s="277">
        <v>2019</v>
      </c>
      <c r="I1215" s="386">
        <v>43712</v>
      </c>
      <c r="J1215" s="276" t="s">
        <v>6686</v>
      </c>
      <c r="K1215" s="276"/>
      <c r="L1215" s="385" t="s">
        <v>13250</v>
      </c>
      <c r="M1215" s="276"/>
    </row>
    <row r="1216" spans="1:13">
      <c r="A1216" s="277">
        <f>VLOOKUP(B1216, 'PubMed 10.7.21 Results'!B:B, 1, FALSE)</f>
        <v>23074420</v>
      </c>
      <c r="B1216" s="277">
        <v>23074420</v>
      </c>
      <c r="C1216" s="276" t="s">
        <v>10384</v>
      </c>
      <c r="D1216" s="276" t="s">
        <v>10385</v>
      </c>
      <c r="E1216" s="276" t="s">
        <v>10386</v>
      </c>
      <c r="F1216" s="276" t="s">
        <v>7388</v>
      </c>
      <c r="G1216" s="276" t="s">
        <v>9690</v>
      </c>
      <c r="H1216" s="277">
        <v>2012</v>
      </c>
      <c r="I1216" s="386">
        <v>41200</v>
      </c>
      <c r="J1216" s="276" t="s">
        <v>7389</v>
      </c>
      <c r="K1216" s="276"/>
      <c r="L1216" s="276"/>
      <c r="M1216" s="276"/>
    </row>
    <row r="1217" spans="1:13">
      <c r="A1217" s="277">
        <f>VLOOKUP(B1217, 'PubMed 10.7.21 Results'!B:B, 1, FALSE)</f>
        <v>33567185</v>
      </c>
      <c r="B1217" s="277">
        <v>33567185</v>
      </c>
      <c r="C1217" s="276" t="s">
        <v>14108</v>
      </c>
      <c r="D1217" s="276" t="s">
        <v>14109</v>
      </c>
      <c r="E1217" s="276" t="s">
        <v>14110</v>
      </c>
      <c r="F1217" s="276" t="s">
        <v>8067</v>
      </c>
      <c r="G1217" s="276" t="s">
        <v>8514</v>
      </c>
      <c r="H1217" s="277">
        <v>2021</v>
      </c>
      <c r="I1217" s="386">
        <v>44237</v>
      </c>
      <c r="J1217" s="276"/>
      <c r="K1217" s="276"/>
      <c r="L1217" s="385" t="s">
        <v>14111</v>
      </c>
      <c r="M1217" s="276"/>
    </row>
    <row r="1218" spans="1:13">
      <c r="A1218" s="277">
        <f>VLOOKUP(B1218, 'PubMed 10.7.21 Results'!B:B, 1, FALSE)</f>
        <v>33170331</v>
      </c>
      <c r="B1218" s="277">
        <v>33170331</v>
      </c>
      <c r="C1218" s="276" t="s">
        <v>13911</v>
      </c>
      <c r="D1218" s="276" t="s">
        <v>13912</v>
      </c>
      <c r="E1218" s="276" t="s">
        <v>13913</v>
      </c>
      <c r="F1218" s="276" t="s">
        <v>6644</v>
      </c>
      <c r="G1218" s="276" t="s">
        <v>8617</v>
      </c>
      <c r="H1218" s="277">
        <v>2020</v>
      </c>
      <c r="I1218" s="386">
        <v>44145</v>
      </c>
      <c r="J1218" s="276" t="s">
        <v>6645</v>
      </c>
      <c r="K1218" s="276"/>
      <c r="L1218" s="385" t="s">
        <v>13914</v>
      </c>
      <c r="M1218" s="276"/>
    </row>
    <row r="1219" spans="1:13">
      <c r="A1219" s="277">
        <f>VLOOKUP(B1219, 'PubMed 10.7.21 Results'!B:B, 1, FALSE)</f>
        <v>26269925</v>
      </c>
      <c r="B1219" s="277">
        <v>26269925</v>
      </c>
      <c r="C1219" s="276" t="s">
        <v>11262</v>
      </c>
      <c r="D1219" s="276" t="s">
        <v>11263</v>
      </c>
      <c r="E1219" s="276" t="s">
        <v>11264</v>
      </c>
      <c r="F1219" s="276" t="s">
        <v>8075</v>
      </c>
      <c r="G1219" s="276" t="s">
        <v>11261</v>
      </c>
      <c r="H1219" s="277">
        <v>2015</v>
      </c>
      <c r="I1219" s="386">
        <v>42005</v>
      </c>
      <c r="J1219" s="276"/>
      <c r="K1219" s="276"/>
      <c r="L1219" s="276"/>
      <c r="M1219" s="276"/>
    </row>
    <row r="1220" spans="1:13">
      <c r="A1220" s="277">
        <f>VLOOKUP(B1220, 'PubMed 10.7.21 Results'!B:B, 1, FALSE)</f>
        <v>30420158</v>
      </c>
      <c r="B1220" s="277">
        <v>30420158</v>
      </c>
      <c r="C1220" s="276" t="s">
        <v>12891</v>
      </c>
      <c r="D1220" s="276" t="s">
        <v>12892</v>
      </c>
      <c r="E1220" s="276" t="s">
        <v>12893</v>
      </c>
      <c r="F1220" s="276" t="s">
        <v>7355</v>
      </c>
      <c r="G1220" s="276" t="s">
        <v>10134</v>
      </c>
      <c r="H1220" s="277">
        <v>2019</v>
      </c>
      <c r="I1220" s="386">
        <v>43418</v>
      </c>
      <c r="J1220" s="276" t="s">
        <v>7356</v>
      </c>
      <c r="K1220" s="276" t="s">
        <v>12894</v>
      </c>
      <c r="L1220" s="385" t="s">
        <v>12895</v>
      </c>
      <c r="M1220" s="276"/>
    </row>
    <row r="1221" spans="1:13">
      <c r="A1221" s="277">
        <f>VLOOKUP(B1221, 'PubMed 10.7.21 Results'!B:B, 1, FALSE)</f>
        <v>27885969</v>
      </c>
      <c r="B1221" s="277">
        <v>27885969</v>
      </c>
      <c r="C1221" s="276" t="s">
        <v>11728</v>
      </c>
      <c r="D1221" s="276" t="s">
        <v>11729</v>
      </c>
      <c r="E1221" s="276" t="s">
        <v>11730</v>
      </c>
      <c r="F1221" s="276" t="s">
        <v>6493</v>
      </c>
      <c r="G1221" s="276" t="s">
        <v>11166</v>
      </c>
      <c r="H1221" s="277">
        <v>2016</v>
      </c>
      <c r="I1221" s="386">
        <v>42700</v>
      </c>
      <c r="J1221" s="276" t="s">
        <v>6494</v>
      </c>
      <c r="K1221" s="276"/>
      <c r="L1221" s="385" t="s">
        <v>11731</v>
      </c>
      <c r="M1221" s="27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outlinePr summaryBelow="0" summaryRight="0"/>
  </sheetPr>
  <dimension ref="A1:Z1000"/>
  <sheetViews>
    <sheetView workbookViewId="0">
      <pane ySplit="3" topLeftCell="A4" activePane="bottomLeft" state="frozen"/>
      <selection pane="bottomLeft" sqref="A1:F1"/>
    </sheetView>
  </sheetViews>
  <sheetFormatPr defaultColWidth="14.42578125" defaultRowHeight="15.75" customHeight="1"/>
  <cols>
    <col min="1" max="1" width="44.42578125" customWidth="1"/>
    <col min="3" max="3" width="20.140625" customWidth="1"/>
  </cols>
  <sheetData>
    <row r="1" spans="1:26">
      <c r="A1" s="436" t="s">
        <v>18910</v>
      </c>
      <c r="B1" s="425"/>
      <c r="C1" s="425"/>
      <c r="D1" s="425"/>
      <c r="E1" s="425"/>
      <c r="F1" s="425"/>
    </row>
    <row r="2" spans="1:26">
      <c r="A2" s="10"/>
      <c r="B2" s="10"/>
      <c r="C2" s="10"/>
      <c r="D2" s="10"/>
    </row>
    <row r="3" spans="1:26">
      <c r="A3" s="250" t="s">
        <v>18911</v>
      </c>
      <c r="B3" s="250" t="s">
        <v>18912</v>
      </c>
      <c r="C3" s="250" t="s">
        <v>18913</v>
      </c>
      <c r="D3" s="250" t="s">
        <v>257</v>
      </c>
      <c r="E3" s="387"/>
      <c r="F3" s="387"/>
      <c r="G3" s="387"/>
      <c r="H3" s="387"/>
      <c r="I3" s="387"/>
      <c r="J3" s="387"/>
      <c r="K3" s="387"/>
      <c r="L3" s="387"/>
      <c r="M3" s="387"/>
      <c r="N3" s="387"/>
      <c r="O3" s="387"/>
      <c r="P3" s="387"/>
      <c r="Q3" s="387"/>
      <c r="R3" s="387"/>
      <c r="S3" s="387"/>
      <c r="T3" s="387"/>
      <c r="U3" s="387"/>
      <c r="V3" s="387"/>
      <c r="W3" s="387"/>
      <c r="X3" s="387"/>
      <c r="Y3" s="387"/>
      <c r="Z3" s="387"/>
    </row>
    <row r="4" spans="1:26">
      <c r="A4" s="4" t="s">
        <v>18914</v>
      </c>
      <c r="B4" s="388" t="s">
        <v>18915</v>
      </c>
      <c r="C4" s="4" t="s">
        <v>18916</v>
      </c>
      <c r="D4" s="4" t="s">
        <v>18917</v>
      </c>
    </row>
    <row r="5" spans="1:26">
      <c r="A5" s="4" t="s">
        <v>18918</v>
      </c>
      <c r="B5" s="389" t="s">
        <v>18919</v>
      </c>
      <c r="C5" s="4" t="s">
        <v>18920</v>
      </c>
      <c r="D5" s="4" t="s">
        <v>18921</v>
      </c>
    </row>
    <row r="6" spans="1:26">
      <c r="A6" s="4" t="s">
        <v>11771</v>
      </c>
      <c r="B6" s="389" t="s">
        <v>18922</v>
      </c>
      <c r="C6" s="4" t="s">
        <v>18923</v>
      </c>
      <c r="D6" s="4" t="s">
        <v>18921</v>
      </c>
    </row>
    <row r="7" spans="1:26">
      <c r="A7" s="4" t="s">
        <v>18924</v>
      </c>
      <c r="B7" s="389" t="s">
        <v>18925</v>
      </c>
      <c r="C7" s="4" t="s">
        <v>18926</v>
      </c>
      <c r="D7" s="4" t="s">
        <v>18917</v>
      </c>
    </row>
    <row r="8" spans="1:26">
      <c r="A8" s="4" t="s">
        <v>18927</v>
      </c>
      <c r="B8" s="389" t="s">
        <v>18928</v>
      </c>
      <c r="C8" s="4" t="s">
        <v>18926</v>
      </c>
      <c r="D8" s="4" t="s">
        <v>18929</v>
      </c>
    </row>
    <row r="9" spans="1:26">
      <c r="A9" s="4" t="s">
        <v>18930</v>
      </c>
      <c r="B9" s="389" t="s">
        <v>18931</v>
      </c>
      <c r="C9" s="4" t="s">
        <v>18926</v>
      </c>
      <c r="D9" s="4" t="s">
        <v>18917</v>
      </c>
    </row>
    <row r="10" spans="1:26">
      <c r="A10" s="4" t="s">
        <v>18932</v>
      </c>
      <c r="B10" s="389" t="s">
        <v>18933</v>
      </c>
      <c r="C10" s="4" t="s">
        <v>18934</v>
      </c>
      <c r="D10" s="4" t="s">
        <v>18935</v>
      </c>
    </row>
    <row r="11" spans="1:26">
      <c r="A11" s="4" t="s">
        <v>18936</v>
      </c>
      <c r="B11" s="389" t="s">
        <v>18937</v>
      </c>
      <c r="C11" s="4" t="s">
        <v>18938</v>
      </c>
      <c r="D11" s="4" t="s">
        <v>18917</v>
      </c>
    </row>
    <row r="12" spans="1:26">
      <c r="A12" s="4" t="s">
        <v>18939</v>
      </c>
      <c r="B12" s="389" t="s">
        <v>18940</v>
      </c>
      <c r="C12" s="4" t="s">
        <v>18941</v>
      </c>
      <c r="D12" s="4" t="s">
        <v>18942</v>
      </c>
    </row>
    <row r="13" spans="1:26">
      <c r="A13" s="4" t="s">
        <v>18943</v>
      </c>
      <c r="B13" s="390" t="s">
        <v>18944</v>
      </c>
      <c r="C13" s="4" t="s">
        <v>18941</v>
      </c>
      <c r="D13" s="4" t="s">
        <v>18942</v>
      </c>
    </row>
    <row r="14" spans="1:26">
      <c r="A14" s="10"/>
      <c r="B14" s="10"/>
      <c r="C14" s="10"/>
      <c r="D14" s="10"/>
    </row>
    <row r="15" spans="1:26">
      <c r="A15" s="10"/>
      <c r="B15" s="10"/>
      <c r="C15" s="10"/>
      <c r="D15" s="10"/>
    </row>
    <row r="16" spans="1:26">
      <c r="A16" s="10"/>
      <c r="B16" s="10"/>
      <c r="C16" s="10"/>
      <c r="D16" s="10"/>
    </row>
    <row r="17" spans="1:4">
      <c r="A17" s="10"/>
      <c r="B17" s="10"/>
      <c r="C17" s="10"/>
      <c r="D17" s="10"/>
    </row>
    <row r="18" spans="1:4">
      <c r="A18" s="10"/>
      <c r="B18" s="10"/>
      <c r="C18" s="10"/>
      <c r="D18" s="10"/>
    </row>
    <row r="19" spans="1:4">
      <c r="A19" s="10"/>
      <c r="B19" s="10"/>
      <c r="C19" s="10"/>
      <c r="D19" s="10"/>
    </row>
    <row r="20" spans="1:4">
      <c r="A20" s="10"/>
      <c r="B20" s="10"/>
      <c r="C20" s="10"/>
      <c r="D20" s="10"/>
    </row>
    <row r="21" spans="1:4">
      <c r="A21" s="10"/>
      <c r="B21" s="10"/>
      <c r="C21" s="10"/>
      <c r="D21" s="10"/>
    </row>
    <row r="22" spans="1:4">
      <c r="A22" s="10"/>
      <c r="B22" s="10"/>
      <c r="C22" s="10"/>
      <c r="D22" s="10"/>
    </row>
    <row r="23" spans="1:4">
      <c r="A23" s="10"/>
      <c r="B23" s="10"/>
      <c r="C23" s="10"/>
      <c r="D23" s="10"/>
    </row>
    <row r="24" spans="1:4">
      <c r="A24" s="10"/>
      <c r="B24" s="10"/>
      <c r="C24" s="10"/>
      <c r="D24" s="10"/>
    </row>
    <row r="25" spans="1:4">
      <c r="A25" s="10"/>
      <c r="B25" s="10"/>
      <c r="C25" s="10"/>
      <c r="D25" s="10"/>
    </row>
    <row r="26" spans="1:4">
      <c r="A26" s="10"/>
      <c r="B26" s="10"/>
      <c r="C26" s="10"/>
      <c r="D26" s="10"/>
    </row>
    <row r="27" spans="1:4">
      <c r="A27" s="10"/>
      <c r="B27" s="10"/>
      <c r="C27" s="10"/>
      <c r="D27" s="10"/>
    </row>
    <row r="28" spans="1:4">
      <c r="A28" s="10"/>
      <c r="B28" s="10"/>
      <c r="C28" s="10"/>
      <c r="D28" s="10"/>
    </row>
    <row r="29" spans="1:4">
      <c r="A29" s="10"/>
      <c r="B29" s="10"/>
      <c r="C29" s="10"/>
      <c r="D29" s="10"/>
    </row>
    <row r="30" spans="1:4">
      <c r="A30" s="10"/>
      <c r="B30" s="10"/>
      <c r="C30" s="10"/>
      <c r="D30" s="10"/>
    </row>
    <row r="31" spans="1:4">
      <c r="A31" s="10"/>
      <c r="B31" s="10"/>
      <c r="C31" s="10"/>
      <c r="D31" s="10"/>
    </row>
    <row r="32" spans="1:4">
      <c r="A32" s="10"/>
      <c r="B32" s="10"/>
      <c r="C32" s="10"/>
      <c r="D32" s="10"/>
    </row>
    <row r="33" spans="1:4">
      <c r="A33" s="10"/>
      <c r="B33" s="10"/>
      <c r="C33" s="10"/>
      <c r="D33" s="10"/>
    </row>
    <row r="34" spans="1:4">
      <c r="A34" s="10"/>
      <c r="B34" s="10"/>
      <c r="C34" s="10"/>
      <c r="D34" s="10"/>
    </row>
    <row r="35" spans="1:4">
      <c r="A35" s="10"/>
      <c r="B35" s="10"/>
      <c r="C35" s="10"/>
      <c r="D35" s="10"/>
    </row>
    <row r="36" spans="1:4">
      <c r="A36" s="10"/>
      <c r="B36" s="10"/>
      <c r="C36" s="10"/>
      <c r="D36" s="10"/>
    </row>
    <row r="37" spans="1:4">
      <c r="A37" s="10"/>
      <c r="B37" s="10"/>
      <c r="C37" s="10"/>
      <c r="D37" s="10"/>
    </row>
    <row r="38" spans="1:4">
      <c r="A38" s="10"/>
      <c r="B38" s="10"/>
      <c r="C38" s="10"/>
      <c r="D38" s="10"/>
    </row>
    <row r="39" spans="1:4">
      <c r="A39" s="10"/>
      <c r="B39" s="10"/>
      <c r="C39" s="10"/>
      <c r="D39" s="10"/>
    </row>
    <row r="40" spans="1:4">
      <c r="A40" s="10"/>
      <c r="B40" s="10"/>
      <c r="C40" s="10"/>
      <c r="D40" s="10"/>
    </row>
    <row r="41" spans="1:4">
      <c r="A41" s="10"/>
      <c r="B41" s="10"/>
      <c r="C41" s="10"/>
      <c r="D41" s="10"/>
    </row>
    <row r="42" spans="1:4">
      <c r="A42" s="10"/>
      <c r="B42" s="10"/>
      <c r="C42" s="10"/>
      <c r="D42" s="10"/>
    </row>
    <row r="43" spans="1:4">
      <c r="A43" s="10"/>
      <c r="B43" s="10"/>
      <c r="C43" s="10"/>
      <c r="D43" s="10"/>
    </row>
    <row r="44" spans="1:4">
      <c r="A44" s="10"/>
      <c r="B44" s="10"/>
      <c r="C44" s="10"/>
      <c r="D44" s="10"/>
    </row>
    <row r="45" spans="1:4">
      <c r="A45" s="10"/>
      <c r="B45" s="10"/>
      <c r="C45" s="10"/>
      <c r="D45" s="10"/>
    </row>
    <row r="46" spans="1:4">
      <c r="A46" s="10"/>
      <c r="B46" s="10"/>
      <c r="C46" s="10"/>
      <c r="D46" s="10"/>
    </row>
    <row r="47" spans="1:4">
      <c r="A47" s="10"/>
      <c r="B47" s="10"/>
      <c r="C47" s="10"/>
      <c r="D47" s="10"/>
    </row>
    <row r="48" spans="1:4">
      <c r="A48" s="10"/>
      <c r="B48" s="10"/>
      <c r="C48" s="10"/>
      <c r="D48" s="10"/>
    </row>
    <row r="49" spans="1:4">
      <c r="A49" s="10"/>
      <c r="B49" s="10"/>
      <c r="C49" s="10"/>
      <c r="D49" s="10"/>
    </row>
    <row r="50" spans="1:4">
      <c r="A50" s="10"/>
      <c r="B50" s="10"/>
      <c r="C50" s="10"/>
      <c r="D50" s="10"/>
    </row>
    <row r="51" spans="1:4">
      <c r="A51" s="10"/>
      <c r="B51" s="10"/>
      <c r="C51" s="10"/>
      <c r="D51" s="10"/>
    </row>
    <row r="52" spans="1:4">
      <c r="A52" s="10"/>
      <c r="B52" s="10"/>
      <c r="C52" s="10"/>
      <c r="D52" s="10"/>
    </row>
    <row r="53" spans="1:4">
      <c r="A53" s="10"/>
      <c r="B53" s="10"/>
      <c r="C53" s="10"/>
      <c r="D53" s="10"/>
    </row>
    <row r="54" spans="1:4">
      <c r="A54" s="10"/>
      <c r="B54" s="10"/>
      <c r="C54" s="10"/>
      <c r="D54" s="10"/>
    </row>
    <row r="55" spans="1:4">
      <c r="A55" s="10"/>
      <c r="B55" s="10"/>
      <c r="C55" s="10"/>
      <c r="D55" s="10"/>
    </row>
    <row r="56" spans="1:4">
      <c r="A56" s="10"/>
      <c r="B56" s="10"/>
      <c r="C56" s="10"/>
      <c r="D56" s="10"/>
    </row>
    <row r="57" spans="1:4">
      <c r="A57" s="10"/>
      <c r="B57" s="10"/>
      <c r="C57" s="10"/>
      <c r="D57" s="10"/>
    </row>
    <row r="58" spans="1:4">
      <c r="A58" s="10"/>
      <c r="B58" s="10"/>
      <c r="C58" s="10"/>
      <c r="D58" s="10"/>
    </row>
    <row r="59" spans="1:4">
      <c r="A59" s="10"/>
      <c r="B59" s="10"/>
      <c r="C59" s="10"/>
      <c r="D59" s="10"/>
    </row>
    <row r="60" spans="1:4">
      <c r="A60" s="10"/>
      <c r="B60" s="10"/>
      <c r="C60" s="10"/>
      <c r="D60" s="10"/>
    </row>
    <row r="61" spans="1:4">
      <c r="A61" s="10"/>
      <c r="B61" s="10"/>
      <c r="C61" s="10"/>
      <c r="D61" s="10"/>
    </row>
    <row r="62" spans="1:4">
      <c r="A62" s="10"/>
      <c r="B62" s="10"/>
      <c r="C62" s="10"/>
      <c r="D62" s="10"/>
    </row>
    <row r="63" spans="1:4">
      <c r="A63" s="10"/>
      <c r="B63" s="10"/>
      <c r="C63" s="10"/>
      <c r="D63" s="10"/>
    </row>
    <row r="64" spans="1:4">
      <c r="A64" s="10"/>
      <c r="B64" s="10"/>
      <c r="C64" s="10"/>
      <c r="D64" s="10"/>
    </row>
    <row r="65" spans="1:4">
      <c r="A65" s="10"/>
      <c r="B65" s="10"/>
      <c r="C65" s="10"/>
      <c r="D65" s="10"/>
    </row>
    <row r="66" spans="1:4">
      <c r="A66" s="10"/>
      <c r="B66" s="10"/>
      <c r="C66" s="10"/>
      <c r="D66" s="10"/>
    </row>
    <row r="67" spans="1:4">
      <c r="A67" s="10"/>
      <c r="B67" s="10"/>
      <c r="C67" s="10"/>
      <c r="D67" s="10"/>
    </row>
    <row r="68" spans="1:4">
      <c r="A68" s="10"/>
      <c r="B68" s="10"/>
      <c r="C68" s="10"/>
      <c r="D68" s="10"/>
    </row>
    <row r="69" spans="1:4">
      <c r="A69" s="10"/>
      <c r="B69" s="10"/>
      <c r="C69" s="10"/>
      <c r="D69" s="10"/>
    </row>
    <row r="70" spans="1:4">
      <c r="A70" s="10"/>
      <c r="B70" s="10"/>
      <c r="C70" s="10"/>
      <c r="D70" s="10"/>
    </row>
    <row r="71" spans="1:4">
      <c r="A71" s="10"/>
      <c r="B71" s="10"/>
      <c r="C71" s="10"/>
      <c r="D71" s="10"/>
    </row>
    <row r="72" spans="1:4">
      <c r="A72" s="10"/>
      <c r="B72" s="10"/>
      <c r="C72" s="10"/>
      <c r="D72" s="10"/>
    </row>
    <row r="73" spans="1:4">
      <c r="A73" s="10"/>
      <c r="B73" s="10"/>
      <c r="C73" s="10"/>
      <c r="D73" s="10"/>
    </row>
    <row r="74" spans="1:4">
      <c r="A74" s="10"/>
      <c r="B74" s="10"/>
      <c r="C74" s="10"/>
      <c r="D74" s="10"/>
    </row>
    <row r="75" spans="1:4">
      <c r="A75" s="10"/>
      <c r="B75" s="10"/>
      <c r="C75" s="10"/>
      <c r="D75" s="10"/>
    </row>
    <row r="76" spans="1:4">
      <c r="A76" s="10"/>
      <c r="B76" s="10"/>
      <c r="C76" s="10"/>
      <c r="D76" s="10"/>
    </row>
    <row r="77" spans="1:4">
      <c r="A77" s="10"/>
      <c r="B77" s="10"/>
      <c r="C77" s="10"/>
      <c r="D77" s="10"/>
    </row>
    <row r="78" spans="1:4">
      <c r="A78" s="10"/>
      <c r="B78" s="10"/>
      <c r="C78" s="10"/>
      <c r="D78" s="10"/>
    </row>
    <row r="79" spans="1:4">
      <c r="A79" s="10"/>
      <c r="B79" s="10"/>
      <c r="C79" s="10"/>
      <c r="D79" s="10"/>
    </row>
    <row r="80" spans="1:4">
      <c r="A80" s="10"/>
      <c r="B80" s="10"/>
      <c r="C80" s="10"/>
      <c r="D80" s="10"/>
    </row>
    <row r="81" spans="1:4">
      <c r="A81" s="10"/>
      <c r="B81" s="10"/>
      <c r="C81" s="10"/>
      <c r="D81" s="10"/>
    </row>
    <row r="82" spans="1:4">
      <c r="A82" s="10"/>
      <c r="B82" s="10"/>
      <c r="C82" s="10"/>
      <c r="D82" s="10"/>
    </row>
    <row r="83" spans="1:4">
      <c r="A83" s="10"/>
      <c r="B83" s="10"/>
      <c r="C83" s="10"/>
      <c r="D83" s="10"/>
    </row>
    <row r="84" spans="1:4">
      <c r="A84" s="10"/>
      <c r="B84" s="10"/>
      <c r="C84" s="10"/>
      <c r="D84" s="10"/>
    </row>
    <row r="85" spans="1:4">
      <c r="A85" s="10"/>
      <c r="B85" s="10"/>
      <c r="C85" s="10"/>
      <c r="D85" s="10"/>
    </row>
    <row r="86" spans="1:4">
      <c r="A86" s="10"/>
      <c r="B86" s="10"/>
      <c r="C86" s="10"/>
      <c r="D86" s="10"/>
    </row>
    <row r="87" spans="1:4">
      <c r="A87" s="10"/>
      <c r="B87" s="10"/>
      <c r="C87" s="10"/>
      <c r="D87" s="10"/>
    </row>
    <row r="88" spans="1:4">
      <c r="A88" s="10"/>
      <c r="B88" s="10"/>
      <c r="C88" s="10"/>
      <c r="D88" s="10"/>
    </row>
    <row r="89" spans="1:4">
      <c r="A89" s="10"/>
      <c r="B89" s="10"/>
      <c r="C89" s="10"/>
      <c r="D89" s="10"/>
    </row>
    <row r="90" spans="1:4">
      <c r="A90" s="10"/>
      <c r="B90" s="10"/>
      <c r="C90" s="10"/>
      <c r="D90" s="10"/>
    </row>
    <row r="91" spans="1:4">
      <c r="A91" s="10"/>
      <c r="B91" s="10"/>
      <c r="C91" s="10"/>
      <c r="D91" s="10"/>
    </row>
    <row r="92" spans="1:4">
      <c r="A92" s="10"/>
      <c r="B92" s="10"/>
      <c r="C92" s="10"/>
      <c r="D92" s="10"/>
    </row>
    <row r="93" spans="1:4">
      <c r="A93" s="10"/>
      <c r="B93" s="10"/>
      <c r="C93" s="10"/>
      <c r="D93" s="10"/>
    </row>
    <row r="94" spans="1:4">
      <c r="A94" s="10"/>
      <c r="B94" s="10"/>
      <c r="C94" s="10"/>
      <c r="D94" s="10"/>
    </row>
    <row r="95" spans="1:4">
      <c r="A95" s="10"/>
      <c r="B95" s="10"/>
      <c r="C95" s="10"/>
      <c r="D95" s="10"/>
    </row>
    <row r="96" spans="1:4">
      <c r="A96" s="10"/>
      <c r="B96" s="10"/>
      <c r="C96" s="10"/>
      <c r="D96" s="10"/>
    </row>
    <row r="97" spans="1:4">
      <c r="A97" s="10"/>
      <c r="B97" s="10"/>
      <c r="C97" s="10"/>
      <c r="D97" s="10"/>
    </row>
    <row r="98" spans="1:4">
      <c r="A98" s="10"/>
      <c r="B98" s="10"/>
      <c r="C98" s="10"/>
      <c r="D98" s="10"/>
    </row>
    <row r="99" spans="1:4">
      <c r="A99" s="10"/>
      <c r="B99" s="10"/>
      <c r="C99" s="10"/>
      <c r="D99" s="10"/>
    </row>
    <row r="100" spans="1:4">
      <c r="A100" s="10"/>
      <c r="B100" s="10"/>
      <c r="C100" s="10"/>
      <c r="D100" s="10"/>
    </row>
    <row r="101" spans="1:4">
      <c r="A101" s="10"/>
      <c r="B101" s="10"/>
      <c r="C101" s="10"/>
      <c r="D101" s="10"/>
    </row>
    <row r="102" spans="1:4">
      <c r="A102" s="10"/>
      <c r="B102" s="10"/>
      <c r="C102" s="10"/>
      <c r="D102" s="10"/>
    </row>
    <row r="103" spans="1:4">
      <c r="A103" s="10"/>
      <c r="B103" s="10"/>
      <c r="C103" s="10"/>
      <c r="D103" s="10"/>
    </row>
    <row r="104" spans="1:4">
      <c r="A104" s="10"/>
      <c r="B104" s="10"/>
      <c r="C104" s="10"/>
      <c r="D104" s="10"/>
    </row>
    <row r="105" spans="1:4">
      <c r="A105" s="10"/>
      <c r="B105" s="10"/>
      <c r="C105" s="10"/>
      <c r="D105" s="10"/>
    </row>
    <row r="106" spans="1:4">
      <c r="A106" s="10"/>
      <c r="B106" s="10"/>
      <c r="C106" s="10"/>
      <c r="D106" s="10"/>
    </row>
    <row r="107" spans="1:4">
      <c r="A107" s="10"/>
      <c r="B107" s="10"/>
      <c r="C107" s="10"/>
      <c r="D107" s="10"/>
    </row>
    <row r="108" spans="1:4">
      <c r="A108" s="10"/>
      <c r="B108" s="10"/>
      <c r="C108" s="10"/>
      <c r="D108" s="10"/>
    </row>
    <row r="109" spans="1:4">
      <c r="A109" s="10"/>
      <c r="B109" s="10"/>
      <c r="C109" s="10"/>
      <c r="D109" s="10"/>
    </row>
    <row r="110" spans="1:4">
      <c r="A110" s="10"/>
      <c r="B110" s="10"/>
      <c r="C110" s="10"/>
      <c r="D110" s="10"/>
    </row>
    <row r="111" spans="1:4">
      <c r="A111" s="10"/>
      <c r="B111" s="10"/>
      <c r="C111" s="10"/>
      <c r="D111" s="10"/>
    </row>
    <row r="112" spans="1:4">
      <c r="A112" s="10"/>
      <c r="B112" s="10"/>
      <c r="C112" s="10"/>
      <c r="D112" s="10"/>
    </row>
    <row r="113" spans="1:4">
      <c r="A113" s="10"/>
      <c r="B113" s="10"/>
      <c r="C113" s="10"/>
      <c r="D113" s="10"/>
    </row>
    <row r="114" spans="1:4">
      <c r="A114" s="10"/>
      <c r="B114" s="10"/>
      <c r="C114" s="10"/>
      <c r="D114" s="10"/>
    </row>
    <row r="115" spans="1:4">
      <c r="A115" s="10"/>
      <c r="B115" s="10"/>
      <c r="C115" s="10"/>
      <c r="D115" s="10"/>
    </row>
    <row r="116" spans="1:4">
      <c r="A116" s="10"/>
      <c r="B116" s="10"/>
      <c r="C116" s="10"/>
      <c r="D116" s="10"/>
    </row>
    <row r="117" spans="1:4">
      <c r="A117" s="10"/>
      <c r="B117" s="10"/>
      <c r="C117" s="10"/>
      <c r="D117" s="10"/>
    </row>
    <row r="118" spans="1:4">
      <c r="A118" s="10"/>
      <c r="B118" s="10"/>
      <c r="C118" s="10"/>
      <c r="D118" s="10"/>
    </row>
    <row r="119" spans="1:4">
      <c r="A119" s="10"/>
      <c r="B119" s="10"/>
      <c r="C119" s="10"/>
      <c r="D119" s="10"/>
    </row>
    <row r="120" spans="1:4">
      <c r="A120" s="10"/>
      <c r="B120" s="10"/>
      <c r="C120" s="10"/>
      <c r="D120" s="10"/>
    </row>
    <row r="121" spans="1:4">
      <c r="A121" s="10"/>
      <c r="B121" s="10"/>
      <c r="C121" s="10"/>
      <c r="D121" s="10"/>
    </row>
    <row r="122" spans="1:4">
      <c r="A122" s="10"/>
      <c r="B122" s="10"/>
      <c r="C122" s="10"/>
      <c r="D122" s="10"/>
    </row>
    <row r="123" spans="1:4">
      <c r="A123" s="10"/>
      <c r="B123" s="10"/>
      <c r="C123" s="10"/>
      <c r="D123" s="10"/>
    </row>
    <row r="124" spans="1:4">
      <c r="A124" s="10"/>
      <c r="B124" s="10"/>
      <c r="C124" s="10"/>
      <c r="D124" s="10"/>
    </row>
    <row r="125" spans="1:4">
      <c r="A125" s="10"/>
      <c r="B125" s="10"/>
      <c r="C125" s="10"/>
      <c r="D125" s="10"/>
    </row>
    <row r="126" spans="1:4">
      <c r="A126" s="10"/>
      <c r="B126" s="10"/>
      <c r="C126" s="10"/>
      <c r="D126" s="10"/>
    </row>
    <row r="127" spans="1:4">
      <c r="A127" s="10"/>
      <c r="B127" s="10"/>
      <c r="C127" s="10"/>
      <c r="D127" s="10"/>
    </row>
    <row r="128" spans="1:4">
      <c r="A128" s="10"/>
      <c r="B128" s="10"/>
      <c r="C128" s="10"/>
      <c r="D128" s="10"/>
    </row>
    <row r="129" spans="1:4">
      <c r="A129" s="10"/>
      <c r="B129" s="10"/>
      <c r="C129" s="10"/>
      <c r="D129" s="10"/>
    </row>
    <row r="130" spans="1:4">
      <c r="A130" s="10"/>
      <c r="B130" s="10"/>
      <c r="C130" s="10"/>
      <c r="D130" s="10"/>
    </row>
    <row r="131" spans="1:4">
      <c r="A131" s="10"/>
      <c r="B131" s="10"/>
      <c r="C131" s="10"/>
      <c r="D131" s="10"/>
    </row>
    <row r="132" spans="1:4">
      <c r="A132" s="10"/>
      <c r="B132" s="10"/>
      <c r="C132" s="10"/>
      <c r="D132" s="10"/>
    </row>
    <row r="133" spans="1:4">
      <c r="A133" s="10"/>
      <c r="B133" s="10"/>
      <c r="C133" s="10"/>
      <c r="D133" s="10"/>
    </row>
    <row r="134" spans="1:4">
      <c r="A134" s="10"/>
      <c r="B134" s="10"/>
      <c r="C134" s="10"/>
      <c r="D134" s="10"/>
    </row>
    <row r="135" spans="1:4">
      <c r="A135" s="10"/>
      <c r="B135" s="10"/>
      <c r="C135" s="10"/>
      <c r="D135" s="10"/>
    </row>
    <row r="136" spans="1:4">
      <c r="A136" s="10"/>
      <c r="B136" s="10"/>
      <c r="C136" s="10"/>
      <c r="D136" s="10"/>
    </row>
    <row r="137" spans="1:4">
      <c r="A137" s="10"/>
      <c r="B137" s="10"/>
      <c r="C137" s="10"/>
      <c r="D137" s="10"/>
    </row>
    <row r="138" spans="1:4">
      <c r="A138" s="10"/>
      <c r="B138" s="10"/>
      <c r="C138" s="10"/>
      <c r="D138" s="10"/>
    </row>
    <row r="139" spans="1:4">
      <c r="A139" s="10"/>
      <c r="B139" s="10"/>
      <c r="C139" s="10"/>
      <c r="D139" s="10"/>
    </row>
    <row r="140" spans="1:4">
      <c r="A140" s="10"/>
      <c r="B140" s="10"/>
      <c r="C140" s="10"/>
      <c r="D140" s="10"/>
    </row>
    <row r="141" spans="1:4">
      <c r="A141" s="10"/>
      <c r="B141" s="10"/>
      <c r="C141" s="10"/>
      <c r="D141" s="10"/>
    </row>
    <row r="142" spans="1:4">
      <c r="A142" s="10"/>
      <c r="B142" s="10"/>
      <c r="C142" s="10"/>
      <c r="D142" s="10"/>
    </row>
    <row r="143" spans="1:4">
      <c r="A143" s="10"/>
      <c r="B143" s="10"/>
      <c r="C143" s="10"/>
      <c r="D143" s="10"/>
    </row>
    <row r="144" spans="1:4">
      <c r="A144" s="10"/>
      <c r="B144" s="10"/>
      <c r="C144" s="10"/>
      <c r="D144" s="10"/>
    </row>
    <row r="145" spans="1:4">
      <c r="A145" s="10"/>
      <c r="B145" s="10"/>
      <c r="C145" s="10"/>
      <c r="D145" s="10"/>
    </row>
    <row r="146" spans="1:4">
      <c r="A146" s="10"/>
      <c r="B146" s="10"/>
      <c r="C146" s="10"/>
      <c r="D146" s="10"/>
    </row>
    <row r="147" spans="1:4">
      <c r="A147" s="10"/>
      <c r="B147" s="10"/>
      <c r="C147" s="10"/>
      <c r="D147" s="10"/>
    </row>
    <row r="148" spans="1:4">
      <c r="A148" s="10"/>
      <c r="B148" s="10"/>
      <c r="C148" s="10"/>
      <c r="D148" s="10"/>
    </row>
    <row r="149" spans="1:4">
      <c r="A149" s="10"/>
      <c r="B149" s="10"/>
      <c r="C149" s="10"/>
      <c r="D149" s="10"/>
    </row>
    <row r="150" spans="1:4">
      <c r="A150" s="10"/>
      <c r="B150" s="10"/>
      <c r="C150" s="10"/>
      <c r="D150" s="10"/>
    </row>
    <row r="151" spans="1:4">
      <c r="A151" s="10"/>
      <c r="B151" s="10"/>
      <c r="C151" s="10"/>
      <c r="D151" s="10"/>
    </row>
    <row r="152" spans="1:4">
      <c r="A152" s="10"/>
      <c r="B152" s="10"/>
      <c r="C152" s="10"/>
      <c r="D152" s="10"/>
    </row>
    <row r="153" spans="1:4">
      <c r="A153" s="10"/>
      <c r="B153" s="10"/>
      <c r="C153" s="10"/>
      <c r="D153" s="10"/>
    </row>
    <row r="154" spans="1:4">
      <c r="A154" s="10"/>
      <c r="B154" s="10"/>
      <c r="C154" s="10"/>
      <c r="D154" s="10"/>
    </row>
    <row r="155" spans="1:4">
      <c r="A155" s="10"/>
      <c r="B155" s="10"/>
      <c r="C155" s="10"/>
      <c r="D155" s="10"/>
    </row>
    <row r="156" spans="1:4">
      <c r="A156" s="10"/>
      <c r="B156" s="10"/>
      <c r="C156" s="10"/>
      <c r="D156" s="10"/>
    </row>
    <row r="157" spans="1:4">
      <c r="A157" s="10"/>
      <c r="B157" s="10"/>
      <c r="C157" s="10"/>
      <c r="D157" s="10"/>
    </row>
    <row r="158" spans="1:4">
      <c r="A158" s="10"/>
      <c r="B158" s="10"/>
      <c r="C158" s="10"/>
      <c r="D158" s="10"/>
    </row>
    <row r="159" spans="1:4">
      <c r="A159" s="10"/>
      <c r="B159" s="10"/>
      <c r="C159" s="10"/>
      <c r="D159" s="10"/>
    </row>
    <row r="160" spans="1:4">
      <c r="A160" s="10"/>
      <c r="B160" s="10"/>
      <c r="C160" s="10"/>
      <c r="D160" s="10"/>
    </row>
    <row r="161" spans="1:4">
      <c r="A161" s="10"/>
      <c r="B161" s="10"/>
      <c r="C161" s="10"/>
      <c r="D161" s="10"/>
    </row>
    <row r="162" spans="1:4">
      <c r="A162" s="10"/>
      <c r="B162" s="10"/>
      <c r="C162" s="10"/>
      <c r="D162" s="10"/>
    </row>
    <row r="163" spans="1:4">
      <c r="A163" s="10"/>
      <c r="B163" s="10"/>
      <c r="C163" s="10"/>
      <c r="D163" s="10"/>
    </row>
    <row r="164" spans="1:4">
      <c r="A164" s="10"/>
      <c r="B164" s="10"/>
      <c r="C164" s="10"/>
      <c r="D164" s="10"/>
    </row>
    <row r="165" spans="1:4">
      <c r="A165" s="10"/>
      <c r="B165" s="10"/>
      <c r="C165" s="10"/>
      <c r="D165" s="10"/>
    </row>
    <row r="166" spans="1:4">
      <c r="A166" s="10"/>
      <c r="B166" s="10"/>
      <c r="C166" s="10"/>
      <c r="D166" s="10"/>
    </row>
    <row r="167" spans="1:4">
      <c r="A167" s="10"/>
      <c r="B167" s="10"/>
      <c r="C167" s="10"/>
      <c r="D167" s="10"/>
    </row>
    <row r="168" spans="1:4">
      <c r="A168" s="10"/>
      <c r="B168" s="10"/>
      <c r="C168" s="10"/>
      <c r="D168" s="10"/>
    </row>
    <row r="169" spans="1:4">
      <c r="A169" s="10"/>
      <c r="B169" s="10"/>
      <c r="C169" s="10"/>
      <c r="D169" s="10"/>
    </row>
    <row r="170" spans="1:4">
      <c r="A170" s="10"/>
      <c r="B170" s="10"/>
      <c r="C170" s="10"/>
      <c r="D170" s="10"/>
    </row>
    <row r="171" spans="1:4">
      <c r="A171" s="10"/>
      <c r="B171" s="10"/>
      <c r="C171" s="10"/>
      <c r="D171" s="10"/>
    </row>
    <row r="172" spans="1:4">
      <c r="A172" s="10"/>
      <c r="B172" s="10"/>
      <c r="C172" s="10"/>
      <c r="D172" s="10"/>
    </row>
    <row r="173" spans="1:4">
      <c r="A173" s="10"/>
      <c r="B173" s="10"/>
      <c r="C173" s="10"/>
      <c r="D173" s="10"/>
    </row>
    <row r="174" spans="1:4">
      <c r="A174" s="10"/>
      <c r="B174" s="10"/>
      <c r="C174" s="10"/>
      <c r="D174" s="10"/>
    </row>
    <row r="175" spans="1:4">
      <c r="A175" s="10"/>
      <c r="B175" s="10"/>
      <c r="C175" s="10"/>
      <c r="D175" s="10"/>
    </row>
    <row r="176" spans="1:4">
      <c r="A176" s="10"/>
      <c r="B176" s="10"/>
      <c r="C176" s="10"/>
      <c r="D176" s="10"/>
    </row>
    <row r="177" spans="1:4">
      <c r="A177" s="10"/>
      <c r="B177" s="10"/>
      <c r="C177" s="10"/>
      <c r="D177" s="10"/>
    </row>
    <row r="178" spans="1:4">
      <c r="A178" s="10"/>
      <c r="B178" s="10"/>
      <c r="C178" s="10"/>
      <c r="D178" s="10"/>
    </row>
    <row r="179" spans="1:4">
      <c r="A179" s="10"/>
      <c r="B179" s="10"/>
      <c r="C179" s="10"/>
      <c r="D179" s="10"/>
    </row>
    <row r="180" spans="1:4">
      <c r="A180" s="10"/>
      <c r="B180" s="10"/>
      <c r="C180" s="10"/>
      <c r="D180" s="10"/>
    </row>
    <row r="181" spans="1:4">
      <c r="A181" s="10"/>
      <c r="B181" s="10"/>
      <c r="C181" s="10"/>
      <c r="D181" s="10"/>
    </row>
    <row r="182" spans="1:4">
      <c r="A182" s="10"/>
      <c r="B182" s="10"/>
      <c r="C182" s="10"/>
      <c r="D182" s="10"/>
    </row>
    <row r="183" spans="1:4">
      <c r="A183" s="10"/>
      <c r="B183" s="10"/>
      <c r="C183" s="10"/>
      <c r="D183" s="10"/>
    </row>
    <row r="184" spans="1:4">
      <c r="A184" s="10"/>
      <c r="B184" s="10"/>
      <c r="C184" s="10"/>
      <c r="D184" s="10"/>
    </row>
    <row r="185" spans="1:4">
      <c r="A185" s="10"/>
      <c r="B185" s="10"/>
      <c r="C185" s="10"/>
      <c r="D185" s="10"/>
    </row>
    <row r="186" spans="1:4">
      <c r="A186" s="10"/>
      <c r="B186" s="10"/>
      <c r="C186" s="10"/>
      <c r="D186" s="10"/>
    </row>
    <row r="187" spans="1:4">
      <c r="A187" s="10"/>
      <c r="B187" s="10"/>
      <c r="C187" s="10"/>
      <c r="D187" s="10"/>
    </row>
    <row r="188" spans="1:4">
      <c r="A188" s="10"/>
      <c r="B188" s="10"/>
      <c r="C188" s="10"/>
      <c r="D188" s="10"/>
    </row>
    <row r="189" spans="1:4">
      <c r="A189" s="10"/>
      <c r="B189" s="10"/>
      <c r="C189" s="10"/>
      <c r="D189" s="10"/>
    </row>
    <row r="190" spans="1:4">
      <c r="A190" s="10"/>
      <c r="B190" s="10"/>
      <c r="C190" s="10"/>
      <c r="D190" s="10"/>
    </row>
    <row r="191" spans="1:4">
      <c r="A191" s="10"/>
      <c r="B191" s="10"/>
      <c r="C191" s="10"/>
      <c r="D191" s="10"/>
    </row>
    <row r="192" spans="1:4">
      <c r="A192" s="10"/>
      <c r="B192" s="10"/>
      <c r="C192" s="10"/>
      <c r="D192" s="10"/>
    </row>
    <row r="193" spans="1:4">
      <c r="A193" s="10"/>
      <c r="B193" s="10"/>
      <c r="C193" s="10"/>
      <c r="D193" s="10"/>
    </row>
    <row r="194" spans="1:4">
      <c r="A194" s="10"/>
      <c r="B194" s="10"/>
      <c r="C194" s="10"/>
      <c r="D194" s="10"/>
    </row>
    <row r="195" spans="1:4">
      <c r="A195" s="10"/>
      <c r="B195" s="10"/>
      <c r="C195" s="10"/>
      <c r="D195" s="10"/>
    </row>
    <row r="196" spans="1:4">
      <c r="A196" s="10"/>
      <c r="B196" s="10"/>
      <c r="C196" s="10"/>
      <c r="D196" s="10"/>
    </row>
    <row r="197" spans="1:4">
      <c r="A197" s="10"/>
      <c r="B197" s="10"/>
      <c r="C197" s="10"/>
      <c r="D197" s="10"/>
    </row>
    <row r="198" spans="1:4">
      <c r="A198" s="10"/>
      <c r="B198" s="10"/>
      <c r="C198" s="10"/>
      <c r="D198" s="10"/>
    </row>
    <row r="199" spans="1:4">
      <c r="A199" s="10"/>
      <c r="B199" s="10"/>
      <c r="C199" s="10"/>
      <c r="D199" s="10"/>
    </row>
    <row r="200" spans="1:4">
      <c r="A200" s="10"/>
      <c r="B200" s="10"/>
      <c r="C200" s="10"/>
      <c r="D200" s="10"/>
    </row>
    <row r="201" spans="1:4">
      <c r="A201" s="10"/>
      <c r="B201" s="10"/>
      <c r="C201" s="10"/>
      <c r="D201" s="10"/>
    </row>
    <row r="202" spans="1:4">
      <c r="A202" s="10"/>
      <c r="B202" s="10"/>
      <c r="C202" s="10"/>
      <c r="D202" s="10"/>
    </row>
    <row r="203" spans="1:4">
      <c r="A203" s="10"/>
      <c r="B203" s="10"/>
      <c r="C203" s="10"/>
      <c r="D203" s="10"/>
    </row>
    <row r="204" spans="1:4">
      <c r="A204" s="10"/>
      <c r="B204" s="10"/>
      <c r="C204" s="10"/>
      <c r="D204" s="10"/>
    </row>
    <row r="205" spans="1:4">
      <c r="A205" s="10"/>
      <c r="B205" s="10"/>
      <c r="C205" s="10"/>
      <c r="D205" s="10"/>
    </row>
    <row r="206" spans="1:4">
      <c r="A206" s="10"/>
      <c r="B206" s="10"/>
      <c r="C206" s="10"/>
      <c r="D206" s="10"/>
    </row>
    <row r="207" spans="1:4">
      <c r="A207" s="10"/>
      <c r="B207" s="10"/>
      <c r="C207" s="10"/>
      <c r="D207" s="10"/>
    </row>
    <row r="208" spans="1:4">
      <c r="A208" s="10"/>
      <c r="B208" s="10"/>
      <c r="C208" s="10"/>
      <c r="D208" s="10"/>
    </row>
    <row r="209" spans="1:4">
      <c r="A209" s="10"/>
      <c r="B209" s="10"/>
      <c r="C209" s="10"/>
      <c r="D209" s="10"/>
    </row>
    <row r="210" spans="1:4">
      <c r="A210" s="10"/>
      <c r="B210" s="10"/>
      <c r="C210" s="10"/>
      <c r="D210" s="10"/>
    </row>
    <row r="211" spans="1:4">
      <c r="A211" s="10"/>
      <c r="B211" s="10"/>
      <c r="C211" s="10"/>
      <c r="D211" s="10"/>
    </row>
    <row r="212" spans="1:4">
      <c r="A212" s="10"/>
      <c r="B212" s="10"/>
      <c r="C212" s="10"/>
      <c r="D212" s="10"/>
    </row>
    <row r="213" spans="1:4">
      <c r="A213" s="10"/>
      <c r="B213" s="10"/>
      <c r="C213" s="10"/>
      <c r="D213" s="10"/>
    </row>
    <row r="214" spans="1:4">
      <c r="A214" s="10"/>
      <c r="B214" s="10"/>
      <c r="C214" s="10"/>
      <c r="D214" s="10"/>
    </row>
    <row r="215" spans="1:4">
      <c r="A215" s="10"/>
      <c r="B215" s="10"/>
      <c r="C215" s="10"/>
      <c r="D215" s="10"/>
    </row>
    <row r="216" spans="1:4">
      <c r="A216" s="10"/>
      <c r="B216" s="10"/>
      <c r="C216" s="10"/>
      <c r="D216" s="10"/>
    </row>
    <row r="217" spans="1:4">
      <c r="A217" s="10"/>
      <c r="B217" s="10"/>
      <c r="C217" s="10"/>
      <c r="D217" s="10"/>
    </row>
    <row r="218" spans="1:4">
      <c r="A218" s="10"/>
      <c r="B218" s="10"/>
      <c r="C218" s="10"/>
      <c r="D218" s="10"/>
    </row>
    <row r="219" spans="1:4">
      <c r="A219" s="10"/>
      <c r="B219" s="10"/>
      <c r="C219" s="10"/>
      <c r="D219" s="10"/>
    </row>
    <row r="220" spans="1:4">
      <c r="A220" s="10"/>
      <c r="B220" s="10"/>
      <c r="C220" s="10"/>
      <c r="D220" s="10"/>
    </row>
    <row r="221" spans="1:4">
      <c r="A221" s="10"/>
      <c r="B221" s="10"/>
      <c r="C221" s="10"/>
      <c r="D221" s="10"/>
    </row>
    <row r="222" spans="1:4">
      <c r="A222" s="10"/>
      <c r="B222" s="10"/>
      <c r="C222" s="10"/>
      <c r="D222" s="10"/>
    </row>
    <row r="223" spans="1:4">
      <c r="A223" s="10"/>
      <c r="B223" s="10"/>
      <c r="C223" s="10"/>
      <c r="D223" s="10"/>
    </row>
    <row r="224" spans="1:4">
      <c r="A224" s="10"/>
      <c r="B224" s="10"/>
      <c r="C224" s="10"/>
      <c r="D224" s="10"/>
    </row>
    <row r="225" spans="1:4">
      <c r="A225" s="10"/>
      <c r="B225" s="10"/>
      <c r="C225" s="10"/>
      <c r="D225" s="10"/>
    </row>
    <row r="226" spans="1:4">
      <c r="A226" s="10"/>
      <c r="B226" s="10"/>
      <c r="C226" s="10"/>
      <c r="D226" s="10"/>
    </row>
    <row r="227" spans="1:4">
      <c r="A227" s="10"/>
      <c r="B227" s="10"/>
      <c r="C227" s="10"/>
      <c r="D227" s="10"/>
    </row>
    <row r="228" spans="1:4">
      <c r="A228" s="10"/>
      <c r="B228" s="10"/>
      <c r="C228" s="10"/>
      <c r="D228" s="10"/>
    </row>
    <row r="229" spans="1:4">
      <c r="A229" s="10"/>
      <c r="B229" s="10"/>
      <c r="C229" s="10"/>
      <c r="D229" s="10"/>
    </row>
    <row r="230" spans="1:4">
      <c r="A230" s="10"/>
      <c r="B230" s="10"/>
      <c r="C230" s="10"/>
      <c r="D230" s="10"/>
    </row>
    <row r="231" spans="1:4">
      <c r="A231" s="10"/>
      <c r="B231" s="10"/>
      <c r="C231" s="10"/>
      <c r="D231" s="10"/>
    </row>
    <row r="232" spans="1:4">
      <c r="A232" s="10"/>
      <c r="B232" s="10"/>
      <c r="C232" s="10"/>
      <c r="D232" s="10"/>
    </row>
    <row r="233" spans="1:4">
      <c r="A233" s="10"/>
      <c r="B233" s="10"/>
      <c r="C233" s="10"/>
      <c r="D233" s="10"/>
    </row>
    <row r="234" spans="1:4">
      <c r="A234" s="10"/>
      <c r="B234" s="10"/>
      <c r="C234" s="10"/>
      <c r="D234" s="10"/>
    </row>
    <row r="235" spans="1:4">
      <c r="A235" s="10"/>
      <c r="B235" s="10"/>
      <c r="C235" s="10"/>
      <c r="D235" s="10"/>
    </row>
    <row r="236" spans="1:4">
      <c r="A236" s="10"/>
      <c r="B236" s="10"/>
      <c r="C236" s="10"/>
      <c r="D236" s="10"/>
    </row>
    <row r="237" spans="1:4">
      <c r="A237" s="10"/>
      <c r="B237" s="10"/>
      <c r="C237" s="10"/>
      <c r="D237" s="10"/>
    </row>
    <row r="238" spans="1:4">
      <c r="A238" s="10"/>
      <c r="B238" s="10"/>
      <c r="C238" s="10"/>
      <c r="D238" s="10"/>
    </row>
    <row r="239" spans="1:4">
      <c r="A239" s="10"/>
      <c r="B239" s="10"/>
      <c r="C239" s="10"/>
      <c r="D239" s="10"/>
    </row>
    <row r="240" spans="1:4">
      <c r="A240" s="10"/>
      <c r="B240" s="10"/>
      <c r="C240" s="10"/>
      <c r="D240" s="10"/>
    </row>
    <row r="241" spans="1:4">
      <c r="A241" s="10"/>
      <c r="B241" s="10"/>
      <c r="C241" s="10"/>
      <c r="D241" s="10"/>
    </row>
    <row r="242" spans="1:4">
      <c r="A242" s="10"/>
      <c r="B242" s="10"/>
      <c r="C242" s="10"/>
      <c r="D242" s="10"/>
    </row>
    <row r="243" spans="1:4">
      <c r="A243" s="10"/>
      <c r="B243" s="10"/>
      <c r="C243" s="10"/>
      <c r="D243" s="10"/>
    </row>
    <row r="244" spans="1:4">
      <c r="A244" s="10"/>
      <c r="B244" s="10"/>
      <c r="C244" s="10"/>
      <c r="D244" s="10"/>
    </row>
    <row r="245" spans="1:4">
      <c r="A245" s="10"/>
      <c r="B245" s="10"/>
      <c r="C245" s="10"/>
      <c r="D245" s="10"/>
    </row>
    <row r="246" spans="1:4">
      <c r="A246" s="10"/>
      <c r="B246" s="10"/>
      <c r="C246" s="10"/>
      <c r="D246" s="10"/>
    </row>
    <row r="247" spans="1:4">
      <c r="A247" s="10"/>
      <c r="B247" s="10"/>
      <c r="C247" s="10"/>
      <c r="D247" s="10"/>
    </row>
    <row r="248" spans="1:4">
      <c r="A248" s="10"/>
      <c r="B248" s="10"/>
      <c r="C248" s="10"/>
      <c r="D248" s="10"/>
    </row>
    <row r="249" spans="1:4">
      <c r="A249" s="10"/>
      <c r="B249" s="10"/>
      <c r="C249" s="10"/>
      <c r="D249" s="10"/>
    </row>
    <row r="250" spans="1:4">
      <c r="A250" s="10"/>
      <c r="B250" s="10"/>
      <c r="C250" s="10"/>
      <c r="D250" s="10"/>
    </row>
    <row r="251" spans="1:4">
      <c r="A251" s="10"/>
      <c r="B251" s="10"/>
      <c r="C251" s="10"/>
      <c r="D251" s="10"/>
    </row>
    <row r="252" spans="1:4">
      <c r="A252" s="10"/>
      <c r="B252" s="10"/>
      <c r="C252" s="10"/>
      <c r="D252" s="10"/>
    </row>
    <row r="253" spans="1:4">
      <c r="A253" s="10"/>
      <c r="B253" s="10"/>
      <c r="C253" s="10"/>
      <c r="D253" s="10"/>
    </row>
    <row r="254" spans="1:4">
      <c r="A254" s="10"/>
      <c r="B254" s="10"/>
      <c r="C254" s="10"/>
      <c r="D254" s="10"/>
    </row>
    <row r="255" spans="1:4">
      <c r="A255" s="10"/>
      <c r="B255" s="10"/>
      <c r="C255" s="10"/>
      <c r="D255" s="10"/>
    </row>
    <row r="256" spans="1:4">
      <c r="A256" s="10"/>
      <c r="B256" s="10"/>
      <c r="C256" s="10"/>
      <c r="D256" s="10"/>
    </row>
    <row r="257" spans="1:4">
      <c r="A257" s="10"/>
      <c r="B257" s="10"/>
      <c r="C257" s="10"/>
      <c r="D257" s="10"/>
    </row>
    <row r="258" spans="1:4">
      <c r="A258" s="10"/>
      <c r="B258" s="10"/>
      <c r="C258" s="10"/>
      <c r="D258" s="10"/>
    </row>
    <row r="259" spans="1:4">
      <c r="A259" s="10"/>
      <c r="B259" s="10"/>
      <c r="C259" s="10"/>
      <c r="D259" s="10"/>
    </row>
    <row r="260" spans="1:4">
      <c r="A260" s="10"/>
      <c r="B260" s="10"/>
      <c r="C260" s="10"/>
      <c r="D260" s="10"/>
    </row>
    <row r="261" spans="1:4">
      <c r="A261" s="10"/>
      <c r="B261" s="10"/>
      <c r="C261" s="10"/>
      <c r="D261" s="10"/>
    </row>
    <row r="262" spans="1:4">
      <c r="A262" s="10"/>
      <c r="B262" s="10"/>
      <c r="C262" s="10"/>
      <c r="D262" s="10"/>
    </row>
    <row r="263" spans="1:4">
      <c r="A263" s="10"/>
      <c r="B263" s="10"/>
      <c r="C263" s="10"/>
      <c r="D263" s="10"/>
    </row>
    <row r="264" spans="1:4">
      <c r="A264" s="10"/>
      <c r="B264" s="10"/>
      <c r="C264" s="10"/>
      <c r="D264" s="10"/>
    </row>
    <row r="265" spans="1:4">
      <c r="A265" s="10"/>
      <c r="B265" s="10"/>
      <c r="C265" s="10"/>
      <c r="D265" s="10"/>
    </row>
    <row r="266" spans="1:4">
      <c r="A266" s="10"/>
      <c r="B266" s="10"/>
      <c r="C266" s="10"/>
      <c r="D266" s="10"/>
    </row>
    <row r="267" spans="1:4">
      <c r="A267" s="10"/>
      <c r="B267" s="10"/>
      <c r="C267" s="10"/>
      <c r="D267" s="10"/>
    </row>
    <row r="268" spans="1:4">
      <c r="A268" s="10"/>
      <c r="B268" s="10"/>
      <c r="C268" s="10"/>
      <c r="D268" s="10"/>
    </row>
    <row r="269" spans="1:4">
      <c r="A269" s="10"/>
      <c r="B269" s="10"/>
      <c r="C269" s="10"/>
      <c r="D269" s="10"/>
    </row>
    <row r="270" spans="1:4">
      <c r="A270" s="10"/>
      <c r="B270" s="10"/>
      <c r="C270" s="10"/>
      <c r="D270" s="10"/>
    </row>
    <row r="271" spans="1:4">
      <c r="A271" s="10"/>
      <c r="B271" s="10"/>
      <c r="C271" s="10"/>
      <c r="D271" s="10"/>
    </row>
    <row r="272" spans="1:4">
      <c r="A272" s="10"/>
      <c r="B272" s="10"/>
      <c r="C272" s="10"/>
      <c r="D272" s="10"/>
    </row>
    <row r="273" spans="1:4">
      <c r="A273" s="10"/>
      <c r="B273" s="10"/>
      <c r="C273" s="10"/>
      <c r="D273" s="10"/>
    </row>
    <row r="274" spans="1:4">
      <c r="A274" s="10"/>
      <c r="B274" s="10"/>
      <c r="C274" s="10"/>
      <c r="D274" s="10"/>
    </row>
    <row r="275" spans="1:4">
      <c r="A275" s="10"/>
      <c r="B275" s="10"/>
      <c r="C275" s="10"/>
      <c r="D275" s="10"/>
    </row>
    <row r="276" spans="1:4">
      <c r="A276" s="10"/>
      <c r="B276" s="10"/>
      <c r="C276" s="10"/>
      <c r="D276" s="10"/>
    </row>
    <row r="277" spans="1:4">
      <c r="A277" s="10"/>
      <c r="B277" s="10"/>
      <c r="C277" s="10"/>
      <c r="D277" s="10"/>
    </row>
    <row r="278" spans="1:4">
      <c r="A278" s="10"/>
      <c r="B278" s="10"/>
      <c r="C278" s="10"/>
      <c r="D278" s="10"/>
    </row>
    <row r="279" spans="1:4">
      <c r="A279" s="10"/>
      <c r="B279" s="10"/>
      <c r="C279" s="10"/>
      <c r="D279" s="10"/>
    </row>
    <row r="280" spans="1:4">
      <c r="A280" s="10"/>
      <c r="B280" s="10"/>
      <c r="C280" s="10"/>
      <c r="D280" s="10"/>
    </row>
    <row r="281" spans="1:4">
      <c r="A281" s="10"/>
      <c r="B281" s="10"/>
      <c r="C281" s="10"/>
      <c r="D281" s="10"/>
    </row>
    <row r="282" spans="1:4">
      <c r="A282" s="10"/>
      <c r="B282" s="10"/>
      <c r="C282" s="10"/>
      <c r="D282" s="10"/>
    </row>
    <row r="283" spans="1:4">
      <c r="A283" s="10"/>
      <c r="B283" s="10"/>
      <c r="C283" s="10"/>
      <c r="D283" s="10"/>
    </row>
    <row r="284" spans="1:4">
      <c r="A284" s="10"/>
      <c r="B284" s="10"/>
      <c r="C284" s="10"/>
      <c r="D284" s="10"/>
    </row>
    <row r="285" spans="1:4">
      <c r="A285" s="10"/>
      <c r="B285" s="10"/>
      <c r="C285" s="10"/>
      <c r="D285" s="10"/>
    </row>
    <row r="286" spans="1:4">
      <c r="A286" s="10"/>
      <c r="B286" s="10"/>
      <c r="C286" s="10"/>
      <c r="D286" s="10"/>
    </row>
    <row r="287" spans="1:4">
      <c r="A287" s="10"/>
      <c r="B287" s="10"/>
      <c r="C287" s="10"/>
      <c r="D287" s="10"/>
    </row>
    <row r="288" spans="1:4">
      <c r="A288" s="10"/>
      <c r="B288" s="10"/>
      <c r="C288" s="10"/>
      <c r="D288" s="10"/>
    </row>
    <row r="289" spans="1:4">
      <c r="A289" s="10"/>
      <c r="B289" s="10"/>
      <c r="C289" s="10"/>
      <c r="D289" s="10"/>
    </row>
    <row r="290" spans="1:4">
      <c r="A290" s="10"/>
      <c r="B290" s="10"/>
      <c r="C290" s="10"/>
      <c r="D290" s="10"/>
    </row>
    <row r="291" spans="1:4">
      <c r="A291" s="10"/>
      <c r="B291" s="10"/>
      <c r="C291" s="10"/>
      <c r="D291" s="10"/>
    </row>
    <row r="292" spans="1:4">
      <c r="A292" s="10"/>
      <c r="B292" s="10"/>
      <c r="C292" s="10"/>
      <c r="D292" s="10"/>
    </row>
    <row r="293" spans="1:4">
      <c r="A293" s="10"/>
      <c r="B293" s="10"/>
      <c r="C293" s="10"/>
      <c r="D293" s="10"/>
    </row>
    <row r="294" spans="1:4">
      <c r="A294" s="10"/>
      <c r="B294" s="10"/>
      <c r="C294" s="10"/>
      <c r="D294" s="10"/>
    </row>
    <row r="295" spans="1:4">
      <c r="A295" s="10"/>
      <c r="B295" s="10"/>
      <c r="C295" s="10"/>
      <c r="D295" s="10"/>
    </row>
    <row r="296" spans="1:4">
      <c r="A296" s="10"/>
      <c r="B296" s="10"/>
      <c r="C296" s="10"/>
      <c r="D296" s="10"/>
    </row>
    <row r="297" spans="1:4">
      <c r="A297" s="10"/>
      <c r="B297" s="10"/>
      <c r="C297" s="10"/>
      <c r="D297" s="10"/>
    </row>
    <row r="298" spans="1:4">
      <c r="A298" s="10"/>
      <c r="B298" s="10"/>
      <c r="C298" s="10"/>
      <c r="D298" s="10"/>
    </row>
    <row r="299" spans="1:4">
      <c r="A299" s="10"/>
      <c r="B299" s="10"/>
      <c r="C299" s="10"/>
      <c r="D299" s="10"/>
    </row>
    <row r="300" spans="1:4">
      <c r="A300" s="10"/>
      <c r="B300" s="10"/>
      <c r="C300" s="10"/>
      <c r="D300" s="10"/>
    </row>
    <row r="301" spans="1:4">
      <c r="A301" s="10"/>
      <c r="B301" s="10"/>
      <c r="C301" s="10"/>
      <c r="D301" s="10"/>
    </row>
    <row r="302" spans="1:4">
      <c r="A302" s="10"/>
      <c r="B302" s="10"/>
      <c r="C302" s="10"/>
      <c r="D302" s="10"/>
    </row>
    <row r="303" spans="1:4">
      <c r="A303" s="10"/>
      <c r="B303" s="10"/>
      <c r="C303" s="10"/>
      <c r="D303" s="10"/>
    </row>
    <row r="304" spans="1:4">
      <c r="A304" s="10"/>
      <c r="B304" s="10"/>
      <c r="C304" s="10"/>
      <c r="D304" s="10"/>
    </row>
    <row r="305" spans="1:4">
      <c r="A305" s="10"/>
      <c r="B305" s="10"/>
      <c r="C305" s="10"/>
      <c r="D305" s="10"/>
    </row>
    <row r="306" spans="1:4">
      <c r="A306" s="10"/>
      <c r="B306" s="10"/>
      <c r="C306" s="10"/>
      <c r="D306" s="10"/>
    </row>
    <row r="307" spans="1:4">
      <c r="A307" s="10"/>
      <c r="B307" s="10"/>
      <c r="C307" s="10"/>
      <c r="D307" s="10"/>
    </row>
    <row r="308" spans="1:4">
      <c r="A308" s="10"/>
      <c r="B308" s="10"/>
      <c r="C308" s="10"/>
      <c r="D308" s="10"/>
    </row>
    <row r="309" spans="1:4">
      <c r="A309" s="10"/>
      <c r="B309" s="10"/>
      <c r="C309" s="10"/>
      <c r="D309" s="10"/>
    </row>
    <row r="310" spans="1:4">
      <c r="A310" s="10"/>
      <c r="B310" s="10"/>
      <c r="C310" s="10"/>
      <c r="D310" s="10"/>
    </row>
    <row r="311" spans="1:4">
      <c r="A311" s="10"/>
      <c r="B311" s="10"/>
      <c r="C311" s="10"/>
      <c r="D311" s="10"/>
    </row>
    <row r="312" spans="1:4">
      <c r="A312" s="10"/>
      <c r="B312" s="10"/>
      <c r="C312" s="10"/>
      <c r="D312" s="10"/>
    </row>
    <row r="313" spans="1:4">
      <c r="A313" s="10"/>
      <c r="B313" s="10"/>
      <c r="C313" s="10"/>
      <c r="D313" s="10"/>
    </row>
    <row r="314" spans="1:4">
      <c r="A314" s="10"/>
      <c r="B314" s="10"/>
      <c r="C314" s="10"/>
      <c r="D314" s="10"/>
    </row>
    <row r="315" spans="1:4">
      <c r="A315" s="10"/>
      <c r="B315" s="10"/>
      <c r="C315" s="10"/>
      <c r="D315" s="10"/>
    </row>
    <row r="316" spans="1:4">
      <c r="A316" s="10"/>
      <c r="B316" s="10"/>
      <c r="C316" s="10"/>
      <c r="D316" s="10"/>
    </row>
    <row r="317" spans="1:4">
      <c r="A317" s="10"/>
      <c r="B317" s="10"/>
      <c r="C317" s="10"/>
      <c r="D317" s="10"/>
    </row>
    <row r="318" spans="1:4">
      <c r="A318" s="10"/>
      <c r="B318" s="10"/>
      <c r="C318" s="10"/>
      <c r="D318" s="10"/>
    </row>
    <row r="319" spans="1:4">
      <c r="A319" s="10"/>
      <c r="B319" s="10"/>
      <c r="C319" s="10"/>
      <c r="D319" s="10"/>
    </row>
    <row r="320" spans="1:4">
      <c r="A320" s="10"/>
      <c r="B320" s="10"/>
      <c r="C320" s="10"/>
      <c r="D320" s="10"/>
    </row>
    <row r="321" spans="1:4">
      <c r="A321" s="10"/>
      <c r="B321" s="10"/>
      <c r="C321" s="10"/>
      <c r="D321" s="10"/>
    </row>
    <row r="322" spans="1:4">
      <c r="A322" s="10"/>
      <c r="B322" s="10"/>
      <c r="C322" s="10"/>
      <c r="D322" s="10"/>
    </row>
    <row r="323" spans="1:4">
      <c r="A323" s="10"/>
      <c r="B323" s="10"/>
      <c r="C323" s="10"/>
      <c r="D323" s="10"/>
    </row>
    <row r="324" spans="1:4">
      <c r="A324" s="10"/>
      <c r="B324" s="10"/>
      <c r="C324" s="10"/>
      <c r="D324" s="10"/>
    </row>
    <row r="325" spans="1:4">
      <c r="A325" s="10"/>
      <c r="B325" s="10"/>
      <c r="C325" s="10"/>
      <c r="D325" s="10"/>
    </row>
    <row r="326" spans="1:4">
      <c r="A326" s="10"/>
      <c r="B326" s="10"/>
      <c r="C326" s="10"/>
      <c r="D326" s="10"/>
    </row>
    <row r="327" spans="1:4">
      <c r="A327" s="10"/>
      <c r="B327" s="10"/>
      <c r="C327" s="10"/>
      <c r="D327" s="10"/>
    </row>
    <row r="328" spans="1:4">
      <c r="A328" s="10"/>
      <c r="B328" s="10"/>
      <c r="C328" s="10"/>
      <c r="D328" s="10"/>
    </row>
    <row r="329" spans="1:4">
      <c r="A329" s="10"/>
      <c r="B329" s="10"/>
      <c r="C329" s="10"/>
      <c r="D329" s="10"/>
    </row>
    <row r="330" spans="1:4">
      <c r="A330" s="10"/>
      <c r="B330" s="10"/>
      <c r="C330" s="10"/>
      <c r="D330" s="10"/>
    </row>
    <row r="331" spans="1:4">
      <c r="A331" s="10"/>
      <c r="B331" s="10"/>
      <c r="C331" s="10"/>
      <c r="D331" s="10"/>
    </row>
    <row r="332" spans="1:4">
      <c r="A332" s="10"/>
      <c r="B332" s="10"/>
      <c r="C332" s="10"/>
      <c r="D332" s="10"/>
    </row>
    <row r="333" spans="1:4">
      <c r="A333" s="10"/>
      <c r="B333" s="10"/>
      <c r="C333" s="10"/>
      <c r="D333" s="10"/>
    </row>
    <row r="334" spans="1:4">
      <c r="A334" s="10"/>
      <c r="B334" s="10"/>
      <c r="C334" s="10"/>
      <c r="D334" s="10"/>
    </row>
    <row r="335" spans="1:4">
      <c r="A335" s="10"/>
      <c r="B335" s="10"/>
      <c r="C335" s="10"/>
      <c r="D335" s="10"/>
    </row>
    <row r="336" spans="1:4">
      <c r="A336" s="10"/>
      <c r="B336" s="10"/>
      <c r="C336" s="10"/>
      <c r="D336" s="10"/>
    </row>
    <row r="337" spans="1:4">
      <c r="A337" s="10"/>
      <c r="B337" s="10"/>
      <c r="C337" s="10"/>
      <c r="D337" s="10"/>
    </row>
    <row r="338" spans="1:4">
      <c r="A338" s="10"/>
      <c r="B338" s="10"/>
      <c r="C338" s="10"/>
      <c r="D338" s="10"/>
    </row>
    <row r="339" spans="1:4">
      <c r="A339" s="10"/>
      <c r="B339" s="10"/>
      <c r="C339" s="10"/>
      <c r="D339" s="10"/>
    </row>
    <row r="340" spans="1:4">
      <c r="A340" s="10"/>
      <c r="B340" s="10"/>
      <c r="C340" s="10"/>
      <c r="D340" s="10"/>
    </row>
    <row r="341" spans="1:4">
      <c r="A341" s="10"/>
      <c r="B341" s="10"/>
      <c r="C341" s="10"/>
      <c r="D341" s="10"/>
    </row>
    <row r="342" spans="1:4">
      <c r="A342" s="10"/>
      <c r="B342" s="10"/>
      <c r="C342" s="10"/>
      <c r="D342" s="10"/>
    </row>
    <row r="343" spans="1:4">
      <c r="A343" s="10"/>
      <c r="B343" s="10"/>
      <c r="C343" s="10"/>
      <c r="D343" s="10"/>
    </row>
    <row r="344" spans="1:4">
      <c r="A344" s="10"/>
      <c r="B344" s="10"/>
      <c r="C344" s="10"/>
      <c r="D344" s="10"/>
    </row>
    <row r="345" spans="1:4">
      <c r="A345" s="10"/>
      <c r="B345" s="10"/>
      <c r="C345" s="10"/>
      <c r="D345" s="10"/>
    </row>
    <row r="346" spans="1:4">
      <c r="A346" s="10"/>
      <c r="B346" s="10"/>
      <c r="C346" s="10"/>
      <c r="D346" s="10"/>
    </row>
    <row r="347" spans="1:4">
      <c r="A347" s="10"/>
      <c r="B347" s="10"/>
      <c r="C347" s="10"/>
      <c r="D347" s="10"/>
    </row>
    <row r="348" spans="1:4">
      <c r="A348" s="10"/>
      <c r="B348" s="10"/>
      <c r="C348" s="10"/>
      <c r="D348" s="10"/>
    </row>
    <row r="349" spans="1:4">
      <c r="A349" s="10"/>
      <c r="B349" s="10"/>
      <c r="C349" s="10"/>
      <c r="D349" s="10"/>
    </row>
    <row r="350" spans="1:4">
      <c r="A350" s="10"/>
      <c r="B350" s="10"/>
      <c r="C350" s="10"/>
      <c r="D350" s="10"/>
    </row>
    <row r="351" spans="1:4">
      <c r="A351" s="10"/>
      <c r="B351" s="10"/>
      <c r="C351" s="10"/>
      <c r="D351" s="10"/>
    </row>
    <row r="352" spans="1:4">
      <c r="A352" s="10"/>
      <c r="B352" s="10"/>
      <c r="C352" s="10"/>
      <c r="D352" s="10"/>
    </row>
    <row r="353" spans="1:4">
      <c r="A353" s="10"/>
      <c r="B353" s="10"/>
      <c r="C353" s="10"/>
      <c r="D353" s="10"/>
    </row>
    <row r="354" spans="1:4">
      <c r="A354" s="10"/>
      <c r="B354" s="10"/>
      <c r="C354" s="10"/>
      <c r="D354" s="10"/>
    </row>
    <row r="355" spans="1:4">
      <c r="A355" s="10"/>
      <c r="B355" s="10"/>
      <c r="C355" s="10"/>
      <c r="D355" s="10"/>
    </row>
    <row r="356" spans="1:4">
      <c r="A356" s="10"/>
      <c r="B356" s="10"/>
      <c r="C356" s="10"/>
      <c r="D356" s="10"/>
    </row>
    <row r="357" spans="1:4">
      <c r="A357" s="10"/>
      <c r="B357" s="10"/>
      <c r="C357" s="10"/>
      <c r="D357" s="10"/>
    </row>
    <row r="358" spans="1:4">
      <c r="A358" s="10"/>
      <c r="B358" s="10"/>
      <c r="C358" s="10"/>
      <c r="D358" s="10"/>
    </row>
    <row r="359" spans="1:4">
      <c r="A359" s="10"/>
      <c r="B359" s="10"/>
      <c r="C359" s="10"/>
      <c r="D359" s="10"/>
    </row>
    <row r="360" spans="1:4">
      <c r="A360" s="10"/>
      <c r="B360" s="10"/>
      <c r="C360" s="10"/>
      <c r="D360" s="10"/>
    </row>
    <row r="361" spans="1:4">
      <c r="A361" s="10"/>
      <c r="B361" s="10"/>
      <c r="C361" s="10"/>
      <c r="D361" s="10"/>
    </row>
    <row r="362" spans="1:4">
      <c r="A362" s="10"/>
      <c r="B362" s="10"/>
      <c r="C362" s="10"/>
      <c r="D362" s="10"/>
    </row>
    <row r="363" spans="1:4">
      <c r="A363" s="10"/>
      <c r="B363" s="10"/>
      <c r="C363" s="10"/>
      <c r="D363" s="10"/>
    </row>
    <row r="364" spans="1:4">
      <c r="A364" s="10"/>
      <c r="B364" s="10"/>
      <c r="C364" s="10"/>
      <c r="D364" s="10"/>
    </row>
    <row r="365" spans="1:4">
      <c r="A365" s="10"/>
      <c r="B365" s="10"/>
      <c r="C365" s="10"/>
      <c r="D365" s="10"/>
    </row>
    <row r="366" spans="1:4">
      <c r="A366" s="10"/>
      <c r="B366" s="10"/>
      <c r="C366" s="10"/>
      <c r="D366" s="10"/>
    </row>
    <row r="367" spans="1:4">
      <c r="A367" s="10"/>
      <c r="B367" s="10"/>
      <c r="C367" s="10"/>
      <c r="D367" s="10"/>
    </row>
    <row r="368" spans="1:4">
      <c r="A368" s="10"/>
      <c r="B368" s="10"/>
      <c r="C368" s="10"/>
      <c r="D368" s="10"/>
    </row>
    <row r="369" spans="1:4">
      <c r="A369" s="10"/>
      <c r="B369" s="10"/>
      <c r="C369" s="10"/>
      <c r="D369" s="10"/>
    </row>
    <row r="370" spans="1:4">
      <c r="A370" s="10"/>
      <c r="B370" s="10"/>
      <c r="C370" s="10"/>
      <c r="D370" s="10"/>
    </row>
    <row r="371" spans="1:4">
      <c r="A371" s="10"/>
      <c r="B371" s="10"/>
      <c r="C371" s="10"/>
      <c r="D371" s="10"/>
    </row>
    <row r="372" spans="1:4">
      <c r="A372" s="10"/>
      <c r="B372" s="10"/>
      <c r="C372" s="10"/>
      <c r="D372" s="10"/>
    </row>
    <row r="373" spans="1:4">
      <c r="A373" s="10"/>
      <c r="B373" s="10"/>
      <c r="C373" s="10"/>
      <c r="D373" s="10"/>
    </row>
    <row r="374" spans="1:4">
      <c r="A374" s="10"/>
      <c r="B374" s="10"/>
      <c r="C374" s="10"/>
      <c r="D374" s="10"/>
    </row>
    <row r="375" spans="1:4">
      <c r="A375" s="10"/>
      <c r="B375" s="10"/>
      <c r="C375" s="10"/>
      <c r="D375" s="10"/>
    </row>
    <row r="376" spans="1:4">
      <c r="A376" s="10"/>
      <c r="B376" s="10"/>
      <c r="C376" s="10"/>
      <c r="D376" s="10"/>
    </row>
    <row r="377" spans="1:4">
      <c r="A377" s="10"/>
      <c r="B377" s="10"/>
      <c r="C377" s="10"/>
      <c r="D377" s="10"/>
    </row>
    <row r="378" spans="1:4">
      <c r="A378" s="10"/>
      <c r="B378" s="10"/>
      <c r="C378" s="10"/>
      <c r="D378" s="10"/>
    </row>
    <row r="379" spans="1:4">
      <c r="A379" s="10"/>
      <c r="B379" s="10"/>
      <c r="C379" s="10"/>
      <c r="D379" s="10"/>
    </row>
    <row r="380" spans="1:4">
      <c r="A380" s="10"/>
      <c r="B380" s="10"/>
      <c r="C380" s="10"/>
      <c r="D380" s="10"/>
    </row>
    <row r="381" spans="1:4">
      <c r="A381" s="10"/>
      <c r="B381" s="10"/>
      <c r="C381" s="10"/>
      <c r="D381" s="10"/>
    </row>
    <row r="382" spans="1:4">
      <c r="A382" s="10"/>
      <c r="B382" s="10"/>
      <c r="C382" s="10"/>
      <c r="D382" s="10"/>
    </row>
    <row r="383" spans="1:4">
      <c r="A383" s="10"/>
      <c r="B383" s="10"/>
      <c r="C383" s="10"/>
      <c r="D383" s="10"/>
    </row>
    <row r="384" spans="1:4">
      <c r="A384" s="10"/>
      <c r="B384" s="10"/>
      <c r="C384" s="10"/>
      <c r="D384" s="10"/>
    </row>
    <row r="385" spans="1:4">
      <c r="A385" s="10"/>
      <c r="B385" s="10"/>
      <c r="C385" s="10"/>
      <c r="D385" s="10"/>
    </row>
    <row r="386" spans="1:4">
      <c r="A386" s="10"/>
      <c r="B386" s="10"/>
      <c r="C386" s="10"/>
      <c r="D386" s="10"/>
    </row>
    <row r="387" spans="1:4">
      <c r="A387" s="10"/>
      <c r="B387" s="10"/>
      <c r="C387" s="10"/>
      <c r="D387" s="10"/>
    </row>
    <row r="388" spans="1:4">
      <c r="A388" s="10"/>
      <c r="B388" s="10"/>
      <c r="C388" s="10"/>
      <c r="D388" s="10"/>
    </row>
    <row r="389" spans="1:4">
      <c r="A389" s="10"/>
      <c r="B389" s="10"/>
      <c r="C389" s="10"/>
      <c r="D389" s="10"/>
    </row>
    <row r="390" spans="1:4">
      <c r="A390" s="10"/>
      <c r="B390" s="10"/>
      <c r="C390" s="10"/>
      <c r="D390" s="10"/>
    </row>
    <row r="391" spans="1:4">
      <c r="A391" s="10"/>
      <c r="B391" s="10"/>
      <c r="C391" s="10"/>
      <c r="D391" s="10"/>
    </row>
    <row r="392" spans="1:4">
      <c r="A392" s="10"/>
      <c r="B392" s="10"/>
      <c r="C392" s="10"/>
      <c r="D392" s="10"/>
    </row>
    <row r="393" spans="1:4">
      <c r="A393" s="10"/>
      <c r="B393" s="10"/>
      <c r="C393" s="10"/>
      <c r="D393" s="10"/>
    </row>
    <row r="394" spans="1:4">
      <c r="A394" s="10"/>
      <c r="B394" s="10"/>
      <c r="C394" s="10"/>
      <c r="D394" s="10"/>
    </row>
    <row r="395" spans="1:4">
      <c r="A395" s="10"/>
      <c r="B395" s="10"/>
      <c r="C395" s="10"/>
      <c r="D395" s="10"/>
    </row>
    <row r="396" spans="1:4">
      <c r="A396" s="10"/>
      <c r="B396" s="10"/>
      <c r="C396" s="10"/>
      <c r="D396" s="10"/>
    </row>
    <row r="397" spans="1:4">
      <c r="A397" s="10"/>
      <c r="B397" s="10"/>
      <c r="C397" s="10"/>
      <c r="D397" s="10"/>
    </row>
    <row r="398" spans="1:4">
      <c r="A398" s="10"/>
      <c r="B398" s="10"/>
      <c r="C398" s="10"/>
      <c r="D398" s="10"/>
    </row>
    <row r="399" spans="1:4">
      <c r="A399" s="10"/>
      <c r="B399" s="10"/>
      <c r="C399" s="10"/>
      <c r="D399" s="10"/>
    </row>
    <row r="400" spans="1:4">
      <c r="A400" s="10"/>
      <c r="B400" s="10"/>
      <c r="C400" s="10"/>
      <c r="D400" s="10"/>
    </row>
    <row r="401" spans="1:4">
      <c r="A401" s="10"/>
      <c r="B401" s="10"/>
      <c r="C401" s="10"/>
      <c r="D401" s="10"/>
    </row>
    <row r="402" spans="1:4">
      <c r="A402" s="10"/>
      <c r="B402" s="10"/>
      <c r="C402" s="10"/>
      <c r="D402" s="10"/>
    </row>
    <row r="403" spans="1:4">
      <c r="A403" s="10"/>
      <c r="B403" s="10"/>
      <c r="C403" s="10"/>
      <c r="D403" s="10"/>
    </row>
    <row r="404" spans="1:4">
      <c r="A404" s="10"/>
      <c r="B404" s="10"/>
      <c r="C404" s="10"/>
      <c r="D404" s="10"/>
    </row>
    <row r="405" spans="1:4">
      <c r="A405" s="10"/>
      <c r="B405" s="10"/>
      <c r="C405" s="10"/>
      <c r="D405" s="10"/>
    </row>
    <row r="406" spans="1:4">
      <c r="A406" s="10"/>
      <c r="B406" s="10"/>
      <c r="C406" s="10"/>
      <c r="D406" s="10"/>
    </row>
    <row r="407" spans="1:4">
      <c r="A407" s="10"/>
      <c r="B407" s="10"/>
      <c r="C407" s="10"/>
      <c r="D407" s="10"/>
    </row>
    <row r="408" spans="1:4">
      <c r="A408" s="10"/>
      <c r="B408" s="10"/>
      <c r="C408" s="10"/>
      <c r="D408" s="10"/>
    </row>
    <row r="409" spans="1:4">
      <c r="A409" s="10"/>
      <c r="B409" s="10"/>
      <c r="C409" s="10"/>
      <c r="D409" s="10"/>
    </row>
    <row r="410" spans="1:4">
      <c r="A410" s="10"/>
      <c r="B410" s="10"/>
      <c r="C410" s="10"/>
      <c r="D410" s="10"/>
    </row>
    <row r="411" spans="1:4">
      <c r="A411" s="10"/>
      <c r="B411" s="10"/>
      <c r="C411" s="10"/>
      <c r="D411" s="10"/>
    </row>
    <row r="412" spans="1:4">
      <c r="A412" s="10"/>
      <c r="B412" s="10"/>
      <c r="C412" s="10"/>
      <c r="D412" s="10"/>
    </row>
    <row r="413" spans="1:4">
      <c r="A413" s="10"/>
      <c r="B413" s="10"/>
      <c r="C413" s="10"/>
      <c r="D413" s="10"/>
    </row>
    <row r="414" spans="1:4">
      <c r="A414" s="10"/>
      <c r="B414" s="10"/>
      <c r="C414" s="10"/>
      <c r="D414" s="10"/>
    </row>
    <row r="415" spans="1:4">
      <c r="A415" s="10"/>
      <c r="B415" s="10"/>
      <c r="C415" s="10"/>
      <c r="D415" s="10"/>
    </row>
    <row r="416" spans="1:4">
      <c r="A416" s="10"/>
      <c r="B416" s="10"/>
      <c r="C416" s="10"/>
      <c r="D416" s="10"/>
    </row>
    <row r="417" spans="1:4">
      <c r="A417" s="10"/>
      <c r="B417" s="10"/>
      <c r="C417" s="10"/>
      <c r="D417" s="10"/>
    </row>
    <row r="418" spans="1:4">
      <c r="A418" s="10"/>
      <c r="B418" s="10"/>
      <c r="C418" s="10"/>
      <c r="D418" s="10"/>
    </row>
    <row r="419" spans="1:4">
      <c r="A419" s="10"/>
      <c r="B419" s="10"/>
      <c r="C419" s="10"/>
      <c r="D419" s="10"/>
    </row>
    <row r="420" spans="1:4">
      <c r="A420" s="10"/>
      <c r="B420" s="10"/>
      <c r="C420" s="10"/>
      <c r="D420" s="10"/>
    </row>
    <row r="421" spans="1:4">
      <c r="A421" s="10"/>
      <c r="B421" s="10"/>
      <c r="C421" s="10"/>
      <c r="D421" s="10"/>
    </row>
    <row r="422" spans="1:4">
      <c r="A422" s="10"/>
      <c r="B422" s="10"/>
      <c r="C422" s="10"/>
      <c r="D422" s="10"/>
    </row>
    <row r="423" spans="1:4">
      <c r="A423" s="10"/>
      <c r="B423" s="10"/>
      <c r="C423" s="10"/>
      <c r="D423" s="10"/>
    </row>
    <row r="424" spans="1:4">
      <c r="A424" s="10"/>
      <c r="B424" s="10"/>
      <c r="C424" s="10"/>
      <c r="D424" s="10"/>
    </row>
    <row r="425" spans="1:4">
      <c r="A425" s="10"/>
      <c r="B425" s="10"/>
      <c r="C425" s="10"/>
      <c r="D425" s="10"/>
    </row>
    <row r="426" spans="1:4">
      <c r="A426" s="10"/>
      <c r="B426" s="10"/>
      <c r="C426" s="10"/>
      <c r="D426" s="10"/>
    </row>
    <row r="427" spans="1:4">
      <c r="A427" s="10"/>
      <c r="B427" s="10"/>
      <c r="C427" s="10"/>
      <c r="D427" s="10"/>
    </row>
    <row r="428" spans="1:4">
      <c r="A428" s="10"/>
      <c r="B428" s="10"/>
      <c r="C428" s="10"/>
      <c r="D428" s="10"/>
    </row>
    <row r="429" spans="1:4">
      <c r="A429" s="10"/>
      <c r="B429" s="10"/>
      <c r="C429" s="10"/>
      <c r="D429" s="10"/>
    </row>
    <row r="430" spans="1:4">
      <c r="A430" s="10"/>
      <c r="B430" s="10"/>
      <c r="C430" s="10"/>
      <c r="D430" s="10"/>
    </row>
    <row r="431" spans="1:4">
      <c r="A431" s="10"/>
      <c r="B431" s="10"/>
      <c r="C431" s="10"/>
      <c r="D431" s="10"/>
    </row>
    <row r="432" spans="1:4">
      <c r="A432" s="10"/>
      <c r="B432" s="10"/>
      <c r="C432" s="10"/>
      <c r="D432" s="10"/>
    </row>
    <row r="433" spans="1:4">
      <c r="A433" s="10"/>
      <c r="B433" s="10"/>
      <c r="C433" s="10"/>
      <c r="D433" s="10"/>
    </row>
    <row r="434" spans="1:4">
      <c r="A434" s="10"/>
      <c r="B434" s="10"/>
      <c r="C434" s="10"/>
      <c r="D434" s="10"/>
    </row>
    <row r="435" spans="1:4">
      <c r="A435" s="10"/>
      <c r="B435" s="10"/>
      <c r="C435" s="10"/>
      <c r="D435" s="10"/>
    </row>
    <row r="436" spans="1:4">
      <c r="A436" s="10"/>
      <c r="B436" s="10"/>
      <c r="C436" s="10"/>
      <c r="D436" s="10"/>
    </row>
    <row r="437" spans="1:4">
      <c r="A437" s="10"/>
      <c r="B437" s="10"/>
      <c r="C437" s="10"/>
      <c r="D437" s="10"/>
    </row>
    <row r="438" spans="1:4">
      <c r="A438" s="10"/>
      <c r="B438" s="10"/>
      <c r="C438" s="10"/>
      <c r="D438" s="10"/>
    </row>
    <row r="439" spans="1:4">
      <c r="A439" s="10"/>
      <c r="B439" s="10"/>
      <c r="C439" s="10"/>
      <c r="D439" s="10"/>
    </row>
    <row r="440" spans="1:4">
      <c r="A440" s="10"/>
      <c r="B440" s="10"/>
      <c r="C440" s="10"/>
      <c r="D440" s="10"/>
    </row>
    <row r="441" spans="1:4">
      <c r="A441" s="10"/>
      <c r="B441" s="10"/>
      <c r="C441" s="10"/>
      <c r="D441" s="10"/>
    </row>
    <row r="442" spans="1:4">
      <c r="A442" s="10"/>
      <c r="B442" s="10"/>
      <c r="C442" s="10"/>
      <c r="D442" s="10"/>
    </row>
    <row r="443" spans="1:4">
      <c r="A443" s="10"/>
      <c r="B443" s="10"/>
      <c r="C443" s="10"/>
      <c r="D443" s="10"/>
    </row>
    <row r="444" spans="1:4">
      <c r="A444" s="10"/>
      <c r="B444" s="10"/>
      <c r="C444" s="10"/>
      <c r="D444" s="10"/>
    </row>
    <row r="445" spans="1:4">
      <c r="A445" s="10"/>
      <c r="B445" s="10"/>
      <c r="C445" s="10"/>
      <c r="D445" s="10"/>
    </row>
    <row r="446" spans="1:4">
      <c r="A446" s="10"/>
      <c r="B446" s="10"/>
      <c r="C446" s="10"/>
      <c r="D446" s="10"/>
    </row>
    <row r="447" spans="1:4">
      <c r="A447" s="10"/>
      <c r="B447" s="10"/>
      <c r="C447" s="10"/>
      <c r="D447" s="10"/>
    </row>
    <row r="448" spans="1:4">
      <c r="A448" s="10"/>
      <c r="B448" s="10"/>
      <c r="C448" s="10"/>
      <c r="D448" s="10"/>
    </row>
    <row r="449" spans="1:4">
      <c r="A449" s="10"/>
      <c r="B449" s="10"/>
      <c r="C449" s="10"/>
      <c r="D449" s="10"/>
    </row>
    <row r="450" spans="1:4">
      <c r="A450" s="10"/>
      <c r="B450" s="10"/>
      <c r="C450" s="10"/>
      <c r="D450" s="10"/>
    </row>
    <row r="451" spans="1:4">
      <c r="A451" s="10"/>
      <c r="B451" s="10"/>
      <c r="C451" s="10"/>
      <c r="D451" s="10"/>
    </row>
    <row r="452" spans="1:4">
      <c r="A452" s="10"/>
      <c r="B452" s="10"/>
      <c r="C452" s="10"/>
      <c r="D452" s="10"/>
    </row>
    <row r="453" spans="1:4">
      <c r="A453" s="10"/>
      <c r="B453" s="10"/>
      <c r="C453" s="10"/>
      <c r="D453" s="10"/>
    </row>
    <row r="454" spans="1:4">
      <c r="A454" s="10"/>
      <c r="B454" s="10"/>
      <c r="C454" s="10"/>
      <c r="D454" s="10"/>
    </row>
    <row r="455" spans="1:4">
      <c r="A455" s="10"/>
      <c r="B455" s="10"/>
      <c r="C455" s="10"/>
      <c r="D455" s="10"/>
    </row>
    <row r="456" spans="1:4">
      <c r="A456" s="10"/>
      <c r="B456" s="10"/>
      <c r="C456" s="10"/>
      <c r="D456" s="10"/>
    </row>
    <row r="457" spans="1:4">
      <c r="A457" s="10"/>
      <c r="B457" s="10"/>
      <c r="C457" s="10"/>
      <c r="D457" s="10"/>
    </row>
    <row r="458" spans="1:4">
      <c r="A458" s="10"/>
      <c r="B458" s="10"/>
      <c r="C458" s="10"/>
      <c r="D458" s="10"/>
    </row>
    <row r="459" spans="1:4">
      <c r="A459" s="10"/>
      <c r="B459" s="10"/>
      <c r="C459" s="10"/>
      <c r="D459" s="10"/>
    </row>
    <row r="460" spans="1:4">
      <c r="A460" s="10"/>
      <c r="B460" s="10"/>
      <c r="C460" s="10"/>
      <c r="D460" s="10"/>
    </row>
    <row r="461" spans="1:4">
      <c r="A461" s="10"/>
      <c r="B461" s="10"/>
      <c r="C461" s="10"/>
      <c r="D461" s="10"/>
    </row>
    <row r="462" spans="1:4">
      <c r="A462" s="10"/>
      <c r="B462" s="10"/>
      <c r="C462" s="10"/>
      <c r="D462" s="10"/>
    </row>
    <row r="463" spans="1:4">
      <c r="A463" s="10"/>
      <c r="B463" s="10"/>
      <c r="C463" s="10"/>
      <c r="D463" s="10"/>
    </row>
    <row r="464" spans="1:4">
      <c r="A464" s="10"/>
      <c r="B464" s="10"/>
      <c r="C464" s="10"/>
      <c r="D464" s="10"/>
    </row>
    <row r="465" spans="1:4">
      <c r="A465" s="10"/>
      <c r="B465" s="10"/>
      <c r="C465" s="10"/>
      <c r="D465" s="10"/>
    </row>
    <row r="466" spans="1:4">
      <c r="A466" s="10"/>
      <c r="B466" s="10"/>
      <c r="C466" s="10"/>
      <c r="D466" s="10"/>
    </row>
    <row r="467" spans="1:4">
      <c r="A467" s="10"/>
      <c r="B467" s="10"/>
      <c r="C467" s="10"/>
      <c r="D467" s="10"/>
    </row>
    <row r="468" spans="1:4">
      <c r="A468" s="10"/>
      <c r="B468" s="10"/>
      <c r="C468" s="10"/>
      <c r="D468" s="10"/>
    </row>
    <row r="469" spans="1:4">
      <c r="A469" s="10"/>
      <c r="B469" s="10"/>
      <c r="C469" s="10"/>
      <c r="D469" s="10"/>
    </row>
    <row r="470" spans="1:4">
      <c r="A470" s="10"/>
      <c r="B470" s="10"/>
      <c r="C470" s="10"/>
      <c r="D470" s="10"/>
    </row>
    <row r="471" spans="1:4">
      <c r="A471" s="10"/>
      <c r="B471" s="10"/>
      <c r="C471" s="10"/>
      <c r="D471" s="10"/>
    </row>
    <row r="472" spans="1:4">
      <c r="A472" s="10"/>
      <c r="B472" s="10"/>
      <c r="C472" s="10"/>
      <c r="D472" s="10"/>
    </row>
    <row r="473" spans="1:4">
      <c r="A473" s="10"/>
      <c r="B473" s="10"/>
      <c r="C473" s="10"/>
      <c r="D473" s="10"/>
    </row>
    <row r="474" spans="1:4">
      <c r="A474" s="10"/>
      <c r="B474" s="10"/>
      <c r="C474" s="10"/>
      <c r="D474" s="10"/>
    </row>
    <row r="475" spans="1:4">
      <c r="A475" s="10"/>
      <c r="B475" s="10"/>
      <c r="C475" s="10"/>
      <c r="D475" s="10"/>
    </row>
    <row r="476" spans="1:4">
      <c r="A476" s="10"/>
      <c r="B476" s="10"/>
      <c r="C476" s="10"/>
      <c r="D476" s="10"/>
    </row>
    <row r="477" spans="1:4">
      <c r="A477" s="10"/>
      <c r="B477" s="10"/>
      <c r="C477" s="10"/>
      <c r="D477" s="10"/>
    </row>
    <row r="478" spans="1:4">
      <c r="A478" s="10"/>
      <c r="B478" s="10"/>
      <c r="C478" s="10"/>
      <c r="D478" s="10"/>
    </row>
    <row r="479" spans="1:4">
      <c r="A479" s="10"/>
      <c r="B479" s="10"/>
      <c r="C479" s="10"/>
      <c r="D479" s="10"/>
    </row>
    <row r="480" spans="1:4">
      <c r="A480" s="10"/>
      <c r="B480" s="10"/>
      <c r="C480" s="10"/>
      <c r="D480" s="10"/>
    </row>
    <row r="481" spans="1:4">
      <c r="A481" s="10"/>
      <c r="B481" s="10"/>
      <c r="C481" s="10"/>
      <c r="D481" s="10"/>
    </row>
    <row r="482" spans="1:4">
      <c r="A482" s="10"/>
      <c r="B482" s="10"/>
      <c r="C482" s="10"/>
      <c r="D482" s="10"/>
    </row>
    <row r="483" spans="1:4">
      <c r="A483" s="10"/>
      <c r="B483" s="10"/>
      <c r="C483" s="10"/>
      <c r="D483" s="10"/>
    </row>
    <row r="484" spans="1:4">
      <c r="A484" s="10"/>
      <c r="B484" s="10"/>
      <c r="C484" s="10"/>
      <c r="D484" s="10"/>
    </row>
    <row r="485" spans="1:4">
      <c r="A485" s="10"/>
      <c r="B485" s="10"/>
      <c r="C485" s="10"/>
      <c r="D485" s="10"/>
    </row>
    <row r="486" spans="1:4">
      <c r="A486" s="10"/>
      <c r="B486" s="10"/>
      <c r="C486" s="10"/>
      <c r="D486" s="10"/>
    </row>
    <row r="487" spans="1:4">
      <c r="A487" s="10"/>
      <c r="B487" s="10"/>
      <c r="C487" s="10"/>
      <c r="D487" s="10"/>
    </row>
    <row r="488" spans="1:4">
      <c r="A488" s="10"/>
      <c r="B488" s="10"/>
      <c r="C488" s="10"/>
      <c r="D488" s="10"/>
    </row>
    <row r="489" spans="1:4">
      <c r="A489" s="10"/>
      <c r="B489" s="10"/>
      <c r="C489" s="10"/>
      <c r="D489" s="10"/>
    </row>
    <row r="490" spans="1:4">
      <c r="A490" s="10"/>
      <c r="B490" s="10"/>
      <c r="C490" s="10"/>
      <c r="D490" s="10"/>
    </row>
    <row r="491" spans="1:4">
      <c r="A491" s="10"/>
      <c r="B491" s="10"/>
      <c r="C491" s="10"/>
      <c r="D491" s="10"/>
    </row>
    <row r="492" spans="1:4">
      <c r="A492" s="10"/>
      <c r="B492" s="10"/>
      <c r="C492" s="10"/>
      <c r="D492" s="10"/>
    </row>
    <row r="493" spans="1:4">
      <c r="A493" s="10"/>
      <c r="B493" s="10"/>
      <c r="C493" s="10"/>
      <c r="D493" s="10"/>
    </row>
    <row r="494" spans="1:4">
      <c r="A494" s="10"/>
      <c r="B494" s="10"/>
      <c r="C494" s="10"/>
      <c r="D494" s="10"/>
    </row>
    <row r="495" spans="1:4">
      <c r="A495" s="10"/>
      <c r="B495" s="10"/>
      <c r="C495" s="10"/>
      <c r="D495" s="10"/>
    </row>
    <row r="496" spans="1:4">
      <c r="A496" s="10"/>
      <c r="B496" s="10"/>
      <c r="C496" s="10"/>
      <c r="D496" s="10"/>
    </row>
    <row r="497" spans="1:4">
      <c r="A497" s="10"/>
      <c r="B497" s="10"/>
      <c r="C497" s="10"/>
      <c r="D497" s="10"/>
    </row>
    <row r="498" spans="1:4">
      <c r="A498" s="10"/>
      <c r="B498" s="10"/>
      <c r="C498" s="10"/>
      <c r="D498" s="10"/>
    </row>
    <row r="499" spans="1:4">
      <c r="A499" s="10"/>
      <c r="B499" s="10"/>
      <c r="C499" s="10"/>
      <c r="D499" s="10"/>
    </row>
    <row r="500" spans="1:4">
      <c r="A500" s="10"/>
      <c r="B500" s="10"/>
      <c r="C500" s="10"/>
      <c r="D500" s="10"/>
    </row>
    <row r="501" spans="1:4">
      <c r="A501" s="10"/>
      <c r="B501" s="10"/>
      <c r="C501" s="10"/>
      <c r="D501" s="10"/>
    </row>
    <row r="502" spans="1:4">
      <c r="A502" s="10"/>
      <c r="B502" s="10"/>
      <c r="C502" s="10"/>
      <c r="D502" s="10"/>
    </row>
    <row r="503" spans="1:4">
      <c r="A503" s="10"/>
      <c r="B503" s="10"/>
      <c r="C503" s="10"/>
      <c r="D503" s="10"/>
    </row>
    <row r="504" spans="1:4">
      <c r="A504" s="10"/>
      <c r="B504" s="10"/>
      <c r="C504" s="10"/>
      <c r="D504" s="10"/>
    </row>
    <row r="505" spans="1:4">
      <c r="A505" s="10"/>
      <c r="B505" s="10"/>
      <c r="C505" s="10"/>
      <c r="D505" s="10"/>
    </row>
    <row r="506" spans="1:4">
      <c r="A506" s="10"/>
      <c r="B506" s="10"/>
      <c r="C506" s="10"/>
      <c r="D506" s="10"/>
    </row>
    <row r="507" spans="1:4">
      <c r="A507" s="10"/>
      <c r="B507" s="10"/>
      <c r="C507" s="10"/>
      <c r="D507" s="10"/>
    </row>
    <row r="508" spans="1:4">
      <c r="A508" s="10"/>
      <c r="B508" s="10"/>
      <c r="C508" s="10"/>
      <c r="D508" s="10"/>
    </row>
    <row r="509" spans="1:4">
      <c r="A509" s="10"/>
      <c r="B509" s="10"/>
      <c r="C509" s="10"/>
      <c r="D509" s="10"/>
    </row>
    <row r="510" spans="1:4">
      <c r="A510" s="10"/>
      <c r="B510" s="10"/>
      <c r="C510" s="10"/>
      <c r="D510" s="10"/>
    </row>
    <row r="511" spans="1:4">
      <c r="A511" s="10"/>
      <c r="B511" s="10"/>
      <c r="C511" s="10"/>
      <c r="D511" s="10"/>
    </row>
    <row r="512" spans="1:4">
      <c r="A512" s="10"/>
      <c r="B512" s="10"/>
      <c r="C512" s="10"/>
      <c r="D512" s="10"/>
    </row>
    <row r="513" spans="1:4">
      <c r="A513" s="10"/>
      <c r="B513" s="10"/>
      <c r="C513" s="10"/>
      <c r="D513" s="10"/>
    </row>
    <row r="514" spans="1:4">
      <c r="A514" s="10"/>
      <c r="B514" s="10"/>
      <c r="C514" s="10"/>
      <c r="D514" s="10"/>
    </row>
    <row r="515" spans="1:4">
      <c r="A515" s="10"/>
      <c r="B515" s="10"/>
      <c r="C515" s="10"/>
      <c r="D515" s="10"/>
    </row>
    <row r="516" spans="1:4">
      <c r="A516" s="10"/>
      <c r="B516" s="10"/>
      <c r="C516" s="10"/>
      <c r="D516" s="10"/>
    </row>
    <row r="517" spans="1:4">
      <c r="A517" s="10"/>
      <c r="B517" s="10"/>
      <c r="C517" s="10"/>
      <c r="D517" s="10"/>
    </row>
    <row r="518" spans="1:4">
      <c r="A518" s="10"/>
      <c r="B518" s="10"/>
      <c r="C518" s="10"/>
      <c r="D518" s="10"/>
    </row>
    <row r="519" spans="1:4">
      <c r="A519" s="10"/>
      <c r="B519" s="10"/>
      <c r="C519" s="10"/>
      <c r="D519" s="10"/>
    </row>
    <row r="520" spans="1:4">
      <c r="A520" s="10"/>
      <c r="B520" s="10"/>
      <c r="C520" s="10"/>
      <c r="D520" s="10"/>
    </row>
    <row r="521" spans="1:4">
      <c r="A521" s="10"/>
      <c r="B521" s="10"/>
      <c r="C521" s="10"/>
      <c r="D521" s="10"/>
    </row>
    <row r="522" spans="1:4">
      <c r="A522" s="10"/>
      <c r="B522" s="10"/>
      <c r="C522" s="10"/>
      <c r="D522" s="10"/>
    </row>
    <row r="523" spans="1:4">
      <c r="A523" s="10"/>
      <c r="B523" s="10"/>
      <c r="C523" s="10"/>
      <c r="D523" s="10"/>
    </row>
    <row r="524" spans="1:4">
      <c r="A524" s="10"/>
      <c r="B524" s="10"/>
      <c r="C524" s="10"/>
      <c r="D524" s="10"/>
    </row>
    <row r="525" spans="1:4">
      <c r="A525" s="10"/>
      <c r="B525" s="10"/>
      <c r="C525" s="10"/>
      <c r="D525" s="10"/>
    </row>
    <row r="526" spans="1:4">
      <c r="A526" s="10"/>
      <c r="B526" s="10"/>
      <c r="C526" s="10"/>
      <c r="D526" s="10"/>
    </row>
    <row r="527" spans="1:4">
      <c r="A527" s="10"/>
      <c r="B527" s="10"/>
      <c r="C527" s="10"/>
      <c r="D527" s="10"/>
    </row>
    <row r="528" spans="1:4">
      <c r="A528" s="10"/>
      <c r="B528" s="10"/>
      <c r="C528" s="10"/>
      <c r="D528" s="10"/>
    </row>
    <row r="529" spans="1:4">
      <c r="A529" s="10"/>
      <c r="B529" s="10"/>
      <c r="C529" s="10"/>
      <c r="D529" s="10"/>
    </row>
    <row r="530" spans="1:4">
      <c r="A530" s="10"/>
      <c r="B530" s="10"/>
      <c r="C530" s="10"/>
      <c r="D530" s="10"/>
    </row>
    <row r="531" spans="1:4">
      <c r="A531" s="10"/>
      <c r="B531" s="10"/>
      <c r="C531" s="10"/>
      <c r="D531" s="10"/>
    </row>
    <row r="532" spans="1:4">
      <c r="A532" s="10"/>
      <c r="B532" s="10"/>
      <c r="C532" s="10"/>
      <c r="D532" s="10"/>
    </row>
    <row r="533" spans="1:4">
      <c r="A533" s="10"/>
      <c r="B533" s="10"/>
      <c r="C533" s="10"/>
      <c r="D533" s="10"/>
    </row>
    <row r="534" spans="1:4">
      <c r="A534" s="10"/>
      <c r="B534" s="10"/>
      <c r="C534" s="10"/>
      <c r="D534" s="10"/>
    </row>
    <row r="535" spans="1:4">
      <c r="A535" s="10"/>
      <c r="B535" s="10"/>
      <c r="C535" s="10"/>
      <c r="D535" s="10"/>
    </row>
    <row r="536" spans="1:4">
      <c r="A536" s="10"/>
      <c r="B536" s="10"/>
      <c r="C536" s="10"/>
      <c r="D536" s="10"/>
    </row>
    <row r="537" spans="1:4">
      <c r="A537" s="10"/>
      <c r="B537" s="10"/>
      <c r="C537" s="10"/>
      <c r="D537" s="10"/>
    </row>
    <row r="538" spans="1:4">
      <c r="A538" s="10"/>
      <c r="B538" s="10"/>
      <c r="C538" s="10"/>
      <c r="D538" s="10"/>
    </row>
    <row r="539" spans="1:4">
      <c r="A539" s="10"/>
      <c r="B539" s="10"/>
      <c r="C539" s="10"/>
      <c r="D539" s="10"/>
    </row>
    <row r="540" spans="1:4">
      <c r="A540" s="10"/>
      <c r="B540" s="10"/>
      <c r="C540" s="10"/>
      <c r="D540" s="10"/>
    </row>
    <row r="541" spans="1:4">
      <c r="A541" s="10"/>
      <c r="B541" s="10"/>
      <c r="C541" s="10"/>
      <c r="D541" s="10"/>
    </row>
    <row r="542" spans="1:4">
      <c r="A542" s="10"/>
      <c r="B542" s="10"/>
      <c r="C542" s="10"/>
      <c r="D542" s="10"/>
    </row>
    <row r="543" spans="1:4">
      <c r="A543" s="10"/>
      <c r="B543" s="10"/>
      <c r="C543" s="10"/>
      <c r="D543" s="10"/>
    </row>
    <row r="544" spans="1:4">
      <c r="A544" s="10"/>
      <c r="B544" s="10"/>
      <c r="C544" s="10"/>
      <c r="D544" s="10"/>
    </row>
    <row r="545" spans="1:4">
      <c r="A545" s="10"/>
      <c r="B545" s="10"/>
      <c r="C545" s="10"/>
      <c r="D545" s="10"/>
    </row>
    <row r="546" spans="1:4">
      <c r="A546" s="10"/>
      <c r="B546" s="10"/>
      <c r="C546" s="10"/>
      <c r="D546" s="10"/>
    </row>
    <row r="547" spans="1:4">
      <c r="A547" s="10"/>
      <c r="B547" s="10"/>
      <c r="C547" s="10"/>
      <c r="D547" s="10"/>
    </row>
    <row r="548" spans="1:4">
      <c r="A548" s="10"/>
      <c r="B548" s="10"/>
      <c r="C548" s="10"/>
      <c r="D548" s="10"/>
    </row>
    <row r="549" spans="1:4">
      <c r="A549" s="10"/>
      <c r="B549" s="10"/>
      <c r="C549" s="10"/>
      <c r="D549" s="10"/>
    </row>
    <row r="550" spans="1:4">
      <c r="A550" s="10"/>
      <c r="B550" s="10"/>
      <c r="C550" s="10"/>
      <c r="D550" s="10"/>
    </row>
    <row r="551" spans="1:4">
      <c r="A551" s="10"/>
      <c r="B551" s="10"/>
      <c r="C551" s="10"/>
      <c r="D551" s="10"/>
    </row>
    <row r="552" spans="1:4">
      <c r="A552" s="10"/>
      <c r="B552" s="10"/>
      <c r="C552" s="10"/>
      <c r="D552" s="10"/>
    </row>
    <row r="553" spans="1:4">
      <c r="A553" s="10"/>
      <c r="B553" s="10"/>
      <c r="C553" s="10"/>
      <c r="D553" s="10"/>
    </row>
    <row r="554" spans="1:4">
      <c r="A554" s="10"/>
      <c r="B554" s="10"/>
      <c r="C554" s="10"/>
      <c r="D554" s="10"/>
    </row>
    <row r="555" spans="1:4">
      <c r="A555" s="10"/>
      <c r="B555" s="10"/>
      <c r="C555" s="10"/>
      <c r="D555" s="10"/>
    </row>
    <row r="556" spans="1:4">
      <c r="A556" s="10"/>
      <c r="B556" s="10"/>
      <c r="C556" s="10"/>
      <c r="D556" s="10"/>
    </row>
    <row r="557" spans="1:4">
      <c r="A557" s="10"/>
      <c r="B557" s="10"/>
      <c r="C557" s="10"/>
      <c r="D557" s="10"/>
    </row>
    <row r="558" spans="1:4">
      <c r="A558" s="10"/>
      <c r="B558" s="10"/>
      <c r="C558" s="10"/>
      <c r="D558" s="10"/>
    </row>
    <row r="559" spans="1:4">
      <c r="A559" s="10"/>
      <c r="B559" s="10"/>
      <c r="C559" s="10"/>
      <c r="D559" s="10"/>
    </row>
    <row r="560" spans="1:4">
      <c r="A560" s="10"/>
      <c r="B560" s="10"/>
      <c r="C560" s="10"/>
      <c r="D560" s="10"/>
    </row>
    <row r="561" spans="1:4">
      <c r="A561" s="10"/>
      <c r="B561" s="10"/>
      <c r="C561" s="10"/>
      <c r="D561" s="10"/>
    </row>
    <row r="562" spans="1:4">
      <c r="A562" s="10"/>
      <c r="B562" s="10"/>
      <c r="C562" s="10"/>
      <c r="D562" s="10"/>
    </row>
    <row r="563" spans="1:4">
      <c r="A563" s="10"/>
      <c r="B563" s="10"/>
      <c r="C563" s="10"/>
      <c r="D563" s="10"/>
    </row>
    <row r="564" spans="1:4">
      <c r="A564" s="10"/>
      <c r="B564" s="10"/>
      <c r="C564" s="10"/>
      <c r="D564" s="10"/>
    </row>
    <row r="565" spans="1:4">
      <c r="A565" s="10"/>
      <c r="B565" s="10"/>
      <c r="C565" s="10"/>
      <c r="D565" s="10"/>
    </row>
    <row r="566" spans="1:4">
      <c r="A566" s="10"/>
      <c r="B566" s="10"/>
      <c r="C566" s="10"/>
      <c r="D566" s="10"/>
    </row>
    <row r="567" spans="1:4">
      <c r="A567" s="10"/>
      <c r="B567" s="10"/>
      <c r="C567" s="10"/>
      <c r="D567" s="10"/>
    </row>
    <row r="568" spans="1:4">
      <c r="A568" s="10"/>
      <c r="B568" s="10"/>
      <c r="C568" s="10"/>
      <c r="D568" s="10"/>
    </row>
    <row r="569" spans="1:4">
      <c r="A569" s="10"/>
      <c r="B569" s="10"/>
      <c r="C569" s="10"/>
      <c r="D569" s="10"/>
    </row>
    <row r="570" spans="1:4">
      <c r="A570" s="10"/>
      <c r="B570" s="10"/>
      <c r="C570" s="10"/>
      <c r="D570" s="10"/>
    </row>
    <row r="571" spans="1:4">
      <c r="A571" s="10"/>
      <c r="B571" s="10"/>
      <c r="C571" s="10"/>
      <c r="D571" s="10"/>
    </row>
    <row r="572" spans="1:4">
      <c r="A572" s="10"/>
      <c r="B572" s="10"/>
      <c r="C572" s="10"/>
      <c r="D572" s="10"/>
    </row>
    <row r="573" spans="1:4">
      <c r="A573" s="10"/>
      <c r="B573" s="10"/>
      <c r="C573" s="10"/>
      <c r="D573" s="10"/>
    </row>
    <row r="574" spans="1:4">
      <c r="A574" s="10"/>
      <c r="B574" s="10"/>
      <c r="C574" s="10"/>
      <c r="D574" s="10"/>
    </row>
    <row r="575" spans="1:4">
      <c r="A575" s="10"/>
      <c r="B575" s="10"/>
      <c r="C575" s="10"/>
      <c r="D575" s="10"/>
    </row>
    <row r="576" spans="1:4">
      <c r="A576" s="10"/>
      <c r="B576" s="10"/>
      <c r="C576" s="10"/>
      <c r="D576" s="10"/>
    </row>
    <row r="577" spans="1:4">
      <c r="A577" s="10"/>
      <c r="B577" s="10"/>
      <c r="C577" s="10"/>
      <c r="D577" s="10"/>
    </row>
    <row r="578" spans="1:4">
      <c r="A578" s="10"/>
      <c r="B578" s="10"/>
      <c r="C578" s="10"/>
      <c r="D578" s="10"/>
    </row>
    <row r="579" spans="1:4">
      <c r="A579" s="10"/>
      <c r="B579" s="10"/>
      <c r="C579" s="10"/>
      <c r="D579" s="10"/>
    </row>
    <row r="580" spans="1:4">
      <c r="A580" s="10"/>
      <c r="B580" s="10"/>
      <c r="C580" s="10"/>
      <c r="D580" s="10"/>
    </row>
    <row r="581" spans="1:4">
      <c r="A581" s="10"/>
      <c r="B581" s="10"/>
      <c r="C581" s="10"/>
      <c r="D581" s="10"/>
    </row>
    <row r="582" spans="1:4">
      <c r="A582" s="10"/>
      <c r="B582" s="10"/>
      <c r="C582" s="10"/>
      <c r="D582" s="10"/>
    </row>
    <row r="583" spans="1:4">
      <c r="A583" s="10"/>
      <c r="B583" s="10"/>
      <c r="C583" s="10"/>
      <c r="D583" s="10"/>
    </row>
    <row r="584" spans="1:4">
      <c r="A584" s="10"/>
      <c r="B584" s="10"/>
      <c r="C584" s="10"/>
      <c r="D584" s="10"/>
    </row>
    <row r="585" spans="1:4">
      <c r="A585" s="10"/>
      <c r="B585" s="10"/>
      <c r="C585" s="10"/>
      <c r="D585" s="10"/>
    </row>
    <row r="586" spans="1:4">
      <c r="A586" s="10"/>
      <c r="B586" s="10"/>
      <c r="C586" s="10"/>
      <c r="D586" s="10"/>
    </row>
    <row r="587" spans="1:4">
      <c r="A587" s="10"/>
      <c r="B587" s="10"/>
      <c r="C587" s="10"/>
      <c r="D587" s="10"/>
    </row>
    <row r="588" spans="1:4">
      <c r="A588" s="10"/>
      <c r="B588" s="10"/>
      <c r="C588" s="10"/>
      <c r="D588" s="10"/>
    </row>
    <row r="589" spans="1:4">
      <c r="A589" s="10"/>
      <c r="B589" s="10"/>
      <c r="C589" s="10"/>
      <c r="D589" s="10"/>
    </row>
    <row r="590" spans="1:4">
      <c r="A590" s="10"/>
      <c r="B590" s="10"/>
      <c r="C590" s="10"/>
      <c r="D590" s="10"/>
    </row>
    <row r="591" spans="1:4">
      <c r="A591" s="10"/>
      <c r="B591" s="10"/>
      <c r="C591" s="10"/>
      <c r="D591" s="10"/>
    </row>
    <row r="592" spans="1:4">
      <c r="A592" s="10"/>
      <c r="B592" s="10"/>
      <c r="C592" s="10"/>
      <c r="D592" s="10"/>
    </row>
    <row r="593" spans="1:4">
      <c r="A593" s="10"/>
      <c r="B593" s="10"/>
      <c r="C593" s="10"/>
      <c r="D593" s="10"/>
    </row>
    <row r="594" spans="1:4">
      <c r="A594" s="10"/>
      <c r="B594" s="10"/>
      <c r="C594" s="10"/>
      <c r="D594" s="10"/>
    </row>
    <row r="595" spans="1:4">
      <c r="A595" s="10"/>
      <c r="B595" s="10"/>
      <c r="C595" s="10"/>
      <c r="D595" s="10"/>
    </row>
    <row r="596" spans="1:4">
      <c r="A596" s="10"/>
      <c r="B596" s="10"/>
      <c r="C596" s="10"/>
      <c r="D596" s="10"/>
    </row>
    <row r="597" spans="1:4">
      <c r="A597" s="10"/>
      <c r="B597" s="10"/>
      <c r="C597" s="10"/>
      <c r="D597" s="10"/>
    </row>
    <row r="598" spans="1:4">
      <c r="A598" s="10"/>
      <c r="B598" s="10"/>
      <c r="C598" s="10"/>
      <c r="D598" s="10"/>
    </row>
    <row r="599" spans="1:4">
      <c r="A599" s="10"/>
      <c r="B599" s="10"/>
      <c r="C599" s="10"/>
      <c r="D599" s="10"/>
    </row>
    <row r="600" spans="1:4">
      <c r="A600" s="10"/>
      <c r="B600" s="10"/>
      <c r="C600" s="10"/>
      <c r="D600" s="10"/>
    </row>
    <row r="601" spans="1:4">
      <c r="A601" s="10"/>
      <c r="B601" s="10"/>
      <c r="C601" s="10"/>
      <c r="D601" s="10"/>
    </row>
    <row r="602" spans="1:4">
      <c r="A602" s="10"/>
      <c r="B602" s="10"/>
      <c r="C602" s="10"/>
      <c r="D602" s="10"/>
    </row>
    <row r="603" spans="1:4">
      <c r="A603" s="10"/>
      <c r="B603" s="10"/>
      <c r="C603" s="10"/>
      <c r="D603" s="10"/>
    </row>
    <row r="604" spans="1:4">
      <c r="A604" s="10"/>
      <c r="B604" s="10"/>
      <c r="C604" s="10"/>
      <c r="D604" s="10"/>
    </row>
    <row r="605" spans="1:4">
      <c r="A605" s="10"/>
      <c r="B605" s="10"/>
      <c r="C605" s="10"/>
      <c r="D605" s="10"/>
    </row>
    <row r="606" spans="1:4">
      <c r="A606" s="10"/>
      <c r="B606" s="10"/>
      <c r="C606" s="10"/>
      <c r="D606" s="10"/>
    </row>
    <row r="607" spans="1:4">
      <c r="A607" s="10"/>
      <c r="B607" s="10"/>
      <c r="C607" s="10"/>
      <c r="D607" s="10"/>
    </row>
    <row r="608" spans="1:4">
      <c r="A608" s="10"/>
      <c r="B608" s="10"/>
      <c r="C608" s="10"/>
      <c r="D608" s="10"/>
    </row>
    <row r="609" spans="1:4">
      <c r="A609" s="10"/>
      <c r="B609" s="10"/>
      <c r="C609" s="10"/>
      <c r="D609" s="10"/>
    </row>
    <row r="610" spans="1:4">
      <c r="A610" s="10"/>
      <c r="B610" s="10"/>
      <c r="C610" s="10"/>
      <c r="D610" s="10"/>
    </row>
    <row r="611" spans="1:4">
      <c r="A611" s="10"/>
      <c r="B611" s="10"/>
      <c r="C611" s="10"/>
      <c r="D611" s="10"/>
    </row>
    <row r="612" spans="1:4">
      <c r="A612" s="10"/>
      <c r="B612" s="10"/>
      <c r="C612" s="10"/>
      <c r="D612" s="10"/>
    </row>
    <row r="613" spans="1:4">
      <c r="A613" s="10"/>
      <c r="B613" s="10"/>
      <c r="C613" s="10"/>
      <c r="D613" s="10"/>
    </row>
    <row r="614" spans="1:4">
      <c r="A614" s="10"/>
      <c r="B614" s="10"/>
      <c r="C614" s="10"/>
      <c r="D614" s="10"/>
    </row>
    <row r="615" spans="1:4">
      <c r="A615" s="10"/>
      <c r="B615" s="10"/>
      <c r="C615" s="10"/>
      <c r="D615" s="10"/>
    </row>
    <row r="616" spans="1:4">
      <c r="A616" s="10"/>
      <c r="B616" s="10"/>
      <c r="C616" s="10"/>
      <c r="D616" s="10"/>
    </row>
    <row r="617" spans="1:4">
      <c r="A617" s="10"/>
      <c r="B617" s="10"/>
      <c r="C617" s="10"/>
      <c r="D617" s="10"/>
    </row>
    <row r="618" spans="1:4">
      <c r="A618" s="10"/>
      <c r="B618" s="10"/>
      <c r="C618" s="10"/>
      <c r="D618" s="10"/>
    </row>
    <row r="619" spans="1:4">
      <c r="A619" s="10"/>
      <c r="B619" s="10"/>
      <c r="C619" s="10"/>
      <c r="D619" s="10"/>
    </row>
    <row r="620" spans="1:4">
      <c r="A620" s="10"/>
      <c r="B620" s="10"/>
      <c r="C620" s="10"/>
      <c r="D620" s="10"/>
    </row>
    <row r="621" spans="1:4">
      <c r="A621" s="10"/>
      <c r="B621" s="10"/>
      <c r="C621" s="10"/>
      <c r="D621" s="10"/>
    </row>
    <row r="622" spans="1:4">
      <c r="A622" s="10"/>
      <c r="B622" s="10"/>
      <c r="C622" s="10"/>
      <c r="D622" s="10"/>
    </row>
    <row r="623" spans="1:4">
      <c r="A623" s="10"/>
      <c r="B623" s="10"/>
      <c r="C623" s="10"/>
      <c r="D623" s="10"/>
    </row>
    <row r="624" spans="1:4">
      <c r="A624" s="10"/>
      <c r="B624" s="10"/>
      <c r="C624" s="10"/>
      <c r="D624" s="10"/>
    </row>
    <row r="625" spans="1:4">
      <c r="A625" s="10"/>
      <c r="B625" s="10"/>
      <c r="C625" s="10"/>
      <c r="D625" s="10"/>
    </row>
    <row r="626" spans="1:4">
      <c r="A626" s="10"/>
      <c r="B626" s="10"/>
      <c r="C626" s="10"/>
      <c r="D626" s="10"/>
    </row>
    <row r="627" spans="1:4">
      <c r="A627" s="10"/>
      <c r="B627" s="10"/>
      <c r="C627" s="10"/>
      <c r="D627" s="10"/>
    </row>
    <row r="628" spans="1:4">
      <c r="A628" s="10"/>
      <c r="B628" s="10"/>
      <c r="C628" s="10"/>
      <c r="D628" s="10"/>
    </row>
    <row r="629" spans="1:4">
      <c r="A629" s="10"/>
      <c r="B629" s="10"/>
      <c r="C629" s="10"/>
      <c r="D629" s="10"/>
    </row>
    <row r="630" spans="1:4">
      <c r="A630" s="10"/>
      <c r="B630" s="10"/>
      <c r="C630" s="10"/>
      <c r="D630" s="10"/>
    </row>
    <row r="631" spans="1:4">
      <c r="A631" s="10"/>
      <c r="B631" s="10"/>
      <c r="C631" s="10"/>
      <c r="D631" s="10"/>
    </row>
    <row r="632" spans="1:4">
      <c r="A632" s="10"/>
      <c r="B632" s="10"/>
      <c r="C632" s="10"/>
      <c r="D632" s="10"/>
    </row>
    <row r="633" spans="1:4">
      <c r="A633" s="10"/>
      <c r="B633" s="10"/>
      <c r="C633" s="10"/>
      <c r="D633" s="10"/>
    </row>
    <row r="634" spans="1:4">
      <c r="A634" s="10"/>
      <c r="B634" s="10"/>
      <c r="C634" s="10"/>
      <c r="D634" s="10"/>
    </row>
    <row r="635" spans="1:4">
      <c r="A635" s="10"/>
      <c r="B635" s="10"/>
      <c r="C635" s="10"/>
      <c r="D635" s="10"/>
    </row>
    <row r="636" spans="1:4">
      <c r="A636" s="10"/>
      <c r="B636" s="10"/>
      <c r="C636" s="10"/>
      <c r="D636" s="10"/>
    </row>
    <row r="637" spans="1:4">
      <c r="A637" s="10"/>
      <c r="B637" s="10"/>
      <c r="C637" s="10"/>
      <c r="D637" s="10"/>
    </row>
    <row r="638" spans="1:4">
      <c r="A638" s="10"/>
      <c r="B638" s="10"/>
      <c r="C638" s="10"/>
      <c r="D638" s="10"/>
    </row>
    <row r="639" spans="1:4">
      <c r="A639" s="10"/>
      <c r="B639" s="10"/>
      <c r="C639" s="10"/>
      <c r="D639" s="10"/>
    </row>
    <row r="640" spans="1:4">
      <c r="A640" s="10"/>
      <c r="B640" s="10"/>
      <c r="C640" s="10"/>
      <c r="D640" s="10"/>
    </row>
    <row r="641" spans="1:4">
      <c r="A641" s="10"/>
      <c r="B641" s="10"/>
      <c r="C641" s="10"/>
      <c r="D641" s="10"/>
    </row>
    <row r="642" spans="1:4">
      <c r="A642" s="10"/>
      <c r="B642" s="10"/>
      <c r="C642" s="10"/>
      <c r="D642" s="10"/>
    </row>
    <row r="643" spans="1:4">
      <c r="A643" s="10"/>
      <c r="B643" s="10"/>
      <c r="C643" s="10"/>
      <c r="D643" s="10"/>
    </row>
    <row r="644" spans="1:4">
      <c r="A644" s="10"/>
      <c r="B644" s="10"/>
      <c r="C644" s="10"/>
      <c r="D644" s="10"/>
    </row>
    <row r="645" spans="1:4">
      <c r="A645" s="10"/>
      <c r="B645" s="10"/>
      <c r="C645" s="10"/>
      <c r="D645" s="10"/>
    </row>
    <row r="646" spans="1:4">
      <c r="A646" s="10"/>
      <c r="B646" s="10"/>
      <c r="C646" s="10"/>
      <c r="D646" s="10"/>
    </row>
    <row r="647" spans="1:4">
      <c r="A647" s="10"/>
      <c r="B647" s="10"/>
      <c r="C647" s="10"/>
      <c r="D647" s="10"/>
    </row>
    <row r="648" spans="1:4">
      <c r="A648" s="10"/>
      <c r="B648" s="10"/>
      <c r="C648" s="10"/>
      <c r="D648" s="10"/>
    </row>
    <row r="649" spans="1:4">
      <c r="A649" s="10"/>
      <c r="B649" s="10"/>
      <c r="C649" s="10"/>
      <c r="D649" s="10"/>
    </row>
    <row r="650" spans="1:4">
      <c r="A650" s="10"/>
      <c r="B650" s="10"/>
      <c r="C650" s="10"/>
      <c r="D650" s="10"/>
    </row>
    <row r="651" spans="1:4">
      <c r="A651" s="10"/>
      <c r="B651" s="10"/>
      <c r="C651" s="10"/>
      <c r="D651" s="10"/>
    </row>
    <row r="652" spans="1:4">
      <c r="A652" s="10"/>
      <c r="B652" s="10"/>
      <c r="C652" s="10"/>
      <c r="D652" s="10"/>
    </row>
    <row r="653" spans="1:4">
      <c r="A653" s="10"/>
      <c r="B653" s="10"/>
      <c r="C653" s="10"/>
      <c r="D653" s="10"/>
    </row>
    <row r="654" spans="1:4">
      <c r="A654" s="10"/>
      <c r="B654" s="10"/>
      <c r="C654" s="10"/>
      <c r="D654" s="10"/>
    </row>
    <row r="655" spans="1:4">
      <c r="A655" s="10"/>
      <c r="B655" s="10"/>
      <c r="C655" s="10"/>
      <c r="D655" s="10"/>
    </row>
    <row r="656" spans="1:4">
      <c r="A656" s="10"/>
      <c r="B656" s="10"/>
      <c r="C656" s="10"/>
      <c r="D656" s="10"/>
    </row>
    <row r="657" spans="1:4">
      <c r="A657" s="10"/>
      <c r="B657" s="10"/>
      <c r="C657" s="10"/>
      <c r="D657" s="10"/>
    </row>
    <row r="658" spans="1:4">
      <c r="A658" s="10"/>
      <c r="B658" s="10"/>
      <c r="C658" s="10"/>
      <c r="D658" s="10"/>
    </row>
    <row r="659" spans="1:4">
      <c r="A659" s="10"/>
      <c r="B659" s="10"/>
      <c r="C659" s="10"/>
      <c r="D659" s="10"/>
    </row>
    <row r="660" spans="1:4">
      <c r="A660" s="10"/>
      <c r="B660" s="10"/>
      <c r="C660" s="10"/>
      <c r="D660" s="10"/>
    </row>
    <row r="661" spans="1:4">
      <c r="A661" s="10"/>
      <c r="B661" s="10"/>
      <c r="C661" s="10"/>
      <c r="D661" s="10"/>
    </row>
    <row r="662" spans="1:4">
      <c r="A662" s="10"/>
      <c r="B662" s="10"/>
      <c r="C662" s="10"/>
      <c r="D662" s="10"/>
    </row>
    <row r="663" spans="1:4">
      <c r="A663" s="10"/>
      <c r="B663" s="10"/>
      <c r="C663" s="10"/>
      <c r="D663" s="10"/>
    </row>
    <row r="664" spans="1:4">
      <c r="A664" s="10"/>
      <c r="B664" s="10"/>
      <c r="C664" s="10"/>
      <c r="D664" s="10"/>
    </row>
    <row r="665" spans="1:4">
      <c r="A665" s="10"/>
      <c r="B665" s="10"/>
      <c r="C665" s="10"/>
      <c r="D665" s="10"/>
    </row>
    <row r="666" spans="1:4">
      <c r="A666" s="10"/>
      <c r="B666" s="10"/>
      <c r="C666" s="10"/>
      <c r="D666" s="10"/>
    </row>
    <row r="667" spans="1:4">
      <c r="A667" s="10"/>
      <c r="B667" s="10"/>
      <c r="C667" s="10"/>
      <c r="D667" s="10"/>
    </row>
    <row r="668" spans="1:4">
      <c r="A668" s="10"/>
      <c r="B668" s="10"/>
      <c r="C668" s="10"/>
      <c r="D668" s="10"/>
    </row>
    <row r="669" spans="1:4">
      <c r="A669" s="10"/>
      <c r="B669" s="10"/>
      <c r="C669" s="10"/>
      <c r="D669" s="10"/>
    </row>
    <row r="670" spans="1:4">
      <c r="A670" s="10"/>
      <c r="B670" s="10"/>
      <c r="C670" s="10"/>
      <c r="D670" s="10"/>
    </row>
    <row r="671" spans="1:4">
      <c r="A671" s="10"/>
      <c r="B671" s="10"/>
      <c r="C671" s="10"/>
      <c r="D671" s="10"/>
    </row>
    <row r="672" spans="1:4">
      <c r="A672" s="10"/>
      <c r="B672" s="10"/>
      <c r="C672" s="10"/>
      <c r="D672" s="10"/>
    </row>
    <row r="673" spans="1:4">
      <c r="A673" s="10"/>
      <c r="B673" s="10"/>
      <c r="C673" s="10"/>
      <c r="D673" s="10"/>
    </row>
    <row r="674" spans="1:4">
      <c r="A674" s="10"/>
      <c r="B674" s="10"/>
      <c r="C674" s="10"/>
      <c r="D674" s="10"/>
    </row>
    <row r="675" spans="1:4">
      <c r="A675" s="10"/>
      <c r="B675" s="10"/>
      <c r="C675" s="10"/>
      <c r="D675" s="10"/>
    </row>
    <row r="676" spans="1:4">
      <c r="A676" s="10"/>
      <c r="B676" s="10"/>
      <c r="C676" s="10"/>
      <c r="D676" s="10"/>
    </row>
    <row r="677" spans="1:4">
      <c r="A677" s="10"/>
      <c r="B677" s="10"/>
      <c r="C677" s="10"/>
      <c r="D677" s="10"/>
    </row>
    <row r="678" spans="1:4">
      <c r="A678" s="10"/>
      <c r="B678" s="10"/>
      <c r="C678" s="10"/>
      <c r="D678" s="10"/>
    </row>
    <row r="679" spans="1:4">
      <c r="A679" s="10"/>
      <c r="B679" s="10"/>
      <c r="C679" s="10"/>
      <c r="D679" s="10"/>
    </row>
    <row r="680" spans="1:4">
      <c r="A680" s="10"/>
      <c r="B680" s="10"/>
      <c r="C680" s="10"/>
      <c r="D680" s="10"/>
    </row>
    <row r="681" spans="1:4">
      <c r="A681" s="10"/>
      <c r="B681" s="10"/>
      <c r="C681" s="10"/>
      <c r="D681" s="10"/>
    </row>
    <row r="682" spans="1:4">
      <c r="A682" s="10"/>
      <c r="B682" s="10"/>
      <c r="C682" s="10"/>
      <c r="D682" s="10"/>
    </row>
    <row r="683" spans="1:4">
      <c r="A683" s="10"/>
      <c r="B683" s="10"/>
      <c r="C683" s="10"/>
      <c r="D683" s="10"/>
    </row>
    <row r="684" spans="1:4">
      <c r="A684" s="10"/>
      <c r="B684" s="10"/>
      <c r="C684" s="10"/>
      <c r="D684" s="10"/>
    </row>
    <row r="685" spans="1:4">
      <c r="A685" s="10"/>
      <c r="B685" s="10"/>
      <c r="C685" s="10"/>
      <c r="D685" s="10"/>
    </row>
    <row r="686" spans="1:4">
      <c r="A686" s="10"/>
      <c r="B686" s="10"/>
      <c r="C686" s="10"/>
      <c r="D686" s="10"/>
    </row>
    <row r="687" spans="1:4">
      <c r="A687" s="10"/>
      <c r="B687" s="10"/>
      <c r="C687" s="10"/>
      <c r="D687" s="10"/>
    </row>
    <row r="688" spans="1:4">
      <c r="A688" s="10"/>
      <c r="B688" s="10"/>
      <c r="C688" s="10"/>
      <c r="D688" s="10"/>
    </row>
    <row r="689" spans="1:4">
      <c r="A689" s="10"/>
      <c r="B689" s="10"/>
      <c r="C689" s="10"/>
      <c r="D689" s="10"/>
    </row>
    <row r="690" spans="1:4">
      <c r="A690" s="10"/>
      <c r="B690" s="10"/>
      <c r="C690" s="10"/>
      <c r="D690" s="10"/>
    </row>
    <row r="691" spans="1:4">
      <c r="A691" s="10"/>
      <c r="B691" s="10"/>
      <c r="C691" s="10"/>
      <c r="D691" s="10"/>
    </row>
    <row r="692" spans="1:4">
      <c r="A692" s="10"/>
      <c r="B692" s="10"/>
      <c r="C692" s="10"/>
      <c r="D692" s="10"/>
    </row>
    <row r="693" spans="1:4">
      <c r="A693" s="10"/>
      <c r="B693" s="10"/>
      <c r="C693" s="10"/>
      <c r="D693" s="10"/>
    </row>
    <row r="694" spans="1:4">
      <c r="A694" s="10"/>
      <c r="B694" s="10"/>
      <c r="C694" s="10"/>
      <c r="D694" s="10"/>
    </row>
    <row r="695" spans="1:4">
      <c r="A695" s="10"/>
      <c r="B695" s="10"/>
      <c r="C695" s="10"/>
      <c r="D695" s="10"/>
    </row>
    <row r="696" spans="1:4">
      <c r="A696" s="10"/>
      <c r="B696" s="10"/>
      <c r="C696" s="10"/>
      <c r="D696" s="10"/>
    </row>
    <row r="697" spans="1:4">
      <c r="A697" s="10"/>
      <c r="B697" s="10"/>
      <c r="C697" s="10"/>
      <c r="D697" s="10"/>
    </row>
    <row r="698" spans="1:4">
      <c r="A698" s="10"/>
      <c r="B698" s="10"/>
      <c r="C698" s="10"/>
      <c r="D698" s="10"/>
    </row>
    <row r="699" spans="1:4">
      <c r="A699" s="10"/>
      <c r="B699" s="10"/>
      <c r="C699" s="10"/>
      <c r="D699" s="10"/>
    </row>
    <row r="700" spans="1:4">
      <c r="A700" s="10"/>
      <c r="B700" s="10"/>
      <c r="C700" s="10"/>
      <c r="D700" s="10"/>
    </row>
    <row r="701" spans="1:4">
      <c r="A701" s="10"/>
      <c r="B701" s="10"/>
      <c r="C701" s="10"/>
      <c r="D701" s="10"/>
    </row>
    <row r="702" spans="1:4">
      <c r="A702" s="10"/>
      <c r="B702" s="10"/>
      <c r="C702" s="10"/>
      <c r="D702" s="10"/>
    </row>
    <row r="703" spans="1:4">
      <c r="A703" s="10"/>
      <c r="B703" s="10"/>
      <c r="C703" s="10"/>
      <c r="D703" s="10"/>
    </row>
    <row r="704" spans="1:4">
      <c r="A704" s="10"/>
      <c r="B704" s="10"/>
      <c r="C704" s="10"/>
      <c r="D704" s="10"/>
    </row>
    <row r="705" spans="1:4">
      <c r="A705" s="10"/>
      <c r="B705" s="10"/>
      <c r="C705" s="10"/>
      <c r="D705" s="10"/>
    </row>
    <row r="706" spans="1:4">
      <c r="A706" s="10"/>
      <c r="B706" s="10"/>
      <c r="C706" s="10"/>
      <c r="D706" s="10"/>
    </row>
    <row r="707" spans="1:4">
      <c r="A707" s="10"/>
      <c r="B707" s="10"/>
      <c r="C707" s="10"/>
      <c r="D707" s="10"/>
    </row>
    <row r="708" spans="1:4">
      <c r="A708" s="10"/>
      <c r="B708" s="10"/>
      <c r="C708" s="10"/>
      <c r="D708" s="10"/>
    </row>
    <row r="709" spans="1:4">
      <c r="A709" s="10"/>
      <c r="B709" s="10"/>
      <c r="C709" s="10"/>
      <c r="D709" s="10"/>
    </row>
    <row r="710" spans="1:4">
      <c r="A710" s="10"/>
      <c r="B710" s="10"/>
      <c r="C710" s="10"/>
      <c r="D710" s="10"/>
    </row>
    <row r="711" spans="1:4">
      <c r="A711" s="10"/>
      <c r="B711" s="10"/>
      <c r="C711" s="10"/>
      <c r="D711" s="10"/>
    </row>
    <row r="712" spans="1:4">
      <c r="A712" s="10"/>
      <c r="B712" s="10"/>
      <c r="C712" s="10"/>
      <c r="D712" s="10"/>
    </row>
    <row r="713" spans="1:4">
      <c r="A713" s="10"/>
      <c r="B713" s="10"/>
      <c r="C713" s="10"/>
      <c r="D713" s="10"/>
    </row>
    <row r="714" spans="1:4">
      <c r="A714" s="10"/>
      <c r="B714" s="10"/>
      <c r="C714" s="10"/>
      <c r="D714" s="10"/>
    </row>
    <row r="715" spans="1:4">
      <c r="A715" s="10"/>
      <c r="B715" s="10"/>
      <c r="C715" s="10"/>
      <c r="D715" s="10"/>
    </row>
    <row r="716" spans="1:4">
      <c r="A716" s="10"/>
      <c r="B716" s="10"/>
      <c r="C716" s="10"/>
      <c r="D716" s="10"/>
    </row>
    <row r="717" spans="1:4">
      <c r="A717" s="10"/>
      <c r="B717" s="10"/>
      <c r="C717" s="10"/>
      <c r="D717" s="10"/>
    </row>
    <row r="718" spans="1:4">
      <c r="A718" s="10"/>
      <c r="B718" s="10"/>
      <c r="C718" s="10"/>
      <c r="D718" s="10"/>
    </row>
    <row r="719" spans="1:4">
      <c r="A719" s="10"/>
      <c r="B719" s="10"/>
      <c r="C719" s="10"/>
      <c r="D719" s="10"/>
    </row>
    <row r="720" spans="1:4">
      <c r="A720" s="10"/>
      <c r="B720" s="10"/>
      <c r="C720" s="10"/>
      <c r="D720" s="10"/>
    </row>
    <row r="721" spans="1:4">
      <c r="A721" s="10"/>
      <c r="B721" s="10"/>
      <c r="C721" s="10"/>
      <c r="D721" s="10"/>
    </row>
    <row r="722" spans="1:4">
      <c r="A722" s="10"/>
      <c r="B722" s="10"/>
      <c r="C722" s="10"/>
      <c r="D722" s="10"/>
    </row>
    <row r="723" spans="1:4">
      <c r="A723" s="10"/>
      <c r="B723" s="10"/>
      <c r="C723" s="10"/>
      <c r="D723" s="10"/>
    </row>
    <row r="724" spans="1:4">
      <c r="A724" s="10"/>
      <c r="B724" s="10"/>
      <c r="C724" s="10"/>
      <c r="D724" s="10"/>
    </row>
    <row r="725" spans="1:4">
      <c r="A725" s="10"/>
      <c r="B725" s="10"/>
      <c r="C725" s="10"/>
      <c r="D725" s="10"/>
    </row>
    <row r="726" spans="1:4">
      <c r="A726" s="10"/>
      <c r="B726" s="10"/>
      <c r="C726" s="10"/>
      <c r="D726" s="10"/>
    </row>
    <row r="727" spans="1:4">
      <c r="A727" s="10"/>
      <c r="B727" s="10"/>
      <c r="C727" s="10"/>
      <c r="D727" s="10"/>
    </row>
    <row r="728" spans="1:4">
      <c r="A728" s="10"/>
      <c r="B728" s="10"/>
      <c r="C728" s="10"/>
      <c r="D728" s="10"/>
    </row>
    <row r="729" spans="1:4">
      <c r="A729" s="10"/>
      <c r="B729" s="10"/>
      <c r="C729" s="10"/>
      <c r="D729" s="10"/>
    </row>
    <row r="730" spans="1:4">
      <c r="A730" s="10"/>
      <c r="B730" s="10"/>
      <c r="C730" s="10"/>
      <c r="D730" s="10"/>
    </row>
    <row r="731" spans="1:4">
      <c r="A731" s="10"/>
      <c r="B731" s="10"/>
      <c r="C731" s="10"/>
      <c r="D731" s="10"/>
    </row>
    <row r="732" spans="1:4">
      <c r="A732" s="10"/>
      <c r="B732" s="10"/>
      <c r="C732" s="10"/>
      <c r="D732" s="10"/>
    </row>
    <row r="733" spans="1:4">
      <c r="A733" s="10"/>
      <c r="B733" s="10"/>
      <c r="C733" s="10"/>
      <c r="D733" s="10"/>
    </row>
    <row r="734" spans="1:4">
      <c r="A734" s="10"/>
      <c r="B734" s="10"/>
      <c r="C734" s="10"/>
      <c r="D734" s="10"/>
    </row>
    <row r="735" spans="1:4">
      <c r="A735" s="10"/>
      <c r="B735" s="10"/>
      <c r="C735" s="10"/>
      <c r="D735" s="10"/>
    </row>
    <row r="736" spans="1:4">
      <c r="A736" s="10"/>
      <c r="B736" s="10"/>
      <c r="C736" s="10"/>
      <c r="D736" s="10"/>
    </row>
    <row r="737" spans="1:4">
      <c r="A737" s="10"/>
      <c r="B737" s="10"/>
      <c r="C737" s="10"/>
      <c r="D737" s="10"/>
    </row>
    <row r="738" spans="1:4">
      <c r="A738" s="10"/>
      <c r="B738" s="10"/>
      <c r="C738" s="10"/>
      <c r="D738" s="10"/>
    </row>
    <row r="739" spans="1:4">
      <c r="A739" s="10"/>
      <c r="B739" s="10"/>
      <c r="C739" s="10"/>
      <c r="D739" s="10"/>
    </row>
    <row r="740" spans="1:4">
      <c r="A740" s="10"/>
      <c r="B740" s="10"/>
      <c r="C740" s="10"/>
      <c r="D740" s="10"/>
    </row>
    <row r="741" spans="1:4">
      <c r="A741" s="10"/>
      <c r="B741" s="10"/>
      <c r="C741" s="10"/>
      <c r="D741" s="10"/>
    </row>
    <row r="742" spans="1:4">
      <c r="A742" s="10"/>
      <c r="B742" s="10"/>
      <c r="C742" s="10"/>
      <c r="D742" s="10"/>
    </row>
    <row r="743" spans="1:4">
      <c r="A743" s="10"/>
      <c r="B743" s="10"/>
      <c r="C743" s="10"/>
      <c r="D743" s="10"/>
    </row>
    <row r="744" spans="1:4">
      <c r="A744" s="10"/>
      <c r="B744" s="10"/>
      <c r="C744" s="10"/>
      <c r="D744" s="10"/>
    </row>
    <row r="745" spans="1:4">
      <c r="A745" s="10"/>
      <c r="B745" s="10"/>
      <c r="C745" s="10"/>
      <c r="D745" s="10"/>
    </row>
    <row r="746" spans="1:4">
      <c r="A746" s="10"/>
      <c r="B746" s="10"/>
      <c r="C746" s="10"/>
      <c r="D746" s="10"/>
    </row>
    <row r="747" spans="1:4">
      <c r="A747" s="10"/>
      <c r="B747" s="10"/>
      <c r="C747" s="10"/>
      <c r="D747" s="10"/>
    </row>
    <row r="748" spans="1:4">
      <c r="A748" s="10"/>
      <c r="B748" s="10"/>
      <c r="C748" s="10"/>
      <c r="D748" s="10"/>
    </row>
    <row r="749" spans="1:4">
      <c r="A749" s="10"/>
      <c r="B749" s="10"/>
      <c r="C749" s="10"/>
      <c r="D749" s="10"/>
    </row>
    <row r="750" spans="1:4">
      <c r="A750" s="10"/>
      <c r="B750" s="10"/>
      <c r="C750" s="10"/>
      <c r="D750" s="10"/>
    </row>
    <row r="751" spans="1:4">
      <c r="A751" s="10"/>
      <c r="B751" s="10"/>
      <c r="C751" s="10"/>
      <c r="D751" s="10"/>
    </row>
    <row r="752" spans="1:4">
      <c r="A752" s="10"/>
      <c r="B752" s="10"/>
      <c r="C752" s="10"/>
      <c r="D752" s="10"/>
    </row>
    <row r="753" spans="1:4">
      <c r="A753" s="10"/>
      <c r="B753" s="10"/>
      <c r="C753" s="10"/>
      <c r="D753" s="10"/>
    </row>
    <row r="754" spans="1:4">
      <c r="A754" s="10"/>
      <c r="B754" s="10"/>
      <c r="C754" s="10"/>
      <c r="D754" s="10"/>
    </row>
    <row r="755" spans="1:4">
      <c r="A755" s="10"/>
      <c r="B755" s="10"/>
      <c r="C755" s="10"/>
      <c r="D755" s="10"/>
    </row>
    <row r="756" spans="1:4">
      <c r="A756" s="10"/>
      <c r="B756" s="10"/>
      <c r="C756" s="10"/>
      <c r="D756" s="10"/>
    </row>
    <row r="757" spans="1:4">
      <c r="A757" s="10"/>
      <c r="B757" s="10"/>
      <c r="C757" s="10"/>
      <c r="D757" s="10"/>
    </row>
    <row r="758" spans="1:4">
      <c r="A758" s="10"/>
      <c r="B758" s="10"/>
      <c r="C758" s="10"/>
      <c r="D758" s="10"/>
    </row>
    <row r="759" spans="1:4">
      <c r="A759" s="10"/>
      <c r="B759" s="10"/>
      <c r="C759" s="10"/>
      <c r="D759" s="10"/>
    </row>
    <row r="760" spans="1:4">
      <c r="A760" s="10"/>
      <c r="B760" s="10"/>
      <c r="C760" s="10"/>
      <c r="D760" s="10"/>
    </row>
    <row r="761" spans="1:4">
      <c r="A761" s="10"/>
      <c r="B761" s="10"/>
      <c r="C761" s="10"/>
      <c r="D761" s="10"/>
    </row>
    <row r="762" spans="1:4">
      <c r="A762" s="10"/>
      <c r="B762" s="10"/>
      <c r="C762" s="10"/>
      <c r="D762" s="10"/>
    </row>
    <row r="763" spans="1:4">
      <c r="A763" s="10"/>
      <c r="B763" s="10"/>
      <c r="C763" s="10"/>
      <c r="D763" s="10"/>
    </row>
    <row r="764" spans="1:4">
      <c r="A764" s="10"/>
      <c r="B764" s="10"/>
      <c r="C764" s="10"/>
      <c r="D764" s="10"/>
    </row>
    <row r="765" spans="1:4">
      <c r="A765" s="10"/>
      <c r="B765" s="10"/>
      <c r="C765" s="10"/>
      <c r="D765" s="10"/>
    </row>
    <row r="766" spans="1:4">
      <c r="A766" s="10"/>
      <c r="B766" s="10"/>
      <c r="C766" s="10"/>
      <c r="D766" s="10"/>
    </row>
    <row r="767" spans="1:4">
      <c r="A767" s="10"/>
      <c r="B767" s="10"/>
      <c r="C767" s="10"/>
      <c r="D767" s="10"/>
    </row>
    <row r="768" spans="1:4">
      <c r="A768" s="10"/>
      <c r="B768" s="10"/>
      <c r="C768" s="10"/>
      <c r="D768" s="10"/>
    </row>
    <row r="769" spans="1:4">
      <c r="A769" s="10"/>
      <c r="B769" s="10"/>
      <c r="C769" s="10"/>
      <c r="D769" s="10"/>
    </row>
    <row r="770" spans="1:4">
      <c r="A770" s="10"/>
      <c r="B770" s="10"/>
      <c r="C770" s="10"/>
      <c r="D770" s="10"/>
    </row>
    <row r="771" spans="1:4">
      <c r="A771" s="10"/>
      <c r="B771" s="10"/>
      <c r="C771" s="10"/>
      <c r="D771" s="10"/>
    </row>
    <row r="772" spans="1:4">
      <c r="A772" s="10"/>
      <c r="B772" s="10"/>
      <c r="C772" s="10"/>
      <c r="D772" s="10"/>
    </row>
    <row r="773" spans="1:4">
      <c r="A773" s="10"/>
      <c r="B773" s="10"/>
      <c r="C773" s="10"/>
      <c r="D773" s="10"/>
    </row>
    <row r="774" spans="1:4">
      <c r="A774" s="10"/>
      <c r="B774" s="10"/>
      <c r="C774" s="10"/>
      <c r="D774" s="10"/>
    </row>
    <row r="775" spans="1:4">
      <c r="A775" s="10"/>
      <c r="B775" s="10"/>
      <c r="C775" s="10"/>
      <c r="D775" s="10"/>
    </row>
    <row r="776" spans="1:4">
      <c r="A776" s="10"/>
      <c r="B776" s="10"/>
      <c r="C776" s="10"/>
      <c r="D776" s="10"/>
    </row>
    <row r="777" spans="1:4">
      <c r="A777" s="10"/>
      <c r="B777" s="10"/>
      <c r="C777" s="10"/>
      <c r="D777" s="10"/>
    </row>
    <row r="778" spans="1:4">
      <c r="A778" s="10"/>
      <c r="B778" s="10"/>
      <c r="C778" s="10"/>
      <c r="D778" s="10"/>
    </row>
    <row r="779" spans="1:4">
      <c r="A779" s="10"/>
      <c r="B779" s="10"/>
      <c r="C779" s="10"/>
      <c r="D779" s="10"/>
    </row>
    <row r="780" spans="1:4">
      <c r="A780" s="10"/>
      <c r="B780" s="10"/>
      <c r="C780" s="10"/>
      <c r="D780" s="10"/>
    </row>
    <row r="781" spans="1:4">
      <c r="A781" s="10"/>
      <c r="B781" s="10"/>
      <c r="C781" s="10"/>
      <c r="D781" s="10"/>
    </row>
    <row r="782" spans="1:4">
      <c r="A782" s="10"/>
      <c r="B782" s="10"/>
      <c r="C782" s="10"/>
      <c r="D782" s="10"/>
    </row>
    <row r="783" spans="1:4">
      <c r="A783" s="10"/>
      <c r="B783" s="10"/>
      <c r="C783" s="10"/>
      <c r="D783" s="10"/>
    </row>
    <row r="784" spans="1:4">
      <c r="A784" s="10"/>
      <c r="B784" s="10"/>
      <c r="C784" s="10"/>
      <c r="D784" s="10"/>
    </row>
    <row r="785" spans="1:4">
      <c r="A785" s="10"/>
      <c r="B785" s="10"/>
      <c r="C785" s="10"/>
      <c r="D785" s="10"/>
    </row>
    <row r="786" spans="1:4">
      <c r="A786" s="10"/>
      <c r="B786" s="10"/>
      <c r="C786" s="10"/>
      <c r="D786" s="10"/>
    </row>
    <row r="787" spans="1:4">
      <c r="A787" s="10"/>
      <c r="B787" s="10"/>
      <c r="C787" s="10"/>
      <c r="D787" s="10"/>
    </row>
    <row r="788" spans="1:4">
      <c r="A788" s="10"/>
      <c r="B788" s="10"/>
      <c r="C788" s="10"/>
      <c r="D788" s="10"/>
    </row>
    <row r="789" spans="1:4">
      <c r="A789" s="10"/>
      <c r="B789" s="10"/>
      <c r="C789" s="10"/>
      <c r="D789" s="10"/>
    </row>
    <row r="790" spans="1:4">
      <c r="A790" s="10"/>
      <c r="B790" s="10"/>
      <c r="C790" s="10"/>
      <c r="D790" s="10"/>
    </row>
    <row r="791" spans="1:4">
      <c r="A791" s="10"/>
      <c r="B791" s="10"/>
      <c r="C791" s="10"/>
      <c r="D791" s="10"/>
    </row>
    <row r="792" spans="1:4">
      <c r="A792" s="10"/>
      <c r="B792" s="10"/>
      <c r="C792" s="10"/>
      <c r="D792" s="10"/>
    </row>
    <row r="793" spans="1:4">
      <c r="A793" s="10"/>
      <c r="B793" s="10"/>
      <c r="C793" s="10"/>
      <c r="D793" s="10"/>
    </row>
    <row r="794" spans="1:4">
      <c r="A794" s="10"/>
      <c r="B794" s="10"/>
      <c r="C794" s="10"/>
      <c r="D794" s="10"/>
    </row>
    <row r="795" spans="1:4">
      <c r="A795" s="10"/>
      <c r="B795" s="10"/>
      <c r="C795" s="10"/>
      <c r="D795" s="10"/>
    </row>
    <row r="796" spans="1:4">
      <c r="A796" s="10"/>
      <c r="B796" s="10"/>
      <c r="C796" s="10"/>
      <c r="D796" s="10"/>
    </row>
    <row r="797" spans="1:4">
      <c r="A797" s="10"/>
      <c r="B797" s="10"/>
      <c r="C797" s="10"/>
      <c r="D797" s="10"/>
    </row>
    <row r="798" spans="1:4">
      <c r="A798" s="10"/>
      <c r="B798" s="10"/>
      <c r="C798" s="10"/>
      <c r="D798" s="10"/>
    </row>
    <row r="799" spans="1:4">
      <c r="A799" s="10"/>
      <c r="B799" s="10"/>
      <c r="C799" s="10"/>
      <c r="D799" s="10"/>
    </row>
    <row r="800" spans="1:4">
      <c r="A800" s="10"/>
      <c r="B800" s="10"/>
      <c r="C800" s="10"/>
      <c r="D800" s="10"/>
    </row>
    <row r="801" spans="1:4">
      <c r="A801" s="10"/>
      <c r="B801" s="10"/>
      <c r="C801" s="10"/>
      <c r="D801" s="10"/>
    </row>
    <row r="802" spans="1:4">
      <c r="A802" s="10"/>
      <c r="B802" s="10"/>
      <c r="C802" s="10"/>
      <c r="D802" s="10"/>
    </row>
    <row r="803" spans="1:4">
      <c r="A803" s="10"/>
      <c r="B803" s="10"/>
      <c r="C803" s="10"/>
      <c r="D803" s="10"/>
    </row>
    <row r="804" spans="1:4">
      <c r="A804" s="10"/>
      <c r="B804" s="10"/>
      <c r="C804" s="10"/>
      <c r="D804" s="10"/>
    </row>
    <row r="805" spans="1:4">
      <c r="A805" s="10"/>
      <c r="B805" s="10"/>
      <c r="C805" s="10"/>
      <c r="D805" s="10"/>
    </row>
    <row r="806" spans="1:4">
      <c r="A806" s="10"/>
      <c r="B806" s="10"/>
      <c r="C806" s="10"/>
      <c r="D806" s="10"/>
    </row>
    <row r="807" spans="1:4">
      <c r="A807" s="10"/>
      <c r="B807" s="10"/>
      <c r="C807" s="10"/>
      <c r="D807" s="10"/>
    </row>
    <row r="808" spans="1:4">
      <c r="A808" s="10"/>
      <c r="B808" s="10"/>
      <c r="C808" s="10"/>
      <c r="D808" s="10"/>
    </row>
    <row r="809" spans="1:4">
      <c r="A809" s="10"/>
      <c r="B809" s="10"/>
      <c r="C809" s="10"/>
      <c r="D809" s="10"/>
    </row>
    <row r="810" spans="1:4">
      <c r="A810" s="10"/>
      <c r="B810" s="10"/>
      <c r="C810" s="10"/>
      <c r="D810" s="10"/>
    </row>
    <row r="811" spans="1:4">
      <c r="A811" s="10"/>
      <c r="B811" s="10"/>
      <c r="C811" s="10"/>
      <c r="D811" s="10"/>
    </row>
    <row r="812" spans="1:4">
      <c r="A812" s="10"/>
      <c r="B812" s="10"/>
      <c r="C812" s="10"/>
      <c r="D812" s="10"/>
    </row>
    <row r="813" spans="1:4">
      <c r="A813" s="10"/>
      <c r="B813" s="10"/>
      <c r="C813" s="10"/>
      <c r="D813" s="10"/>
    </row>
    <row r="814" spans="1:4">
      <c r="A814" s="10"/>
      <c r="B814" s="10"/>
      <c r="C814" s="10"/>
      <c r="D814" s="10"/>
    </row>
    <row r="815" spans="1:4">
      <c r="A815" s="10"/>
      <c r="B815" s="10"/>
      <c r="C815" s="10"/>
      <c r="D815" s="10"/>
    </row>
    <row r="816" spans="1:4">
      <c r="A816" s="10"/>
      <c r="B816" s="10"/>
      <c r="C816" s="10"/>
      <c r="D816" s="10"/>
    </row>
    <row r="817" spans="1:4">
      <c r="A817" s="10"/>
      <c r="B817" s="10"/>
      <c r="C817" s="10"/>
      <c r="D817" s="10"/>
    </row>
    <row r="818" spans="1:4">
      <c r="A818" s="10"/>
      <c r="B818" s="10"/>
      <c r="C818" s="10"/>
      <c r="D818" s="10"/>
    </row>
    <row r="819" spans="1:4">
      <c r="A819" s="10"/>
      <c r="B819" s="10"/>
      <c r="C819" s="10"/>
      <c r="D819" s="10"/>
    </row>
    <row r="820" spans="1:4">
      <c r="A820" s="10"/>
      <c r="B820" s="10"/>
      <c r="C820" s="10"/>
      <c r="D820" s="10"/>
    </row>
    <row r="821" spans="1:4">
      <c r="A821" s="10"/>
      <c r="B821" s="10"/>
      <c r="C821" s="10"/>
      <c r="D821" s="10"/>
    </row>
    <row r="822" spans="1:4">
      <c r="A822" s="10"/>
      <c r="B822" s="10"/>
      <c r="C822" s="10"/>
      <c r="D822" s="10"/>
    </row>
    <row r="823" spans="1:4">
      <c r="A823" s="10"/>
      <c r="B823" s="10"/>
      <c r="C823" s="10"/>
      <c r="D823" s="10"/>
    </row>
    <row r="824" spans="1:4">
      <c r="A824" s="10"/>
      <c r="B824" s="10"/>
      <c r="C824" s="10"/>
      <c r="D824" s="10"/>
    </row>
    <row r="825" spans="1:4">
      <c r="A825" s="10"/>
      <c r="B825" s="10"/>
      <c r="C825" s="10"/>
      <c r="D825" s="10"/>
    </row>
    <row r="826" spans="1:4">
      <c r="A826" s="10"/>
      <c r="B826" s="10"/>
      <c r="C826" s="10"/>
      <c r="D826" s="10"/>
    </row>
    <row r="827" spans="1:4">
      <c r="A827" s="10"/>
      <c r="B827" s="10"/>
      <c r="C827" s="10"/>
      <c r="D827" s="10"/>
    </row>
    <row r="828" spans="1:4">
      <c r="A828" s="10"/>
      <c r="B828" s="10"/>
      <c r="C828" s="10"/>
      <c r="D828" s="10"/>
    </row>
    <row r="829" spans="1:4">
      <c r="A829" s="10"/>
      <c r="B829" s="10"/>
      <c r="C829" s="10"/>
      <c r="D829" s="10"/>
    </row>
    <row r="830" spans="1:4">
      <c r="A830" s="10"/>
      <c r="B830" s="10"/>
      <c r="C830" s="10"/>
      <c r="D830" s="10"/>
    </row>
    <row r="831" spans="1:4">
      <c r="A831" s="10"/>
      <c r="B831" s="10"/>
      <c r="C831" s="10"/>
      <c r="D831" s="10"/>
    </row>
    <row r="832" spans="1:4">
      <c r="A832" s="10"/>
      <c r="B832" s="10"/>
      <c r="C832" s="10"/>
      <c r="D832" s="10"/>
    </row>
    <row r="833" spans="1:4">
      <c r="A833" s="10"/>
      <c r="B833" s="10"/>
      <c r="C833" s="10"/>
      <c r="D833" s="10"/>
    </row>
    <row r="834" spans="1:4">
      <c r="A834" s="10"/>
      <c r="B834" s="10"/>
      <c r="C834" s="10"/>
      <c r="D834" s="10"/>
    </row>
    <row r="835" spans="1:4">
      <c r="A835" s="10"/>
      <c r="B835" s="10"/>
      <c r="C835" s="10"/>
      <c r="D835" s="10"/>
    </row>
    <row r="836" spans="1:4">
      <c r="A836" s="10"/>
      <c r="B836" s="10"/>
      <c r="C836" s="10"/>
      <c r="D836" s="10"/>
    </row>
    <row r="837" spans="1:4">
      <c r="A837" s="10"/>
      <c r="B837" s="10"/>
      <c r="C837" s="10"/>
      <c r="D837" s="10"/>
    </row>
    <row r="838" spans="1:4">
      <c r="A838" s="10"/>
      <c r="B838" s="10"/>
      <c r="C838" s="10"/>
      <c r="D838" s="10"/>
    </row>
    <row r="839" spans="1:4">
      <c r="A839" s="10"/>
      <c r="B839" s="10"/>
      <c r="C839" s="10"/>
      <c r="D839" s="10"/>
    </row>
    <row r="840" spans="1:4">
      <c r="A840" s="10"/>
      <c r="B840" s="10"/>
      <c r="C840" s="10"/>
      <c r="D840" s="10"/>
    </row>
    <row r="841" spans="1:4">
      <c r="A841" s="10"/>
      <c r="B841" s="10"/>
      <c r="C841" s="10"/>
      <c r="D841" s="10"/>
    </row>
    <row r="842" spans="1:4">
      <c r="A842" s="10"/>
      <c r="B842" s="10"/>
      <c r="C842" s="10"/>
      <c r="D842" s="10"/>
    </row>
    <row r="843" spans="1:4">
      <c r="A843" s="10"/>
      <c r="B843" s="10"/>
      <c r="C843" s="10"/>
      <c r="D843" s="10"/>
    </row>
    <row r="844" spans="1:4">
      <c r="A844" s="10"/>
      <c r="B844" s="10"/>
      <c r="C844" s="10"/>
      <c r="D844" s="10"/>
    </row>
    <row r="845" spans="1:4">
      <c r="A845" s="10"/>
      <c r="B845" s="10"/>
      <c r="C845" s="10"/>
      <c r="D845" s="10"/>
    </row>
    <row r="846" spans="1:4">
      <c r="A846" s="10"/>
      <c r="B846" s="10"/>
      <c r="C846" s="10"/>
      <c r="D846" s="10"/>
    </row>
    <row r="847" spans="1:4">
      <c r="A847" s="10"/>
      <c r="B847" s="10"/>
      <c r="C847" s="10"/>
      <c r="D847" s="10"/>
    </row>
    <row r="848" spans="1:4">
      <c r="A848" s="10"/>
      <c r="B848" s="10"/>
      <c r="C848" s="10"/>
      <c r="D848" s="10"/>
    </row>
    <row r="849" spans="1:4">
      <c r="A849" s="10"/>
      <c r="B849" s="10"/>
      <c r="C849" s="10"/>
      <c r="D849" s="10"/>
    </row>
    <row r="850" spans="1:4">
      <c r="A850" s="10"/>
      <c r="B850" s="10"/>
      <c r="C850" s="10"/>
      <c r="D850" s="10"/>
    </row>
    <row r="851" spans="1:4">
      <c r="A851" s="10"/>
      <c r="B851" s="10"/>
      <c r="C851" s="10"/>
      <c r="D851" s="10"/>
    </row>
    <row r="852" spans="1:4">
      <c r="A852" s="10"/>
      <c r="B852" s="10"/>
      <c r="C852" s="10"/>
      <c r="D852" s="10"/>
    </row>
    <row r="853" spans="1:4">
      <c r="A853" s="10"/>
      <c r="B853" s="10"/>
      <c r="C853" s="10"/>
      <c r="D853" s="10"/>
    </row>
    <row r="854" spans="1:4">
      <c r="A854" s="10"/>
      <c r="B854" s="10"/>
      <c r="C854" s="10"/>
      <c r="D854" s="10"/>
    </row>
    <row r="855" spans="1:4">
      <c r="A855" s="10"/>
      <c r="B855" s="10"/>
      <c r="C855" s="10"/>
      <c r="D855" s="10"/>
    </row>
    <row r="856" spans="1:4">
      <c r="A856" s="10"/>
      <c r="B856" s="10"/>
      <c r="C856" s="10"/>
      <c r="D856" s="10"/>
    </row>
    <row r="857" spans="1:4">
      <c r="A857" s="10"/>
      <c r="B857" s="10"/>
      <c r="C857" s="10"/>
      <c r="D857" s="10"/>
    </row>
    <row r="858" spans="1:4">
      <c r="A858" s="10"/>
      <c r="B858" s="10"/>
      <c r="C858" s="10"/>
      <c r="D858" s="10"/>
    </row>
    <row r="859" spans="1:4">
      <c r="A859" s="10"/>
      <c r="B859" s="10"/>
      <c r="C859" s="10"/>
      <c r="D859" s="10"/>
    </row>
    <row r="860" spans="1:4">
      <c r="A860" s="10"/>
      <c r="B860" s="10"/>
      <c r="C860" s="10"/>
      <c r="D860" s="10"/>
    </row>
    <row r="861" spans="1:4">
      <c r="A861" s="10"/>
      <c r="B861" s="10"/>
      <c r="C861" s="10"/>
      <c r="D861" s="10"/>
    </row>
    <row r="862" spans="1:4">
      <c r="A862" s="10"/>
      <c r="B862" s="10"/>
      <c r="C862" s="10"/>
      <c r="D862" s="10"/>
    </row>
    <row r="863" spans="1:4">
      <c r="A863" s="10"/>
      <c r="B863" s="10"/>
      <c r="C863" s="10"/>
      <c r="D863" s="10"/>
    </row>
    <row r="864" spans="1:4">
      <c r="A864" s="10"/>
      <c r="B864" s="10"/>
      <c r="C864" s="10"/>
      <c r="D864" s="10"/>
    </row>
    <row r="865" spans="1:4">
      <c r="A865" s="10"/>
      <c r="B865" s="10"/>
      <c r="C865" s="10"/>
      <c r="D865" s="10"/>
    </row>
    <row r="866" spans="1:4">
      <c r="A866" s="10"/>
      <c r="B866" s="10"/>
      <c r="C866" s="10"/>
      <c r="D866" s="10"/>
    </row>
    <row r="867" spans="1:4">
      <c r="A867" s="10"/>
      <c r="B867" s="10"/>
      <c r="C867" s="10"/>
      <c r="D867" s="10"/>
    </row>
    <row r="868" spans="1:4">
      <c r="A868" s="10"/>
      <c r="B868" s="10"/>
      <c r="C868" s="10"/>
      <c r="D868" s="10"/>
    </row>
    <row r="869" spans="1:4">
      <c r="A869" s="10"/>
      <c r="B869" s="10"/>
      <c r="C869" s="10"/>
      <c r="D869" s="10"/>
    </row>
    <row r="870" spans="1:4">
      <c r="A870" s="10"/>
      <c r="B870" s="10"/>
      <c r="C870" s="10"/>
      <c r="D870" s="10"/>
    </row>
    <row r="871" spans="1:4">
      <c r="A871" s="10"/>
      <c r="B871" s="10"/>
      <c r="C871" s="10"/>
      <c r="D871" s="10"/>
    </row>
    <row r="872" spans="1:4">
      <c r="A872" s="10"/>
      <c r="B872" s="10"/>
      <c r="C872" s="10"/>
      <c r="D872" s="10"/>
    </row>
    <row r="873" spans="1:4">
      <c r="A873" s="10"/>
      <c r="B873" s="10"/>
      <c r="C873" s="10"/>
      <c r="D873" s="10"/>
    </row>
    <row r="874" spans="1:4">
      <c r="A874" s="10"/>
      <c r="B874" s="10"/>
      <c r="C874" s="10"/>
      <c r="D874" s="10"/>
    </row>
    <row r="875" spans="1:4">
      <c r="A875" s="10"/>
      <c r="B875" s="10"/>
      <c r="C875" s="10"/>
      <c r="D875" s="10"/>
    </row>
    <row r="876" spans="1:4">
      <c r="A876" s="10"/>
      <c r="B876" s="10"/>
      <c r="C876" s="10"/>
      <c r="D876" s="10"/>
    </row>
    <row r="877" spans="1:4">
      <c r="A877" s="10"/>
      <c r="B877" s="10"/>
      <c r="C877" s="10"/>
      <c r="D877" s="10"/>
    </row>
    <row r="878" spans="1:4">
      <c r="A878" s="10"/>
      <c r="B878" s="10"/>
      <c r="C878" s="10"/>
      <c r="D878" s="10"/>
    </row>
    <row r="879" spans="1:4">
      <c r="A879" s="10"/>
      <c r="B879" s="10"/>
      <c r="C879" s="10"/>
      <c r="D879" s="10"/>
    </row>
    <row r="880" spans="1:4">
      <c r="A880" s="10"/>
      <c r="B880" s="10"/>
      <c r="C880" s="10"/>
      <c r="D880" s="10"/>
    </row>
    <row r="881" spans="1:4">
      <c r="A881" s="10"/>
      <c r="B881" s="10"/>
      <c r="C881" s="10"/>
      <c r="D881" s="10"/>
    </row>
    <row r="882" spans="1:4">
      <c r="A882" s="10"/>
      <c r="B882" s="10"/>
      <c r="C882" s="10"/>
      <c r="D882" s="10"/>
    </row>
    <row r="883" spans="1:4">
      <c r="A883" s="10"/>
      <c r="B883" s="10"/>
      <c r="C883" s="10"/>
      <c r="D883" s="10"/>
    </row>
    <row r="884" spans="1:4">
      <c r="A884" s="10"/>
      <c r="B884" s="10"/>
      <c r="C884" s="10"/>
      <c r="D884" s="10"/>
    </row>
    <row r="885" spans="1:4">
      <c r="A885" s="10"/>
      <c r="B885" s="10"/>
      <c r="C885" s="10"/>
      <c r="D885" s="10"/>
    </row>
    <row r="886" spans="1:4">
      <c r="A886" s="10"/>
      <c r="B886" s="10"/>
      <c r="C886" s="10"/>
      <c r="D886" s="10"/>
    </row>
    <row r="887" spans="1:4">
      <c r="A887" s="10"/>
      <c r="B887" s="10"/>
      <c r="C887" s="10"/>
      <c r="D887" s="10"/>
    </row>
    <row r="888" spans="1:4">
      <c r="A888" s="10"/>
      <c r="B888" s="10"/>
      <c r="C888" s="10"/>
      <c r="D888" s="10"/>
    </row>
    <row r="889" spans="1:4">
      <c r="A889" s="10"/>
      <c r="B889" s="10"/>
      <c r="C889" s="10"/>
      <c r="D889" s="10"/>
    </row>
    <row r="890" spans="1:4">
      <c r="A890" s="10"/>
      <c r="B890" s="10"/>
      <c r="C890" s="10"/>
      <c r="D890" s="10"/>
    </row>
    <row r="891" spans="1:4">
      <c r="A891" s="10"/>
      <c r="B891" s="10"/>
      <c r="C891" s="10"/>
      <c r="D891" s="10"/>
    </row>
    <row r="892" spans="1:4">
      <c r="A892" s="10"/>
      <c r="B892" s="10"/>
      <c r="C892" s="10"/>
      <c r="D892" s="10"/>
    </row>
    <row r="893" spans="1:4">
      <c r="A893" s="10"/>
      <c r="B893" s="10"/>
      <c r="C893" s="10"/>
      <c r="D893" s="10"/>
    </row>
    <row r="894" spans="1:4">
      <c r="A894" s="10"/>
      <c r="B894" s="10"/>
      <c r="C894" s="10"/>
      <c r="D894" s="10"/>
    </row>
    <row r="895" spans="1:4">
      <c r="A895" s="10"/>
      <c r="B895" s="10"/>
      <c r="C895" s="10"/>
      <c r="D895" s="10"/>
    </row>
    <row r="896" spans="1:4">
      <c r="A896" s="10"/>
      <c r="B896" s="10"/>
      <c r="C896" s="10"/>
      <c r="D896" s="10"/>
    </row>
    <row r="897" spans="1:4">
      <c r="A897" s="10"/>
      <c r="B897" s="10"/>
      <c r="C897" s="10"/>
      <c r="D897" s="10"/>
    </row>
    <row r="898" spans="1:4">
      <c r="A898" s="10"/>
      <c r="B898" s="10"/>
      <c r="C898" s="10"/>
      <c r="D898" s="10"/>
    </row>
    <row r="899" spans="1:4">
      <c r="A899" s="10"/>
      <c r="B899" s="10"/>
      <c r="C899" s="10"/>
      <c r="D899" s="10"/>
    </row>
    <row r="900" spans="1:4">
      <c r="A900" s="10"/>
      <c r="B900" s="10"/>
      <c r="C900" s="10"/>
      <c r="D900" s="10"/>
    </row>
    <row r="901" spans="1:4">
      <c r="A901" s="10"/>
      <c r="B901" s="10"/>
      <c r="C901" s="10"/>
      <c r="D901" s="10"/>
    </row>
    <row r="902" spans="1:4">
      <c r="A902" s="10"/>
      <c r="B902" s="10"/>
      <c r="C902" s="10"/>
      <c r="D902" s="10"/>
    </row>
    <row r="903" spans="1:4">
      <c r="A903" s="10"/>
      <c r="B903" s="10"/>
      <c r="C903" s="10"/>
      <c r="D903" s="10"/>
    </row>
    <row r="904" spans="1:4">
      <c r="A904" s="10"/>
      <c r="B904" s="10"/>
      <c r="C904" s="10"/>
      <c r="D904" s="10"/>
    </row>
    <row r="905" spans="1:4">
      <c r="A905" s="10"/>
      <c r="B905" s="10"/>
      <c r="C905" s="10"/>
      <c r="D905" s="10"/>
    </row>
    <row r="906" spans="1:4">
      <c r="A906" s="10"/>
      <c r="B906" s="10"/>
      <c r="C906" s="10"/>
      <c r="D906" s="10"/>
    </row>
    <row r="907" spans="1:4">
      <c r="A907" s="10"/>
      <c r="B907" s="10"/>
      <c r="C907" s="10"/>
      <c r="D907" s="10"/>
    </row>
    <row r="908" spans="1:4">
      <c r="A908" s="10"/>
      <c r="B908" s="10"/>
      <c r="C908" s="10"/>
      <c r="D908" s="10"/>
    </row>
    <row r="909" spans="1:4">
      <c r="A909" s="10"/>
      <c r="B909" s="10"/>
      <c r="C909" s="10"/>
      <c r="D909" s="10"/>
    </row>
    <row r="910" spans="1:4">
      <c r="A910" s="10"/>
      <c r="B910" s="10"/>
      <c r="C910" s="10"/>
      <c r="D910" s="10"/>
    </row>
    <row r="911" spans="1:4">
      <c r="A911" s="10"/>
      <c r="B911" s="10"/>
      <c r="C911" s="10"/>
      <c r="D911" s="10"/>
    </row>
    <row r="912" spans="1:4">
      <c r="A912" s="10"/>
      <c r="B912" s="10"/>
      <c r="C912" s="10"/>
      <c r="D912" s="10"/>
    </row>
    <row r="913" spans="1:4">
      <c r="A913" s="10"/>
      <c r="B913" s="10"/>
      <c r="C913" s="10"/>
      <c r="D913" s="10"/>
    </row>
    <row r="914" spans="1:4">
      <c r="A914" s="10"/>
      <c r="B914" s="10"/>
      <c r="C914" s="10"/>
      <c r="D914" s="10"/>
    </row>
    <row r="915" spans="1:4">
      <c r="A915" s="10"/>
      <c r="B915" s="10"/>
      <c r="C915" s="10"/>
      <c r="D915" s="10"/>
    </row>
    <row r="916" spans="1:4">
      <c r="A916" s="10"/>
      <c r="B916" s="10"/>
      <c r="C916" s="10"/>
      <c r="D916" s="10"/>
    </row>
    <row r="917" spans="1:4">
      <c r="A917" s="10"/>
      <c r="B917" s="10"/>
      <c r="C917" s="10"/>
      <c r="D917" s="10"/>
    </row>
    <row r="918" spans="1:4">
      <c r="A918" s="10"/>
      <c r="B918" s="10"/>
      <c r="C918" s="10"/>
      <c r="D918" s="10"/>
    </row>
    <row r="919" spans="1:4">
      <c r="A919" s="10"/>
      <c r="B919" s="10"/>
      <c r="C919" s="10"/>
      <c r="D919" s="10"/>
    </row>
    <row r="920" spans="1:4">
      <c r="A920" s="10"/>
      <c r="B920" s="10"/>
      <c r="C920" s="10"/>
      <c r="D920" s="10"/>
    </row>
    <row r="921" spans="1:4">
      <c r="A921" s="10"/>
      <c r="B921" s="10"/>
      <c r="C921" s="10"/>
      <c r="D921" s="10"/>
    </row>
    <row r="922" spans="1:4">
      <c r="A922" s="10"/>
      <c r="B922" s="10"/>
      <c r="C922" s="10"/>
      <c r="D922" s="10"/>
    </row>
    <row r="923" spans="1:4">
      <c r="A923" s="10"/>
      <c r="B923" s="10"/>
      <c r="C923" s="10"/>
      <c r="D923" s="10"/>
    </row>
    <row r="924" spans="1:4">
      <c r="A924" s="10"/>
      <c r="B924" s="10"/>
      <c r="C924" s="10"/>
      <c r="D924" s="10"/>
    </row>
    <row r="925" spans="1:4">
      <c r="A925" s="10"/>
      <c r="B925" s="10"/>
      <c r="C925" s="10"/>
      <c r="D925" s="10"/>
    </row>
    <row r="926" spans="1:4">
      <c r="A926" s="10"/>
      <c r="B926" s="10"/>
      <c r="C926" s="10"/>
      <c r="D926" s="10"/>
    </row>
    <row r="927" spans="1:4">
      <c r="A927" s="10"/>
      <c r="B927" s="10"/>
      <c r="C927" s="10"/>
      <c r="D927" s="10"/>
    </row>
    <row r="928" spans="1:4">
      <c r="A928" s="10"/>
      <c r="B928" s="10"/>
      <c r="C928" s="10"/>
      <c r="D928" s="10"/>
    </row>
    <row r="929" spans="1:4">
      <c r="A929" s="10"/>
      <c r="B929" s="10"/>
      <c r="C929" s="10"/>
      <c r="D929" s="10"/>
    </row>
    <row r="930" spans="1:4">
      <c r="A930" s="10"/>
      <c r="B930" s="10"/>
      <c r="C930" s="10"/>
      <c r="D930" s="10"/>
    </row>
    <row r="931" spans="1:4">
      <c r="A931" s="10"/>
      <c r="B931" s="10"/>
      <c r="C931" s="10"/>
      <c r="D931" s="10"/>
    </row>
    <row r="932" spans="1:4">
      <c r="A932" s="10"/>
      <c r="B932" s="10"/>
      <c r="C932" s="10"/>
      <c r="D932" s="10"/>
    </row>
    <row r="933" spans="1:4">
      <c r="A933" s="10"/>
      <c r="B933" s="10"/>
      <c r="C933" s="10"/>
      <c r="D933" s="10"/>
    </row>
    <row r="934" spans="1:4">
      <c r="A934" s="10"/>
      <c r="B934" s="10"/>
      <c r="C934" s="10"/>
      <c r="D934" s="10"/>
    </row>
    <row r="935" spans="1:4">
      <c r="A935" s="10"/>
      <c r="B935" s="10"/>
      <c r="C935" s="10"/>
      <c r="D935" s="10"/>
    </row>
    <row r="936" spans="1:4">
      <c r="A936" s="10"/>
      <c r="B936" s="10"/>
      <c r="C936" s="10"/>
      <c r="D936" s="10"/>
    </row>
    <row r="937" spans="1:4">
      <c r="A937" s="10"/>
      <c r="B937" s="10"/>
      <c r="C937" s="10"/>
      <c r="D937" s="10"/>
    </row>
    <row r="938" spans="1:4">
      <c r="A938" s="10"/>
      <c r="B938" s="10"/>
      <c r="C938" s="10"/>
      <c r="D938" s="10"/>
    </row>
    <row r="939" spans="1:4">
      <c r="A939" s="10"/>
      <c r="B939" s="10"/>
      <c r="C939" s="10"/>
      <c r="D939" s="10"/>
    </row>
    <row r="940" spans="1:4">
      <c r="A940" s="10"/>
      <c r="B940" s="10"/>
      <c r="C940" s="10"/>
      <c r="D940" s="10"/>
    </row>
    <row r="941" spans="1:4">
      <c r="A941" s="10"/>
      <c r="B941" s="10"/>
      <c r="C941" s="10"/>
      <c r="D941" s="10"/>
    </row>
    <row r="942" spans="1:4">
      <c r="A942" s="10"/>
      <c r="B942" s="10"/>
      <c r="C942" s="10"/>
      <c r="D942" s="10"/>
    </row>
    <row r="943" spans="1:4">
      <c r="A943" s="10"/>
      <c r="B943" s="10"/>
      <c r="C943" s="10"/>
      <c r="D943" s="10"/>
    </row>
    <row r="944" spans="1:4">
      <c r="A944" s="10"/>
      <c r="B944" s="10"/>
      <c r="C944" s="10"/>
      <c r="D944" s="10"/>
    </row>
    <row r="945" spans="1:4">
      <c r="A945" s="10"/>
      <c r="B945" s="10"/>
      <c r="C945" s="10"/>
      <c r="D945" s="10"/>
    </row>
    <row r="946" spans="1:4">
      <c r="A946" s="10"/>
      <c r="B946" s="10"/>
      <c r="C946" s="10"/>
      <c r="D946" s="10"/>
    </row>
    <row r="947" spans="1:4">
      <c r="A947" s="10"/>
      <c r="B947" s="10"/>
      <c r="C947" s="10"/>
      <c r="D947" s="10"/>
    </row>
    <row r="948" spans="1:4">
      <c r="A948" s="10"/>
      <c r="B948" s="10"/>
      <c r="C948" s="10"/>
      <c r="D948" s="10"/>
    </row>
    <row r="949" spans="1:4">
      <c r="A949" s="10"/>
      <c r="B949" s="10"/>
      <c r="C949" s="10"/>
      <c r="D949" s="10"/>
    </row>
    <row r="950" spans="1:4">
      <c r="A950" s="10"/>
      <c r="B950" s="10"/>
      <c r="C950" s="10"/>
      <c r="D950" s="10"/>
    </row>
    <row r="951" spans="1:4">
      <c r="A951" s="10"/>
      <c r="B951" s="10"/>
      <c r="C951" s="10"/>
      <c r="D951" s="10"/>
    </row>
    <row r="952" spans="1:4">
      <c r="A952" s="10"/>
      <c r="B952" s="10"/>
      <c r="C952" s="10"/>
      <c r="D952" s="10"/>
    </row>
    <row r="953" spans="1:4">
      <c r="A953" s="10"/>
      <c r="B953" s="10"/>
      <c r="C953" s="10"/>
      <c r="D953" s="10"/>
    </row>
    <row r="954" spans="1:4">
      <c r="A954" s="10"/>
      <c r="B954" s="10"/>
      <c r="C954" s="10"/>
      <c r="D954" s="10"/>
    </row>
    <row r="955" spans="1:4">
      <c r="A955" s="10"/>
      <c r="B955" s="10"/>
      <c r="C955" s="10"/>
      <c r="D955" s="10"/>
    </row>
    <row r="956" spans="1:4">
      <c r="A956" s="10"/>
      <c r="B956" s="10"/>
      <c r="C956" s="10"/>
      <c r="D956" s="10"/>
    </row>
    <row r="957" spans="1:4">
      <c r="A957" s="10"/>
      <c r="B957" s="10"/>
      <c r="C957" s="10"/>
      <c r="D957" s="10"/>
    </row>
    <row r="958" spans="1:4">
      <c r="A958" s="10"/>
      <c r="B958" s="10"/>
      <c r="C958" s="10"/>
      <c r="D958" s="10"/>
    </row>
    <row r="959" spans="1:4">
      <c r="A959" s="10"/>
      <c r="B959" s="10"/>
      <c r="C959" s="10"/>
      <c r="D959" s="10"/>
    </row>
    <row r="960" spans="1:4">
      <c r="A960" s="10"/>
      <c r="B960" s="10"/>
      <c r="C960" s="10"/>
      <c r="D960" s="10"/>
    </row>
    <row r="961" spans="1:4">
      <c r="A961" s="10"/>
      <c r="B961" s="10"/>
      <c r="C961" s="10"/>
      <c r="D961" s="10"/>
    </row>
    <row r="962" spans="1:4">
      <c r="A962" s="10"/>
      <c r="B962" s="10"/>
      <c r="C962" s="10"/>
      <c r="D962" s="10"/>
    </row>
    <row r="963" spans="1:4">
      <c r="A963" s="10"/>
      <c r="B963" s="10"/>
      <c r="C963" s="10"/>
      <c r="D963" s="10"/>
    </row>
    <row r="964" spans="1:4">
      <c r="A964" s="10"/>
      <c r="B964" s="10"/>
      <c r="C964" s="10"/>
      <c r="D964" s="10"/>
    </row>
    <row r="965" spans="1:4">
      <c r="A965" s="10"/>
      <c r="B965" s="10"/>
      <c r="C965" s="10"/>
      <c r="D965" s="10"/>
    </row>
    <row r="966" spans="1:4">
      <c r="A966" s="10"/>
      <c r="B966" s="10"/>
      <c r="C966" s="10"/>
      <c r="D966" s="10"/>
    </row>
    <row r="967" spans="1:4">
      <c r="A967" s="10"/>
      <c r="B967" s="10"/>
      <c r="C967" s="10"/>
      <c r="D967" s="10"/>
    </row>
    <row r="968" spans="1:4">
      <c r="A968" s="10"/>
      <c r="B968" s="10"/>
      <c r="C968" s="10"/>
      <c r="D968" s="10"/>
    </row>
    <row r="969" spans="1:4">
      <c r="A969" s="10"/>
      <c r="B969" s="10"/>
      <c r="C969" s="10"/>
      <c r="D969" s="10"/>
    </row>
    <row r="970" spans="1:4">
      <c r="A970" s="10"/>
      <c r="B970" s="10"/>
      <c r="C970" s="10"/>
      <c r="D970" s="10"/>
    </row>
    <row r="971" spans="1:4">
      <c r="A971" s="10"/>
      <c r="B971" s="10"/>
      <c r="C971" s="10"/>
      <c r="D971" s="10"/>
    </row>
    <row r="972" spans="1:4">
      <c r="A972" s="10"/>
      <c r="B972" s="10"/>
      <c r="C972" s="10"/>
      <c r="D972" s="10"/>
    </row>
    <row r="973" spans="1:4">
      <c r="A973" s="10"/>
      <c r="B973" s="10"/>
      <c r="C973" s="10"/>
      <c r="D973" s="10"/>
    </row>
    <row r="974" spans="1:4">
      <c r="A974" s="10"/>
      <c r="B974" s="10"/>
      <c r="C974" s="10"/>
      <c r="D974" s="10"/>
    </row>
    <row r="975" spans="1:4">
      <c r="A975" s="10"/>
      <c r="B975" s="10"/>
      <c r="C975" s="10"/>
      <c r="D975" s="10"/>
    </row>
    <row r="976" spans="1:4">
      <c r="A976" s="10"/>
      <c r="B976" s="10"/>
      <c r="C976" s="10"/>
      <c r="D976" s="10"/>
    </row>
    <row r="977" spans="1:4">
      <c r="A977" s="10"/>
      <c r="B977" s="10"/>
      <c r="C977" s="10"/>
      <c r="D977" s="10"/>
    </row>
    <row r="978" spans="1:4">
      <c r="A978" s="10"/>
      <c r="B978" s="10"/>
      <c r="C978" s="10"/>
      <c r="D978" s="10"/>
    </row>
    <row r="979" spans="1:4">
      <c r="A979" s="10"/>
      <c r="B979" s="10"/>
      <c r="C979" s="10"/>
      <c r="D979" s="10"/>
    </row>
    <row r="980" spans="1:4">
      <c r="A980" s="10"/>
      <c r="B980" s="10"/>
      <c r="C980" s="10"/>
      <c r="D980" s="10"/>
    </row>
    <row r="981" spans="1:4">
      <c r="A981" s="10"/>
      <c r="B981" s="10"/>
      <c r="C981" s="10"/>
      <c r="D981" s="10"/>
    </row>
    <row r="982" spans="1:4">
      <c r="A982" s="10"/>
      <c r="B982" s="10"/>
      <c r="C982" s="10"/>
      <c r="D982" s="10"/>
    </row>
    <row r="983" spans="1:4">
      <c r="A983" s="10"/>
      <c r="B983" s="10"/>
      <c r="C983" s="10"/>
      <c r="D983" s="10"/>
    </row>
    <row r="984" spans="1:4">
      <c r="A984" s="10"/>
      <c r="B984" s="10"/>
      <c r="C984" s="10"/>
      <c r="D984" s="10"/>
    </row>
    <row r="985" spans="1:4">
      <c r="A985" s="10"/>
      <c r="B985" s="10"/>
      <c r="C985" s="10"/>
      <c r="D985" s="10"/>
    </row>
    <row r="986" spans="1:4">
      <c r="A986" s="10"/>
      <c r="B986" s="10"/>
      <c r="C986" s="10"/>
      <c r="D986" s="10"/>
    </row>
    <row r="987" spans="1:4">
      <c r="A987" s="10"/>
      <c r="B987" s="10"/>
      <c r="C987" s="10"/>
      <c r="D987" s="10"/>
    </row>
    <row r="988" spans="1:4">
      <c r="A988" s="10"/>
      <c r="B988" s="10"/>
      <c r="C988" s="10"/>
      <c r="D988" s="10"/>
    </row>
    <row r="989" spans="1:4">
      <c r="A989" s="10"/>
      <c r="B989" s="10"/>
      <c r="C989" s="10"/>
      <c r="D989" s="10"/>
    </row>
    <row r="990" spans="1:4">
      <c r="A990" s="10"/>
      <c r="B990" s="10"/>
      <c r="C990" s="10"/>
      <c r="D990" s="10"/>
    </row>
    <row r="991" spans="1:4">
      <c r="A991" s="10"/>
      <c r="B991" s="10"/>
      <c r="C991" s="10"/>
      <c r="D991" s="10"/>
    </row>
    <row r="992" spans="1:4">
      <c r="A992" s="10"/>
      <c r="B992" s="10"/>
      <c r="C992" s="10"/>
      <c r="D992" s="10"/>
    </row>
    <row r="993" spans="1:4">
      <c r="A993" s="10"/>
      <c r="B993" s="10"/>
      <c r="C993" s="10"/>
      <c r="D993" s="10"/>
    </row>
    <row r="994" spans="1:4">
      <c r="A994" s="10"/>
      <c r="B994" s="10"/>
      <c r="C994" s="10"/>
      <c r="D994" s="10"/>
    </row>
    <row r="995" spans="1:4">
      <c r="A995" s="10"/>
      <c r="B995" s="10"/>
      <c r="C995" s="10"/>
      <c r="D995" s="10"/>
    </row>
    <row r="996" spans="1:4">
      <c r="A996" s="10"/>
      <c r="B996" s="10"/>
      <c r="C996" s="10"/>
      <c r="D996" s="10"/>
    </row>
    <row r="997" spans="1:4">
      <c r="A997" s="10"/>
      <c r="B997" s="10"/>
      <c r="C997" s="10"/>
      <c r="D997" s="10"/>
    </row>
    <row r="998" spans="1:4">
      <c r="A998" s="10"/>
      <c r="B998" s="10"/>
      <c r="C998" s="10"/>
      <c r="D998" s="10"/>
    </row>
    <row r="999" spans="1:4">
      <c r="A999" s="10"/>
      <c r="B999" s="10"/>
      <c r="C999" s="10"/>
      <c r="D999" s="10"/>
    </row>
    <row r="1000" spans="1:4">
      <c r="A1000" s="10"/>
      <c r="B1000" s="10"/>
      <c r="C1000" s="10"/>
      <c r="D1000" s="10"/>
    </row>
  </sheetData>
  <mergeCells count="1">
    <mergeCell ref="A1:F1"/>
  </mergeCells>
  <hyperlinks>
    <hyperlink ref="B4" r:id="rId1" xr:uid="{00000000-0004-0000-1900-000000000000}"/>
    <hyperlink ref="B5" r:id="rId2" xr:uid="{00000000-0004-0000-1900-000001000000}"/>
    <hyperlink ref="B6" r:id="rId3" xr:uid="{00000000-0004-0000-1900-000002000000}"/>
    <hyperlink ref="B7" r:id="rId4" xr:uid="{00000000-0004-0000-1900-000003000000}"/>
    <hyperlink ref="B8" r:id="rId5" xr:uid="{00000000-0004-0000-1900-000004000000}"/>
    <hyperlink ref="B9" r:id="rId6" xr:uid="{00000000-0004-0000-1900-000005000000}"/>
    <hyperlink ref="B10" r:id="rId7" xr:uid="{00000000-0004-0000-1900-000006000000}"/>
    <hyperlink ref="B11" r:id="rId8" xr:uid="{00000000-0004-0000-1900-000007000000}"/>
    <hyperlink ref="B12" r:id="rId9" xr:uid="{00000000-0004-0000-1900-000008000000}"/>
    <hyperlink ref="B13" r:id="rId10" xr:uid="{00000000-0004-0000-1900-000009000000}"/>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outlinePr summaryBelow="0" summaryRight="0"/>
  </sheetPr>
  <dimension ref="A1:E46"/>
  <sheetViews>
    <sheetView workbookViewId="0"/>
  </sheetViews>
  <sheetFormatPr defaultColWidth="14.42578125" defaultRowHeight="15.75" customHeight="1"/>
  <sheetData>
    <row r="1" spans="1:5">
      <c r="A1" s="45" t="str">
        <f ca="1">IFERROR(__xludf.DUMMYFUNCTION("UNIQUE(QUERY(db,""select AV where AV is not NULL order by AV""))"),"Challenge")</f>
        <v>Challenge</v>
      </c>
    </row>
    <row r="2" spans="1:5">
      <c r="A2" s="45" t="str">
        <f ca="1">IFERROR(__xludf.DUMMYFUNCTION("""COMPUTED_VALUE"""),"Challenge, Attenuated, Excluded")</f>
        <v>Challenge, Attenuated, Excluded</v>
      </c>
    </row>
    <row r="3" spans="1:5">
      <c r="A3" s="45" t="str">
        <f ca="1">IFERROR(__xludf.DUMMYFUNCTION("""COMPUTED_VALUE"""),"Challenge, Attenuated, NAE, NSAE")</f>
        <v>Challenge, Attenuated, NAE, NSAE</v>
      </c>
    </row>
    <row r="4" spans="1:5">
      <c r="A4" s="45" t="str">
        <f ca="1">IFERROR(__xludf.DUMMYFUNCTION("""COMPUTED_VALUE"""),"Challenge, Attenuated, NAE, NSAE, Excluded")</f>
        <v>Challenge, Attenuated, NAE, NSAE, Excluded</v>
      </c>
    </row>
    <row r="5" spans="1:5">
      <c r="A5" s="45" t="str">
        <f ca="1">IFERROR(__xludf.DUMMYFUNCTION("""COMPUTED_VALUE"""),"Challenge, Attenuated, NAE, NSAE, Summed")</f>
        <v>Challenge, Attenuated, NAE, NSAE, Summed</v>
      </c>
    </row>
    <row r="6" spans="1:5">
      <c r="A6" s="45" t="str">
        <f ca="1">IFERROR(__xludf.DUMMYFUNCTION("""COMPUTED_VALUE"""),"Challenge, Attenuated, Summed")</f>
        <v>Challenge, Attenuated, Summed</v>
      </c>
    </row>
    <row r="7" spans="1:5">
      <c r="A7" s="45" t="str">
        <f ca="1">IFERROR(__xludf.DUMMYFUNCTION("""COMPUTED_VALUE"""),"Challenge, Attenuated, Vaccine, NAE, NSAE, Excluded")</f>
        <v>Challenge, Attenuated, Vaccine, NAE, NSAE, Excluded</v>
      </c>
    </row>
    <row r="8" spans="1:5">
      <c r="A8" s="45" t="str">
        <f ca="1">IFERROR(__xludf.DUMMYFUNCTION("""COMPUTED_VALUE"""),"Challenge, Attenuated, Vaccine, NAE, NSAE, Summed")</f>
        <v>Challenge, Attenuated, Vaccine, NAE, NSAE, Summed</v>
      </c>
    </row>
    <row r="9" spans="1:5">
      <c r="A9" s="45" t="str">
        <f ca="1">IFERROR(__xludf.DUMMYFUNCTION("""COMPUTED_VALUE"""),"Challenge, Excluded")</f>
        <v>Challenge, Excluded</v>
      </c>
    </row>
    <row r="10" spans="1:5">
      <c r="A10" s="45" t="str">
        <f ca="1">IFERROR(__xludf.DUMMYFUNCTION("""COMPUTED_VALUE"""),"Challenge, NAE")</f>
        <v>Challenge, NAE</v>
      </c>
    </row>
    <row r="11" spans="1:5">
      <c r="A11" s="45" t="str">
        <f ca="1">IFERROR(__xludf.DUMMYFUNCTION("""COMPUTED_VALUE"""),"Challenge, NAE, Excluded")</f>
        <v>Challenge, NAE, Excluded</v>
      </c>
    </row>
    <row r="12" spans="1:5">
      <c r="A12" s="45" t="str">
        <f ca="1">IFERROR(__xludf.DUMMYFUNCTION("""COMPUTED_VALUE"""),"Challenge, NAE, NSAE")</f>
        <v>Challenge, NAE, NSAE</v>
      </c>
    </row>
    <row r="13" spans="1:5">
      <c r="A13" s="45" t="str">
        <f ca="1">IFERROR(__xludf.DUMMYFUNCTION("""COMPUTED_VALUE"""),"Challenge, NAE, NSAE, Excluded")</f>
        <v>Challenge, NAE, NSAE, Excluded</v>
      </c>
    </row>
    <row r="14" spans="1:5">
      <c r="A14" s="45" t="str">
        <f ca="1">IFERROR(__xludf.DUMMYFUNCTION("""COMPUTED_VALUE"""),"Challenge, NAE, NSAE, Summed")</f>
        <v>Challenge, NAE, NSAE, Summed</v>
      </c>
    </row>
    <row r="15" spans="1:5">
      <c r="A15" s="45" t="str">
        <f ca="1">IFERROR(__xludf.DUMMYFUNCTION("""COMPUTED_VALUE"""),"Challenge, NAE, NSAE, Summed, Excluded")</f>
        <v>Challenge, NAE, NSAE, Summed, Excluded</v>
      </c>
      <c r="E15" s="45" t="b">
        <f ca="1">IFERROR(__xludf.DUMMYFUNCTION("IFERROR(REGEXMATCH(A1,ExclusionCategories),FALSE)"),FALSE)</f>
        <v>0</v>
      </c>
    </row>
    <row r="16" spans="1:5">
      <c r="A16" s="45" t="str">
        <f ca="1">IFERROR(__xludf.DUMMYFUNCTION("""COMPUTED_VALUE"""),"Challenge, NAE, Summed")</f>
        <v>Challenge, NAE, Summed</v>
      </c>
      <c r="E16" s="45" t="b">
        <f ca="1">IFERROR(__xludf.DUMMYFUNCTION("IFERROR(REGEXMATCH(A2,ExclusionCategories),FALSE)"),TRUE)</f>
        <v>1</v>
      </c>
    </row>
    <row r="17" spans="1:5">
      <c r="A17" s="45" t="str">
        <f ca="1">IFERROR(__xludf.DUMMYFUNCTION("""COMPUTED_VALUE"""),"Challenge, NSAE")</f>
        <v>Challenge, NSAE</v>
      </c>
      <c r="E17" s="45" t="b">
        <f ca="1">IFERROR(__xludf.DUMMYFUNCTION("IFERROR(REGEXMATCH(A3,ExclusionCategories),FALSE)"),FALSE)</f>
        <v>0</v>
      </c>
    </row>
    <row r="18" spans="1:5">
      <c r="A18" s="45" t="str">
        <f ca="1">IFERROR(__xludf.DUMMYFUNCTION("""COMPUTED_VALUE"""),"Challenge, NSAE, Excluded")</f>
        <v>Challenge, NSAE, Excluded</v>
      </c>
      <c r="E18" s="45" t="b">
        <f ca="1">IFERROR(__xludf.DUMMYFUNCTION("IFERROR(REGEXMATCH(A4,ExclusionCategories),FALSE)"),TRUE)</f>
        <v>1</v>
      </c>
    </row>
    <row r="19" spans="1:5">
      <c r="A19" s="45" t="str">
        <f ca="1">IFERROR(__xludf.DUMMYFUNCTION("""COMPUTED_VALUE"""),"Challenge, NSAE, Summed")</f>
        <v>Challenge, NSAE, Summed</v>
      </c>
      <c r="E19" s="45" t="b">
        <f ca="1">IFERROR(__xludf.DUMMYFUNCTION("IFERROR(REGEXMATCH(A5,ExclusionCategories),FALSE)"),FALSE)</f>
        <v>0</v>
      </c>
    </row>
    <row r="20" spans="1:5">
      <c r="A20" s="45" t="str">
        <f ca="1">IFERROR(__xludf.DUMMYFUNCTION("""COMPUTED_VALUE"""),"Challenge, Rechallenge, NAE, NSAE, Summed, Excluded")</f>
        <v>Challenge, Rechallenge, NAE, NSAE, Summed, Excluded</v>
      </c>
      <c r="E20" s="45" t="b">
        <f ca="1">IFERROR(__xludf.DUMMYFUNCTION("IFERROR(REGEXMATCH(A6,ExclusionCategories),FALSE)"),FALSE)</f>
        <v>0</v>
      </c>
    </row>
    <row r="21" spans="1:5">
      <c r="A21" s="45" t="str">
        <f ca="1">IFERROR(__xludf.DUMMYFUNCTION("""COMPUTED_VALUE"""),"Challenge, Rechallenge, Summed, Excluded")</f>
        <v>Challenge, Rechallenge, Summed, Excluded</v>
      </c>
      <c r="E21" s="45" t="b">
        <f ca="1">IFERROR(__xludf.DUMMYFUNCTION("IFERROR(REGEXMATCH(A7,ExclusionCategories),FALSE)"),TRUE)</f>
        <v>1</v>
      </c>
    </row>
    <row r="22" spans="1:5">
      <c r="A22" s="45" t="str">
        <f ca="1">IFERROR(__xludf.DUMMYFUNCTION("""COMPUTED_VALUE"""),"Challenge, Summed")</f>
        <v>Challenge, Summed</v>
      </c>
      <c r="E22" s="45" t="b">
        <f ca="1">IFERROR(__xludf.DUMMYFUNCTION("IFERROR(REGEXMATCH(A8,ExclusionCategories),FALSE)"),FALSE)</f>
        <v>0</v>
      </c>
    </row>
    <row r="23" spans="1:5">
      <c r="A23" s="45" t="str">
        <f ca="1">IFERROR(__xludf.DUMMYFUNCTION("""COMPUTED_VALUE"""),"Challenge, Summed, Excluded")</f>
        <v>Challenge, Summed, Excluded</v>
      </c>
      <c r="E23" s="45" t="b">
        <f ca="1">IFERROR(__xludf.DUMMYFUNCTION("IFERROR(REGEXMATCH(A9,ExclusionCategories),FALSE)"),TRUE)</f>
        <v>1</v>
      </c>
    </row>
    <row r="24" spans="1:5">
      <c r="A24" s="45" t="str">
        <f ca="1">IFERROR(__xludf.DUMMYFUNCTION("""COMPUTED_VALUE"""),"Challenge, Vaccine")</f>
        <v>Challenge, Vaccine</v>
      </c>
      <c r="E24" s="45" t="b">
        <f ca="1">IFERROR(__xludf.DUMMYFUNCTION("IFERROR(REGEXMATCH(A10,ExclusionCategories),FALSE)"),FALSE)</f>
        <v>0</v>
      </c>
    </row>
    <row r="25" spans="1:5">
      <c r="A25" s="45" t="str">
        <f ca="1">IFERROR(__xludf.DUMMYFUNCTION("""COMPUTED_VALUE"""),"Challenge, Vaccine, NAE, NSAE, Excluded")</f>
        <v>Challenge, Vaccine, NAE, NSAE, Excluded</v>
      </c>
      <c r="E25" s="45" t="b">
        <f ca="1">IFERROR(__xludf.DUMMYFUNCTION("IFERROR(REGEXMATCH(A11,ExclusionCategories),FALSE)"),TRUE)</f>
        <v>1</v>
      </c>
    </row>
    <row r="26" spans="1:5">
      <c r="A26" s="45" t="str">
        <f ca="1">IFERROR(__xludf.DUMMYFUNCTION("""COMPUTED_VALUE"""),"Challenge, Vaccine, NSAE, Excluded")</f>
        <v>Challenge, Vaccine, NSAE, Excluded</v>
      </c>
      <c r="E26" s="45" t="b">
        <f ca="1">IFERROR(__xludf.DUMMYFUNCTION("IFERROR(REGEXMATCH(A12,ExclusionCategories),FALSE)"),FALSE)</f>
        <v>0</v>
      </c>
    </row>
    <row r="27" spans="1:5">
      <c r="A27" s="45" t="str">
        <f ca="1">IFERROR(__xludf.DUMMYFUNCTION("""COMPUTED_VALUE"""),"Challenge, Vaccine, NSAE, Summed")</f>
        <v>Challenge, Vaccine, NSAE, Summed</v>
      </c>
      <c r="E27" s="45" t="b">
        <f ca="1">IFERROR(__xludf.DUMMYFUNCTION("IFERROR(REGEXMATCH(A13,ExclusionCategories),FALSE)"),TRUE)</f>
        <v>1</v>
      </c>
    </row>
    <row r="28" spans="1:5">
      <c r="A28" s="45" t="str">
        <f ca="1">IFERROR(__xludf.DUMMYFUNCTION("""COMPUTED_VALUE"""),"Excluded")</f>
        <v>Excluded</v>
      </c>
      <c r="E28" s="45" t="b">
        <f ca="1">IFERROR(__xludf.DUMMYFUNCTION("IFERROR(REGEXMATCH(A14,ExclusionCategories),FALSE)"),FALSE)</f>
        <v>0</v>
      </c>
    </row>
    <row r="29" spans="1:5">
      <c r="A29" s="45" t="str">
        <f ca="1">IFERROR(__xludf.DUMMYFUNCTION("""COMPUTED_VALUE"""),"Prechallenge, Excluded")</f>
        <v>Prechallenge, Excluded</v>
      </c>
      <c r="E29" s="45" t="b">
        <f ca="1">IFERROR(__xludf.DUMMYFUNCTION("IFERROR(REGEXMATCH(A15,ExclusionCategories),FALSE)"),TRUE)</f>
        <v>1</v>
      </c>
    </row>
    <row r="30" spans="1:5">
      <c r="A30" s="45" t="str">
        <f ca="1">IFERROR(__xludf.DUMMYFUNCTION("""COMPUTED_VALUE"""),"Prechallenge, NAE, Excluded")</f>
        <v>Prechallenge, NAE, Excluded</v>
      </c>
      <c r="E30" s="45" t="b">
        <f ca="1">IFERROR(__xludf.DUMMYFUNCTION("IFERROR(REGEXMATCH(A16,ExclusionCategories),FALSE)"),FALSE)</f>
        <v>0</v>
      </c>
    </row>
    <row r="31" spans="1:5">
      <c r="A31" s="45" t="str">
        <f ca="1">IFERROR(__xludf.DUMMYFUNCTION("""COMPUTED_VALUE"""),"Prechallenge, NAE, NSAE, Excluded")</f>
        <v>Prechallenge, NAE, NSAE, Excluded</v>
      </c>
      <c r="E31" s="45" t="b">
        <f ca="1">IFERROR(__xludf.DUMMYFUNCTION("IFERROR(REGEXMATCH(A17,ExclusionCategories),FALSE)"),FALSE)</f>
        <v>0</v>
      </c>
    </row>
    <row r="32" spans="1:5">
      <c r="A32" s="45" t="str">
        <f ca="1">IFERROR(__xludf.DUMMYFUNCTION("""COMPUTED_VALUE"""),"Prechallenge, Vaccine, NAE, NSAE, Excluded")</f>
        <v>Prechallenge, Vaccine, NAE, NSAE, Excluded</v>
      </c>
      <c r="E32" s="45" t="b">
        <f ca="1">IFERROR(__xludf.DUMMYFUNCTION("IFERROR(REGEXMATCH(A18,ExclusionCategories),FALSE)"),TRUE)</f>
        <v>1</v>
      </c>
    </row>
    <row r="33" spans="1:5">
      <c r="A33" s="45" t="str">
        <f ca="1">IFERROR(__xludf.DUMMYFUNCTION("""COMPUTED_VALUE"""),"Rechallenge")</f>
        <v>Rechallenge</v>
      </c>
      <c r="E33" s="45" t="b">
        <f ca="1">IFERROR(__xludf.DUMMYFUNCTION("IFERROR(REGEXMATCH(A19,ExclusionCategories),FALSE)"),FALSE)</f>
        <v>0</v>
      </c>
    </row>
    <row r="34" spans="1:5">
      <c r="A34" s="45" t="str">
        <f ca="1">IFERROR(__xludf.DUMMYFUNCTION("""COMPUTED_VALUE"""),"Rechallenge, Excluded")</f>
        <v>Rechallenge, Excluded</v>
      </c>
      <c r="E34" s="45" t="b">
        <f ca="1">IFERROR(__xludf.DUMMYFUNCTION("IFERROR(REGEXMATCH(A20,ExclusionCategories),FALSE)"),TRUE)</f>
        <v>1</v>
      </c>
    </row>
    <row r="35" spans="1:5">
      <c r="A35" s="45" t="str">
        <f ca="1">IFERROR(__xludf.DUMMYFUNCTION("""COMPUTED_VALUE"""),"Rechallenge, NAE, NSAE")</f>
        <v>Rechallenge, NAE, NSAE</v>
      </c>
      <c r="E35" s="45" t="b">
        <f ca="1">IFERROR(__xludf.DUMMYFUNCTION("IFERROR(REGEXMATCH(A21,ExclusionCategories),FALSE)"),TRUE)</f>
        <v>1</v>
      </c>
    </row>
    <row r="36" spans="1:5">
      <c r="A36" s="45" t="str">
        <f ca="1">IFERROR(__xludf.DUMMYFUNCTION("""COMPUTED_VALUE"""),"Rechallenge, NAE, NSAE, Excluded")</f>
        <v>Rechallenge, NAE, NSAE, Excluded</v>
      </c>
      <c r="E36" s="45" t="b">
        <f ca="1">IFERROR(__xludf.DUMMYFUNCTION("IFERROR(REGEXMATCH(A22,ExclusionCategories),FALSE)"),FALSE)</f>
        <v>0</v>
      </c>
    </row>
    <row r="37" spans="1:5">
      <c r="A37" s="45" t="str">
        <f ca="1">IFERROR(__xludf.DUMMYFUNCTION("""COMPUTED_VALUE"""),"Rechallenge, Summed")</f>
        <v>Rechallenge, Summed</v>
      </c>
      <c r="E37" s="45" t="b">
        <f ca="1">IFERROR(__xludf.DUMMYFUNCTION("IFERROR(REGEXMATCH(A23,ExclusionCategories),FALSE)"),TRUE)</f>
        <v>1</v>
      </c>
    </row>
    <row r="38" spans="1:5">
      <c r="E38" s="45" t="b">
        <f ca="1">IFERROR(__xludf.DUMMYFUNCTION("IFERROR(REGEXMATCH(A24,ExclusionCategories),FALSE)"),FALSE)</f>
        <v>0</v>
      </c>
    </row>
    <row r="39" spans="1:5">
      <c r="E39" s="45" t="b">
        <f ca="1">IFERROR(__xludf.DUMMYFUNCTION("IFERROR(REGEXMATCH(A25,ExclusionCategories),FALSE)"),TRUE)</f>
        <v>1</v>
      </c>
    </row>
    <row r="40" spans="1:5">
      <c r="E40" s="45" t="b">
        <f ca="1">IFERROR(__xludf.DUMMYFUNCTION("IFERROR(REGEXMATCH(A26,ExclusionCategories),FALSE)"),TRUE)</f>
        <v>1</v>
      </c>
    </row>
    <row r="41" spans="1:5">
      <c r="E41" s="45" t="b">
        <f ca="1">IFERROR(__xludf.DUMMYFUNCTION("IFERROR(REGEXMATCH(A27,ExclusionCategories),FALSE)"),FALSE)</f>
        <v>0</v>
      </c>
    </row>
    <row r="42" spans="1:5">
      <c r="E42" s="45" t="b">
        <f ca="1">IFERROR(__xludf.DUMMYFUNCTION("IFERROR(REGEXMATCH(A28,ExclusionCategories),FALSE)"),TRUE)</f>
        <v>1</v>
      </c>
    </row>
    <row r="43" spans="1:5">
      <c r="E43" s="45" t="b">
        <f ca="1">IFERROR(__xludf.DUMMYFUNCTION("IFERROR(REGEXMATCH(A29,ExclusionCategories),FALSE)"),TRUE)</f>
        <v>1</v>
      </c>
    </row>
    <row r="44" spans="1:5">
      <c r="E44" s="45" t="b">
        <f ca="1">IFERROR(__xludf.DUMMYFUNCTION("IFERROR(REGEXMATCH(A30,ExclusionCategories),FALSE)"),TRUE)</f>
        <v>1</v>
      </c>
    </row>
    <row r="45" spans="1:5">
      <c r="E45" s="45" t="b">
        <f ca="1">IFERROR(__xludf.DUMMYFUNCTION("IFERROR(REGEXMATCH(A31,ExclusionCategories),FALSE)"),TRUE)</f>
        <v>1</v>
      </c>
    </row>
    <row r="46" spans="1:5">
      <c r="E46" s="45" t="b">
        <f ca="1">IFERROR(__xludf.DUMMYFUNCTION("IFERROR(REGEXMATCH(A32,ExclusionCategories),FALSE)"),TRUE)</f>
        <v>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outlinePr summaryBelow="0" summaryRight="0"/>
  </sheetPr>
  <dimension ref="A1:W275"/>
  <sheetViews>
    <sheetView workbookViewId="0"/>
  </sheetViews>
  <sheetFormatPr defaultColWidth="14.42578125" defaultRowHeight="15.75" customHeight="1"/>
  <cols>
    <col min="1" max="1" width="19.42578125" customWidth="1"/>
    <col min="4" max="4" width="20.7109375" customWidth="1"/>
    <col min="7" max="7" width="19.7109375" customWidth="1"/>
  </cols>
  <sheetData>
    <row r="1" spans="1:23">
      <c r="A1" s="45" t="str">
        <f>'TABLE 2 - SAE by Pathogen'!I1</f>
        <v>TABLE 2 - Serious Adverse Events by Pathogen</v>
      </c>
      <c r="J1" s="348" t="s">
        <v>18945</v>
      </c>
    </row>
    <row r="2" spans="1:23">
      <c r="A2" s="45" t="str">
        <f ca="1">'TABLE 2 - SAE by Pathogen'!I2</f>
        <v>Pathogen Category</v>
      </c>
      <c r="B2" s="45" t="str">
        <f>'TABLE 2 - SAE by Pathogen'!J2</f>
        <v xml:space="preserve">Number of studies </v>
      </c>
      <c r="C2" s="45" t="str">
        <f>'TABLE 2 - SAE by Pathogen'!K2</f>
        <v>Number challenged across all studies</v>
      </c>
      <c r="D2" s="45" t="str">
        <f>'TABLE 2 - SAE by Pathogen'!L2</f>
        <v>Number diagnosed with infection across all studies</v>
      </c>
      <c r="E2" s="45" t="str">
        <f>'TABLE 2 - SAE by Pathogen'!M2</f>
        <v>Number with serious or severe adverse events across all studies
(if serious AE not defined)</v>
      </c>
      <c r="F2" s="45">
        <f>'TABLE 2 - SAE by Pathogen'!N2</f>
        <v>0</v>
      </c>
      <c r="G2" s="28" t="s">
        <v>18946</v>
      </c>
      <c r="H2" s="28" t="s">
        <v>18947</v>
      </c>
      <c r="J2" s="28" t="s">
        <v>18948</v>
      </c>
      <c r="M2" s="348" t="s">
        <v>18949</v>
      </c>
      <c r="N2" s="28" t="s">
        <v>18950</v>
      </c>
    </row>
    <row r="3" spans="1:23">
      <c r="A3" s="45" t="str">
        <f ca="1">'TABLE 2 - SAE by Pathogen'!I3</f>
        <v>Vibrio Cholerae</v>
      </c>
      <c r="B3" s="45">
        <f ca="1">'TABLE 2 - SAE by Pathogen'!J3</f>
        <v>5</v>
      </c>
      <c r="C3" s="45">
        <f ca="1">'TABLE 2 - SAE by Pathogen'!K3</f>
        <v>267</v>
      </c>
      <c r="D3" s="45">
        <f ca="1">'TABLE 2 - SAE by Pathogen'!L3</f>
        <v>199</v>
      </c>
      <c r="E3" s="45">
        <f ca="1">'TABLE 2 - SAE by Pathogen'!M3</f>
        <v>0</v>
      </c>
      <c r="F3" s="45" t="str">
        <f ca="1">'TABLE 2 - SAE by Pathogen'!N3</f>
        <v>(0.0%)</v>
      </c>
      <c r="G3" s="391">
        <v>730500</v>
      </c>
      <c r="H3" s="392">
        <f>409/229000</f>
        <v>1.7860262008733625E-3</v>
      </c>
      <c r="J3" s="14" t="s">
        <v>18951</v>
      </c>
      <c r="M3" s="391" t="s">
        <v>18952</v>
      </c>
      <c r="N3" s="391" t="s">
        <v>18953</v>
      </c>
      <c r="O3" s="391">
        <v>68.400000000000006</v>
      </c>
      <c r="P3" s="391"/>
      <c r="Q3" s="391"/>
      <c r="R3" s="391"/>
      <c r="S3" s="391"/>
      <c r="T3" s="391"/>
      <c r="V3" s="391"/>
      <c r="W3" s="391"/>
    </row>
    <row r="4" spans="1:23">
      <c r="A4" s="45" t="str">
        <f ca="1">'TABLE 2 - SAE by Pathogen'!I4</f>
        <v>Plasmodium Spp.</v>
      </c>
      <c r="B4" s="45">
        <f ca="1">'TABLE 2 - SAE by Pathogen'!J4</f>
        <v>79</v>
      </c>
      <c r="C4" s="45">
        <f ca="1">'TABLE 2 - SAE by Pathogen'!K4</f>
        <v>1732</v>
      </c>
      <c r="D4" s="45">
        <f ca="1">'TABLE 2 - SAE by Pathogen'!L4</f>
        <v>1326</v>
      </c>
      <c r="E4" s="45">
        <f ca="1">'TABLE 2 - SAE by Pathogen'!M4</f>
        <v>7</v>
      </c>
      <c r="F4" s="45" t="str">
        <f ca="1">'TABLE 2 - SAE by Pathogen'!N4</f>
        <v>(0.5%)</v>
      </c>
      <c r="G4" s="391">
        <v>1517.4</v>
      </c>
      <c r="H4" s="392">
        <f>2377697/7700000000</f>
        <v>3.0879181818181819E-4</v>
      </c>
      <c r="I4" s="28" t="s">
        <v>18954</v>
      </c>
      <c r="J4" s="14" t="s">
        <v>18955</v>
      </c>
      <c r="M4" s="391" t="s">
        <v>18956</v>
      </c>
      <c r="N4" s="391" t="s">
        <v>18957</v>
      </c>
      <c r="O4" s="391">
        <v>90.3</v>
      </c>
      <c r="P4" s="391"/>
      <c r="Q4" s="391"/>
      <c r="R4" s="391"/>
      <c r="S4" s="391"/>
      <c r="T4" s="391"/>
      <c r="V4" s="391"/>
      <c r="W4" s="391"/>
    </row>
    <row r="5" spans="1:23">
      <c r="A5" s="45" t="str">
        <f ca="1">'TABLE 2 - SAE by Pathogen'!I5</f>
        <v>Respiratory Syncytial Virus</v>
      </c>
      <c r="B5" s="45">
        <f ca="1">'TABLE 2 - SAE by Pathogen'!J5</f>
        <v>9</v>
      </c>
      <c r="C5" s="45">
        <f ca="1">'TABLE 2 - SAE by Pathogen'!K5</f>
        <v>502</v>
      </c>
      <c r="D5" s="45">
        <f ca="1">'TABLE 2 - SAE by Pathogen'!L5</f>
        <v>332</v>
      </c>
      <c r="E5" s="45">
        <f ca="1">'TABLE 2 - SAE by Pathogen'!M5</f>
        <v>1</v>
      </c>
      <c r="F5" s="45" t="str">
        <f ca="1">'TABLE 2 - SAE by Pathogen'!N5</f>
        <v>(0.3%)</v>
      </c>
      <c r="G5" s="391">
        <v>29700</v>
      </c>
      <c r="H5" s="392">
        <f>200/685000</f>
        <v>2.9197080291970805E-4</v>
      </c>
      <c r="I5" s="393" t="s">
        <v>18958</v>
      </c>
      <c r="J5" s="14" t="s">
        <v>18959</v>
      </c>
      <c r="M5" s="391" t="s">
        <v>18960</v>
      </c>
      <c r="N5" s="391" t="s">
        <v>18961</v>
      </c>
      <c r="O5" s="391">
        <v>164.3</v>
      </c>
      <c r="P5" s="391"/>
      <c r="Q5" s="391"/>
      <c r="R5" s="391"/>
      <c r="S5" s="391"/>
      <c r="T5" s="391"/>
      <c r="V5" s="391"/>
      <c r="W5" s="391"/>
    </row>
    <row r="6" spans="1:23">
      <c r="A6" s="45" t="str">
        <f ca="1">'TABLE 2 - SAE by Pathogen'!I6</f>
        <v>Necator Americanus</v>
      </c>
      <c r="B6" s="45">
        <f ca="1">'TABLE 2 - SAE by Pathogen'!J6</f>
        <v>6</v>
      </c>
      <c r="C6" s="45">
        <f ca="1">'TABLE 2 - SAE by Pathogen'!K6</f>
        <v>86</v>
      </c>
      <c r="D6" s="45">
        <f ca="1">'TABLE 2 - SAE by Pathogen'!L6</f>
        <v>58</v>
      </c>
      <c r="E6" s="45">
        <f ca="1">'TABLE 2 - SAE by Pathogen'!M6</f>
        <v>0</v>
      </c>
      <c r="F6" s="45" t="str">
        <f ca="1">'TABLE 2 - SAE by Pathogen'!N6</f>
        <v>(0.0%)</v>
      </c>
      <c r="G6" s="391">
        <v>164300</v>
      </c>
      <c r="H6" s="394">
        <v>0.05</v>
      </c>
      <c r="I6" s="395" t="s">
        <v>18962</v>
      </c>
      <c r="J6" s="14" t="s">
        <v>18963</v>
      </c>
      <c r="M6" s="391" t="s">
        <v>18964</v>
      </c>
      <c r="N6" s="391" t="s">
        <v>18965</v>
      </c>
      <c r="O6" s="391">
        <v>12</v>
      </c>
      <c r="P6" s="391"/>
      <c r="Q6" s="391"/>
      <c r="R6" s="391"/>
      <c r="S6" s="391"/>
      <c r="T6" s="391"/>
      <c r="V6" s="391"/>
      <c r="W6" s="391"/>
    </row>
    <row r="7" spans="1:23">
      <c r="A7" s="45" t="str">
        <f ca="1">'TABLE 2 - SAE by Pathogen'!I7</f>
        <v>Schistosoma Mansoni</v>
      </c>
      <c r="B7" s="45">
        <f ca="1">'TABLE 2 - SAE by Pathogen'!J7</f>
        <v>1</v>
      </c>
      <c r="C7" s="45">
        <f ca="1">'TABLE 2 - SAE by Pathogen'!K7</f>
        <v>17</v>
      </c>
      <c r="D7" s="45">
        <f ca="1">'TABLE 2 - SAE by Pathogen'!L7</f>
        <v>17</v>
      </c>
      <c r="E7" s="45">
        <f ca="1">'TABLE 2 - SAE by Pathogen'!M7</f>
        <v>0</v>
      </c>
      <c r="F7" s="45" t="str">
        <f ca="1">'TABLE 2 - SAE by Pathogen'!N7</f>
        <v>(0.0%)</v>
      </c>
      <c r="G7" s="391">
        <v>74000</v>
      </c>
      <c r="H7" s="392">
        <f>30/60000</f>
        <v>5.0000000000000001E-4</v>
      </c>
      <c r="I7" s="28" t="s">
        <v>18966</v>
      </c>
      <c r="J7" s="14" t="s">
        <v>18967</v>
      </c>
      <c r="M7" s="391" t="s">
        <v>18968</v>
      </c>
      <c r="N7" s="391" t="s">
        <v>18969</v>
      </c>
      <c r="O7" s="391">
        <v>74.099999999999994</v>
      </c>
      <c r="P7" s="391"/>
      <c r="Q7" s="391"/>
      <c r="R7" s="391"/>
      <c r="S7" s="391"/>
      <c r="T7" s="391"/>
      <c r="V7" s="391"/>
      <c r="W7" s="391"/>
    </row>
    <row r="8" spans="1:23">
      <c r="A8" s="45" t="str">
        <f ca="1">'TABLE 2 - SAE by Pathogen'!I8</f>
        <v>Rhinovirus</v>
      </c>
      <c r="B8" s="45">
        <f ca="1">'TABLE 2 - SAE by Pathogen'!J8</f>
        <v>43</v>
      </c>
      <c r="C8" s="45">
        <f ca="1">'TABLE 2 - SAE by Pathogen'!K8</f>
        <v>4332</v>
      </c>
      <c r="D8" s="45">
        <f ca="1">'TABLE 2 - SAE by Pathogen'!L8</f>
        <v>3285</v>
      </c>
      <c r="E8" s="45">
        <f ca="1">'TABLE 2 - SAE by Pathogen'!M8</f>
        <v>0</v>
      </c>
      <c r="F8" s="45" t="str">
        <f ca="1">'TABLE 2 - SAE by Pathogen'!N8</f>
        <v>(0.0%)</v>
      </c>
      <c r="G8" s="391"/>
      <c r="H8" s="396">
        <f>30/142000</f>
        <v>2.1126760563380283E-4</v>
      </c>
      <c r="I8" s="28" t="s">
        <v>18970</v>
      </c>
      <c r="J8" s="14" t="s">
        <v>18971</v>
      </c>
      <c r="M8" s="391" t="s">
        <v>18972</v>
      </c>
      <c r="N8" s="391" t="s">
        <v>18973</v>
      </c>
      <c r="O8" s="391">
        <v>37.5</v>
      </c>
      <c r="P8" s="391"/>
      <c r="Q8" s="391"/>
      <c r="R8" s="391"/>
      <c r="S8" s="391"/>
      <c r="T8" s="391"/>
      <c r="V8" s="391"/>
      <c r="W8" s="391"/>
    </row>
    <row r="9" spans="1:23">
      <c r="A9" s="45" t="str">
        <f ca="1">'TABLE 2 - SAE by Pathogen'!I9</f>
        <v>Influenza Viruses</v>
      </c>
      <c r="B9" s="45">
        <f ca="1">'TABLE 2 - SAE by Pathogen'!J9</f>
        <v>47</v>
      </c>
      <c r="C9" s="45">
        <f ca="1">'TABLE 2 - SAE by Pathogen'!K9</f>
        <v>3568</v>
      </c>
      <c r="D9" s="45">
        <f ca="1">'TABLE 2 - SAE by Pathogen'!L9</f>
        <v>2240</v>
      </c>
      <c r="E9" s="45">
        <f ca="1">'TABLE 2 - SAE by Pathogen'!M9</f>
        <v>1</v>
      </c>
      <c r="F9" s="45" t="str">
        <f ca="1">'TABLE 2 - SAE by Pathogen'!N9</f>
        <v>(0.0%)</v>
      </c>
      <c r="G9" s="391"/>
      <c r="I9" s="28" t="s">
        <v>18974</v>
      </c>
      <c r="J9" s="14" t="s">
        <v>18975</v>
      </c>
      <c r="M9" s="391" t="s">
        <v>18976</v>
      </c>
      <c r="N9" s="391" t="s">
        <v>18977</v>
      </c>
      <c r="O9" s="391">
        <v>67.900000000000006</v>
      </c>
      <c r="P9" s="391"/>
      <c r="Q9" s="391"/>
      <c r="R9" s="391"/>
      <c r="S9" s="391"/>
      <c r="T9" s="391"/>
      <c r="V9" s="391"/>
      <c r="W9" s="391"/>
    </row>
    <row r="10" spans="1:23">
      <c r="A10" s="45" t="str">
        <f ca="1">'TABLE 2 - SAE by Pathogen'!I10</f>
        <v>Bcg</v>
      </c>
      <c r="B10" s="45">
        <f ca="1">'TABLE 2 - SAE by Pathogen'!J10</f>
        <v>3</v>
      </c>
      <c r="C10" s="45">
        <f ca="1">'TABLE 2 - SAE by Pathogen'!K10</f>
        <v>128</v>
      </c>
      <c r="D10" s="45">
        <f ca="1">'TABLE 2 - SAE by Pathogen'!L10</f>
        <v>88</v>
      </c>
      <c r="E10" s="45">
        <f ca="1">'TABLE 2 - SAE by Pathogen'!M10</f>
        <v>0</v>
      </c>
      <c r="F10" s="45" t="str">
        <f ca="1">'TABLE 2 - SAE by Pathogen'!N10</f>
        <v>(0.0%)</v>
      </c>
      <c r="G10" s="391">
        <v>82000</v>
      </c>
      <c r="J10" s="14" t="s">
        <v>18978</v>
      </c>
      <c r="M10" s="391" t="s">
        <v>18979</v>
      </c>
      <c r="N10" s="391" t="s">
        <v>18980</v>
      </c>
      <c r="O10" s="391">
        <v>64.8</v>
      </c>
      <c r="P10" s="391"/>
      <c r="Q10" s="391"/>
      <c r="R10" s="391"/>
      <c r="S10" s="391"/>
      <c r="T10" s="391"/>
      <c r="V10" s="391"/>
      <c r="W10" s="391"/>
    </row>
    <row r="11" spans="1:23">
      <c r="A11" s="45" t="str">
        <f ca="1">'TABLE 2 - SAE by Pathogen'!I11</f>
        <v>Streptococcus Pneumoniae</v>
      </c>
      <c r="B11" s="45">
        <f ca="1">'TABLE 2 - SAE by Pathogen'!J11</f>
        <v>10</v>
      </c>
      <c r="C11" s="45">
        <f ca="1">'TABLE 2 - SAE by Pathogen'!K11</f>
        <v>936</v>
      </c>
      <c r="D11" s="45">
        <f ca="1">'TABLE 2 - SAE by Pathogen'!L11</f>
        <v>330</v>
      </c>
      <c r="E11" s="45">
        <f ca="1">'TABLE 2 - SAE by Pathogen'!M11</f>
        <v>0</v>
      </c>
      <c r="F11" s="45" t="str">
        <f ca="1">'TABLE 2 - SAE by Pathogen'!N11</f>
        <v>(0.0%)</v>
      </c>
      <c r="G11" s="391"/>
      <c r="M11" s="391" t="s">
        <v>18981</v>
      </c>
      <c r="N11" s="391" t="s">
        <v>18982</v>
      </c>
      <c r="O11" s="391">
        <v>199.2</v>
      </c>
      <c r="P11" s="391"/>
      <c r="Q11" s="391"/>
      <c r="R11" s="391"/>
      <c r="S11" s="391"/>
      <c r="T11" s="391"/>
      <c r="V11" s="391"/>
      <c r="W11" s="391"/>
    </row>
    <row r="12" spans="1:23">
      <c r="A12" s="45" t="str">
        <f ca="1">'TABLE 2 - SAE by Pathogen'!I12</f>
        <v>Norovirus</v>
      </c>
      <c r="B12" s="45">
        <f ca="1">'TABLE 2 - SAE by Pathogen'!J12</f>
        <v>6</v>
      </c>
      <c r="C12" s="45">
        <f ca="1">'TABLE 2 - SAE by Pathogen'!K12</f>
        <v>293</v>
      </c>
      <c r="D12" s="45">
        <f ca="1">'TABLE 2 - SAE by Pathogen'!L12</f>
        <v>150</v>
      </c>
      <c r="E12" s="45">
        <f ca="1">'TABLE 2 - SAE by Pathogen'!M12</f>
        <v>4</v>
      </c>
      <c r="F12" s="45" t="str">
        <f ca="1">'TABLE 2 - SAE by Pathogen'!N12</f>
        <v>(2.7%)</v>
      </c>
      <c r="G12" s="391">
        <v>83100</v>
      </c>
      <c r="H12" s="392">
        <f>650000/7700000000</f>
        <v>8.4415584415584418E-5</v>
      </c>
      <c r="M12" s="391" t="s">
        <v>18983</v>
      </c>
      <c r="N12" s="391" t="s">
        <v>18984</v>
      </c>
      <c r="O12" s="391">
        <v>56.8</v>
      </c>
      <c r="P12" s="391"/>
      <c r="Q12" s="391"/>
      <c r="R12" s="391"/>
      <c r="S12" s="391"/>
      <c r="T12" s="391"/>
      <c r="V12" s="391"/>
      <c r="W12" s="391"/>
    </row>
    <row r="13" spans="1:23">
      <c r="A13" s="45" t="str">
        <f ca="1">'TABLE 2 - SAE by Pathogen'!I13</f>
        <v>Shigella Spp.</v>
      </c>
      <c r="B13" s="45">
        <f ca="1">'TABLE 2 - SAE by Pathogen'!J13</f>
        <v>15</v>
      </c>
      <c r="C13" s="45">
        <f ca="1">'TABLE 2 - SAE by Pathogen'!K13</f>
        <v>714</v>
      </c>
      <c r="D13" s="45">
        <f ca="1">'TABLE 2 - SAE by Pathogen'!L13</f>
        <v>387</v>
      </c>
      <c r="E13" s="45">
        <f ca="1">'TABLE 2 - SAE by Pathogen'!M13</f>
        <v>2</v>
      </c>
      <c r="F13" s="45" t="str">
        <f ca="1">'TABLE 2 - SAE by Pathogen'!N13</f>
        <v>(0.5%)</v>
      </c>
      <c r="G13" s="391"/>
      <c r="H13" s="397">
        <v>0</v>
      </c>
      <c r="M13" s="391" t="s">
        <v>18985</v>
      </c>
      <c r="N13" s="391" t="s">
        <v>18986</v>
      </c>
      <c r="O13" s="391">
        <v>9.4</v>
      </c>
      <c r="P13" s="391"/>
      <c r="Q13" s="391"/>
      <c r="R13" s="391"/>
      <c r="S13" s="391"/>
      <c r="T13" s="391"/>
      <c r="V13" s="391"/>
      <c r="W13" s="391"/>
    </row>
    <row r="14" spans="1:23">
      <c r="A14" s="45" t="str">
        <f ca="1">'TABLE 2 - SAE by Pathogen'!I14</f>
        <v>Escherichia Coli</v>
      </c>
      <c r="B14" s="45">
        <f ca="1">'TABLE 2 - SAE by Pathogen'!J14</f>
        <v>21</v>
      </c>
      <c r="C14" s="45">
        <f ca="1">'TABLE 2 - SAE by Pathogen'!K14</f>
        <v>599</v>
      </c>
      <c r="D14" s="45">
        <f ca="1">'TABLE 2 - SAE by Pathogen'!L14</f>
        <v>428</v>
      </c>
      <c r="E14" s="45">
        <f ca="1">'TABLE 2 - SAE by Pathogen'!M14</f>
        <v>6</v>
      </c>
      <c r="F14" s="45" t="str">
        <f ca="1">'TABLE 2 - SAE by Pathogen'!N14</f>
        <v>(1.4%)</v>
      </c>
      <c r="G14" s="391"/>
      <c r="H14" s="397">
        <v>0</v>
      </c>
      <c r="M14" s="391" t="s">
        <v>552</v>
      </c>
      <c r="N14" s="391" t="s">
        <v>18987</v>
      </c>
      <c r="O14" s="391">
        <v>29.7</v>
      </c>
      <c r="P14" s="391"/>
      <c r="Q14" s="391"/>
      <c r="R14" s="391"/>
      <c r="S14" s="391"/>
      <c r="T14" s="391"/>
      <c r="V14" s="391"/>
      <c r="W14" s="391"/>
    </row>
    <row r="15" spans="1:23">
      <c r="A15" s="45" t="str">
        <f ca="1">'TABLE 2 - SAE by Pathogen'!I15</f>
        <v>Salmonella Spp.</v>
      </c>
      <c r="B15" s="45">
        <f ca="1">'TABLE 2 - SAE by Pathogen'!J15</f>
        <v>8</v>
      </c>
      <c r="C15" s="45">
        <f ca="1">'TABLE 2 - SAE by Pathogen'!K15</f>
        <v>449</v>
      </c>
      <c r="D15" s="45">
        <f ca="1">'TABLE 2 - SAE by Pathogen'!L15</f>
        <v>232</v>
      </c>
      <c r="E15" s="45">
        <f ca="1">'TABLE 2 - SAE by Pathogen'!M15</f>
        <v>3</v>
      </c>
      <c r="F15" s="45" t="str">
        <f ca="1">'TABLE 2 - SAE by Pathogen'!N15</f>
        <v>(1.3%)</v>
      </c>
      <c r="G15" s="391"/>
      <c r="M15" s="391" t="s">
        <v>18988</v>
      </c>
      <c r="N15" s="391" t="s">
        <v>18989</v>
      </c>
      <c r="O15" s="391">
        <v>70.2</v>
      </c>
      <c r="P15" s="391"/>
      <c r="Q15" s="391"/>
      <c r="R15" s="391"/>
      <c r="S15" s="391"/>
      <c r="T15" s="391"/>
      <c r="V15" s="391"/>
      <c r="W15" s="391"/>
    </row>
    <row r="16" spans="1:23">
      <c r="A16" s="45" t="str">
        <f ca="1">'TABLE 2 - SAE by Pathogen'!I16</f>
        <v>Bordetella Pertussis</v>
      </c>
      <c r="B16" s="45">
        <f ca="1">'TABLE 2 - SAE by Pathogen'!J16</f>
        <v>1</v>
      </c>
      <c r="C16" s="45">
        <f ca="1">'TABLE 2 - SAE by Pathogen'!K16</f>
        <v>34</v>
      </c>
      <c r="D16" s="45">
        <f ca="1">'TABLE 2 - SAE by Pathogen'!L16</f>
        <v>19</v>
      </c>
      <c r="E16" s="45">
        <f ca="1">'TABLE 2 - SAE by Pathogen'!M16</f>
        <v>0</v>
      </c>
      <c r="F16" s="45" t="str">
        <f ca="1">'TABLE 2 - SAE by Pathogen'!N16</f>
        <v>(0.0%)</v>
      </c>
      <c r="G16" s="391">
        <v>12000</v>
      </c>
      <c r="M16" s="391" t="s">
        <v>14794</v>
      </c>
      <c r="N16" s="391" t="s">
        <v>18990</v>
      </c>
      <c r="O16" s="391">
        <v>83.1</v>
      </c>
      <c r="P16" s="391"/>
      <c r="Q16" s="391"/>
      <c r="R16" s="391"/>
      <c r="S16" s="391"/>
      <c r="T16" s="391"/>
      <c r="V16" s="391"/>
      <c r="W16" s="391"/>
    </row>
    <row r="17" spans="1:23">
      <c r="A17" s="45" t="str">
        <f ca="1">'TABLE 2 - SAE by Pathogen'!I17</f>
        <v>Haemophilus Ducreyi</v>
      </c>
      <c r="B17" s="45">
        <f ca="1">'TABLE 2 - SAE by Pathogen'!J17</f>
        <v>31</v>
      </c>
      <c r="C17" s="45">
        <f ca="1">'TABLE 2 - SAE by Pathogen'!K17</f>
        <v>272</v>
      </c>
      <c r="D17" s="45">
        <f ca="1">'TABLE 2 - SAE by Pathogen'!L17</f>
        <v>207</v>
      </c>
      <c r="E17" s="45">
        <f ca="1">'TABLE 2 - SAE by Pathogen'!M17</f>
        <v>0</v>
      </c>
      <c r="F17" s="45" t="str">
        <f ca="1">'TABLE 2 - SAE by Pathogen'!N17</f>
        <v>(0.0%)</v>
      </c>
      <c r="G17" s="391" t="s">
        <v>18991</v>
      </c>
      <c r="M17" s="391" t="s">
        <v>18992</v>
      </c>
      <c r="N17" s="391" t="s">
        <v>18993</v>
      </c>
      <c r="O17" s="391">
        <v>1517.4</v>
      </c>
      <c r="P17" s="391"/>
      <c r="Q17" s="391"/>
      <c r="R17" s="391"/>
      <c r="S17" s="391"/>
      <c r="T17" s="391"/>
      <c r="V17" s="391"/>
      <c r="W17" s="391"/>
    </row>
    <row r="18" spans="1:23">
      <c r="A18" s="45" t="str">
        <f ca="1">'TABLE 2 - SAE by Pathogen'!I18</f>
        <v>Parvovirus</v>
      </c>
      <c r="B18" s="45">
        <f ca="1">'TABLE 2 - SAE by Pathogen'!J18</f>
        <v>1</v>
      </c>
      <c r="C18" s="45">
        <f ca="1">'TABLE 2 - SAE by Pathogen'!K18</f>
        <v>9</v>
      </c>
      <c r="D18" s="45">
        <f ca="1">'TABLE 2 - SAE by Pathogen'!L18</f>
        <v>5</v>
      </c>
      <c r="E18" s="45">
        <f ca="1">'TABLE 2 - SAE by Pathogen'!M18</f>
        <v>0</v>
      </c>
      <c r="F18" s="45" t="str">
        <f ca="1">'TABLE 2 - SAE by Pathogen'!N18</f>
        <v>(0.0%)</v>
      </c>
      <c r="G18" s="391"/>
      <c r="M18" s="391" t="s">
        <v>18994</v>
      </c>
      <c r="N18" s="391" t="s">
        <v>18995</v>
      </c>
      <c r="O18" s="391">
        <v>58.7</v>
      </c>
      <c r="P18" s="391"/>
      <c r="Q18" s="391"/>
      <c r="R18" s="391"/>
      <c r="S18" s="391"/>
      <c r="T18" s="391"/>
      <c r="V18" s="391"/>
      <c r="W18" s="391"/>
    </row>
    <row r="19" spans="1:23">
      <c r="A19" s="45" t="str">
        <f ca="1">'TABLE 2 - SAE by Pathogen'!I19</f>
        <v>Parainfluenza</v>
      </c>
      <c r="B19" s="45">
        <f ca="1">'TABLE 2 - SAE by Pathogen'!J19</f>
        <v>1</v>
      </c>
      <c r="C19" s="45">
        <f ca="1">'TABLE 2 - SAE by Pathogen'!K19</f>
        <v>83</v>
      </c>
      <c r="D19" s="45">
        <f ca="1">'TABLE 2 - SAE by Pathogen'!L19</f>
        <v>34</v>
      </c>
      <c r="E19" s="45">
        <f ca="1">'TABLE 2 - SAE by Pathogen'!M19</f>
        <v>0</v>
      </c>
      <c r="F19" s="45" t="str">
        <f ca="1">'TABLE 2 - SAE by Pathogen'!N19</f>
        <v>(0.0%)</v>
      </c>
      <c r="G19" s="398" t="s">
        <v>18996</v>
      </c>
      <c r="H19" s="28" t="s">
        <v>18997</v>
      </c>
      <c r="M19" s="391" t="s">
        <v>359</v>
      </c>
      <c r="N19" s="391" t="s">
        <v>18998</v>
      </c>
      <c r="O19" s="391">
        <v>82</v>
      </c>
      <c r="P19" s="391"/>
      <c r="Q19" s="391"/>
      <c r="R19" s="391"/>
      <c r="S19" s="391"/>
      <c r="T19" s="391"/>
      <c r="V19" s="391"/>
      <c r="W19" s="391"/>
    </row>
    <row r="20" spans="1:23">
      <c r="A20" s="45" t="str">
        <f ca="1">'TABLE 2 - SAE by Pathogen'!I20</f>
        <v>Trachoma Virus</v>
      </c>
      <c r="B20" s="45">
        <f ca="1">'TABLE 2 - SAE by Pathogen'!J20</f>
        <v>0</v>
      </c>
      <c r="C20" s="45">
        <f ca="1">'TABLE 2 - SAE by Pathogen'!K20</f>
        <v>0</v>
      </c>
      <c r="D20" s="45">
        <f ca="1">'TABLE 2 - SAE by Pathogen'!L20</f>
        <v>0</v>
      </c>
      <c r="E20" s="45">
        <f ca="1">'TABLE 2 - SAE by Pathogen'!M20</f>
        <v>0</v>
      </c>
      <c r="F20" s="45" t="str">
        <f ca="1">'TABLE 2 - SAE by Pathogen'!N20</f>
        <v>N/A</v>
      </c>
      <c r="G20" s="391"/>
      <c r="M20" s="28" t="s">
        <v>18999</v>
      </c>
      <c r="N20" s="281" t="s">
        <v>19000</v>
      </c>
      <c r="O20" s="28">
        <v>841</v>
      </c>
      <c r="P20" s="28" t="s">
        <v>19001</v>
      </c>
    </row>
    <row r="21" spans="1:23">
      <c r="A21" s="45" t="str">
        <f ca="1">'TABLE 2 - SAE by Pathogen'!I21</f>
        <v>Dengue Virus</v>
      </c>
      <c r="B21" s="45">
        <f ca="1">'TABLE 2 - SAE by Pathogen'!J21</f>
        <v>3</v>
      </c>
      <c r="C21" s="45">
        <f ca="1">'TABLE 2 - SAE by Pathogen'!K21</f>
        <v>104</v>
      </c>
      <c r="D21" s="45">
        <f ca="1">'TABLE 2 - SAE by Pathogen'!L21</f>
        <v>70</v>
      </c>
      <c r="E21" s="45">
        <f ca="1">'TABLE 2 - SAE by Pathogen'!M21</f>
        <v>0</v>
      </c>
      <c r="F21" s="45" t="str">
        <f ca="1">'TABLE 2 - SAE by Pathogen'!N21</f>
        <v>(0.0%)</v>
      </c>
      <c r="G21" s="391"/>
      <c r="M21" s="399" t="s">
        <v>19002</v>
      </c>
      <c r="N21" s="399" t="s">
        <v>19003</v>
      </c>
      <c r="O21" s="399" t="s">
        <v>19003</v>
      </c>
    </row>
    <row r="22" spans="1:23">
      <c r="A22" s="45" t="str">
        <f ca="1">'TABLE 2 - SAE by Pathogen'!I22</f>
        <v>Cryptosporidium Spp.</v>
      </c>
      <c r="B22" s="45">
        <f ca="1">'TABLE 2 - SAE by Pathogen'!J22</f>
        <v>3</v>
      </c>
      <c r="C22" s="45">
        <f ca="1">'TABLE 2 - SAE by Pathogen'!K22</f>
        <v>79</v>
      </c>
      <c r="D22" s="45">
        <f ca="1">'TABLE 2 - SAE by Pathogen'!L22</f>
        <v>45</v>
      </c>
      <c r="E22" s="45">
        <f ca="1">'TABLE 2 - SAE by Pathogen'!M22</f>
        <v>0</v>
      </c>
      <c r="F22" s="45" t="str">
        <f ca="1">'TABLE 2 - SAE by Pathogen'!N22</f>
        <v>(0.0%)</v>
      </c>
      <c r="M22" s="399"/>
      <c r="N22" s="399"/>
      <c r="O22" s="399"/>
    </row>
    <row r="23" spans="1:23">
      <c r="A23" s="45" t="str">
        <f>'TABLE 2 - SAE by Pathogen'!I34</f>
        <v>Total</v>
      </c>
      <c r="B23" s="45">
        <f ca="1">'TABLE 2 - SAE by Pathogen'!J34</f>
        <v>308</v>
      </c>
      <c r="C23" s="45">
        <f ca="1">'TABLE 2 - SAE by Pathogen'!K34</f>
        <v>15046</v>
      </c>
      <c r="D23" s="45">
        <f ca="1">'TABLE 2 - SAE by Pathogen'!L34</f>
        <v>9946</v>
      </c>
      <c r="E23" s="45">
        <f ca="1">'TABLE 2 - SAE by Pathogen'!M34</f>
        <v>24</v>
      </c>
      <c r="F23" s="45" t="str">
        <f ca="1">'TABLE 2 - SAE by Pathogen'!N34</f>
        <v>(0.2%)</v>
      </c>
    </row>
    <row r="24" spans="1:23">
      <c r="A24" s="45" t="str">
        <f ca="1">'TABLE 2 - SAE by Pathogen'!I24</f>
        <v>Coxsackievirus A21</v>
      </c>
      <c r="B24" s="45">
        <f ca="1">'TABLE 2 - SAE by Pathogen'!J24</f>
        <v>1</v>
      </c>
      <c r="C24" s="45">
        <f ca="1">'TABLE 2 - SAE by Pathogen'!K24</f>
        <v>31</v>
      </c>
      <c r="D24" s="45">
        <f ca="1">'TABLE 2 - SAE by Pathogen'!L24</f>
        <v>29</v>
      </c>
      <c r="E24" s="45">
        <f ca="1">'TABLE 2 - SAE by Pathogen'!M24</f>
        <v>0</v>
      </c>
      <c r="F24" s="45" t="str">
        <f ca="1">'TABLE 2 - SAE by Pathogen'!N24</f>
        <v>(0.0%)</v>
      </c>
    </row>
    <row r="25" spans="1:23">
      <c r="A25" s="45" t="str">
        <f ca="1">'TABLE 2 - SAE by Pathogen'!I25</f>
        <v>Campylobacter Jejuni</v>
      </c>
      <c r="B25" s="45">
        <f ca="1">'TABLE 2 - SAE by Pathogen'!J25</f>
        <v>5</v>
      </c>
      <c r="C25" s="45">
        <f ca="1">'TABLE 2 - SAE by Pathogen'!K25</f>
        <v>221</v>
      </c>
      <c r="D25" s="45">
        <f ca="1">'TABLE 2 - SAE by Pathogen'!L25</f>
        <v>196</v>
      </c>
      <c r="E25" s="45">
        <f ca="1">'TABLE 2 - SAE by Pathogen'!M25</f>
        <v>0</v>
      </c>
      <c r="F25" s="45" t="str">
        <f ca="1">'TABLE 2 - SAE by Pathogen'!N25</f>
        <v>(0.0%)</v>
      </c>
      <c r="M25" s="437" t="s">
        <v>19004</v>
      </c>
      <c r="N25" s="425"/>
      <c r="O25" s="425"/>
      <c r="P25" s="425"/>
      <c r="Q25" s="400" t="s">
        <v>19005</v>
      </c>
      <c r="S25" s="400"/>
      <c r="T25" s="400"/>
      <c r="U25" s="400"/>
      <c r="V25" s="400"/>
    </row>
    <row r="26" spans="1:23">
      <c r="A26" s="45" t="str">
        <f ca="1">'TABLE 2 - SAE by Pathogen'!I26</f>
        <v>Coronavirus</v>
      </c>
      <c r="B26" s="45">
        <f ca="1">'TABLE 2 - SAE by Pathogen'!J26</f>
        <v>1</v>
      </c>
      <c r="C26" s="45">
        <f ca="1">'TABLE 2 - SAE by Pathogen'!K26</f>
        <v>55</v>
      </c>
      <c r="D26" s="45">
        <f ca="1">'TABLE 2 - SAE by Pathogen'!L26</f>
        <v>50</v>
      </c>
      <c r="E26" s="45">
        <f ca="1">'TABLE 2 - SAE by Pathogen'!M26</f>
        <v>0</v>
      </c>
      <c r="F26" s="45" t="str">
        <f ca="1">'TABLE 2 - SAE by Pathogen'!N26</f>
        <v>(0.0%)</v>
      </c>
      <c r="M26" s="437" t="s">
        <v>19006</v>
      </c>
      <c r="N26" s="425"/>
      <c r="O26" s="425"/>
      <c r="P26" s="425"/>
      <c r="Q26" s="400" t="s">
        <v>19007</v>
      </c>
      <c r="S26" s="400"/>
      <c r="T26" s="400"/>
      <c r="U26" s="400"/>
      <c r="V26" s="400"/>
    </row>
    <row r="27" spans="1:23">
      <c r="A27" s="45" t="str">
        <f ca="1">'TABLE 2 - SAE by Pathogen'!I27</f>
        <v>Rickettsia Rickettsii</v>
      </c>
      <c r="B27" s="45">
        <f ca="1">'TABLE 2 - SAE by Pathogen'!J27</f>
        <v>1</v>
      </c>
      <c r="C27" s="45">
        <f ca="1">'TABLE 2 - SAE by Pathogen'!K27</f>
        <v>22</v>
      </c>
      <c r="D27" s="45">
        <f ca="1">'TABLE 2 - SAE by Pathogen'!L27</f>
        <v>18</v>
      </c>
      <c r="E27" s="45">
        <f ca="1">'TABLE 2 - SAE by Pathogen'!M27</f>
        <v>0</v>
      </c>
      <c r="F27" s="45" t="str">
        <f ca="1">'TABLE 2 - SAE by Pathogen'!N27</f>
        <v>(0.0%)</v>
      </c>
      <c r="M27" s="401"/>
      <c r="N27" s="438" t="s">
        <v>19008</v>
      </c>
      <c r="O27" s="425"/>
      <c r="P27" s="425"/>
      <c r="Q27" s="399" t="s">
        <v>19009</v>
      </c>
      <c r="S27" s="399"/>
      <c r="T27" s="399"/>
      <c r="U27" s="399"/>
      <c r="V27" s="399"/>
    </row>
    <row r="28" spans="1:23">
      <c r="A28" s="45" t="str">
        <f ca="1">'TABLE 2 - SAE by Pathogen'!I28</f>
        <v>Neisseria Lactamica</v>
      </c>
      <c r="B28" s="45">
        <f ca="1">'TABLE 2 - SAE by Pathogen'!J28</f>
        <v>2</v>
      </c>
      <c r="C28" s="45">
        <f ca="1">'TABLE 2 - SAE by Pathogen'!K28</f>
        <v>419</v>
      </c>
      <c r="D28" s="45">
        <f ca="1">'TABLE 2 - SAE by Pathogen'!L28</f>
        <v>141</v>
      </c>
      <c r="E28" s="45">
        <f ca="1">'TABLE 2 - SAE by Pathogen'!M28</f>
        <v>0</v>
      </c>
      <c r="F28" s="45" t="str">
        <f ca="1">'TABLE 2 - SAE by Pathogen'!N28</f>
        <v>(0.0%)</v>
      </c>
      <c r="M28" s="401"/>
      <c r="N28" s="401"/>
      <c r="O28" s="438" t="s">
        <v>19002</v>
      </c>
      <c r="P28" s="425"/>
      <c r="Q28" s="399" t="s">
        <v>19003</v>
      </c>
      <c r="S28" s="399"/>
      <c r="T28" s="399"/>
      <c r="U28" s="399"/>
      <c r="V28" s="399"/>
    </row>
    <row r="29" spans="1:23">
      <c r="M29" s="401"/>
      <c r="N29" s="401"/>
      <c r="O29" s="438" t="s">
        <v>19010</v>
      </c>
      <c r="P29" s="425"/>
      <c r="Q29" s="399" t="s">
        <v>19011</v>
      </c>
      <c r="S29" s="399"/>
      <c r="T29" s="399"/>
      <c r="U29" s="399"/>
      <c r="V29" s="399"/>
    </row>
    <row r="30" spans="1:23">
      <c r="A30" s="45" t="str">
        <f ca="1">'TABLE 2 - SAE by Pathogen'!I30</f>
        <v>Giardia Lamblia</v>
      </c>
      <c r="B30" s="45">
        <f ca="1">'TABLE 2 - SAE by Pathogen'!J30</f>
        <v>1</v>
      </c>
      <c r="C30" s="45">
        <f ca="1">'TABLE 2 - SAE by Pathogen'!K30</f>
        <v>19</v>
      </c>
      <c r="D30" s="45">
        <f ca="1">'TABLE 2 - SAE by Pathogen'!L30</f>
        <v>5</v>
      </c>
      <c r="E30" s="45">
        <f ca="1">'TABLE 2 - SAE by Pathogen'!M30</f>
        <v>0</v>
      </c>
      <c r="F30" s="45" t="str">
        <f ca="1">'TABLE 2 - SAE by Pathogen'!N30</f>
        <v>(0.0%)</v>
      </c>
      <c r="M30" s="401"/>
      <c r="N30" s="401"/>
      <c r="O30" s="401"/>
      <c r="P30" s="399" t="s">
        <v>19012</v>
      </c>
      <c r="Q30" s="399" t="s">
        <v>19013</v>
      </c>
      <c r="S30" s="399"/>
      <c r="T30" s="399"/>
      <c r="U30" s="399"/>
      <c r="V30" s="399"/>
    </row>
    <row r="31" spans="1:23">
      <c r="A31" s="45" t="str">
        <f ca="1">'TABLE 2 - SAE by Pathogen'!I31</f>
        <v>Haemophilus Influenzae</v>
      </c>
      <c r="B31" s="45">
        <f ca="1">'TABLE 2 - SAE by Pathogen'!J31</f>
        <v>1</v>
      </c>
      <c r="C31" s="45">
        <f ca="1">'TABLE 2 - SAE by Pathogen'!K31</f>
        <v>15</v>
      </c>
      <c r="D31" s="45">
        <f ca="1">'TABLE 2 - SAE by Pathogen'!L31</f>
        <v>9</v>
      </c>
      <c r="E31" s="45">
        <f ca="1">'TABLE 2 - SAE by Pathogen'!M31</f>
        <v>0</v>
      </c>
      <c r="F31" s="45" t="str">
        <f ca="1">'TABLE 2 - SAE by Pathogen'!N31</f>
        <v>(0.0%)</v>
      </c>
      <c r="M31" s="401"/>
      <c r="N31" s="401"/>
      <c r="O31" s="401"/>
      <c r="P31" s="399" t="s">
        <v>19014</v>
      </c>
      <c r="Q31" s="399" t="s">
        <v>19015</v>
      </c>
      <c r="S31" s="399"/>
      <c r="T31" s="399"/>
      <c r="U31" s="399"/>
      <c r="V31" s="399"/>
    </row>
    <row r="32" spans="1:23">
      <c r="A32" s="45" t="str">
        <f ca="1">'TABLE 2 - SAE by Pathogen'!I32</f>
        <v/>
      </c>
      <c r="B32" s="45">
        <f>'TABLE 2 - SAE by Pathogen'!J32</f>
        <v>0</v>
      </c>
      <c r="C32" s="45">
        <f>'TABLE 2 - SAE by Pathogen'!K32</f>
        <v>0</v>
      </c>
      <c r="D32" s="45">
        <f>'TABLE 2 - SAE by Pathogen'!L32</f>
        <v>0</v>
      </c>
      <c r="E32" s="45">
        <f>'TABLE 2 - SAE by Pathogen'!M32</f>
        <v>0</v>
      </c>
      <c r="F32" s="45">
        <f>'TABLE 2 - SAE by Pathogen'!N32</f>
        <v>0</v>
      </c>
      <c r="M32" s="437" t="s">
        <v>19016</v>
      </c>
      <c r="N32" s="425"/>
      <c r="O32" s="425"/>
      <c r="P32" s="425"/>
      <c r="Q32" s="400" t="s">
        <v>19017</v>
      </c>
      <c r="S32" s="400"/>
      <c r="T32" s="400"/>
      <c r="U32" s="400"/>
      <c r="V32" s="400"/>
    </row>
    <row r="33" spans="1:22">
      <c r="A33" s="45"/>
      <c r="B33" s="45"/>
      <c r="C33" s="45"/>
      <c r="D33" s="45"/>
      <c r="E33" s="45"/>
      <c r="F33" s="45"/>
      <c r="M33" s="401"/>
      <c r="N33" s="438" t="s">
        <v>19018</v>
      </c>
      <c r="O33" s="425"/>
      <c r="P33" s="425"/>
      <c r="Q33" s="399" t="s">
        <v>19019</v>
      </c>
      <c r="S33" s="399"/>
      <c r="T33" s="399"/>
      <c r="U33" s="399"/>
      <c r="V33" s="399"/>
    </row>
    <row r="34" spans="1:22">
      <c r="A34" s="45"/>
      <c r="B34" s="45"/>
      <c r="C34" s="45"/>
      <c r="D34" s="45"/>
      <c r="E34" s="45"/>
      <c r="F34" s="45"/>
      <c r="M34" s="401"/>
      <c r="N34" s="438" t="s">
        <v>19020</v>
      </c>
      <c r="O34" s="425"/>
      <c r="P34" s="425"/>
      <c r="Q34" s="399" t="s">
        <v>19021</v>
      </c>
      <c r="S34" s="399"/>
      <c r="T34" s="399"/>
      <c r="U34" s="399"/>
      <c r="V34" s="399"/>
    </row>
    <row r="35" spans="1:22">
      <c r="A35" s="45"/>
      <c r="B35" s="45"/>
      <c r="C35" s="45"/>
      <c r="D35" s="45"/>
      <c r="E35" s="45"/>
      <c r="F35" s="45"/>
      <c r="M35" s="401"/>
      <c r="N35" s="401"/>
      <c r="O35" s="438" t="s">
        <v>19022</v>
      </c>
      <c r="P35" s="425"/>
      <c r="Q35" s="399" t="s">
        <v>19023</v>
      </c>
      <c r="S35" s="399"/>
      <c r="T35" s="399"/>
      <c r="U35" s="399"/>
      <c r="V35" s="399"/>
    </row>
    <row r="36" spans="1:22">
      <c r="A36" s="45"/>
      <c r="B36" s="45"/>
      <c r="C36" s="45"/>
      <c r="D36" s="45"/>
      <c r="E36" s="45"/>
      <c r="F36" s="45"/>
      <c r="M36" s="401"/>
      <c r="N36" s="401"/>
      <c r="O36" s="438" t="s">
        <v>19024</v>
      </c>
      <c r="P36" s="425"/>
      <c r="Q36" s="399" t="s">
        <v>19025</v>
      </c>
      <c r="S36" s="399"/>
      <c r="T36" s="399"/>
      <c r="U36" s="399"/>
      <c r="V36" s="399"/>
    </row>
    <row r="37" spans="1:22">
      <c r="A37" s="45"/>
      <c r="B37" s="45"/>
      <c r="C37" s="45"/>
      <c r="D37" s="45"/>
      <c r="E37" s="45"/>
      <c r="F37" s="45"/>
      <c r="M37" s="401"/>
      <c r="N37" s="401"/>
      <c r="O37" s="438" t="s">
        <v>19026</v>
      </c>
      <c r="P37" s="425"/>
      <c r="Q37" s="399" t="s">
        <v>19027</v>
      </c>
      <c r="S37" s="399"/>
      <c r="T37" s="399"/>
      <c r="U37" s="399"/>
      <c r="V37" s="399"/>
    </row>
    <row r="38" spans="1:22">
      <c r="M38" s="401"/>
      <c r="N38" s="438" t="s">
        <v>19028</v>
      </c>
      <c r="O38" s="425"/>
      <c r="P38" s="425"/>
      <c r="Q38" s="399" t="s">
        <v>19029</v>
      </c>
      <c r="S38" s="399"/>
      <c r="T38" s="399"/>
      <c r="U38" s="399"/>
      <c r="V38" s="399"/>
    </row>
    <row r="39" spans="1:22">
      <c r="M39" s="401"/>
      <c r="N39" s="438" t="s">
        <v>19030</v>
      </c>
      <c r="O39" s="425"/>
      <c r="P39" s="425"/>
      <c r="Q39" s="399" t="s">
        <v>19031</v>
      </c>
      <c r="S39" s="399"/>
      <c r="T39" s="399"/>
      <c r="U39" s="399"/>
      <c r="V39" s="399"/>
    </row>
    <row r="40" spans="1:22">
      <c r="M40" s="401"/>
      <c r="N40" s="438" t="s">
        <v>19032</v>
      </c>
      <c r="O40" s="425"/>
      <c r="P40" s="425"/>
      <c r="Q40" s="399" t="s">
        <v>19033</v>
      </c>
      <c r="S40" s="399"/>
      <c r="T40" s="399"/>
      <c r="U40" s="399"/>
      <c r="V40" s="399"/>
    </row>
    <row r="41" spans="1:22">
      <c r="M41" s="401"/>
      <c r="N41" s="438" t="s">
        <v>19034</v>
      </c>
      <c r="O41" s="425"/>
      <c r="P41" s="425"/>
      <c r="Q41" s="399" t="s">
        <v>19035</v>
      </c>
      <c r="S41" s="399"/>
      <c r="T41" s="399"/>
      <c r="U41" s="399"/>
      <c r="V41" s="399"/>
    </row>
    <row r="42" spans="1:22">
      <c r="M42" s="401"/>
      <c r="N42" s="401"/>
      <c r="O42" s="438" t="s">
        <v>19036</v>
      </c>
      <c r="P42" s="425"/>
      <c r="Q42" s="399" t="s">
        <v>19037</v>
      </c>
      <c r="S42" s="399"/>
      <c r="T42" s="399"/>
      <c r="U42" s="399"/>
      <c r="V42" s="399"/>
    </row>
    <row r="43" spans="1:22">
      <c r="M43" s="401"/>
      <c r="N43" s="401"/>
      <c r="O43" s="438" t="s">
        <v>19038</v>
      </c>
      <c r="P43" s="425"/>
      <c r="Q43" s="399" t="s">
        <v>19039</v>
      </c>
      <c r="S43" s="399"/>
      <c r="T43" s="399"/>
      <c r="U43" s="399"/>
      <c r="V43" s="399"/>
    </row>
    <row r="44" spans="1:22">
      <c r="M44" s="401"/>
      <c r="N44" s="401"/>
      <c r="O44" s="438" t="s">
        <v>19040</v>
      </c>
      <c r="P44" s="425"/>
      <c r="Q44" s="399" t="s">
        <v>19041</v>
      </c>
      <c r="S44" s="399"/>
      <c r="T44" s="399"/>
      <c r="U44" s="399"/>
      <c r="V44" s="399"/>
    </row>
    <row r="45" spans="1:22">
      <c r="M45" s="401"/>
      <c r="N45" s="401"/>
      <c r="O45" s="438" t="s">
        <v>19042</v>
      </c>
      <c r="P45" s="425"/>
      <c r="Q45" s="399" t="s">
        <v>19043</v>
      </c>
      <c r="S45" s="399"/>
      <c r="T45" s="399"/>
      <c r="U45" s="399"/>
      <c r="V45" s="399"/>
    </row>
    <row r="46" spans="1:22">
      <c r="M46" s="401"/>
      <c r="N46" s="438" t="s">
        <v>19044</v>
      </c>
      <c r="O46" s="425"/>
      <c r="P46" s="425"/>
      <c r="Q46" s="399" t="s">
        <v>19045</v>
      </c>
      <c r="S46" s="399"/>
      <c r="T46" s="399"/>
      <c r="U46" s="399"/>
      <c r="V46" s="399"/>
    </row>
    <row r="47" spans="1:22">
      <c r="M47" s="401"/>
      <c r="N47" s="438" t="s">
        <v>19046</v>
      </c>
      <c r="O47" s="425"/>
      <c r="P47" s="425"/>
      <c r="Q47" s="399" t="s">
        <v>19047</v>
      </c>
      <c r="S47" s="399"/>
      <c r="T47" s="399"/>
      <c r="U47" s="399"/>
      <c r="V47" s="399"/>
    </row>
    <row r="48" spans="1:22">
      <c r="M48" s="401"/>
      <c r="N48" s="438" t="s">
        <v>19048</v>
      </c>
      <c r="O48" s="425"/>
      <c r="P48" s="425"/>
      <c r="Q48" s="399" t="s">
        <v>19049</v>
      </c>
      <c r="S48" s="399"/>
      <c r="T48" s="399"/>
      <c r="U48" s="399"/>
      <c r="V48" s="399"/>
    </row>
    <row r="49" spans="13:22">
      <c r="M49" s="401"/>
      <c r="N49" s="438" t="s">
        <v>19050</v>
      </c>
      <c r="O49" s="425"/>
      <c r="P49" s="425"/>
      <c r="Q49" s="399" t="s">
        <v>19051</v>
      </c>
      <c r="S49" s="399"/>
      <c r="T49" s="399"/>
      <c r="U49" s="399"/>
      <c r="V49" s="399"/>
    </row>
    <row r="50" spans="13:22">
      <c r="M50" s="401"/>
      <c r="N50" s="438" t="s">
        <v>19052</v>
      </c>
      <c r="O50" s="425"/>
      <c r="P50" s="425"/>
      <c r="Q50" s="399" t="s">
        <v>19053</v>
      </c>
      <c r="S50" s="399"/>
      <c r="T50" s="399"/>
      <c r="U50" s="399"/>
      <c r="V50" s="399"/>
    </row>
    <row r="51" spans="13:22">
      <c r="M51" s="401"/>
      <c r="N51" s="438" t="s">
        <v>19054</v>
      </c>
      <c r="O51" s="425"/>
      <c r="P51" s="425"/>
      <c r="Q51" s="399" t="s">
        <v>19055</v>
      </c>
      <c r="S51" s="399"/>
      <c r="T51" s="399"/>
      <c r="U51" s="399"/>
      <c r="V51" s="399"/>
    </row>
    <row r="52" spans="13:22">
      <c r="M52" s="437" t="s">
        <v>19056</v>
      </c>
      <c r="N52" s="425"/>
      <c r="O52" s="425"/>
      <c r="P52" s="425"/>
      <c r="Q52" s="400" t="s">
        <v>19057</v>
      </c>
      <c r="S52" s="400"/>
      <c r="T52" s="400"/>
      <c r="U52" s="400"/>
      <c r="V52" s="400"/>
    </row>
    <row r="53" spans="13:22">
      <c r="M53" s="401"/>
      <c r="N53" s="438" t="s">
        <v>19058</v>
      </c>
      <c r="O53" s="425"/>
      <c r="P53" s="425"/>
      <c r="Q53" s="399" t="s">
        <v>19059</v>
      </c>
      <c r="S53" s="399"/>
      <c r="T53" s="399"/>
      <c r="U53" s="399"/>
      <c r="V53" s="399"/>
    </row>
    <row r="54" spans="13:22">
      <c r="M54" s="401"/>
      <c r="N54" s="438" t="s">
        <v>19060</v>
      </c>
      <c r="O54" s="425"/>
      <c r="P54" s="425"/>
      <c r="Q54" s="399" t="s">
        <v>19061</v>
      </c>
      <c r="S54" s="399"/>
      <c r="T54" s="399"/>
      <c r="U54" s="399"/>
      <c r="V54" s="399"/>
    </row>
    <row r="55" spans="13:22">
      <c r="M55" s="401"/>
      <c r="N55" s="438" t="s">
        <v>19062</v>
      </c>
      <c r="O55" s="425"/>
      <c r="P55" s="425"/>
      <c r="Q55" s="399" t="s">
        <v>19063</v>
      </c>
      <c r="S55" s="399"/>
      <c r="T55" s="399"/>
      <c r="U55" s="399"/>
      <c r="V55" s="399"/>
    </row>
    <row r="56" spans="13:22">
      <c r="M56" s="401"/>
      <c r="N56" s="401"/>
      <c r="O56" s="438" t="s">
        <v>19064</v>
      </c>
      <c r="P56" s="425"/>
      <c r="Q56" s="399" t="s">
        <v>19063</v>
      </c>
      <c r="S56" s="399"/>
      <c r="T56" s="399"/>
      <c r="U56" s="399"/>
      <c r="V56" s="399"/>
    </row>
    <row r="57" spans="13:22">
      <c r="M57" s="401"/>
      <c r="N57" s="438" t="s">
        <v>19065</v>
      </c>
      <c r="O57" s="425"/>
      <c r="P57" s="425"/>
      <c r="Q57" s="399" t="s">
        <v>19066</v>
      </c>
      <c r="S57" s="399"/>
      <c r="T57" s="399"/>
      <c r="U57" s="399"/>
      <c r="V57" s="399"/>
    </row>
    <row r="58" spans="13:22">
      <c r="M58" s="401"/>
      <c r="N58" s="438" t="s">
        <v>19067</v>
      </c>
      <c r="O58" s="425"/>
      <c r="P58" s="425"/>
      <c r="Q58" s="399" t="s">
        <v>19068</v>
      </c>
      <c r="S58" s="399"/>
      <c r="T58" s="399"/>
      <c r="U58" s="399"/>
      <c r="V58" s="399"/>
    </row>
    <row r="59" spans="13:22">
      <c r="M59" s="401"/>
      <c r="N59" s="438" t="s">
        <v>19069</v>
      </c>
      <c r="O59" s="425"/>
      <c r="P59" s="425"/>
      <c r="Q59" s="399" t="s">
        <v>19070</v>
      </c>
      <c r="S59" s="399"/>
      <c r="T59" s="399"/>
      <c r="U59" s="399"/>
      <c r="V59" s="399"/>
    </row>
    <row r="60" spans="13:22">
      <c r="M60" s="401"/>
      <c r="N60" s="438" t="s">
        <v>19071</v>
      </c>
      <c r="O60" s="425"/>
      <c r="P60" s="425"/>
      <c r="Q60" s="399" t="s">
        <v>19072</v>
      </c>
      <c r="S60" s="399"/>
      <c r="T60" s="399"/>
      <c r="U60" s="399"/>
      <c r="V60" s="399"/>
    </row>
    <row r="61" spans="13:22">
      <c r="M61" s="401"/>
      <c r="N61" s="438" t="s">
        <v>19073</v>
      </c>
      <c r="O61" s="425"/>
      <c r="P61" s="425"/>
      <c r="Q61" s="399" t="s">
        <v>19074</v>
      </c>
      <c r="S61" s="399"/>
      <c r="T61" s="399"/>
      <c r="U61" s="399"/>
      <c r="V61" s="399"/>
    </row>
    <row r="62" spans="13:22">
      <c r="M62" s="401"/>
      <c r="N62" s="438" t="s">
        <v>19075</v>
      </c>
      <c r="O62" s="425"/>
      <c r="P62" s="425"/>
      <c r="Q62" s="399" t="s">
        <v>19076</v>
      </c>
      <c r="S62" s="399"/>
      <c r="T62" s="399"/>
      <c r="U62" s="399"/>
      <c r="V62" s="399"/>
    </row>
    <row r="63" spans="13:22">
      <c r="M63" s="401"/>
      <c r="N63" s="438" t="s">
        <v>19077</v>
      </c>
      <c r="O63" s="425"/>
      <c r="P63" s="425"/>
      <c r="Q63" s="399" t="s">
        <v>19078</v>
      </c>
      <c r="S63" s="399"/>
      <c r="T63" s="399"/>
      <c r="U63" s="399"/>
      <c r="V63" s="399"/>
    </row>
    <row r="64" spans="13:22">
      <c r="M64" s="401"/>
      <c r="N64" s="438" t="s">
        <v>19079</v>
      </c>
      <c r="O64" s="425"/>
      <c r="P64" s="425"/>
      <c r="Q64" s="399" t="s">
        <v>19080</v>
      </c>
      <c r="S64" s="399"/>
      <c r="T64" s="399"/>
      <c r="U64" s="399"/>
      <c r="V64" s="399"/>
    </row>
    <row r="65" spans="13:22">
      <c r="M65" s="401"/>
      <c r="N65" s="401"/>
      <c r="O65" s="438" t="s">
        <v>19081</v>
      </c>
      <c r="P65" s="425"/>
      <c r="Q65" s="399" t="s">
        <v>19080</v>
      </c>
      <c r="S65" s="399"/>
      <c r="T65" s="399"/>
      <c r="U65" s="399"/>
      <c r="V65" s="399"/>
    </row>
    <row r="66" spans="13:22">
      <c r="M66" s="401"/>
      <c r="N66" s="438" t="s">
        <v>19082</v>
      </c>
      <c r="O66" s="425"/>
      <c r="P66" s="425"/>
      <c r="Q66" s="399" t="s">
        <v>19083</v>
      </c>
      <c r="S66" s="399"/>
      <c r="T66" s="399"/>
      <c r="U66" s="399"/>
      <c r="V66" s="399"/>
    </row>
    <row r="67" spans="13:22">
      <c r="M67" s="401"/>
      <c r="N67" s="438" t="s">
        <v>19084</v>
      </c>
      <c r="O67" s="425"/>
      <c r="P67" s="425"/>
      <c r="Q67" s="399" t="s">
        <v>19085</v>
      </c>
      <c r="S67" s="399"/>
      <c r="T67" s="399"/>
      <c r="U67" s="399"/>
      <c r="V67" s="399"/>
    </row>
    <row r="68" spans="13:22">
      <c r="M68" s="437" t="s">
        <v>19086</v>
      </c>
      <c r="N68" s="425"/>
      <c r="O68" s="425"/>
      <c r="P68" s="425"/>
      <c r="Q68" s="400" t="s">
        <v>19087</v>
      </c>
      <c r="S68" s="400"/>
      <c r="T68" s="400"/>
      <c r="U68" s="400"/>
      <c r="V68" s="400"/>
    </row>
    <row r="69" spans="13:22">
      <c r="M69" s="401"/>
      <c r="N69" s="438" t="s">
        <v>19088</v>
      </c>
      <c r="O69" s="425"/>
      <c r="P69" s="425"/>
      <c r="Q69" s="399" t="s">
        <v>19089</v>
      </c>
      <c r="S69" s="399"/>
      <c r="T69" s="399"/>
      <c r="U69" s="399"/>
      <c r="V69" s="399"/>
    </row>
    <row r="70" spans="13:22">
      <c r="M70" s="401"/>
      <c r="N70" s="438" t="s">
        <v>19090</v>
      </c>
      <c r="O70" s="425"/>
      <c r="P70" s="425"/>
      <c r="Q70" s="399" t="s">
        <v>19091</v>
      </c>
      <c r="S70" s="399"/>
      <c r="T70" s="399"/>
      <c r="U70" s="399"/>
      <c r="V70" s="399"/>
    </row>
    <row r="71" spans="13:22">
      <c r="M71" s="401"/>
      <c r="N71" s="438" t="s">
        <v>19092</v>
      </c>
      <c r="O71" s="425"/>
      <c r="P71" s="425"/>
      <c r="Q71" s="399" t="s">
        <v>19093</v>
      </c>
      <c r="S71" s="399"/>
      <c r="T71" s="399"/>
      <c r="U71" s="399"/>
      <c r="V71" s="399"/>
    </row>
    <row r="72" spans="13:22">
      <c r="M72" s="401"/>
      <c r="N72" s="438" t="s">
        <v>19094</v>
      </c>
      <c r="O72" s="425"/>
      <c r="P72" s="425"/>
      <c r="Q72" s="399" t="s">
        <v>19095</v>
      </c>
      <c r="S72" s="399"/>
      <c r="T72" s="399"/>
      <c r="U72" s="399"/>
      <c r="V72" s="399"/>
    </row>
    <row r="73" spans="13:22">
      <c r="M73" s="401"/>
      <c r="N73" s="438" t="s">
        <v>19096</v>
      </c>
      <c r="O73" s="425"/>
      <c r="P73" s="425"/>
      <c r="Q73" s="399" t="s">
        <v>19097</v>
      </c>
      <c r="S73" s="399"/>
      <c r="T73" s="399"/>
      <c r="U73" s="399"/>
      <c r="V73" s="399"/>
    </row>
    <row r="74" spans="13:22">
      <c r="M74" s="401"/>
      <c r="N74" s="438" t="s">
        <v>19098</v>
      </c>
      <c r="O74" s="425"/>
      <c r="P74" s="425"/>
      <c r="Q74" s="399" t="s">
        <v>19099</v>
      </c>
      <c r="S74" s="399"/>
      <c r="T74" s="399"/>
      <c r="U74" s="399"/>
      <c r="V74" s="399"/>
    </row>
    <row r="75" spans="13:22">
      <c r="M75" s="401"/>
      <c r="N75" s="438" t="s">
        <v>19100</v>
      </c>
      <c r="O75" s="425"/>
      <c r="P75" s="425"/>
      <c r="Q75" s="399" t="s">
        <v>19101</v>
      </c>
      <c r="S75" s="399"/>
      <c r="T75" s="399"/>
      <c r="U75" s="399"/>
      <c r="V75" s="399"/>
    </row>
    <row r="76" spans="13:22">
      <c r="M76" s="401"/>
      <c r="N76" s="438" t="s">
        <v>19102</v>
      </c>
      <c r="O76" s="425"/>
      <c r="P76" s="425"/>
      <c r="Q76" s="399" t="s">
        <v>19103</v>
      </c>
      <c r="S76" s="399"/>
      <c r="T76" s="399"/>
      <c r="U76" s="399"/>
      <c r="V76" s="399"/>
    </row>
    <row r="77" spans="13:22">
      <c r="M77" s="401"/>
      <c r="N77" s="438" t="s">
        <v>19104</v>
      </c>
      <c r="O77" s="425"/>
      <c r="P77" s="425"/>
      <c r="Q77" s="399" t="s">
        <v>19105</v>
      </c>
      <c r="S77" s="399"/>
      <c r="T77" s="399"/>
      <c r="U77" s="399"/>
      <c r="V77" s="399"/>
    </row>
    <row r="78" spans="13:22">
      <c r="M78" s="437" t="s">
        <v>19106</v>
      </c>
      <c r="N78" s="425"/>
      <c r="O78" s="425"/>
      <c r="P78" s="425"/>
      <c r="Q78" s="400" t="s">
        <v>19107</v>
      </c>
      <c r="S78" s="400"/>
      <c r="T78" s="400"/>
      <c r="U78" s="400"/>
      <c r="V78" s="400"/>
    </row>
    <row r="79" spans="13:22">
      <c r="M79" s="401"/>
      <c r="N79" s="438" t="s">
        <v>19108</v>
      </c>
      <c r="O79" s="425"/>
      <c r="P79" s="425"/>
      <c r="Q79" s="399" t="s">
        <v>19109</v>
      </c>
      <c r="S79" s="399"/>
      <c r="T79" s="399"/>
      <c r="U79" s="399"/>
      <c r="V79" s="399"/>
    </row>
    <row r="80" spans="13:22">
      <c r="M80" s="401"/>
      <c r="N80" s="438" t="s">
        <v>19110</v>
      </c>
      <c r="O80" s="425"/>
      <c r="P80" s="425"/>
      <c r="Q80" s="399" t="s">
        <v>19111</v>
      </c>
      <c r="S80" s="399"/>
      <c r="T80" s="399"/>
      <c r="U80" s="399"/>
      <c r="V80" s="399"/>
    </row>
    <row r="81" spans="13:22">
      <c r="M81" s="401"/>
      <c r="N81" s="438" t="s">
        <v>19112</v>
      </c>
      <c r="O81" s="425"/>
      <c r="P81" s="425"/>
      <c r="Q81" s="399" t="s">
        <v>19113</v>
      </c>
      <c r="S81" s="399"/>
      <c r="T81" s="399"/>
      <c r="U81" s="399"/>
      <c r="V81" s="399"/>
    </row>
    <row r="82" spans="13:22">
      <c r="M82" s="401"/>
      <c r="N82" s="438" t="s">
        <v>19114</v>
      </c>
      <c r="O82" s="425"/>
      <c r="P82" s="425"/>
      <c r="Q82" s="399" t="s">
        <v>19115</v>
      </c>
      <c r="S82" s="399"/>
      <c r="T82" s="399"/>
      <c r="U82" s="399"/>
      <c r="V82" s="399"/>
    </row>
    <row r="83" spans="13:22">
      <c r="M83" s="401"/>
      <c r="N83" s="438" t="s">
        <v>19116</v>
      </c>
      <c r="O83" s="425"/>
      <c r="P83" s="425"/>
      <c r="Q83" s="399" t="s">
        <v>19117</v>
      </c>
      <c r="S83" s="399"/>
      <c r="T83" s="399"/>
      <c r="U83" s="399"/>
      <c r="V83" s="399"/>
    </row>
    <row r="84" spans="13:22">
      <c r="M84" s="438" t="s">
        <v>19118</v>
      </c>
      <c r="N84" s="425"/>
      <c r="O84" s="425"/>
      <c r="P84" s="425"/>
      <c r="Q84" s="399" t="s">
        <v>19119</v>
      </c>
      <c r="S84" s="399"/>
      <c r="T84" s="399"/>
      <c r="U84" s="399"/>
      <c r="V84" s="399"/>
    </row>
    <row r="85" spans="13:22">
      <c r="M85" s="401"/>
      <c r="N85" s="438" t="s">
        <v>19120</v>
      </c>
      <c r="O85" s="425"/>
      <c r="P85" s="425"/>
      <c r="Q85" s="399" t="s">
        <v>19121</v>
      </c>
      <c r="S85" s="399"/>
      <c r="T85" s="399"/>
      <c r="U85" s="399"/>
      <c r="V85" s="399"/>
    </row>
    <row r="86" spans="13:22">
      <c r="M86" s="401"/>
      <c r="N86" s="438" t="s">
        <v>19122</v>
      </c>
      <c r="O86" s="425"/>
      <c r="P86" s="425"/>
      <c r="Q86" s="399" t="s">
        <v>19123</v>
      </c>
      <c r="S86" s="399"/>
      <c r="T86" s="399"/>
      <c r="U86" s="399"/>
      <c r="V86" s="399"/>
    </row>
    <row r="87" spans="13:22">
      <c r="M87" s="401"/>
      <c r="N87" s="438" t="s">
        <v>19124</v>
      </c>
      <c r="O87" s="425"/>
      <c r="P87" s="425"/>
      <c r="Q87" s="399" t="s">
        <v>19125</v>
      </c>
      <c r="S87" s="399"/>
      <c r="T87" s="399"/>
      <c r="U87" s="399"/>
      <c r="V87" s="399"/>
    </row>
    <row r="88" spans="13:22">
      <c r="M88" s="401"/>
      <c r="N88" s="438" t="s">
        <v>19126</v>
      </c>
      <c r="O88" s="425"/>
      <c r="P88" s="425"/>
      <c r="Q88" s="399" t="s">
        <v>19127</v>
      </c>
      <c r="S88" s="399"/>
      <c r="T88" s="399"/>
      <c r="U88" s="399"/>
      <c r="V88" s="399"/>
    </row>
    <row r="89" spans="13:22">
      <c r="M89" s="437" t="s">
        <v>19128</v>
      </c>
      <c r="N89" s="425"/>
      <c r="O89" s="425"/>
      <c r="P89" s="425"/>
      <c r="Q89" s="400" t="s">
        <v>19129</v>
      </c>
      <c r="S89" s="400"/>
      <c r="T89" s="400"/>
      <c r="U89" s="400"/>
      <c r="V89" s="400"/>
    </row>
    <row r="90" spans="13:22">
      <c r="M90" s="401"/>
      <c r="N90" s="438" t="s">
        <v>19130</v>
      </c>
      <c r="O90" s="425"/>
      <c r="P90" s="425"/>
      <c r="Q90" s="399" t="s">
        <v>19131</v>
      </c>
      <c r="S90" s="399"/>
      <c r="T90" s="399"/>
      <c r="U90" s="399"/>
      <c r="V90" s="399"/>
    </row>
    <row r="91" spans="13:22">
      <c r="M91" s="401"/>
      <c r="N91" s="401"/>
      <c r="O91" s="438" t="s">
        <v>19132</v>
      </c>
      <c r="P91" s="425"/>
      <c r="Q91" s="399" t="s">
        <v>19133</v>
      </c>
      <c r="S91" s="399"/>
      <c r="T91" s="399"/>
      <c r="U91" s="399"/>
      <c r="V91" s="399"/>
    </row>
    <row r="92" spans="13:22">
      <c r="M92" s="401"/>
      <c r="N92" s="401"/>
      <c r="O92" s="438" t="s">
        <v>19134</v>
      </c>
      <c r="P92" s="425"/>
      <c r="Q92" s="399" t="s">
        <v>19135</v>
      </c>
      <c r="S92" s="399"/>
      <c r="T92" s="399"/>
      <c r="U92" s="399"/>
      <c r="V92" s="399"/>
    </row>
    <row r="93" spans="13:22">
      <c r="M93" s="401"/>
      <c r="N93" s="401"/>
      <c r="O93" s="438" t="s">
        <v>19136</v>
      </c>
      <c r="P93" s="425"/>
      <c r="Q93" s="399" t="s">
        <v>19137</v>
      </c>
      <c r="S93" s="399"/>
      <c r="T93" s="399"/>
      <c r="U93" s="399"/>
      <c r="V93" s="399"/>
    </row>
    <row r="94" spans="13:22">
      <c r="M94" s="401"/>
      <c r="N94" s="401"/>
      <c r="O94" s="438" t="s">
        <v>19138</v>
      </c>
      <c r="P94" s="425"/>
      <c r="Q94" s="399" t="s">
        <v>19139</v>
      </c>
      <c r="S94" s="399"/>
      <c r="T94" s="399"/>
      <c r="U94" s="399"/>
      <c r="V94" s="399"/>
    </row>
    <row r="95" spans="13:22">
      <c r="M95" s="401"/>
      <c r="N95" s="438" t="s">
        <v>19140</v>
      </c>
      <c r="O95" s="425"/>
      <c r="P95" s="425"/>
      <c r="Q95" s="399" t="s">
        <v>19141</v>
      </c>
      <c r="S95" s="399"/>
      <c r="T95" s="399"/>
      <c r="U95" s="399"/>
      <c r="V95" s="399"/>
    </row>
    <row r="96" spans="13:22">
      <c r="M96" s="401"/>
      <c r="N96" s="401"/>
      <c r="O96" s="438" t="s">
        <v>19142</v>
      </c>
      <c r="P96" s="425"/>
      <c r="Q96" s="399" t="s">
        <v>19143</v>
      </c>
      <c r="S96" s="399"/>
      <c r="T96" s="399"/>
      <c r="U96" s="399"/>
      <c r="V96" s="399"/>
    </row>
    <row r="97" spans="13:22">
      <c r="M97" s="401"/>
      <c r="N97" s="401"/>
      <c r="O97" s="438" t="s">
        <v>19144</v>
      </c>
      <c r="P97" s="425"/>
      <c r="Q97" s="399" t="s">
        <v>19145</v>
      </c>
      <c r="S97" s="399"/>
      <c r="T97" s="399"/>
      <c r="U97" s="399"/>
      <c r="V97" s="399"/>
    </row>
    <row r="98" spans="13:22">
      <c r="M98" s="401"/>
      <c r="N98" s="401"/>
      <c r="O98" s="438" t="s">
        <v>19146</v>
      </c>
      <c r="P98" s="425"/>
      <c r="Q98" s="399" t="s">
        <v>19147</v>
      </c>
      <c r="S98" s="399"/>
      <c r="T98" s="399"/>
      <c r="U98" s="399"/>
      <c r="V98" s="399"/>
    </row>
    <row r="99" spans="13:22">
      <c r="M99" s="401"/>
      <c r="N99" s="401"/>
      <c r="O99" s="438" t="s">
        <v>19148</v>
      </c>
      <c r="P99" s="425"/>
      <c r="Q99" s="399" t="s">
        <v>19149</v>
      </c>
      <c r="S99" s="399"/>
      <c r="T99" s="399"/>
      <c r="U99" s="399"/>
      <c r="V99" s="399"/>
    </row>
    <row r="100" spans="13:22">
      <c r="M100" s="401"/>
      <c r="N100" s="438" t="s">
        <v>19150</v>
      </c>
      <c r="O100" s="425"/>
      <c r="P100" s="425"/>
      <c r="Q100" s="399" t="s">
        <v>19151</v>
      </c>
      <c r="S100" s="399"/>
      <c r="T100" s="399"/>
      <c r="U100" s="399"/>
      <c r="V100" s="399"/>
    </row>
    <row r="101" spans="13:22">
      <c r="M101" s="437" t="s">
        <v>19152</v>
      </c>
      <c r="N101" s="425"/>
      <c r="O101" s="425"/>
      <c r="P101" s="425"/>
      <c r="Q101" s="400" t="s">
        <v>19153</v>
      </c>
      <c r="S101" s="400"/>
      <c r="T101" s="400"/>
      <c r="U101" s="400"/>
      <c r="V101" s="400"/>
    </row>
    <row r="102" spans="13:22">
      <c r="M102" s="401"/>
      <c r="N102" s="438" t="s">
        <v>19154</v>
      </c>
      <c r="O102" s="425"/>
      <c r="P102" s="425"/>
      <c r="Q102" s="399" t="s">
        <v>19155</v>
      </c>
      <c r="S102" s="399"/>
      <c r="T102" s="399"/>
      <c r="U102" s="399"/>
      <c r="V102" s="399"/>
    </row>
    <row r="103" spans="13:22">
      <c r="M103" s="401"/>
      <c r="N103" s="401"/>
      <c r="O103" s="438" t="s">
        <v>19156</v>
      </c>
      <c r="P103" s="425"/>
      <c r="Q103" s="399" t="s">
        <v>19157</v>
      </c>
      <c r="S103" s="399"/>
      <c r="T103" s="399"/>
      <c r="U103" s="399"/>
      <c r="V103" s="399"/>
    </row>
    <row r="104" spans="13:22">
      <c r="M104" s="401"/>
      <c r="N104" s="401"/>
      <c r="O104" s="438" t="s">
        <v>19158</v>
      </c>
      <c r="P104" s="425"/>
      <c r="Q104" s="399" t="s">
        <v>19159</v>
      </c>
      <c r="S104" s="399"/>
      <c r="T104" s="399"/>
      <c r="U104" s="399"/>
      <c r="V104" s="399"/>
    </row>
    <row r="105" spans="13:22">
      <c r="M105" s="401"/>
      <c r="N105" s="401"/>
      <c r="O105" s="438" t="s">
        <v>19160</v>
      </c>
      <c r="P105" s="425"/>
      <c r="Q105" s="399" t="s">
        <v>19161</v>
      </c>
      <c r="S105" s="399"/>
      <c r="T105" s="399"/>
      <c r="U105" s="399"/>
      <c r="V105" s="399"/>
    </row>
    <row r="106" spans="13:22">
      <c r="M106" s="401"/>
      <c r="N106" s="401"/>
      <c r="O106" s="438" t="s">
        <v>19162</v>
      </c>
      <c r="P106" s="425"/>
      <c r="Q106" s="399" t="s">
        <v>19163</v>
      </c>
      <c r="S106" s="399"/>
      <c r="T106" s="399"/>
      <c r="U106" s="399"/>
      <c r="V106" s="399"/>
    </row>
    <row r="107" spans="13:22">
      <c r="M107" s="401"/>
      <c r="N107" s="401"/>
      <c r="O107" s="438" t="s">
        <v>19164</v>
      </c>
      <c r="P107" s="425"/>
      <c r="Q107" s="399" t="s">
        <v>19165</v>
      </c>
      <c r="S107" s="399"/>
      <c r="T107" s="399"/>
      <c r="U107" s="399"/>
      <c r="V107" s="399"/>
    </row>
    <row r="108" spans="13:22">
      <c r="M108" s="401"/>
      <c r="N108" s="401"/>
      <c r="O108" s="438" t="s">
        <v>19166</v>
      </c>
      <c r="P108" s="425"/>
      <c r="Q108" s="399" t="s">
        <v>19167</v>
      </c>
      <c r="S108" s="399"/>
      <c r="T108" s="399"/>
      <c r="U108" s="399"/>
      <c r="V108" s="399"/>
    </row>
    <row r="109" spans="13:22">
      <c r="M109" s="401"/>
      <c r="N109" s="401"/>
      <c r="O109" s="438" t="s">
        <v>19168</v>
      </c>
      <c r="P109" s="425"/>
      <c r="Q109" s="399" t="s">
        <v>19169</v>
      </c>
      <c r="S109" s="399"/>
      <c r="T109" s="399"/>
      <c r="U109" s="399"/>
      <c r="V109" s="399"/>
    </row>
    <row r="110" spans="13:22">
      <c r="M110" s="401"/>
      <c r="N110" s="401"/>
      <c r="O110" s="401"/>
      <c r="P110" s="399" t="s">
        <v>19170</v>
      </c>
      <c r="Q110" s="399" t="s">
        <v>19171</v>
      </c>
      <c r="S110" s="399"/>
      <c r="T110" s="399"/>
      <c r="U110" s="399"/>
      <c r="V110" s="399"/>
    </row>
    <row r="111" spans="13:22">
      <c r="M111" s="401"/>
      <c r="N111" s="401"/>
      <c r="O111" s="401"/>
      <c r="P111" s="399" t="s">
        <v>19172</v>
      </c>
      <c r="Q111" s="399" t="s">
        <v>19173</v>
      </c>
      <c r="S111" s="399"/>
      <c r="T111" s="399"/>
      <c r="U111" s="399"/>
      <c r="V111" s="399"/>
    </row>
    <row r="112" spans="13:22">
      <c r="M112" s="401"/>
      <c r="N112" s="401"/>
      <c r="O112" s="401"/>
      <c r="P112" s="399" t="s">
        <v>19174</v>
      </c>
      <c r="Q112" s="399" t="s">
        <v>19175</v>
      </c>
      <c r="S112" s="399"/>
      <c r="T112" s="399"/>
      <c r="U112" s="399"/>
      <c r="V112" s="399"/>
    </row>
    <row r="113" spans="13:22">
      <c r="M113" s="401"/>
      <c r="N113" s="401"/>
      <c r="O113" s="401"/>
      <c r="P113" s="399" t="s">
        <v>19176</v>
      </c>
      <c r="Q113" s="399" t="s">
        <v>19177</v>
      </c>
      <c r="S113" s="399"/>
      <c r="T113" s="399"/>
      <c r="U113" s="399"/>
      <c r="V113" s="399"/>
    </row>
    <row r="114" spans="13:22">
      <c r="M114" s="401"/>
      <c r="N114" s="401"/>
      <c r="O114" s="438" t="s">
        <v>19178</v>
      </c>
      <c r="P114" s="425"/>
      <c r="Q114" s="399" t="s">
        <v>19179</v>
      </c>
      <c r="S114" s="399"/>
      <c r="T114" s="399"/>
      <c r="U114" s="399"/>
      <c r="V114" s="399"/>
    </row>
    <row r="115" spans="13:22">
      <c r="M115" s="401"/>
      <c r="N115" s="401"/>
      <c r="O115" s="438" t="s">
        <v>19180</v>
      </c>
      <c r="P115" s="425"/>
      <c r="Q115" s="399" t="s">
        <v>19181</v>
      </c>
      <c r="S115" s="399"/>
      <c r="T115" s="399"/>
      <c r="U115" s="399"/>
      <c r="V115" s="399"/>
    </row>
    <row r="116" spans="13:22">
      <c r="M116" s="401"/>
      <c r="N116" s="401"/>
      <c r="O116" s="438" t="s">
        <v>19182</v>
      </c>
      <c r="P116" s="425"/>
      <c r="Q116" s="399" t="s">
        <v>19183</v>
      </c>
      <c r="S116" s="399"/>
      <c r="T116" s="399"/>
      <c r="U116" s="399"/>
      <c r="V116" s="399"/>
    </row>
    <row r="117" spans="13:22">
      <c r="M117" s="401"/>
      <c r="N117" s="401"/>
      <c r="O117" s="438" t="s">
        <v>19184</v>
      </c>
      <c r="P117" s="425"/>
      <c r="Q117" s="399" t="s">
        <v>19185</v>
      </c>
      <c r="S117" s="399"/>
      <c r="T117" s="399"/>
      <c r="U117" s="399"/>
      <c r="V117" s="399"/>
    </row>
    <row r="118" spans="13:22">
      <c r="M118" s="401"/>
      <c r="N118" s="401"/>
      <c r="O118" s="438" t="s">
        <v>19186</v>
      </c>
      <c r="P118" s="425"/>
      <c r="Q118" s="399" t="s">
        <v>19187</v>
      </c>
      <c r="S118" s="399"/>
      <c r="T118" s="399"/>
      <c r="U118" s="399"/>
      <c r="V118" s="399"/>
    </row>
    <row r="119" spans="13:22">
      <c r="M119" s="401"/>
      <c r="N119" s="401"/>
      <c r="O119" s="438" t="s">
        <v>19188</v>
      </c>
      <c r="P119" s="425"/>
      <c r="Q119" s="399" t="s">
        <v>19189</v>
      </c>
      <c r="S119" s="399"/>
      <c r="T119" s="399"/>
      <c r="U119" s="399"/>
      <c r="V119" s="399"/>
    </row>
    <row r="120" spans="13:22">
      <c r="M120" s="401"/>
      <c r="N120" s="401"/>
      <c r="O120" s="401"/>
      <c r="P120" s="399" t="s">
        <v>19190</v>
      </c>
      <c r="Q120" s="399" t="s">
        <v>19189</v>
      </c>
      <c r="S120" s="399"/>
      <c r="T120" s="399"/>
      <c r="U120" s="399"/>
      <c r="V120" s="399"/>
    </row>
    <row r="121" spans="13:22">
      <c r="M121" s="401"/>
      <c r="N121" s="401"/>
      <c r="O121" s="438" t="s">
        <v>19191</v>
      </c>
      <c r="P121" s="425"/>
      <c r="Q121" s="399" t="s">
        <v>19192</v>
      </c>
      <c r="S121" s="399"/>
      <c r="T121" s="399"/>
      <c r="U121" s="399"/>
      <c r="V121" s="399"/>
    </row>
    <row r="122" spans="13:22">
      <c r="M122" s="401"/>
      <c r="N122" s="401"/>
      <c r="O122" s="438" t="s">
        <v>19193</v>
      </c>
      <c r="P122" s="425"/>
      <c r="Q122" s="399" t="s">
        <v>19194</v>
      </c>
      <c r="S122" s="399"/>
      <c r="T122" s="399"/>
      <c r="U122" s="399"/>
      <c r="V122" s="399"/>
    </row>
    <row r="123" spans="13:22">
      <c r="M123" s="401"/>
      <c r="N123" s="401"/>
      <c r="O123" s="438" t="s">
        <v>19195</v>
      </c>
      <c r="P123" s="425"/>
      <c r="Q123" s="399" t="s">
        <v>19196</v>
      </c>
      <c r="S123" s="399"/>
      <c r="T123" s="399"/>
      <c r="U123" s="399"/>
      <c r="V123" s="399"/>
    </row>
    <row r="124" spans="13:22">
      <c r="M124" s="401"/>
      <c r="N124" s="401"/>
      <c r="O124" s="438" t="s">
        <v>19197</v>
      </c>
      <c r="P124" s="425"/>
      <c r="Q124" s="399" t="s">
        <v>19198</v>
      </c>
      <c r="S124" s="399"/>
      <c r="T124" s="399"/>
      <c r="U124" s="399"/>
      <c r="V124" s="399"/>
    </row>
    <row r="125" spans="13:22">
      <c r="M125" s="401"/>
      <c r="N125" s="401"/>
      <c r="O125" s="438" t="s">
        <v>19199</v>
      </c>
      <c r="P125" s="425"/>
      <c r="Q125" s="399" t="s">
        <v>19200</v>
      </c>
      <c r="S125" s="399"/>
      <c r="T125" s="399"/>
      <c r="U125" s="399"/>
      <c r="V125" s="399"/>
    </row>
    <row r="126" spans="13:22">
      <c r="M126" s="401"/>
      <c r="N126" s="401"/>
      <c r="O126" s="438" t="s">
        <v>19201</v>
      </c>
      <c r="P126" s="425"/>
      <c r="Q126" s="399" t="s">
        <v>19202</v>
      </c>
      <c r="S126" s="399"/>
      <c r="T126" s="399"/>
      <c r="U126" s="399"/>
      <c r="V126" s="399"/>
    </row>
    <row r="127" spans="13:22">
      <c r="M127" s="401"/>
      <c r="N127" s="401"/>
      <c r="O127" s="438" t="s">
        <v>19203</v>
      </c>
      <c r="P127" s="425"/>
      <c r="Q127" s="399" t="s">
        <v>19204</v>
      </c>
      <c r="S127" s="399"/>
      <c r="T127" s="399"/>
      <c r="U127" s="399"/>
      <c r="V127" s="399"/>
    </row>
    <row r="128" spans="13:22">
      <c r="M128" s="401"/>
      <c r="N128" s="401"/>
      <c r="O128" s="438" t="s">
        <v>19205</v>
      </c>
      <c r="P128" s="425"/>
      <c r="Q128" s="399" t="s">
        <v>19206</v>
      </c>
      <c r="S128" s="399"/>
      <c r="T128" s="399"/>
      <c r="U128" s="399"/>
      <c r="V128" s="399"/>
    </row>
    <row r="129" spans="13:22">
      <c r="M129" s="401"/>
      <c r="N129" s="401"/>
      <c r="O129" s="438" t="s">
        <v>19207</v>
      </c>
      <c r="P129" s="425"/>
      <c r="Q129" s="399" t="s">
        <v>19208</v>
      </c>
      <c r="S129" s="399"/>
      <c r="T129" s="399"/>
      <c r="U129" s="399"/>
      <c r="V129" s="399"/>
    </row>
    <row r="130" spans="13:22">
      <c r="M130" s="401"/>
      <c r="N130" s="401"/>
      <c r="O130" s="438" t="s">
        <v>19209</v>
      </c>
      <c r="P130" s="425"/>
      <c r="Q130" s="399" t="s">
        <v>19210</v>
      </c>
      <c r="S130" s="399"/>
      <c r="T130" s="399"/>
      <c r="U130" s="399"/>
      <c r="V130" s="399"/>
    </row>
    <row r="131" spans="13:22">
      <c r="M131" s="401"/>
      <c r="N131" s="401"/>
      <c r="O131" s="438" t="s">
        <v>19211</v>
      </c>
      <c r="P131" s="425"/>
      <c r="Q131" s="399" t="s">
        <v>19212</v>
      </c>
      <c r="S131" s="399"/>
      <c r="T131" s="399"/>
      <c r="U131" s="399"/>
      <c r="V131" s="399"/>
    </row>
    <row r="132" spans="13:22">
      <c r="M132" s="401"/>
      <c r="N132" s="401"/>
      <c r="O132" s="438" t="s">
        <v>19213</v>
      </c>
      <c r="P132" s="425"/>
      <c r="Q132" s="399" t="s">
        <v>19214</v>
      </c>
      <c r="S132" s="399"/>
      <c r="T132" s="399"/>
      <c r="U132" s="399"/>
      <c r="V132" s="399"/>
    </row>
    <row r="133" spans="13:22">
      <c r="M133" s="401"/>
      <c r="N133" s="401"/>
      <c r="O133" s="438" t="s">
        <v>19215</v>
      </c>
      <c r="P133" s="425"/>
      <c r="Q133" s="399" t="s">
        <v>19216</v>
      </c>
      <c r="S133" s="399"/>
      <c r="T133" s="399"/>
      <c r="U133" s="399"/>
      <c r="V133" s="399"/>
    </row>
    <row r="134" spans="13:22">
      <c r="M134" s="401"/>
      <c r="N134" s="401"/>
      <c r="O134" s="438" t="s">
        <v>19217</v>
      </c>
      <c r="P134" s="425"/>
      <c r="Q134" s="399" t="s">
        <v>19218</v>
      </c>
      <c r="S134" s="399"/>
      <c r="T134" s="399"/>
      <c r="U134" s="399"/>
      <c r="V134" s="399"/>
    </row>
    <row r="135" spans="13:22">
      <c r="M135" s="401"/>
      <c r="N135" s="401"/>
      <c r="O135" s="438" t="s">
        <v>19219</v>
      </c>
      <c r="P135" s="425"/>
      <c r="Q135" s="399" t="s">
        <v>19220</v>
      </c>
      <c r="S135" s="399"/>
      <c r="T135" s="399"/>
      <c r="U135" s="399"/>
      <c r="V135" s="399"/>
    </row>
    <row r="136" spans="13:22">
      <c r="M136" s="401"/>
      <c r="N136" s="401"/>
      <c r="O136" s="438" t="s">
        <v>19221</v>
      </c>
      <c r="P136" s="425"/>
      <c r="Q136" s="399" t="s">
        <v>19222</v>
      </c>
      <c r="S136" s="399"/>
      <c r="T136" s="399"/>
      <c r="U136" s="399"/>
      <c r="V136" s="399"/>
    </row>
    <row r="137" spans="13:22">
      <c r="M137" s="401"/>
      <c r="N137" s="401"/>
      <c r="O137" s="438" t="s">
        <v>19223</v>
      </c>
      <c r="P137" s="425"/>
      <c r="Q137" s="399" t="s">
        <v>19224</v>
      </c>
      <c r="S137" s="399"/>
      <c r="T137" s="399"/>
      <c r="U137" s="399"/>
      <c r="V137" s="399"/>
    </row>
    <row r="138" spans="13:22">
      <c r="M138" s="401"/>
      <c r="N138" s="401"/>
      <c r="O138" s="438" t="s">
        <v>19225</v>
      </c>
      <c r="P138" s="425"/>
      <c r="Q138" s="399" t="s">
        <v>19226</v>
      </c>
      <c r="S138" s="399"/>
      <c r="T138" s="399"/>
      <c r="U138" s="399"/>
      <c r="V138" s="399"/>
    </row>
    <row r="139" spans="13:22">
      <c r="M139" s="401"/>
      <c r="N139" s="401"/>
      <c r="O139" s="438" t="s">
        <v>19227</v>
      </c>
      <c r="P139" s="425"/>
      <c r="Q139" s="399" t="s">
        <v>19228</v>
      </c>
      <c r="S139" s="399"/>
      <c r="T139" s="399"/>
      <c r="U139" s="399"/>
      <c r="V139" s="399"/>
    </row>
    <row r="140" spans="13:22">
      <c r="M140" s="401"/>
      <c r="N140" s="401"/>
      <c r="O140" s="438" t="s">
        <v>19229</v>
      </c>
      <c r="P140" s="425"/>
      <c r="Q140" s="399" t="s">
        <v>19230</v>
      </c>
      <c r="S140" s="399"/>
      <c r="T140" s="399"/>
      <c r="U140" s="399"/>
      <c r="V140" s="399"/>
    </row>
    <row r="141" spans="13:22">
      <c r="M141" s="401"/>
      <c r="N141" s="438" t="s">
        <v>19231</v>
      </c>
      <c r="O141" s="425"/>
      <c r="P141" s="425"/>
      <c r="Q141" s="399" t="s">
        <v>19232</v>
      </c>
      <c r="S141" s="399"/>
      <c r="T141" s="399"/>
      <c r="U141" s="399"/>
      <c r="V141" s="399"/>
    </row>
    <row r="142" spans="13:22">
      <c r="M142" s="401"/>
      <c r="N142" s="401"/>
      <c r="O142" s="438" t="s">
        <v>19233</v>
      </c>
      <c r="P142" s="425"/>
      <c r="Q142" s="399" t="s">
        <v>19234</v>
      </c>
      <c r="S142" s="399"/>
      <c r="T142" s="399"/>
      <c r="U142" s="399"/>
      <c r="V142" s="399"/>
    </row>
    <row r="143" spans="13:22">
      <c r="M143" s="401"/>
      <c r="N143" s="401"/>
      <c r="O143" s="438" t="s">
        <v>19235</v>
      </c>
      <c r="P143" s="425"/>
      <c r="Q143" s="399" t="s">
        <v>19236</v>
      </c>
      <c r="S143" s="399"/>
      <c r="T143" s="399"/>
      <c r="U143" s="399"/>
      <c r="V143" s="399"/>
    </row>
    <row r="144" spans="13:22">
      <c r="M144" s="401"/>
      <c r="N144" s="401"/>
      <c r="O144" s="438" t="s">
        <v>19237</v>
      </c>
      <c r="P144" s="425"/>
      <c r="Q144" s="399" t="s">
        <v>19238</v>
      </c>
      <c r="S144" s="399"/>
      <c r="T144" s="399"/>
      <c r="U144" s="399"/>
      <c r="V144" s="399"/>
    </row>
    <row r="145" spans="13:22">
      <c r="M145" s="401"/>
      <c r="N145" s="401"/>
      <c r="O145" s="401"/>
      <c r="P145" s="399" t="s">
        <v>19239</v>
      </c>
      <c r="Q145" s="399" t="s">
        <v>19240</v>
      </c>
      <c r="S145" s="399"/>
      <c r="T145" s="399"/>
      <c r="U145" s="399"/>
      <c r="V145" s="399"/>
    </row>
    <row r="146" spans="13:22">
      <c r="M146" s="401"/>
      <c r="N146" s="401"/>
      <c r="O146" s="401"/>
      <c r="P146" s="399" t="s">
        <v>19241</v>
      </c>
      <c r="Q146" s="399" t="s">
        <v>19242</v>
      </c>
      <c r="S146" s="399"/>
      <c r="T146" s="399"/>
      <c r="U146" s="399"/>
      <c r="V146" s="399"/>
    </row>
    <row r="147" spans="13:22">
      <c r="M147" s="401"/>
      <c r="N147" s="401"/>
      <c r="O147" s="438" t="s">
        <v>19243</v>
      </c>
      <c r="P147" s="425"/>
      <c r="Q147" s="399" t="s">
        <v>19244</v>
      </c>
      <c r="S147" s="399"/>
      <c r="T147" s="399"/>
      <c r="U147" s="399"/>
      <c r="V147" s="399"/>
    </row>
    <row r="148" spans="13:22">
      <c r="M148" s="401"/>
      <c r="N148" s="401"/>
      <c r="O148" s="438" t="s">
        <v>19245</v>
      </c>
      <c r="P148" s="425"/>
      <c r="Q148" s="399" t="s">
        <v>19246</v>
      </c>
      <c r="S148" s="399"/>
      <c r="T148" s="399"/>
      <c r="U148" s="399"/>
      <c r="V148" s="399"/>
    </row>
    <row r="149" spans="13:22">
      <c r="M149" s="401"/>
      <c r="N149" s="401"/>
      <c r="O149" s="438" t="s">
        <v>19247</v>
      </c>
      <c r="P149" s="425"/>
      <c r="Q149" s="399" t="s">
        <v>19248</v>
      </c>
      <c r="S149" s="399"/>
      <c r="T149" s="399"/>
      <c r="U149" s="399"/>
      <c r="V149" s="399"/>
    </row>
    <row r="150" spans="13:22">
      <c r="M150" s="401"/>
      <c r="N150" s="401"/>
      <c r="O150" s="438" t="s">
        <v>19249</v>
      </c>
      <c r="P150" s="425"/>
      <c r="Q150" s="399" t="s">
        <v>19250</v>
      </c>
      <c r="S150" s="399"/>
      <c r="T150" s="399"/>
      <c r="U150" s="399"/>
      <c r="V150" s="399"/>
    </row>
    <row r="151" spans="13:22">
      <c r="M151" s="401"/>
      <c r="N151" s="401"/>
      <c r="O151" s="438" t="s">
        <v>19251</v>
      </c>
      <c r="P151" s="425"/>
      <c r="Q151" s="399" t="s">
        <v>19252</v>
      </c>
      <c r="S151" s="399"/>
      <c r="T151" s="399"/>
      <c r="U151" s="399"/>
      <c r="V151" s="399"/>
    </row>
    <row r="152" spans="13:22">
      <c r="M152" s="401"/>
      <c r="N152" s="401"/>
      <c r="O152" s="438" t="s">
        <v>19253</v>
      </c>
      <c r="P152" s="425"/>
      <c r="Q152" s="399" t="s">
        <v>19254</v>
      </c>
      <c r="S152" s="399"/>
      <c r="T152" s="399"/>
      <c r="U152" s="399"/>
      <c r="V152" s="399"/>
    </row>
    <row r="153" spans="13:22">
      <c r="M153" s="401"/>
      <c r="N153" s="401"/>
      <c r="O153" s="438" t="s">
        <v>19255</v>
      </c>
      <c r="P153" s="425"/>
      <c r="Q153" s="399" t="s">
        <v>19256</v>
      </c>
      <c r="S153" s="399"/>
      <c r="T153" s="399"/>
      <c r="U153" s="399"/>
      <c r="V153" s="399"/>
    </row>
    <row r="154" spans="13:22">
      <c r="M154" s="401"/>
      <c r="N154" s="438" t="s">
        <v>19257</v>
      </c>
      <c r="O154" s="425"/>
      <c r="P154" s="425"/>
      <c r="Q154" s="399" t="s">
        <v>19258</v>
      </c>
      <c r="S154" s="399"/>
      <c r="T154" s="399"/>
      <c r="U154" s="399"/>
      <c r="V154" s="399"/>
    </row>
    <row r="155" spans="13:22">
      <c r="M155" s="401"/>
      <c r="N155" s="401"/>
      <c r="O155" s="438" t="s">
        <v>19259</v>
      </c>
      <c r="P155" s="425"/>
      <c r="Q155" s="399" t="s">
        <v>19260</v>
      </c>
      <c r="S155" s="399"/>
      <c r="T155" s="399"/>
      <c r="U155" s="399"/>
      <c r="V155" s="399"/>
    </row>
    <row r="156" spans="13:22">
      <c r="M156" s="401"/>
      <c r="N156" s="401"/>
      <c r="O156" s="438" t="s">
        <v>19261</v>
      </c>
      <c r="P156" s="425"/>
      <c r="Q156" s="399" t="s">
        <v>19262</v>
      </c>
      <c r="S156" s="399"/>
      <c r="T156" s="399"/>
      <c r="U156" s="399"/>
      <c r="V156" s="399"/>
    </row>
    <row r="157" spans="13:22">
      <c r="M157" s="401"/>
      <c r="N157" s="401"/>
      <c r="O157" s="401"/>
      <c r="P157" s="399" t="s">
        <v>19263</v>
      </c>
      <c r="Q157" s="399" t="s">
        <v>19264</v>
      </c>
      <c r="S157" s="399"/>
      <c r="T157" s="399"/>
      <c r="U157" s="399"/>
      <c r="V157" s="399"/>
    </row>
    <row r="158" spans="13:22">
      <c r="M158" s="401"/>
      <c r="N158" s="401"/>
      <c r="O158" s="401"/>
      <c r="P158" s="399" t="s">
        <v>19265</v>
      </c>
      <c r="Q158" s="399" t="s">
        <v>19266</v>
      </c>
      <c r="S158" s="399"/>
      <c r="T158" s="399"/>
      <c r="U158" s="399"/>
      <c r="V158" s="399"/>
    </row>
    <row r="159" spans="13:22">
      <c r="M159" s="401"/>
      <c r="N159" s="401"/>
      <c r="O159" s="401"/>
      <c r="P159" s="399" t="s">
        <v>19267</v>
      </c>
      <c r="Q159" s="399" t="s">
        <v>19268</v>
      </c>
      <c r="S159" s="399"/>
      <c r="T159" s="399"/>
      <c r="U159" s="399"/>
      <c r="V159" s="399"/>
    </row>
    <row r="160" spans="13:22">
      <c r="M160" s="401"/>
      <c r="N160" s="401"/>
      <c r="O160" s="401"/>
      <c r="P160" s="399" t="s">
        <v>19269</v>
      </c>
      <c r="Q160" s="399" t="s">
        <v>19270</v>
      </c>
      <c r="S160" s="399"/>
      <c r="T160" s="399"/>
      <c r="U160" s="399"/>
      <c r="V160" s="399"/>
    </row>
    <row r="161" spans="13:22">
      <c r="M161" s="401"/>
      <c r="N161" s="401"/>
      <c r="O161" s="438" t="s">
        <v>19271</v>
      </c>
      <c r="P161" s="425"/>
      <c r="Q161" s="399" t="s">
        <v>19272</v>
      </c>
      <c r="S161" s="399"/>
      <c r="T161" s="399"/>
      <c r="U161" s="399"/>
      <c r="V161" s="399"/>
    </row>
    <row r="162" spans="13:22">
      <c r="M162" s="401"/>
      <c r="N162" s="401"/>
      <c r="O162" s="438" t="s">
        <v>19273</v>
      </c>
      <c r="P162" s="425"/>
      <c r="Q162" s="399" t="s">
        <v>19274</v>
      </c>
      <c r="S162" s="399"/>
      <c r="T162" s="399"/>
      <c r="U162" s="399"/>
      <c r="V162" s="399"/>
    </row>
    <row r="163" spans="13:22">
      <c r="M163" s="401"/>
      <c r="N163" s="401"/>
      <c r="O163" s="438" t="s">
        <v>19275</v>
      </c>
      <c r="P163" s="425"/>
      <c r="Q163" s="399" t="s">
        <v>19276</v>
      </c>
      <c r="S163" s="399"/>
      <c r="T163" s="399"/>
      <c r="U163" s="399"/>
      <c r="V163" s="399"/>
    </row>
    <row r="164" spans="13:22">
      <c r="M164" s="401"/>
      <c r="N164" s="438" t="s">
        <v>19277</v>
      </c>
      <c r="O164" s="425"/>
      <c r="P164" s="425"/>
      <c r="Q164" s="399" t="s">
        <v>19278</v>
      </c>
      <c r="S164" s="399"/>
      <c r="T164" s="399"/>
      <c r="U164" s="399"/>
      <c r="V164" s="399"/>
    </row>
    <row r="165" spans="13:22">
      <c r="M165" s="401"/>
      <c r="N165" s="401"/>
      <c r="O165" s="438" t="s">
        <v>19279</v>
      </c>
      <c r="P165" s="425"/>
      <c r="Q165" s="399" t="s">
        <v>19280</v>
      </c>
      <c r="S165" s="399"/>
      <c r="T165" s="399"/>
      <c r="U165" s="399"/>
      <c r="V165" s="399"/>
    </row>
    <row r="166" spans="13:22">
      <c r="M166" s="401"/>
      <c r="N166" s="401"/>
      <c r="O166" s="438" t="s">
        <v>19281</v>
      </c>
      <c r="P166" s="425"/>
      <c r="Q166" s="399" t="s">
        <v>19282</v>
      </c>
      <c r="S166" s="399"/>
      <c r="T166" s="399"/>
      <c r="U166" s="399"/>
      <c r="V166" s="399"/>
    </row>
    <row r="167" spans="13:22">
      <c r="M167" s="401"/>
      <c r="N167" s="401"/>
      <c r="O167" s="438" t="s">
        <v>19283</v>
      </c>
      <c r="P167" s="425"/>
      <c r="Q167" s="399" t="s">
        <v>19284</v>
      </c>
      <c r="S167" s="399"/>
      <c r="T167" s="399"/>
      <c r="U167" s="399"/>
      <c r="V167" s="399"/>
    </row>
    <row r="168" spans="13:22">
      <c r="M168" s="401"/>
      <c r="N168" s="401"/>
      <c r="O168" s="438" t="s">
        <v>19285</v>
      </c>
      <c r="P168" s="425"/>
      <c r="Q168" s="399" t="s">
        <v>19286</v>
      </c>
      <c r="S168" s="399"/>
      <c r="T168" s="399"/>
      <c r="U168" s="399"/>
      <c r="V168" s="399"/>
    </row>
    <row r="169" spans="13:22">
      <c r="M169" s="401"/>
      <c r="N169" s="438" t="s">
        <v>19287</v>
      </c>
      <c r="O169" s="425"/>
      <c r="P169" s="425"/>
      <c r="Q169" s="399" t="s">
        <v>19288</v>
      </c>
      <c r="S169" s="399"/>
      <c r="T169" s="399"/>
      <c r="U169" s="399"/>
      <c r="V169" s="399"/>
    </row>
    <row r="170" spans="13:22">
      <c r="M170" s="401"/>
      <c r="N170" s="401"/>
      <c r="O170" s="438" t="s">
        <v>19289</v>
      </c>
      <c r="P170" s="425"/>
      <c r="Q170" s="399" t="s">
        <v>19290</v>
      </c>
      <c r="S170" s="399"/>
      <c r="T170" s="399"/>
      <c r="U170" s="399"/>
      <c r="V170" s="399"/>
    </row>
    <row r="171" spans="13:22">
      <c r="M171" s="401"/>
      <c r="N171" s="401"/>
      <c r="O171" s="438" t="s">
        <v>19291</v>
      </c>
      <c r="P171" s="425"/>
      <c r="Q171" s="399" t="s">
        <v>19292</v>
      </c>
      <c r="S171" s="399"/>
      <c r="T171" s="399"/>
      <c r="U171" s="399"/>
      <c r="V171" s="399"/>
    </row>
    <row r="172" spans="13:22">
      <c r="M172" s="401"/>
      <c r="N172" s="401"/>
      <c r="O172" s="438" t="s">
        <v>19293</v>
      </c>
      <c r="P172" s="425"/>
      <c r="Q172" s="399" t="s">
        <v>19294</v>
      </c>
      <c r="S172" s="399"/>
      <c r="T172" s="399"/>
      <c r="U172" s="399"/>
      <c r="V172" s="399"/>
    </row>
    <row r="173" spans="13:22">
      <c r="M173" s="401"/>
      <c r="N173" s="401"/>
      <c r="O173" s="438" t="s">
        <v>19295</v>
      </c>
      <c r="P173" s="425"/>
      <c r="Q173" s="399" t="s">
        <v>19296</v>
      </c>
      <c r="S173" s="399"/>
      <c r="T173" s="399"/>
      <c r="U173" s="399"/>
      <c r="V173" s="399"/>
    </row>
    <row r="174" spans="13:22">
      <c r="M174" s="401"/>
      <c r="N174" s="401"/>
      <c r="O174" s="438" t="s">
        <v>19297</v>
      </c>
      <c r="P174" s="425"/>
      <c r="Q174" s="399" t="s">
        <v>19298</v>
      </c>
      <c r="S174" s="399"/>
      <c r="T174" s="399"/>
      <c r="U174" s="399"/>
      <c r="V174" s="399"/>
    </row>
    <row r="175" spans="13:22">
      <c r="M175" s="401"/>
      <c r="N175" s="401"/>
      <c r="O175" s="438" t="s">
        <v>19299</v>
      </c>
      <c r="P175" s="425"/>
      <c r="Q175" s="399" t="s">
        <v>19300</v>
      </c>
      <c r="S175" s="399"/>
      <c r="T175" s="399"/>
      <c r="U175" s="399"/>
      <c r="V175" s="399"/>
    </row>
    <row r="176" spans="13:22">
      <c r="M176" s="401"/>
      <c r="N176" s="401"/>
      <c r="O176" s="438" t="s">
        <v>19301</v>
      </c>
      <c r="P176" s="425"/>
      <c r="Q176" s="399" t="s">
        <v>19302</v>
      </c>
      <c r="S176" s="399"/>
      <c r="T176" s="399"/>
      <c r="U176" s="399"/>
      <c r="V176" s="399"/>
    </row>
    <row r="177" spans="13:22">
      <c r="M177" s="401"/>
      <c r="N177" s="401"/>
      <c r="O177" s="438" t="s">
        <v>19303</v>
      </c>
      <c r="P177" s="425"/>
      <c r="Q177" s="399" t="s">
        <v>19304</v>
      </c>
      <c r="S177" s="399"/>
      <c r="T177" s="399"/>
      <c r="U177" s="399"/>
      <c r="V177" s="399"/>
    </row>
    <row r="178" spans="13:22">
      <c r="M178" s="401"/>
      <c r="N178" s="401"/>
      <c r="O178" s="438" t="s">
        <v>19305</v>
      </c>
      <c r="P178" s="425"/>
      <c r="Q178" s="399" t="s">
        <v>19306</v>
      </c>
      <c r="S178" s="399"/>
      <c r="T178" s="399"/>
      <c r="U178" s="399"/>
      <c r="V178" s="399"/>
    </row>
    <row r="179" spans="13:22">
      <c r="M179" s="401"/>
      <c r="N179" s="401"/>
      <c r="O179" s="438" t="s">
        <v>19307</v>
      </c>
      <c r="P179" s="425"/>
      <c r="Q179" s="399" t="s">
        <v>19308</v>
      </c>
      <c r="S179" s="399"/>
      <c r="T179" s="399"/>
      <c r="U179" s="399"/>
      <c r="V179" s="399"/>
    </row>
    <row r="180" spans="13:22">
      <c r="M180" s="401"/>
      <c r="N180" s="438" t="s">
        <v>19309</v>
      </c>
      <c r="O180" s="425"/>
      <c r="P180" s="425"/>
      <c r="Q180" s="399" t="s">
        <v>19310</v>
      </c>
      <c r="S180" s="399"/>
      <c r="T180" s="399"/>
      <c r="U180" s="399"/>
      <c r="V180" s="399"/>
    </row>
    <row r="181" spans="13:22">
      <c r="M181" s="401"/>
      <c r="N181" s="401"/>
      <c r="O181" s="438" t="s">
        <v>19311</v>
      </c>
      <c r="P181" s="425"/>
      <c r="Q181" s="399" t="s">
        <v>19312</v>
      </c>
      <c r="S181" s="399"/>
      <c r="T181" s="399"/>
      <c r="U181" s="399"/>
      <c r="V181" s="399"/>
    </row>
    <row r="182" spans="13:22">
      <c r="M182" s="401"/>
      <c r="N182" s="401"/>
      <c r="O182" s="438" t="s">
        <v>19313</v>
      </c>
      <c r="P182" s="425"/>
      <c r="Q182" s="399" t="s">
        <v>19314</v>
      </c>
      <c r="S182" s="399"/>
      <c r="T182" s="399"/>
      <c r="U182" s="399"/>
      <c r="V182" s="399"/>
    </row>
    <row r="183" spans="13:22">
      <c r="M183" s="401"/>
      <c r="N183" s="401"/>
      <c r="O183" s="438" t="s">
        <v>19315</v>
      </c>
      <c r="P183" s="425"/>
      <c r="Q183" s="399" t="s">
        <v>19316</v>
      </c>
      <c r="S183" s="399"/>
      <c r="T183" s="399"/>
      <c r="U183" s="399"/>
      <c r="V183" s="399"/>
    </row>
    <row r="184" spans="13:22">
      <c r="M184" s="401"/>
      <c r="N184" s="401"/>
      <c r="O184" s="438" t="s">
        <v>19317</v>
      </c>
      <c r="P184" s="425"/>
      <c r="Q184" s="399" t="s">
        <v>19318</v>
      </c>
      <c r="S184" s="399"/>
      <c r="T184" s="399"/>
      <c r="U184" s="399"/>
      <c r="V184" s="399"/>
    </row>
    <row r="185" spans="13:22">
      <c r="M185" s="401"/>
      <c r="N185" s="401"/>
      <c r="O185" s="438" t="s">
        <v>19319</v>
      </c>
      <c r="P185" s="425"/>
      <c r="Q185" s="399" t="s">
        <v>19320</v>
      </c>
      <c r="S185" s="399"/>
      <c r="T185" s="399"/>
      <c r="U185" s="399"/>
      <c r="V185" s="399"/>
    </row>
    <row r="186" spans="13:22">
      <c r="M186" s="401"/>
      <c r="N186" s="401"/>
      <c r="O186" s="438" t="s">
        <v>19321</v>
      </c>
      <c r="P186" s="425"/>
      <c r="Q186" s="399" t="s">
        <v>19322</v>
      </c>
      <c r="S186" s="399"/>
      <c r="T186" s="399"/>
      <c r="U186" s="399"/>
      <c r="V186" s="399"/>
    </row>
    <row r="187" spans="13:22">
      <c r="M187" s="401"/>
      <c r="N187" s="438" t="s">
        <v>19323</v>
      </c>
      <c r="O187" s="425"/>
      <c r="P187" s="425"/>
      <c r="Q187" s="399" t="s">
        <v>19324</v>
      </c>
      <c r="S187" s="399"/>
      <c r="T187" s="399"/>
      <c r="U187" s="399"/>
      <c r="V187" s="399"/>
    </row>
    <row r="188" spans="13:22">
      <c r="M188" s="401"/>
      <c r="N188" s="401"/>
      <c r="O188" s="438" t="s">
        <v>19325</v>
      </c>
      <c r="P188" s="425"/>
      <c r="Q188" s="399" t="s">
        <v>19326</v>
      </c>
      <c r="S188" s="399"/>
      <c r="T188" s="399"/>
      <c r="U188" s="399"/>
      <c r="V188" s="399"/>
    </row>
    <row r="189" spans="13:22">
      <c r="M189" s="401"/>
      <c r="N189" s="401"/>
      <c r="O189" s="438" t="s">
        <v>19327</v>
      </c>
      <c r="P189" s="425"/>
      <c r="Q189" s="399" t="s">
        <v>19328</v>
      </c>
      <c r="S189" s="399"/>
      <c r="T189" s="399"/>
      <c r="U189" s="399"/>
      <c r="V189" s="399"/>
    </row>
    <row r="190" spans="13:22">
      <c r="M190" s="401"/>
      <c r="N190" s="401"/>
      <c r="O190" s="438" t="s">
        <v>19329</v>
      </c>
      <c r="P190" s="425"/>
      <c r="Q190" s="399" t="s">
        <v>19330</v>
      </c>
      <c r="S190" s="399"/>
      <c r="T190" s="399"/>
      <c r="U190" s="399"/>
      <c r="V190" s="399"/>
    </row>
    <row r="191" spans="13:22">
      <c r="M191" s="401"/>
      <c r="N191" s="401"/>
      <c r="O191" s="401"/>
      <c r="P191" s="399" t="s">
        <v>19331</v>
      </c>
      <c r="Q191" s="399" t="s">
        <v>19332</v>
      </c>
      <c r="S191" s="399"/>
      <c r="T191" s="399"/>
      <c r="U191" s="399"/>
      <c r="V191" s="399"/>
    </row>
    <row r="192" spans="13:22">
      <c r="M192" s="401"/>
      <c r="N192" s="401"/>
      <c r="O192" s="401"/>
      <c r="P192" s="399" t="s">
        <v>19333</v>
      </c>
      <c r="Q192" s="399" t="s">
        <v>19334</v>
      </c>
      <c r="S192" s="399"/>
      <c r="T192" s="399"/>
      <c r="U192" s="399"/>
      <c r="V192" s="399"/>
    </row>
    <row r="193" spans="13:22">
      <c r="M193" s="401"/>
      <c r="N193" s="401"/>
      <c r="O193" s="401"/>
      <c r="P193" s="399" t="s">
        <v>19335</v>
      </c>
      <c r="Q193" s="399" t="s">
        <v>19336</v>
      </c>
      <c r="S193" s="399"/>
      <c r="T193" s="399"/>
      <c r="U193" s="399"/>
      <c r="V193" s="399"/>
    </row>
    <row r="194" spans="13:22">
      <c r="M194" s="401"/>
      <c r="N194" s="401"/>
      <c r="O194" s="401"/>
      <c r="P194" s="399" t="s">
        <v>19337</v>
      </c>
      <c r="Q194" s="399" t="s">
        <v>19338</v>
      </c>
      <c r="S194" s="399"/>
      <c r="T194" s="399"/>
      <c r="U194" s="399"/>
      <c r="V194" s="399"/>
    </row>
    <row r="195" spans="13:22">
      <c r="M195" s="401"/>
      <c r="N195" s="401"/>
      <c r="O195" s="438" t="s">
        <v>19339</v>
      </c>
      <c r="P195" s="425"/>
      <c r="Q195" s="399" t="s">
        <v>19340</v>
      </c>
      <c r="S195" s="399"/>
      <c r="T195" s="399"/>
      <c r="U195" s="399"/>
      <c r="V195" s="399"/>
    </row>
    <row r="196" spans="13:22">
      <c r="M196" s="401"/>
      <c r="N196" s="401"/>
      <c r="O196" s="401"/>
      <c r="P196" s="399" t="s">
        <v>19341</v>
      </c>
      <c r="Q196" s="399" t="s">
        <v>19342</v>
      </c>
      <c r="S196" s="399"/>
      <c r="T196" s="399"/>
      <c r="U196" s="399"/>
      <c r="V196" s="399"/>
    </row>
    <row r="197" spans="13:22">
      <c r="M197" s="401"/>
      <c r="N197" s="401"/>
      <c r="O197" s="401"/>
      <c r="P197" s="399" t="s">
        <v>19343</v>
      </c>
      <c r="Q197" s="399" t="s">
        <v>19344</v>
      </c>
      <c r="S197" s="399"/>
      <c r="T197" s="399"/>
      <c r="U197" s="399"/>
      <c r="V197" s="399"/>
    </row>
    <row r="198" spans="13:22">
      <c r="M198" s="401"/>
      <c r="N198" s="438" t="s">
        <v>19345</v>
      </c>
      <c r="O198" s="425"/>
      <c r="P198" s="425"/>
      <c r="Q198" s="399" t="s">
        <v>19346</v>
      </c>
      <c r="S198" s="399"/>
      <c r="T198" s="399"/>
      <c r="U198" s="399"/>
      <c r="V198" s="399"/>
    </row>
    <row r="199" spans="13:22">
      <c r="M199" s="401"/>
      <c r="N199" s="401"/>
      <c r="O199" s="438" t="s">
        <v>19347</v>
      </c>
      <c r="P199" s="425"/>
      <c r="Q199" s="399" t="s">
        <v>19348</v>
      </c>
      <c r="S199" s="399"/>
      <c r="T199" s="399"/>
      <c r="U199" s="399"/>
      <c r="V199" s="399"/>
    </row>
    <row r="200" spans="13:22">
      <c r="M200" s="401"/>
      <c r="N200" s="401"/>
      <c r="O200" s="438" t="s">
        <v>19349</v>
      </c>
      <c r="P200" s="425"/>
      <c r="Q200" s="399" t="s">
        <v>19350</v>
      </c>
      <c r="S200" s="399"/>
      <c r="T200" s="399"/>
      <c r="U200" s="399"/>
      <c r="V200" s="399"/>
    </row>
    <row r="201" spans="13:22">
      <c r="M201" s="401"/>
      <c r="N201" s="401"/>
      <c r="O201" s="438" t="s">
        <v>19351</v>
      </c>
      <c r="P201" s="425"/>
      <c r="Q201" s="399" t="s">
        <v>19352</v>
      </c>
      <c r="S201" s="399"/>
      <c r="T201" s="399"/>
      <c r="U201" s="399"/>
      <c r="V201" s="399"/>
    </row>
    <row r="202" spans="13:22">
      <c r="M202" s="401"/>
      <c r="N202" s="401"/>
      <c r="O202" s="401"/>
      <c r="P202" s="399" t="s">
        <v>19353</v>
      </c>
      <c r="Q202" s="399" t="s">
        <v>19354</v>
      </c>
      <c r="S202" s="399"/>
      <c r="T202" s="399"/>
      <c r="U202" s="399"/>
      <c r="V202" s="399"/>
    </row>
    <row r="203" spans="13:22">
      <c r="M203" s="401"/>
      <c r="N203" s="401"/>
      <c r="O203" s="401"/>
      <c r="P203" s="399" t="s">
        <v>19355</v>
      </c>
      <c r="Q203" s="399" t="s">
        <v>19356</v>
      </c>
      <c r="S203" s="399"/>
      <c r="T203" s="399"/>
      <c r="U203" s="399"/>
      <c r="V203" s="399"/>
    </row>
    <row r="204" spans="13:22">
      <c r="M204" s="401"/>
      <c r="N204" s="401"/>
      <c r="O204" s="401"/>
      <c r="P204" s="399" t="s">
        <v>19357</v>
      </c>
      <c r="Q204" s="399" t="s">
        <v>19358</v>
      </c>
      <c r="S204" s="399"/>
      <c r="T204" s="399"/>
      <c r="U204" s="399"/>
      <c r="V204" s="399"/>
    </row>
    <row r="205" spans="13:22">
      <c r="M205" s="401"/>
      <c r="N205" s="401"/>
      <c r="O205" s="401"/>
      <c r="P205" s="399" t="s">
        <v>19359</v>
      </c>
      <c r="Q205" s="399" t="s">
        <v>19360</v>
      </c>
      <c r="S205" s="399"/>
      <c r="T205" s="399"/>
      <c r="U205" s="399"/>
      <c r="V205" s="399"/>
    </row>
    <row r="206" spans="13:22">
      <c r="M206" s="401"/>
      <c r="N206" s="401"/>
      <c r="O206" s="438" t="s">
        <v>19361</v>
      </c>
      <c r="P206" s="425"/>
      <c r="Q206" s="399" t="s">
        <v>19362</v>
      </c>
      <c r="S206" s="399"/>
      <c r="T206" s="399"/>
      <c r="U206" s="399"/>
      <c r="V206" s="399"/>
    </row>
    <row r="207" spans="13:22">
      <c r="M207" s="401"/>
      <c r="N207" s="401"/>
      <c r="O207" s="401"/>
      <c r="P207" s="399" t="s">
        <v>19363</v>
      </c>
      <c r="Q207" s="399" t="s">
        <v>19364</v>
      </c>
      <c r="S207" s="399"/>
      <c r="T207" s="399"/>
      <c r="U207" s="399"/>
      <c r="V207" s="399"/>
    </row>
    <row r="208" spans="13:22">
      <c r="M208" s="401"/>
      <c r="N208" s="401"/>
      <c r="O208" s="401"/>
      <c r="P208" s="399" t="s">
        <v>19365</v>
      </c>
      <c r="Q208" s="399" t="s">
        <v>19366</v>
      </c>
      <c r="S208" s="399"/>
      <c r="T208" s="399"/>
      <c r="U208" s="399"/>
      <c r="V208" s="399"/>
    </row>
    <row r="209" spans="13:22">
      <c r="M209" s="401"/>
      <c r="N209" s="401"/>
      <c r="O209" s="401"/>
      <c r="P209" s="399" t="s">
        <v>19367</v>
      </c>
      <c r="Q209" s="399" t="s">
        <v>19368</v>
      </c>
      <c r="S209" s="399"/>
      <c r="T209" s="399"/>
      <c r="U209" s="399"/>
      <c r="V209" s="399"/>
    </row>
    <row r="210" spans="13:22">
      <c r="M210" s="401"/>
      <c r="N210" s="401"/>
      <c r="O210" s="438" t="s">
        <v>19369</v>
      </c>
      <c r="P210" s="425"/>
      <c r="Q210" s="399" t="s">
        <v>19370</v>
      </c>
      <c r="S210" s="399"/>
      <c r="T210" s="399"/>
      <c r="U210" s="399"/>
      <c r="V210" s="399"/>
    </row>
    <row r="211" spans="13:22">
      <c r="M211" s="401"/>
      <c r="N211" s="401"/>
      <c r="O211" s="401"/>
      <c r="P211" s="399" t="s">
        <v>19371</v>
      </c>
      <c r="Q211" s="399" t="s">
        <v>19372</v>
      </c>
      <c r="S211" s="399"/>
      <c r="T211" s="399"/>
      <c r="U211" s="399"/>
      <c r="V211" s="399"/>
    </row>
    <row r="212" spans="13:22">
      <c r="M212" s="401"/>
      <c r="N212" s="401"/>
      <c r="O212" s="401"/>
      <c r="P212" s="399" t="s">
        <v>19373</v>
      </c>
      <c r="Q212" s="399" t="s">
        <v>19374</v>
      </c>
      <c r="S212" s="399"/>
      <c r="T212" s="399"/>
      <c r="U212" s="399"/>
      <c r="V212" s="399"/>
    </row>
    <row r="213" spans="13:22">
      <c r="M213" s="401"/>
      <c r="N213" s="401"/>
      <c r="O213" s="401"/>
      <c r="P213" s="399" t="s">
        <v>19375</v>
      </c>
      <c r="Q213" s="399" t="s">
        <v>19344</v>
      </c>
      <c r="S213" s="399"/>
      <c r="T213" s="399"/>
      <c r="U213" s="399"/>
      <c r="V213" s="399"/>
    </row>
    <row r="214" spans="13:22">
      <c r="M214" s="401"/>
      <c r="N214" s="401"/>
      <c r="O214" s="401"/>
      <c r="P214" s="399" t="s">
        <v>19376</v>
      </c>
      <c r="Q214" s="399" t="s">
        <v>19377</v>
      </c>
      <c r="S214" s="399"/>
      <c r="T214" s="399"/>
      <c r="U214" s="399"/>
      <c r="V214" s="399"/>
    </row>
    <row r="215" spans="13:22">
      <c r="M215" s="401"/>
      <c r="N215" s="401"/>
      <c r="O215" s="401"/>
      <c r="P215" s="399" t="s">
        <v>19378</v>
      </c>
      <c r="Q215" s="399" t="s">
        <v>19379</v>
      </c>
      <c r="S215" s="399"/>
      <c r="T215" s="399"/>
      <c r="U215" s="399"/>
      <c r="V215" s="399"/>
    </row>
    <row r="216" spans="13:22">
      <c r="M216" s="401"/>
      <c r="N216" s="401"/>
      <c r="O216" s="438" t="s">
        <v>19380</v>
      </c>
      <c r="P216" s="425"/>
      <c r="Q216" s="399" t="s">
        <v>19381</v>
      </c>
      <c r="S216" s="399"/>
      <c r="T216" s="399"/>
      <c r="U216" s="399"/>
      <c r="V216" s="399"/>
    </row>
    <row r="217" spans="13:22">
      <c r="M217" s="401"/>
      <c r="N217" s="401"/>
      <c r="O217" s="401"/>
      <c r="P217" s="399" t="s">
        <v>19382</v>
      </c>
      <c r="Q217" s="399" t="s">
        <v>19383</v>
      </c>
      <c r="S217" s="399"/>
      <c r="T217" s="399"/>
      <c r="U217" s="399"/>
      <c r="V217" s="399"/>
    </row>
    <row r="218" spans="13:22">
      <c r="M218" s="401"/>
      <c r="N218" s="401"/>
      <c r="O218" s="401"/>
      <c r="P218" s="399" t="s">
        <v>19384</v>
      </c>
      <c r="Q218" s="399" t="s">
        <v>19385</v>
      </c>
      <c r="S218" s="399"/>
      <c r="T218" s="399"/>
      <c r="U218" s="399"/>
      <c r="V218" s="399"/>
    </row>
    <row r="219" spans="13:22">
      <c r="M219" s="401"/>
      <c r="N219" s="401"/>
      <c r="O219" s="401"/>
      <c r="P219" s="399" t="s">
        <v>19386</v>
      </c>
      <c r="Q219" s="399" t="s">
        <v>19387</v>
      </c>
      <c r="S219" s="399"/>
      <c r="T219" s="399"/>
      <c r="U219" s="399"/>
      <c r="V219" s="399"/>
    </row>
    <row r="220" spans="13:22">
      <c r="M220" s="401"/>
      <c r="N220" s="401"/>
      <c r="O220" s="401"/>
      <c r="P220" s="399" t="s">
        <v>19388</v>
      </c>
      <c r="Q220" s="399" t="s">
        <v>19389</v>
      </c>
      <c r="S220" s="399"/>
      <c r="T220" s="399"/>
      <c r="U220" s="399"/>
      <c r="V220" s="399"/>
    </row>
    <row r="221" spans="13:22">
      <c r="M221" s="401"/>
      <c r="N221" s="401"/>
      <c r="O221" s="438" t="s">
        <v>19390</v>
      </c>
      <c r="P221" s="425"/>
      <c r="Q221" s="399" t="s">
        <v>19391</v>
      </c>
      <c r="S221" s="399"/>
      <c r="T221" s="399"/>
      <c r="U221" s="399"/>
      <c r="V221" s="399"/>
    </row>
    <row r="222" spans="13:22">
      <c r="M222" s="401"/>
      <c r="N222" s="438" t="s">
        <v>19392</v>
      </c>
      <c r="O222" s="425"/>
      <c r="P222" s="425"/>
      <c r="Q222" s="399" t="s">
        <v>19393</v>
      </c>
      <c r="S222" s="399"/>
      <c r="T222" s="399"/>
      <c r="U222" s="399"/>
      <c r="V222" s="399"/>
    </row>
    <row r="223" spans="13:22">
      <c r="M223" s="401"/>
      <c r="N223" s="401"/>
      <c r="O223" s="438" t="s">
        <v>19394</v>
      </c>
      <c r="P223" s="425"/>
      <c r="Q223" s="399" t="s">
        <v>19395</v>
      </c>
      <c r="S223" s="399"/>
      <c r="T223" s="399"/>
      <c r="U223" s="399"/>
      <c r="V223" s="399"/>
    </row>
    <row r="224" spans="13:22">
      <c r="M224" s="401"/>
      <c r="N224" s="401"/>
      <c r="O224" s="438" t="s">
        <v>19396</v>
      </c>
      <c r="P224" s="425"/>
      <c r="Q224" s="399" t="s">
        <v>19397</v>
      </c>
      <c r="S224" s="399"/>
      <c r="T224" s="399"/>
      <c r="U224" s="399"/>
      <c r="V224" s="399"/>
    </row>
    <row r="225" spans="13:22">
      <c r="M225" s="401"/>
      <c r="N225" s="438" t="s">
        <v>19398</v>
      </c>
      <c r="O225" s="425"/>
      <c r="P225" s="425"/>
      <c r="Q225" s="399" t="s">
        <v>19399</v>
      </c>
      <c r="S225" s="399"/>
      <c r="T225" s="399"/>
      <c r="U225" s="399"/>
      <c r="V225" s="399"/>
    </row>
    <row r="226" spans="13:22">
      <c r="M226" s="401"/>
      <c r="N226" s="401"/>
      <c r="O226" s="438" t="s">
        <v>19400</v>
      </c>
      <c r="P226" s="425"/>
      <c r="Q226" s="399" t="s">
        <v>19401</v>
      </c>
      <c r="S226" s="399"/>
      <c r="T226" s="399"/>
      <c r="U226" s="399"/>
      <c r="V226" s="399"/>
    </row>
    <row r="227" spans="13:22">
      <c r="M227" s="401"/>
      <c r="N227" s="401"/>
      <c r="O227" s="401"/>
      <c r="P227" s="399" t="s">
        <v>19402</v>
      </c>
      <c r="Q227" s="399" t="s">
        <v>19403</v>
      </c>
      <c r="S227" s="399"/>
      <c r="T227" s="399"/>
      <c r="U227" s="399"/>
      <c r="V227" s="399"/>
    </row>
    <row r="228" spans="13:22">
      <c r="M228" s="401"/>
      <c r="N228" s="401"/>
      <c r="O228" s="401"/>
      <c r="P228" s="399" t="s">
        <v>19404</v>
      </c>
      <c r="Q228" s="399" t="s">
        <v>19405</v>
      </c>
      <c r="S228" s="399"/>
      <c r="T228" s="399"/>
      <c r="U228" s="399"/>
      <c r="V228" s="399"/>
    </row>
    <row r="229" spans="13:22">
      <c r="M229" s="401"/>
      <c r="N229" s="401"/>
      <c r="O229" s="401"/>
      <c r="P229" s="399" t="s">
        <v>19406</v>
      </c>
      <c r="Q229" s="399" t="s">
        <v>19407</v>
      </c>
      <c r="S229" s="399"/>
      <c r="T229" s="399"/>
      <c r="U229" s="399"/>
      <c r="V229" s="399"/>
    </row>
    <row r="230" spans="13:22">
      <c r="M230" s="401"/>
      <c r="N230" s="401"/>
      <c r="O230" s="401"/>
      <c r="P230" s="399" t="s">
        <v>19408</v>
      </c>
      <c r="Q230" s="399" t="s">
        <v>19409</v>
      </c>
      <c r="S230" s="399"/>
      <c r="T230" s="399"/>
      <c r="U230" s="399"/>
      <c r="V230" s="399"/>
    </row>
    <row r="231" spans="13:22">
      <c r="M231" s="401"/>
      <c r="N231" s="401"/>
      <c r="O231" s="401"/>
      <c r="P231" s="399" t="s">
        <v>19410</v>
      </c>
      <c r="Q231" s="399" t="s">
        <v>19411</v>
      </c>
      <c r="S231" s="399"/>
      <c r="T231" s="399"/>
      <c r="U231" s="399"/>
      <c r="V231" s="399"/>
    </row>
    <row r="232" spans="13:22">
      <c r="M232" s="401"/>
      <c r="N232" s="401"/>
      <c r="O232" s="401"/>
      <c r="P232" s="399" t="s">
        <v>19412</v>
      </c>
      <c r="Q232" s="399" t="s">
        <v>19413</v>
      </c>
      <c r="S232" s="399"/>
      <c r="T232" s="399"/>
      <c r="U232" s="399"/>
      <c r="V232" s="399"/>
    </row>
    <row r="233" spans="13:22">
      <c r="M233" s="401"/>
      <c r="N233" s="401"/>
      <c r="O233" s="438" t="s">
        <v>19414</v>
      </c>
      <c r="P233" s="425"/>
      <c r="Q233" s="399" t="s">
        <v>19415</v>
      </c>
      <c r="S233" s="399"/>
      <c r="T233" s="399"/>
      <c r="U233" s="399"/>
      <c r="V233" s="399"/>
    </row>
    <row r="234" spans="13:22">
      <c r="M234" s="401"/>
      <c r="N234" s="401"/>
      <c r="O234" s="401"/>
      <c r="P234" s="399" t="s">
        <v>19416</v>
      </c>
      <c r="Q234" s="399" t="s">
        <v>19417</v>
      </c>
      <c r="S234" s="399"/>
      <c r="T234" s="399"/>
      <c r="U234" s="399"/>
      <c r="V234" s="399"/>
    </row>
    <row r="235" spans="13:22">
      <c r="M235" s="401"/>
      <c r="N235" s="401"/>
      <c r="O235" s="401"/>
      <c r="P235" s="399" t="s">
        <v>19418</v>
      </c>
      <c r="Q235" s="399" t="s">
        <v>19419</v>
      </c>
      <c r="S235" s="399"/>
      <c r="T235" s="399"/>
      <c r="U235" s="399"/>
      <c r="V235" s="399"/>
    </row>
    <row r="236" spans="13:22">
      <c r="M236" s="401"/>
      <c r="N236" s="401"/>
      <c r="O236" s="401"/>
      <c r="P236" s="399" t="s">
        <v>19420</v>
      </c>
      <c r="Q236" s="399" t="s">
        <v>19421</v>
      </c>
      <c r="S236" s="399"/>
      <c r="T236" s="399"/>
      <c r="U236" s="399"/>
      <c r="V236" s="399"/>
    </row>
    <row r="237" spans="13:22">
      <c r="M237" s="401"/>
      <c r="N237" s="401"/>
      <c r="O237" s="401"/>
      <c r="P237" s="399" t="s">
        <v>19422</v>
      </c>
      <c r="Q237" s="399" t="s">
        <v>19423</v>
      </c>
      <c r="S237" s="399"/>
      <c r="T237" s="399"/>
      <c r="U237" s="399"/>
      <c r="V237" s="399"/>
    </row>
    <row r="238" spans="13:22">
      <c r="M238" s="401"/>
      <c r="N238" s="401"/>
      <c r="O238" s="401"/>
      <c r="P238" s="399" t="s">
        <v>19424</v>
      </c>
      <c r="Q238" s="399" t="s">
        <v>19425</v>
      </c>
      <c r="S238" s="399"/>
      <c r="T238" s="399"/>
      <c r="U238" s="399"/>
      <c r="V238" s="399"/>
    </row>
    <row r="239" spans="13:22">
      <c r="M239" s="437" t="s">
        <v>19426</v>
      </c>
      <c r="N239" s="425"/>
      <c r="O239" s="425"/>
      <c r="P239" s="425"/>
      <c r="Q239" s="400" t="s">
        <v>19427</v>
      </c>
      <c r="S239" s="400"/>
      <c r="T239" s="400"/>
      <c r="U239" s="400"/>
      <c r="V239" s="400"/>
    </row>
    <row r="240" spans="13:22">
      <c r="M240" s="401"/>
      <c r="N240" s="438" t="s">
        <v>19428</v>
      </c>
      <c r="O240" s="425"/>
      <c r="P240" s="425"/>
      <c r="Q240" s="399" t="s">
        <v>19429</v>
      </c>
      <c r="S240" s="399"/>
      <c r="T240" s="399"/>
      <c r="U240" s="399"/>
      <c r="V240" s="399"/>
    </row>
    <row r="241" spans="13:22">
      <c r="M241" s="401"/>
      <c r="N241" s="401"/>
      <c r="O241" s="438" t="s">
        <v>19430</v>
      </c>
      <c r="P241" s="425"/>
      <c r="Q241" s="399" t="s">
        <v>19431</v>
      </c>
      <c r="S241" s="399"/>
      <c r="T241" s="399"/>
      <c r="U241" s="399"/>
      <c r="V241" s="399"/>
    </row>
    <row r="242" spans="13:22">
      <c r="M242" s="401"/>
      <c r="N242" s="401"/>
      <c r="O242" s="401"/>
      <c r="P242" s="399" t="s">
        <v>19432</v>
      </c>
      <c r="Q242" s="399" t="s">
        <v>19433</v>
      </c>
      <c r="S242" s="399"/>
      <c r="T242" s="399"/>
      <c r="U242" s="399"/>
      <c r="V242" s="399"/>
    </row>
    <row r="243" spans="13:22">
      <c r="M243" s="401"/>
      <c r="N243" s="401"/>
      <c r="O243" s="401"/>
      <c r="P243" s="399" t="s">
        <v>19434</v>
      </c>
      <c r="Q243" s="399" t="s">
        <v>19435</v>
      </c>
      <c r="S243" s="399"/>
      <c r="T243" s="399"/>
      <c r="U243" s="399"/>
      <c r="V243" s="399"/>
    </row>
    <row r="244" spans="13:22">
      <c r="M244" s="401"/>
      <c r="N244" s="401"/>
      <c r="O244" s="401"/>
      <c r="P244" s="399" t="s">
        <v>19436</v>
      </c>
      <c r="Q244" s="399" t="s">
        <v>19437</v>
      </c>
      <c r="S244" s="399"/>
      <c r="T244" s="399"/>
      <c r="U244" s="399"/>
      <c r="V244" s="399"/>
    </row>
    <row r="245" spans="13:22">
      <c r="M245" s="401"/>
      <c r="N245" s="401"/>
      <c r="O245" s="401"/>
      <c r="P245" s="399" t="s">
        <v>19438</v>
      </c>
      <c r="Q245" s="399" t="s">
        <v>19439</v>
      </c>
      <c r="S245" s="399"/>
      <c r="T245" s="399"/>
      <c r="U245" s="399"/>
      <c r="V245" s="399"/>
    </row>
    <row r="246" spans="13:22">
      <c r="M246" s="401"/>
      <c r="N246" s="401"/>
      <c r="O246" s="401"/>
      <c r="P246" s="399" t="s">
        <v>19440</v>
      </c>
      <c r="Q246" s="399" t="s">
        <v>19441</v>
      </c>
      <c r="S246" s="399"/>
      <c r="T246" s="399"/>
      <c r="U246" s="399"/>
      <c r="V246" s="399"/>
    </row>
    <row r="247" spans="13:22">
      <c r="M247" s="401"/>
      <c r="N247" s="401"/>
      <c r="O247" s="438" t="s">
        <v>19442</v>
      </c>
      <c r="P247" s="425"/>
      <c r="Q247" s="399" t="s">
        <v>19443</v>
      </c>
      <c r="S247" s="399"/>
      <c r="T247" s="399"/>
      <c r="U247" s="399"/>
      <c r="V247" s="399"/>
    </row>
    <row r="248" spans="13:22">
      <c r="M248" s="401"/>
      <c r="N248" s="438" t="s">
        <v>19444</v>
      </c>
      <c r="O248" s="425"/>
      <c r="P248" s="425"/>
      <c r="Q248" s="399" t="s">
        <v>19445</v>
      </c>
      <c r="S248" s="399"/>
      <c r="T248" s="399"/>
      <c r="U248" s="399"/>
      <c r="V248" s="399"/>
    </row>
    <row r="249" spans="13:22">
      <c r="M249" s="401"/>
      <c r="N249" s="401"/>
      <c r="O249" s="438" t="s">
        <v>19446</v>
      </c>
      <c r="P249" s="425"/>
      <c r="Q249" s="399" t="s">
        <v>19447</v>
      </c>
      <c r="S249" s="399"/>
      <c r="T249" s="399"/>
      <c r="U249" s="399"/>
      <c r="V249" s="399"/>
    </row>
    <row r="250" spans="13:22">
      <c r="M250" s="401"/>
      <c r="N250" s="401"/>
      <c r="O250" s="438" t="s">
        <v>19448</v>
      </c>
      <c r="P250" s="425"/>
      <c r="Q250" s="399" t="s">
        <v>19449</v>
      </c>
      <c r="S250" s="399"/>
      <c r="T250" s="399"/>
      <c r="U250" s="399"/>
      <c r="V250" s="399"/>
    </row>
    <row r="251" spans="13:22">
      <c r="M251" s="401"/>
      <c r="N251" s="401"/>
      <c r="O251" s="438" t="s">
        <v>19450</v>
      </c>
      <c r="P251" s="425"/>
      <c r="Q251" s="399" t="s">
        <v>19451</v>
      </c>
      <c r="S251" s="399"/>
      <c r="T251" s="399"/>
      <c r="U251" s="399"/>
      <c r="V251" s="399"/>
    </row>
    <row r="252" spans="13:22">
      <c r="M252" s="401"/>
      <c r="N252" s="401"/>
      <c r="O252" s="438" t="s">
        <v>19452</v>
      </c>
      <c r="P252" s="425"/>
      <c r="Q252" s="399" t="s">
        <v>19453</v>
      </c>
      <c r="S252" s="399"/>
      <c r="T252" s="399"/>
      <c r="U252" s="399"/>
      <c r="V252" s="399"/>
    </row>
    <row r="253" spans="13:22">
      <c r="M253" s="401"/>
      <c r="N253" s="401"/>
      <c r="O253" s="438" t="s">
        <v>19454</v>
      </c>
      <c r="P253" s="425"/>
      <c r="Q253" s="399" t="s">
        <v>19455</v>
      </c>
      <c r="S253" s="399"/>
      <c r="T253" s="399"/>
      <c r="U253" s="399"/>
      <c r="V253" s="399"/>
    </row>
    <row r="254" spans="13:22">
      <c r="M254" s="401"/>
      <c r="N254" s="401"/>
      <c r="O254" s="401"/>
      <c r="P254" s="399" t="s">
        <v>19456</v>
      </c>
      <c r="Q254" s="399" t="s">
        <v>19457</v>
      </c>
      <c r="S254" s="399"/>
      <c r="T254" s="399"/>
      <c r="U254" s="399"/>
      <c r="V254" s="399"/>
    </row>
    <row r="255" spans="13:22">
      <c r="M255" s="401"/>
      <c r="N255" s="401"/>
      <c r="O255" s="401"/>
      <c r="P255" s="399" t="s">
        <v>19458</v>
      </c>
      <c r="Q255" s="399" t="s">
        <v>19459</v>
      </c>
      <c r="S255" s="399"/>
      <c r="T255" s="399"/>
      <c r="U255" s="399"/>
      <c r="V255" s="399"/>
    </row>
    <row r="256" spans="13:22">
      <c r="M256" s="401"/>
      <c r="N256" s="401"/>
      <c r="O256" s="401"/>
      <c r="P256" s="399" t="s">
        <v>19460</v>
      </c>
      <c r="Q256" s="399" t="s">
        <v>19461</v>
      </c>
      <c r="S256" s="399"/>
      <c r="T256" s="399"/>
      <c r="U256" s="399"/>
      <c r="V256" s="399"/>
    </row>
    <row r="257" spans="13:22">
      <c r="M257" s="401"/>
      <c r="N257" s="401"/>
      <c r="O257" s="438" t="s">
        <v>19462</v>
      </c>
      <c r="P257" s="425"/>
      <c r="Q257" s="399" t="s">
        <v>19463</v>
      </c>
      <c r="S257" s="399"/>
      <c r="T257" s="399"/>
      <c r="U257" s="399"/>
      <c r="V257" s="399"/>
    </row>
    <row r="258" spans="13:22">
      <c r="M258" s="401"/>
      <c r="N258" s="401"/>
      <c r="O258" s="438" t="s">
        <v>19464</v>
      </c>
      <c r="P258" s="425"/>
      <c r="Q258" s="399" t="s">
        <v>19465</v>
      </c>
      <c r="S258" s="399"/>
      <c r="T258" s="399"/>
      <c r="U258" s="399"/>
      <c r="V258" s="399"/>
    </row>
    <row r="259" spans="13:22">
      <c r="M259" s="401"/>
      <c r="N259" s="401"/>
      <c r="O259" s="401"/>
      <c r="P259" s="399" t="s">
        <v>19466</v>
      </c>
      <c r="Q259" s="399" t="s">
        <v>19467</v>
      </c>
      <c r="S259" s="399"/>
      <c r="T259" s="399"/>
      <c r="U259" s="399"/>
      <c r="V259" s="399"/>
    </row>
    <row r="260" spans="13:22">
      <c r="M260" s="401"/>
      <c r="N260" s="401"/>
      <c r="O260" s="401"/>
      <c r="P260" s="399" t="s">
        <v>19468</v>
      </c>
      <c r="Q260" s="399" t="s">
        <v>19469</v>
      </c>
      <c r="S260" s="399"/>
      <c r="T260" s="399"/>
      <c r="U260" s="399"/>
      <c r="V260" s="399"/>
    </row>
    <row r="261" spans="13:22">
      <c r="M261" s="401"/>
      <c r="N261" s="401"/>
      <c r="O261" s="438" t="s">
        <v>19470</v>
      </c>
      <c r="P261" s="425"/>
      <c r="Q261" s="399" t="s">
        <v>19471</v>
      </c>
      <c r="S261" s="399"/>
      <c r="T261" s="399"/>
      <c r="U261" s="399"/>
      <c r="V261" s="399"/>
    </row>
    <row r="262" spans="13:22">
      <c r="M262" s="401"/>
      <c r="N262" s="401"/>
      <c r="O262" s="401"/>
      <c r="P262" s="399" t="s">
        <v>19472</v>
      </c>
      <c r="Q262" s="399" t="s">
        <v>19473</v>
      </c>
      <c r="S262" s="399"/>
      <c r="T262" s="399"/>
      <c r="U262" s="399"/>
      <c r="V262" s="399"/>
    </row>
    <row r="263" spans="13:22">
      <c r="M263" s="401"/>
      <c r="N263" s="401"/>
      <c r="O263" s="401"/>
      <c r="P263" s="399" t="s">
        <v>19474</v>
      </c>
      <c r="Q263" s="399" t="s">
        <v>19475</v>
      </c>
      <c r="S263" s="399"/>
      <c r="T263" s="399"/>
      <c r="U263" s="399"/>
      <c r="V263" s="399"/>
    </row>
    <row r="264" spans="13:22">
      <c r="M264" s="401"/>
      <c r="N264" s="401"/>
      <c r="O264" s="438" t="s">
        <v>19476</v>
      </c>
      <c r="P264" s="425"/>
      <c r="Q264" s="399" t="s">
        <v>19477</v>
      </c>
      <c r="S264" s="399"/>
      <c r="T264" s="399"/>
      <c r="U264" s="399"/>
      <c r="V264" s="399"/>
    </row>
    <row r="265" spans="13:22">
      <c r="M265" s="401"/>
      <c r="N265" s="401"/>
      <c r="O265" s="438" t="s">
        <v>19478</v>
      </c>
      <c r="P265" s="425"/>
      <c r="Q265" s="399" t="s">
        <v>19479</v>
      </c>
      <c r="S265" s="399"/>
      <c r="T265" s="399"/>
      <c r="U265" s="399"/>
      <c r="V265" s="399"/>
    </row>
    <row r="266" spans="13:22">
      <c r="M266" s="401"/>
      <c r="N266" s="438" t="s">
        <v>19480</v>
      </c>
      <c r="O266" s="425"/>
      <c r="P266" s="425"/>
      <c r="Q266" s="399" t="s">
        <v>19481</v>
      </c>
      <c r="S266" s="399"/>
      <c r="T266" s="399"/>
      <c r="U266" s="399"/>
      <c r="V266" s="399"/>
    </row>
    <row r="267" spans="13:22">
      <c r="M267" s="401"/>
      <c r="N267" s="401"/>
      <c r="O267" s="438" t="s">
        <v>19482</v>
      </c>
      <c r="P267" s="425"/>
      <c r="Q267" s="399" t="s">
        <v>19483</v>
      </c>
      <c r="S267" s="399"/>
      <c r="T267" s="399"/>
      <c r="U267" s="399"/>
      <c r="V267" s="399"/>
    </row>
    <row r="268" spans="13:22">
      <c r="M268" s="401"/>
      <c r="N268" s="401"/>
      <c r="O268" s="438" t="s">
        <v>19484</v>
      </c>
      <c r="P268" s="425"/>
      <c r="Q268" s="399" t="s">
        <v>19485</v>
      </c>
      <c r="S268" s="399"/>
      <c r="T268" s="399"/>
      <c r="U268" s="399"/>
      <c r="V268" s="399"/>
    </row>
    <row r="269" spans="13:22">
      <c r="M269" s="401"/>
      <c r="N269" s="401"/>
      <c r="O269" s="401"/>
      <c r="P269" s="399" t="s">
        <v>19486</v>
      </c>
      <c r="Q269" s="399" t="s">
        <v>19487</v>
      </c>
      <c r="S269" s="399"/>
      <c r="T269" s="399"/>
      <c r="U269" s="399"/>
      <c r="V269" s="399"/>
    </row>
    <row r="270" spans="13:22">
      <c r="M270" s="401"/>
      <c r="N270" s="401"/>
      <c r="O270" s="401"/>
      <c r="P270" s="399" t="s">
        <v>19488</v>
      </c>
      <c r="Q270" s="399" t="s">
        <v>19489</v>
      </c>
      <c r="S270" s="399"/>
      <c r="T270" s="399"/>
      <c r="U270" s="399"/>
      <c r="V270" s="399"/>
    </row>
    <row r="271" spans="13:22">
      <c r="M271" s="401"/>
      <c r="N271" s="401"/>
      <c r="O271" s="401"/>
      <c r="P271" s="399" t="s">
        <v>19490</v>
      </c>
      <c r="Q271" s="399" t="s">
        <v>19491</v>
      </c>
      <c r="S271" s="399"/>
      <c r="T271" s="399"/>
      <c r="U271" s="399"/>
      <c r="V271" s="399"/>
    </row>
    <row r="272" spans="13:22">
      <c r="M272" s="401"/>
      <c r="N272" s="438" t="s">
        <v>19492</v>
      </c>
      <c r="O272" s="425"/>
      <c r="P272" s="425"/>
      <c r="Q272" s="399" t="s">
        <v>19493</v>
      </c>
      <c r="S272" s="399"/>
      <c r="T272" s="399"/>
      <c r="U272" s="399"/>
      <c r="V272" s="399"/>
    </row>
    <row r="273" spans="13:22">
      <c r="M273" s="401"/>
      <c r="N273" s="401"/>
      <c r="O273" s="438" t="s">
        <v>19494</v>
      </c>
      <c r="P273" s="425"/>
      <c r="Q273" s="399" t="s">
        <v>19495</v>
      </c>
      <c r="S273" s="399"/>
      <c r="T273" s="399"/>
      <c r="U273" s="399"/>
      <c r="V273" s="399"/>
    </row>
    <row r="274" spans="13:22">
      <c r="M274" s="401"/>
      <c r="N274" s="401"/>
      <c r="O274" s="438" t="s">
        <v>19496</v>
      </c>
      <c r="P274" s="425"/>
      <c r="Q274" s="399" t="s">
        <v>19497</v>
      </c>
      <c r="S274" s="399"/>
      <c r="T274" s="399"/>
      <c r="U274" s="399"/>
      <c r="V274" s="399"/>
    </row>
    <row r="275" spans="13:22">
      <c r="M275" s="402"/>
    </row>
  </sheetData>
  <mergeCells count="189">
    <mergeCell ref="M239:P239"/>
    <mergeCell ref="N240:P240"/>
    <mergeCell ref="O241:P241"/>
    <mergeCell ref="O247:P247"/>
    <mergeCell ref="N248:P248"/>
    <mergeCell ref="O249:P249"/>
    <mergeCell ref="O250:P250"/>
    <mergeCell ref="N169:P169"/>
    <mergeCell ref="O170:P170"/>
    <mergeCell ref="O171:P171"/>
    <mergeCell ref="O172:P172"/>
    <mergeCell ref="O173:P173"/>
    <mergeCell ref="O174:P174"/>
    <mergeCell ref="O175:P175"/>
    <mergeCell ref="O176:P176"/>
    <mergeCell ref="O177:P177"/>
    <mergeCell ref="O156:P156"/>
    <mergeCell ref="O161:P161"/>
    <mergeCell ref="O162:P162"/>
    <mergeCell ref="O163:P163"/>
    <mergeCell ref="N164:P164"/>
    <mergeCell ref="O165:P165"/>
    <mergeCell ref="O166:P166"/>
    <mergeCell ref="O167:P167"/>
    <mergeCell ref="O168:P168"/>
    <mergeCell ref="O147:P147"/>
    <mergeCell ref="O148:P148"/>
    <mergeCell ref="O149:P149"/>
    <mergeCell ref="O150:P150"/>
    <mergeCell ref="O151:P151"/>
    <mergeCell ref="O152:P152"/>
    <mergeCell ref="O153:P153"/>
    <mergeCell ref="N154:P154"/>
    <mergeCell ref="O155:P155"/>
    <mergeCell ref="O265:P265"/>
    <mergeCell ref="N266:P266"/>
    <mergeCell ref="O267:P267"/>
    <mergeCell ref="O268:P268"/>
    <mergeCell ref="N272:P272"/>
    <mergeCell ref="O273:P273"/>
    <mergeCell ref="O274:P274"/>
    <mergeCell ref="O251:P251"/>
    <mergeCell ref="O252:P252"/>
    <mergeCell ref="O253:P253"/>
    <mergeCell ref="O257:P257"/>
    <mergeCell ref="O258:P258"/>
    <mergeCell ref="O261:P261"/>
    <mergeCell ref="O264:P264"/>
    <mergeCell ref="O210:P210"/>
    <mergeCell ref="O216:P216"/>
    <mergeCell ref="O221:P221"/>
    <mergeCell ref="N222:P222"/>
    <mergeCell ref="O223:P223"/>
    <mergeCell ref="O224:P224"/>
    <mergeCell ref="N225:P225"/>
    <mergeCell ref="O226:P226"/>
    <mergeCell ref="O233:P233"/>
    <mergeCell ref="O188:P188"/>
    <mergeCell ref="O189:P189"/>
    <mergeCell ref="O190:P190"/>
    <mergeCell ref="O195:P195"/>
    <mergeCell ref="N198:P198"/>
    <mergeCell ref="O199:P199"/>
    <mergeCell ref="O200:P200"/>
    <mergeCell ref="O201:P201"/>
    <mergeCell ref="O206:P206"/>
    <mergeCell ref="O179:P179"/>
    <mergeCell ref="N180:P180"/>
    <mergeCell ref="O181:P181"/>
    <mergeCell ref="O182:P182"/>
    <mergeCell ref="O183:P183"/>
    <mergeCell ref="O184:P184"/>
    <mergeCell ref="O185:P185"/>
    <mergeCell ref="O186:P186"/>
    <mergeCell ref="N187:P187"/>
    <mergeCell ref="O122:P122"/>
    <mergeCell ref="O123:P123"/>
    <mergeCell ref="O124:P124"/>
    <mergeCell ref="O125:P125"/>
    <mergeCell ref="O126:P126"/>
    <mergeCell ref="O127:P127"/>
    <mergeCell ref="O128:P128"/>
    <mergeCell ref="O129:P129"/>
    <mergeCell ref="O178:P178"/>
    <mergeCell ref="O130:P130"/>
    <mergeCell ref="O131:P131"/>
    <mergeCell ref="O132:P132"/>
    <mergeCell ref="O133:P133"/>
    <mergeCell ref="O134:P134"/>
    <mergeCell ref="O135:P135"/>
    <mergeCell ref="O136:P136"/>
    <mergeCell ref="O137:P137"/>
    <mergeCell ref="O138:P138"/>
    <mergeCell ref="O139:P139"/>
    <mergeCell ref="O140:P140"/>
    <mergeCell ref="N141:P141"/>
    <mergeCell ref="O142:P142"/>
    <mergeCell ref="O143:P143"/>
    <mergeCell ref="O144:P144"/>
    <mergeCell ref="O108:P108"/>
    <mergeCell ref="O109:P109"/>
    <mergeCell ref="O114:P114"/>
    <mergeCell ref="O115:P115"/>
    <mergeCell ref="O116:P116"/>
    <mergeCell ref="O117:P117"/>
    <mergeCell ref="O118:P118"/>
    <mergeCell ref="O119:P119"/>
    <mergeCell ref="O121:P121"/>
    <mergeCell ref="O99:P99"/>
    <mergeCell ref="N100:P100"/>
    <mergeCell ref="M101:P101"/>
    <mergeCell ref="N102:P102"/>
    <mergeCell ref="O103:P103"/>
    <mergeCell ref="O104:P104"/>
    <mergeCell ref="O105:P105"/>
    <mergeCell ref="O106:P106"/>
    <mergeCell ref="O107:P107"/>
    <mergeCell ref="N90:P90"/>
    <mergeCell ref="O91:P91"/>
    <mergeCell ref="O92:P92"/>
    <mergeCell ref="O93:P93"/>
    <mergeCell ref="O94:P94"/>
    <mergeCell ref="N95:P95"/>
    <mergeCell ref="O96:P96"/>
    <mergeCell ref="O97:P97"/>
    <mergeCell ref="O98:P98"/>
    <mergeCell ref="N81:P81"/>
    <mergeCell ref="N82:P82"/>
    <mergeCell ref="N83:P83"/>
    <mergeCell ref="M84:P84"/>
    <mergeCell ref="N85:P85"/>
    <mergeCell ref="N86:P86"/>
    <mergeCell ref="N87:P87"/>
    <mergeCell ref="N88:P88"/>
    <mergeCell ref="M89:P89"/>
    <mergeCell ref="N72:P72"/>
    <mergeCell ref="N73:P73"/>
    <mergeCell ref="N74:P74"/>
    <mergeCell ref="N75:P75"/>
    <mergeCell ref="N76:P76"/>
    <mergeCell ref="N77:P77"/>
    <mergeCell ref="M78:P78"/>
    <mergeCell ref="N79:P79"/>
    <mergeCell ref="N80:P80"/>
    <mergeCell ref="N63:P63"/>
    <mergeCell ref="N64:P64"/>
    <mergeCell ref="O65:P65"/>
    <mergeCell ref="N66:P66"/>
    <mergeCell ref="N67:P67"/>
    <mergeCell ref="M68:P68"/>
    <mergeCell ref="N69:P69"/>
    <mergeCell ref="N70:P70"/>
    <mergeCell ref="N71:P71"/>
    <mergeCell ref="N54:P54"/>
    <mergeCell ref="N55:P55"/>
    <mergeCell ref="O56:P56"/>
    <mergeCell ref="N57:P57"/>
    <mergeCell ref="N58:P58"/>
    <mergeCell ref="N59:P59"/>
    <mergeCell ref="N60:P60"/>
    <mergeCell ref="N61:P61"/>
    <mergeCell ref="N62:P62"/>
    <mergeCell ref="O45:P45"/>
    <mergeCell ref="N46:P46"/>
    <mergeCell ref="N47:P47"/>
    <mergeCell ref="N48:P48"/>
    <mergeCell ref="N49:P49"/>
    <mergeCell ref="N50:P50"/>
    <mergeCell ref="N51:P51"/>
    <mergeCell ref="M52:P52"/>
    <mergeCell ref="N53:P53"/>
    <mergeCell ref="O36:P36"/>
    <mergeCell ref="O37:P37"/>
    <mergeCell ref="N38:P38"/>
    <mergeCell ref="N39:P39"/>
    <mergeCell ref="N40:P40"/>
    <mergeCell ref="N41:P41"/>
    <mergeCell ref="O42:P42"/>
    <mergeCell ref="O43:P43"/>
    <mergeCell ref="O44:P44"/>
    <mergeCell ref="M25:P25"/>
    <mergeCell ref="M26:P26"/>
    <mergeCell ref="N27:P27"/>
    <mergeCell ref="O28:P28"/>
    <mergeCell ref="O29:P29"/>
    <mergeCell ref="M32:P32"/>
    <mergeCell ref="N33:P33"/>
    <mergeCell ref="N34:P34"/>
    <mergeCell ref="O35:P35"/>
  </mergeCells>
  <hyperlinks>
    <hyperlink ref="J1" r:id="rId1" xr:uid="{00000000-0004-0000-1B00-000000000000}"/>
    <hyperlink ref="M2" r:id="rId2" xr:uid="{00000000-0004-0000-1B00-000001000000}"/>
    <hyperlink ref="I5" r:id="rId3" xr:uid="{00000000-0004-0000-1B00-000002000000}"/>
    <hyperlink ref="I6" r:id="rId4" xr:uid="{00000000-0004-0000-1B00-000003000000}"/>
    <hyperlink ref="G19" r:id="rId5" xr:uid="{00000000-0004-0000-1B00-000004000000}"/>
    <hyperlink ref="N20" r:id="rId6" xr:uid="{00000000-0004-0000-1B00-000005000000}"/>
  </hyperlinks>
  <pageMargins left="0.7" right="0.7" top="0.75" bottom="0.75" header="0.3" footer="0.3"/>
  <drawing r:id="rId7"/>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outlinePr summaryBelow="0" summaryRight="0"/>
  </sheetPr>
  <dimension ref="A1:B29"/>
  <sheetViews>
    <sheetView workbookViewId="0"/>
  </sheetViews>
  <sheetFormatPr defaultColWidth="14.42578125" defaultRowHeight="15.75" customHeight="1"/>
  <cols>
    <col min="1" max="1" width="28.42578125" customWidth="1"/>
    <col min="2" max="2" width="131.42578125" hidden="1" customWidth="1"/>
  </cols>
  <sheetData>
    <row r="1" spans="1:2">
      <c r="A1" s="45" t="str">
        <f ca="1">IFERROR(__xludf.DUMMYFUNCTION("UNIQUE(QUERY(db,""select C where C is not NULL order by C""))"),"BCG")</f>
        <v>BCG</v>
      </c>
    </row>
    <row r="2" spans="1:2">
      <c r="A2" s="45" t="str">
        <f ca="1">IFERROR(__xludf.DUMMYFUNCTION("""COMPUTED_VALUE"""),"Bordetella pertussis")</f>
        <v>Bordetella pertussis</v>
      </c>
    </row>
    <row r="3" spans="1:2">
      <c r="A3" s="45" t="str">
        <f ca="1">IFERROR(__xludf.DUMMYFUNCTION("""COMPUTED_VALUE"""),"Campylobacter jejuni")</f>
        <v>Campylobacter jejuni</v>
      </c>
    </row>
    <row r="4" spans="1:2">
      <c r="A4" s="45" t="str">
        <f ca="1">IFERROR(__xludf.DUMMYFUNCTION("""COMPUTED_VALUE"""),"Coronavirus")</f>
        <v>Coronavirus</v>
      </c>
    </row>
    <row r="5" spans="1:2">
      <c r="A5" s="45" t="str">
        <f ca="1">IFERROR(__xludf.DUMMYFUNCTION("""COMPUTED_VALUE"""),"Coxsackievirus A21")</f>
        <v>Coxsackievirus A21</v>
      </c>
    </row>
    <row r="6" spans="1:2">
      <c r="A6" s="45" t="str">
        <f ca="1">IFERROR(__xludf.DUMMYFUNCTION("""COMPUTED_VALUE"""),"Cryptosporidium spp.")</f>
        <v>Cryptosporidium spp.</v>
      </c>
    </row>
    <row r="7" spans="1:2">
      <c r="A7" s="45" t="str">
        <f ca="1">IFERROR(__xludf.DUMMYFUNCTION("""COMPUTED_VALUE"""),"Dengue virus")</f>
        <v>Dengue virus</v>
      </c>
    </row>
    <row r="8" spans="1:2">
      <c r="A8" s="45" t="str">
        <f ca="1">IFERROR(__xludf.DUMMYFUNCTION("""COMPUTED_VALUE"""),"Escherichia coli")</f>
        <v>Escherichia coli</v>
      </c>
    </row>
    <row r="9" spans="1:2">
      <c r="A9" s="45" t="str">
        <f ca="1">IFERROR(__xludf.DUMMYFUNCTION("""COMPUTED_VALUE"""),"Giardia lamblia")</f>
        <v>Giardia lamblia</v>
      </c>
    </row>
    <row r="10" spans="1:2">
      <c r="A10" s="45" t="str">
        <f ca="1">IFERROR(__xludf.DUMMYFUNCTION("""COMPUTED_VALUE"""),"Haemophilus ducreyi")</f>
        <v>Haemophilus ducreyi</v>
      </c>
    </row>
    <row r="11" spans="1:2">
      <c r="A11" s="45" t="str">
        <f ca="1">IFERROR(__xludf.DUMMYFUNCTION("""COMPUTED_VALUE"""),"Haemophilus influenzae")</f>
        <v>Haemophilus influenzae</v>
      </c>
      <c r="B11" s="280" t="s">
        <v>19498</v>
      </c>
    </row>
    <row r="12" spans="1:2">
      <c r="A12" s="45" t="str">
        <f ca="1">IFERROR(__xludf.DUMMYFUNCTION("""COMPUTED_VALUE"""),"Helicobacter pylori")</f>
        <v>Helicobacter pylori</v>
      </c>
      <c r="B12" s="280" t="s">
        <v>19499</v>
      </c>
    </row>
    <row r="13" spans="1:2">
      <c r="A13" s="45" t="str">
        <f ca="1">IFERROR(__xludf.DUMMYFUNCTION("""COMPUTED_VALUE"""),"Influenza viruses")</f>
        <v>Influenza viruses</v>
      </c>
      <c r="B13" s="281" t="s">
        <v>19500</v>
      </c>
    </row>
    <row r="14" spans="1:2">
      <c r="A14" s="45" t="str">
        <f ca="1">IFERROR(__xludf.DUMMYFUNCTION("""COMPUTED_VALUE"""),"Necator americanus")</f>
        <v>Necator americanus</v>
      </c>
    </row>
    <row r="15" spans="1:2">
      <c r="A15" s="45" t="str">
        <f ca="1">IFERROR(__xludf.DUMMYFUNCTION("""COMPUTED_VALUE"""),"Neisseria lactamica")</f>
        <v>Neisseria lactamica</v>
      </c>
    </row>
    <row r="16" spans="1:2">
      <c r="A16" s="45" t="str">
        <f ca="1">IFERROR(__xludf.DUMMYFUNCTION("""COMPUTED_VALUE"""),"Norovirus")</f>
        <v>Norovirus</v>
      </c>
    </row>
    <row r="17" spans="1:2">
      <c r="A17" s="45" t="str">
        <f ca="1">IFERROR(__xludf.DUMMYFUNCTION("""COMPUTED_VALUE"""),"Parainfluenza")</f>
        <v>Parainfluenza</v>
      </c>
    </row>
    <row r="18" spans="1:2">
      <c r="A18" s="45" t="str">
        <f ca="1">IFERROR(__xludf.DUMMYFUNCTION("""COMPUTED_VALUE"""),"Parvovirus")</f>
        <v>Parvovirus</v>
      </c>
    </row>
    <row r="19" spans="1:2">
      <c r="A19" s="45" t="str">
        <f ca="1">IFERROR(__xludf.DUMMYFUNCTION("""COMPUTED_VALUE"""),"Plasmodium spp.")</f>
        <v>Plasmodium spp.</v>
      </c>
      <c r="B19" s="281" t="s">
        <v>19501</v>
      </c>
    </row>
    <row r="20" spans="1:2">
      <c r="A20" s="45" t="str">
        <f ca="1">IFERROR(__xludf.DUMMYFUNCTION("""COMPUTED_VALUE"""),"Respiratory syncytial virus")</f>
        <v>Respiratory syncytial virus</v>
      </c>
    </row>
    <row r="21" spans="1:2">
      <c r="A21" s="45" t="str">
        <f ca="1">IFERROR(__xludf.DUMMYFUNCTION("""COMPUTED_VALUE"""),"Rhinovirus")</f>
        <v>Rhinovirus</v>
      </c>
    </row>
    <row r="22" spans="1:2">
      <c r="A22" s="45" t="str">
        <f ca="1">IFERROR(__xludf.DUMMYFUNCTION("""COMPUTED_VALUE"""),"Rickettsia rickettsii")</f>
        <v>Rickettsia rickettsii</v>
      </c>
    </row>
    <row r="23" spans="1:2">
      <c r="A23" s="45" t="str">
        <f ca="1">IFERROR(__xludf.DUMMYFUNCTION("""COMPUTED_VALUE"""),"Rubella virus")</f>
        <v>Rubella virus</v>
      </c>
      <c r="B23" s="280" t="s">
        <v>19502</v>
      </c>
    </row>
    <row r="24" spans="1:2">
      <c r="A24" s="45" t="str">
        <f ca="1">IFERROR(__xludf.DUMMYFUNCTION("""COMPUTED_VALUE"""),"Salmonella spp.")</f>
        <v>Salmonella spp.</v>
      </c>
    </row>
    <row r="25" spans="1:2">
      <c r="A25" s="45" t="str">
        <f ca="1">IFERROR(__xludf.DUMMYFUNCTION("""COMPUTED_VALUE"""),"Schistosoma mansoni")</f>
        <v>Schistosoma mansoni</v>
      </c>
    </row>
    <row r="26" spans="1:2">
      <c r="A26" s="45" t="str">
        <f ca="1">IFERROR(__xludf.DUMMYFUNCTION("""COMPUTED_VALUE"""),"Shigella spp.")</f>
        <v>Shigella spp.</v>
      </c>
    </row>
    <row r="27" spans="1:2">
      <c r="A27" s="45" t="str">
        <f ca="1">IFERROR(__xludf.DUMMYFUNCTION("""COMPUTED_VALUE"""),"Streptococcus pneumoniae")</f>
        <v>Streptococcus pneumoniae</v>
      </c>
    </row>
    <row r="28" spans="1:2">
      <c r="A28" s="45" t="str">
        <f ca="1">IFERROR(__xludf.DUMMYFUNCTION("""COMPUTED_VALUE"""),"Trachoma virus")</f>
        <v>Trachoma virus</v>
      </c>
    </row>
    <row r="29" spans="1:2">
      <c r="A29" s="45" t="str">
        <f ca="1">IFERROR(__xludf.DUMMYFUNCTION("""COMPUTED_VALUE"""),"Vibrio cholerae")</f>
        <v>Vibrio cholerae</v>
      </c>
    </row>
  </sheetData>
  <hyperlinks>
    <hyperlink ref="B11" r:id="rId1" xr:uid="{00000000-0004-0000-1C00-000000000000}"/>
    <hyperlink ref="B12" r:id="rId2" xr:uid="{00000000-0004-0000-1C00-000001000000}"/>
    <hyperlink ref="B13" r:id="rId3" xr:uid="{00000000-0004-0000-1C00-000002000000}"/>
    <hyperlink ref="B19" r:id="rId4" xr:uid="{00000000-0004-0000-1C00-000003000000}"/>
    <hyperlink ref="B23" r:id="rId5" xr:uid="{00000000-0004-0000-1C00-000004000000}"/>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outlinePr summaryBelow="0" summaryRight="0"/>
  </sheetPr>
  <dimension ref="A1:A19"/>
  <sheetViews>
    <sheetView workbookViewId="0"/>
  </sheetViews>
  <sheetFormatPr defaultColWidth="14.42578125" defaultRowHeight="15.75" customHeight="1"/>
  <sheetData>
    <row r="1" spans="1:1">
      <c r="A1" s="45" t="str">
        <f ca="1">IFERROR(__xludf.DUMMYFUNCTION("UNIQUE(QUERY(db,""select AR where AR is not NULL order by AR""))"),"10.7.21 Search")</f>
        <v>10.7.21 Search</v>
      </c>
    </row>
    <row r="2" spans="1:1">
      <c r="A2" s="45" t="str">
        <f ca="1">IFERROR(__xludf.DUMMYFUNCTION("""COMPUTED_VALUE"""),"4.14.21 Search")</f>
        <v>4.14.21 Search</v>
      </c>
    </row>
    <row r="3" spans="1:1">
      <c r="A3" s="45" t="str">
        <f ca="1">IFERROR(__xludf.DUMMYFUNCTION("""COMPUTED_VALUE"""),"4.20.21 Search")</f>
        <v>4.20.21 Search</v>
      </c>
    </row>
    <row r="4" spans="1:1">
      <c r="A4" s="45" t="str">
        <f ca="1">IFERROR(__xludf.DUMMYFUNCTION("""COMPUTED_VALUE"""),"6.1.21 Search")</f>
        <v>6.1.21 Search</v>
      </c>
    </row>
    <row r="5" spans="1:1">
      <c r="A5" s="45" t="str">
        <f ca="1">IFERROR(__xludf.DUMMYFUNCTION("""COMPUTED_VALUE"""),"Church 1997")</f>
        <v>Church 1997</v>
      </c>
    </row>
    <row r="6" spans="1:1">
      <c r="A6" s="45" t="str">
        <f ca="1">IFERROR(__xludf.DUMMYFUNCTION("""COMPUTED_VALUE"""),"Doyle 1999")</f>
        <v>Doyle 1999</v>
      </c>
    </row>
    <row r="7" spans="1:1">
      <c r="A7" s="45" t="str">
        <f ca="1">IFERROR(__xludf.DUMMYFUNCTION("""COMPUTED_VALUE"""),"Friedman-Klabanoff 2019")</f>
        <v>Friedman-Klabanoff 2019</v>
      </c>
    </row>
    <row r="8" spans="1:1">
      <c r="A8" s="45" t="str">
        <f ca="1">IFERROR(__xludf.DUMMYFUNCTION("""COMPUTED_VALUE"""),"Gwaltney 2003")</f>
        <v>Gwaltney 2003</v>
      </c>
    </row>
    <row r="9" spans="1:1">
      <c r="A9" s="45" t="str">
        <f ca="1">IFERROR(__xludf.DUMMYFUNCTION("""COMPUTED_VALUE"""),"Hewson 2010")</f>
        <v>Hewson 2010</v>
      </c>
    </row>
    <row r="10" spans="1:1">
      <c r="A10" s="45" t="str">
        <f ca="1">IFERROR(__xludf.DUMMYFUNCTION("""COMPUTED_VALUE"""),"Janowicz 2009")</f>
        <v>Janowicz 2009</v>
      </c>
    </row>
    <row r="11" spans="1:1">
      <c r="A11" s="45" t="str">
        <f ca="1">IFERROR(__xludf.DUMMYFUNCTION("""COMPUTED_VALUE"""),"Medema 1996")</f>
        <v>Medema 1996</v>
      </c>
    </row>
    <row r="12" spans="1:1">
      <c r="A12" s="45" t="str">
        <f ca="1">IFERROR(__xludf.DUMMYFUNCTION("""COMPUTED_VALUE"""),"Meta's Review")</f>
        <v>Meta's Review</v>
      </c>
    </row>
    <row r="13" spans="1:1">
      <c r="A13" s="45" t="str">
        <f ca="1">IFERROR(__xludf.DUMMYFUNCTION("""COMPUTED_VALUE"""),"Plaisance 2000")</f>
        <v>Plaisance 2000</v>
      </c>
    </row>
    <row r="14" spans="1:1">
      <c r="A14" s="45" t="str">
        <f ca="1">IFERROR(__xludf.DUMMYFUNCTION("""COMPUTED_VALUE"""),"Porter 2018")</f>
        <v>Porter 2018</v>
      </c>
    </row>
    <row r="15" spans="1:1">
      <c r="A15" s="45" t="str">
        <f ca="1">IFERROR(__xludf.DUMMYFUNCTION("""COMPUTED_VALUE"""),"Reeck 2010")</f>
        <v>Reeck 2010</v>
      </c>
    </row>
    <row r="16" spans="1:1">
      <c r="A16" s="45" t="str">
        <f ca="1">IFERROR(__xludf.DUMMYFUNCTION("""COMPUTED_VALUE"""),"van Wolswinkel 2017")</f>
        <v>van Wolswinkel 2017</v>
      </c>
    </row>
    <row r="17" spans="1:1">
      <c r="A17" s="45" t="str">
        <f ca="1">IFERROR(__xludf.DUMMYFUNCTION("""COMPUTED_VALUE"""),"Walk 2016")</f>
        <v>Walk 2016</v>
      </c>
    </row>
    <row r="18" spans="1:1">
      <c r="A18" s="45" t="str">
        <f ca="1">IFERROR(__xludf.DUMMYFUNCTION("""COMPUTED_VALUE"""),"Zeb Chapter 2")</f>
        <v>Zeb Chapter 2</v>
      </c>
    </row>
    <row r="19" spans="1:1">
      <c r="A19" s="45" t="str">
        <f ca="1">IFERROR(__xludf.DUMMYFUNCTION("""COMPUTED_VALUE"""),"Zeb Chapter 5")</f>
        <v>Zeb Chapter 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Index</vt:lpstr>
      <vt:lpstr>TAB 1</vt:lpstr>
      <vt:lpstr>TABLE 1 - Reasons for Exclusion</vt:lpstr>
      <vt:lpstr>TABLE 2 - SAE by Pathogen</vt:lpstr>
      <vt:lpstr>TAB 2</vt:lpstr>
      <vt:lpstr>Graphic 1</vt:lpstr>
      <vt:lpstr>TABLE 3a - AEs over Time</vt:lpstr>
      <vt:lpstr>Graphic 2</vt:lpstr>
      <vt:lpstr>Table 3c</vt:lpstr>
      <vt:lpstr>TABLE 3b - AEs over Time by Cat</vt:lpstr>
      <vt:lpstr>Table 3c (AE)</vt:lpstr>
      <vt:lpstr>TAB 3</vt:lpstr>
      <vt:lpstr>Sheet31</vt:lpstr>
      <vt:lpstr>Included</vt:lpstr>
      <vt:lpstr>Full-text Review</vt:lpstr>
      <vt:lpstr>Reasons for Exclusion - Full-te</vt:lpstr>
      <vt:lpstr>Reasons for Exclusion - Screeni</vt:lpstr>
      <vt:lpstr>Screening - 10.7.21 Results</vt:lpstr>
      <vt:lpstr>Screening - 6.1.21 Results</vt:lpstr>
      <vt:lpstr>Screening - 4.20.21 Results</vt:lpstr>
      <vt:lpstr>Screening - 4.14.21 Results</vt:lpstr>
      <vt:lpstr>PubMed 10.7.21 Results</vt:lpstr>
      <vt:lpstr>PubMed 7.1.21 Results</vt:lpstr>
      <vt:lpstr>PMC 4.20.21 Results</vt:lpstr>
      <vt:lpstr>PubMed 4.14.21 Results</vt:lpstr>
      <vt:lpstr>Additional Studies</vt:lpstr>
      <vt:lpstr>CatTag</vt:lpstr>
      <vt:lpstr>Scratchpad for Graphs</vt:lpstr>
      <vt:lpstr>Pathogen</vt:lpstr>
      <vt:lpstr>SearchType</vt:lpstr>
      <vt:lpstr>db</vt:lpstr>
      <vt:lpstr>dbcolumns</vt:lpstr>
      <vt:lpstr>exclude</vt:lpstr>
      <vt:lpstr>excluded</vt:lpstr>
      <vt:lpstr>ExclusionCategories</vt:lpstr>
      <vt:lpstr>ExclusionControls</vt:lpstr>
      <vt:lpstr>FirstAuthor</vt:lpstr>
      <vt:lpstr>FirstStudyYear</vt:lpstr>
      <vt:lpstr>IncludedCat</vt:lpstr>
      <vt:lpstr>LastStudyYear</vt:lpstr>
      <vt:lpstr>pathogens</vt:lpstr>
      <vt:lpstr>tab1xreviewed</vt:lpstr>
      <vt:lpstr>tab1xsae</vt:lpstr>
      <vt:lpstr>tab1xscreened</vt:lpstr>
      <vt:lpstr>xreviewed</vt:lpstr>
      <vt:lpstr>xscreened</vt:lpstr>
      <vt:lpstr>zgraphic1</vt:lpstr>
      <vt:lpstr>zgraphic2</vt:lpstr>
      <vt:lpstr>ztab1</vt:lpstr>
      <vt:lpstr>ztab2</vt:lpstr>
      <vt:lpstr>ztable3c</vt:lpstr>
      <vt:lpstr>ztable3cae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Wilkinson</dc:creator>
  <cp:lastModifiedBy>James Wilkinson</cp:lastModifiedBy>
  <dcterms:created xsi:type="dcterms:W3CDTF">2022-03-14T08:36:11Z</dcterms:created>
  <dcterms:modified xsi:type="dcterms:W3CDTF">2022-03-14T10:23:34Z</dcterms:modified>
</cp:coreProperties>
</file>